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sarah\Documents\meta-analysis\Excel Sheets\"/>
    </mc:Choice>
  </mc:AlternateContent>
  <xr:revisionPtr revIDLastSave="0" documentId="13_ncr:1_{420119B2-8324-4C4C-94AD-DD8625AC0273}" xr6:coauthVersionLast="47" xr6:coauthVersionMax="47" xr10:uidLastSave="{00000000-0000-0000-0000-000000000000}"/>
  <bookViews>
    <workbookView xWindow="2880" yWindow="2880" windowWidth="16200" windowHeight="9308" xr2:uid="{AC0453BD-C358-4DDB-82C2-8350D23187A8}"/>
  </bookViews>
  <sheets>
    <sheet name="original 8-28-24 search" sheetId="1" r:id="rId1"/>
    <sheet name="check papers" sheetId="2" r:id="rId2"/>
    <sheet name="final list" sheetId="4"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T1163" i="4" l="1"/>
  <c r="BF1163" i="4"/>
  <c r="BT1162" i="4"/>
  <c r="BF1162" i="4"/>
  <c r="BT1161" i="4"/>
  <c r="BF1161" i="4"/>
  <c r="BT1160" i="4"/>
  <c r="BF1160" i="4"/>
  <c r="BT1159" i="4"/>
  <c r="BT1158" i="4"/>
  <c r="BF1158" i="4"/>
  <c r="BT1157" i="4"/>
  <c r="BF1157" i="4"/>
  <c r="BT1156" i="4"/>
  <c r="BF1156" i="4"/>
  <c r="BT1155" i="4"/>
  <c r="BF1155" i="4"/>
  <c r="BT1154" i="4"/>
  <c r="BF1154" i="4"/>
  <c r="BT1153" i="4"/>
  <c r="BF1153" i="4"/>
  <c r="BT1152" i="4"/>
  <c r="BF1152" i="4"/>
  <c r="BT1151" i="4"/>
  <c r="BF1151" i="4"/>
  <c r="BT1150" i="4"/>
  <c r="BF1150" i="4"/>
  <c r="BT1149" i="4"/>
  <c r="BF1149" i="4"/>
  <c r="BT1148" i="4"/>
  <c r="BF1148" i="4"/>
  <c r="BT1147" i="4"/>
  <c r="BF1147" i="4"/>
  <c r="BT1146" i="4"/>
  <c r="BF1146" i="4"/>
  <c r="BT1145" i="4"/>
  <c r="BF1145" i="4"/>
  <c r="BT1144" i="4"/>
  <c r="BF1144" i="4"/>
  <c r="BT1143" i="4"/>
  <c r="BF1143" i="4"/>
  <c r="BT1142" i="4"/>
  <c r="BF1142" i="4"/>
  <c r="BT1141" i="4"/>
  <c r="BF1141" i="4"/>
  <c r="BT1140" i="4"/>
  <c r="BF1140" i="4"/>
  <c r="BT1139" i="4"/>
  <c r="BF1139" i="4"/>
  <c r="BT1138" i="4"/>
  <c r="BT1137" i="4"/>
  <c r="BT1136" i="4"/>
  <c r="BF1136" i="4"/>
  <c r="BT1135" i="4"/>
  <c r="BF1135" i="4"/>
  <c r="BT1134" i="4"/>
  <c r="BF1134" i="4"/>
  <c r="BT1133" i="4"/>
  <c r="BF1133" i="4"/>
  <c r="BT1132" i="4"/>
  <c r="BF1132" i="4"/>
  <c r="BT1131" i="4"/>
  <c r="BF1131" i="4"/>
  <c r="BT1130" i="4"/>
  <c r="BF1130" i="4"/>
  <c r="BT1129" i="4"/>
  <c r="BF1129" i="4"/>
  <c r="BT1128" i="4"/>
  <c r="BT1127" i="4"/>
  <c r="BF1127" i="4"/>
  <c r="BT1126" i="4"/>
  <c r="BF1126" i="4"/>
  <c r="BT1125" i="4"/>
  <c r="BF1125" i="4"/>
  <c r="BT1124" i="4"/>
  <c r="BF1124" i="4"/>
  <c r="BT1123" i="4"/>
  <c r="BF1123" i="4"/>
  <c r="BT1122" i="4"/>
  <c r="BF1122" i="4"/>
  <c r="BT1121" i="4"/>
  <c r="BF1121" i="4"/>
  <c r="BT1120" i="4"/>
  <c r="BF1120" i="4"/>
  <c r="BT1119" i="4"/>
  <c r="BF1119" i="4"/>
  <c r="BT1118" i="4"/>
  <c r="BF1118" i="4"/>
  <c r="BT1117" i="4"/>
  <c r="BF1117" i="4"/>
  <c r="BT1116" i="4"/>
  <c r="BF1116" i="4"/>
  <c r="BT1115" i="4"/>
  <c r="BF1115" i="4"/>
  <c r="BT1114" i="4"/>
  <c r="BF1114" i="4"/>
  <c r="BT1113" i="4"/>
  <c r="BF1113" i="4"/>
  <c r="BT1112" i="4"/>
  <c r="BF1112" i="4"/>
  <c r="BT1111" i="4"/>
  <c r="BF1111" i="4"/>
  <c r="BT1110" i="4"/>
  <c r="BF1110" i="4"/>
  <c r="BT1109" i="4"/>
  <c r="BF1109" i="4"/>
  <c r="BT1108" i="4"/>
  <c r="BF1108" i="4"/>
  <c r="BT1107" i="4"/>
  <c r="BF1107" i="4"/>
  <c r="BT1106" i="4"/>
  <c r="BF1106" i="4"/>
  <c r="BT1105" i="4"/>
  <c r="BF1105" i="4"/>
  <c r="BT1104" i="4"/>
  <c r="BF1104" i="4"/>
  <c r="BT1103" i="4"/>
  <c r="BF1103" i="4"/>
  <c r="BT1102" i="4"/>
  <c r="BF1102" i="4"/>
  <c r="BT1101" i="4"/>
  <c r="BF1101" i="4"/>
  <c r="BT1100" i="4"/>
  <c r="BF1100" i="4"/>
  <c r="BT1099" i="4"/>
  <c r="BF1099" i="4"/>
  <c r="BT1098" i="4"/>
  <c r="BF1098" i="4"/>
  <c r="BT1097" i="4"/>
  <c r="BF1097" i="4"/>
  <c r="BT1096" i="4"/>
  <c r="BF1096" i="4"/>
  <c r="BT1095" i="4"/>
  <c r="BF1095" i="4"/>
  <c r="BT1094" i="4"/>
  <c r="BF1094" i="4"/>
  <c r="BT1093" i="4"/>
  <c r="BF1093" i="4"/>
  <c r="BT1092" i="4"/>
  <c r="BF1092" i="4"/>
  <c r="BT1091" i="4"/>
  <c r="BF1091" i="4"/>
  <c r="BT1090" i="4"/>
  <c r="BF1090" i="4"/>
  <c r="BT1089" i="4"/>
  <c r="BF1089" i="4"/>
  <c r="BT1088" i="4"/>
  <c r="BT1087" i="4"/>
  <c r="BF1087" i="4"/>
  <c r="BT1086" i="4"/>
  <c r="BF1086" i="4"/>
  <c r="BT1085" i="4"/>
  <c r="BF1085" i="4"/>
  <c r="BT1084" i="4"/>
  <c r="BF1084" i="4"/>
  <c r="BT1083" i="4"/>
  <c r="BF1083" i="4"/>
  <c r="BT1082" i="4"/>
  <c r="BT1081" i="4"/>
  <c r="BF1081" i="4"/>
  <c r="BT1080" i="4"/>
  <c r="BF1080" i="4"/>
  <c r="BT1079" i="4"/>
  <c r="BF1079" i="4"/>
  <c r="BT1078" i="4"/>
  <c r="BF1078" i="4"/>
  <c r="BT1077" i="4"/>
  <c r="BF1077" i="4"/>
  <c r="BT1076" i="4"/>
  <c r="BF1076" i="4"/>
  <c r="BT1075" i="4"/>
  <c r="BF1075" i="4"/>
  <c r="BT1074" i="4"/>
  <c r="BF1074" i="4"/>
  <c r="BT1073" i="4"/>
  <c r="BF1073" i="4"/>
  <c r="BT1072" i="4"/>
  <c r="BF1072" i="4"/>
  <c r="BT1071" i="4"/>
  <c r="BF1071" i="4"/>
  <c r="BT1070" i="4"/>
  <c r="BF1070" i="4"/>
  <c r="BT1069" i="4"/>
  <c r="BF1069" i="4"/>
  <c r="BT1068" i="4"/>
  <c r="BF1068" i="4"/>
  <c r="BT1067" i="4"/>
  <c r="BT1066" i="4"/>
  <c r="BF1066" i="4"/>
  <c r="BT1065" i="4"/>
  <c r="BF1065" i="4"/>
  <c r="BT1064" i="4"/>
  <c r="BF1064" i="4"/>
  <c r="BT1063" i="4"/>
  <c r="BF1063" i="4"/>
  <c r="BT1062" i="4"/>
  <c r="BF1062" i="4"/>
  <c r="BT1061" i="4"/>
  <c r="BF1061" i="4"/>
  <c r="BT1060" i="4"/>
  <c r="BF1060" i="4"/>
  <c r="BT1059" i="4"/>
  <c r="BT1058" i="4"/>
  <c r="BF1058" i="4"/>
  <c r="BT1057" i="4"/>
  <c r="BF1057" i="4"/>
  <c r="BT1056" i="4"/>
  <c r="BF1056" i="4"/>
  <c r="BT1055" i="4"/>
  <c r="BF1055" i="4"/>
  <c r="BT1054" i="4"/>
  <c r="BT1053" i="4"/>
  <c r="BF1053" i="4"/>
  <c r="BT1052" i="4"/>
  <c r="BF1052" i="4"/>
  <c r="BT1051" i="4"/>
  <c r="BF1051" i="4"/>
  <c r="BT1050" i="4"/>
  <c r="BF1050" i="4"/>
  <c r="BT1049" i="4"/>
  <c r="BF1049" i="4"/>
  <c r="BT1048" i="4"/>
  <c r="BF1048" i="4"/>
  <c r="BT1047" i="4"/>
  <c r="BF1047" i="4"/>
  <c r="BT1046" i="4"/>
  <c r="BF1046" i="4"/>
  <c r="BT1045" i="4"/>
  <c r="BF1045" i="4"/>
  <c r="BT1044" i="4"/>
  <c r="BF1044" i="4"/>
  <c r="BT1043" i="4"/>
  <c r="BF1043" i="4"/>
  <c r="BT1042" i="4"/>
  <c r="BF1042" i="4"/>
  <c r="BT1041" i="4"/>
  <c r="BT1040" i="4"/>
  <c r="BF1040" i="4"/>
  <c r="BT1039" i="4"/>
  <c r="BF1039" i="4"/>
  <c r="BT1038" i="4"/>
  <c r="BT1037" i="4"/>
  <c r="BF1037" i="4"/>
  <c r="BT1036" i="4"/>
  <c r="BT1035" i="4"/>
  <c r="BF1035" i="4"/>
  <c r="BT1034" i="4"/>
  <c r="BT1033" i="4"/>
  <c r="BF1033" i="4"/>
  <c r="BT1032" i="4"/>
  <c r="BF1032" i="4"/>
  <c r="BT1031" i="4"/>
  <c r="BF1031" i="4"/>
  <c r="BT1030" i="4"/>
  <c r="BF1030" i="4"/>
  <c r="BT1029" i="4"/>
  <c r="BT1028" i="4"/>
  <c r="BF1028" i="4"/>
  <c r="BT1027" i="4"/>
  <c r="BF1027" i="4"/>
  <c r="BT1026" i="4"/>
  <c r="BF1026" i="4"/>
  <c r="BT1025" i="4"/>
  <c r="BF1025" i="4"/>
  <c r="BT1024" i="4"/>
  <c r="BF1024" i="4"/>
  <c r="BT1023" i="4"/>
  <c r="BF1023" i="4"/>
  <c r="BT1022" i="4"/>
  <c r="BF1022" i="4"/>
  <c r="BT1021" i="4"/>
  <c r="BF1021" i="4"/>
  <c r="BT1020" i="4"/>
  <c r="BF1020" i="4"/>
  <c r="BT1019" i="4"/>
  <c r="BF1019" i="4"/>
  <c r="BT1018" i="4"/>
  <c r="BF1018" i="4"/>
  <c r="BT1017" i="4"/>
  <c r="BF1017" i="4"/>
  <c r="BT1016" i="4"/>
  <c r="BF1016" i="4"/>
  <c r="BT1015" i="4"/>
  <c r="BF1015" i="4"/>
  <c r="BT1014" i="4"/>
  <c r="BF1014" i="4"/>
  <c r="BT1013" i="4"/>
  <c r="BF1013" i="4"/>
  <c r="BT1012" i="4"/>
  <c r="BF1012" i="4"/>
  <c r="BT1011" i="4"/>
  <c r="BF1011" i="4"/>
  <c r="BT1010" i="4"/>
  <c r="BF1010" i="4"/>
  <c r="BT1009" i="4"/>
  <c r="BF1009" i="4"/>
  <c r="BT1008" i="4"/>
  <c r="BF1008" i="4"/>
  <c r="BT1007" i="4"/>
  <c r="BF1007" i="4"/>
  <c r="BT1006" i="4"/>
  <c r="BF1006" i="4"/>
  <c r="BT1005" i="4"/>
  <c r="BT1004" i="4"/>
  <c r="BF1004" i="4"/>
  <c r="BT1003" i="4"/>
  <c r="BF1003" i="4"/>
  <c r="BT1002" i="4"/>
  <c r="BT1001" i="4"/>
  <c r="BF1001" i="4"/>
  <c r="BT1000" i="4"/>
  <c r="BF1000" i="4"/>
  <c r="BT999" i="4"/>
  <c r="BF999" i="4"/>
  <c r="BT998" i="4"/>
  <c r="BF998" i="4"/>
  <c r="BT997" i="4"/>
  <c r="BF997" i="4"/>
  <c r="BT996" i="4"/>
  <c r="BF996" i="4"/>
  <c r="BT995" i="4"/>
  <c r="BF995" i="4"/>
  <c r="BT994" i="4"/>
  <c r="BT993" i="4"/>
  <c r="BF993" i="4"/>
  <c r="BT992" i="4"/>
  <c r="BT991" i="4"/>
  <c r="BF991" i="4"/>
  <c r="BT990" i="4"/>
  <c r="BF990" i="4"/>
  <c r="BT989" i="4"/>
  <c r="BF989" i="4"/>
  <c r="BT988" i="4"/>
  <c r="BF988" i="4"/>
  <c r="BT987" i="4"/>
  <c r="BF987" i="4"/>
  <c r="BT986" i="4"/>
  <c r="BF986" i="4"/>
  <c r="BT985" i="4"/>
  <c r="BF985" i="4"/>
  <c r="BT984" i="4"/>
  <c r="BF984" i="4"/>
  <c r="BT983" i="4"/>
  <c r="BT982" i="4"/>
  <c r="BF982" i="4"/>
  <c r="BT981" i="4"/>
  <c r="BF981" i="4"/>
  <c r="BT980" i="4"/>
  <c r="BF980" i="4"/>
  <c r="BT979" i="4"/>
  <c r="BF979" i="4"/>
  <c r="BT978" i="4"/>
  <c r="BF978" i="4"/>
  <c r="BT977" i="4"/>
  <c r="BT976" i="4"/>
  <c r="BF976" i="4"/>
  <c r="BT975" i="4"/>
  <c r="BF975" i="4"/>
  <c r="BT974" i="4"/>
  <c r="BF974" i="4"/>
  <c r="BT973" i="4"/>
  <c r="BT972" i="4"/>
  <c r="BF972" i="4"/>
  <c r="BT971" i="4"/>
  <c r="BF971" i="4"/>
  <c r="BT970" i="4"/>
  <c r="BF970" i="4"/>
  <c r="BT969" i="4"/>
  <c r="BF969" i="4"/>
  <c r="BT968" i="4"/>
  <c r="BT967" i="4"/>
  <c r="BF967" i="4"/>
  <c r="BT966" i="4"/>
  <c r="BF966" i="4"/>
  <c r="BT965" i="4"/>
  <c r="BT964" i="4"/>
  <c r="BF964" i="4"/>
  <c r="BT963" i="4"/>
  <c r="BF963" i="4"/>
  <c r="BT962" i="4"/>
  <c r="BF962" i="4"/>
  <c r="BT961" i="4"/>
  <c r="BT960" i="4"/>
  <c r="BF960" i="4"/>
  <c r="BT959" i="4"/>
  <c r="BF959" i="4"/>
  <c r="BT958" i="4"/>
  <c r="BF958" i="4"/>
  <c r="BT957" i="4"/>
  <c r="BF957" i="4"/>
  <c r="BT956" i="4"/>
  <c r="BF956" i="4"/>
  <c r="BT955" i="4"/>
  <c r="BF955" i="4"/>
  <c r="BT954" i="4"/>
  <c r="BT953" i="4"/>
  <c r="BF953" i="4"/>
  <c r="BT952" i="4"/>
  <c r="BF952" i="4"/>
  <c r="BT951" i="4"/>
  <c r="BF951" i="4"/>
  <c r="BT950" i="4"/>
  <c r="BF950" i="4"/>
  <c r="BT949" i="4"/>
  <c r="BF949" i="4"/>
  <c r="BT948" i="4"/>
  <c r="BF948" i="4"/>
  <c r="BT947" i="4"/>
  <c r="BT946" i="4"/>
  <c r="BF946" i="4"/>
  <c r="BT945" i="4"/>
  <c r="BF945" i="4"/>
  <c r="BT944" i="4"/>
  <c r="BF944" i="4"/>
  <c r="BT943" i="4"/>
  <c r="BT942" i="4"/>
  <c r="BF942" i="4"/>
  <c r="BT941" i="4"/>
  <c r="BF941" i="4"/>
  <c r="BT940" i="4"/>
  <c r="BF940" i="4"/>
  <c r="BT939" i="4"/>
  <c r="BF939" i="4"/>
  <c r="BT938" i="4"/>
  <c r="BF938" i="4"/>
  <c r="BT937" i="4"/>
  <c r="BF937" i="4"/>
  <c r="BT936" i="4"/>
  <c r="BF936" i="4"/>
  <c r="BT935" i="4"/>
  <c r="BF935" i="4"/>
  <c r="BT934" i="4"/>
  <c r="BF934" i="4"/>
  <c r="BT933" i="4"/>
  <c r="BF933" i="4"/>
  <c r="BT932" i="4"/>
  <c r="BF932" i="4"/>
  <c r="BT931" i="4"/>
  <c r="BF931" i="4"/>
  <c r="BT930" i="4"/>
  <c r="BF930" i="4"/>
  <c r="BT929" i="4"/>
  <c r="BF929" i="4"/>
  <c r="BT928" i="4"/>
  <c r="BF928" i="4"/>
  <c r="BT927" i="4"/>
  <c r="BF927" i="4"/>
  <c r="BT926" i="4"/>
  <c r="BF926" i="4"/>
  <c r="BT925" i="4"/>
  <c r="BF925" i="4"/>
  <c r="BT924" i="4"/>
  <c r="BF924" i="4"/>
  <c r="BT923" i="4"/>
  <c r="BF923" i="4"/>
  <c r="BT922" i="4"/>
  <c r="BF922" i="4"/>
  <c r="BT921" i="4"/>
  <c r="BF921" i="4"/>
  <c r="BT920" i="4"/>
  <c r="BF920" i="4"/>
  <c r="BT919" i="4"/>
  <c r="BF919" i="4"/>
  <c r="BT918" i="4"/>
  <c r="BF918" i="4"/>
  <c r="BT917" i="4"/>
  <c r="BF917" i="4"/>
  <c r="BT916" i="4"/>
  <c r="BF916" i="4"/>
  <c r="BT915" i="4"/>
  <c r="BF915" i="4"/>
  <c r="BT914" i="4"/>
  <c r="BF914" i="4"/>
  <c r="BT913" i="4"/>
  <c r="BF913" i="4"/>
  <c r="BT912" i="4"/>
  <c r="BF912" i="4"/>
  <c r="BT911" i="4"/>
  <c r="BF911" i="4"/>
  <c r="BT910" i="4"/>
  <c r="BF910" i="4"/>
  <c r="BT909" i="4"/>
  <c r="BF909" i="4"/>
  <c r="BT908" i="4"/>
  <c r="BF908" i="4"/>
  <c r="BT907" i="4"/>
  <c r="BF907" i="4"/>
  <c r="BT906" i="4"/>
  <c r="BF906" i="4"/>
  <c r="BT905" i="4"/>
  <c r="BF905" i="4"/>
  <c r="BT904" i="4"/>
  <c r="BF904" i="4"/>
  <c r="BT903" i="4"/>
  <c r="BF903" i="4"/>
  <c r="BT902" i="4"/>
  <c r="BT901" i="4"/>
  <c r="BF901" i="4"/>
  <c r="BT900" i="4"/>
  <c r="BF900" i="4"/>
  <c r="BT899" i="4"/>
  <c r="BF899" i="4"/>
  <c r="BT898" i="4"/>
  <c r="BF898" i="4"/>
  <c r="BT897" i="4"/>
  <c r="BF897" i="4"/>
  <c r="BT896" i="4"/>
  <c r="BF896" i="4"/>
  <c r="BT895" i="4"/>
  <c r="BF895" i="4"/>
  <c r="BT894" i="4"/>
  <c r="BF894" i="4"/>
  <c r="BT893" i="4"/>
  <c r="BF893" i="4"/>
  <c r="BT892" i="4"/>
  <c r="BT891" i="4"/>
  <c r="BF891" i="4"/>
  <c r="BT890" i="4"/>
  <c r="BF890" i="4"/>
  <c r="BT889" i="4"/>
  <c r="BF889" i="4"/>
  <c r="BT888" i="4"/>
  <c r="BF888" i="4"/>
  <c r="BT887" i="4"/>
  <c r="BF887" i="4"/>
  <c r="BT886" i="4"/>
  <c r="BF886" i="4"/>
  <c r="BT885" i="4"/>
  <c r="BF885" i="4"/>
  <c r="BT884" i="4"/>
  <c r="BF884" i="4"/>
  <c r="BT883" i="4"/>
  <c r="BF883" i="4"/>
  <c r="BT882" i="4"/>
  <c r="BF882" i="4"/>
  <c r="BT881" i="4"/>
  <c r="BF881" i="4"/>
  <c r="BT880" i="4"/>
  <c r="BF880" i="4"/>
  <c r="BT879" i="4"/>
  <c r="BF879" i="4"/>
  <c r="BT878" i="4"/>
  <c r="BF878" i="4"/>
  <c r="BT877" i="4"/>
  <c r="BF877" i="4"/>
  <c r="BT876" i="4"/>
  <c r="BF876" i="4"/>
  <c r="BT875" i="4"/>
  <c r="BF875" i="4"/>
  <c r="BT874" i="4"/>
  <c r="BF874" i="4"/>
  <c r="BT873" i="4"/>
  <c r="BF873" i="4"/>
  <c r="BT872" i="4"/>
  <c r="BF872" i="4"/>
  <c r="BT871" i="4"/>
  <c r="BF871" i="4"/>
  <c r="BT870" i="4"/>
  <c r="BF870" i="4"/>
  <c r="BT869" i="4"/>
  <c r="BF869" i="4"/>
  <c r="BT868" i="4"/>
  <c r="BF868" i="4"/>
  <c r="BT867" i="4"/>
  <c r="BF867" i="4"/>
  <c r="BT866" i="4"/>
  <c r="BF866" i="4"/>
  <c r="BT865" i="4"/>
  <c r="BF865" i="4"/>
  <c r="BT864" i="4"/>
  <c r="BF864" i="4"/>
  <c r="BT863" i="4"/>
  <c r="BF863" i="4"/>
  <c r="BT862" i="4"/>
  <c r="BF862" i="4"/>
  <c r="BT861" i="4"/>
  <c r="BF861" i="4"/>
  <c r="BT860" i="4"/>
  <c r="BF860" i="4"/>
  <c r="BT859" i="4"/>
  <c r="BF859" i="4"/>
  <c r="BT858" i="4"/>
  <c r="BF858" i="4"/>
  <c r="BT857" i="4"/>
  <c r="BT856" i="4"/>
  <c r="BF856" i="4"/>
  <c r="BT855" i="4"/>
  <c r="BT854" i="4"/>
  <c r="BF854" i="4"/>
  <c r="BT853" i="4"/>
  <c r="BF853" i="4"/>
  <c r="BT852" i="4"/>
  <c r="BF852" i="4"/>
  <c r="BT851" i="4"/>
  <c r="BF851" i="4"/>
  <c r="BT850" i="4"/>
  <c r="BF850" i="4"/>
  <c r="BT849" i="4"/>
  <c r="BF849" i="4"/>
  <c r="BT848" i="4"/>
  <c r="BF848" i="4"/>
  <c r="BT847" i="4"/>
  <c r="BF847" i="4"/>
  <c r="BT846" i="4"/>
  <c r="BF846" i="4"/>
  <c r="BT845" i="4"/>
  <c r="BF845" i="4"/>
  <c r="BT844" i="4"/>
  <c r="BF844" i="4"/>
  <c r="BT843" i="4"/>
  <c r="BF843" i="4"/>
  <c r="BT842" i="4"/>
  <c r="BF842" i="4"/>
  <c r="BT841" i="4"/>
  <c r="BF841" i="4"/>
  <c r="BT840" i="4"/>
  <c r="BF840" i="4"/>
  <c r="BT839" i="4"/>
  <c r="BF839" i="4"/>
  <c r="BT838" i="4"/>
  <c r="BF838" i="4"/>
  <c r="BT837" i="4"/>
  <c r="BF837" i="4"/>
  <c r="BT836" i="4"/>
  <c r="BF836" i="4"/>
  <c r="BT835" i="4"/>
  <c r="BF835" i="4"/>
  <c r="BT834" i="4"/>
  <c r="BF834" i="4"/>
  <c r="BT833" i="4"/>
  <c r="BF833" i="4"/>
  <c r="BT832" i="4"/>
  <c r="BT831" i="4"/>
  <c r="BF831" i="4"/>
  <c r="BT830" i="4"/>
  <c r="BF830" i="4"/>
  <c r="BT829" i="4"/>
  <c r="BF829" i="4"/>
  <c r="BT828" i="4"/>
  <c r="BF828" i="4"/>
  <c r="BT827" i="4"/>
  <c r="BF827" i="4"/>
  <c r="BT826" i="4"/>
  <c r="BF826" i="4"/>
  <c r="BT825" i="4"/>
  <c r="BF825" i="4"/>
  <c r="BT824" i="4"/>
  <c r="BF824" i="4"/>
  <c r="BT823" i="4"/>
  <c r="BF823" i="4"/>
  <c r="BT822" i="4"/>
  <c r="BF822" i="4"/>
  <c r="BT821" i="4"/>
  <c r="BF821" i="4"/>
  <c r="BT820" i="4"/>
  <c r="BF820" i="4"/>
  <c r="BT819" i="4"/>
  <c r="BF819" i="4"/>
  <c r="BT818" i="4"/>
  <c r="BF818" i="4"/>
  <c r="BT817" i="4"/>
  <c r="BF817" i="4"/>
  <c r="BT816" i="4"/>
  <c r="BF816" i="4"/>
  <c r="BT815" i="4"/>
  <c r="BF815" i="4"/>
  <c r="BT814" i="4"/>
  <c r="BF814" i="4"/>
  <c r="BT813" i="4"/>
  <c r="BF813" i="4"/>
  <c r="BT812" i="4"/>
  <c r="BF812" i="4"/>
  <c r="BT811" i="4"/>
  <c r="BF811" i="4"/>
  <c r="BT810" i="4"/>
  <c r="BF810" i="4"/>
  <c r="BT809" i="4"/>
  <c r="BF809" i="4"/>
  <c r="BT808" i="4"/>
  <c r="BF808" i="4"/>
  <c r="BT807" i="4"/>
  <c r="BF807" i="4"/>
  <c r="BT806" i="4"/>
  <c r="BF806" i="4"/>
  <c r="BT805" i="4"/>
  <c r="BF805" i="4"/>
  <c r="BT804" i="4"/>
  <c r="BF804" i="4"/>
  <c r="BT803" i="4"/>
  <c r="BT802" i="4"/>
  <c r="BT801" i="4"/>
  <c r="BT800" i="4"/>
  <c r="BF800" i="4"/>
  <c r="BT799" i="4"/>
  <c r="BF799" i="4"/>
  <c r="BT798" i="4"/>
  <c r="BF798" i="4"/>
  <c r="BT797" i="4"/>
  <c r="BF797" i="4"/>
  <c r="BT796" i="4"/>
  <c r="BF796" i="4"/>
  <c r="BT795" i="4"/>
  <c r="BF795" i="4"/>
  <c r="BT794" i="4"/>
  <c r="BF794" i="4"/>
  <c r="BT793" i="4"/>
  <c r="BF793" i="4"/>
  <c r="BT792" i="4"/>
  <c r="BF792" i="4"/>
  <c r="BT791" i="4"/>
  <c r="BF791" i="4"/>
  <c r="BT790" i="4"/>
  <c r="BF790" i="4"/>
  <c r="BT789" i="4"/>
  <c r="BF789" i="4"/>
  <c r="BT788" i="4"/>
  <c r="BF788" i="4"/>
  <c r="BT787" i="4"/>
  <c r="BF787" i="4"/>
  <c r="BT786" i="4"/>
  <c r="BF786" i="4"/>
  <c r="BT785" i="4"/>
  <c r="BF785" i="4"/>
  <c r="BT784" i="4"/>
  <c r="BF784" i="4"/>
  <c r="BT783" i="4"/>
  <c r="BF783" i="4"/>
  <c r="BT782" i="4"/>
  <c r="BF782" i="4"/>
  <c r="BT781" i="4"/>
  <c r="BF781" i="4"/>
  <c r="BT780" i="4"/>
  <c r="BF780" i="4"/>
  <c r="BT779" i="4"/>
  <c r="BF779" i="4"/>
  <c r="BT778" i="4"/>
  <c r="BF778" i="4"/>
  <c r="BT777" i="4"/>
  <c r="BF777" i="4"/>
  <c r="BT776" i="4"/>
  <c r="BF776" i="4"/>
  <c r="BT775" i="4"/>
  <c r="BF775" i="4"/>
  <c r="BT774" i="4"/>
  <c r="BT773" i="4"/>
  <c r="BF773" i="4"/>
  <c r="BT772" i="4"/>
  <c r="BT771" i="4"/>
  <c r="BF771" i="4"/>
  <c r="BT770" i="4"/>
  <c r="BF770" i="4"/>
  <c r="BT769" i="4"/>
  <c r="BF769" i="4"/>
  <c r="BT768" i="4"/>
  <c r="BF768" i="4"/>
  <c r="BT767" i="4"/>
  <c r="BF767" i="4"/>
  <c r="BT766" i="4"/>
  <c r="BF766" i="4"/>
  <c r="BT765" i="4"/>
  <c r="BF765" i="4"/>
  <c r="BT764" i="4"/>
  <c r="BT763" i="4"/>
  <c r="BF763" i="4"/>
  <c r="BT762" i="4"/>
  <c r="BF762" i="4"/>
  <c r="BT761" i="4"/>
  <c r="BF761" i="4"/>
  <c r="BT760" i="4"/>
  <c r="BF760" i="4"/>
  <c r="BT759" i="4"/>
  <c r="BF759" i="4"/>
  <c r="BT758" i="4"/>
  <c r="BF758" i="4"/>
  <c r="BT757" i="4"/>
  <c r="BF757" i="4"/>
  <c r="BT756" i="4"/>
  <c r="BF756" i="4"/>
  <c r="BT755" i="4"/>
  <c r="BF755" i="4"/>
  <c r="BT754" i="4"/>
  <c r="BF754" i="4"/>
  <c r="BT753" i="4"/>
  <c r="BF753" i="4"/>
  <c r="BT752" i="4"/>
  <c r="BF752" i="4"/>
  <c r="BT751" i="4"/>
  <c r="BF751" i="4"/>
  <c r="BT750" i="4"/>
  <c r="BF750" i="4"/>
  <c r="BT749" i="4"/>
  <c r="BF749" i="4"/>
  <c r="BT748" i="4"/>
  <c r="BT747" i="4"/>
  <c r="BF747" i="4"/>
  <c r="BT746" i="4"/>
  <c r="BF746" i="4"/>
  <c r="BT745" i="4"/>
  <c r="BF745" i="4"/>
  <c r="BT744" i="4"/>
  <c r="BF744" i="4"/>
  <c r="BT743" i="4"/>
  <c r="BF743" i="4"/>
  <c r="BT742" i="4"/>
  <c r="BF742" i="4"/>
  <c r="BT741" i="4"/>
  <c r="BF741" i="4"/>
  <c r="BT740" i="4"/>
  <c r="BF740" i="4"/>
  <c r="BT739" i="4"/>
  <c r="BF739" i="4"/>
  <c r="BT738" i="4"/>
  <c r="BF738" i="4"/>
  <c r="BT737" i="4"/>
  <c r="BT736" i="4"/>
  <c r="BF736" i="4"/>
  <c r="BT735" i="4"/>
  <c r="BT734" i="4"/>
  <c r="BT733" i="4"/>
  <c r="BF733" i="4"/>
  <c r="BT732" i="4"/>
  <c r="BF732" i="4"/>
  <c r="BT731" i="4"/>
  <c r="BF731" i="4"/>
  <c r="BT730" i="4"/>
  <c r="BF730" i="4"/>
  <c r="BT729" i="4"/>
  <c r="BT728" i="4"/>
  <c r="BF728" i="4"/>
  <c r="BT727" i="4"/>
  <c r="BF727" i="4"/>
  <c r="BT726" i="4"/>
  <c r="BF726" i="4"/>
  <c r="BT725" i="4"/>
  <c r="BF725" i="4"/>
  <c r="BT724" i="4"/>
  <c r="BF724" i="4"/>
  <c r="BT723" i="4"/>
  <c r="BF723" i="4"/>
  <c r="BT722" i="4"/>
  <c r="BF722" i="4"/>
  <c r="BT721" i="4"/>
  <c r="BF721" i="4"/>
  <c r="BT720" i="4"/>
  <c r="BF720" i="4"/>
  <c r="BT719" i="4"/>
  <c r="BF719" i="4"/>
  <c r="BT718" i="4"/>
  <c r="BF718" i="4"/>
  <c r="BT717" i="4"/>
  <c r="BF717" i="4"/>
  <c r="BT716" i="4"/>
  <c r="BF716" i="4"/>
  <c r="BT715" i="4"/>
  <c r="BF715" i="4"/>
  <c r="BT714" i="4"/>
  <c r="BF714" i="4"/>
  <c r="BT713" i="4"/>
  <c r="BF713" i="4"/>
  <c r="BT712" i="4"/>
  <c r="BF712" i="4"/>
  <c r="BT711" i="4"/>
  <c r="BF711" i="4"/>
  <c r="BT710" i="4"/>
  <c r="BF710" i="4"/>
  <c r="BT709" i="4"/>
  <c r="BF709" i="4"/>
  <c r="BT708" i="4"/>
  <c r="BF708" i="4"/>
  <c r="BT707" i="4"/>
  <c r="BF707" i="4"/>
  <c r="BT706" i="4"/>
  <c r="BF706" i="4"/>
  <c r="BT705" i="4"/>
  <c r="BF705" i="4"/>
  <c r="BT704" i="4"/>
  <c r="BF704" i="4"/>
  <c r="BT703" i="4"/>
  <c r="BF703" i="4"/>
  <c r="BT702" i="4"/>
  <c r="BF702" i="4"/>
  <c r="BT701" i="4"/>
  <c r="BF701" i="4"/>
  <c r="BT700" i="4"/>
  <c r="BT699" i="4"/>
  <c r="BF699" i="4"/>
  <c r="BT698" i="4"/>
  <c r="BF698" i="4"/>
  <c r="BT697" i="4"/>
  <c r="BF697" i="4"/>
  <c r="BT696" i="4"/>
  <c r="BF696" i="4"/>
  <c r="BT695" i="4"/>
  <c r="BF695" i="4"/>
  <c r="BT694" i="4"/>
  <c r="BF694" i="4"/>
  <c r="BT693" i="4"/>
  <c r="BF693" i="4"/>
  <c r="BT692" i="4"/>
  <c r="BF692" i="4"/>
  <c r="BT691" i="4"/>
  <c r="BF691" i="4"/>
  <c r="BT690" i="4"/>
  <c r="BF690" i="4"/>
  <c r="BT689" i="4"/>
  <c r="BF689" i="4"/>
  <c r="BT688" i="4"/>
  <c r="BF688" i="4"/>
  <c r="BT687" i="4"/>
  <c r="BF687" i="4"/>
  <c r="BT686" i="4"/>
  <c r="BF686" i="4"/>
  <c r="BT685" i="4"/>
  <c r="BF685" i="4"/>
  <c r="BT684" i="4"/>
  <c r="BF684" i="4"/>
  <c r="BT683" i="4"/>
  <c r="BF683" i="4"/>
  <c r="BT682" i="4"/>
  <c r="BF682" i="4"/>
  <c r="BT681" i="4"/>
  <c r="BF681" i="4"/>
  <c r="BT680" i="4"/>
  <c r="BF680" i="4"/>
  <c r="BT679" i="4"/>
  <c r="BF679" i="4"/>
  <c r="BT678" i="4"/>
  <c r="BF678" i="4"/>
  <c r="BT677" i="4"/>
  <c r="BF677" i="4"/>
  <c r="BT676" i="4"/>
  <c r="BF676" i="4"/>
  <c r="BT675" i="4"/>
  <c r="BF675" i="4"/>
  <c r="BT674" i="4"/>
  <c r="BF674" i="4"/>
  <c r="BT673" i="4"/>
  <c r="BF673" i="4"/>
  <c r="BT672" i="4"/>
  <c r="BF672" i="4"/>
  <c r="BT671" i="4"/>
  <c r="BF671" i="4"/>
  <c r="BT670" i="4"/>
  <c r="BF670" i="4"/>
  <c r="BT669" i="4"/>
  <c r="BF669" i="4"/>
  <c r="BT668" i="4"/>
  <c r="BF668" i="4"/>
  <c r="BT667" i="4"/>
  <c r="BF667" i="4"/>
  <c r="BT666" i="4"/>
  <c r="BF666" i="4"/>
  <c r="BT665" i="4"/>
  <c r="BF665" i="4"/>
  <c r="BT664" i="4"/>
  <c r="BF664" i="4"/>
  <c r="BT663" i="4"/>
  <c r="BF663" i="4"/>
  <c r="BT662" i="4"/>
  <c r="BF662" i="4"/>
  <c r="BT661" i="4"/>
  <c r="BF661" i="4"/>
  <c r="BT660" i="4"/>
  <c r="BF660" i="4"/>
  <c r="BT659" i="4"/>
  <c r="BF659" i="4"/>
  <c r="BT658" i="4"/>
  <c r="BF658" i="4"/>
  <c r="BT657" i="4"/>
  <c r="BF657" i="4"/>
  <c r="BT656" i="4"/>
  <c r="BF656" i="4"/>
  <c r="BT655" i="4"/>
  <c r="BF655" i="4"/>
  <c r="BT654" i="4"/>
  <c r="BF654" i="4"/>
  <c r="BT653" i="4"/>
  <c r="BF653" i="4"/>
  <c r="BT652" i="4"/>
  <c r="BF652" i="4"/>
  <c r="BT651" i="4"/>
  <c r="BF651" i="4"/>
  <c r="BT650" i="4"/>
  <c r="BF650" i="4"/>
  <c r="BT649" i="4"/>
  <c r="BF649" i="4"/>
  <c r="BT648" i="4"/>
  <c r="BF648" i="4"/>
  <c r="BT647" i="4"/>
  <c r="BT646" i="4"/>
  <c r="BF646" i="4"/>
  <c r="BT645" i="4"/>
  <c r="BF645" i="4"/>
  <c r="BT644" i="4"/>
  <c r="BF644" i="4"/>
  <c r="BT643" i="4"/>
  <c r="BT642" i="4"/>
  <c r="BF642" i="4"/>
  <c r="BT641" i="4"/>
  <c r="BF641" i="4"/>
  <c r="BT640" i="4"/>
  <c r="BF640" i="4"/>
  <c r="BT639" i="4"/>
  <c r="BF639" i="4"/>
  <c r="BT638" i="4"/>
  <c r="BF638" i="4"/>
  <c r="BT637" i="4"/>
  <c r="BT636" i="4"/>
  <c r="BF636" i="4"/>
  <c r="BT635" i="4"/>
  <c r="BF635" i="4"/>
  <c r="BT634" i="4"/>
  <c r="BT633" i="4"/>
  <c r="BF633" i="4"/>
  <c r="BT632" i="4"/>
  <c r="BF632" i="4"/>
  <c r="BT631" i="4"/>
  <c r="BF631" i="4"/>
  <c r="BT630" i="4"/>
  <c r="BF630" i="4"/>
  <c r="BT629" i="4"/>
  <c r="BF629" i="4"/>
  <c r="BT628" i="4"/>
  <c r="BF628" i="4"/>
  <c r="BT627" i="4"/>
  <c r="BF627" i="4"/>
  <c r="BT626" i="4"/>
  <c r="BF626" i="4"/>
  <c r="BT625" i="4"/>
  <c r="BF625" i="4"/>
  <c r="BT624" i="4"/>
  <c r="BF624" i="4"/>
  <c r="BT623" i="4"/>
  <c r="BF623" i="4"/>
  <c r="BT622" i="4"/>
  <c r="BF622" i="4"/>
  <c r="BT621" i="4"/>
  <c r="BF621" i="4"/>
  <c r="BT620" i="4"/>
  <c r="BF620" i="4"/>
  <c r="BT619" i="4"/>
  <c r="BF619" i="4"/>
  <c r="BT618" i="4"/>
  <c r="BF618" i="4"/>
  <c r="BT617" i="4"/>
  <c r="BF617" i="4"/>
  <c r="BT616" i="4"/>
  <c r="BF616" i="4"/>
  <c r="BT615" i="4"/>
  <c r="BF615" i="4"/>
  <c r="BT614" i="4"/>
  <c r="BF614" i="4"/>
  <c r="BT613" i="4"/>
  <c r="BF613" i="4"/>
  <c r="BT612" i="4"/>
  <c r="BF612" i="4"/>
  <c r="BT611" i="4"/>
  <c r="BF611" i="4"/>
  <c r="BT610" i="4"/>
  <c r="BF610" i="4"/>
  <c r="BT609" i="4"/>
  <c r="BF609" i="4"/>
  <c r="BT608" i="4"/>
  <c r="BF608" i="4"/>
  <c r="BT607" i="4"/>
  <c r="BF607" i="4"/>
  <c r="BT606" i="4"/>
  <c r="BT605" i="4"/>
  <c r="BF605" i="4"/>
  <c r="BT604" i="4"/>
  <c r="BF604" i="4"/>
  <c r="BT603" i="4"/>
  <c r="BF603" i="4"/>
  <c r="BT602" i="4"/>
  <c r="BF602" i="4"/>
  <c r="BT601" i="4"/>
  <c r="BF601" i="4"/>
  <c r="BT600" i="4"/>
  <c r="BF600" i="4"/>
  <c r="BT599" i="4"/>
  <c r="BF599" i="4"/>
  <c r="BT598" i="4"/>
  <c r="BF598" i="4"/>
  <c r="BT597" i="4"/>
  <c r="BF597" i="4"/>
  <c r="BT596" i="4"/>
  <c r="BF596" i="4"/>
  <c r="BT595" i="4"/>
  <c r="BF595" i="4"/>
  <c r="BT594" i="4"/>
  <c r="BF594" i="4"/>
  <c r="BT593" i="4"/>
  <c r="BF593" i="4"/>
  <c r="BT592" i="4"/>
  <c r="BF592" i="4"/>
  <c r="BT591" i="4"/>
  <c r="BT590" i="4"/>
  <c r="BF590" i="4"/>
  <c r="BT589" i="4"/>
  <c r="BF589" i="4"/>
  <c r="BT588" i="4"/>
  <c r="BF588" i="4"/>
  <c r="BT587" i="4"/>
  <c r="BF587" i="4"/>
  <c r="BT586" i="4"/>
  <c r="BF586" i="4"/>
  <c r="BT585" i="4"/>
  <c r="BT584" i="4"/>
  <c r="BF584" i="4"/>
  <c r="BT583" i="4"/>
  <c r="BF583" i="4"/>
  <c r="BT582" i="4"/>
  <c r="BF582" i="4"/>
  <c r="BT581" i="4"/>
  <c r="BF581" i="4"/>
  <c r="BT580" i="4"/>
  <c r="BF580" i="4"/>
  <c r="BT579" i="4"/>
  <c r="BF579" i="4"/>
  <c r="BT578" i="4"/>
  <c r="BF578" i="4"/>
  <c r="BT577" i="4"/>
  <c r="BF577" i="4"/>
  <c r="BT576" i="4"/>
  <c r="BF576" i="4"/>
  <c r="BT575" i="4"/>
  <c r="BF575" i="4"/>
  <c r="BT574" i="4"/>
  <c r="BF574" i="4"/>
  <c r="BT573" i="4"/>
  <c r="BF573" i="4"/>
  <c r="BT572" i="4"/>
  <c r="BF572" i="4"/>
  <c r="BT571" i="4"/>
  <c r="BF571" i="4"/>
  <c r="BT570" i="4"/>
  <c r="BF570" i="4"/>
  <c r="BT569" i="4"/>
  <c r="BF569" i="4"/>
  <c r="BT568" i="4"/>
  <c r="BF568" i="4"/>
  <c r="BT567" i="4"/>
  <c r="BF567" i="4"/>
  <c r="BT566" i="4"/>
  <c r="BF566" i="4"/>
  <c r="BT565" i="4"/>
  <c r="BF565" i="4"/>
  <c r="BT564" i="4"/>
  <c r="BF564" i="4"/>
  <c r="BT563" i="4"/>
  <c r="BF563" i="4"/>
  <c r="BT562" i="4"/>
  <c r="BT561" i="4"/>
  <c r="BF561" i="4"/>
  <c r="BT560" i="4"/>
  <c r="BF560" i="4"/>
  <c r="BT559" i="4"/>
  <c r="BT558" i="4"/>
  <c r="BF558" i="4"/>
  <c r="BT557" i="4"/>
  <c r="BF557" i="4"/>
  <c r="BT556" i="4"/>
  <c r="BF556" i="4"/>
  <c r="BT555" i="4"/>
  <c r="BF555" i="4"/>
  <c r="BT554" i="4"/>
  <c r="BF554" i="4"/>
  <c r="BT553" i="4"/>
  <c r="BF553" i="4"/>
  <c r="BT552" i="4"/>
  <c r="BF552" i="4"/>
  <c r="BT551" i="4"/>
  <c r="BF551" i="4"/>
  <c r="BT550" i="4"/>
  <c r="BF550" i="4"/>
  <c r="BT549" i="4"/>
  <c r="BF549" i="4"/>
  <c r="BT548" i="4"/>
  <c r="BF548" i="4"/>
  <c r="BT547" i="4"/>
  <c r="BF547" i="4"/>
  <c r="BT546" i="4"/>
  <c r="BF546" i="4"/>
  <c r="BT545" i="4"/>
  <c r="BF545" i="4"/>
  <c r="BT544" i="4"/>
  <c r="BF544" i="4"/>
  <c r="BT543" i="4"/>
  <c r="BF543" i="4"/>
  <c r="BT542" i="4"/>
  <c r="BF542" i="4"/>
  <c r="BT541" i="4"/>
  <c r="BF541" i="4"/>
  <c r="BT540" i="4"/>
  <c r="BF540" i="4"/>
  <c r="BT539" i="4"/>
  <c r="BT538" i="4"/>
  <c r="BT537" i="4"/>
  <c r="BF537" i="4"/>
  <c r="BT536" i="4"/>
  <c r="BF536" i="4"/>
  <c r="BT535" i="4"/>
  <c r="BF535" i="4"/>
  <c r="BT534" i="4"/>
  <c r="BF534" i="4"/>
  <c r="BT533" i="4"/>
  <c r="BF533" i="4"/>
  <c r="BT532" i="4"/>
  <c r="BF532" i="4"/>
  <c r="BT531" i="4"/>
  <c r="BF531" i="4"/>
  <c r="BT530" i="4"/>
  <c r="BT529" i="4"/>
  <c r="BF529" i="4"/>
  <c r="BT528" i="4"/>
  <c r="BT527" i="4"/>
  <c r="BF527" i="4"/>
  <c r="BT526" i="4"/>
  <c r="BF526" i="4"/>
  <c r="BT525" i="4"/>
  <c r="BF525" i="4"/>
  <c r="BT524" i="4"/>
  <c r="BF524" i="4"/>
  <c r="BT523" i="4"/>
  <c r="BF523" i="4"/>
  <c r="BT522" i="4"/>
  <c r="BF522" i="4"/>
  <c r="BT521" i="4"/>
  <c r="BF521" i="4"/>
  <c r="BT520" i="4"/>
  <c r="BF520" i="4"/>
  <c r="BT519" i="4"/>
  <c r="BF519" i="4"/>
  <c r="BT518" i="4"/>
  <c r="BF518" i="4"/>
  <c r="BT517" i="4"/>
  <c r="BF517" i="4"/>
  <c r="BT516" i="4"/>
  <c r="BF516" i="4"/>
  <c r="BT515" i="4"/>
  <c r="BF515" i="4"/>
  <c r="BT514" i="4"/>
  <c r="BF514" i="4"/>
  <c r="BT513" i="4"/>
  <c r="BF513" i="4"/>
  <c r="BT512" i="4"/>
  <c r="BF512" i="4"/>
  <c r="BT511" i="4"/>
  <c r="BF511" i="4"/>
  <c r="BT510" i="4"/>
  <c r="BF510" i="4"/>
  <c r="BT509" i="4"/>
  <c r="BF509" i="4"/>
  <c r="BT508" i="4"/>
  <c r="BT507" i="4"/>
  <c r="BF507" i="4"/>
  <c r="BT506" i="4"/>
  <c r="BF506" i="4"/>
  <c r="BT505" i="4"/>
  <c r="BF505" i="4"/>
  <c r="BT504" i="4"/>
  <c r="BF504" i="4"/>
  <c r="BT503" i="4"/>
  <c r="BF503" i="4"/>
  <c r="BT502" i="4"/>
  <c r="BF502" i="4"/>
  <c r="BT501" i="4"/>
  <c r="BF501" i="4"/>
  <c r="BT500" i="4"/>
  <c r="BF500" i="4"/>
  <c r="BT499" i="4"/>
  <c r="BF499" i="4"/>
  <c r="BT498" i="4"/>
  <c r="BF498" i="4"/>
  <c r="BT497" i="4"/>
  <c r="BF497" i="4"/>
  <c r="BT496" i="4"/>
  <c r="BF496" i="4"/>
  <c r="BT495" i="4"/>
  <c r="BF495" i="4"/>
  <c r="BT494" i="4"/>
  <c r="BF494" i="4"/>
  <c r="BT493" i="4"/>
  <c r="BF493" i="4"/>
  <c r="BT492" i="4"/>
  <c r="BF492" i="4"/>
  <c r="BT491" i="4"/>
  <c r="BF491" i="4"/>
  <c r="BT490" i="4"/>
  <c r="BF490" i="4"/>
  <c r="BT489" i="4"/>
  <c r="BF489" i="4"/>
  <c r="BT488" i="4"/>
  <c r="BF488" i="4"/>
  <c r="BT487" i="4"/>
  <c r="BF487" i="4"/>
  <c r="BT486" i="4"/>
  <c r="BF486" i="4"/>
  <c r="BT485" i="4"/>
  <c r="BF485" i="4"/>
  <c r="BT484" i="4"/>
  <c r="BF484" i="4"/>
  <c r="BT483" i="4"/>
  <c r="BF483" i="4"/>
  <c r="BT482" i="4"/>
  <c r="BF482" i="4"/>
  <c r="BT481" i="4"/>
  <c r="BF481" i="4"/>
  <c r="BT480" i="4"/>
  <c r="BF480" i="4"/>
  <c r="BT479" i="4"/>
  <c r="BF479" i="4"/>
  <c r="BT478" i="4"/>
  <c r="BF478" i="4"/>
  <c r="BT477" i="4"/>
  <c r="BT476" i="4"/>
  <c r="BF476" i="4"/>
  <c r="BT475" i="4"/>
  <c r="BF475" i="4"/>
  <c r="BT474" i="4"/>
  <c r="BF474" i="4"/>
  <c r="BT473" i="4"/>
  <c r="BF473" i="4"/>
  <c r="BT472" i="4"/>
  <c r="BF472" i="4"/>
  <c r="BT471" i="4"/>
  <c r="BF471" i="4"/>
  <c r="BT470" i="4"/>
  <c r="BF470" i="4"/>
  <c r="BT469" i="4"/>
  <c r="BT468" i="4"/>
  <c r="BF468" i="4"/>
  <c r="BT467" i="4"/>
  <c r="BF467" i="4"/>
  <c r="BT466" i="4"/>
  <c r="BT465" i="4"/>
  <c r="BF465" i="4"/>
  <c r="BT464" i="4"/>
  <c r="BF464" i="4"/>
  <c r="BT463" i="4"/>
  <c r="BF463" i="4"/>
  <c r="BT462" i="4"/>
  <c r="BF462" i="4"/>
  <c r="BT461" i="4"/>
  <c r="BF461" i="4"/>
  <c r="BT460" i="4"/>
  <c r="BF460" i="4"/>
  <c r="BT459" i="4"/>
  <c r="BF459" i="4"/>
  <c r="BT458" i="4"/>
  <c r="BT457" i="4"/>
  <c r="BF457" i="4"/>
  <c r="BT456" i="4"/>
  <c r="BF456" i="4"/>
  <c r="BT455" i="4"/>
  <c r="BF455" i="4"/>
  <c r="BT454" i="4"/>
  <c r="BF454" i="4"/>
  <c r="BT453" i="4"/>
  <c r="BF453" i="4"/>
  <c r="BT452" i="4"/>
  <c r="BT451" i="4"/>
  <c r="BF451" i="4"/>
  <c r="BT450" i="4"/>
  <c r="BF450" i="4"/>
  <c r="BT449" i="4"/>
  <c r="BF449" i="4"/>
  <c r="BT448" i="4"/>
  <c r="BT447" i="4"/>
  <c r="BF447" i="4"/>
  <c r="BT446" i="4"/>
  <c r="BF446" i="4"/>
  <c r="BT445" i="4"/>
  <c r="BF445" i="4"/>
  <c r="BT444" i="4"/>
  <c r="BF444" i="4"/>
  <c r="BT443" i="4"/>
  <c r="BT442" i="4"/>
  <c r="BF442" i="4"/>
  <c r="BT441" i="4"/>
  <c r="BF441" i="4"/>
  <c r="BT440" i="4"/>
  <c r="BF440" i="4"/>
  <c r="BT439" i="4"/>
  <c r="BF439" i="4"/>
  <c r="BT438" i="4"/>
  <c r="BF438" i="4"/>
  <c r="BT437" i="4"/>
  <c r="BF437" i="4"/>
  <c r="BT436" i="4"/>
  <c r="BF436" i="4"/>
  <c r="BT435" i="4"/>
  <c r="BF435" i="4"/>
  <c r="BT434" i="4"/>
  <c r="BF434" i="4"/>
  <c r="BT433" i="4"/>
  <c r="BF433" i="4"/>
  <c r="BT432" i="4"/>
  <c r="BF432" i="4"/>
  <c r="BT431" i="4"/>
  <c r="BF431" i="4"/>
  <c r="BT430" i="4"/>
  <c r="BF430" i="4"/>
  <c r="BT429" i="4"/>
  <c r="BF429" i="4"/>
  <c r="BT428" i="4"/>
  <c r="BF428" i="4"/>
  <c r="BT427" i="4"/>
  <c r="BF427" i="4"/>
  <c r="BT426" i="4"/>
  <c r="BF426" i="4"/>
  <c r="BT425" i="4"/>
  <c r="BF425" i="4"/>
  <c r="BT424" i="4"/>
  <c r="BF424" i="4"/>
  <c r="BT423" i="4"/>
  <c r="BF423" i="4"/>
  <c r="BT422" i="4"/>
  <c r="BF422" i="4"/>
  <c r="BT421" i="4"/>
  <c r="BF421" i="4"/>
  <c r="BT420" i="4"/>
  <c r="BF420" i="4"/>
  <c r="BT419" i="4"/>
  <c r="BF419" i="4"/>
  <c r="BT418" i="4"/>
  <c r="BF418" i="4"/>
  <c r="BT417" i="4"/>
  <c r="BF417" i="4"/>
  <c r="BT416" i="4"/>
  <c r="BF416" i="4"/>
  <c r="BT415" i="4"/>
  <c r="BF415" i="4"/>
  <c r="BT414" i="4"/>
  <c r="BF414" i="4"/>
  <c r="BT413" i="4"/>
  <c r="BF413" i="4"/>
  <c r="BT412" i="4"/>
  <c r="BF412" i="4"/>
  <c r="BT411" i="4"/>
  <c r="BF411" i="4"/>
  <c r="BT410" i="4"/>
  <c r="BF410" i="4"/>
  <c r="BT409" i="4"/>
  <c r="BF409" i="4"/>
  <c r="BT408" i="4"/>
  <c r="BF408" i="4"/>
  <c r="BT407" i="4"/>
  <c r="BF407" i="4"/>
  <c r="BT406" i="4"/>
  <c r="BF406" i="4"/>
  <c r="BT405" i="4"/>
  <c r="BF405" i="4"/>
  <c r="BT404" i="4"/>
  <c r="BF404" i="4"/>
  <c r="BT403" i="4"/>
  <c r="BF403" i="4"/>
  <c r="BT402" i="4"/>
  <c r="BF402" i="4"/>
  <c r="BT401" i="4"/>
  <c r="BF401" i="4"/>
  <c r="BT400" i="4"/>
  <c r="BF400" i="4"/>
  <c r="BT399" i="4"/>
  <c r="BF399" i="4"/>
  <c r="BT398" i="4"/>
  <c r="BF398" i="4"/>
  <c r="BT397" i="4"/>
  <c r="BF397" i="4"/>
  <c r="BT396" i="4"/>
  <c r="BF396" i="4"/>
  <c r="BT395" i="4"/>
  <c r="BF395" i="4"/>
  <c r="BT394" i="4"/>
  <c r="BF394" i="4"/>
  <c r="BT393" i="4"/>
  <c r="BF393" i="4"/>
  <c r="BT392" i="4"/>
  <c r="BF392" i="4"/>
  <c r="BT391" i="4"/>
  <c r="BF391" i="4"/>
  <c r="BT390" i="4"/>
  <c r="BT389" i="4"/>
  <c r="BF389" i="4"/>
  <c r="BT388" i="4"/>
  <c r="BF388" i="4"/>
  <c r="BT387" i="4"/>
  <c r="BF387" i="4"/>
  <c r="BT386" i="4"/>
  <c r="BF386" i="4"/>
  <c r="BT385" i="4"/>
  <c r="BF385" i="4"/>
  <c r="BT384" i="4"/>
  <c r="BF384" i="4"/>
  <c r="BT383" i="4"/>
  <c r="BF383" i="4"/>
  <c r="BT382" i="4"/>
  <c r="BF382" i="4"/>
  <c r="BT381" i="4"/>
  <c r="BF381" i="4"/>
  <c r="BT380" i="4"/>
  <c r="BF380" i="4"/>
  <c r="BT379" i="4"/>
  <c r="BF379" i="4"/>
  <c r="BT378" i="4"/>
  <c r="BF378" i="4"/>
  <c r="BT377" i="4"/>
  <c r="BF377" i="4"/>
  <c r="BT376" i="4"/>
  <c r="BF376" i="4"/>
  <c r="BT375" i="4"/>
  <c r="BT374" i="4"/>
  <c r="BF374" i="4"/>
  <c r="BT373" i="4"/>
  <c r="BF373" i="4"/>
  <c r="BT372" i="4"/>
  <c r="BF372" i="4"/>
  <c r="BT371" i="4"/>
  <c r="BF371" i="4"/>
  <c r="BT370" i="4"/>
  <c r="BF370" i="4"/>
  <c r="BT369" i="4"/>
  <c r="BF369" i="4"/>
  <c r="BT368" i="4"/>
  <c r="BF368" i="4"/>
  <c r="BT367" i="4"/>
  <c r="BF367" i="4"/>
  <c r="BT366" i="4"/>
  <c r="BT365" i="4"/>
  <c r="BF365" i="4"/>
  <c r="BT364" i="4"/>
  <c r="BF364" i="4"/>
  <c r="BT363" i="4"/>
  <c r="BF363" i="4"/>
  <c r="BT362" i="4"/>
  <c r="BF362" i="4"/>
  <c r="BT361" i="4"/>
  <c r="BF361" i="4"/>
  <c r="BT360" i="4"/>
  <c r="BF360" i="4"/>
  <c r="BT359" i="4"/>
  <c r="BF359" i="4"/>
  <c r="BT358" i="4"/>
  <c r="BF358" i="4"/>
  <c r="BT357" i="4"/>
  <c r="BF357" i="4"/>
  <c r="BT356" i="4"/>
  <c r="BF356" i="4"/>
  <c r="BT355" i="4"/>
  <c r="BF355" i="4"/>
  <c r="BT354" i="4"/>
  <c r="BF354" i="4"/>
  <c r="BT353" i="4"/>
  <c r="BF353" i="4"/>
  <c r="BT352" i="4"/>
  <c r="BF352" i="4"/>
  <c r="BT351" i="4"/>
  <c r="BF351" i="4"/>
  <c r="BT350" i="4"/>
  <c r="BF350" i="4"/>
  <c r="BT349" i="4"/>
  <c r="BF349" i="4"/>
  <c r="BT348" i="4"/>
  <c r="BF348" i="4"/>
  <c r="BT347" i="4"/>
  <c r="BF347" i="4"/>
  <c r="BT346" i="4"/>
  <c r="BT345" i="4"/>
  <c r="BT344" i="4"/>
  <c r="BF344" i="4"/>
  <c r="BT343" i="4"/>
  <c r="BF343" i="4"/>
  <c r="BT342" i="4"/>
  <c r="BT341" i="4"/>
  <c r="BT340" i="4"/>
  <c r="BF340" i="4"/>
  <c r="BT339" i="4"/>
  <c r="BF339" i="4"/>
  <c r="BT338" i="4"/>
  <c r="BT337" i="4"/>
  <c r="BF337" i="4"/>
  <c r="BT336" i="4"/>
  <c r="BF336" i="4"/>
  <c r="BT335" i="4"/>
  <c r="BF335" i="4"/>
  <c r="BT334" i="4"/>
  <c r="BF334" i="4"/>
  <c r="BT333" i="4"/>
  <c r="BF333" i="4"/>
  <c r="BT332" i="4"/>
  <c r="BF332" i="4"/>
  <c r="BT331" i="4"/>
  <c r="BF331" i="4"/>
  <c r="BT330" i="4"/>
  <c r="BF330" i="4"/>
  <c r="BT329" i="4"/>
  <c r="BF329" i="4"/>
  <c r="BT328" i="4"/>
  <c r="BF328" i="4"/>
  <c r="BT327" i="4"/>
  <c r="BF327" i="4"/>
  <c r="BT326" i="4"/>
  <c r="BF326" i="4"/>
  <c r="BT325" i="4"/>
  <c r="BT324" i="4"/>
  <c r="BF324" i="4"/>
  <c r="BT323" i="4"/>
  <c r="BF323" i="4"/>
  <c r="BT322" i="4"/>
  <c r="BF322" i="4"/>
  <c r="BT321" i="4"/>
  <c r="BF321" i="4"/>
  <c r="BT320" i="4"/>
  <c r="BF320" i="4"/>
  <c r="BT319" i="4"/>
  <c r="BT318" i="4"/>
  <c r="BF318" i="4"/>
  <c r="BT317" i="4"/>
  <c r="BF317" i="4"/>
  <c r="BT316" i="4"/>
  <c r="BT315" i="4"/>
  <c r="BF315" i="4"/>
  <c r="BT314" i="4"/>
  <c r="BF314" i="4"/>
  <c r="BT313" i="4"/>
  <c r="BF313" i="4"/>
  <c r="BT312" i="4"/>
  <c r="BF312" i="4"/>
  <c r="BT311" i="4"/>
  <c r="BF311" i="4"/>
  <c r="BT310" i="4"/>
  <c r="BF310" i="4"/>
  <c r="BT309" i="4"/>
  <c r="BF309" i="4"/>
  <c r="BT308" i="4"/>
  <c r="BF308" i="4"/>
  <c r="BT307" i="4"/>
  <c r="BF307" i="4"/>
  <c r="BT306" i="4"/>
  <c r="BF306" i="4"/>
  <c r="BT305" i="4"/>
  <c r="BF305" i="4"/>
  <c r="BT304" i="4"/>
  <c r="BF304" i="4"/>
  <c r="BT303" i="4"/>
  <c r="BF303" i="4"/>
  <c r="BT302" i="4"/>
  <c r="BF302" i="4"/>
  <c r="BT301" i="4"/>
  <c r="BF301" i="4"/>
  <c r="BT300" i="4"/>
  <c r="BT299" i="4"/>
  <c r="BF299" i="4"/>
  <c r="BT298" i="4"/>
  <c r="BF298" i="4"/>
  <c r="BT297" i="4"/>
  <c r="BF297" i="4"/>
  <c r="BT296" i="4"/>
  <c r="BF296" i="4"/>
  <c r="BT295" i="4"/>
  <c r="BF295" i="4"/>
  <c r="BT294" i="4"/>
  <c r="BF294" i="4"/>
  <c r="BT293" i="4"/>
  <c r="BT292" i="4"/>
  <c r="BF292" i="4"/>
  <c r="BT291" i="4"/>
  <c r="BF291" i="4"/>
  <c r="BT290" i="4"/>
  <c r="BF290" i="4"/>
  <c r="BT289" i="4"/>
  <c r="BF289" i="4"/>
  <c r="BT288" i="4"/>
  <c r="BF288" i="4"/>
  <c r="BT287" i="4"/>
  <c r="BF287" i="4"/>
  <c r="BT286" i="4"/>
  <c r="BF286" i="4"/>
  <c r="BT285" i="4"/>
  <c r="BF285" i="4"/>
  <c r="BT284" i="4"/>
  <c r="BF284" i="4"/>
  <c r="BT283" i="4"/>
  <c r="BT282" i="4"/>
  <c r="BF282" i="4"/>
  <c r="BT281" i="4"/>
  <c r="BF281" i="4"/>
  <c r="BT280" i="4"/>
  <c r="BF280" i="4"/>
  <c r="BT279" i="4"/>
  <c r="BF279" i="4"/>
  <c r="BT278" i="4"/>
  <c r="BF278" i="4"/>
  <c r="BT277" i="4"/>
  <c r="BF277" i="4"/>
  <c r="BT276" i="4"/>
  <c r="BT275" i="4"/>
  <c r="BF275" i="4"/>
  <c r="BT274" i="4"/>
  <c r="BF274" i="4"/>
  <c r="BT273" i="4"/>
  <c r="BT272" i="4"/>
  <c r="BF272" i="4"/>
  <c r="BT271" i="4"/>
  <c r="BF271" i="4"/>
  <c r="BT270" i="4"/>
  <c r="BF270" i="4"/>
  <c r="BT269" i="4"/>
  <c r="BF269" i="4"/>
  <c r="BT268" i="4"/>
  <c r="BF268" i="4"/>
  <c r="BT267" i="4"/>
  <c r="BF267" i="4"/>
  <c r="BT266" i="4"/>
  <c r="BT265" i="4"/>
  <c r="BF265" i="4"/>
  <c r="BT264" i="4"/>
  <c r="BF264" i="4"/>
  <c r="BT263" i="4"/>
  <c r="BF263" i="4"/>
  <c r="BT262" i="4"/>
  <c r="BF262" i="4"/>
  <c r="BT261" i="4"/>
  <c r="BF261" i="4"/>
  <c r="BT260" i="4"/>
  <c r="BF260" i="4"/>
  <c r="BT259" i="4"/>
  <c r="BF259" i="4"/>
  <c r="BT258" i="4"/>
  <c r="BF258" i="4"/>
  <c r="BT257" i="4"/>
  <c r="BF257" i="4"/>
  <c r="BT256" i="4"/>
  <c r="BF256" i="4"/>
  <c r="BT255" i="4"/>
  <c r="BF255" i="4"/>
  <c r="BT254" i="4"/>
  <c r="BF254" i="4"/>
  <c r="BT253" i="4"/>
  <c r="BF253" i="4"/>
  <c r="BT252" i="4"/>
  <c r="BF252" i="4"/>
  <c r="BT251" i="4"/>
  <c r="BF251" i="4"/>
  <c r="BT250" i="4"/>
  <c r="BF250" i="4"/>
  <c r="BT249" i="4"/>
  <c r="BF249" i="4"/>
  <c r="BT248" i="4"/>
  <c r="BT247" i="4"/>
  <c r="BF247" i="4"/>
  <c r="BT246" i="4"/>
  <c r="BF246" i="4"/>
  <c r="BT245" i="4"/>
  <c r="BF245" i="4"/>
  <c r="BT244" i="4"/>
  <c r="BF244" i="4"/>
  <c r="BT243" i="4"/>
  <c r="BF243" i="4"/>
  <c r="BT242" i="4"/>
  <c r="BF242" i="4"/>
  <c r="BT241" i="4"/>
  <c r="BF241" i="4"/>
  <c r="BT240" i="4"/>
  <c r="BF240" i="4"/>
  <c r="BT239" i="4"/>
  <c r="BF239" i="4"/>
  <c r="BT238" i="4"/>
  <c r="BF238" i="4"/>
  <c r="BT237" i="4"/>
  <c r="BF237" i="4"/>
  <c r="BT236" i="4"/>
  <c r="BF236" i="4"/>
  <c r="BT235" i="4"/>
  <c r="BF235" i="4"/>
  <c r="BT234" i="4"/>
  <c r="BF234" i="4"/>
  <c r="BT233" i="4"/>
  <c r="BF233" i="4"/>
  <c r="BT232" i="4"/>
  <c r="BF232" i="4"/>
  <c r="BT231" i="4"/>
  <c r="BF231" i="4"/>
  <c r="BT230" i="4"/>
  <c r="BF230" i="4"/>
  <c r="BT229" i="4"/>
  <c r="BF229" i="4"/>
  <c r="BT228" i="4"/>
  <c r="BF228" i="4"/>
  <c r="BT227" i="4"/>
  <c r="BF227" i="4"/>
  <c r="BT226" i="4"/>
  <c r="BF226" i="4"/>
  <c r="BT225" i="4"/>
  <c r="BF225" i="4"/>
  <c r="BT224" i="4"/>
  <c r="BF224" i="4"/>
  <c r="BT223" i="4"/>
  <c r="BT222" i="4"/>
  <c r="BT221" i="4"/>
  <c r="BF221" i="4"/>
  <c r="BT220" i="4"/>
  <c r="BF220" i="4"/>
  <c r="BT219" i="4"/>
  <c r="BF219" i="4"/>
  <c r="BT218" i="4"/>
  <c r="BF218" i="4"/>
  <c r="BT217" i="4"/>
  <c r="BF217" i="4"/>
  <c r="BT216" i="4"/>
  <c r="BF216" i="4"/>
  <c r="BT215" i="4"/>
  <c r="BF215" i="4"/>
  <c r="BT214" i="4"/>
  <c r="BF214" i="4"/>
  <c r="BT213" i="4"/>
  <c r="BF213" i="4"/>
  <c r="BT212" i="4"/>
  <c r="BF212" i="4"/>
  <c r="BT211" i="4"/>
  <c r="BF211" i="4"/>
  <c r="BT210" i="4"/>
  <c r="BF210" i="4"/>
  <c r="BT209" i="4"/>
  <c r="BF209" i="4"/>
  <c r="BT208" i="4"/>
  <c r="BF208" i="4"/>
  <c r="BT207" i="4"/>
  <c r="BF207" i="4"/>
  <c r="BT206" i="4"/>
  <c r="BF206" i="4"/>
  <c r="BT205" i="4"/>
  <c r="BF205" i="4"/>
  <c r="BT204" i="4"/>
  <c r="BF204" i="4"/>
  <c r="BT203" i="4"/>
  <c r="BF203" i="4"/>
  <c r="BT202" i="4"/>
  <c r="BF202" i="4"/>
  <c r="BT201" i="4"/>
  <c r="BF201" i="4"/>
  <c r="BT200" i="4"/>
  <c r="BF200" i="4"/>
  <c r="BT199" i="4"/>
  <c r="BF199" i="4"/>
  <c r="BT198" i="4"/>
  <c r="BF198" i="4"/>
  <c r="BT197" i="4"/>
  <c r="BT196" i="4"/>
  <c r="BF196" i="4"/>
  <c r="BT195" i="4"/>
  <c r="BF195" i="4"/>
  <c r="BT194" i="4"/>
  <c r="BF194" i="4"/>
  <c r="BT193" i="4"/>
  <c r="BT192" i="4"/>
  <c r="BF192" i="4"/>
  <c r="BT191" i="4"/>
  <c r="BF191" i="4"/>
  <c r="BT190" i="4"/>
  <c r="BF190" i="4"/>
  <c r="BT189" i="4"/>
  <c r="BF189" i="4"/>
  <c r="BT188" i="4"/>
  <c r="BF188" i="4"/>
  <c r="BT187" i="4"/>
  <c r="BF187" i="4"/>
  <c r="BT186" i="4"/>
  <c r="BF186" i="4"/>
  <c r="BT185" i="4"/>
  <c r="BF185" i="4"/>
  <c r="BT184" i="4"/>
  <c r="BF184" i="4"/>
  <c r="BT183" i="4"/>
  <c r="BF183" i="4"/>
  <c r="BT182" i="4"/>
  <c r="BF182" i="4"/>
  <c r="BT181" i="4"/>
  <c r="BT180" i="4"/>
  <c r="BF180" i="4"/>
  <c r="BT179" i="4"/>
  <c r="BF179" i="4"/>
  <c r="BT178" i="4"/>
  <c r="BF178" i="4"/>
  <c r="BT177" i="4"/>
  <c r="BF177" i="4"/>
  <c r="BT176" i="4"/>
  <c r="BF176" i="4"/>
  <c r="BT175" i="4"/>
  <c r="BT174" i="4"/>
  <c r="BF174" i="4"/>
  <c r="BT173" i="4"/>
  <c r="BF173" i="4"/>
  <c r="BT172" i="4"/>
  <c r="BF172" i="4"/>
  <c r="BT171" i="4"/>
  <c r="BF171" i="4"/>
  <c r="BT170" i="4"/>
  <c r="BF170" i="4"/>
  <c r="BT169" i="4"/>
  <c r="BF169" i="4"/>
  <c r="BT168" i="4"/>
  <c r="BF168" i="4"/>
  <c r="BT167" i="4"/>
  <c r="BF167" i="4"/>
  <c r="BT166" i="4"/>
  <c r="BF166" i="4"/>
  <c r="BT165" i="4"/>
  <c r="BF165" i="4"/>
  <c r="BT164" i="4"/>
  <c r="BF164" i="4"/>
  <c r="BT163" i="4"/>
  <c r="BT162" i="4"/>
  <c r="BF162" i="4"/>
  <c r="BT161" i="4"/>
  <c r="BF161" i="4"/>
  <c r="BT160" i="4"/>
  <c r="BF160" i="4"/>
  <c r="BT159" i="4"/>
  <c r="BT158" i="4"/>
  <c r="BF158" i="4"/>
  <c r="BT157" i="4"/>
  <c r="BF157" i="4"/>
  <c r="BT156" i="4"/>
  <c r="BF156" i="4"/>
  <c r="BT155" i="4"/>
  <c r="BF155" i="4"/>
  <c r="BT154" i="4"/>
  <c r="BF154" i="4"/>
  <c r="BT153" i="4"/>
  <c r="BF153" i="4"/>
  <c r="BT152" i="4"/>
  <c r="BF152" i="4"/>
  <c r="BT151" i="4"/>
  <c r="BT150" i="4"/>
  <c r="BF150" i="4"/>
  <c r="BT149" i="4"/>
  <c r="BF149" i="4"/>
  <c r="BT148" i="4"/>
  <c r="BF148" i="4"/>
  <c r="BT147" i="4"/>
  <c r="BF147" i="4"/>
  <c r="BT146" i="4"/>
  <c r="BF146" i="4"/>
  <c r="BT145" i="4"/>
  <c r="BF145" i="4"/>
  <c r="BT144" i="4"/>
  <c r="BF144" i="4"/>
  <c r="BT143" i="4"/>
  <c r="BT142" i="4"/>
  <c r="BF142" i="4"/>
  <c r="BT141" i="4"/>
  <c r="BF141" i="4"/>
  <c r="BT140" i="4"/>
  <c r="BF140" i="4"/>
  <c r="BT139" i="4"/>
  <c r="BF139" i="4"/>
  <c r="BT138" i="4"/>
  <c r="BF138" i="4"/>
  <c r="BT137" i="4"/>
  <c r="BF137" i="4"/>
  <c r="BT136" i="4"/>
  <c r="BF136" i="4"/>
  <c r="BT135" i="4"/>
  <c r="BF135" i="4"/>
  <c r="BT134" i="4"/>
  <c r="BF134" i="4"/>
  <c r="BT133" i="4"/>
  <c r="BF133" i="4"/>
  <c r="BT132" i="4"/>
  <c r="BF132" i="4"/>
  <c r="BT131" i="4"/>
  <c r="BF131" i="4"/>
  <c r="BT130" i="4"/>
  <c r="BF130" i="4"/>
  <c r="BT129" i="4"/>
  <c r="BF129" i="4"/>
  <c r="BT128" i="4"/>
  <c r="BT127" i="4"/>
  <c r="BF127" i="4"/>
  <c r="BT126" i="4"/>
  <c r="BF126" i="4"/>
  <c r="BT125" i="4"/>
  <c r="BF125" i="4"/>
  <c r="BT124" i="4"/>
  <c r="BF124" i="4"/>
  <c r="BT123" i="4"/>
  <c r="BF123" i="4"/>
  <c r="BT122" i="4"/>
  <c r="BF122" i="4"/>
  <c r="BT121" i="4"/>
  <c r="BF121" i="4"/>
  <c r="BT120" i="4"/>
  <c r="BF120" i="4"/>
  <c r="BT119" i="4"/>
  <c r="BF119" i="4"/>
  <c r="BT118" i="4"/>
  <c r="BF118" i="4"/>
  <c r="BT117" i="4"/>
  <c r="BF117" i="4"/>
  <c r="BT116" i="4"/>
  <c r="BF116" i="4"/>
  <c r="BT115" i="4"/>
  <c r="BF115" i="4"/>
  <c r="BT114" i="4"/>
  <c r="BF114" i="4"/>
  <c r="BT113" i="4"/>
  <c r="BF113" i="4"/>
  <c r="BT112" i="4"/>
  <c r="BT111" i="4"/>
  <c r="BF111" i="4"/>
  <c r="BT110" i="4"/>
  <c r="BF110" i="4"/>
  <c r="BT109" i="4"/>
  <c r="BF109" i="4"/>
  <c r="BT108" i="4"/>
  <c r="BF108" i="4"/>
  <c r="BT107" i="4"/>
  <c r="BF107" i="4"/>
  <c r="BT106" i="4"/>
  <c r="BF106" i="4"/>
  <c r="BT105" i="4"/>
  <c r="BF105" i="4"/>
  <c r="BT104" i="4"/>
  <c r="BF104" i="4"/>
  <c r="BT103" i="4"/>
  <c r="BF103" i="4"/>
  <c r="BT102" i="4"/>
  <c r="BF102" i="4"/>
  <c r="BT101" i="4"/>
  <c r="BF101" i="4"/>
  <c r="BT100" i="4"/>
  <c r="BF100" i="4"/>
  <c r="BT99" i="4"/>
  <c r="BF99" i="4"/>
  <c r="BT98" i="4"/>
  <c r="BF98" i="4"/>
  <c r="BT97" i="4"/>
  <c r="BF97" i="4"/>
  <c r="BT96" i="4"/>
  <c r="BF96" i="4"/>
  <c r="BT95" i="4"/>
  <c r="BF95" i="4"/>
  <c r="BT94" i="4"/>
  <c r="BF94" i="4"/>
  <c r="BT93" i="4"/>
  <c r="BF93" i="4"/>
  <c r="BT92" i="4"/>
  <c r="BF92" i="4"/>
  <c r="BT91" i="4"/>
  <c r="BF91" i="4"/>
  <c r="BT90" i="4"/>
  <c r="BF90" i="4"/>
  <c r="BT89" i="4"/>
  <c r="BF89" i="4"/>
  <c r="BT88" i="4"/>
  <c r="BF88" i="4"/>
  <c r="BT87" i="4"/>
  <c r="BF87" i="4"/>
  <c r="BT86" i="4"/>
  <c r="BF86" i="4"/>
  <c r="BT85" i="4"/>
  <c r="BF85" i="4"/>
  <c r="BT84" i="4"/>
  <c r="BF84" i="4"/>
  <c r="BT83" i="4"/>
  <c r="BF83" i="4"/>
  <c r="BT82" i="4"/>
  <c r="BF82" i="4"/>
  <c r="BT81" i="4"/>
  <c r="BT80" i="4"/>
  <c r="BF80" i="4"/>
  <c r="BT79" i="4"/>
  <c r="BF79" i="4"/>
  <c r="BT78" i="4"/>
  <c r="BF78" i="4"/>
  <c r="BT77" i="4"/>
  <c r="BF77" i="4"/>
  <c r="BT76" i="4"/>
  <c r="BF76" i="4"/>
  <c r="BT75" i="4"/>
  <c r="BF75" i="4"/>
  <c r="BT74" i="4"/>
  <c r="BF74" i="4"/>
  <c r="BT73" i="4"/>
  <c r="BF73" i="4"/>
  <c r="BT72" i="4"/>
  <c r="BF72" i="4"/>
  <c r="BT71" i="4"/>
  <c r="BT70" i="4"/>
  <c r="BF70" i="4"/>
  <c r="BT69" i="4"/>
  <c r="BF69" i="4"/>
  <c r="BT68" i="4"/>
  <c r="BF68" i="4"/>
  <c r="BT67" i="4"/>
  <c r="BF67" i="4"/>
  <c r="BT66" i="4"/>
  <c r="BF66" i="4"/>
  <c r="BT65" i="4"/>
  <c r="BF65" i="4"/>
  <c r="BT64" i="4"/>
  <c r="BF64" i="4"/>
  <c r="BT63" i="4"/>
  <c r="BF63" i="4"/>
  <c r="BT62" i="4"/>
  <c r="BF62" i="4"/>
  <c r="BT61" i="4"/>
  <c r="BF61" i="4"/>
  <c r="BT60" i="4"/>
  <c r="BF60" i="4"/>
  <c r="BT59" i="4"/>
  <c r="BF59" i="4"/>
  <c r="BT58" i="4"/>
  <c r="BF58" i="4"/>
  <c r="BT57" i="4"/>
  <c r="BF57" i="4"/>
  <c r="BT56" i="4"/>
  <c r="BF56" i="4"/>
  <c r="BT55" i="4"/>
  <c r="BF55" i="4"/>
  <c r="BT54" i="4"/>
  <c r="BF54" i="4"/>
  <c r="BT53" i="4"/>
  <c r="BF53" i="4"/>
  <c r="BT52" i="4"/>
  <c r="BF52" i="4"/>
  <c r="BT51" i="4"/>
  <c r="BF51" i="4"/>
  <c r="BT50" i="4"/>
  <c r="BF50" i="4"/>
  <c r="BT49" i="4"/>
  <c r="BF49" i="4"/>
  <c r="BT48" i="4"/>
  <c r="BF48" i="4"/>
  <c r="BT47" i="4"/>
  <c r="BF47" i="4"/>
  <c r="BT46" i="4"/>
  <c r="BF46" i="4"/>
  <c r="BT45" i="4"/>
  <c r="BF45" i="4"/>
  <c r="BT44" i="4"/>
  <c r="BF44" i="4"/>
  <c r="BT43" i="4"/>
  <c r="BF43" i="4"/>
  <c r="BT42" i="4"/>
  <c r="BF42" i="4"/>
  <c r="BT41" i="4"/>
  <c r="BF41" i="4"/>
  <c r="BT40" i="4"/>
  <c r="BF40" i="4"/>
  <c r="BT39" i="4"/>
  <c r="BF39" i="4"/>
  <c r="BT38" i="4"/>
  <c r="BF38" i="4"/>
  <c r="BT37" i="4"/>
  <c r="BF37" i="4"/>
  <c r="BT36" i="4"/>
  <c r="BT35" i="4"/>
  <c r="BF35" i="4"/>
  <c r="BT34" i="4"/>
  <c r="BF34" i="4"/>
  <c r="BT33" i="4"/>
  <c r="BF33" i="4"/>
  <c r="BT32" i="4"/>
  <c r="BF32" i="4"/>
  <c r="BT31" i="4"/>
  <c r="BF31" i="4"/>
  <c r="BT30" i="4"/>
  <c r="BF30" i="4"/>
  <c r="BT29" i="4"/>
  <c r="BF29" i="4"/>
  <c r="BT28" i="4"/>
  <c r="BF28" i="4"/>
  <c r="BT27" i="4"/>
  <c r="BF27" i="4"/>
  <c r="BT26" i="4"/>
  <c r="BF26" i="4"/>
  <c r="BT25" i="4"/>
  <c r="BF25" i="4"/>
  <c r="BT24" i="4"/>
  <c r="BT23" i="4"/>
  <c r="BF23" i="4"/>
  <c r="BT22" i="4"/>
  <c r="BF22" i="4"/>
  <c r="BT21" i="4"/>
  <c r="BF21" i="4"/>
  <c r="BT20" i="4"/>
  <c r="BF20" i="4"/>
  <c r="BT19" i="4"/>
  <c r="BF19" i="4"/>
  <c r="BT18" i="4"/>
  <c r="BF18" i="4"/>
  <c r="BT17" i="4"/>
  <c r="BF17" i="4"/>
  <c r="BT16" i="4"/>
  <c r="BF16" i="4"/>
  <c r="BT15" i="4"/>
  <c r="BF15" i="4"/>
  <c r="BT14" i="4"/>
  <c r="BF14" i="4"/>
  <c r="BT13" i="4"/>
  <c r="BF13" i="4"/>
  <c r="BT12" i="4"/>
  <c r="BF12" i="4"/>
  <c r="BT11" i="4"/>
  <c r="BF11" i="4"/>
  <c r="BT10" i="4"/>
  <c r="BF10" i="4"/>
  <c r="BT9" i="4"/>
  <c r="BF9" i="4"/>
  <c r="BT8" i="4"/>
  <c r="BF8" i="4"/>
  <c r="BT7" i="4"/>
  <c r="BF7" i="4"/>
  <c r="BT6" i="4"/>
  <c r="BF6" i="4"/>
  <c r="BT5" i="4"/>
  <c r="BF5" i="4"/>
  <c r="BT4" i="4"/>
  <c r="BF4" i="4"/>
  <c r="BT3" i="4"/>
  <c r="BF3" i="4"/>
  <c r="BT2" i="4"/>
  <c r="BF2" i="4"/>
  <c r="BT68" i="2"/>
  <c r="BF68" i="2"/>
  <c r="BT1163" i="2"/>
  <c r="BF1163" i="2"/>
  <c r="BT1162" i="2"/>
  <c r="BF1162" i="2"/>
  <c r="BT1161" i="2"/>
  <c r="BF1161" i="2"/>
  <c r="BT1160" i="2"/>
  <c r="BF1160" i="2"/>
  <c r="BT1159" i="2"/>
  <c r="BT1158" i="2"/>
  <c r="BF1158" i="2"/>
  <c r="BT1157" i="2"/>
  <c r="BF1157" i="2"/>
  <c r="BT1156" i="2"/>
  <c r="BF1156" i="2"/>
  <c r="BT1155" i="2"/>
  <c r="BF1155" i="2"/>
  <c r="BT1154" i="2"/>
  <c r="BF1154" i="2"/>
  <c r="BT67" i="2"/>
  <c r="BF67" i="2"/>
  <c r="BT66" i="2"/>
  <c r="BF66" i="2"/>
  <c r="BT65" i="2"/>
  <c r="BF65" i="2"/>
  <c r="BT1153" i="2"/>
  <c r="BF1153" i="2"/>
  <c r="BT1152" i="2"/>
  <c r="BF1152" i="2"/>
  <c r="BT1151" i="2"/>
  <c r="BF1151" i="2"/>
  <c r="BT1150" i="2"/>
  <c r="BF1150" i="2"/>
  <c r="BT1149" i="2"/>
  <c r="BF1149" i="2"/>
  <c r="BT1148" i="2"/>
  <c r="BF1148" i="2"/>
  <c r="BT1147" i="2"/>
  <c r="BF1147" i="2"/>
  <c r="BT102" i="2"/>
  <c r="BF102" i="2"/>
  <c r="BT64" i="2"/>
  <c r="BF64" i="2"/>
  <c r="BT1146" i="2"/>
  <c r="BF1146" i="2"/>
  <c r="BT1145" i="2"/>
  <c r="BF1145" i="2"/>
  <c r="BT1144" i="2"/>
  <c r="BF1144" i="2"/>
  <c r="BT1143" i="2"/>
  <c r="BF1143" i="2"/>
  <c r="BT1142" i="2"/>
  <c r="BF1142" i="2"/>
  <c r="BT1141" i="2"/>
  <c r="BF1141" i="2"/>
  <c r="BT1140" i="2"/>
  <c r="BF1140" i="2"/>
  <c r="BT1139" i="2"/>
  <c r="BF1139" i="2"/>
  <c r="BT1138" i="2"/>
  <c r="BT1137" i="2"/>
  <c r="BT1136" i="2"/>
  <c r="BF1136" i="2"/>
  <c r="BT1135" i="2"/>
  <c r="BF1135" i="2"/>
  <c r="BT1134" i="2"/>
  <c r="BF1134" i="2"/>
  <c r="BT1133" i="2"/>
  <c r="BF1133" i="2"/>
  <c r="BT1132" i="2"/>
  <c r="BF1132" i="2"/>
  <c r="BT1131" i="2"/>
  <c r="BF1131" i="2"/>
  <c r="BT1130" i="2"/>
  <c r="BF1130" i="2"/>
  <c r="BT1129" i="2"/>
  <c r="BF1129" i="2"/>
  <c r="BT1128" i="2"/>
  <c r="BT1127" i="2"/>
  <c r="BF1127" i="2"/>
  <c r="BT1126" i="2"/>
  <c r="BF1126" i="2"/>
  <c r="BT1125" i="2"/>
  <c r="BF1125" i="2"/>
  <c r="BT1124" i="2"/>
  <c r="BF1124" i="2"/>
  <c r="BT1123" i="2"/>
  <c r="BF1123" i="2"/>
  <c r="BT1122" i="2"/>
  <c r="BF1122" i="2"/>
  <c r="BT1121" i="2"/>
  <c r="BF1121" i="2"/>
  <c r="BT1120" i="2"/>
  <c r="BF1120" i="2"/>
  <c r="BT1119" i="2"/>
  <c r="BF1119" i="2"/>
  <c r="BT1118" i="2"/>
  <c r="BF1118" i="2"/>
  <c r="BT63" i="2"/>
  <c r="BF63" i="2"/>
  <c r="BT1117" i="2"/>
  <c r="BF1117" i="2"/>
  <c r="BT1116" i="2"/>
  <c r="BF1116" i="2"/>
  <c r="BT1115" i="2"/>
  <c r="BF1115" i="2"/>
  <c r="BT1114" i="2"/>
  <c r="BF1114" i="2"/>
  <c r="BT1113" i="2"/>
  <c r="BF1113" i="2"/>
  <c r="BT1112" i="2"/>
  <c r="BF1112" i="2"/>
  <c r="BT1111" i="2"/>
  <c r="BF1111" i="2"/>
  <c r="BT1110" i="2"/>
  <c r="BF1110" i="2"/>
  <c r="BT1109" i="2"/>
  <c r="BF1109" i="2"/>
  <c r="BT1108" i="2"/>
  <c r="BF1108" i="2"/>
  <c r="BT1107" i="2"/>
  <c r="BF1107" i="2"/>
  <c r="BT1106" i="2"/>
  <c r="BF1106" i="2"/>
  <c r="BT1105" i="2"/>
  <c r="BF1105" i="2"/>
  <c r="BT1104" i="2"/>
  <c r="BF1104" i="2"/>
  <c r="BT1103" i="2"/>
  <c r="BF1103" i="2"/>
  <c r="BT1102" i="2"/>
  <c r="BF1102" i="2"/>
  <c r="BT1101" i="2"/>
  <c r="BF1101" i="2"/>
  <c r="BT1100" i="2"/>
  <c r="BF1100" i="2"/>
  <c r="BT1099" i="2"/>
  <c r="BF1099" i="2"/>
  <c r="BT1098" i="2"/>
  <c r="BF1098" i="2"/>
  <c r="BT1097" i="2"/>
  <c r="BF1097" i="2"/>
  <c r="BT1096" i="2"/>
  <c r="BF1096" i="2"/>
  <c r="BT1095" i="2"/>
  <c r="BF1095" i="2"/>
  <c r="BT1094" i="2"/>
  <c r="BF1094" i="2"/>
  <c r="BT1093" i="2"/>
  <c r="BF1093" i="2"/>
  <c r="BT1092" i="2"/>
  <c r="BF1092" i="2"/>
  <c r="BT1091" i="2"/>
  <c r="BF1091" i="2"/>
  <c r="BT1090" i="2"/>
  <c r="BF1090" i="2"/>
  <c r="BT1089" i="2"/>
  <c r="BF1089" i="2"/>
  <c r="BT1088" i="2"/>
  <c r="BT1087" i="2"/>
  <c r="BF1087" i="2"/>
  <c r="BT1086" i="2"/>
  <c r="BF1086" i="2"/>
  <c r="BT1085" i="2"/>
  <c r="BF1085" i="2"/>
  <c r="BT1084" i="2"/>
  <c r="BF1084" i="2"/>
  <c r="BT1083" i="2"/>
  <c r="BF1083" i="2"/>
  <c r="BT1082" i="2"/>
  <c r="BT101" i="2"/>
  <c r="BF101" i="2"/>
  <c r="BT1081" i="2"/>
  <c r="BF1081" i="2"/>
  <c r="BT1080" i="2"/>
  <c r="BF1080" i="2"/>
  <c r="BT1079" i="2"/>
  <c r="BF1079" i="2"/>
  <c r="BT62" i="2"/>
  <c r="BF62" i="2"/>
  <c r="BT1078" i="2"/>
  <c r="BF1078" i="2"/>
  <c r="BT1077" i="2"/>
  <c r="BF1077" i="2"/>
  <c r="BT1076" i="2"/>
  <c r="BF1076" i="2"/>
  <c r="BT1075" i="2"/>
  <c r="BF1075" i="2"/>
  <c r="BT1074" i="2"/>
  <c r="BF1074" i="2"/>
  <c r="BT1073" i="2"/>
  <c r="BF1073" i="2"/>
  <c r="BT1072" i="2"/>
  <c r="BF1072" i="2"/>
  <c r="BT1071" i="2"/>
  <c r="BF1071" i="2"/>
  <c r="BT1070" i="2"/>
  <c r="BF1070" i="2"/>
  <c r="BT1069" i="2"/>
  <c r="BF1069" i="2"/>
  <c r="BT1068" i="2"/>
  <c r="BF1068" i="2"/>
  <c r="BT1067" i="2"/>
  <c r="BT1066" i="2"/>
  <c r="BF1066" i="2"/>
  <c r="BT1065" i="2"/>
  <c r="BF1065" i="2"/>
  <c r="BT1064" i="2"/>
  <c r="BF1064" i="2"/>
  <c r="BT1063" i="2"/>
  <c r="BF1063" i="2"/>
  <c r="BT1062" i="2"/>
  <c r="BF1062" i="2"/>
  <c r="BT1061" i="2"/>
  <c r="BF1061" i="2"/>
  <c r="BT1060" i="2"/>
  <c r="BF1060" i="2"/>
  <c r="BT1059" i="2"/>
  <c r="BT1058" i="2"/>
  <c r="BF1058" i="2"/>
  <c r="BT1057" i="2"/>
  <c r="BF1057" i="2"/>
  <c r="BT1056" i="2"/>
  <c r="BF1056" i="2"/>
  <c r="BT1055" i="2"/>
  <c r="BF1055" i="2"/>
  <c r="BT1054" i="2"/>
  <c r="BT1053" i="2"/>
  <c r="BF1053" i="2"/>
  <c r="BT1052" i="2"/>
  <c r="BF1052" i="2"/>
  <c r="BT1051" i="2"/>
  <c r="BF1051" i="2"/>
  <c r="BT1050" i="2"/>
  <c r="BF1050" i="2"/>
  <c r="BT1049" i="2"/>
  <c r="BF1049" i="2"/>
  <c r="BT1048" i="2"/>
  <c r="BF1048" i="2"/>
  <c r="BT1047" i="2"/>
  <c r="BF1047" i="2"/>
  <c r="BT1046" i="2"/>
  <c r="BF1046" i="2"/>
  <c r="BT1045" i="2"/>
  <c r="BF1045" i="2"/>
  <c r="BT1044" i="2"/>
  <c r="BF1044" i="2"/>
  <c r="BT1043" i="2"/>
  <c r="BF1043" i="2"/>
  <c r="BT1042" i="2"/>
  <c r="BF1042" i="2"/>
  <c r="BT61" i="2"/>
  <c r="BF61" i="2"/>
  <c r="BT1041" i="2"/>
  <c r="BT1040" i="2"/>
  <c r="BF1040" i="2"/>
  <c r="BT60" i="2"/>
  <c r="BF60" i="2"/>
  <c r="BT59" i="2"/>
  <c r="BF59" i="2"/>
  <c r="BT1039" i="2"/>
  <c r="BF1039" i="2"/>
  <c r="BT1038" i="2"/>
  <c r="BT1037" i="2"/>
  <c r="BF1037" i="2"/>
  <c r="BT1036" i="2"/>
  <c r="BT1035" i="2"/>
  <c r="BF1035" i="2"/>
  <c r="BT1034" i="2"/>
  <c r="BT1033" i="2"/>
  <c r="BF1033" i="2"/>
  <c r="BT1032" i="2"/>
  <c r="BF1032" i="2"/>
  <c r="BT1031" i="2"/>
  <c r="BF1031" i="2"/>
  <c r="BT1030" i="2"/>
  <c r="BF1030" i="2"/>
  <c r="BT58" i="2"/>
  <c r="BF58" i="2"/>
  <c r="BT1029" i="2"/>
  <c r="BT1028" i="2"/>
  <c r="BF1028" i="2"/>
  <c r="BT1027" i="2"/>
  <c r="BF1027" i="2"/>
  <c r="BT1026" i="2"/>
  <c r="BF1026" i="2"/>
  <c r="BT1025" i="2"/>
  <c r="BF1025" i="2"/>
  <c r="BT1024" i="2"/>
  <c r="BF1024" i="2"/>
  <c r="BT1023" i="2"/>
  <c r="BF1023" i="2"/>
  <c r="BT1022" i="2"/>
  <c r="BF1022" i="2"/>
  <c r="BT1021" i="2"/>
  <c r="BF1021" i="2"/>
  <c r="BT1020" i="2"/>
  <c r="BF1020" i="2"/>
  <c r="BT1019" i="2"/>
  <c r="BF1019" i="2"/>
  <c r="BT100" i="2"/>
  <c r="BF100" i="2"/>
  <c r="BT1018" i="2"/>
  <c r="BF1018" i="2"/>
  <c r="BT1017" i="2"/>
  <c r="BF1017" i="2"/>
  <c r="BT57" i="2"/>
  <c r="BF57" i="2"/>
  <c r="BT1016" i="2"/>
  <c r="BF1016" i="2"/>
  <c r="BT1015" i="2"/>
  <c r="BF1015" i="2"/>
  <c r="BT1014" i="2"/>
  <c r="BF1014" i="2"/>
  <c r="BT1013" i="2"/>
  <c r="BF1013" i="2"/>
  <c r="BT99" i="2"/>
  <c r="BF99" i="2"/>
  <c r="BT1012" i="2"/>
  <c r="BF1012" i="2"/>
  <c r="BT1011" i="2"/>
  <c r="BF1011" i="2"/>
  <c r="BT1010" i="2"/>
  <c r="BF1010" i="2"/>
  <c r="BT1009" i="2"/>
  <c r="BF1009" i="2"/>
  <c r="BT1008" i="2"/>
  <c r="BF1008" i="2"/>
  <c r="BT1007" i="2"/>
  <c r="BF1007" i="2"/>
  <c r="BT1006" i="2"/>
  <c r="BF1006" i="2"/>
  <c r="BT1005" i="2"/>
  <c r="BT1004" i="2"/>
  <c r="BF1004" i="2"/>
  <c r="BT1003" i="2"/>
  <c r="BF1003" i="2"/>
  <c r="BT1002" i="2"/>
  <c r="BT1001" i="2"/>
  <c r="BF1001" i="2"/>
  <c r="BT1000" i="2"/>
  <c r="BF1000" i="2"/>
  <c r="BT999" i="2"/>
  <c r="BF999" i="2"/>
  <c r="BT998" i="2"/>
  <c r="BF998" i="2"/>
  <c r="BT56" i="2"/>
  <c r="BF56" i="2"/>
  <c r="BT997" i="2"/>
  <c r="BF997" i="2"/>
  <c r="BT98" i="2"/>
  <c r="BF98" i="2"/>
  <c r="BT996" i="2"/>
  <c r="BF996" i="2"/>
  <c r="BT995" i="2"/>
  <c r="BF995" i="2"/>
  <c r="BT994" i="2"/>
  <c r="BT993" i="2"/>
  <c r="BF993" i="2"/>
  <c r="BT992" i="2"/>
  <c r="BT991" i="2"/>
  <c r="BF991" i="2"/>
  <c r="BT990" i="2"/>
  <c r="BF990" i="2"/>
  <c r="BT989" i="2"/>
  <c r="BF989" i="2"/>
  <c r="BT988" i="2"/>
  <c r="BF988" i="2"/>
  <c r="BT987" i="2"/>
  <c r="BF987" i="2"/>
  <c r="BT986" i="2"/>
  <c r="BF986" i="2"/>
  <c r="BT985" i="2"/>
  <c r="BF985" i="2"/>
  <c r="BT984" i="2"/>
  <c r="BF984" i="2"/>
  <c r="BT983" i="2"/>
  <c r="BT982" i="2"/>
  <c r="BF982" i="2"/>
  <c r="BT981" i="2"/>
  <c r="BF981" i="2"/>
  <c r="BT980" i="2"/>
  <c r="BF980" i="2"/>
  <c r="BT979" i="2"/>
  <c r="BF979" i="2"/>
  <c r="BT978" i="2"/>
  <c r="BF978" i="2"/>
  <c r="BT977" i="2"/>
  <c r="BT976" i="2"/>
  <c r="BF976" i="2"/>
  <c r="BT97" i="2"/>
  <c r="BF97" i="2"/>
  <c r="BT975" i="2"/>
  <c r="BF975" i="2"/>
  <c r="BT974" i="2"/>
  <c r="BF974" i="2"/>
  <c r="BT973" i="2"/>
  <c r="BT972" i="2"/>
  <c r="BF972" i="2"/>
  <c r="BT971" i="2"/>
  <c r="BF971" i="2"/>
  <c r="BT970" i="2"/>
  <c r="BF970" i="2"/>
  <c r="BT969" i="2"/>
  <c r="BF969" i="2"/>
  <c r="BT968" i="2"/>
  <c r="BT967" i="2"/>
  <c r="BF967" i="2"/>
  <c r="BT966" i="2"/>
  <c r="BF966" i="2"/>
  <c r="BT55" i="2"/>
  <c r="BF55" i="2"/>
  <c r="BT54" i="2"/>
  <c r="BF54" i="2"/>
  <c r="BT965" i="2"/>
  <c r="BT964" i="2"/>
  <c r="BF964" i="2"/>
  <c r="BT53" i="2"/>
  <c r="BF53" i="2"/>
  <c r="BT96" i="2"/>
  <c r="BF96" i="2"/>
  <c r="BT963" i="2"/>
  <c r="BF963" i="2"/>
  <c r="BT962" i="2"/>
  <c r="BF962" i="2"/>
  <c r="BT961" i="2"/>
  <c r="BT960" i="2"/>
  <c r="BF960" i="2"/>
  <c r="BT959" i="2"/>
  <c r="BF959" i="2"/>
  <c r="BT958" i="2"/>
  <c r="BF958" i="2"/>
  <c r="BT957" i="2"/>
  <c r="BF957" i="2"/>
  <c r="BT956" i="2"/>
  <c r="BF956" i="2"/>
  <c r="BT955" i="2"/>
  <c r="BF955" i="2"/>
  <c r="BT954" i="2"/>
  <c r="BT953" i="2"/>
  <c r="BF953" i="2"/>
  <c r="BT952" i="2"/>
  <c r="BF952" i="2"/>
  <c r="BT951" i="2"/>
  <c r="BF951" i="2"/>
  <c r="BT950" i="2"/>
  <c r="BF950" i="2"/>
  <c r="BT949" i="2"/>
  <c r="BF949" i="2"/>
  <c r="BT948" i="2"/>
  <c r="BF948" i="2"/>
  <c r="BT95" i="2"/>
  <c r="BF95" i="2"/>
  <c r="BT947" i="2"/>
  <c r="BT946" i="2"/>
  <c r="BF946" i="2"/>
  <c r="BT945" i="2"/>
  <c r="BF945" i="2"/>
  <c r="BT944" i="2"/>
  <c r="BF944" i="2"/>
  <c r="BT943" i="2"/>
  <c r="BT942" i="2"/>
  <c r="BF942" i="2"/>
  <c r="BT941" i="2"/>
  <c r="BF941" i="2"/>
  <c r="BT940" i="2"/>
  <c r="BF940" i="2"/>
  <c r="BT939" i="2"/>
  <c r="BF939" i="2"/>
  <c r="BT938" i="2"/>
  <c r="BF938" i="2"/>
  <c r="BT937" i="2"/>
  <c r="BF937" i="2"/>
  <c r="BT94" i="2"/>
  <c r="BF94" i="2"/>
  <c r="BT936" i="2"/>
  <c r="BF936" i="2"/>
  <c r="BT935" i="2"/>
  <c r="BF935" i="2"/>
  <c r="BT934" i="2"/>
  <c r="BF934" i="2"/>
  <c r="BT933" i="2"/>
  <c r="BF933" i="2"/>
  <c r="BT932" i="2"/>
  <c r="BF932" i="2"/>
  <c r="BT931" i="2"/>
  <c r="BF931" i="2"/>
  <c r="BT930" i="2"/>
  <c r="BF930" i="2"/>
  <c r="BT929" i="2"/>
  <c r="BF929" i="2"/>
  <c r="BT52" i="2"/>
  <c r="BF52" i="2"/>
  <c r="BT928" i="2"/>
  <c r="BF928" i="2"/>
  <c r="BT927" i="2"/>
  <c r="BF927" i="2"/>
  <c r="BT926" i="2"/>
  <c r="BF926" i="2"/>
  <c r="BT93" i="2"/>
  <c r="BF93" i="2"/>
  <c r="BT925" i="2"/>
  <c r="BF925" i="2"/>
  <c r="BT924" i="2"/>
  <c r="BF924" i="2"/>
  <c r="BT92" i="2"/>
  <c r="BF92" i="2"/>
  <c r="BT51" i="2"/>
  <c r="BF51" i="2"/>
  <c r="BT923" i="2"/>
  <c r="BF923" i="2"/>
  <c r="BT922" i="2"/>
  <c r="BF922" i="2"/>
  <c r="BT921" i="2"/>
  <c r="BF921" i="2"/>
  <c r="BT920" i="2"/>
  <c r="BF920" i="2"/>
  <c r="BT919" i="2"/>
  <c r="BF919" i="2"/>
  <c r="BT918" i="2"/>
  <c r="BF918" i="2"/>
  <c r="BT917" i="2"/>
  <c r="BF917" i="2"/>
  <c r="BT916" i="2"/>
  <c r="BF916" i="2"/>
  <c r="BT915" i="2"/>
  <c r="BF915" i="2"/>
  <c r="BT914" i="2"/>
  <c r="BF914" i="2"/>
  <c r="BT50" i="2"/>
  <c r="BF50" i="2"/>
  <c r="BT913" i="2"/>
  <c r="BF913" i="2"/>
  <c r="BT49" i="2"/>
  <c r="BF49" i="2"/>
  <c r="BT912" i="2"/>
  <c r="BF912" i="2"/>
  <c r="BT911" i="2"/>
  <c r="BF911" i="2"/>
  <c r="BT910" i="2"/>
  <c r="BF910" i="2"/>
  <c r="BT909" i="2"/>
  <c r="BF909" i="2"/>
  <c r="BT908" i="2"/>
  <c r="BF908" i="2"/>
  <c r="BT48" i="2"/>
  <c r="BF48" i="2"/>
  <c r="BT907" i="2"/>
  <c r="BF907" i="2"/>
  <c r="BT47" i="2"/>
  <c r="BF47" i="2"/>
  <c r="BT906" i="2"/>
  <c r="BF906" i="2"/>
  <c r="BT905" i="2"/>
  <c r="BF905" i="2"/>
  <c r="BT904" i="2"/>
  <c r="BF904" i="2"/>
  <c r="BT903" i="2"/>
  <c r="BF903" i="2"/>
  <c r="BT902" i="2"/>
  <c r="BT901" i="2"/>
  <c r="BF901" i="2"/>
  <c r="BT900" i="2"/>
  <c r="BF900" i="2"/>
  <c r="BT899" i="2"/>
  <c r="BF899" i="2"/>
  <c r="BT898" i="2"/>
  <c r="BF898" i="2"/>
  <c r="BT897" i="2"/>
  <c r="BF897" i="2"/>
  <c r="BT896" i="2"/>
  <c r="BF896" i="2"/>
  <c r="BT895" i="2"/>
  <c r="BF895" i="2"/>
  <c r="BT894" i="2"/>
  <c r="BF894" i="2"/>
  <c r="BT893" i="2"/>
  <c r="BF893" i="2"/>
  <c r="BT892" i="2"/>
  <c r="BT891" i="2"/>
  <c r="BF891" i="2"/>
  <c r="BT890" i="2"/>
  <c r="BF890" i="2"/>
  <c r="BT889" i="2"/>
  <c r="BF889" i="2"/>
  <c r="BT888" i="2"/>
  <c r="BF888" i="2"/>
  <c r="BT887" i="2"/>
  <c r="BF887" i="2"/>
  <c r="BT886" i="2"/>
  <c r="BF886" i="2"/>
  <c r="BT46" i="2"/>
  <c r="BF46" i="2"/>
  <c r="BT45" i="2"/>
  <c r="BF45" i="2"/>
  <c r="BT885" i="2"/>
  <c r="BF885" i="2"/>
  <c r="BT884" i="2"/>
  <c r="BF884" i="2"/>
  <c r="BT883" i="2"/>
  <c r="BF883" i="2"/>
  <c r="BT882" i="2"/>
  <c r="BF882" i="2"/>
  <c r="BT881" i="2"/>
  <c r="BF881" i="2"/>
  <c r="BT880" i="2"/>
  <c r="BF880" i="2"/>
  <c r="BT879" i="2"/>
  <c r="BF879" i="2"/>
  <c r="BT878" i="2"/>
  <c r="BF878" i="2"/>
  <c r="BT877" i="2"/>
  <c r="BF877" i="2"/>
  <c r="BT876" i="2"/>
  <c r="BF876" i="2"/>
  <c r="BT875" i="2"/>
  <c r="BF875" i="2"/>
  <c r="BT874" i="2"/>
  <c r="BF874" i="2"/>
  <c r="BT873" i="2"/>
  <c r="BF873" i="2"/>
  <c r="BT872" i="2"/>
  <c r="BF872" i="2"/>
  <c r="BT871" i="2"/>
  <c r="BF871" i="2"/>
  <c r="BT870" i="2"/>
  <c r="BF870" i="2"/>
  <c r="BT869" i="2"/>
  <c r="BF869" i="2"/>
  <c r="BT868" i="2"/>
  <c r="BF868" i="2"/>
  <c r="BT867" i="2"/>
  <c r="BF867" i="2"/>
  <c r="BT44" i="2"/>
  <c r="BF44" i="2"/>
  <c r="BT866" i="2"/>
  <c r="BF866" i="2"/>
  <c r="BT865" i="2"/>
  <c r="BF865" i="2"/>
  <c r="BT864" i="2"/>
  <c r="BF864" i="2"/>
  <c r="BT863" i="2"/>
  <c r="BF863" i="2"/>
  <c r="BT862" i="2"/>
  <c r="BF862" i="2"/>
  <c r="BT861" i="2"/>
  <c r="BF861" i="2"/>
  <c r="BT860" i="2"/>
  <c r="BF860" i="2"/>
  <c r="BT43" i="2"/>
  <c r="BF43" i="2"/>
  <c r="BT859" i="2"/>
  <c r="BF859" i="2"/>
  <c r="BT858" i="2"/>
  <c r="BF858" i="2"/>
  <c r="BT857" i="2"/>
  <c r="BT856" i="2"/>
  <c r="BF856" i="2"/>
  <c r="BT855" i="2"/>
  <c r="BT854" i="2"/>
  <c r="BF854" i="2"/>
  <c r="BT853" i="2"/>
  <c r="BF853" i="2"/>
  <c r="BT852" i="2"/>
  <c r="BF852" i="2"/>
  <c r="BT851" i="2"/>
  <c r="BF851" i="2"/>
  <c r="BT850" i="2"/>
  <c r="BF850" i="2"/>
  <c r="BT849" i="2"/>
  <c r="BF849" i="2"/>
  <c r="BT848" i="2"/>
  <c r="BF848" i="2"/>
  <c r="BT847" i="2"/>
  <c r="BF847" i="2"/>
  <c r="BT846" i="2"/>
  <c r="BF846" i="2"/>
  <c r="BT845" i="2"/>
  <c r="BF845" i="2"/>
  <c r="BT844" i="2"/>
  <c r="BF844" i="2"/>
  <c r="BT843" i="2"/>
  <c r="BF843" i="2"/>
  <c r="BT842" i="2"/>
  <c r="BF842" i="2"/>
  <c r="BT841" i="2"/>
  <c r="BF841" i="2"/>
  <c r="BT840" i="2"/>
  <c r="BF840" i="2"/>
  <c r="BT839" i="2"/>
  <c r="BF839" i="2"/>
  <c r="BT838" i="2"/>
  <c r="BF838" i="2"/>
  <c r="BT837" i="2"/>
  <c r="BF837" i="2"/>
  <c r="BT836" i="2"/>
  <c r="BF836" i="2"/>
  <c r="BT835" i="2"/>
  <c r="BF835" i="2"/>
  <c r="BT834" i="2"/>
  <c r="BF834" i="2"/>
  <c r="BT833" i="2"/>
  <c r="BF833" i="2"/>
  <c r="BT832" i="2"/>
  <c r="BT831" i="2"/>
  <c r="BF831" i="2"/>
  <c r="BT830" i="2"/>
  <c r="BF830" i="2"/>
  <c r="BT829" i="2"/>
  <c r="BF829" i="2"/>
  <c r="BT91" i="2"/>
  <c r="BF91" i="2"/>
  <c r="BT828" i="2"/>
  <c r="BF828" i="2"/>
  <c r="BT827" i="2"/>
  <c r="BF827" i="2"/>
  <c r="BT826" i="2"/>
  <c r="BF826" i="2"/>
  <c r="BT825" i="2"/>
  <c r="BF825" i="2"/>
  <c r="BT824" i="2"/>
  <c r="BF824" i="2"/>
  <c r="BT823" i="2"/>
  <c r="BF823" i="2"/>
  <c r="BT822" i="2"/>
  <c r="BF822" i="2"/>
  <c r="BT821" i="2"/>
  <c r="BF821" i="2"/>
  <c r="BT820" i="2"/>
  <c r="BF820" i="2"/>
  <c r="BT819" i="2"/>
  <c r="BF819" i="2"/>
  <c r="BT818" i="2"/>
  <c r="BF818" i="2"/>
  <c r="BT42" i="2"/>
  <c r="BF42" i="2"/>
  <c r="BT41" i="2"/>
  <c r="BF41" i="2"/>
  <c r="BT817" i="2"/>
  <c r="BF817" i="2"/>
  <c r="BT816" i="2"/>
  <c r="BF816" i="2"/>
  <c r="BT815" i="2"/>
  <c r="BF815" i="2"/>
  <c r="BT814" i="2"/>
  <c r="BF814" i="2"/>
  <c r="BT813" i="2"/>
  <c r="BF813" i="2"/>
  <c r="BT812" i="2"/>
  <c r="BF812" i="2"/>
  <c r="BT811" i="2"/>
  <c r="BF811" i="2"/>
  <c r="BT810" i="2"/>
  <c r="BF810" i="2"/>
  <c r="BT90" i="2"/>
  <c r="BF90" i="2"/>
  <c r="BT809" i="2"/>
  <c r="BF809" i="2"/>
  <c r="BT808" i="2"/>
  <c r="BF808" i="2"/>
  <c r="BT807" i="2"/>
  <c r="BF807" i="2"/>
  <c r="BT806" i="2"/>
  <c r="BF806" i="2"/>
  <c r="BT805" i="2"/>
  <c r="BF805" i="2"/>
  <c r="BT804" i="2"/>
  <c r="BF804" i="2"/>
  <c r="BT803" i="2"/>
  <c r="BT802" i="2"/>
  <c r="BT801" i="2"/>
  <c r="BT800" i="2"/>
  <c r="BF800" i="2"/>
  <c r="BT89" i="2"/>
  <c r="BF89" i="2"/>
  <c r="BT799" i="2"/>
  <c r="BF799" i="2"/>
  <c r="BT798" i="2"/>
  <c r="BF798" i="2"/>
  <c r="BT797" i="2"/>
  <c r="BF797" i="2"/>
  <c r="BT796" i="2"/>
  <c r="BF796" i="2"/>
  <c r="BT795" i="2"/>
  <c r="BF795" i="2"/>
  <c r="BT794" i="2"/>
  <c r="BF794" i="2"/>
  <c r="BT793" i="2"/>
  <c r="BF793" i="2"/>
  <c r="BT792" i="2"/>
  <c r="BF792" i="2"/>
  <c r="BT791" i="2"/>
  <c r="BF791" i="2"/>
  <c r="BT88" i="2"/>
  <c r="BF88" i="2"/>
  <c r="BT790" i="2"/>
  <c r="BF790" i="2"/>
  <c r="BT789" i="2"/>
  <c r="BF789" i="2"/>
  <c r="BT788" i="2"/>
  <c r="BF788" i="2"/>
  <c r="BT787" i="2"/>
  <c r="BF787" i="2"/>
  <c r="BT786" i="2"/>
  <c r="BF786" i="2"/>
  <c r="BT785" i="2"/>
  <c r="BF785" i="2"/>
  <c r="BT784" i="2"/>
  <c r="BF784" i="2"/>
  <c r="BT783" i="2"/>
  <c r="BF783" i="2"/>
  <c r="BT782" i="2"/>
  <c r="BF782" i="2"/>
  <c r="BT781" i="2"/>
  <c r="BF781" i="2"/>
  <c r="BT40" i="2"/>
  <c r="BF40" i="2"/>
  <c r="BT780" i="2"/>
  <c r="BF780" i="2"/>
  <c r="BT779" i="2"/>
  <c r="BF779" i="2"/>
  <c r="BT778" i="2"/>
  <c r="BF778" i="2"/>
  <c r="BT777" i="2"/>
  <c r="BF777" i="2"/>
  <c r="BT776" i="2"/>
  <c r="BF776" i="2"/>
  <c r="BT775" i="2"/>
  <c r="BF775" i="2"/>
  <c r="BT774" i="2"/>
  <c r="BT87" i="2"/>
  <c r="BF87" i="2"/>
  <c r="BT773" i="2"/>
  <c r="BF773" i="2"/>
  <c r="BT772" i="2"/>
  <c r="BT771" i="2"/>
  <c r="BF771" i="2"/>
  <c r="BT770" i="2"/>
  <c r="BF770" i="2"/>
  <c r="BT769" i="2"/>
  <c r="BF769" i="2"/>
  <c r="BT768" i="2"/>
  <c r="BF768" i="2"/>
  <c r="BT767" i="2"/>
  <c r="BF767" i="2"/>
  <c r="BT766" i="2"/>
  <c r="BF766" i="2"/>
  <c r="BT765" i="2"/>
  <c r="BF765" i="2"/>
  <c r="BT764" i="2"/>
  <c r="BT763" i="2"/>
  <c r="BF763" i="2"/>
  <c r="BT762" i="2"/>
  <c r="BF762" i="2"/>
  <c r="BT761" i="2"/>
  <c r="BF761" i="2"/>
  <c r="BT760" i="2"/>
  <c r="BF760" i="2"/>
  <c r="BT759" i="2"/>
  <c r="BF759" i="2"/>
  <c r="BT758" i="2"/>
  <c r="BF758" i="2"/>
  <c r="BT757" i="2"/>
  <c r="BF757" i="2"/>
  <c r="BT756" i="2"/>
  <c r="BF756" i="2"/>
  <c r="BT755" i="2"/>
  <c r="BF755" i="2"/>
  <c r="BT754" i="2"/>
  <c r="BF754" i="2"/>
  <c r="BT753" i="2"/>
  <c r="BF753" i="2"/>
  <c r="BT752" i="2"/>
  <c r="BF752" i="2"/>
  <c r="BT751" i="2"/>
  <c r="BF751" i="2"/>
  <c r="BT750" i="2"/>
  <c r="BF750" i="2"/>
  <c r="BT749" i="2"/>
  <c r="BF749" i="2"/>
  <c r="BT748" i="2"/>
  <c r="BT747" i="2"/>
  <c r="BF747" i="2"/>
  <c r="BT746" i="2"/>
  <c r="BF746" i="2"/>
  <c r="BT745" i="2"/>
  <c r="BF745" i="2"/>
  <c r="BT744" i="2"/>
  <c r="BF744" i="2"/>
  <c r="BT743" i="2"/>
  <c r="BF743" i="2"/>
  <c r="BT742" i="2"/>
  <c r="BF742" i="2"/>
  <c r="BT741" i="2"/>
  <c r="BF741" i="2"/>
  <c r="BT740" i="2"/>
  <c r="BF740" i="2"/>
  <c r="BT39" i="2"/>
  <c r="BF39" i="2"/>
  <c r="BT739" i="2"/>
  <c r="BF739" i="2"/>
  <c r="BT38" i="2"/>
  <c r="BF38" i="2"/>
  <c r="BT738" i="2"/>
  <c r="BF738" i="2"/>
  <c r="BT37" i="2"/>
  <c r="BF37" i="2"/>
  <c r="BT36" i="2"/>
  <c r="BT737" i="2"/>
  <c r="BT736" i="2"/>
  <c r="BF736" i="2"/>
  <c r="BT735" i="2"/>
  <c r="BT734" i="2"/>
  <c r="BT733" i="2"/>
  <c r="BF733" i="2"/>
  <c r="BT732" i="2"/>
  <c r="BF732" i="2"/>
  <c r="BT731" i="2"/>
  <c r="BF731" i="2"/>
  <c r="BT730" i="2"/>
  <c r="BF730" i="2"/>
  <c r="BT729" i="2"/>
  <c r="BT728" i="2"/>
  <c r="BF728" i="2"/>
  <c r="BT727" i="2"/>
  <c r="BF727" i="2"/>
  <c r="BT726" i="2"/>
  <c r="BF726" i="2"/>
  <c r="BT725" i="2"/>
  <c r="BF725" i="2"/>
  <c r="BT724" i="2"/>
  <c r="BF724" i="2"/>
  <c r="BT723" i="2"/>
  <c r="BF723" i="2"/>
  <c r="BT722" i="2"/>
  <c r="BF722" i="2"/>
  <c r="BT721" i="2"/>
  <c r="BF721" i="2"/>
  <c r="BT35" i="2"/>
  <c r="BF35" i="2"/>
  <c r="BT720" i="2"/>
  <c r="BF720" i="2"/>
  <c r="BT719" i="2"/>
  <c r="BF719" i="2"/>
  <c r="BT718" i="2"/>
  <c r="BF718" i="2"/>
  <c r="BT717" i="2"/>
  <c r="BF717" i="2"/>
  <c r="BT716" i="2"/>
  <c r="BF716" i="2"/>
  <c r="BT715" i="2"/>
  <c r="BF715" i="2"/>
  <c r="BT714" i="2"/>
  <c r="BF714" i="2"/>
  <c r="BT713" i="2"/>
  <c r="BF713" i="2"/>
  <c r="BT712" i="2"/>
  <c r="BF712" i="2"/>
  <c r="BT711" i="2"/>
  <c r="BF711" i="2"/>
  <c r="BT710" i="2"/>
  <c r="BF710" i="2"/>
  <c r="BT709" i="2"/>
  <c r="BF709" i="2"/>
  <c r="BT708" i="2"/>
  <c r="BF708" i="2"/>
  <c r="BT707" i="2"/>
  <c r="BF707" i="2"/>
  <c r="BT706" i="2"/>
  <c r="BF706" i="2"/>
  <c r="BT705" i="2"/>
  <c r="BF705" i="2"/>
  <c r="BT704" i="2"/>
  <c r="BF704" i="2"/>
  <c r="BT703" i="2"/>
  <c r="BF703" i="2"/>
  <c r="BT702" i="2"/>
  <c r="BF702" i="2"/>
  <c r="BT701" i="2"/>
  <c r="BF701" i="2"/>
  <c r="BT700" i="2"/>
  <c r="BT699" i="2"/>
  <c r="BF699" i="2"/>
  <c r="BT698" i="2"/>
  <c r="BF698" i="2"/>
  <c r="BT697" i="2"/>
  <c r="BF697" i="2"/>
  <c r="BT696" i="2"/>
  <c r="BF696" i="2"/>
  <c r="BT695" i="2"/>
  <c r="BF695" i="2"/>
  <c r="BT694" i="2"/>
  <c r="BF694" i="2"/>
  <c r="BT693" i="2"/>
  <c r="BF693" i="2"/>
  <c r="BT692" i="2"/>
  <c r="BF692" i="2"/>
  <c r="BT691" i="2"/>
  <c r="BF691" i="2"/>
  <c r="BT690" i="2"/>
  <c r="BF690" i="2"/>
  <c r="BT689" i="2"/>
  <c r="BF689" i="2"/>
  <c r="BT688" i="2"/>
  <c r="BF688" i="2"/>
  <c r="BT687" i="2"/>
  <c r="BF687" i="2"/>
  <c r="BT686" i="2"/>
  <c r="BF686" i="2"/>
  <c r="BT685" i="2"/>
  <c r="BF685" i="2"/>
  <c r="BT684" i="2"/>
  <c r="BF684" i="2"/>
  <c r="BT683" i="2"/>
  <c r="BF683" i="2"/>
  <c r="BT682" i="2"/>
  <c r="BF682" i="2"/>
  <c r="BT681" i="2"/>
  <c r="BF681" i="2"/>
  <c r="BT680" i="2"/>
  <c r="BF680" i="2"/>
  <c r="BT679" i="2"/>
  <c r="BF679" i="2"/>
  <c r="BT678" i="2"/>
  <c r="BF678" i="2"/>
  <c r="BT677" i="2"/>
  <c r="BF677" i="2"/>
  <c r="BT676" i="2"/>
  <c r="BF676" i="2"/>
  <c r="BT675" i="2"/>
  <c r="BF675" i="2"/>
  <c r="BT674" i="2"/>
  <c r="BF674" i="2"/>
  <c r="BT673" i="2"/>
  <c r="BF673" i="2"/>
  <c r="BT672" i="2"/>
  <c r="BF672" i="2"/>
  <c r="BT671" i="2"/>
  <c r="BF671" i="2"/>
  <c r="BT670" i="2"/>
  <c r="BF670" i="2"/>
  <c r="BT669" i="2"/>
  <c r="BF669" i="2"/>
  <c r="BT668" i="2"/>
  <c r="BF668" i="2"/>
  <c r="BT667" i="2"/>
  <c r="BF667" i="2"/>
  <c r="BT666" i="2"/>
  <c r="BF666" i="2"/>
  <c r="BT665" i="2"/>
  <c r="BF665" i="2"/>
  <c r="BT664" i="2"/>
  <c r="BF664" i="2"/>
  <c r="BT663" i="2"/>
  <c r="BF663" i="2"/>
  <c r="BT662" i="2"/>
  <c r="BF662" i="2"/>
  <c r="BT661" i="2"/>
  <c r="BF661" i="2"/>
  <c r="BT660" i="2"/>
  <c r="BF660" i="2"/>
  <c r="BT659" i="2"/>
  <c r="BF659" i="2"/>
  <c r="BT658" i="2"/>
  <c r="BF658" i="2"/>
  <c r="BT657" i="2"/>
  <c r="BF657" i="2"/>
  <c r="BT656" i="2"/>
  <c r="BF656" i="2"/>
  <c r="BT655" i="2"/>
  <c r="BF655" i="2"/>
  <c r="BT654" i="2"/>
  <c r="BF654" i="2"/>
  <c r="BT34" i="2"/>
  <c r="BF34" i="2"/>
  <c r="BT33" i="2"/>
  <c r="BF33" i="2"/>
  <c r="BT653" i="2"/>
  <c r="BF653" i="2"/>
  <c r="BT652" i="2"/>
  <c r="BF652" i="2"/>
  <c r="BT651" i="2"/>
  <c r="BF651" i="2"/>
  <c r="BT86" i="2"/>
  <c r="BF86" i="2"/>
  <c r="BT650" i="2"/>
  <c r="BF650" i="2"/>
  <c r="BT649" i="2"/>
  <c r="BF649" i="2"/>
  <c r="BT648" i="2"/>
  <c r="BF648" i="2"/>
  <c r="BT647" i="2"/>
  <c r="BT646" i="2"/>
  <c r="BF646" i="2"/>
  <c r="BT645" i="2"/>
  <c r="BF645" i="2"/>
  <c r="BT644" i="2"/>
  <c r="BF644" i="2"/>
  <c r="BT643" i="2"/>
  <c r="BT642" i="2"/>
  <c r="BF642" i="2"/>
  <c r="BT641" i="2"/>
  <c r="BF641" i="2"/>
  <c r="BT640" i="2"/>
  <c r="BF640" i="2"/>
  <c r="BT639" i="2"/>
  <c r="BF639" i="2"/>
  <c r="BT638" i="2"/>
  <c r="BF638" i="2"/>
  <c r="BT637" i="2"/>
  <c r="BT636" i="2"/>
  <c r="BF636" i="2"/>
  <c r="BT635" i="2"/>
  <c r="BF635" i="2"/>
  <c r="BT634" i="2"/>
  <c r="BT633" i="2"/>
  <c r="BF633" i="2"/>
  <c r="BT632" i="2"/>
  <c r="BF632" i="2"/>
  <c r="BT631" i="2"/>
  <c r="BF631" i="2"/>
  <c r="BT630" i="2"/>
  <c r="BF630" i="2"/>
  <c r="BT629" i="2"/>
  <c r="BF629" i="2"/>
  <c r="BT628" i="2"/>
  <c r="BF628" i="2"/>
  <c r="BT627" i="2"/>
  <c r="BF627" i="2"/>
  <c r="BT626" i="2"/>
  <c r="BF626" i="2"/>
  <c r="BT625" i="2"/>
  <c r="BF625" i="2"/>
  <c r="BT624" i="2"/>
  <c r="BF624" i="2"/>
  <c r="BT623" i="2"/>
  <c r="BF623" i="2"/>
  <c r="BT622" i="2"/>
  <c r="BF622" i="2"/>
  <c r="BT621" i="2"/>
  <c r="BF621" i="2"/>
  <c r="BT620" i="2"/>
  <c r="BF620" i="2"/>
  <c r="BT619" i="2"/>
  <c r="BF619" i="2"/>
  <c r="BT618" i="2"/>
  <c r="BF618" i="2"/>
  <c r="BT617" i="2"/>
  <c r="BF617" i="2"/>
  <c r="BT616" i="2"/>
  <c r="BF616" i="2"/>
  <c r="BT615" i="2"/>
  <c r="BF615" i="2"/>
  <c r="BT32" i="2"/>
  <c r="BF32" i="2"/>
  <c r="BT614" i="2"/>
  <c r="BF614" i="2"/>
  <c r="BT613" i="2"/>
  <c r="BF613" i="2"/>
  <c r="BT31" i="2"/>
  <c r="BF31" i="2"/>
  <c r="BT612" i="2"/>
  <c r="BF612" i="2"/>
  <c r="BT611" i="2"/>
  <c r="BF611" i="2"/>
  <c r="BT610" i="2"/>
  <c r="BF610" i="2"/>
  <c r="BT609" i="2"/>
  <c r="BF609" i="2"/>
  <c r="BT608" i="2"/>
  <c r="BF608" i="2"/>
  <c r="BT607" i="2"/>
  <c r="BF607" i="2"/>
  <c r="BT606" i="2"/>
  <c r="BT605" i="2"/>
  <c r="BF605" i="2"/>
  <c r="BT604" i="2"/>
  <c r="BF604" i="2"/>
  <c r="BT603" i="2"/>
  <c r="BF603" i="2"/>
  <c r="BT602" i="2"/>
  <c r="BF602" i="2"/>
  <c r="BT601" i="2"/>
  <c r="BF601" i="2"/>
  <c r="BT600" i="2"/>
  <c r="BF600" i="2"/>
  <c r="BT599" i="2"/>
  <c r="BF599" i="2"/>
  <c r="BT85" i="2"/>
  <c r="BF85" i="2"/>
  <c r="BT30" i="2"/>
  <c r="BF30" i="2"/>
  <c r="BT598" i="2"/>
  <c r="BF598" i="2"/>
  <c r="BT597" i="2"/>
  <c r="BF597" i="2"/>
  <c r="BT596" i="2"/>
  <c r="BF596" i="2"/>
  <c r="BT595" i="2"/>
  <c r="BF595" i="2"/>
  <c r="BT594" i="2"/>
  <c r="BF594" i="2"/>
  <c r="BT593" i="2"/>
  <c r="BF593" i="2"/>
  <c r="BT592" i="2"/>
  <c r="BF592" i="2"/>
  <c r="BT591" i="2"/>
  <c r="BT590" i="2"/>
  <c r="BF590" i="2"/>
  <c r="BT589" i="2"/>
  <c r="BF589" i="2"/>
  <c r="BT588" i="2"/>
  <c r="BF588" i="2"/>
  <c r="BT587" i="2"/>
  <c r="BF587" i="2"/>
  <c r="BT586" i="2"/>
  <c r="BF586" i="2"/>
  <c r="BT585" i="2"/>
  <c r="BT584" i="2"/>
  <c r="BF584" i="2"/>
  <c r="BT583" i="2"/>
  <c r="BF583" i="2"/>
  <c r="BT582" i="2"/>
  <c r="BF582" i="2"/>
  <c r="BT581" i="2"/>
  <c r="BF581" i="2"/>
  <c r="BT580" i="2"/>
  <c r="BF580" i="2"/>
  <c r="BT29" i="2"/>
  <c r="BF29" i="2"/>
  <c r="BT579" i="2"/>
  <c r="BF579" i="2"/>
  <c r="BT578" i="2"/>
  <c r="BF578" i="2"/>
  <c r="BT577" i="2"/>
  <c r="BF577" i="2"/>
  <c r="BT576" i="2"/>
  <c r="BF576" i="2"/>
  <c r="BT575" i="2"/>
  <c r="BF575" i="2"/>
  <c r="BT574" i="2"/>
  <c r="BF574" i="2"/>
  <c r="BT573" i="2"/>
  <c r="BF573" i="2"/>
  <c r="BT572" i="2"/>
  <c r="BF572" i="2"/>
  <c r="BT571" i="2"/>
  <c r="BF571" i="2"/>
  <c r="BT570" i="2"/>
  <c r="BF570" i="2"/>
  <c r="BT569" i="2"/>
  <c r="BF569" i="2"/>
  <c r="BT568" i="2"/>
  <c r="BF568" i="2"/>
  <c r="BT567" i="2"/>
  <c r="BF567" i="2"/>
  <c r="BT566" i="2"/>
  <c r="BF566" i="2"/>
  <c r="BT565" i="2"/>
  <c r="BF565" i="2"/>
  <c r="BT564" i="2"/>
  <c r="BF564" i="2"/>
  <c r="BT563" i="2"/>
  <c r="BF563" i="2"/>
  <c r="BT562" i="2"/>
  <c r="BT561" i="2"/>
  <c r="BF561" i="2"/>
  <c r="BT560" i="2"/>
  <c r="BF560" i="2"/>
  <c r="BT559" i="2"/>
  <c r="BT558" i="2"/>
  <c r="BF558" i="2"/>
  <c r="BT557" i="2"/>
  <c r="BF557" i="2"/>
  <c r="BT84" i="2"/>
  <c r="BF84" i="2"/>
  <c r="BT556" i="2"/>
  <c r="BF556" i="2"/>
  <c r="BT555" i="2"/>
  <c r="BF555" i="2"/>
  <c r="BT554" i="2"/>
  <c r="BF554" i="2"/>
  <c r="BT553" i="2"/>
  <c r="BF553" i="2"/>
  <c r="BT28" i="2"/>
  <c r="BF28" i="2"/>
  <c r="BT552" i="2"/>
  <c r="BF552" i="2"/>
  <c r="BT551" i="2"/>
  <c r="BF551" i="2"/>
  <c r="BT550" i="2"/>
  <c r="BF550" i="2"/>
  <c r="BT549" i="2"/>
  <c r="BF549" i="2"/>
  <c r="BT548" i="2"/>
  <c r="BF548" i="2"/>
  <c r="BT547" i="2"/>
  <c r="BF547" i="2"/>
  <c r="BT546" i="2"/>
  <c r="BF546" i="2"/>
  <c r="BT545" i="2"/>
  <c r="BF545" i="2"/>
  <c r="BT27" i="2"/>
  <c r="BF27" i="2"/>
  <c r="BT544" i="2"/>
  <c r="BF544" i="2"/>
  <c r="BT543" i="2"/>
  <c r="BF543" i="2"/>
  <c r="BT542" i="2"/>
  <c r="BF542" i="2"/>
  <c r="BT541" i="2"/>
  <c r="BF541" i="2"/>
  <c r="BT540" i="2"/>
  <c r="BF540" i="2"/>
  <c r="BT539" i="2"/>
  <c r="BT538" i="2"/>
  <c r="BT537" i="2"/>
  <c r="BF537" i="2"/>
  <c r="BT26" i="2"/>
  <c r="BF26" i="2"/>
  <c r="BT536" i="2"/>
  <c r="BF536" i="2"/>
  <c r="BT535" i="2"/>
  <c r="BF535" i="2"/>
  <c r="BT25" i="2"/>
  <c r="BF25" i="2"/>
  <c r="BT534" i="2"/>
  <c r="BF534" i="2"/>
  <c r="BT24" i="2"/>
  <c r="BT533" i="2"/>
  <c r="BF533" i="2"/>
  <c r="BT532" i="2"/>
  <c r="BF532" i="2"/>
  <c r="BT531" i="2"/>
  <c r="BF531" i="2"/>
  <c r="BT530" i="2"/>
  <c r="BT529" i="2"/>
  <c r="BF529" i="2"/>
  <c r="BT528" i="2"/>
  <c r="BT527" i="2"/>
  <c r="BF527" i="2"/>
  <c r="BT526" i="2"/>
  <c r="BF526" i="2"/>
  <c r="BT525" i="2"/>
  <c r="BF525" i="2"/>
  <c r="BT524" i="2"/>
  <c r="BF524" i="2"/>
  <c r="BT523" i="2"/>
  <c r="BF523" i="2"/>
  <c r="BT522" i="2"/>
  <c r="BF522" i="2"/>
  <c r="BT521" i="2"/>
  <c r="BF521" i="2"/>
  <c r="BT520" i="2"/>
  <c r="BF520" i="2"/>
  <c r="BT519" i="2"/>
  <c r="BF519" i="2"/>
  <c r="BT518" i="2"/>
  <c r="BF518" i="2"/>
  <c r="BT517" i="2"/>
  <c r="BF517" i="2"/>
  <c r="BT516" i="2"/>
  <c r="BF516" i="2"/>
  <c r="BT515" i="2"/>
  <c r="BF515" i="2"/>
  <c r="BT514" i="2"/>
  <c r="BF514" i="2"/>
  <c r="BT513" i="2"/>
  <c r="BF513" i="2"/>
  <c r="BT512" i="2"/>
  <c r="BF512" i="2"/>
  <c r="BT511" i="2"/>
  <c r="BF511" i="2"/>
  <c r="BT510" i="2"/>
  <c r="BF510" i="2"/>
  <c r="BT509" i="2"/>
  <c r="BF509" i="2"/>
  <c r="BT508" i="2"/>
  <c r="BT507" i="2"/>
  <c r="BF507" i="2"/>
  <c r="BT506" i="2"/>
  <c r="BF506" i="2"/>
  <c r="BT505" i="2"/>
  <c r="BF505" i="2"/>
  <c r="BT504" i="2"/>
  <c r="BF504" i="2"/>
  <c r="BT503" i="2"/>
  <c r="BF503" i="2"/>
  <c r="BT502" i="2"/>
  <c r="BF502" i="2"/>
  <c r="BT501" i="2"/>
  <c r="BF501" i="2"/>
  <c r="BT500" i="2"/>
  <c r="BF500" i="2"/>
  <c r="BT499" i="2"/>
  <c r="BF499" i="2"/>
  <c r="BT498" i="2"/>
  <c r="BF498" i="2"/>
  <c r="BT497" i="2"/>
  <c r="BF497" i="2"/>
  <c r="BT496" i="2"/>
  <c r="BF496" i="2"/>
  <c r="BT495" i="2"/>
  <c r="BF495" i="2"/>
  <c r="BT494" i="2"/>
  <c r="BF494" i="2"/>
  <c r="BT493" i="2"/>
  <c r="BF493" i="2"/>
  <c r="BT492" i="2"/>
  <c r="BF492" i="2"/>
  <c r="BT491" i="2"/>
  <c r="BF491" i="2"/>
  <c r="BT490" i="2"/>
  <c r="BF490" i="2"/>
  <c r="BT489" i="2"/>
  <c r="BF489" i="2"/>
  <c r="BT488" i="2"/>
  <c r="BF488" i="2"/>
  <c r="BT487" i="2"/>
  <c r="BF487" i="2"/>
  <c r="BT486" i="2"/>
  <c r="BF486" i="2"/>
  <c r="BT485" i="2"/>
  <c r="BF485" i="2"/>
  <c r="BT484" i="2"/>
  <c r="BF484" i="2"/>
  <c r="BT483" i="2"/>
  <c r="BF483" i="2"/>
  <c r="BT482" i="2"/>
  <c r="BF482" i="2"/>
  <c r="BT481" i="2"/>
  <c r="BF481" i="2"/>
  <c r="BT480" i="2"/>
  <c r="BF480" i="2"/>
  <c r="BT479" i="2"/>
  <c r="BF479" i="2"/>
  <c r="BT478" i="2"/>
  <c r="BF478" i="2"/>
  <c r="BT477" i="2"/>
  <c r="BT476" i="2"/>
  <c r="BF476" i="2"/>
  <c r="BT475" i="2"/>
  <c r="BF475" i="2"/>
  <c r="BT474" i="2"/>
  <c r="BF474" i="2"/>
  <c r="BT473" i="2"/>
  <c r="BF473" i="2"/>
  <c r="BT472" i="2"/>
  <c r="BF472" i="2"/>
  <c r="BT471" i="2"/>
  <c r="BF471" i="2"/>
  <c r="BT470" i="2"/>
  <c r="BF470" i="2"/>
  <c r="BT469" i="2"/>
  <c r="BT468" i="2"/>
  <c r="BF468" i="2"/>
  <c r="BT83" i="2"/>
  <c r="BF83" i="2"/>
  <c r="BT467" i="2"/>
  <c r="BF467" i="2"/>
  <c r="BT466" i="2"/>
  <c r="BT465" i="2"/>
  <c r="BF465" i="2"/>
  <c r="BT464" i="2"/>
  <c r="BF464" i="2"/>
  <c r="BT463" i="2"/>
  <c r="BF463" i="2"/>
  <c r="BT462" i="2"/>
  <c r="BF462" i="2"/>
  <c r="BT461" i="2"/>
  <c r="BF461" i="2"/>
  <c r="BT460" i="2"/>
  <c r="BF460" i="2"/>
  <c r="BT459" i="2"/>
  <c r="BF459" i="2"/>
  <c r="BT458" i="2"/>
  <c r="BT457" i="2"/>
  <c r="BF457" i="2"/>
  <c r="BT456" i="2"/>
  <c r="BF456" i="2"/>
  <c r="BT455" i="2"/>
  <c r="BF455" i="2"/>
  <c r="BT454" i="2"/>
  <c r="BF454" i="2"/>
  <c r="BT453" i="2"/>
  <c r="BF453" i="2"/>
  <c r="BT452" i="2"/>
  <c r="BT451" i="2"/>
  <c r="BF451" i="2"/>
  <c r="BT450" i="2"/>
  <c r="BF450" i="2"/>
  <c r="BT449" i="2"/>
  <c r="BF449" i="2"/>
  <c r="BT448" i="2"/>
  <c r="BT447" i="2"/>
  <c r="BF447" i="2"/>
  <c r="BT446" i="2"/>
  <c r="BF446" i="2"/>
  <c r="BT445" i="2"/>
  <c r="BF445" i="2"/>
  <c r="BT444" i="2"/>
  <c r="BF444" i="2"/>
  <c r="BT443" i="2"/>
  <c r="BT442" i="2"/>
  <c r="BF442" i="2"/>
  <c r="BT441" i="2"/>
  <c r="BF441" i="2"/>
  <c r="BT440" i="2"/>
  <c r="BF440" i="2"/>
  <c r="BT439" i="2"/>
  <c r="BF439" i="2"/>
  <c r="BT438" i="2"/>
  <c r="BF438" i="2"/>
  <c r="BT437" i="2"/>
  <c r="BF437" i="2"/>
  <c r="BT82" i="2"/>
  <c r="BF82" i="2"/>
  <c r="BT436" i="2"/>
  <c r="BF436" i="2"/>
  <c r="BT435" i="2"/>
  <c r="BF435" i="2"/>
  <c r="BT434" i="2"/>
  <c r="BF434" i="2"/>
  <c r="BT433" i="2"/>
  <c r="BF433" i="2"/>
  <c r="BT432" i="2"/>
  <c r="BF432" i="2"/>
  <c r="BT431" i="2"/>
  <c r="BF431" i="2"/>
  <c r="BT430" i="2"/>
  <c r="BF430" i="2"/>
  <c r="BT429" i="2"/>
  <c r="BF429" i="2"/>
  <c r="BT428" i="2"/>
  <c r="BF428" i="2"/>
  <c r="BT427" i="2"/>
  <c r="BF427" i="2"/>
  <c r="BT426" i="2"/>
  <c r="BF426" i="2"/>
  <c r="BT425" i="2"/>
  <c r="BF425" i="2"/>
  <c r="BT424" i="2"/>
  <c r="BF424" i="2"/>
  <c r="BT423" i="2"/>
  <c r="BF423" i="2"/>
  <c r="BT422" i="2"/>
  <c r="BF422" i="2"/>
  <c r="BT421" i="2"/>
  <c r="BF421" i="2"/>
  <c r="BT420" i="2"/>
  <c r="BF420" i="2"/>
  <c r="BT23" i="2"/>
  <c r="BF23" i="2"/>
  <c r="BT419" i="2"/>
  <c r="BF419" i="2"/>
  <c r="BT418" i="2"/>
  <c r="BF418" i="2"/>
  <c r="BT417" i="2"/>
  <c r="BF417" i="2"/>
  <c r="BT416" i="2"/>
  <c r="BF416" i="2"/>
  <c r="BT415" i="2"/>
  <c r="BF415" i="2"/>
  <c r="BT414" i="2"/>
  <c r="BF414" i="2"/>
  <c r="BT413" i="2"/>
  <c r="BF413" i="2"/>
  <c r="BT412" i="2"/>
  <c r="BF412" i="2"/>
  <c r="BT411" i="2"/>
  <c r="BF411" i="2"/>
  <c r="BT410" i="2"/>
  <c r="BF410" i="2"/>
  <c r="BT409" i="2"/>
  <c r="BF409" i="2"/>
  <c r="BT408" i="2"/>
  <c r="BF408" i="2"/>
  <c r="BT407" i="2"/>
  <c r="BF407" i="2"/>
  <c r="BT406" i="2"/>
  <c r="BF406" i="2"/>
  <c r="BT405" i="2"/>
  <c r="BF405" i="2"/>
  <c r="BT404" i="2"/>
  <c r="BF404" i="2"/>
  <c r="BT403" i="2"/>
  <c r="BF403" i="2"/>
  <c r="BT402" i="2"/>
  <c r="BF402" i="2"/>
  <c r="BT401" i="2"/>
  <c r="BF401" i="2"/>
  <c r="BT400" i="2"/>
  <c r="BF400" i="2"/>
  <c r="BT399" i="2"/>
  <c r="BF399" i="2"/>
  <c r="BT398" i="2"/>
  <c r="BF398" i="2"/>
  <c r="BT397" i="2"/>
  <c r="BF397" i="2"/>
  <c r="BT81" i="2"/>
  <c r="BT396" i="2"/>
  <c r="BF396" i="2"/>
  <c r="BT80" i="2"/>
  <c r="BF80" i="2"/>
  <c r="BT395" i="2"/>
  <c r="BF395" i="2"/>
  <c r="BT394" i="2"/>
  <c r="BF394" i="2"/>
  <c r="BT393" i="2"/>
  <c r="BF393" i="2"/>
  <c r="BT392" i="2"/>
  <c r="BF392" i="2"/>
  <c r="BT391" i="2"/>
  <c r="BF391" i="2"/>
  <c r="BT390" i="2"/>
  <c r="BT389" i="2"/>
  <c r="BF389" i="2"/>
  <c r="BT388" i="2"/>
  <c r="BF388" i="2"/>
  <c r="BT387" i="2"/>
  <c r="BF387" i="2"/>
  <c r="BT386" i="2"/>
  <c r="BF386" i="2"/>
  <c r="BT385" i="2"/>
  <c r="BF385" i="2"/>
  <c r="BT384" i="2"/>
  <c r="BF384" i="2"/>
  <c r="BT383" i="2"/>
  <c r="BF383" i="2"/>
  <c r="BT382" i="2"/>
  <c r="BF382" i="2"/>
  <c r="BT381" i="2"/>
  <c r="BF381" i="2"/>
  <c r="BT380" i="2"/>
  <c r="BF380" i="2"/>
  <c r="BT379" i="2"/>
  <c r="BF379" i="2"/>
  <c r="BT378" i="2"/>
  <c r="BF378" i="2"/>
  <c r="BT377" i="2"/>
  <c r="BF377" i="2"/>
  <c r="BT376" i="2"/>
  <c r="BF376" i="2"/>
  <c r="BT375" i="2"/>
  <c r="BT374" i="2"/>
  <c r="BF374" i="2"/>
  <c r="BT373" i="2"/>
  <c r="BF373" i="2"/>
  <c r="BT372" i="2"/>
  <c r="BF372" i="2"/>
  <c r="BT371" i="2"/>
  <c r="BF371" i="2"/>
  <c r="BT370" i="2"/>
  <c r="BF370" i="2"/>
  <c r="BT369" i="2"/>
  <c r="BF369" i="2"/>
  <c r="BT368" i="2"/>
  <c r="BF368" i="2"/>
  <c r="BT367" i="2"/>
  <c r="BF367" i="2"/>
  <c r="BT366" i="2"/>
  <c r="BT365" i="2"/>
  <c r="BF365" i="2"/>
  <c r="BT364" i="2"/>
  <c r="BF364" i="2"/>
  <c r="BT363" i="2"/>
  <c r="BF363" i="2"/>
  <c r="BT362" i="2"/>
  <c r="BF362" i="2"/>
  <c r="BT22" i="2"/>
  <c r="BF22" i="2"/>
  <c r="BT361" i="2"/>
  <c r="BF361" i="2"/>
  <c r="BT360" i="2"/>
  <c r="BF360" i="2"/>
  <c r="BT359" i="2"/>
  <c r="BF359" i="2"/>
  <c r="BT358" i="2"/>
  <c r="BF358" i="2"/>
  <c r="BT357" i="2"/>
  <c r="BF357" i="2"/>
  <c r="BT21" i="2"/>
  <c r="BF21" i="2"/>
  <c r="BT356" i="2"/>
  <c r="BF356" i="2"/>
  <c r="BT355" i="2"/>
  <c r="BF355" i="2"/>
  <c r="BT354" i="2"/>
  <c r="BF354" i="2"/>
  <c r="BT79" i="2"/>
  <c r="BF79" i="2"/>
  <c r="BT353" i="2"/>
  <c r="BF353" i="2"/>
  <c r="BT78" i="2"/>
  <c r="BF78" i="2"/>
  <c r="BT352" i="2"/>
  <c r="BF352" i="2"/>
  <c r="BT351" i="2"/>
  <c r="BF351" i="2"/>
  <c r="BT350" i="2"/>
  <c r="BF350" i="2"/>
  <c r="BT349" i="2"/>
  <c r="BF349" i="2"/>
  <c r="BT348" i="2"/>
  <c r="BF348" i="2"/>
  <c r="BT347" i="2"/>
  <c r="BF347" i="2"/>
  <c r="BT346" i="2"/>
  <c r="BT345" i="2"/>
  <c r="BT344" i="2"/>
  <c r="BF344" i="2"/>
  <c r="BT343" i="2"/>
  <c r="BF343" i="2"/>
  <c r="BT342" i="2"/>
  <c r="BT341" i="2"/>
  <c r="BT20" i="2"/>
  <c r="BF20" i="2"/>
  <c r="BT340" i="2"/>
  <c r="BF340" i="2"/>
  <c r="BT339" i="2"/>
  <c r="BF339" i="2"/>
  <c r="BT338" i="2"/>
  <c r="BT337" i="2"/>
  <c r="BF337" i="2"/>
  <c r="BT336" i="2"/>
  <c r="BF336" i="2"/>
  <c r="BT335" i="2"/>
  <c r="BF335" i="2"/>
  <c r="BT334" i="2"/>
  <c r="BF334" i="2"/>
  <c r="BT333" i="2"/>
  <c r="BF333" i="2"/>
  <c r="BT332" i="2"/>
  <c r="BF332" i="2"/>
  <c r="BT331" i="2"/>
  <c r="BF331" i="2"/>
  <c r="BT330" i="2"/>
  <c r="BF330" i="2"/>
  <c r="BT329" i="2"/>
  <c r="BF329" i="2"/>
  <c r="BT328" i="2"/>
  <c r="BF328" i="2"/>
  <c r="BT327" i="2"/>
  <c r="BF327" i="2"/>
  <c r="BT326" i="2"/>
  <c r="BF326" i="2"/>
  <c r="BT325" i="2"/>
  <c r="BT324" i="2"/>
  <c r="BF324" i="2"/>
  <c r="BT323" i="2"/>
  <c r="BF323" i="2"/>
  <c r="BT322" i="2"/>
  <c r="BF322" i="2"/>
  <c r="BT19" i="2"/>
  <c r="BF19" i="2"/>
  <c r="BT321" i="2"/>
  <c r="BF321" i="2"/>
  <c r="BT320" i="2"/>
  <c r="BF320" i="2"/>
  <c r="BT319" i="2"/>
  <c r="BT318" i="2"/>
  <c r="BF318" i="2"/>
  <c r="BT317" i="2"/>
  <c r="BF317" i="2"/>
  <c r="BT316" i="2"/>
  <c r="BT315" i="2"/>
  <c r="BF315" i="2"/>
  <c r="BT314" i="2"/>
  <c r="BF314" i="2"/>
  <c r="BT313" i="2"/>
  <c r="BF313" i="2"/>
  <c r="BT312" i="2"/>
  <c r="BF312" i="2"/>
  <c r="BT77" i="2"/>
  <c r="BF77" i="2"/>
  <c r="BT311" i="2"/>
  <c r="BF311" i="2"/>
  <c r="BT310" i="2"/>
  <c r="BF310" i="2"/>
  <c r="BT309" i="2"/>
  <c r="BF309" i="2"/>
  <c r="BT18" i="2"/>
  <c r="BF18" i="2"/>
  <c r="BT17" i="2"/>
  <c r="BF17" i="2"/>
  <c r="BT308" i="2"/>
  <c r="BF308" i="2"/>
  <c r="BT307" i="2"/>
  <c r="BF307" i="2"/>
  <c r="BT306" i="2"/>
  <c r="BF306" i="2"/>
  <c r="BT305" i="2"/>
  <c r="BF305" i="2"/>
  <c r="BT304" i="2"/>
  <c r="BF304" i="2"/>
  <c r="BT303" i="2"/>
  <c r="BF303" i="2"/>
  <c r="BT302" i="2"/>
  <c r="BF302" i="2"/>
  <c r="BT301" i="2"/>
  <c r="BF301" i="2"/>
  <c r="BT300" i="2"/>
  <c r="BT299" i="2"/>
  <c r="BF299" i="2"/>
  <c r="BT298" i="2"/>
  <c r="BF298" i="2"/>
  <c r="BT297" i="2"/>
  <c r="BF297" i="2"/>
  <c r="BT296" i="2"/>
  <c r="BF296" i="2"/>
  <c r="BT295" i="2"/>
  <c r="BF295" i="2"/>
  <c r="BT294" i="2"/>
  <c r="BF294" i="2"/>
  <c r="BT293" i="2"/>
  <c r="BT292" i="2"/>
  <c r="BF292" i="2"/>
  <c r="BT291" i="2"/>
  <c r="BF291" i="2"/>
  <c r="BT290" i="2"/>
  <c r="BF290" i="2"/>
  <c r="BT289" i="2"/>
  <c r="BF289" i="2"/>
  <c r="BT288" i="2"/>
  <c r="BF288" i="2"/>
  <c r="BT287" i="2"/>
  <c r="BF287" i="2"/>
  <c r="BT286" i="2"/>
  <c r="BF286" i="2"/>
  <c r="BT285" i="2"/>
  <c r="BF285" i="2"/>
  <c r="BT284" i="2"/>
  <c r="BF284" i="2"/>
  <c r="BT16" i="2"/>
  <c r="BF16" i="2"/>
  <c r="BT283" i="2"/>
  <c r="BT282" i="2"/>
  <c r="BF282" i="2"/>
  <c r="BT281" i="2"/>
  <c r="BF281" i="2"/>
  <c r="BT280" i="2"/>
  <c r="BF280" i="2"/>
  <c r="BT279" i="2"/>
  <c r="BF279" i="2"/>
  <c r="BT278" i="2"/>
  <c r="BF278" i="2"/>
  <c r="BT277" i="2"/>
  <c r="BF277" i="2"/>
  <c r="BT15" i="2"/>
  <c r="BF15" i="2"/>
  <c r="BT276" i="2"/>
  <c r="BT275" i="2"/>
  <c r="BF275" i="2"/>
  <c r="BT274" i="2"/>
  <c r="BF274" i="2"/>
  <c r="BT273" i="2"/>
  <c r="BT272" i="2"/>
  <c r="BF272" i="2"/>
  <c r="BT271" i="2"/>
  <c r="BF271" i="2"/>
  <c r="BT270" i="2"/>
  <c r="BF270" i="2"/>
  <c r="BT269" i="2"/>
  <c r="BF269" i="2"/>
  <c r="BT268" i="2"/>
  <c r="BF268" i="2"/>
  <c r="BT267" i="2"/>
  <c r="BF267" i="2"/>
  <c r="BT266" i="2"/>
  <c r="BT265" i="2"/>
  <c r="BF265" i="2"/>
  <c r="BT264" i="2"/>
  <c r="BF264" i="2"/>
  <c r="BT263" i="2"/>
  <c r="BF263" i="2"/>
  <c r="BT14" i="2"/>
  <c r="BF14" i="2"/>
  <c r="BT262" i="2"/>
  <c r="BF262" i="2"/>
  <c r="BT261" i="2"/>
  <c r="BF261" i="2"/>
  <c r="BT260" i="2"/>
  <c r="BF260" i="2"/>
  <c r="BT259" i="2"/>
  <c r="BF259" i="2"/>
  <c r="BT258" i="2"/>
  <c r="BF258" i="2"/>
  <c r="BT257" i="2"/>
  <c r="BF257" i="2"/>
  <c r="BT256" i="2"/>
  <c r="BF256" i="2"/>
  <c r="BT255" i="2"/>
  <c r="BF255" i="2"/>
  <c r="BT254" i="2"/>
  <c r="BF254" i="2"/>
  <c r="BT253" i="2"/>
  <c r="BF253" i="2"/>
  <c r="BT252" i="2"/>
  <c r="BF252" i="2"/>
  <c r="BT251" i="2"/>
  <c r="BF251" i="2"/>
  <c r="BT13" i="2"/>
  <c r="BF13" i="2"/>
  <c r="BT250" i="2"/>
  <c r="BF250" i="2"/>
  <c r="BT249" i="2"/>
  <c r="BF249" i="2"/>
  <c r="BT248" i="2"/>
  <c r="BT247" i="2"/>
  <c r="BF247" i="2"/>
  <c r="BT246" i="2"/>
  <c r="BF246" i="2"/>
  <c r="BT245" i="2"/>
  <c r="BF245" i="2"/>
  <c r="BT244" i="2"/>
  <c r="BF244" i="2"/>
  <c r="BT243" i="2"/>
  <c r="BF243" i="2"/>
  <c r="BT242" i="2"/>
  <c r="BF242" i="2"/>
  <c r="BT241" i="2"/>
  <c r="BF241" i="2"/>
  <c r="BT240" i="2"/>
  <c r="BF240" i="2"/>
  <c r="BT239" i="2"/>
  <c r="BF239" i="2"/>
  <c r="BT238" i="2"/>
  <c r="BF238" i="2"/>
  <c r="BT237" i="2"/>
  <c r="BF237" i="2"/>
  <c r="BT236" i="2"/>
  <c r="BF236" i="2"/>
  <c r="BT235" i="2"/>
  <c r="BF235" i="2"/>
  <c r="BT234" i="2"/>
  <c r="BF234" i="2"/>
  <c r="BT233" i="2"/>
  <c r="BF233" i="2"/>
  <c r="BT232" i="2"/>
  <c r="BF232" i="2"/>
  <c r="BT231" i="2"/>
  <c r="BF231" i="2"/>
  <c r="BT230" i="2"/>
  <c r="BF230" i="2"/>
  <c r="BT229" i="2"/>
  <c r="BF229" i="2"/>
  <c r="BT228" i="2"/>
  <c r="BF228" i="2"/>
  <c r="BT227" i="2"/>
  <c r="BF227" i="2"/>
  <c r="BT226" i="2"/>
  <c r="BF226" i="2"/>
  <c r="BT225" i="2"/>
  <c r="BF225" i="2"/>
  <c r="BT12" i="2"/>
  <c r="BF12" i="2"/>
  <c r="BT224" i="2"/>
  <c r="BF224" i="2"/>
  <c r="BT223" i="2"/>
  <c r="BT11" i="2"/>
  <c r="BF11" i="2"/>
  <c r="BT222" i="2"/>
  <c r="BT221" i="2"/>
  <c r="BF221" i="2"/>
  <c r="BT220" i="2"/>
  <c r="BF220" i="2"/>
  <c r="BT219" i="2"/>
  <c r="BF219" i="2"/>
  <c r="BT218" i="2"/>
  <c r="BF218" i="2"/>
  <c r="BT217" i="2"/>
  <c r="BF217" i="2"/>
  <c r="BT216" i="2"/>
  <c r="BF216" i="2"/>
  <c r="BT215" i="2"/>
  <c r="BF215" i="2"/>
  <c r="BT214" i="2"/>
  <c r="BF214" i="2"/>
  <c r="BT213" i="2"/>
  <c r="BF213" i="2"/>
  <c r="BT212" i="2"/>
  <c r="BF212" i="2"/>
  <c r="BT211" i="2"/>
  <c r="BF211" i="2"/>
  <c r="BT210" i="2"/>
  <c r="BF210" i="2"/>
  <c r="BT209" i="2"/>
  <c r="BF209" i="2"/>
  <c r="BT10" i="2"/>
  <c r="BF10" i="2"/>
  <c r="BT208" i="2"/>
  <c r="BF208" i="2"/>
  <c r="BT207" i="2"/>
  <c r="BF207" i="2"/>
  <c r="BT206" i="2"/>
  <c r="BF206" i="2"/>
  <c r="BT205" i="2"/>
  <c r="BF205" i="2"/>
  <c r="BT204" i="2"/>
  <c r="BF204" i="2"/>
  <c r="BT203" i="2"/>
  <c r="BF203" i="2"/>
  <c r="BT202" i="2"/>
  <c r="BF202" i="2"/>
  <c r="BT9" i="2"/>
  <c r="BF9" i="2"/>
  <c r="BT201" i="2"/>
  <c r="BF201" i="2"/>
  <c r="BT200" i="2"/>
  <c r="BF200" i="2"/>
  <c r="BT199" i="2"/>
  <c r="BF199" i="2"/>
  <c r="BT198" i="2"/>
  <c r="BF198" i="2"/>
  <c r="BT197" i="2"/>
  <c r="BT196" i="2"/>
  <c r="BF196" i="2"/>
  <c r="BT195" i="2"/>
  <c r="BF195" i="2"/>
  <c r="BT76" i="2"/>
  <c r="BF76" i="2"/>
  <c r="BT194" i="2"/>
  <c r="BF194" i="2"/>
  <c r="BT193" i="2"/>
  <c r="BT192" i="2"/>
  <c r="BF192" i="2"/>
  <c r="BT191" i="2"/>
  <c r="BF191" i="2"/>
  <c r="BT190" i="2"/>
  <c r="BF190" i="2"/>
  <c r="BT189" i="2"/>
  <c r="BF189" i="2"/>
  <c r="BT188" i="2"/>
  <c r="BF188" i="2"/>
  <c r="BT187" i="2"/>
  <c r="BF187" i="2"/>
  <c r="BT75" i="2"/>
  <c r="BF75" i="2"/>
  <c r="BT186" i="2"/>
  <c r="BF186" i="2"/>
  <c r="BT185" i="2"/>
  <c r="BF185" i="2"/>
  <c r="BT184" i="2"/>
  <c r="BF184" i="2"/>
  <c r="BT8" i="2"/>
  <c r="BF8" i="2"/>
  <c r="BT183" i="2"/>
  <c r="BF183" i="2"/>
  <c r="BT7" i="2"/>
  <c r="BF7" i="2"/>
  <c r="BT182" i="2"/>
  <c r="BF182" i="2"/>
  <c r="BT181" i="2"/>
  <c r="BT180" i="2"/>
  <c r="BF180" i="2"/>
  <c r="BT6" i="2"/>
  <c r="BF6" i="2"/>
  <c r="BT179" i="2"/>
  <c r="BF179" i="2"/>
  <c r="BT178" i="2"/>
  <c r="BF178" i="2"/>
  <c r="BT177" i="2"/>
  <c r="BF177" i="2"/>
  <c r="BT176" i="2"/>
  <c r="BF176" i="2"/>
  <c r="BT175" i="2"/>
  <c r="BT174" i="2"/>
  <c r="BF174" i="2"/>
  <c r="BT173" i="2"/>
  <c r="BF173" i="2"/>
  <c r="BT172" i="2"/>
  <c r="BF172" i="2"/>
  <c r="BT171" i="2"/>
  <c r="BF171" i="2"/>
  <c r="BT170" i="2"/>
  <c r="BF170" i="2"/>
  <c r="BT169" i="2"/>
  <c r="BF169" i="2"/>
  <c r="BT5" i="2"/>
  <c r="BF5" i="2"/>
  <c r="BT168" i="2"/>
  <c r="BF168" i="2"/>
  <c r="BT167" i="2"/>
  <c r="BF167" i="2"/>
  <c r="BT166" i="2"/>
  <c r="BF166" i="2"/>
  <c r="BT165" i="2"/>
  <c r="BF165" i="2"/>
  <c r="BT164" i="2"/>
  <c r="BF164" i="2"/>
  <c r="BT4" i="2"/>
  <c r="BF4" i="2"/>
  <c r="BT74" i="2"/>
  <c r="BF74" i="2"/>
  <c r="BT163" i="2"/>
  <c r="BT162" i="2"/>
  <c r="BF162" i="2"/>
  <c r="BT161" i="2"/>
  <c r="BF161" i="2"/>
  <c r="BT160" i="2"/>
  <c r="BF160" i="2"/>
  <c r="BT159" i="2"/>
  <c r="BT158" i="2"/>
  <c r="BF158" i="2"/>
  <c r="BT157" i="2"/>
  <c r="BF157" i="2"/>
  <c r="BT156" i="2"/>
  <c r="BF156" i="2"/>
  <c r="BT73" i="2"/>
  <c r="BF73" i="2"/>
  <c r="BT155" i="2"/>
  <c r="BF155" i="2"/>
  <c r="BT72" i="2"/>
  <c r="BF72" i="2"/>
  <c r="BT3" i="2"/>
  <c r="BF3" i="2"/>
  <c r="BT154" i="2"/>
  <c r="BF154" i="2"/>
  <c r="BT153" i="2"/>
  <c r="BF153" i="2"/>
  <c r="BT152" i="2"/>
  <c r="BF152" i="2"/>
  <c r="BT151" i="2"/>
  <c r="BT150" i="2"/>
  <c r="BF150" i="2"/>
  <c r="BT149" i="2"/>
  <c r="BF149" i="2"/>
  <c r="BT148" i="2"/>
  <c r="BF148" i="2"/>
  <c r="BT147" i="2"/>
  <c r="BF147" i="2"/>
  <c r="BT146" i="2"/>
  <c r="BF146" i="2"/>
  <c r="BT71" i="2"/>
  <c r="BT145" i="2"/>
  <c r="BF145" i="2"/>
  <c r="BT144" i="2"/>
  <c r="BF144" i="2"/>
  <c r="BT143" i="2"/>
  <c r="BT142" i="2"/>
  <c r="BF142" i="2"/>
  <c r="BT141" i="2"/>
  <c r="BF141" i="2"/>
  <c r="BT140" i="2"/>
  <c r="BF140" i="2"/>
  <c r="BT139" i="2"/>
  <c r="BF139" i="2"/>
  <c r="BT138" i="2"/>
  <c r="BF138" i="2"/>
  <c r="BT137" i="2"/>
  <c r="BF137" i="2"/>
  <c r="BT136" i="2"/>
  <c r="BF136" i="2"/>
  <c r="BT135" i="2"/>
  <c r="BF135" i="2"/>
  <c r="BT134" i="2"/>
  <c r="BF134" i="2"/>
  <c r="BT133" i="2"/>
  <c r="BF133" i="2"/>
  <c r="BT132" i="2"/>
  <c r="BF132" i="2"/>
  <c r="BT70" i="2"/>
  <c r="BF70" i="2"/>
  <c r="BT131" i="2"/>
  <c r="BF131" i="2"/>
  <c r="BT130" i="2"/>
  <c r="BF130" i="2"/>
  <c r="BT129" i="2"/>
  <c r="BF129" i="2"/>
  <c r="BT128" i="2"/>
  <c r="BT2" i="2"/>
  <c r="BF2" i="2"/>
  <c r="BT127" i="2"/>
  <c r="BF127" i="2"/>
  <c r="BT126" i="2"/>
  <c r="BF126" i="2"/>
  <c r="BT125" i="2"/>
  <c r="BF125" i="2"/>
  <c r="BT124" i="2"/>
  <c r="BF124" i="2"/>
  <c r="BT123" i="2"/>
  <c r="BF123" i="2"/>
  <c r="BT122" i="2"/>
  <c r="BF122" i="2"/>
  <c r="BT121" i="2"/>
  <c r="BF121" i="2"/>
  <c r="BT120" i="2"/>
  <c r="BF120" i="2"/>
  <c r="BT119" i="2"/>
  <c r="BF119" i="2"/>
  <c r="BT118" i="2"/>
  <c r="BF118" i="2"/>
  <c r="BT117" i="2"/>
  <c r="BF117" i="2"/>
  <c r="BT116" i="2"/>
  <c r="BF116" i="2"/>
  <c r="BT115" i="2"/>
  <c r="BF115" i="2"/>
  <c r="BT114" i="2"/>
  <c r="BF114" i="2"/>
  <c r="BT113" i="2"/>
  <c r="BF113" i="2"/>
  <c r="BT112" i="2"/>
  <c r="BT111" i="2"/>
  <c r="BF111" i="2"/>
  <c r="BT110" i="2"/>
  <c r="BF110" i="2"/>
  <c r="BT109" i="2"/>
  <c r="BF109" i="2"/>
  <c r="BT108" i="2"/>
  <c r="BF108" i="2"/>
  <c r="BT107" i="2"/>
  <c r="BF107" i="2"/>
  <c r="BT106" i="2"/>
  <c r="BF106" i="2"/>
  <c r="BT105" i="2"/>
  <c r="BF105" i="2"/>
  <c r="BT104" i="2"/>
  <c r="BF104" i="2"/>
  <c r="BT103" i="2"/>
  <c r="BF103" i="2"/>
  <c r="BT69" i="2"/>
  <c r="BF69" i="2"/>
  <c r="BT871" i="1"/>
  <c r="BF871" i="1"/>
  <c r="BT540" i="1"/>
  <c r="BF540" i="1"/>
  <c r="BT169" i="1"/>
  <c r="BF169" i="1"/>
  <c r="BT1055" i="1"/>
  <c r="BF1055" i="1"/>
  <c r="BT402" i="1"/>
  <c r="BF402" i="1"/>
  <c r="BT736" i="1"/>
  <c r="BF736" i="1"/>
  <c r="BT613" i="1"/>
  <c r="BF613" i="1"/>
  <c r="BT327" i="1"/>
  <c r="BF327" i="1"/>
  <c r="BT446" i="1"/>
  <c r="BF446" i="1"/>
  <c r="BT707" i="1"/>
  <c r="BF707" i="1"/>
  <c r="BT815" i="1"/>
  <c r="BF815" i="1"/>
  <c r="BT522" i="1"/>
  <c r="BF522" i="1"/>
  <c r="BT216" i="1"/>
  <c r="BF216" i="1"/>
  <c r="BT167" i="1"/>
  <c r="BF167" i="1"/>
  <c r="BT564" i="1"/>
  <c r="BF564" i="1"/>
  <c r="BT606" i="1"/>
  <c r="BF606" i="1"/>
  <c r="BT62" i="1"/>
  <c r="BF62" i="1"/>
  <c r="BT43" i="1"/>
  <c r="BF43" i="1"/>
  <c r="BT524" i="1"/>
  <c r="BF524" i="1"/>
  <c r="BT511" i="1"/>
  <c r="BF511" i="1"/>
  <c r="BT299" i="1"/>
  <c r="BF299" i="1"/>
  <c r="BT781" i="1"/>
  <c r="BF781" i="1"/>
  <c r="BT1030" i="1"/>
  <c r="BF1030" i="1"/>
  <c r="BT723" i="1"/>
  <c r="BF723" i="1"/>
  <c r="BT88" i="1"/>
  <c r="BF88" i="1"/>
  <c r="BT1069" i="1"/>
  <c r="BF1069" i="1"/>
  <c r="BT316" i="1"/>
  <c r="BF316" i="1"/>
  <c r="BT222" i="1"/>
  <c r="BT984" i="1"/>
  <c r="BF984" i="1"/>
  <c r="BT1066" i="1"/>
  <c r="BF1066" i="1"/>
  <c r="BT875" i="1"/>
  <c r="BF875" i="1"/>
  <c r="BT763" i="1"/>
  <c r="BF763" i="1"/>
  <c r="BT806" i="1"/>
  <c r="BF806" i="1"/>
  <c r="BT448" i="1"/>
  <c r="BF448" i="1"/>
  <c r="BT140" i="1"/>
  <c r="BT646" i="1"/>
  <c r="BF646" i="1"/>
  <c r="BT294" i="1"/>
  <c r="BF294" i="1"/>
  <c r="BT935" i="1"/>
  <c r="BF935" i="1"/>
  <c r="BT192" i="1"/>
  <c r="BF192" i="1"/>
  <c r="BT949" i="1"/>
  <c r="BT795" i="1"/>
  <c r="BT752" i="1"/>
  <c r="BF752" i="1"/>
  <c r="BT940" i="1"/>
  <c r="BF940" i="1"/>
  <c r="BT212" i="1"/>
  <c r="BF212" i="1"/>
  <c r="BT582" i="1"/>
  <c r="BF582" i="1"/>
  <c r="BT1065" i="1"/>
  <c r="BF1065" i="1"/>
  <c r="BT37" i="1"/>
  <c r="BF37" i="1"/>
  <c r="BT735" i="1"/>
  <c r="BF735" i="1"/>
  <c r="BT629" i="1"/>
  <c r="BF629" i="1"/>
  <c r="BT208" i="1"/>
  <c r="BF208" i="1"/>
  <c r="BT64" i="1"/>
  <c r="BF64" i="1"/>
  <c r="BT347" i="1"/>
  <c r="BF347" i="1"/>
  <c r="BT917" i="1"/>
  <c r="BF917" i="1"/>
  <c r="BT496" i="1"/>
  <c r="BF496" i="1"/>
  <c r="BT745" i="1"/>
  <c r="BF745" i="1"/>
  <c r="BT1158" i="1"/>
  <c r="BT916" i="1"/>
  <c r="BF916" i="1"/>
  <c r="BT117" i="1"/>
  <c r="BF117" i="1"/>
  <c r="BT821" i="1"/>
  <c r="BF821" i="1"/>
  <c r="BT376" i="1"/>
  <c r="BF376" i="1"/>
  <c r="BT878" i="1"/>
  <c r="BF878" i="1"/>
  <c r="BT932" i="1"/>
  <c r="BF932" i="1"/>
  <c r="BT137" i="1"/>
  <c r="BF137" i="1"/>
  <c r="BT805" i="1"/>
  <c r="BF805" i="1"/>
  <c r="BT1125" i="1"/>
  <c r="BF1125" i="1"/>
  <c r="BT817" i="1"/>
  <c r="BF817" i="1"/>
  <c r="BT326" i="1"/>
  <c r="BF326" i="1"/>
  <c r="BT1023" i="1"/>
  <c r="BF1023" i="1"/>
  <c r="BT398" i="1"/>
  <c r="BF398" i="1"/>
  <c r="BT443" i="1"/>
  <c r="BF443" i="1"/>
  <c r="BT691" i="1"/>
  <c r="BF691" i="1"/>
  <c r="BT820" i="1"/>
  <c r="BT616" i="1"/>
  <c r="BF616" i="1"/>
  <c r="BT1086" i="1"/>
  <c r="BF1086" i="1"/>
  <c r="BT163" i="1"/>
  <c r="BF163" i="1"/>
  <c r="BT842" i="1"/>
  <c r="BF842" i="1"/>
  <c r="BT1071" i="1"/>
  <c r="BF1071" i="1"/>
  <c r="BT1135" i="1"/>
  <c r="BF1135" i="1"/>
  <c r="BT569" i="1"/>
  <c r="BF569" i="1"/>
  <c r="BT333" i="1"/>
  <c r="BF333" i="1"/>
  <c r="BT161" i="1"/>
  <c r="BF161" i="1"/>
  <c r="BT1123" i="1"/>
  <c r="BF1123" i="1"/>
  <c r="BT911" i="1"/>
  <c r="BF911" i="1"/>
  <c r="BT364" i="1"/>
  <c r="BF364" i="1"/>
  <c r="BT907" i="1"/>
  <c r="BF907" i="1"/>
  <c r="BT281" i="1"/>
  <c r="BF281" i="1"/>
  <c r="BT250" i="1"/>
  <c r="BF250" i="1"/>
  <c r="BT1120" i="1"/>
  <c r="BF1120" i="1"/>
  <c r="BT317" i="1"/>
  <c r="BF317" i="1"/>
  <c r="BT872" i="1"/>
  <c r="BF872" i="1"/>
  <c r="BT405" i="1"/>
  <c r="BT1006" i="1"/>
  <c r="BF1006" i="1"/>
  <c r="BT762" i="1"/>
  <c r="BT788" i="1"/>
  <c r="BF788" i="1"/>
  <c r="BT228" i="1"/>
  <c r="BF228" i="1"/>
  <c r="BT353" i="1"/>
  <c r="BF353" i="1"/>
  <c r="BT976" i="1"/>
  <c r="BT754" i="1"/>
  <c r="BF754" i="1"/>
  <c r="BT604" i="1"/>
  <c r="BF604" i="1"/>
  <c r="BT309" i="1"/>
  <c r="BF309" i="1"/>
  <c r="BT609" i="1"/>
  <c r="BF609" i="1"/>
  <c r="BT1112" i="1"/>
  <c r="BF1112" i="1"/>
  <c r="BT105" i="1"/>
  <c r="BF105" i="1"/>
  <c r="BT245" i="1"/>
  <c r="BF245" i="1"/>
  <c r="BT892" i="1"/>
  <c r="BF892" i="1"/>
  <c r="BT177" i="1"/>
  <c r="BF177" i="1"/>
  <c r="BT859" i="1"/>
  <c r="BT926" i="1"/>
  <c r="BF926" i="1"/>
  <c r="BT84" i="1"/>
  <c r="BT109" i="1"/>
  <c r="BF109" i="1"/>
  <c r="BT956" i="1"/>
  <c r="BF956" i="1"/>
  <c r="BT504" i="1"/>
  <c r="BT661" i="1"/>
  <c r="BF661" i="1"/>
  <c r="BT1068" i="1"/>
  <c r="BF1068" i="1"/>
  <c r="BT42" i="1"/>
  <c r="BF42" i="1"/>
  <c r="BT544" i="1"/>
  <c r="BF544" i="1"/>
  <c r="BT885" i="1"/>
  <c r="BF885" i="1"/>
  <c r="BT171" i="1"/>
  <c r="BF171" i="1"/>
  <c r="BT147" i="1"/>
  <c r="BF147" i="1"/>
  <c r="BT36" i="1"/>
  <c r="BF36" i="1"/>
  <c r="BT1127" i="1"/>
  <c r="BF1127" i="1"/>
  <c r="BT1088" i="1"/>
  <c r="BF1088" i="1"/>
  <c r="BT334" i="1"/>
  <c r="BF334" i="1"/>
  <c r="BT131" i="1"/>
  <c r="BF131" i="1"/>
  <c r="BT1051" i="1"/>
  <c r="BF1051" i="1"/>
  <c r="BT436" i="1"/>
  <c r="BF436" i="1"/>
  <c r="BT394" i="1"/>
  <c r="BF394" i="1"/>
  <c r="BT904" i="1"/>
  <c r="BF904" i="1"/>
  <c r="BT645" i="1"/>
  <c r="BF645" i="1"/>
  <c r="BT1057" i="1"/>
  <c r="BF1057" i="1"/>
  <c r="BT677" i="1"/>
  <c r="BF677" i="1"/>
  <c r="BT412" i="1"/>
  <c r="BF412" i="1"/>
  <c r="BT860" i="1"/>
  <c r="BF860" i="1"/>
  <c r="BT782" i="1"/>
  <c r="BF782" i="1"/>
  <c r="BT377" i="1"/>
  <c r="BF377" i="1"/>
  <c r="BT397" i="1"/>
  <c r="BF397" i="1"/>
  <c r="BT39" i="1"/>
  <c r="BF39" i="1"/>
  <c r="BT415" i="1"/>
  <c r="BF415" i="1"/>
  <c r="BT1054" i="1"/>
  <c r="BF1054" i="1"/>
  <c r="BT57" i="1"/>
  <c r="BF57" i="1"/>
  <c r="BT388" i="1"/>
  <c r="BF388" i="1"/>
  <c r="BT483" i="1"/>
  <c r="BF483" i="1"/>
  <c r="BT113" i="1"/>
  <c r="BF113" i="1"/>
  <c r="BT458" i="1"/>
  <c r="BF458" i="1"/>
  <c r="BT803" i="1"/>
  <c r="BF803" i="1"/>
  <c r="BT495" i="1"/>
  <c r="BF495" i="1"/>
  <c r="BT930" i="1"/>
  <c r="BF930" i="1"/>
  <c r="BT864" i="1"/>
  <c r="BF864" i="1"/>
  <c r="BT656" i="1"/>
  <c r="BF656" i="1"/>
  <c r="BT1161" i="1"/>
  <c r="BF1161" i="1"/>
  <c r="BT262" i="1"/>
  <c r="BF262" i="1"/>
  <c r="BT89" i="1"/>
  <c r="BF89" i="1"/>
  <c r="BT615" i="1"/>
  <c r="BF615" i="1"/>
  <c r="BT253" i="1"/>
  <c r="BF253" i="1"/>
  <c r="BT771" i="1"/>
  <c r="BF771" i="1"/>
  <c r="BT386" i="1"/>
  <c r="BF386" i="1"/>
  <c r="BT382" i="1"/>
  <c r="BF382" i="1"/>
  <c r="BT252" i="1"/>
  <c r="BF252" i="1"/>
  <c r="BT633" i="1"/>
  <c r="BF633" i="1"/>
  <c r="BT268" i="1"/>
  <c r="BT708" i="1"/>
  <c r="BF708" i="1"/>
  <c r="BT40" i="1"/>
  <c r="BF40" i="1"/>
  <c r="BF777" i="1"/>
  <c r="BT777" i="1"/>
  <c r="BF810" i="1"/>
  <c r="BT810" i="1"/>
  <c r="BF201" i="1"/>
  <c r="BT201" i="1"/>
  <c r="BF738" i="1"/>
  <c r="BT738" i="1"/>
  <c r="BF175" i="1"/>
  <c r="BT175" i="1"/>
  <c r="BF22" i="1"/>
  <c r="BT22" i="1"/>
  <c r="BF1162" i="1"/>
  <c r="BT1162" i="1"/>
  <c r="BF133" i="1"/>
  <c r="BT133" i="1"/>
  <c r="BF600" i="1"/>
  <c r="BT600" i="1"/>
  <c r="BF739" i="1"/>
  <c r="BT739" i="1"/>
  <c r="BF573" i="1"/>
  <c r="BT573" i="1"/>
  <c r="BF978" i="1"/>
  <c r="BT978" i="1"/>
  <c r="BF94" i="1"/>
  <c r="BT94" i="1"/>
  <c r="BT383" i="1"/>
  <c r="BF535" i="1"/>
  <c r="BT535" i="1"/>
  <c r="BF924" i="1"/>
  <c r="BT924" i="1"/>
  <c r="BF595" i="1"/>
  <c r="BT595" i="1"/>
  <c r="BF637" i="1"/>
  <c r="BT637" i="1"/>
  <c r="BF1150" i="1"/>
  <c r="BT1150" i="1"/>
  <c r="BF210" i="1"/>
  <c r="BT210" i="1"/>
  <c r="BF856" i="1"/>
  <c r="BT856" i="1"/>
  <c r="BF521" i="1"/>
  <c r="BT521" i="1"/>
  <c r="BF49" i="1"/>
  <c r="BT49" i="1"/>
  <c r="BF733" i="1"/>
  <c r="BT733" i="1"/>
  <c r="BF844" i="1"/>
  <c r="BT844" i="1"/>
  <c r="BF838" i="1"/>
  <c r="BT838" i="1"/>
  <c r="BF72" i="1"/>
  <c r="BT72" i="1"/>
  <c r="BF81" i="1"/>
  <c r="BT81" i="1"/>
  <c r="BF430" i="1"/>
  <c r="BT430" i="1"/>
  <c r="BF1002" i="1"/>
  <c r="BT1002" i="1"/>
  <c r="BF1105" i="1"/>
  <c r="BT1105" i="1"/>
  <c r="BF157" i="1"/>
  <c r="BT157" i="1"/>
  <c r="BF1116" i="1"/>
  <c r="BT1116" i="1"/>
  <c r="BF849" i="1"/>
  <c r="BT849" i="1"/>
  <c r="BF1046" i="1"/>
  <c r="BT1046" i="1"/>
  <c r="BF571" i="1"/>
  <c r="BT571" i="1"/>
  <c r="BF598" i="1"/>
  <c r="BT598" i="1"/>
  <c r="BF597" i="1"/>
  <c r="BT597" i="1"/>
  <c r="BF811" i="1"/>
  <c r="BT811" i="1"/>
  <c r="BF970" i="1"/>
  <c r="BT970" i="1"/>
  <c r="BF891" i="1"/>
  <c r="BT891" i="1"/>
  <c r="BF583" i="1"/>
  <c r="BT583" i="1"/>
  <c r="BF648" i="1"/>
  <c r="BT648" i="1"/>
  <c r="BF453" i="1"/>
  <c r="BT453" i="1"/>
  <c r="BF283" i="1"/>
  <c r="BT283" i="1"/>
  <c r="BF355" i="1"/>
  <c r="BT355" i="1"/>
  <c r="BT1131" i="1"/>
  <c r="BF34" i="1"/>
  <c r="BT34" i="1"/>
  <c r="BF1074" i="1"/>
  <c r="BT1074" i="1"/>
  <c r="BF124" i="1"/>
  <c r="BT124" i="1"/>
  <c r="BT818" i="1"/>
  <c r="BT989" i="1"/>
  <c r="BF1011" i="1"/>
  <c r="BT1011" i="1"/>
  <c r="BF741" i="1"/>
  <c r="BT741" i="1"/>
  <c r="BF537" i="1"/>
  <c r="BT537" i="1"/>
  <c r="BF108" i="1"/>
  <c r="BT108" i="1"/>
  <c r="BF1141" i="1"/>
  <c r="BT1141" i="1"/>
  <c r="BT1058" i="1"/>
  <c r="BT1026" i="1"/>
  <c r="BF895" i="1"/>
  <c r="BT895" i="1"/>
  <c r="BF176" i="1"/>
  <c r="BT176" i="1"/>
  <c r="BF603" i="1"/>
  <c r="BT603" i="1"/>
  <c r="BF910" i="1"/>
  <c r="BT910" i="1"/>
  <c r="BF142" i="1"/>
  <c r="BT142" i="1"/>
  <c r="BF1104" i="1"/>
  <c r="BT1104" i="1"/>
  <c r="BF148" i="1"/>
  <c r="BT148" i="1"/>
  <c r="BF1047" i="1"/>
  <c r="BT1047" i="1"/>
  <c r="BF1014" i="1"/>
  <c r="BT1014" i="1"/>
  <c r="BF110" i="1"/>
  <c r="BT110" i="1"/>
  <c r="BF676" i="1"/>
  <c r="BT676" i="1"/>
  <c r="BF948" i="1"/>
  <c r="BT948" i="1"/>
  <c r="BF319" i="1"/>
  <c r="BT319" i="1"/>
  <c r="BF1032" i="1"/>
  <c r="BT1032" i="1"/>
  <c r="BF125" i="1"/>
  <c r="BT125" i="1"/>
  <c r="BF266" i="1"/>
  <c r="BT266" i="1"/>
  <c r="BF555" i="1"/>
  <c r="BT555" i="1"/>
  <c r="BT974" i="1"/>
  <c r="BF764" i="1"/>
  <c r="BT764" i="1"/>
  <c r="BF179" i="1"/>
  <c r="BT179" i="1"/>
  <c r="BF1151" i="1"/>
  <c r="BT1151" i="1"/>
  <c r="BF798" i="1"/>
  <c r="BT798" i="1"/>
  <c r="BF82" i="1"/>
  <c r="BT82" i="1"/>
  <c r="BF1109" i="1"/>
  <c r="BT1109" i="1"/>
  <c r="BF731" i="1"/>
  <c r="BT731" i="1"/>
  <c r="BF1021" i="1"/>
  <c r="BT1021" i="1"/>
  <c r="BF1154" i="1"/>
  <c r="BT1154" i="1"/>
  <c r="BF517" i="1"/>
  <c r="BT517" i="1"/>
  <c r="BF561" i="1"/>
  <c r="BT561" i="1"/>
  <c r="BF791" i="1"/>
  <c r="BT791" i="1"/>
  <c r="BF1149" i="1"/>
  <c r="BT1149" i="1"/>
  <c r="BF354" i="1"/>
  <c r="BT354" i="1"/>
  <c r="BF557" i="1"/>
  <c r="BT557" i="1"/>
  <c r="BF536" i="1"/>
  <c r="BT536" i="1"/>
  <c r="BF827" i="1"/>
  <c r="BT827" i="1"/>
  <c r="BF358" i="1"/>
  <c r="BT358" i="1"/>
  <c r="BF274" i="1"/>
  <c r="BT274" i="1"/>
  <c r="BF338" i="1"/>
  <c r="BT338" i="1"/>
  <c r="BF24" i="1"/>
  <c r="BT24" i="1"/>
  <c r="BF893" i="1"/>
  <c r="BT893" i="1"/>
  <c r="BF127" i="1"/>
  <c r="BT127" i="1"/>
  <c r="BF804" i="1"/>
  <c r="BT804" i="1"/>
  <c r="BF611" i="1"/>
  <c r="BT611" i="1"/>
  <c r="BF1015" i="1"/>
  <c r="BT1015" i="1"/>
  <c r="BF229" i="1"/>
  <c r="BT229" i="1"/>
  <c r="BF1028" i="1"/>
  <c r="BT1028" i="1"/>
  <c r="BF259" i="1"/>
  <c r="BT259" i="1"/>
  <c r="BF624" i="1"/>
  <c r="BT624" i="1"/>
  <c r="BF93" i="1"/>
  <c r="BT93" i="1"/>
  <c r="BF385" i="1"/>
  <c r="BT385" i="1"/>
  <c r="BF559" i="1"/>
  <c r="BT559" i="1"/>
  <c r="BF767" i="1"/>
  <c r="BT767" i="1"/>
  <c r="BF497" i="1"/>
  <c r="BT497" i="1"/>
  <c r="BF365" i="1"/>
  <c r="BT365" i="1"/>
  <c r="BF144" i="1"/>
  <c r="BT144" i="1"/>
  <c r="BF285" i="1"/>
  <c r="BT285" i="1"/>
  <c r="BF373" i="1"/>
  <c r="BT373" i="1"/>
  <c r="BF809" i="1"/>
  <c r="BT809" i="1"/>
  <c r="BF658" i="1"/>
  <c r="BT658" i="1"/>
  <c r="BF482" i="1"/>
  <c r="BT482" i="1"/>
  <c r="BF671" i="1"/>
  <c r="BT671" i="1"/>
  <c r="BF431" i="1"/>
  <c r="BT431" i="1"/>
  <c r="BF566" i="1"/>
  <c r="BT566" i="1"/>
  <c r="BF119" i="1"/>
  <c r="BT119" i="1"/>
  <c r="BF596" i="1"/>
  <c r="BT596" i="1"/>
  <c r="BF851" i="1"/>
  <c r="BT851" i="1"/>
  <c r="BF1062" i="1"/>
  <c r="BT1062" i="1"/>
  <c r="BF542" i="1"/>
  <c r="BT542" i="1"/>
  <c r="BF83" i="1"/>
  <c r="BT83" i="1"/>
  <c r="BF254" i="1"/>
  <c r="BT254" i="1"/>
  <c r="BF1139" i="1"/>
  <c r="BT1139" i="1"/>
  <c r="BF1082" i="1"/>
  <c r="BT1082" i="1"/>
  <c r="BT193" i="1"/>
  <c r="BF829" i="1"/>
  <c r="BT829" i="1"/>
  <c r="BF506" i="1"/>
  <c r="BT506" i="1"/>
  <c r="BF599" i="1"/>
  <c r="BT599" i="1"/>
  <c r="BF451" i="1"/>
  <c r="BT451" i="1"/>
  <c r="BF696" i="1"/>
  <c r="BT696" i="1"/>
  <c r="BT106" i="1"/>
  <c r="BF983" i="1"/>
  <c r="BT983" i="1"/>
  <c r="BF368" i="1"/>
  <c r="BT368" i="1"/>
  <c r="BF174" i="1"/>
  <c r="BT174" i="1"/>
  <c r="BT650" i="1"/>
  <c r="BF967" i="1"/>
  <c r="BT967" i="1"/>
  <c r="BF1038" i="1"/>
  <c r="BT1038" i="1"/>
  <c r="BF725" i="1"/>
  <c r="BT725" i="1"/>
  <c r="BF883" i="1"/>
  <c r="BT883" i="1"/>
  <c r="BF963" i="1"/>
  <c r="BT963" i="1"/>
  <c r="BF68" i="1"/>
  <c r="BT68" i="1"/>
  <c r="BF529" i="1"/>
  <c r="BT529" i="1"/>
  <c r="BF305" i="1"/>
  <c r="BT305" i="1"/>
  <c r="BF1012" i="1"/>
  <c r="BT1012" i="1"/>
  <c r="BF664" i="1"/>
  <c r="BT664" i="1"/>
  <c r="BF610" i="1"/>
  <c r="BT610" i="1"/>
  <c r="BF292" i="1"/>
  <c r="BT292" i="1"/>
  <c r="BF847" i="1"/>
  <c r="BT847" i="1"/>
  <c r="BF150" i="1"/>
  <c r="BT150" i="1"/>
  <c r="BF641" i="1"/>
  <c r="BT641" i="1"/>
  <c r="BF622" i="1"/>
  <c r="BT622" i="1"/>
  <c r="BF63" i="1"/>
  <c r="BT63" i="1"/>
  <c r="BF675" i="1"/>
  <c r="BT675" i="1"/>
  <c r="BF516" i="1"/>
  <c r="BT516" i="1"/>
  <c r="BF526" i="1"/>
  <c r="BT526" i="1"/>
  <c r="BF27" i="1"/>
  <c r="BT27" i="1"/>
  <c r="BF498" i="1"/>
  <c r="BT498" i="1"/>
  <c r="BF868" i="1"/>
  <c r="BT868" i="1"/>
  <c r="BF1111" i="1"/>
  <c r="BT1111" i="1"/>
  <c r="BF286" i="1"/>
  <c r="BT286" i="1"/>
  <c r="BF840" i="1"/>
  <c r="BT840" i="1"/>
  <c r="BF116" i="1"/>
  <c r="BT116" i="1"/>
  <c r="BF270" i="1"/>
  <c r="BT270" i="1"/>
  <c r="BF942" i="1"/>
  <c r="BT942" i="1"/>
  <c r="BF936" i="1"/>
  <c r="BT936" i="1"/>
  <c r="BF789" i="1"/>
  <c r="BT789" i="1"/>
  <c r="BF205" i="1"/>
  <c r="BT205" i="1"/>
  <c r="BF344" i="1"/>
  <c r="BT344" i="1"/>
  <c r="BF25" i="1"/>
  <c r="BT25" i="1"/>
  <c r="BF1148" i="1"/>
  <c r="BT1148" i="1"/>
  <c r="BF1037" i="1"/>
  <c r="BT1037" i="1"/>
  <c r="BF19" i="1"/>
  <c r="BT19" i="1"/>
  <c r="BF188" i="1"/>
  <c r="BT188" i="1"/>
  <c r="BF532" i="1"/>
  <c r="BT532" i="1"/>
  <c r="BF58" i="1"/>
  <c r="BT58" i="1"/>
  <c r="BF994" i="1"/>
  <c r="BT994" i="1"/>
  <c r="BF462" i="1"/>
  <c r="BT462" i="1"/>
  <c r="BF734" i="1"/>
  <c r="BT734" i="1"/>
  <c r="BF2" i="1"/>
  <c r="BT2" i="1"/>
  <c r="BF311" i="1"/>
  <c r="BT311" i="1"/>
  <c r="BF101" i="1"/>
  <c r="BT101" i="1"/>
  <c r="BF449" i="1"/>
  <c r="BT449" i="1"/>
  <c r="BF797" i="1"/>
  <c r="BT797" i="1"/>
  <c r="BF913" i="1"/>
  <c r="BT913" i="1"/>
  <c r="BF899" i="1"/>
  <c r="BT899" i="1"/>
  <c r="BF261" i="1"/>
  <c r="BT261" i="1"/>
  <c r="BF507" i="1"/>
  <c r="BT507" i="1"/>
  <c r="BF20" i="1"/>
  <c r="BT20" i="1"/>
  <c r="BF290" i="1"/>
  <c r="BT290" i="1"/>
  <c r="BF977" i="1"/>
  <c r="BT977" i="1"/>
  <c r="BF712" i="1"/>
  <c r="BT712" i="1"/>
  <c r="BF705" i="1"/>
  <c r="BT705" i="1"/>
  <c r="BF620" i="1"/>
  <c r="BT620" i="1"/>
  <c r="BF1142" i="1"/>
  <c r="BT1142" i="1"/>
  <c r="BF774" i="1"/>
  <c r="BT774" i="1"/>
  <c r="BF623" i="1"/>
  <c r="BT623" i="1"/>
  <c r="BF1085" i="1"/>
  <c r="BT1085" i="1"/>
  <c r="BF457" i="1"/>
  <c r="BT457" i="1"/>
  <c r="BF999" i="1"/>
  <c r="BT999" i="1"/>
  <c r="BF933" i="1"/>
  <c r="BT933" i="1"/>
  <c r="BF1152" i="1"/>
  <c r="BT1152" i="1"/>
  <c r="BF947" i="1"/>
  <c r="BT947" i="1"/>
  <c r="BF78" i="1"/>
  <c r="BT78" i="1"/>
  <c r="BF857" i="1"/>
  <c r="BT857" i="1"/>
  <c r="BF906" i="1"/>
  <c r="BT906" i="1"/>
  <c r="BF692" i="1"/>
  <c r="BT692" i="1"/>
  <c r="BF881" i="1"/>
  <c r="BT881" i="1"/>
  <c r="BF852" i="1"/>
  <c r="BT852" i="1"/>
  <c r="BF178" i="1"/>
  <c r="BT178" i="1"/>
  <c r="BF921" i="1"/>
  <c r="BT921" i="1"/>
  <c r="BF139" i="1"/>
  <c r="BT139" i="1"/>
  <c r="BF922" i="1"/>
  <c r="BT922" i="1"/>
  <c r="BF345" i="1"/>
  <c r="BT345" i="1"/>
  <c r="BF588" i="1"/>
  <c r="BT588" i="1"/>
  <c r="BF173" i="1"/>
  <c r="BT173" i="1"/>
  <c r="BF1137" i="1"/>
  <c r="BT1137" i="1"/>
  <c r="BF293" i="1"/>
  <c r="BT293" i="1"/>
  <c r="BF287" i="1"/>
  <c r="BT287" i="1"/>
  <c r="BF342" i="1"/>
  <c r="BT342" i="1"/>
  <c r="BF634" i="1"/>
  <c r="BT634" i="1"/>
  <c r="BF459" i="1"/>
  <c r="BT459" i="1"/>
  <c r="BF975" i="1"/>
  <c r="BT975" i="1"/>
  <c r="BF291" i="1"/>
  <c r="BT291" i="1"/>
  <c r="BF18" i="1"/>
  <c r="BT18" i="1"/>
  <c r="BF469" i="1"/>
  <c r="BT469" i="1"/>
  <c r="BT306" i="1"/>
  <c r="BF988" i="1"/>
  <c r="BT988" i="1"/>
  <c r="BF1063" i="1"/>
  <c r="BT1063" i="1"/>
  <c r="BF808" i="1"/>
  <c r="BT808" i="1"/>
  <c r="BF220" i="1"/>
  <c r="BT220" i="1"/>
  <c r="BF1035" i="1"/>
  <c r="BT1035" i="1"/>
  <c r="BF640" i="1"/>
  <c r="BT640" i="1"/>
  <c r="BF552" i="1"/>
  <c r="BT552" i="1"/>
  <c r="BF96" i="1"/>
  <c r="BT96" i="1"/>
  <c r="BF1147" i="1"/>
  <c r="BT1147" i="1"/>
  <c r="BF1084" i="1"/>
  <c r="BT1084" i="1"/>
  <c r="BF887" i="1"/>
  <c r="BT887" i="1"/>
  <c r="BF151" i="1"/>
  <c r="BT151" i="1"/>
  <c r="BF44" i="1"/>
  <c r="BT44" i="1"/>
  <c r="BF1070" i="1"/>
  <c r="BT1070" i="1"/>
  <c r="BF972" i="1"/>
  <c r="BT972" i="1"/>
  <c r="BF1042" i="1"/>
  <c r="BT1042" i="1"/>
  <c r="BT329" i="1"/>
  <c r="BT1081" i="1"/>
  <c r="BF660" i="1"/>
  <c r="BT660" i="1"/>
  <c r="BF17" i="1"/>
  <c r="BT17" i="1"/>
  <c r="BF238" i="1"/>
  <c r="BT238" i="1"/>
  <c r="BF330" i="1"/>
  <c r="BT330" i="1"/>
  <c r="BT444" i="1"/>
  <c r="BF123" i="1"/>
  <c r="BT123" i="1"/>
  <c r="BF649" i="1"/>
  <c r="BT649" i="1"/>
  <c r="BF486" i="1"/>
  <c r="BT486" i="1"/>
  <c r="BF653" i="1"/>
  <c r="BT653" i="1"/>
  <c r="BF87" i="1"/>
  <c r="BT87" i="1"/>
  <c r="BF903" i="1"/>
  <c r="BT903" i="1"/>
  <c r="BF271" i="1"/>
  <c r="BT271" i="1"/>
  <c r="BF888" i="1"/>
  <c r="BT888" i="1"/>
  <c r="BF626" i="1"/>
  <c r="BT626" i="1"/>
  <c r="BF467" i="1"/>
  <c r="BT467" i="1"/>
  <c r="BF141" i="1"/>
  <c r="BT141" i="1"/>
  <c r="BF784" i="1"/>
  <c r="BT784" i="1"/>
  <c r="BT869" i="1"/>
  <c r="BT45" i="1"/>
  <c r="BF476" i="1"/>
  <c r="BT476" i="1"/>
  <c r="BF625" i="1"/>
  <c r="BT625" i="1"/>
  <c r="BF704" i="1"/>
  <c r="BT704" i="1"/>
  <c r="BF1143" i="1"/>
  <c r="BT1143" i="1"/>
  <c r="BF701" i="1"/>
  <c r="BT701" i="1"/>
  <c r="BF1073" i="1"/>
  <c r="BT1073" i="1"/>
  <c r="BF277" i="1"/>
  <c r="BT277" i="1"/>
  <c r="BT923" i="1"/>
  <c r="BF481" i="1"/>
  <c r="BT481" i="1"/>
  <c r="BF472" i="1"/>
  <c r="BT472" i="1"/>
  <c r="BF187" i="1"/>
  <c r="BT187" i="1"/>
  <c r="BF313" i="1"/>
  <c r="BT313" i="1"/>
  <c r="BF1048" i="1"/>
  <c r="BT1048" i="1"/>
  <c r="BF1117" i="1"/>
  <c r="BT1117" i="1"/>
  <c r="BF362" i="1"/>
  <c r="BT362" i="1"/>
  <c r="BF770" i="1"/>
  <c r="BT770" i="1"/>
  <c r="BF6" i="1"/>
  <c r="BT6" i="1"/>
  <c r="BF1099" i="1"/>
  <c r="BT1099" i="1"/>
  <c r="BF60" i="1"/>
  <c r="BT60" i="1"/>
  <c r="BF189" i="1"/>
  <c r="BT189" i="1"/>
  <c r="BF981" i="1"/>
  <c r="BT981" i="1"/>
  <c r="BF830" i="1"/>
  <c r="BT830" i="1"/>
  <c r="BF1140" i="1"/>
  <c r="BT1140" i="1"/>
  <c r="BF737" i="1"/>
  <c r="BT737" i="1"/>
  <c r="BF824" i="1"/>
  <c r="BT824" i="1"/>
  <c r="BT1024" i="1"/>
  <c r="BF122" i="1"/>
  <c r="BT122" i="1"/>
  <c r="BF237" i="1"/>
  <c r="BT237" i="1"/>
  <c r="BF328" i="1"/>
  <c r="BT328" i="1"/>
  <c r="BF92" i="1"/>
  <c r="BT92" i="1"/>
  <c r="BF426" i="1"/>
  <c r="BT426" i="1"/>
  <c r="BF380" i="1"/>
  <c r="BT380" i="1"/>
  <c r="BF465" i="1"/>
  <c r="BT465" i="1"/>
  <c r="BF1060" i="1"/>
  <c r="BT1060" i="1"/>
  <c r="BF971" i="1"/>
  <c r="BT971" i="1"/>
  <c r="BF318" i="1"/>
  <c r="BT318" i="1"/>
  <c r="BF1056" i="1"/>
  <c r="BT1056" i="1"/>
  <c r="BF716" i="1"/>
  <c r="BT716" i="1"/>
  <c r="BF538" i="1"/>
  <c r="BT538" i="1"/>
  <c r="BF1094" i="1"/>
  <c r="BT1094" i="1"/>
  <c r="BF226" i="1"/>
  <c r="BT226" i="1"/>
  <c r="BF230" i="1"/>
  <c r="BT230" i="1"/>
  <c r="BF591" i="1"/>
  <c r="BT591" i="1"/>
  <c r="BF508" i="1"/>
  <c r="BT508" i="1"/>
  <c r="BF145" i="1"/>
  <c r="BT145" i="1"/>
  <c r="BF473" i="1"/>
  <c r="BT473" i="1"/>
  <c r="BF170" i="1"/>
  <c r="BT170" i="1"/>
  <c r="BF758" i="1"/>
  <c r="BT758" i="1"/>
  <c r="BF726" i="1"/>
  <c r="BT726" i="1"/>
  <c r="BF855" i="1"/>
  <c r="BT855" i="1"/>
  <c r="BF480" i="1"/>
  <c r="BT480" i="1"/>
  <c r="BF492" i="1"/>
  <c r="BT492" i="1"/>
  <c r="BF310" i="1"/>
  <c r="BT310" i="1"/>
  <c r="BF714" i="1"/>
  <c r="BT714" i="1"/>
  <c r="BF424" i="1"/>
  <c r="BT424" i="1"/>
  <c r="BF698" i="1"/>
  <c r="BT698" i="1"/>
  <c r="BF242" i="1"/>
  <c r="BT242" i="1"/>
  <c r="BF560" i="1"/>
  <c r="BT560" i="1"/>
  <c r="BF654" i="1"/>
  <c r="BT654" i="1"/>
  <c r="BF366" i="1"/>
  <c r="BT366" i="1"/>
  <c r="BF545" i="1"/>
  <c r="BT545" i="1"/>
  <c r="BF203" i="1"/>
  <c r="BT203" i="1"/>
  <c r="BF578" i="1"/>
  <c r="BT578" i="1"/>
  <c r="BF10" i="1"/>
  <c r="BT10" i="1"/>
  <c r="BF850" i="1"/>
  <c r="BT850" i="1"/>
  <c r="BF442" i="1"/>
  <c r="BT442" i="1"/>
  <c r="BF548" i="1"/>
  <c r="BT548" i="1"/>
  <c r="BF953" i="1"/>
  <c r="BT953" i="1"/>
  <c r="BF530" i="1"/>
  <c r="BT530" i="1"/>
  <c r="BF1040" i="1"/>
  <c r="BT1040" i="1"/>
  <c r="BF256" i="1"/>
  <c r="BT256" i="1"/>
  <c r="BF392" i="1"/>
  <c r="BT392" i="1"/>
  <c r="BT534" i="1"/>
  <c r="BF67" i="1"/>
  <c r="BT67" i="1"/>
  <c r="BF717" i="1"/>
  <c r="BT717" i="1"/>
  <c r="BT111" i="1"/>
  <c r="BF769" i="1"/>
  <c r="BT769" i="1"/>
  <c r="BF1102" i="1"/>
  <c r="BT1102" i="1"/>
  <c r="BF206" i="1"/>
  <c r="BT206" i="1"/>
  <c r="BF359" i="1"/>
  <c r="BT359" i="1"/>
  <c r="BF243" i="1"/>
  <c r="BT243" i="1"/>
  <c r="BF337" i="1"/>
  <c r="BT337" i="1"/>
  <c r="BF143" i="1"/>
  <c r="BT143" i="1"/>
  <c r="BF897" i="1"/>
  <c r="BT897" i="1"/>
  <c r="BF880" i="1"/>
  <c r="BT880" i="1"/>
  <c r="BF155" i="1"/>
  <c r="BT155" i="1"/>
  <c r="BF235" i="1"/>
  <c r="BT235" i="1"/>
  <c r="BT986" i="1"/>
  <c r="BF1052" i="1"/>
  <c r="BT1052" i="1"/>
  <c r="BF802" i="1"/>
  <c r="BT802" i="1"/>
  <c r="BF666" i="1"/>
  <c r="BT666" i="1"/>
  <c r="BF957" i="1"/>
  <c r="BT957" i="1"/>
  <c r="BF1096" i="1"/>
  <c r="BT1096" i="1"/>
  <c r="BF681" i="1"/>
  <c r="BT681" i="1"/>
  <c r="BF748" i="1"/>
  <c r="BT748" i="1"/>
  <c r="BF79" i="1"/>
  <c r="BT79" i="1"/>
  <c r="BF331" i="1"/>
  <c r="BT331" i="1"/>
  <c r="BT29" i="1"/>
  <c r="BT761" i="1"/>
  <c r="BF823" i="1"/>
  <c r="BT823" i="1"/>
  <c r="BF589" i="1"/>
  <c r="BT589" i="1"/>
  <c r="BF434" i="1"/>
  <c r="BT434" i="1"/>
  <c r="BF120" i="1"/>
  <c r="BT120" i="1"/>
  <c r="BF776" i="1"/>
  <c r="BT776" i="1"/>
  <c r="BF796" i="1"/>
  <c r="BT796" i="1"/>
  <c r="BF523" i="1"/>
  <c r="BT523" i="1"/>
  <c r="BF491" i="1"/>
  <c r="BT491" i="1"/>
  <c r="BT264" i="1"/>
  <c r="BF709" i="1"/>
  <c r="BT709" i="1"/>
  <c r="BF912" i="1"/>
  <c r="BT912" i="1"/>
  <c r="BF97" i="1"/>
  <c r="BT97" i="1"/>
  <c r="BF263" i="1"/>
  <c r="BT263" i="1"/>
  <c r="BF882" i="1"/>
  <c r="BT882" i="1"/>
  <c r="BF995" i="1"/>
  <c r="BT995" i="1"/>
  <c r="BF336" i="1"/>
  <c r="BT336" i="1"/>
  <c r="BF422" i="1"/>
  <c r="BT422" i="1"/>
  <c r="BF471" i="1"/>
  <c r="BT471" i="1"/>
  <c r="BF961" i="1"/>
  <c r="BT961" i="1"/>
  <c r="BF1083" i="1"/>
  <c r="BT1083" i="1"/>
  <c r="BF71" i="1"/>
  <c r="BT71" i="1"/>
  <c r="BF1059" i="1"/>
  <c r="BT1059" i="1"/>
  <c r="BF490" i="1"/>
  <c r="BT490" i="1"/>
  <c r="BF909" i="1"/>
  <c r="BT909" i="1"/>
  <c r="BF197" i="1"/>
  <c r="BT197" i="1"/>
  <c r="BF118" i="1"/>
  <c r="BT118" i="1"/>
  <c r="BF558" i="1"/>
  <c r="BT558" i="1"/>
  <c r="BF428" i="1"/>
  <c r="BT428" i="1"/>
  <c r="BT1016" i="1"/>
  <c r="BF570" i="1"/>
  <c r="BT570" i="1"/>
  <c r="BF928" i="1"/>
  <c r="BT928" i="1"/>
  <c r="BF1134" i="1"/>
  <c r="BT1134" i="1"/>
  <c r="BF135" i="1"/>
  <c r="BT135" i="1"/>
  <c r="BF877" i="1"/>
  <c r="BT877" i="1"/>
  <c r="BF1017" i="1"/>
  <c r="BT1017" i="1"/>
  <c r="BF1144" i="1"/>
  <c r="BT1144" i="1"/>
  <c r="BF1043" i="1"/>
  <c r="BT1043" i="1"/>
  <c r="BT470" i="1"/>
  <c r="BF304" i="1"/>
  <c r="BT304" i="1"/>
  <c r="BF966" i="1"/>
  <c r="BT966" i="1"/>
  <c r="BF384" i="1"/>
  <c r="BT384" i="1"/>
  <c r="BF643" i="1"/>
  <c r="BT643" i="1"/>
  <c r="BF993" i="1"/>
  <c r="BT993" i="1"/>
  <c r="BF1007" i="1"/>
  <c r="BT1007" i="1"/>
  <c r="BF439" i="1"/>
  <c r="BT439" i="1"/>
  <c r="BT703" i="1"/>
  <c r="BT719" i="1"/>
  <c r="BF866" i="1"/>
  <c r="BT866" i="1"/>
  <c r="BF374" i="1"/>
  <c r="BT374" i="1"/>
  <c r="BF417" i="1"/>
  <c r="BT417" i="1"/>
  <c r="BF288" i="1"/>
  <c r="BT288" i="1"/>
  <c r="BF312" i="1"/>
  <c r="BT312" i="1"/>
  <c r="BF369" i="1"/>
  <c r="BT369" i="1"/>
  <c r="BF902" i="1"/>
  <c r="BT902" i="1"/>
  <c r="BF371" i="1"/>
  <c r="BT371" i="1"/>
  <c r="BF298" i="1"/>
  <c r="BT298" i="1"/>
  <c r="BF659" i="1"/>
  <c r="BT659" i="1"/>
  <c r="BF1078" i="1"/>
  <c r="BT1078" i="1"/>
  <c r="BF1087" i="1"/>
  <c r="BT1087" i="1"/>
  <c r="BF156" i="1"/>
  <c r="BT156" i="1"/>
  <c r="BF28" i="1"/>
  <c r="BT28" i="1"/>
  <c r="BF729" i="1"/>
  <c r="BT729" i="1"/>
  <c r="BF901" i="1"/>
  <c r="BT901" i="1"/>
  <c r="BF278" i="1"/>
  <c r="BT278" i="1"/>
  <c r="BF1115" i="1"/>
  <c r="BT1115" i="1"/>
  <c r="BF361" i="1"/>
  <c r="BT361" i="1"/>
  <c r="BF30" i="1"/>
  <c r="BT30" i="1"/>
  <c r="BT54" i="1"/>
  <c r="BF202" i="1"/>
  <c r="BT202" i="1"/>
  <c r="BF1008" i="1"/>
  <c r="BT1008" i="1"/>
  <c r="BF47" i="1"/>
  <c r="BT47" i="1"/>
  <c r="BF1133" i="1"/>
  <c r="BT1133" i="1"/>
  <c r="BF3" i="1"/>
  <c r="BT3" i="1"/>
  <c r="BF99" i="1"/>
  <c r="BT99" i="1"/>
  <c r="BF772" i="1"/>
  <c r="BT772" i="1"/>
  <c r="BF720" i="1"/>
  <c r="BT720" i="1"/>
  <c r="BF80" i="1"/>
  <c r="BT80" i="1"/>
  <c r="BF126" i="1"/>
  <c r="BT126" i="1"/>
  <c r="BF209" i="1"/>
  <c r="BT209" i="1"/>
  <c r="BF35" i="1"/>
  <c r="BT35" i="1"/>
  <c r="BF425" i="1"/>
  <c r="BT425" i="1"/>
  <c r="BF699" i="1"/>
  <c r="BT699" i="1"/>
  <c r="BF234" i="1"/>
  <c r="BT234" i="1"/>
  <c r="BF9" i="1"/>
  <c r="BT9" i="1"/>
  <c r="BF115" i="1"/>
  <c r="BT115" i="1"/>
  <c r="BF409" i="1"/>
  <c r="BT409" i="1"/>
  <c r="BF546" i="1"/>
  <c r="BT546" i="1"/>
  <c r="BF587" i="1"/>
  <c r="BT587" i="1"/>
  <c r="BF607" i="1"/>
  <c r="BT607" i="1"/>
  <c r="BF475" i="1"/>
  <c r="BT475" i="1"/>
  <c r="BF1018" i="1"/>
  <c r="BT1018" i="1"/>
  <c r="BT464" i="1"/>
  <c r="BF463" i="1"/>
  <c r="BT463" i="1"/>
  <c r="BF768" i="1"/>
  <c r="BT768" i="1"/>
  <c r="BF621" i="1"/>
  <c r="BT621" i="1"/>
  <c r="BF832" i="1"/>
  <c r="BT832" i="1"/>
  <c r="BF1103" i="1"/>
  <c r="BT1103" i="1"/>
  <c r="BF743" i="1"/>
  <c r="BT743" i="1"/>
  <c r="BF884" i="1"/>
  <c r="BT884" i="1"/>
  <c r="BF898" i="1"/>
  <c r="BT898" i="1"/>
  <c r="BF831" i="1"/>
  <c r="BT831" i="1"/>
  <c r="BF46" i="1"/>
  <c r="BT46" i="1"/>
  <c r="BF751" i="1"/>
  <c r="BT751" i="1"/>
  <c r="BF416" i="1"/>
  <c r="BT416" i="1"/>
  <c r="BF474" i="1"/>
  <c r="BT474" i="1"/>
  <c r="BF674" i="1"/>
  <c r="BT674" i="1"/>
  <c r="BF240" i="1"/>
  <c r="BT240" i="1"/>
  <c r="BT241" i="1"/>
  <c r="BF1036" i="1"/>
  <c r="BT1036" i="1"/>
  <c r="BF925" i="1"/>
  <c r="BT925" i="1"/>
  <c r="BF1089" i="1"/>
  <c r="BT1089" i="1"/>
  <c r="BF651" i="1"/>
  <c r="BT651" i="1"/>
  <c r="BF7" i="1"/>
  <c r="BT7" i="1"/>
  <c r="BF95" i="1"/>
  <c r="BT95" i="1"/>
  <c r="BF130" i="1"/>
  <c r="BT130" i="1"/>
  <c r="BF325" i="1"/>
  <c r="BT325" i="1"/>
  <c r="BF282" i="1"/>
  <c r="BT282" i="1"/>
  <c r="BF801" i="1"/>
  <c r="BT801" i="1"/>
  <c r="BF452" i="1"/>
  <c r="BT452" i="1"/>
  <c r="BF164" i="1"/>
  <c r="BT164" i="1"/>
  <c r="BF554" i="1"/>
  <c r="BT554" i="1"/>
  <c r="BF303" i="1"/>
  <c r="BT303" i="1"/>
  <c r="BF854" i="1"/>
  <c r="BT854" i="1"/>
  <c r="BF435" i="1"/>
  <c r="BT435" i="1"/>
  <c r="BF672" i="1"/>
  <c r="BT672" i="1"/>
  <c r="BF289" i="1"/>
  <c r="BT289" i="1"/>
  <c r="BT477" i="1"/>
  <c r="BF487" i="1"/>
  <c r="BT487" i="1"/>
  <c r="BF742" i="1"/>
  <c r="BT742" i="1"/>
  <c r="BF231" i="1"/>
  <c r="BT231" i="1"/>
  <c r="BF655" i="1"/>
  <c r="BT655" i="1"/>
  <c r="BF1004" i="1"/>
  <c r="BT1004" i="1"/>
  <c r="BF601" i="1"/>
  <c r="BT601" i="1"/>
  <c r="BF793" i="1"/>
  <c r="BT793" i="1"/>
  <c r="BF214" i="1"/>
  <c r="BT214" i="1"/>
  <c r="BF182" i="1"/>
  <c r="BT182" i="1"/>
  <c r="BF886" i="1"/>
  <c r="BT886" i="1"/>
  <c r="BF1049" i="1"/>
  <c r="BT1049" i="1"/>
  <c r="BF335" i="1"/>
  <c r="BT335" i="1"/>
  <c r="BF807" i="1"/>
  <c r="BT807" i="1"/>
  <c r="BF1003" i="1"/>
  <c r="BT1003" i="1"/>
  <c r="BF494" i="1"/>
  <c r="BT494" i="1"/>
  <c r="BF1095" i="1"/>
  <c r="BT1095" i="1"/>
  <c r="BF348" i="1"/>
  <c r="BT348" i="1"/>
  <c r="BF937" i="1"/>
  <c r="BT937" i="1"/>
  <c r="BF572" i="1"/>
  <c r="BT572" i="1"/>
  <c r="BF90" i="1"/>
  <c r="BT90" i="1"/>
  <c r="BF15" i="1"/>
  <c r="BT15" i="1"/>
  <c r="BF790" i="1"/>
  <c r="BT790" i="1"/>
  <c r="BF429" i="1"/>
  <c r="BT429" i="1"/>
  <c r="BT65" i="1"/>
  <c r="BF396" i="1"/>
  <c r="BT396" i="1"/>
  <c r="BF833" i="1"/>
  <c r="BT833" i="1"/>
  <c r="BF31" i="1"/>
  <c r="BT31" i="1"/>
  <c r="BF1121" i="1"/>
  <c r="BT1121" i="1"/>
  <c r="BF690" i="1"/>
  <c r="BT690" i="1"/>
  <c r="BT273" i="1"/>
  <c r="BF669" i="1"/>
  <c r="BT669" i="1"/>
  <c r="BF556" i="1"/>
  <c r="BT556" i="1"/>
  <c r="BF1080" i="1"/>
  <c r="BT1080" i="1"/>
  <c r="BF505" i="1"/>
  <c r="BT505" i="1"/>
  <c r="BF627" i="1"/>
  <c r="BT627" i="1"/>
  <c r="BF134" i="1"/>
  <c r="BT134" i="1"/>
  <c r="BF979" i="1"/>
  <c r="BT979" i="1"/>
  <c r="BF835" i="1"/>
  <c r="BT835" i="1"/>
  <c r="BF217" i="1"/>
  <c r="BT217" i="1"/>
  <c r="BF533" i="1"/>
  <c r="BT533" i="1"/>
  <c r="BF391" i="1"/>
  <c r="BT391" i="1"/>
  <c r="BF918" i="1"/>
  <c r="BT918" i="1"/>
  <c r="BF129" i="1"/>
  <c r="BT129" i="1"/>
  <c r="BF848" i="1"/>
  <c r="BT848" i="1"/>
  <c r="BF76" i="1"/>
  <c r="BT76" i="1"/>
  <c r="BF665" i="1"/>
  <c r="BT665" i="1"/>
  <c r="BF455" i="1"/>
  <c r="BT455" i="1"/>
  <c r="BF191" i="1"/>
  <c r="BT191" i="1"/>
  <c r="BF461" i="1"/>
  <c r="BT461" i="1"/>
  <c r="BF896" i="1"/>
  <c r="BT896" i="1"/>
  <c r="BF1033" i="1"/>
  <c r="BT1033" i="1"/>
  <c r="BT69" i="1"/>
  <c r="BF1034" i="1"/>
  <c r="BT1034" i="1"/>
  <c r="BF702" i="1"/>
  <c r="BT702" i="1"/>
  <c r="BT760" i="1"/>
  <c r="BT215" i="1"/>
  <c r="BF367" i="1"/>
  <c r="BT367" i="1"/>
  <c r="BF183" i="1"/>
  <c r="BT183" i="1"/>
  <c r="BF255" i="1"/>
  <c r="BT255" i="1"/>
  <c r="BF51" i="1"/>
  <c r="BT51" i="1"/>
  <c r="BF632" i="1"/>
  <c r="BT632" i="1"/>
  <c r="BF905" i="1"/>
  <c r="BT905" i="1"/>
  <c r="BT244" i="1"/>
  <c r="BF684" i="1"/>
  <c r="BT684" i="1"/>
  <c r="BF1010" i="1"/>
  <c r="BT1010" i="1"/>
  <c r="BF724" i="1"/>
  <c r="BT724" i="1"/>
  <c r="BF260" i="1"/>
  <c r="BT260" i="1"/>
  <c r="BF1076" i="1"/>
  <c r="BT1076" i="1"/>
  <c r="BF794" i="1"/>
  <c r="BT794" i="1"/>
  <c r="BT251" i="1"/>
  <c r="BF302" i="1"/>
  <c r="BT302" i="1"/>
  <c r="BT938" i="1"/>
  <c r="BF700" i="1"/>
  <c r="BT700" i="1"/>
  <c r="BF759" i="1"/>
  <c r="BT759" i="1"/>
  <c r="BF841" i="1"/>
  <c r="BT841" i="1"/>
  <c r="BF586" i="1"/>
  <c r="BT586" i="1"/>
  <c r="BF154" i="1"/>
  <c r="BT154" i="1"/>
  <c r="BF1128" i="1"/>
  <c r="BT1128" i="1"/>
  <c r="BF614" i="1"/>
  <c r="BT614" i="1"/>
  <c r="BF1114" i="1"/>
  <c r="BT1114" i="1"/>
  <c r="BF213" i="1"/>
  <c r="BT213" i="1"/>
  <c r="BF985" i="1"/>
  <c r="BT985" i="1"/>
  <c r="BF663" i="1"/>
  <c r="BT663" i="1"/>
  <c r="BF26" i="1"/>
  <c r="BT26" i="1"/>
  <c r="BF454" i="1"/>
  <c r="BT454" i="1"/>
  <c r="BF547" i="1"/>
  <c r="BT547" i="1"/>
  <c r="BF1029" i="1"/>
  <c r="BT1029" i="1"/>
  <c r="BF550" i="1"/>
  <c r="BT550" i="1"/>
  <c r="BF59" i="1"/>
  <c r="BT59" i="1"/>
  <c r="BT1132" i="1"/>
  <c r="BF711" i="1"/>
  <c r="BT711" i="1"/>
  <c r="BF515" i="1"/>
  <c r="BT515" i="1"/>
  <c r="BF85" i="1"/>
  <c r="BT85" i="1"/>
  <c r="BT689" i="1"/>
  <c r="BF162" i="1"/>
  <c r="BT162" i="1"/>
  <c r="BF98" i="1"/>
  <c r="BT98" i="1"/>
  <c r="BT12" i="1"/>
  <c r="BT387" i="1"/>
  <c r="BF1163" i="1"/>
  <c r="BT1163" i="1"/>
  <c r="BF721" i="1"/>
  <c r="BT721" i="1"/>
  <c r="BF284" i="1"/>
  <c r="BT284" i="1"/>
  <c r="BF786" i="1"/>
  <c r="BT786" i="1"/>
  <c r="BF541" i="1"/>
  <c r="BT541" i="1"/>
  <c r="BF579" i="1"/>
  <c r="BT579" i="1"/>
  <c r="BF778" i="1"/>
  <c r="BT778" i="1"/>
  <c r="BF951" i="1"/>
  <c r="BT951" i="1"/>
  <c r="BF715" i="1"/>
  <c r="BT715" i="1"/>
  <c r="BF1107" i="1"/>
  <c r="BT1107" i="1"/>
  <c r="BF945" i="1"/>
  <c r="BT945" i="1"/>
  <c r="BF990" i="1"/>
  <c r="BT990" i="1"/>
  <c r="BF562" i="1"/>
  <c r="BT562" i="1"/>
  <c r="BF765" i="1"/>
  <c r="BT765" i="1"/>
  <c r="BF165" i="1"/>
  <c r="BT165" i="1"/>
  <c r="BF706" i="1"/>
  <c r="BT706" i="1"/>
  <c r="BF927" i="1"/>
  <c r="BT927" i="1"/>
  <c r="BF267" i="1"/>
  <c r="BT267" i="1"/>
  <c r="BF420" i="1"/>
  <c r="BT420" i="1"/>
  <c r="BF934" i="1"/>
  <c r="BT934" i="1"/>
  <c r="BF713" i="1"/>
  <c r="BT713" i="1"/>
  <c r="BF1119" i="1"/>
  <c r="BT1119" i="1"/>
  <c r="BF510" i="1"/>
  <c r="BT510" i="1"/>
  <c r="BF757" i="1"/>
  <c r="BT757" i="1"/>
  <c r="BF484" i="1"/>
  <c r="BT484" i="1"/>
  <c r="BF153" i="1"/>
  <c r="BT153" i="1"/>
  <c r="BF800" i="1"/>
  <c r="BT800" i="1"/>
  <c r="BF159" i="1"/>
  <c r="BT159" i="1"/>
  <c r="BF1020" i="1"/>
  <c r="BT1020" i="1"/>
  <c r="BF1146" i="1"/>
  <c r="BT1146" i="1"/>
  <c r="BF549" i="1"/>
  <c r="BT549" i="1"/>
  <c r="BF1145" i="1"/>
  <c r="BT1145" i="1"/>
  <c r="BF1092" i="1"/>
  <c r="BT1092" i="1"/>
  <c r="BT730" i="1"/>
  <c r="BF1113" i="1"/>
  <c r="BT1113" i="1"/>
  <c r="BF1093" i="1"/>
  <c r="BT1093" i="1"/>
  <c r="BF962" i="1"/>
  <c r="BT962" i="1"/>
  <c r="BT931" i="1"/>
  <c r="BF1126" i="1"/>
  <c r="BT1126" i="1"/>
  <c r="BF1027" i="1"/>
  <c r="BT1027" i="1"/>
  <c r="BF876" i="1"/>
  <c r="BT876" i="1"/>
  <c r="BF722" i="1"/>
  <c r="BT722" i="1"/>
  <c r="BF839" i="1"/>
  <c r="BT839" i="1"/>
  <c r="BF460" i="1"/>
  <c r="BT460" i="1"/>
  <c r="BF74" i="1"/>
  <c r="BT74" i="1"/>
  <c r="BF575" i="1"/>
  <c r="BT575" i="1"/>
  <c r="BF114" i="1"/>
  <c r="BT114" i="1"/>
  <c r="BF52" i="1"/>
  <c r="BT52" i="1"/>
  <c r="BF370" i="1"/>
  <c r="BT370" i="1"/>
  <c r="BF520" i="1"/>
  <c r="BT520" i="1"/>
  <c r="BF356" i="1"/>
  <c r="BT356" i="1"/>
  <c r="BT413" i="1"/>
  <c r="BF180" i="1"/>
  <c r="BT180" i="1"/>
  <c r="BF670" i="1"/>
  <c r="BT670" i="1"/>
  <c r="BF75" i="1"/>
  <c r="BT75" i="1"/>
  <c r="BF1025" i="1"/>
  <c r="BT1025" i="1"/>
  <c r="BF952" i="1"/>
  <c r="BT952" i="1"/>
  <c r="BF1079" i="1"/>
  <c r="BT1079" i="1"/>
  <c r="BF168" i="1"/>
  <c r="BT168" i="1"/>
  <c r="BF381" i="1"/>
  <c r="BT381" i="1"/>
  <c r="BF1091" i="1"/>
  <c r="BT1091" i="1"/>
  <c r="BF845" i="1"/>
  <c r="BT845" i="1"/>
  <c r="BF914" i="1"/>
  <c r="BT914" i="1"/>
  <c r="BT965" i="1"/>
  <c r="BF879" i="1"/>
  <c r="BT879" i="1"/>
  <c r="BF513" i="1"/>
  <c r="BT513" i="1"/>
  <c r="BF421" i="1"/>
  <c r="BT421" i="1"/>
  <c r="BF867" i="1"/>
  <c r="BT867" i="1"/>
  <c r="BF408" i="1"/>
  <c r="BT408" i="1"/>
  <c r="BF1067" i="1"/>
  <c r="BT1067" i="1"/>
  <c r="BF783" i="1"/>
  <c r="BT783" i="1"/>
  <c r="BT680" i="1"/>
  <c r="BF445" i="1"/>
  <c r="BT445" i="1"/>
  <c r="BF400" i="1"/>
  <c r="BT400" i="1"/>
  <c r="BF339" i="1"/>
  <c r="BT339" i="1"/>
  <c r="BF406" i="1"/>
  <c r="BT406" i="1"/>
  <c r="BF102" i="1"/>
  <c r="BT102" i="1"/>
  <c r="BF915" i="1"/>
  <c r="BT915" i="1"/>
  <c r="BF184" i="1"/>
  <c r="BT184" i="1"/>
  <c r="BF766" i="1"/>
  <c r="BT766" i="1"/>
  <c r="BF1053" i="1"/>
  <c r="BT1053" i="1"/>
  <c r="BF668" i="1"/>
  <c r="BT668" i="1"/>
  <c r="BT1050" i="1"/>
  <c r="BF638" i="1"/>
  <c r="BT638" i="1"/>
  <c r="BF955" i="1"/>
  <c r="BT955" i="1"/>
  <c r="BF219" i="1"/>
  <c r="BT219" i="1"/>
  <c r="BF890" i="1"/>
  <c r="BT890" i="1"/>
  <c r="BF1001" i="1"/>
  <c r="BT1001" i="1"/>
  <c r="BF199" i="1"/>
  <c r="BT199" i="1"/>
  <c r="BF8" i="1"/>
  <c r="BT8" i="1"/>
  <c r="BF414" i="1"/>
  <c r="BT414" i="1"/>
  <c r="BT297" i="1"/>
  <c r="BF340" i="1"/>
  <c r="BT340" i="1"/>
  <c r="BF225" i="1"/>
  <c r="BT225" i="1"/>
  <c r="BF958" i="1"/>
  <c r="BT958" i="1"/>
  <c r="BT727" i="1"/>
  <c r="BF746" i="1"/>
  <c r="BT746" i="1"/>
  <c r="BF100" i="1"/>
  <c r="BT100" i="1"/>
  <c r="BF211" i="1"/>
  <c r="BT211" i="1"/>
  <c r="BT321" i="1"/>
  <c r="BF514" i="1"/>
  <c r="BT514" i="1"/>
  <c r="BF679" i="1"/>
  <c r="BT679" i="1"/>
  <c r="BF1155" i="1"/>
  <c r="BT1155" i="1"/>
  <c r="BF500" i="1"/>
  <c r="BT500" i="1"/>
  <c r="BF608" i="1"/>
  <c r="BT608" i="1"/>
  <c r="BF982" i="1"/>
  <c r="BT982" i="1"/>
  <c r="BF320" i="1"/>
  <c r="BT320" i="1"/>
  <c r="BF1044" i="1"/>
  <c r="BT1044" i="1"/>
  <c r="BT528" i="1"/>
  <c r="BF38" i="1"/>
  <c r="BT38" i="1"/>
  <c r="BF502" i="1"/>
  <c r="BT502" i="1"/>
  <c r="BF158" i="1"/>
  <c r="BT158" i="1"/>
  <c r="BF992" i="1"/>
  <c r="BT992" i="1"/>
  <c r="BF172" i="1"/>
  <c r="BT172" i="1"/>
  <c r="BF787" i="1"/>
  <c r="BT787" i="1"/>
  <c r="BF639" i="1"/>
  <c r="BT639" i="1"/>
  <c r="BF399" i="1"/>
  <c r="BT399" i="1"/>
  <c r="BF1072" i="1"/>
  <c r="BT1072" i="1"/>
  <c r="BF16" i="1"/>
  <c r="BT16" i="1"/>
  <c r="BF987" i="1"/>
  <c r="BT987" i="1"/>
  <c r="BF233" i="1"/>
  <c r="BT233" i="1"/>
  <c r="BF493" i="1"/>
  <c r="BT493" i="1"/>
  <c r="BF874" i="1"/>
  <c r="BT874" i="1"/>
  <c r="BF980" i="1"/>
  <c r="BT980" i="1"/>
  <c r="BT1122" i="1"/>
  <c r="BF843" i="1"/>
  <c r="BT843" i="1"/>
  <c r="BT378" i="1"/>
  <c r="BF826" i="1"/>
  <c r="BT826" i="1"/>
  <c r="BF718" i="1"/>
  <c r="BT718" i="1"/>
  <c r="BF920" i="1"/>
  <c r="BT920" i="1"/>
  <c r="BF635" i="1"/>
  <c r="BT635" i="1"/>
  <c r="BF13" i="1"/>
  <c r="BT13" i="1"/>
  <c r="BF749" i="1"/>
  <c r="BT749" i="1"/>
  <c r="BF683" i="1"/>
  <c r="BT683" i="1"/>
  <c r="BF1041" i="1"/>
  <c r="BT1041" i="1"/>
  <c r="BF657" i="1"/>
  <c r="BT657" i="1"/>
  <c r="BF673" i="1"/>
  <c r="BT673" i="1"/>
  <c r="BF512" i="1"/>
  <c r="BT512" i="1"/>
  <c r="BF61" i="1"/>
  <c r="BT61" i="1"/>
  <c r="BT590" i="1"/>
  <c r="BF747" i="1"/>
  <c r="BT747" i="1"/>
  <c r="BF678" i="1"/>
  <c r="BT678" i="1"/>
  <c r="BF518" i="1"/>
  <c r="BT518" i="1"/>
  <c r="BF863" i="1"/>
  <c r="BT863" i="1"/>
  <c r="BF539" i="1"/>
  <c r="BT539" i="1"/>
  <c r="BF107" i="1"/>
  <c r="BT107" i="1"/>
  <c r="BT1031" i="1"/>
  <c r="BF440" i="1"/>
  <c r="BT440" i="1"/>
  <c r="BF190" i="1"/>
  <c r="BT190" i="1"/>
  <c r="BF104" i="1"/>
  <c r="BT104" i="1"/>
  <c r="BF1098" i="1"/>
  <c r="BT1098" i="1"/>
  <c r="BF785" i="1"/>
  <c r="BT785" i="1"/>
  <c r="BT959" i="1"/>
  <c r="BF1097" i="1"/>
  <c r="BT1097" i="1"/>
  <c r="BT196" i="1"/>
  <c r="BT501" i="1"/>
  <c r="BF247" i="1"/>
  <c r="BT247" i="1"/>
  <c r="BF631" i="1"/>
  <c r="BT631" i="1"/>
  <c r="BF4" i="1"/>
  <c r="BT4" i="1"/>
  <c r="BF314" i="1"/>
  <c r="BT314" i="1"/>
  <c r="BF1039" i="1"/>
  <c r="BT1039" i="1"/>
  <c r="BF265" i="1"/>
  <c r="BT265" i="1"/>
  <c r="BT138" i="1"/>
  <c r="BF218" i="1"/>
  <c r="BT218" i="1"/>
  <c r="BF479" i="1"/>
  <c r="BT479" i="1"/>
  <c r="BF194" i="1"/>
  <c r="BT194" i="1"/>
  <c r="BF964" i="1"/>
  <c r="BT964" i="1"/>
  <c r="BF185" i="1"/>
  <c r="BT185" i="1"/>
  <c r="BF418" i="1"/>
  <c r="BT418" i="1"/>
  <c r="BF732" i="1"/>
  <c r="BT732" i="1"/>
  <c r="BF301" i="1"/>
  <c r="BT301" i="1"/>
  <c r="BT1022" i="1"/>
  <c r="BF236" i="1"/>
  <c r="BT236" i="1"/>
  <c r="BF488" i="1"/>
  <c r="BT488" i="1"/>
  <c r="BF1136" i="1"/>
  <c r="BT1136" i="1"/>
  <c r="BF1090" i="1"/>
  <c r="BT1090" i="1"/>
  <c r="BF834" i="1"/>
  <c r="BT834" i="1"/>
  <c r="BF1118" i="1"/>
  <c r="BT1118" i="1"/>
  <c r="BF865" i="1"/>
  <c r="BT865" i="1"/>
  <c r="BF592" i="1"/>
  <c r="BT592" i="1"/>
  <c r="BF728" i="1"/>
  <c r="BT728" i="1"/>
  <c r="BF950" i="1"/>
  <c r="BT950" i="1"/>
  <c r="BT584" i="1"/>
  <c r="BF50" i="1"/>
  <c r="BT50" i="1"/>
  <c r="BF628" i="1"/>
  <c r="BT628" i="1"/>
  <c r="BF682" i="1"/>
  <c r="BT682" i="1"/>
  <c r="BT944" i="1"/>
  <c r="BF619" i="1"/>
  <c r="BT619" i="1"/>
  <c r="BF432" i="1"/>
  <c r="BT432" i="1"/>
  <c r="BF799" i="1"/>
  <c r="BT799" i="1"/>
  <c r="BF223" i="1"/>
  <c r="BT223" i="1"/>
  <c r="BF1106" i="1"/>
  <c r="BT1106" i="1"/>
  <c r="BF499" i="1"/>
  <c r="BT499" i="1"/>
  <c r="BF943" i="1"/>
  <c r="BT943" i="1"/>
  <c r="BF563" i="1"/>
  <c r="BT563" i="1"/>
  <c r="BF870" i="1"/>
  <c r="BT870" i="1"/>
  <c r="BF1124" i="1"/>
  <c r="BT1124" i="1"/>
  <c r="BF308" i="1"/>
  <c r="BT308" i="1"/>
  <c r="BF433" i="1"/>
  <c r="BT433" i="1"/>
  <c r="BF695" i="1"/>
  <c r="BT695" i="1"/>
  <c r="BF149" i="1"/>
  <c r="BT149" i="1"/>
  <c r="BF997" i="1"/>
  <c r="BT997" i="1"/>
  <c r="BT688" i="1"/>
  <c r="BF70" i="1"/>
  <c r="BT70" i="1"/>
  <c r="BT594" i="1"/>
  <c r="BF509" i="1"/>
  <c r="BT509" i="1"/>
  <c r="BF618" i="1"/>
  <c r="BT618" i="1"/>
  <c r="BF929" i="1"/>
  <c r="BT929" i="1"/>
  <c r="BF450" i="1"/>
  <c r="BT450" i="1"/>
  <c r="BF775" i="1"/>
  <c r="BT775" i="1"/>
  <c r="BF1000" i="1"/>
  <c r="BT1000" i="1"/>
  <c r="BF1110" i="1"/>
  <c r="BT1110" i="1"/>
  <c r="BT401" i="1"/>
  <c r="BF441" i="1"/>
  <c r="BT441" i="1"/>
  <c r="BF1009" i="1"/>
  <c r="BT1009" i="1"/>
  <c r="BF246" i="1"/>
  <c r="BT246" i="1"/>
  <c r="BT478" i="1"/>
  <c r="BF750" i="1"/>
  <c r="BT750" i="1"/>
  <c r="BT551" i="1"/>
  <c r="BF697" i="1"/>
  <c r="BT697" i="1"/>
  <c r="BF861" i="1"/>
  <c r="BT861" i="1"/>
  <c r="BF248" i="1"/>
  <c r="BT248" i="1"/>
  <c r="BF568" i="1"/>
  <c r="BT568" i="1"/>
  <c r="BF1005" i="1"/>
  <c r="BT1005" i="1"/>
  <c r="BT919" i="1"/>
  <c r="BT186" i="1"/>
  <c r="BF1156" i="1"/>
  <c r="BT1156" i="1"/>
  <c r="BF825" i="1"/>
  <c r="BT825" i="1"/>
  <c r="BF565" i="1"/>
  <c r="BT565" i="1"/>
  <c r="BF14" i="1"/>
  <c r="BT14" i="1"/>
  <c r="BF468" i="1"/>
  <c r="BT468" i="1"/>
  <c r="BF351" i="1"/>
  <c r="BT351" i="1"/>
  <c r="BF1077" i="1"/>
  <c r="BT1077" i="1"/>
  <c r="BF602" i="1"/>
  <c r="BT602" i="1"/>
  <c r="BF112" i="1"/>
  <c r="BT112" i="1"/>
  <c r="BF612" i="1"/>
  <c r="BT612" i="1"/>
  <c r="BF423" i="1"/>
  <c r="BT423" i="1"/>
  <c r="BT466" i="1"/>
  <c r="BF858" i="1"/>
  <c r="BT858" i="1"/>
  <c r="BF647" i="1"/>
  <c r="BT647" i="1"/>
  <c r="BF343" i="1"/>
  <c r="BT343" i="1"/>
  <c r="BF86" i="1"/>
  <c r="BT86" i="1"/>
  <c r="BF121" i="1"/>
  <c r="BT121" i="1"/>
  <c r="BF198" i="1"/>
  <c r="BT198" i="1"/>
  <c r="BT393" i="1"/>
  <c r="BF593" i="1"/>
  <c r="BT593" i="1"/>
  <c r="BF527" i="1"/>
  <c r="BT527" i="1"/>
  <c r="BF605" i="1"/>
  <c r="BT605" i="1"/>
  <c r="BF258" i="1"/>
  <c r="BT258" i="1"/>
  <c r="BF324" i="1"/>
  <c r="BT324" i="1"/>
  <c r="BF41" i="1"/>
  <c r="BT41" i="1"/>
  <c r="BF77" i="1"/>
  <c r="BT77" i="1"/>
  <c r="BF427" i="1"/>
  <c r="BT427" i="1"/>
  <c r="BF889" i="1"/>
  <c r="BT889" i="1"/>
  <c r="BF894" i="1"/>
  <c r="BT894" i="1"/>
  <c r="BF617" i="1"/>
  <c r="BT617" i="1"/>
  <c r="BF403" i="1"/>
  <c r="BT403" i="1"/>
  <c r="BF300" i="1"/>
  <c r="BT300" i="1"/>
  <c r="BF996" i="1"/>
  <c r="BT996" i="1"/>
  <c r="BF146" i="1"/>
  <c r="BT146" i="1"/>
  <c r="BF32" i="1"/>
  <c r="BT32" i="1"/>
  <c r="BF773" i="1"/>
  <c r="BT773" i="1"/>
  <c r="BF900" i="1"/>
  <c r="BT900" i="1"/>
  <c r="BF257" i="1"/>
  <c r="BT257" i="1"/>
  <c r="BF939" i="1"/>
  <c r="BT939" i="1"/>
  <c r="BF946" i="1"/>
  <c r="BT946" i="1"/>
  <c r="BF574" i="1"/>
  <c r="BT574" i="1"/>
  <c r="BF485" i="1"/>
  <c r="BT485" i="1"/>
  <c r="BF407" i="1"/>
  <c r="BT407" i="1"/>
  <c r="BF1153" i="1"/>
  <c r="BT1153" i="1"/>
  <c r="BF991" i="1"/>
  <c r="BT991" i="1"/>
  <c r="BF200" i="1"/>
  <c r="BT200" i="1"/>
  <c r="BF411" i="1"/>
  <c r="BT411" i="1"/>
  <c r="BF296" i="1"/>
  <c r="BT296" i="1"/>
  <c r="BF323" i="1"/>
  <c r="BT323" i="1"/>
  <c r="BF1100" i="1"/>
  <c r="BT1100" i="1"/>
  <c r="BF152" i="1"/>
  <c r="BT152" i="1"/>
  <c r="BF941" i="1"/>
  <c r="BT941" i="1"/>
  <c r="BF128" i="1"/>
  <c r="BT128" i="1"/>
  <c r="BF822" i="1"/>
  <c r="BT822" i="1"/>
  <c r="BF33" i="1"/>
  <c r="BT33" i="1"/>
  <c r="BF346" i="1"/>
  <c r="BT346" i="1"/>
  <c r="BF585" i="1"/>
  <c r="BT585" i="1"/>
  <c r="BF5" i="1"/>
  <c r="BT5" i="1"/>
  <c r="BF404" i="1"/>
  <c r="BT404" i="1"/>
  <c r="BF195" i="1"/>
  <c r="BT195" i="1"/>
  <c r="BF160" i="1"/>
  <c r="BT160" i="1"/>
  <c r="BF694" i="1"/>
  <c r="BT694" i="1"/>
  <c r="BF553" i="1"/>
  <c r="BT553" i="1"/>
  <c r="BF249" i="1"/>
  <c r="BT249" i="1"/>
  <c r="BF349" i="1"/>
  <c r="BT349" i="1"/>
  <c r="BF1061" i="1"/>
  <c r="BT1061" i="1"/>
  <c r="BT166" i="1"/>
  <c r="BF873" i="1"/>
  <c r="BT873" i="1"/>
  <c r="BF389" i="1"/>
  <c r="BT389" i="1"/>
  <c r="BF350" i="1"/>
  <c r="BT350" i="1"/>
  <c r="BF687" i="1"/>
  <c r="BT687" i="1"/>
  <c r="BF740" i="1"/>
  <c r="BT740" i="1"/>
  <c r="BF1160" i="1"/>
  <c r="BT1160" i="1"/>
  <c r="BF279" i="1"/>
  <c r="BT279" i="1"/>
  <c r="BF846" i="1"/>
  <c r="BT846" i="1"/>
  <c r="BF1108" i="1"/>
  <c r="BT1108" i="1"/>
  <c r="BF1138" i="1"/>
  <c r="BT1138" i="1"/>
  <c r="BF419" i="1"/>
  <c r="BT419" i="1"/>
  <c r="BF543" i="1"/>
  <c r="BT543" i="1"/>
  <c r="BF908" i="1"/>
  <c r="BT908" i="1"/>
  <c r="BF489" i="1"/>
  <c r="BT489" i="1"/>
  <c r="BF410" i="1"/>
  <c r="BT410" i="1"/>
  <c r="BF779" i="1"/>
  <c r="BT779" i="1"/>
  <c r="BF853" i="1"/>
  <c r="BT853" i="1"/>
  <c r="BF379" i="1"/>
  <c r="BT379" i="1"/>
  <c r="BF753" i="1"/>
  <c r="BT753" i="1"/>
  <c r="BF207" i="1"/>
  <c r="BT207" i="1"/>
  <c r="BF56" i="1"/>
  <c r="BT56" i="1"/>
  <c r="BT48" i="1"/>
  <c r="BF525" i="1"/>
  <c r="BT525" i="1"/>
  <c r="BF836" i="1"/>
  <c r="BT836" i="1"/>
  <c r="BF239" i="1"/>
  <c r="BT239" i="1"/>
  <c r="BF53" i="1"/>
  <c r="BT53" i="1"/>
  <c r="BF221" i="1"/>
  <c r="BT221" i="1"/>
  <c r="BF395" i="1"/>
  <c r="BT395" i="1"/>
  <c r="BF295" i="1"/>
  <c r="BT295" i="1"/>
  <c r="BT685" i="1"/>
  <c r="BF438" i="1"/>
  <c r="BT438" i="1"/>
  <c r="BF357" i="1"/>
  <c r="BT357" i="1"/>
  <c r="BF567" i="1"/>
  <c r="BT567" i="1"/>
  <c r="BF756" i="1"/>
  <c r="BT756" i="1"/>
  <c r="BF580" i="1"/>
  <c r="BT580" i="1"/>
  <c r="BF828" i="1"/>
  <c r="BT828" i="1"/>
  <c r="BF667" i="1"/>
  <c r="BT667" i="1"/>
  <c r="BF652" i="1"/>
  <c r="BT652" i="1"/>
  <c r="BT954" i="1"/>
  <c r="BF232" i="1"/>
  <c r="BT232" i="1"/>
  <c r="BT91" i="1"/>
  <c r="BF812" i="1"/>
  <c r="BT812" i="1"/>
  <c r="BF275" i="1"/>
  <c r="BT275" i="1"/>
  <c r="BT686" i="1"/>
  <c r="BF519" i="1"/>
  <c r="BT519" i="1"/>
  <c r="BF280" i="1"/>
  <c r="BT280" i="1"/>
  <c r="BF576" i="1"/>
  <c r="BT576" i="1"/>
  <c r="BF322" i="1"/>
  <c r="BT322" i="1"/>
  <c r="BF341" i="1"/>
  <c r="BT341" i="1"/>
  <c r="BF181" i="1"/>
  <c r="BT181" i="1"/>
  <c r="BF744" i="1"/>
  <c r="BT744" i="1"/>
  <c r="BF819" i="1"/>
  <c r="BT819" i="1"/>
  <c r="BF447" i="1"/>
  <c r="BT447" i="1"/>
  <c r="BF755" i="1"/>
  <c r="BT755" i="1"/>
  <c r="BF1013" i="1"/>
  <c r="BT1013" i="1"/>
  <c r="BF73" i="1"/>
  <c r="BT73" i="1"/>
  <c r="BF1157" i="1"/>
  <c r="BT1157" i="1"/>
  <c r="BF390" i="1"/>
  <c r="BT390" i="1"/>
  <c r="BF998" i="1"/>
  <c r="BT998" i="1"/>
  <c r="BF662" i="1"/>
  <c r="BT662" i="1"/>
  <c r="BF352" i="1"/>
  <c r="BT352" i="1"/>
  <c r="BF644" i="1"/>
  <c r="BT644" i="1"/>
  <c r="BF862" i="1"/>
  <c r="BT862" i="1"/>
  <c r="BT581" i="1"/>
  <c r="BF224" i="1"/>
  <c r="BT224" i="1"/>
  <c r="BT1045" i="1"/>
  <c r="BF1101" i="1"/>
  <c r="BT1101" i="1"/>
  <c r="BF780" i="1"/>
  <c r="BT780" i="1"/>
  <c r="BT204" i="1"/>
  <c r="BF636" i="1"/>
  <c r="BT636" i="1"/>
  <c r="BF360" i="1"/>
  <c r="BT360" i="1"/>
  <c r="BT272" i="1"/>
  <c r="BF332" i="1"/>
  <c r="BT332" i="1"/>
  <c r="BF1129" i="1"/>
  <c r="BT1129" i="1"/>
  <c r="BF960" i="1"/>
  <c r="BT960" i="1"/>
  <c r="BF973" i="1"/>
  <c r="BT973" i="1"/>
  <c r="BF968" i="1"/>
  <c r="BT968" i="1"/>
  <c r="BF23" i="1"/>
  <c r="BT23" i="1"/>
  <c r="BF315" i="1"/>
  <c r="BT315" i="1"/>
  <c r="BF1130" i="1"/>
  <c r="BT1130" i="1"/>
  <c r="BF630" i="1"/>
  <c r="BT630" i="1"/>
  <c r="BF813" i="1"/>
  <c r="BT813" i="1"/>
  <c r="BF132" i="1"/>
  <c r="BT132" i="1"/>
  <c r="BF814" i="1"/>
  <c r="BT814" i="1"/>
  <c r="BF642" i="1"/>
  <c r="BT642" i="1"/>
  <c r="BF1064" i="1"/>
  <c r="BT1064" i="1"/>
  <c r="BF11" i="1"/>
  <c r="BT11" i="1"/>
  <c r="BF503" i="1"/>
  <c r="BT503" i="1"/>
  <c r="BF66" i="1"/>
  <c r="BT66" i="1"/>
  <c r="BF792" i="1"/>
  <c r="BT792" i="1"/>
  <c r="BF816" i="1"/>
  <c r="BT816" i="1"/>
  <c r="BF375" i="1"/>
  <c r="BT375" i="1"/>
  <c r="BF693" i="1"/>
  <c r="BT693" i="1"/>
  <c r="BF363" i="1"/>
  <c r="BT363" i="1"/>
  <c r="BF531" i="1"/>
  <c r="BT531" i="1"/>
  <c r="BT1075" i="1"/>
  <c r="BF276" i="1"/>
  <c r="BT276" i="1"/>
  <c r="BF577" i="1"/>
  <c r="BT577" i="1"/>
  <c r="BF307" i="1"/>
  <c r="BT307" i="1"/>
  <c r="BT269" i="1"/>
  <c r="BF1019" i="1"/>
  <c r="BT1019" i="1"/>
  <c r="BF21" i="1"/>
  <c r="BT21" i="1"/>
  <c r="BF55" i="1"/>
  <c r="BT55" i="1"/>
  <c r="BF372" i="1"/>
  <c r="BT372" i="1"/>
  <c r="BF969" i="1"/>
  <c r="BT969" i="1"/>
  <c r="BF710" i="1"/>
  <c r="BT710" i="1"/>
  <c r="BF437" i="1"/>
  <c r="BT437" i="1"/>
  <c r="BF837" i="1"/>
  <c r="BT837" i="1"/>
  <c r="BF103" i="1"/>
  <c r="BT103" i="1"/>
  <c r="BF227" i="1"/>
  <c r="BT227" i="1"/>
  <c r="BF456" i="1"/>
  <c r="BT456" i="1"/>
  <c r="BF1159" i="1"/>
  <c r="BT1159" i="1"/>
  <c r="BF136" i="1"/>
  <c r="BT136" i="1"/>
</calcChain>
</file>

<file path=xl/sharedStrings.xml><?xml version="1.0" encoding="utf-8"?>
<sst xmlns="http://schemas.openxmlformats.org/spreadsheetml/2006/main" count="227082" uniqueCount="8777">
  <si>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</si>
  <si>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</si>
  <si>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</si>
  <si>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</si>
  <si>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</si>
  <si>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</si>
  <si>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</si>
  <si>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</si>
  <si>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</si>
  <si>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</si>
  <si>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</si>
  <si>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</si>
  <si>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</si>
  <si>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</si>
  <si>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</si>
  <si>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</si>
  <si>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</si>
  <si>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</si>
  <si>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</si>
  <si>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</si>
  <si>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</si>
  <si>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</si>
  <si>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</si>
  <si>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Affiliations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</si>
  <si>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</si>
  <si>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</si>
  <si>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</si>
  <si>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</si>
  <si>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</si>
  <si>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</si>
  <si>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</si>
  <si>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</si>
  <si>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</si>
  <si>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</si>
  <si>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</si>
  <si>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</si>
  <si>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</si>
  <si>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</si>
  <si>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</si>
  <si>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</si>
  <si>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</si>
  <si>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</si>
  <si>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</si>
  <si>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</si>
  <si>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</si>
  <si>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</si>
  <si>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</si>
  <si>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</si>
  <si>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</si>
  <si>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</si>
  <si>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</si>
  <si>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</si>
  <si>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</si>
  <si>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</si>
  <si>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</si>
  <si>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</si>
  <si>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</si>
  <si>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</si>
  <si>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</si>
  <si>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</si>
  <si>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</si>
  <si>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</si>
  <si>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</si>
  <si>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</si>
  <si>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</si>
  <si>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</si>
  <si>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</si>
  <si>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</si>
  <si>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</si>
  <si>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</si>
  <si>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</si>
  <si>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</si>
  <si>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J</t>
  </si>
  <si>
    <t>Ochi, H; Awata, S</t>
  </si>
  <si>
    <t/>
  </si>
  <si>
    <t>Ochi, Haruki; Awata, Satoshi</t>
  </si>
  <si>
    <t>Resembling the juvenile colour of host cichlid facilitates access of the guest cichlid to host territory</t>
  </si>
  <si>
    <t>BEHAVIOUR</t>
  </si>
  <si>
    <t>In two coexisting species with similar body colours, one species may acquire benefits from mimicking the body colour of the other species. In Lake Tanganyika, the zoobenthivorous cichlid Neolamprologus mustax preferentially exploits the territories of the algivorous cichlid Variabilichromis moorii as a feeding ground, even though other zoobenthivorous cichlid species are expelled from these territories. The yellow body colour of the guest species, N. mustax, resembles that of juveniles of the host species, V. moorii, adults of which have entirely black bodies. To estimate the effect of juvenile colour on aggression from conspecific adults, the responses of adult V. moorii to dummy fish of four colours ( black, yellow, white, and blue) were observed in this lake system. Our observations clearly demonstrated that adult V. moorii were less aggressive toward yellow, white, and blue dummies compared to black ones, with a slight difference in response to the yellow and white or blue dummies. This study indicates that resembling the colour of host juveniles can facilitate access of the guest species to host territory, but does not provide sufficient evidence for a hypothesis that the guest species mimics the body colour of the host juvenile.</t>
  </si>
  <si>
    <t>Awata, Satoshi/AAK-1233-2020; Awata, Satoshi/GQR-0411-2022</t>
  </si>
  <si>
    <t>Awata, Satoshi/0000-0003-3254-7943</t>
  </si>
  <si>
    <t>0005-7959</t>
  </si>
  <si>
    <t>1568-539X</t>
  </si>
  <si>
    <t>10.1163/156853909X446181</t>
  </si>
  <si>
    <t>WOS:000267018400002</t>
  </si>
  <si>
    <t>Pauers, MJ; Kapfer, JM; FendoS, CE; Berg, CS</t>
  </si>
  <si>
    <t>Pauers, Michael J.; Kapfer, Joshua M.; Fendos, Christopher E.; Berg, Craig S.</t>
  </si>
  <si>
    <t>Aggressive biases towards similarly coloured males in Lake Malawi cichlid fishes</t>
  </si>
  <si>
    <t>BIOLOGY LETTERS</t>
  </si>
  <si>
    <t>In haplochromine cichlids, female mate choice based on male nuptial coloration has played an important role in speciation. Recent studies suggest that male coloration strongly influences the distribution of these fishes based on male-male aggression; males direct more aggression towards similarly coloured opponents while tolerating differently coloured individuals. We explored the role of male nuptial colour in aggression among the mbuna of Lake Malawi, examining aggression by male Metriaclima mbenjii, the red top cobalt zebra, towards conspecific opponents, similarly coloured heterospecific opponents and differently coloured heterospecifics. In trials in which focal males were offered a single opponent, while the total number of aggressive behaviours did not vary among opponent species, the types of behaviours did; focal males directed more lateral displays towards conspecifics than towards the other opponent species. When focal males were offered two opponents simultaneously, M. mbenjii directed more aggressive behaviours and more lateral displays towards similarly coloured opponents, regardless of species. Furthermore, when offered a conspecific and a similarly coloured opponent simultaneously, there were no differences in behaviour towards either opponent. Thus, nuptial coloration is used by males to identify competitors, and it suggests that male-male aggression may have also been an important diversifying force in speciation in rock-dwelling Lake Malawi cichlids.</t>
  </si>
  <si>
    <t>Pauers, Michael/0000-0003-0748-1241</t>
  </si>
  <si>
    <t>1744-9561</t>
  </si>
  <si>
    <t>1744-957X</t>
  </si>
  <si>
    <t>APR 23</t>
  </si>
  <si>
    <t>10.1098/rsbl.2007.0581</t>
  </si>
  <si>
    <t>WOS:000254353200005</t>
  </si>
  <si>
    <t>Coady, CD; Dawson, RD</t>
  </si>
  <si>
    <t>Coady, Chelsea D.; Dawson, Russell D.</t>
  </si>
  <si>
    <t>SUBADULT PLUMAGE COLOR OF FEMALE TREE SWALLOWS (TACHYCINETA BICOLOR) REDUCES CONSPECIFIC AGGRESSION DURING THE BREEDING SEASON</t>
  </si>
  <si>
    <t>WILSON JOURNAL OF ORNITHOLOGY</t>
  </si>
  <si>
    <t>Delayed plumage maturation (DPM) in young males (in their second year of life: SY) of some species of birds has been found to reduce aggression directed at these younger males. Tree Swallows (Tachycineta bicolor) are unusual because it is SY females rather than males that display DPM; however, the functional significance for DPM remains equivocal. During the breeding season, we tested whether both male and female Tree Swallows behaved differently towards SY and older (after second year: ASY) female Tree Swallow models. When presented as a territory intruder, we predicted that ASY models would receive more aggression from resident pairs if ASY females are perceived as a greater competitive threat. When presented as a territory owner, we predicted that SY models would experience more territorial intrusions if SY plumage is perceived as a signal of inexperience in territory defense. When models were presented as intruders, resident females were more aggressive towards ASY models compared to SY models. When presented as territory owners, ASY models received more aggression than SY models from intruding Tree Swallows, although we suspect that intruders were neighboring Tree Swallows with already established territories, as opposed to birds seeking to settle within the territories of our models. Overall, our results suggest that DPM in female Tree Swallows is an adaptive trait that potentially reduces intrasexual competition for SY females during the breeding season.</t>
  </si>
  <si>
    <t>1559-4491</t>
  </si>
  <si>
    <t>JUN</t>
  </si>
  <si>
    <t>10.1676/12-155.1</t>
  </si>
  <si>
    <t>WOS:000320893300015</t>
  </si>
  <si>
    <t>Moran, RL; Fuller, RC</t>
  </si>
  <si>
    <t>Moran, Rachel L.; Fuller, Rebecca C.</t>
  </si>
  <si>
    <t>Agonistic character displacement of genetically based male colour patterns across darters</t>
  </si>
  <si>
    <t>PROCEEDINGS OF THE ROYAL SOCIETY B-BIOLOGICAL SCIENCES</t>
  </si>
  <si>
    <t>Agonistic character displacement (ACD) occurs when selection to avoid maladaptive interspecific aggression leads to the evolution of agonistic signals and/or associated behavioural biases in sympatry. Here, we test for a pattern consistent with ACD in male colour pattern in darters (Percidae: Etheostoma). Male colour pattern has been shown to function in male-male competition rather than female mating preferences in several darter species. Additionally, males bias their aggression towards conspecific over heterospecific males in sympatry but not in allopatry, consistent with divergent ACD in male behavioural biases. We use a common garden approach to show that differences in male colour pattern among four closely related darter species are genetically based. Additionally, we demonstrate that some aspects of male colour pattern exhibit enhanced differences in sympatric compared to allopatric populations of two darter species, consistent with ACD. However, other male colour traits are more similar between species in sympatry compared with allopatry, indicating that not all signal components are under strong divergent selection in sympatry. This study provides evidence that interspecific male-male aggressive interactions alone can promote elaborate male signal evolution both between and within species. We discuss the implications this has for male-driven ACD and cascade ACD.</t>
  </si>
  <si>
    <t>Moran, Rachel/0000-0001-6831-4530</t>
  </si>
  <si>
    <t>0962-8452</t>
  </si>
  <si>
    <t>1471-2954</t>
  </si>
  <si>
    <t>AUG 15</t>
  </si>
  <si>
    <t>10.1098/rspb.2018.1248</t>
  </si>
  <si>
    <t>WOS:000441725900027</t>
  </si>
  <si>
    <t>Cassidy, KA; Mech, LD; MacNulty, DR; Stahler, DR; Smith, DW</t>
  </si>
  <si>
    <t>Cassidy, Kira A.; Mech, L. David; MacNulty, Daniel R.; Stahler, Daniel R.; Smith, Douglas W.</t>
  </si>
  <si>
    <t>Sexually dimorphic aggression indicates male gray wolves specialize in pack defense against conspecific groups</t>
  </si>
  <si>
    <t>BEHAVIOURAL PROCESSES</t>
  </si>
  <si>
    <t>Aggression directed at conspecific groups is common among gregarious, territorial species, and for some species such as gray wolves (Canis lupus) intraspecific strife is the leading cause of natural mortality. Each individual in a group likely has different measures of the costs and benefits associated with a group task, such as an aggressive attack on another group, which can alter motivation and behavior. We observed 292 inter-pack aggressive interactions in Yellowstone National Park between 1 April 1995 and 1 April 2011 (&gt;5300 days of observation) in order to determine the role of both sexes, and the influence of pack, age, and other traits on aggression. We recorded the behaviors and characteristics of all individuals present during the interactions (n = 534 individuals) and which individuals participated in each step (i.e. chase, attack, kill, flight) of the interaction. Overall, all wolves were more likely to chase rivals if they outnumbered their opponent, suggesting packs accurately assess their opponent's size during encounters and individuals adjust their behavior based on relative pack size. Males were more likely than females to chase rival packs and gray-colored wolves were more aggressive than black-colored wolves. Male wolves and gray-colored wolves also recorded higher cortisol levels than females and black-colored wolves, indicating hormonal support for more intense aggressive behavior. Further, we found a positive correlation between male age and probability of chasing, while age-specific participation for females remained constant. Chasing behavior was influenced by the sex of lone intruders, with males more likely to chase male intruders. This difference in behavior suggests male and female wolves may have different strategies and motivations during inter-pack aggressive interactions related to gray wolf mating systems. A division of labor between pack members concerning resource and territory defense suggests selection for specific traits related to aggression is an adaptive response to intense competition between groups of conspecifics. (C) 2017 Elsevier B.V. All rights reserved.</t>
  </si>
  <si>
    <t>0376-6357</t>
  </si>
  <si>
    <t>1872-8308</t>
  </si>
  <si>
    <t>MAR</t>
  </si>
  <si>
    <t>10.1016/j.beproc.2017.01.011</t>
  </si>
  <si>
    <t>WOS:000395844600010</t>
  </si>
  <si>
    <t>Anderson, C; Jones, R; Moscicki, M; Clotfelter, E; Earley, RL</t>
  </si>
  <si>
    <t>Anderson, Caleb; Jones, Ryan; Moscicki, Michele; Clotfelter, Ethan; Earley, Ryan L.</t>
  </si>
  <si>
    <t>Seeing orange: breeding convict cichlids exhibit heightened aggression against more colorful intruders</t>
  </si>
  <si>
    <t>BEHAVIORAL ECOLOGY AND SOCIOBIOLOGY</t>
  </si>
  <si>
    <t>Female convict cichlids (Amatitlania siquia) exhibit bright orange ventral coloration that males lack. The behavioral implications of this color are poorly understood, particularly in naturally occurring populations where female coloration could play a role in the expression of territorial nest- guarding behaviors. In this field experiment, monogamous breeding pairs of convict cichlids were presented with 3D printed model conspecific intruders of three body sizes (small, medium, and large) exhibiting three orange patch sizes (large, small, or none) to observe how territorial aggression varied as a function of intruder size and female coloration. Individuals occupying breeding pairs that were defending hatched offspring were significantly more aggressive toward intruders with small and large amounts of orange than toward models lacking orange, indicating that color is an important contextdependent elicitor of aggression in this species. Males were significantly more aggressive toward the intruder than females, and male aggression was strongly influenced by their size relative to the intruder. When males were smaller than the intruder, they performed significantly more aggressive acts than when they were the same size or larger than the intruder; this trend persisted across three putative populations in Lake Xiloa, Nicaragua. A potential explanation for these findings is that the orange color functions as a signal of individual quality or breeding readiness and that breeding pairs increase aggression to repel intruders that pose the greatest threat to pair bond and nest maintenance. Significance statement One or both sexes of many animal species possess brightly colored features that might communicate information about overall heath or reproductive status. In convict cichlid fish, males and females establish pair bonds and jointly defend their nest and offspring. Single females exhibit striking orange coloration that males and breeding females lack. Our field-based experiment provided evidence that more colorful females, which likely pose a threat to pair bond stability and nest maintenance, incite more aggression from breeding pairs than drab females. Our study suggests that color provides salient information about, perhaps, female quality or readiness to breed in natural populations, and adds to a growing body of research that seeks to understand the varied roles that colorful ornaments play in animal communication.</t>
  </si>
  <si>
    <t>Anderson, Caleb/0000-0001-6971-8430</t>
  </si>
  <si>
    <t>0340-5443</t>
  </si>
  <si>
    <t>1432-0762</t>
  </si>
  <si>
    <t>MAY</t>
  </si>
  <si>
    <t>10.1007/s00265-016-2085-3</t>
  </si>
  <si>
    <t>WOS:000374563600001</t>
  </si>
  <si>
    <t>Zhou, MC; Loew, ER; Fuller, RC</t>
  </si>
  <si>
    <t>Zhou, Muchu; Loew, Ellis R.; Fuller, Rebecca C.</t>
  </si>
  <si>
    <t>Sexually asymmetric colour-based species discrimination in orangethroat darters</t>
  </si>
  <si>
    <t>ANIMAL BEHAVIOUR</t>
  </si>
  <si>
    <t>Female mate preferences, male mate preferences and male-male competition can all potentially play roles in promoting speciation by sexual selection. The orangethroat darter, Etheostoma spectabile, is a sexually dichromatic fish in which males compete for access to females. We quantified male and female responses to conspecific versus heterospecific fish under normal light, dim light and blue light, the last of which impaired colour perception. We found that behavioural isolation was likely mediated primarily by male behavioural discrimination against heterospecific fish, with females showing no evident mate preferences. Furthermore, male aggression towards conspecific rivals was reduced in blue light, suggesting that the evolution of male coloration may contribute to speciation through male-male interactions. (C) 2015 The Association for the Study of Animal Behaviour. Published by Elsevier Ltd. All rights reserved.</t>
  </si>
  <si>
    <t>Fuller, Rebecca/0000-0002-5744-8012; Zhou, Muchu/0000-0003-0796-8690</t>
  </si>
  <si>
    <t>0003-3472</t>
  </si>
  <si>
    <t>1095-8282</t>
  </si>
  <si>
    <t>AUG</t>
  </si>
  <si>
    <t>10.1016/j.anbehav.2015.05.016</t>
  </si>
  <si>
    <t>WOS:000358315700022</t>
  </si>
  <si>
    <t>Braun, C; Michiels, NK; Siebeck, UE; Sprenger, D</t>
  </si>
  <si>
    <t>Braun, Christoph; Michiels, Nico K.; Siebeck, Ulrike E.; Sprenger, Dennis</t>
  </si>
  <si>
    <t>Signalling function of long wavelength colours during agonistic male-male interactions in the wrasse Coris julis</t>
  </si>
  <si>
    <t>MARINE ECOLOGY PROGRESS SERIES</t>
  </si>
  <si>
    <t>Long wavelength colours (lambda &gt; 580 nm) often serve as visual signals during inter-and intrasexual interactions in various species of freshwater fish. However, while long wavelength colours are also prevalent in many marine fish, their functional importance remains largely unknown. Here, we demonstrate that the presence of long wavelength colours mediate intra specific aggressive interactions in the Mediterranean rainbow wrasse Coris julis. By manipulating the relative mixture of red (lambda(max) = 628 nm) and blue (lambda(max) = 454 nm) light in experimental tanks, we created conditions in which discrimination of long wavelength colours from colours of shorter wavelength was either possible or prevented. We found that resident males were significantly more likely to attack conspecific intruder males when discrimination was enabled compared to conditions where no such discrimination was possible. Aggression from residents was associated with the display of a red (lambda(max) = 611 nm) colour patch on the dorsal fin of intruders, but not the size of the putative signal. Our findings suggest that long wavelength colours are an important component of marine visual ecology by mediating agonistic male-male interactions.</t>
  </si>
  <si>
    <t>Michiels, Nico K/A-2045-2009; Braun, Christoph/AFO-4446-2022; Siebeck, Ulrike E/J-6190-2014; Sprenger, Dennis/A-3515-2012</t>
  </si>
  <si>
    <t>Michiels, Nico K/0000-0001-9873-3111; Siebeck, Ulrike E/0000-0003-2024-1568;</t>
  </si>
  <si>
    <t>0171-8630</t>
  </si>
  <si>
    <t>1616-1599</t>
  </si>
  <si>
    <t>10.3354/meps10760</t>
  </si>
  <si>
    <t>WOS:000335963100021</t>
  </si>
  <si>
    <t>Lehtonen, TK; Sowersby, W; Wong, BBM</t>
  </si>
  <si>
    <t>Lehtonen, Topi K.; Sowersby, Will; Wong, Bob B. M.</t>
  </si>
  <si>
    <t>Heterospecific aggression bias towards a rarer colour morph</t>
  </si>
  <si>
    <t>Colour polymorphisms are a striking example of phenotypic diversity, yet the sources of selection that allow different morphs to persist within populations remain poorly understood. In particular, despite the importance of aggression in mediating social dominance, few studies have considered how heterospecific aggression might contribute to the maintenance or divergence of different colour morphs. To redress this gap, we carried out a field-based study in a Nicaraguan crater lake to investigate patterns of heterospecific aggression directed by the cichlid fish, Hypsophrys nicaraguensis, towards colour polymorphic cichlids in the genus Amphilophus. We found that H. nicaraguensis was the most frequent territorial neighbour of the colour polymorphic A. sagittae. Furthermore, when manipulating territorial intrusions using models, H. nicaraguensis were more aggressive towards the gold than dark colour morph of the sympatric Amphilophus species, including A. sagittae. Such a pattern of heterospecific aggression should be costly to the gold colour morph, potentially accounting for its lower than expected frequency and, more generally, highlighting the importance of considering heterospecific aggression in the context of morph frequencies and coexistence in the wild.</t>
  </si>
  <si>
    <t>Sowersby, Will/AAG-5106-2019; Lehtonen, Topi/A-6679-2010</t>
  </si>
  <si>
    <t>Sowersby, Will/0000-0002-9774-5935; Lehtonen, Topi/0000-0002-1372-9509; Wong, Bob/0000-0001-9352-6500</t>
  </si>
  <si>
    <t>SEP 22</t>
  </si>
  <si>
    <t>10.1098/rspb.2015.1551</t>
  </si>
  <si>
    <t>WOS:000363357100008</t>
  </si>
  <si>
    <t>Moran, RL; Zhou, M; Catchen, JM; Fuller, RC</t>
  </si>
  <si>
    <t>Moran, Rachel L.; Zhou, Muchu; Catchen, Julian M.; Fuller, Rebecca C.</t>
  </si>
  <si>
    <t>Male and female contributions to behavioral isolation in darters as a function of genetic distance and color distance</t>
  </si>
  <si>
    <t>EVOLUTION</t>
  </si>
  <si>
    <t>Determining which reproductive isolating barriers arise first between geographically isolated lineages is critical to understanding allopatric speciation. We examined behavioral isolation among four recently diverged allopatric species in the orangethroat darter clade (Etheostoma: Ceasia). We also examined behavioral isolation between each Ceasia species and the sympatric rainbow darter Etheostoma caeruleum. We asked (1) is behavioral isolation present between allopatric Ceasia species, and how does this compare to behavioral isolation with E. caeruleum, (2) does male color distance and/or genetic distance predict behavioral isolation between species, and (3) what are the relative contributions of female choice, male choice, and male competition to behavioral isolation? We found that behavioral isolation, genetic differentiation, and male color pattern differentiation were present between allopatric Ceasia species. Males, but not females, discerned between conspecific and heterospecific mates. Males also directed more aggression toward conspecific rival males. The high levels of behavioral isolation among Ceasia species showed no obvious pattern with genetic distance or male color distance. However, when the E. caeruleum was included in the analysis, an association between male aggression and male color distance was apparent. We discuss the possibility that reinforcement between Ceasia and E. caeruleum is driving behavioral isolation among allopatric Ceasia species.</t>
  </si>
  <si>
    <t>0014-3820</t>
  </si>
  <si>
    <t>1558-5646</t>
  </si>
  <si>
    <t>OCT</t>
  </si>
  <si>
    <t>10.1111/evo.13321</t>
  </si>
  <si>
    <t>WOS:000412834700011</t>
  </si>
  <si>
    <t>Kusche, H; Elmer, KR; Meyer, A</t>
  </si>
  <si>
    <t>Kusche, Henrik; Elmer, Kathryn R.; Meyer, Axel</t>
  </si>
  <si>
    <t>Sympatric ecological divergence associated with a color polymorphism</t>
  </si>
  <si>
    <t>BMC BIOLOGY</t>
  </si>
  <si>
    <t>Background: Color polymorphisms are a conspicuous feature of many species and a way to address broad ecological and evolutionary questions. Three potential major evolutionary fates of color polymorphisms are conceivable over time: maintenance, loss, or speciation. However, the understanding of color polymorphisms and their evolutionary implications is frequently impaired by sex-linkage of coloration, unknown inheritance patterns, difficulties in phenotypic characterization, and a lack of evolutionary replicates. Hence, the role of color polymorphisms in promoting ecological and evolutionary diversification remains poorly understood. In this context, we assessed the ecological and evolutionary consequences of a color polymorphic study system that is not hampered by these restrictions: the repeated adaptive radiations of the gold/dark Midas cichlid fishes (the Amphilophus citrinellus species complex) from the great lakes and crater lakes of Nicaragua, Central America. Results: We conducted multi-trait morphological and ecological analyses from ten populations of this young adaptive radiation (&lt;6,000 years old), which revealed sympatric ecological differentiation associated with the conspicuous binary (gold/dark) color polymorphism. Varying degrees of intraspecific ecological divergence were observed across the ten color morph pairs, but most pairs exhibited a consistently parallel ecological and evolutionary trajectory across populations. Specifically, gold Midas cichlids are frequently deeper-bodied, have more robust pharyngeal jaws, and feed at a lower trophic level compared to conspecific, sympatric dark individuals. A common garden experiment suggests there is a genetic correlation of color and eco-morphological traits. Conclusions: We demonstrate unprecedented ecological and evolutionary consequences of color polymorphism in this adaptive radiation. Across the species complex, sympatric conspecific individuals differed in eco-morphology depending on color morph (gold/dark) and the axis of differentiation tended to be consistent across replicates. The consistent divergence across wild populations and the common garden experiment suggests that color is genetically correlated to ecology. Because Midas cichlids are known to mate color assortatively, the putative genetic correlation of this color polymorphism with an eco-morphological divergence suggests an innate potential to promote ecological and evolutionary divergence across this species complex. However, there are to date no examples of speciation based on color in this radiation, suggesting long-term maintenance of this color polymorphism.</t>
  </si>
  <si>
    <t>Meyer, Axel/C-9826-2009; Elmer, Kathryn R/D-7734-2013</t>
  </si>
  <si>
    <t>Meyer, Axel/0000-0002-0888-8193; Elmer, Kathryn R/0000-0002-9219-7001</t>
  </si>
  <si>
    <t>1741-7007</t>
  </si>
  <si>
    <t>OCT 5</t>
  </si>
  <si>
    <t>10.1186/s12915-015-0192-7</t>
  </si>
  <si>
    <t>WOS:000362280500001</t>
  </si>
  <si>
    <t>Sowersby, W; Lehtonen, TK; Wong, BBM</t>
  </si>
  <si>
    <t>Sowersby, Will; Lehtonen, Topi K.; Wong, Bob B. M.</t>
  </si>
  <si>
    <t>Temporal and sex-specific patterns of breeding territory defense in a color-polymorphic cichlid fish</t>
  </si>
  <si>
    <t>HYDROBIOLOGIA</t>
  </si>
  <si>
    <t>In biparental species, the costs and benefits of parental investment can vary between the sexes and shift over time. However, such sex-specific and temporal changes in territory defense are not well understood. Here, we experimentally investigated parental investment in breeding territory defense in a feral population of the color-polymorphic, biparental cichlid fish, the red devil (Amphilophus labiatus). We presented either gold- or dark-colored conspecific intruder models (i.e., dummy models) to A. labiatus pairs at three key stages during the breeding cycle (i.e., after pair formation, after eggs have been laid, and when fry were free-swimming). We found that males were more aggressive when the pair first formed, whereas females significantly increased their territory defense with time, and were most aggressive when fry were free-swimming. These results show that parental roles in territory defense can markedly shift over key stages of the breeding cycle. Our results demonstrate that parental behaviors may not only vary between the sexes, but can also shift dramatically over the course of the brood cycle.</t>
  </si>
  <si>
    <t>Sowersby, Will/0000-0002-9774-5935; Wong, Bob/0000-0001-9352-6500; Lehtonen, Topi/0000-0002-1372-9509</t>
  </si>
  <si>
    <t>0018-8158</t>
  </si>
  <si>
    <t>1573-5117</t>
  </si>
  <si>
    <t>10.1007/s10750-016-2889-1</t>
  </si>
  <si>
    <t>WOS:000396043800017</t>
  </si>
  <si>
    <t>BEECHING, SC</t>
  </si>
  <si>
    <t>COLOR PATTERN AND INHIBITION OF AGGRESSION IN THE CICHLID FISH ASTRONOTUS-OCELLATUS</t>
  </si>
  <si>
    <t>JOURNAL OF FISH BIOLOGY</t>
  </si>
  <si>
    <t>Oscars Astronotus oceilatus defeated in combat often undergo a colour pattern change in which the normal olive-green to brown body coloration darkens to near black, interrupted with irregular white barring. Dummy oscars were used in two complementary tests which shelved that the dark-and-banded colour pattern inhibits aggression in conspecifics under two different experimental designs and with two different subject groups. (C) 1995 The Fisheries Society of the British Isles</t>
  </si>
  <si>
    <t>0022-1112</t>
  </si>
  <si>
    <t>JUL</t>
  </si>
  <si>
    <t>10.1111/j.1095-8649.1995.tb01872.x</t>
  </si>
  <si>
    <t>WOS:A1995RK16500006</t>
  </si>
  <si>
    <t>Gerald, MS; Weiss, A; Ayala, JE</t>
  </si>
  <si>
    <t>Gerald, M. S.; Weiss, A.; Ayala, J. E.</t>
  </si>
  <si>
    <t>Artificial colour treatment mediates aggression among unfamiliar vervet monkeys (Cercopithecus aethiops):: a model for introducing primates with colourful sexual skin</t>
  </si>
  <si>
    <t>ANIMAL WELFARE</t>
  </si>
  <si>
    <t>Aggression and agonism typically accompany the initial interactions exchanged between unfamiliar primates. As a part of a larger study examining the social function of scrotal colour in vervet monkeys (Cercopithecus aethiops sabaeus), this paper offers experimental data to show how scrotal colour can influence aggression, and how artificial colour treatment can be used as an effective tool for managing aggression. Study animals were 81 vervet monkey pairs composed of 162 similarly-sized, unfamiliar adult males originating from non-adjacent parishes in Barbados. Non-contact and contact aggression were recorded on a continuous basis during 90 minute introductions. The main effects of the Test male scrotal colour, Stimulus male colour, and the interaction of the Test male and Stimulus male colours were not significant predictors of non-contact aggression. The effects of scrotal colouration of the Test male and Stimulus male were not significant predictors of contact aggression either, but there was a significant interaction effect; pairs of males with similar scrotal colour engaged in contact aggression more often than pairs of males differing in colour. Painting the scrotum dark led to more aggression when these males were paired with dark coloured males and less aggression when these males were paired with pole coloured males. These findings suggest a practical and inexpensive means of reducing the likelihood of aggression when introducing new animals. These results may also be applicable for other taxa that have colourful sexual skin, such as mandrills, drills, talapoins, patas monkeys, and many guenon species.</t>
  </si>
  <si>
    <t>0962-7286</t>
  </si>
  <si>
    <t>NOV</t>
  </si>
  <si>
    <t>WOS:000241770100007</t>
  </si>
  <si>
    <t>Kenyon, HL; Martin, PR</t>
  </si>
  <si>
    <t>Kenyon, Haley L.; Martin, Paul R.</t>
  </si>
  <si>
    <t>Experimental tests of selection against heterospecific aggression as a driver of avian colour pattern divergence</t>
  </si>
  <si>
    <t>JOURNAL OF EVOLUTIONARY BIOLOGY</t>
  </si>
  <si>
    <t>Signal divergence is thought to reduce the costs of co-occurrence for closely related species and may thereby be important in the generation and maintenance of new biodiversity. In birds, closely related, sympatric species are more divergent in their colour patterns than those that live apart, but the selective pressures driving sympatric divergence in colour pattern are not well-understood. Here, we conducted field experiments on naive birds using spectrometer-matched, painted, 3D-printed models to test whether selection against heterospecific aggression might drive colour pattern divergence in the genus Poecile. We found that territorial male black-capped chickadees (P. atricapillus) are equally likely to attack sympatric and allopatric congeners, and wintering flocks are equally likely to visit feeders occupied by sympatric and allopatric congeners, despite sympatric congeners being more divergent in colour pattern. These results suggest that either the concerted evolution of additional traits (e.g. discrimination), or interactions in sympatry that promote learning, is required if colour pattern divergence among sympatric species is to reduce heterospecific aggression. Alternatively, colour pattern divergence among sympatric species may be caused by other selective pressures, such as selection against hybridization or habitat partitioning and secondary signal adaptation.</t>
  </si>
  <si>
    <t>Kenyon, Haley/0000-0001-5497-4052; Martin, Paul/0000-0003-2611-1211</t>
  </si>
  <si>
    <t>1010-061X</t>
  </si>
  <si>
    <t>1420-9101</t>
  </si>
  <si>
    <t>10.1111/jeb.13798</t>
  </si>
  <si>
    <t>JUN 2021</t>
  </si>
  <si>
    <t>WOS:000668020400001</t>
  </si>
  <si>
    <t>Scali, S; Mangiacotti, M; Sacchi, R; Coladonato, AJ; Falaschi, M; Saviano, L; Rampoldi, MG; Crozi, M; Perotti, C; Zucca, F; Gozzo, E; Zuffi, MAL</t>
  </si>
  <si>
    <t>Scali, Stefano; Mangiacotti, Marco; Sacchi, Roberto; Coladonato, Alan Jioele; Falaschi, Mattia; Saviano, Luca; Rampoldi, Marina Giulia; Crozi, Matteo; Perotti, Cesare; Zucca, Francesco; Gozzo, Elisabetta; Zuffi, Marco Alberto Luca</t>
  </si>
  <si>
    <t>Close encounters of the three morphs: Does color affect aggression in a polymorphic lizard?</t>
  </si>
  <si>
    <t>AGGRESSIVE BEHAVIOR</t>
  </si>
  <si>
    <t>Color polymorphism is genetically controlled, and the process generating and maintaining morphs can affect speciation/extinction rates. Color badges are useful signals in intraspecific communication because they convey information about alternative strategies and can potentially decrease unnecessary conflicts among different color morphs. Competition and aggressive interactions among color morphs can contribute to polymorphism maintenance. This could lead to an uneven spatial distribution of morphs in a population because the local frequency of each morph establishes the intensity of the competition and the fitness of each male. We used a polymorphic lizard, Podarcis muralis, to assess if aggression varies among morphs under two contrasting hypotheses: a heteromorphic versus homomorphic aggression. We used laboratory mirror tests after lizard color manipulation, and we verified the consistency of results with an analysis of the spatial distribution of morphs in a wild population. Both the experiments confirmed that aggression is more common during homomorphic than heteromorphic contests. The adoption of alternative behavioral strategies that minimize risks and costs could facilitate the stable coexistence of the phenotypes and reduce competition. A bias in aggression would advantage rarer morph, which would suffer less harassment by common morphs obtaining a fitness advantage. This process would be negatively-frequency-dependent and would stabilize polymorphism, possibly contributing to sympatric speciation.</t>
  </si>
  <si>
    <t>Falaschi, Mattia/AAD-7364-2022; Mangiacotti, Marco/AAZ-9550-2021; Zuffi, Marco A.L./J-6974-2013; SACCHI, ROBERTO/E-2141-2011</t>
  </si>
  <si>
    <t>Falaschi, Mattia/0000-0002-4511-4816; Mangiacotti, Marco/0000-0001-7144-3851; SACCHI, ROBERTO/0000-0002-6199-0074; PEROTTI, CESARE/0000-0002-0595-399X; Scali, Stefano/0000-0002-4318-751X</t>
  </si>
  <si>
    <t>0096-140X</t>
  </si>
  <si>
    <t>1098-2337</t>
  </si>
  <si>
    <t>10.1002/ab.21961</t>
  </si>
  <si>
    <t>MAR 2021</t>
  </si>
  <si>
    <t>WOS:000625980800001</t>
  </si>
  <si>
    <t>Lehtonen, TK</t>
  </si>
  <si>
    <t>Lehtonen, Topi K.</t>
  </si>
  <si>
    <t>Colour biases in territorial aggression in a Neotropical cichlid fish</t>
  </si>
  <si>
    <t>OECOLOGIA</t>
  </si>
  <si>
    <t>Discrete colour morphs have provided important insights into the evolution of phenotypic diversity. One of the mechanisms that can help to explain coexistence of ecologically similar colour morphs and incipient species is (colour) biased aggression, which has the potential to promote continued existence of the morphs in a frequency-dependent manner. I addressed colour biases in territorial aggression in a field-based study on a Neotropical cichlid fish species, Amphilophus sagittae, which has two ecologically indistinguishable colour morphs that mate assortatively. I found that A. sagittae, in particular females, were more aggressive towards models of their own colour than those mimicking colours of the other morph. Such a behavioural pattern should result in a selection regime that benefits the rarer morph, and hence could help explain how novel, rare phenotypes may avoid competitive exclusion.</t>
  </si>
  <si>
    <t>Lehtonen, Topi/A-6679-2010</t>
  </si>
  <si>
    <t>Lehtonen, Topi/0000-0002-1372-9509</t>
  </si>
  <si>
    <t>0029-8549</t>
  </si>
  <si>
    <t>1432-1939</t>
  </si>
  <si>
    <t>10.1007/s00442-013-2879-1</t>
  </si>
  <si>
    <t>WOS:000334691600008</t>
  </si>
  <si>
    <t>López-de-Hierro, MDG; Moreno-Rueda, G</t>
  </si>
  <si>
    <t>Lopez-de-Hierro, M. Dolores G.; Moreno-Rueda, Gregorio</t>
  </si>
  <si>
    <t>Egg-spot pattern rather than egg colour affects conspecific egg rejection in the house sparrow (Passer domesticus)</t>
  </si>
  <si>
    <t>Brood parasitism could be a selective pressure on each female to have a type of egg that permits recognition. House sparrows (Passer domesticus) undergo conspecific brood parasitism and can recognise parasitic eggs. In this study, we analyse the effect of relative size in experimental parasitic eggs compared to the host eggs. We modified egg colour and the spot pattern to determine the influence of these characteristics on egg rejection. Furthermore, we examine whether egg rejection increases with stimulus summation. Our results show that egg rejection is not affected by relative egg size. However, changes in the spot pattern proved to exert the highest influence on egg rejection (32.4% of trials), significantly higher than when only egg colour is changed (3.8%). Therefore, our results suggest that parasitism may be a pressure favouring the maintenance of spotted eggs in house sparrow.</t>
  </si>
  <si>
    <t>Moreno-Rueda, Gregorio/K-7068-2014</t>
  </si>
  <si>
    <t>Moreno-Rueda, Gregorio/0000-0002-6726-7215</t>
  </si>
  <si>
    <t>JAN</t>
  </si>
  <si>
    <t>10.1007/s00265-009-0811-9</t>
  </si>
  <si>
    <t>WOS:000274433500002</t>
  </si>
  <si>
    <t>Yewers, MSC; Pryke, S; Stuart-Fox, D</t>
  </si>
  <si>
    <t>Yewers, Madeleine St Clair; Pryke, Sarah; Stuart-Fox, Devi</t>
  </si>
  <si>
    <t>Behavioural differences across contexts may indicate morph-specific strategies in the lizard Ctenophorus decresii</t>
  </si>
  <si>
    <t>Discrete colour polymorphisms are often genetically correlated with other traits under natural and sexual selection, such as behaviour, life history and physiology. Elucidating such correlations is essential to understand the adoption of alternative strategies between morphs and the role they play in the maintenance of colour polymorphisms within a population. Using field experiments, we tested the hypothesis that four visually discrete morphs (orange, yellow, yellow with a central orange patch (orange- yellow) and grey) of the tawny dragon lizard, Ctenophorus decresii, display alternative behavioural strategies. Specifically, we compared the response of colour morphs to simulated conspecific territorial intruders and predators in the wild. Although the orange-yellow morph can be objectively classified, it may behaviourally resemble the orange or yellow morph; therefore we compared statistical models in which the orange-yellow morph was considered a separate morph (four-morph model) or grouped with either pure orange or pure yellow individuals (three-morph models). For aggression, a three-morph model with orange-yellow individuals grouped as yellow morphs best fitted the data. The orange morph showed consistently high aggression to all morphs, while the grey morph showed consistently low aggression. Aggression of the yellow morph was conditional on the morph of the intruder. In addition to being the least aggressive, the grey morph was the least bold. Although the orange morph was the most aggressive, it was only the boldest under a three-morph model, which was equally likely compared to a four-morph model. Overall our results support the view that tawny dragon lizard morphs adopt different behavioural strategies, the orange and grey morphs exhibiting more aggressive and cautious strategies, respectively, and the yellow morph changing its aggression depending on its competitor's colour. (C) 2015 The Association for the Study of Animal Behaviour. Published by Elsevier Ltd. All rights reserved.</t>
  </si>
  <si>
    <t>Stuart-Fox, Devi/0000-0003-3362-1412</t>
  </si>
  <si>
    <t>10.1016/j.anbehav.2015.10.029</t>
  </si>
  <si>
    <t>WOS:000367374000038</t>
  </si>
  <si>
    <t>Cooke, GM; Turner, GF</t>
  </si>
  <si>
    <t>Cooke, Gavan M.; Turner, George F.</t>
  </si>
  <si>
    <t>Team colours matter when playing away from home: aggression biases in geographically isolated mbuna cichlid populations</t>
  </si>
  <si>
    <t>The rocky shore habitats of the African Great Lakes support high densities of cichlid fishes, including many closely related/ecologically similar species. Aggressive behaviours between conspecifics, and perhaps heterospecifics, influence this unusually high level of species coexistence. In dichotomous choice aggression trials, male Maylandia thapsinogen were presented simultaneously with two heterospecific intruders (Maylandia emmiltos and Maylandia zebra). M. thapsinogen were significantly more aggressive towards intruders from an allopatric species (similar orange dorsal fin colour-M. emmiltos), than towards a different allopatric species (blue dorsal fin-M. zebra). Aggression biases disappeared when colour differences were masked using monochromatic lighting. A second experiment compared female aggression biases between M. emmiltos with M. thapsinogen, species similarly coloured to one another, the former possessing a yellow, as opposed to a black throat as the latter does. M. thapsinogen preferentially attacked females of their own species in full but not monochromatic light, while female M. emmiltos showed no significant bias in aggression under any lighting. Responses were not affected by olfactory cues provided by the stimulus fish. These results indicate that divergence in colour might facilitate species coexistence in some cases, but not all, which could be important should populations rejoin through lake level drops.</t>
  </si>
  <si>
    <t>10.1007/s10750-017-3442-6</t>
  </si>
  <si>
    <t>WOS:000424203000004</t>
  </si>
  <si>
    <t>Quinn, VS; Hews, DK</t>
  </si>
  <si>
    <t>Signals and behavioural responses are not coupled in males: aggression affected by replacement of an evolutionarily lost colour signal</t>
  </si>
  <si>
    <t>Male Sceloporus virgatus lack the blue abdominal patches which are used during aggressive encounters in other Sceloporus lizards. Herein we report that, despite having lost this signal, males have retained a behavioural response to experimentally restored blue abdominal patches. We tested two adaptive hypotheses: selection acted primarily upon signallers or selection acted upon both signallers and receivers. The first predicts that only the signal is lost and that male interactions should be affected by the restoration of blue patches. The latter predicts that both the signal and behavioural response are lost and the display of the restored blue patches should have no effect on male-male interactions. We compared the behaviour of receivers in paired encounters where one male (signaller) had blue-painted abdominal patches to a set of trials where both males had white-painted abdomens, unmanipulated abdomens or a novel-painted pattern. The receivers of the blue-painted signal were more likely to display submissive behaviour. The receivers in either the unmanipulated, white-painted or novel-painted signal trials were more likely to display neutral behaviour. These results support the hypothesis that receivers have retained a behavioural response and selection has acted primarily on the signaller. We believe this is the first documentation of males responding to an evolutionarily lost signal in conspecific males.</t>
  </si>
  <si>
    <t>Hews, Diana/0000-0002-2252-6711</t>
  </si>
  <si>
    <t>APR 22</t>
  </si>
  <si>
    <t>10.1098/rspb.2000.1067</t>
  </si>
  <si>
    <t>WOS:000086850600003</t>
  </si>
  <si>
    <t>Karenina, KA; Giljov, AN; Malashichev, YB</t>
  </si>
  <si>
    <t>Karenina, Karina A.; Giljov, Andrey N.; Malashichev, Yegor B.</t>
  </si>
  <si>
    <t>Eye as a key element of conspecific image eliciting lateralized response in fish</t>
  </si>
  <si>
    <t>ANIMAL COGNITION</t>
  </si>
  <si>
    <t>Visual lateralization in different aspects of social behaviour has been found for numerous species of vertebrates ranging from fish to mammals. For inspection of a shoal mate, many fishes show a left eye-right hemisphere preference. Here, we tested the hypothesis that in fish, there is a key cue in the conspecific appearance, which elicits lateralized response to the whole image of the conspecific. In a series of eight experiments, we explored eye preferences in cryptic-coloured Amur sleeper, Perccottus glenii, fry. Fish displayed left-eye preferences at the population level for inspection of a group of conspecifics, their own mirror image, and a motionless flat model of a conspecific. In contrast, no population bias was found for scrutinizing an empty environment or a moving cylinder. When fry were showed a model of a conspecific in a lateral view with the eye displaced from the head to the tail, they again showed a significant preference for left-eye use. On the other hand, 'eyeless' conspecific model elicited no lateralized viewing in fry. Finally, the left-eye preference was revealed for scrutiny of the image of a conspecific eye alone. We argue that in Amur sleeper fry, eye is the element of the conspecific image, which can serve as a 'key' for the initiation of lateralized social response. This key element may serve as a trigger for the rapid recognition of conspecifics in the left eye-right hemisphere system. Possible causes and advantages of lateralized perception of social stimuli and their key elements are discussed in the context of current theories of brain lateralization.</t>
  </si>
  <si>
    <t>Malashichev, Yegor/D-3511-2013; Giljov, Andrey/O-4755-2014; Karenina, Karina/B-9781-2012</t>
  </si>
  <si>
    <t>Malashichev, Yegor/0000-0003-3813-5712; Giljov, Andrey/0000-0002-7533-1600; Karenina, Karina/0000-0001-8200-6876</t>
  </si>
  <si>
    <t>1435-9448</t>
  </si>
  <si>
    <t>1435-9456</t>
  </si>
  <si>
    <t>10.1007/s10071-012-0572-0</t>
  </si>
  <si>
    <t>WOS:000315035100012</t>
  </si>
  <si>
    <t>Bailey, A; Eberly, LE; Packer, C</t>
  </si>
  <si>
    <t>Bailey, Andrea; Eberly, Lynn E.; Packer, Craig</t>
  </si>
  <si>
    <t>Does pregnancy coloration reduce female conspecific aggression in the presence of maternal kin?</t>
  </si>
  <si>
    <t>Colour signals arise in a variety of sexual contexts, including advertising reproductive status. Despite potentially attracting negative attention from unrelated competitors, bright pregnancy coloration may communicate gestation to kin and potential fathers, thereby garnering aid during agonistic encounters and reducing the overall amount of aggression received by pregnant females. To establish whether this 'pregnancy sign' influences rates of aggression in the presence versus absence of maternal kin, we conducted behavioural observations of wild olive baboons, Papio anubis, in Gombe National Park, Tanzania, in groups composed of maternal kin and nonkin, and of captive baboons at the Southwest National Primate Research Center (SNPRC, San Antonio, TX, U.S.A.), in group enclosures that were unlikely to include close kin. At SNPRC, we also experimentally obscured the coloration of the pregnancy sign, and we performed playback experiments to measure male responses to the distress calls of pregnant females. Free-ranging female baboons experienced significantly less aggression from nonkin females after the onset of the pregnancy sign compared to the pre-pregnancy sign. In contrast, captive pregnant females whose pregnancy coloration was obscured with paint experienced significantly lower aggression rates from female conspecifics compared to pre-painting. Male aggression towards females did not differ in the presence versus absence of the pregnancy sign in either the wild or the captive population, although captive fathers paid significantly more attention to distress calls of pregnant cage-mates than they did to those of cycling cage-mates, suggesting a willingness to aid mothers that were carrying their unborn offspring. (C) 2015 The Association for the Study of Animal Behaviour. Published by Elsevier Ltd. All rights reserved.</t>
  </si>
  <si>
    <t>Eberly, Lynn/0000-0003-4763-330X</t>
  </si>
  <si>
    <t>10.1016/j.anbehav.2015.07.026</t>
  </si>
  <si>
    <t>WOS:000361570000024</t>
  </si>
  <si>
    <t>Mohadzir, S; Rahmah, S; Rasdi, NW; Jalilah, M; Abd Ghaffar, M; Chang, YM; Tuzan, AD; Lim, LS; Liew, HJ</t>
  </si>
  <si>
    <t>Mohadzir, Sallehuddin; Rahmah, Sharifah; Rasdi, Nadiah Wan; Jalilah, Mohammad; Abd Ghaffar, Mazlan; Chang, Yumei; Tuzan, Audrey Daning; Lim, Leong-Seng; Liew, Hon Jung</t>
  </si>
  <si>
    <t>Intraspecific aggression in the jewel cichlid Hemichromis bimaculatus reared under different background colours</t>
  </si>
  <si>
    <t>AQUACULTURE RESEARCH</t>
  </si>
  <si>
    <t>The jewel cichlid Hemichromis bimaculatus is a popular freshwater ornamental fish with high market demand. However, it is aggressive and difficult to be maintained in captivity. Background colours are known to influence fish aggression, but there is still no such information available on H. bimaculatus. This study was conducted to examine the influence of 6 background colours (black, white, blue, yellow, green or red) on the aggression (chasing frequency), survival, weight gain and feed intake of the H. bimaculatus, through a 60-day culture trial. At the end of this trial, since the total feed intake and fish weight gain (except black) were similar among all treatments, the green was the most recommended background colour for the H. bimaculatus culture as it has the highest fish survival, followed by the white and yellow. Low fish survival was found under the black, red and blue; hence, these background colours were not recommended. In this study, we suspected that different background colours may induce different aggressiveness degree in the H. bimaculatus, and biting may have occurred to cause low fish survival. Also, the blue was speculated to be a stressful background colour to the H. bimaculatus. Nevertheless, further study is necessary to elucidate these hypotheses.</t>
  </si>
  <si>
    <t>Chang, Yumei/M-6298-2014; Rasdi, Nadiah W./H-8910-2018; Lim, Leong Seng/I-5324-2016</t>
  </si>
  <si>
    <t>Rasdi, Nadiah W./0000-0002-7331-4866; Lim, Leong Seng/0000-0002-0404-1083</t>
  </si>
  <si>
    <t>1355-557X</t>
  </si>
  <si>
    <t>1365-2109</t>
  </si>
  <si>
    <t>DEC</t>
  </si>
  <si>
    <t>10.1111/are.16083</t>
  </si>
  <si>
    <t>AUG 2022</t>
  </si>
  <si>
    <t>WOS:000847232100001</t>
  </si>
  <si>
    <t>Price, TD</t>
  </si>
  <si>
    <t>Price, Trevor D.</t>
  </si>
  <si>
    <t>Sensory Drive, Color, and Color Vision</t>
  </si>
  <si>
    <t>AMERICAN NATURALIST</t>
  </si>
  <si>
    <t>Colors often appear to differ in arbitrary ways among related species. However, a fraction of color diversity may be explained because some signals are more easily perceived in one environment rather than another. Models show that not only signals but also the perception of signals should regularly evolve in response to different environments, whether these primarily involve detection of conspecifics or detection of predators and prey. Thus, a deeper understanding of how perception of color correlates with environmental attributes should help generate more predictive models of color divergence. Here, I briefly review our understanding of color vision in vertebrates. Then I focus on opsin spectral tuning and opsin expression, two traits involved in color perception that have become amenable to study. I ask how opsin tuning is correlated with ecological differences, notably the light environment, and how this potentially affects perception of conspecific colors. Although opsin tuning appears to evolve slowly, opsin expression levels are more evolutionarily labile but have been difficult to connect to color perception. The challenge going forward will be to identify how physiological differences involved in color vision, such as opsin expression levels, translate into perceptual differences, the selection pressures that have driven those differences, and ultimately how this may drive evolution of conspecific colors.</t>
  </si>
  <si>
    <t>0003-0147</t>
  </si>
  <si>
    <t>1537-5323</t>
  </si>
  <si>
    <t>10.1086/692535</t>
  </si>
  <si>
    <t>WOS:000406102400003</t>
  </si>
  <si>
    <t>Powell, EA; Uy, JAC</t>
  </si>
  <si>
    <t>Powell, Emily A.; Uy, J. Albert C.</t>
  </si>
  <si>
    <t>Male color polymorphism in populations of reef geckos (Sphaerodactylus notatus) reduces the utility of visual signals in sex recognition</t>
  </si>
  <si>
    <t>Sexually dichromatic signals can identify the sex of conspecific, facilitating decisions to initiate agonistic or courtship displays at the onset of social interactions. The utility of sex-specific signals, however, may be reduced when polymorphism evolves and these signals become variable. To explore the impact of polymorphism in the utility of sex-specific signals, we studied Floridian and Bahamian populations of the reef gecko, Sphaerodactylus notatus, which vary in the presence of polymorphic males (i.e., populations with monomorphic males that are sexually dichromatic from females; polymorphic with dichromatic and female-like males; polymorphic with dichromatic and intermediate males). We staged encounters between same-sex and different-sex pairs on opposite sides of transparent barriers to measure response to visual signals, quantifying agonistic and courtship behavior. For geckos from the monomorphic population, opposite-sex pairs consistently initiated courtship displays, and same-sex pairs initiated agonistic displays. In contrast, both polymorphic populations lacked consistent sex-specific response to visual signal, and the population with dichromatic and female-like males showed similar responses in both same-sex and opposite-sex pairings, failing to distinguish sex even when interacting with dichromatic males. When individuals from this polymorphic population were tested with the transparent barrier removed to allow olfactory signaling, we found clear courtship and agonistic responses between opposite-sex and same-sex pairs, respectively. Our study suggests that loss of signal reliability when a trait becomes polymorphic can lead to reduction of signal utility, even when the signal remains present in some individuals and still conveys the sex of conspecifics. SignificanceOur study examines partial loss of sex-specific signal in a divergent mainland population of the reef gecko (Sphaerodactylus notatus). By staging encounters between same-sex and opposite-sex individuals from three populations that varied in the presence of male polymorphism, we found that clear sex-specific visual signals were associated with visual discrimination between sexes, while unreliable sex-specific visual signal was associated with greater reliance on olfactory sex discrimination. Because the evolution of additional male color morphs (i.e., female-like males) is likely derived in this clade, our results suggest a switch from visual to olfactory signals in sex recognition in the polymorphic population. This presents an example of color polymorphism leading to a reduction in signal utility, and divergence of these traits in an isolated population suggests a possible mechanism for development of reproductive barriers and a potential contributing factor to diversity of the Sphaerodactylus clade.</t>
  </si>
  <si>
    <t>Uy, J. Albert C./0000-0002-8437-5525</t>
  </si>
  <si>
    <t>10.1007/s00265-022-03272-9</t>
  </si>
  <si>
    <t>WOS:000914603000002</t>
  </si>
  <si>
    <t>BARLOW, GW; WALLACH, SJ</t>
  </si>
  <si>
    <t>COLOR AND LEVELS OF AGGRESSION IN MIDAS CICHLID</t>
  </si>
  <si>
    <t>Previous work established that gold morphs of the Midas cichlid (Cichlasoma citrinellum) dominate normal ones of about the same size. Left unresolved was whether the gold morphs dominate because they are inherently more aggressive or because the gold color inhibits aggression. The issue was clarified by comparing levels of aggression within groups of golds only, normals only and golds plus normals. At first the groups of golds were the least aggressive. But 2 days later the levels of aggression in the other groups fell to about that of the golds. It is concluded that the gold color inhibits attack, but that this effect is only discernible in groups when they are establishing inter-individual relationships disappearing when the groups stabilize. Gold coloration inhibits attacking by stimulating fear responses.</t>
  </si>
  <si>
    <t>10.1016/S0003-3472(76)80011-5</t>
  </si>
  <si>
    <t>WOS:A1976CN83700010</t>
  </si>
  <si>
    <t>Bastiaans, E; Morinaga, G; Gaytán, JGC; Marshall, JC; Sinervo, B</t>
  </si>
  <si>
    <t>Bastiaans, Elizabeth; Morinaga, Gen; Castaneda Gaytan, Jose Gamaliel; Marshall, Jonathon C.; Sinervo, Barry</t>
  </si>
  <si>
    <t>Male aggression varies with throat color in 2 distinct populations of the mesquite lizard</t>
  </si>
  <si>
    <t>BEHAVIORAL ECOLOGY</t>
  </si>
  <si>
    <t>We describe discrete variation in throat color, an important sexual signal, in males of 2 populations of the mesquite lizard (Sceloporus grammicus). At one locality, males exhibit orange, yellow, and blue morphs; whereas at the other, males exhibit orange, yellow, and white morphs. We performed dyadic agonistic behavior trials in both populations and found that variation in throat color is associated with variation in aggression level. However, the association between color and behavior is not the same between these 2 populations. The association between color and behavior in the mesquite lizard is also not consistent with some of the associations documented in closely related species with variable throat color. Our findings suggest that although the tendency for discrete color variation to signal alternative reproductive tactics is phylogenetically widespread, both the color signals and the behaviors associated with them may change rapidly over evolutionary time.</t>
  </si>
  <si>
    <t>DURANGO, UNIVERSIDAD J/F-1212-2018; Marshall, Jonathon C./AGG-8101-2022</t>
  </si>
  <si>
    <t>DURANGO, UNIVERSIDAD J/0000-0002-1896-0937; Bastiaans, Elizabeth/0000-0002-7322-1088</t>
  </si>
  <si>
    <t>1045-2249</t>
  </si>
  <si>
    <t>1465-7279</t>
  </si>
  <si>
    <t>JUL-AUG</t>
  </si>
  <si>
    <t>10.1093/beheco/art010</t>
  </si>
  <si>
    <t>WOS:000320409900028</t>
  </si>
  <si>
    <t>HARRINGTON, ME</t>
  </si>
  <si>
    <t>AGGRESSION IN DAMSELFISH - HABITUATION BY ADULTS OF POMACENTRUS-PARTITUS TO JUVENILE INTRUDERS</t>
  </si>
  <si>
    <t>ENVIRONMENTAL BIOLOGY OF FISHES</t>
  </si>
  <si>
    <t>Successful recruitment of juvenile coral reef fishes may depend, in part, upon the aggressive behavior of adults already on the reef. In addition to initial levels of aggression, changes in aggressive behavior of adults, e.g., due to habituation, may have an even greater influence on recruiting juveniles. Adult males of the bicolor damselfish, Pomacentrus partitus, were used as subjects to study habituation of aggression toward conspecific and congeneric (P. variabilis) juveniles. Adults, held in a 1000 liter aquarium, habituated after 4 hours of constant exposure to juveniles restrained in a 1 liter 'model bottle'. Stimulus strength of the juveniles depended on their species identity, size and proximity to the resident adult's shelter. There was a recovery of aggression with a change in stimulus location, but at the same location, a stimulus of greater strength was required to bring about recovery. The implications of these findings for coral reef fish community structure are discussed.</t>
  </si>
  <si>
    <t>0378-1909</t>
  </si>
  <si>
    <t>10.1007/BF00002348</t>
  </si>
  <si>
    <t>WOS:A1995QG52700004</t>
  </si>
  <si>
    <t>Suter, HC; Huntingford, FA</t>
  </si>
  <si>
    <t>Eye colour in juvenile Atlantic salmon: effects of social status, aggression and foraging success</t>
  </si>
  <si>
    <t>Status-based differences in sclera colour in small group, of juvenile Atlantic salmon Salmo salar, held in a semi-natural environment over a 20 day period became obvious 3 days after the start of the study and persisted for the 20 days. Dominant fish had pale sclera, and this pattern was very stable over the experimental period, In contract. the sclera colour of subordinate fish (ranks 2-5) fluctuated from day to day. Median sclera colour of fish ranked 4-5 darkened on days they received more aggression. and sclera of rank 2 fish were lighter on days on which they initiated more attacks. Changes in sclera colour of fish ranked 2-4 were more frequent during feeding periods than non-feeding periods. This study confirms that the relationship between eye colour and status described in tanks is also seen in more natural environments, and also that colour change in juvenile salmonids is a complex response to local events. (C) 2002 The Fisheries Society of the British Isles. Published by Elsevier Science Ltd. All rights reserved.</t>
  </si>
  <si>
    <t>SEP</t>
  </si>
  <si>
    <t>10.1006/jfbi.2002.2084</t>
  </si>
  <si>
    <t>WOS:000179168400007</t>
  </si>
  <si>
    <t>Wiedemann, D; Burt, DM; Hill, RA; Barton, RA</t>
  </si>
  <si>
    <t>Wiedemann, Diana; Burt, D. Michael; Hill, Russell A.; Barton, Robert A.</t>
  </si>
  <si>
    <t>Red clothing increases perceived dominance, aggression and anger</t>
  </si>
  <si>
    <t>The presence and intensity of red coloration correlate with male dominance and testosterone in a variety of animal species, and even artificial red stimuli can influence dominance interactions. In humans, red stimuli are perceived as more threatening and dominant than other colours, and wearing red increases the probability of winning sporting contests. We investigated whether red clothing biases the perception of aggression and dominance outside of competitive settings, and whether red influences decoding of emotional expressions. Participants rated digitally manipulated images of men for aggression and dominance and categorized the emotional state of these stimuli. Men were rated as more aggressive and more dominant when presented in red than when presented in either blue or grey. The effect on perceived aggression was found for male and female raters, but only male raters were sensitive to red as a signal of dominance. In a categorization test, images were significantly more often categorized as 'angry' when presented in the red condition, demonstrating that colour stimuli affect perceptions of emotions. This suggests that the colour red may be a cue used to predict propensity for dominance and aggression in human males.</t>
  </si>
  <si>
    <t>Hill, Russell/D-9113-2013; Burt, Michael/D-6684-2013</t>
  </si>
  <si>
    <t>Hill, Russell/0000-0002-7601-5802; Burt, Michael/0000-0001-5627-6012; Barton, Robert/0000-0002-2150-9637</t>
  </si>
  <si>
    <t>MAY 1</t>
  </si>
  <si>
    <t>10.1098/rsbl.2015.0166</t>
  </si>
  <si>
    <t>WOS:000357684200014</t>
  </si>
  <si>
    <t>Campbell, DLM; Hauber, ME</t>
  </si>
  <si>
    <t>Campbell, Dana L. M.; Hauber, Mark E.</t>
  </si>
  <si>
    <t>The Disassociation of Visual and Acoustic Conspecific Cues Decreases Discrimination by Female Zebra Finches (Taeniopygia guttata)</t>
  </si>
  <si>
    <t>JOURNAL OF COMPARATIVE PSYCHOLOGY</t>
  </si>
  <si>
    <t>Female zebra finches (Taeniopygia guttata) use visual and acoustic traits for accurate recognition of male conspecifics. Evidence from video playbacks confirms that both sensory modalities are important for conspecific and species discrimination, but experimental evidence of the individual roles of these cue types affecting live conspecific recognition is limited. In a spatial paradigm to test discrimination, the authors used live male zebra finch stimuli of 2 color morphs, wild-type (conspecific) and white with a painted black beak (foreign), producing I of 2 vocalization types: songs and calls learned from zebra finch parents (conspecific) or cross-fostered songs and calls learned from Bengalese finch (Lonchura striata vars. domestica) foster parents (foreign). The authors found that female zebra finches consistently preferred males with conspecific visual and acoustic cues over males with foreign cues, but did not discriminate when the conspecific and foreign visual and acoustic cues were mismatched. These results indicate the importance of both visual and acoustic features for female zebra finches when discriminating between live conspecific males.</t>
  </si>
  <si>
    <t>Campbell, Dana/S-6777-2017</t>
  </si>
  <si>
    <t>Campbell, Dana/0000-0003-4028-8347</t>
  </si>
  <si>
    <t>0735-7036</t>
  </si>
  <si>
    <t>1939-2087</t>
  </si>
  <si>
    <t>10.1037/a0015837</t>
  </si>
  <si>
    <t>WOS:000268963900010</t>
  </si>
  <si>
    <t>Williams, TH; Mendelson, TC</t>
  </si>
  <si>
    <t>Williams, Tory H.; Mendelson, Tamra C.</t>
  </si>
  <si>
    <t>Male and female responses to species-specific coloration in darters (Percidae: Etheostoma)</t>
  </si>
  <si>
    <t>Male secondary sexual traits often comprise multiple components and can function in different contexts. Male signals can target females for mating, males for aggression, and may also function in interspecific interactions. In darter fishes (Percidae: Etheostoma), male nuptial coloration is a multicomponent secondary sexual signal. Females are known to respond to this signal in both intra- and interspecific contexts; they prefer conspecific over heterospecific coloration and prefer a particular colour variant within species. We also have shown that two components of this complex signal (colour and pattern) are each sufficient, in isolation, to attract females. Here, we demonstrate that males also respond to variation in nuptial coloration. Males of two sympatric species showed an association preference for motorized models with conspecific over heterospecific coloration. We also sought to determine whether colour or pattern presides over the other in its influence on female and male behaviour. Using model fish representing conspecific colour (hue) with mismatched heterospecific patterning (and vice versa), we asked whether either sex preferred one element over the other. Female and male Etheostoma barrenense preferred models showing conspecific male coloration in a heterospecific pattern. In contrast, neither male nor female Etheostoma zonale showed a preference for models displaying conspecific colour or conspecific pattern. We speculate that colour may be under stronger sexual selection than pattern in E. barrenense, whereas colour and pattern may be equally important social cues for E. zonale. (C) 2013 The Association for the Study of Animal Behaviour. Published by Elsevier Ltd. All rights reserved.</t>
  </si>
  <si>
    <t>Mendelson, Tamra/GSN-8151-2022</t>
  </si>
  <si>
    <t>10.1016/j.anbehav.2013.03.012</t>
  </si>
  <si>
    <t>WOS:000320651200015</t>
  </si>
  <si>
    <t>Pryke, SR</t>
  </si>
  <si>
    <t>Pryke, Sarah R.</t>
  </si>
  <si>
    <t>Is red an innate or learned signal of aggression and intimidation?</t>
  </si>
  <si>
    <t>Red coloration has been associated with dominance and aggression in a number of animals. However, it is unclear whether the increased aggression of red individuals or the avoidance of red opponents is an intrinsic or learnt response. By experimentally controlling for genetic and environmental effects, I tested for innate competitive differences and red-enhanced contest success in sexually immature (uncoloured) red and black head colour morphs of the Gouldian finch, Erythrura gouldiae. Despite juveniles being reared by foster parents of the same and different colour morphs, there were no differences in competitive abilities between uncoloured red and black males. However, when I experimentally added a red head mask to uncoloured males, red (but not black and novel blue coloration) was associated with winning contests, irrespective of an individual's underlying genetics or postindependence social experience. In addition, uncoloured opponents expressed higher stress responses (corticosterone) and avoided conflicts with red-painted competitors. The association between red coloration and aggression may be an innate response to aid facultative fight or submissive decisions, and adds to growing evidence suggesting that red coloration may be a general signal of intimidation. (C) 2009 The Association for the Study of Animal Behaviour. Published by Elsevier Ltd. All rights reserved.</t>
  </si>
  <si>
    <t>Pryke, Sarah/G-7484-2011</t>
  </si>
  <si>
    <t>10.1016/j.anbehav.2009.05.013</t>
  </si>
  <si>
    <t>WOS:000268902900021</t>
  </si>
  <si>
    <t>Turner, VLG; Lynch, SM; Paterson, L; Lóen-Cortés, JL; Thorpe, JP</t>
  </si>
  <si>
    <t>Aggression as a function of genetic relatedness in the sea anemone Actinia equina (Anthozoa: Actiniaria)</t>
  </si>
  <si>
    <t>The beadlet sea anemone Actinia equina (L.) shows a well-documented sequence of aggressive responses towards conspecific individuals. Aggression is also shown towards sea anemones of certain other species. A study was carried out to assess aggressive responses of A. equina to other anemones over a wide range of levels of genetic divergence from genetically identical individuals (clonemates) to various other species, all of which were potentially sympatric. The other species used were the dahlia anemone Urticina felina (L.), the gem anemone Bunodactis verrucosa (Pennant), the snakelocks anemone Anemonia viridis (Forskal), the plumose anemone Metridium senile (L.) and the strawberry anemone Actinia fragacea Tugwell. Intraspecific aggression was also studied in A. fragacea. A. equina exhibited high levels of aggression to all the other species and to unrelated (i.e. non-clonal) individuals of its own species, but was never aggressive to clonemates. The levels of aggression shown by A. equina were found to correlate with the genetic divergence of the other anemone. It was also noted that A. equina only left damaging acrorhagial peels on conspecific individuals, whereas A. fragacea never left a peel on other A. fragacea, but produced peels during all successful 'fights' against A. equina. It is suggested that the non-self recognition system, which triggers the acrorhagial application behaviour in A. equina, is not species-specific, although the occurrence of acrorhagial peeling may be species-specific.</t>
  </si>
  <si>
    <t>10.3354/meps247085</t>
  </si>
  <si>
    <t>WOS:000181318700008</t>
  </si>
  <si>
    <t>Kulikov, AV; Bazhenova, EY; Kulikova, EA; Fursenko, DV; Trapezova, LI; Terenina, EE; Mormede, P; Popova, NK; Trapezov, OV</t>
  </si>
  <si>
    <t>Kulikov, A. V.; Bazhenova, E. Y.; Kulikova, E. A.; Fursenko, D. V.; Trapezova, L. I.; Terenina, E. E.; Mormede, P.; Popova, N. K.; Trapezov, O. V.</t>
  </si>
  <si>
    <t>Interplay between aggression, brain monoamines and fur color mutation in the American mink</t>
  </si>
  <si>
    <t>GENES BRAIN AND BEHAVIOR</t>
  </si>
  <si>
    <t>Domestication of wild animals alters the aggression towards humans, brain monoamines and coat pigmentation. Our aim is the interplay between aggression, brain monoamines and depigmentation. The Hedlund white mutation in the American mink is an extreme case of depigmentation observed in domesticated animals. The aggressive (-2.06 +/- 0.03) and tame (+ 3.5 +/- 0.1) populations of wild-type dark brown color (standard) minks were bred during 17 successive generations for aggressive or tame reaction towards humans, respectively. The Hedlund mutation was transferred to the aggressive and tame backgrounds to generate aggressive (-1.2 +/- 0.1) and tame (+ 3.0 +/- 0.2) Hedlund minks. Four groups of 10 males with equal expression of aggressive (-2) or tame (+ 5) behavior, standard or with the Hedlund mutation, were selected to study biogenic amines in the brain. Decreased levels of noradrenaline in the hypothalamus, but increased concentrations of the serotonin metabolite, 5-hydroxyindoleacetic acid and dopamine metabolite, homovanillic acid, in the striatum were measured in the tame compared with the aggressive standard minks. The Hedlund mutation increased noradrenaline level in the hypothalamus and substantia nigra, serotonin level in the substantia nigra and striatum and decreased dopamine concentration in the hypothalamus and striatum. Significant interaction effects were found between the Hedlund mutation and aggressive behavior on serotonin metabolism in the substantia nigra (P &lt; 0.001), dopamine level in the midbrain (P &lt; 0.01) and its metabolism in the striatum (P &lt; 0.05). These results provide the first experimental evidence of the interplay between aggression, brain monoamines and the Hedlund mutation in the American minks.</t>
  </si>
  <si>
    <t>Popova, Nina K/HKO-4302-2023; Mormede, Pierre/N-3918-2019; Kulikova, Elizabeth/AAD-4843-2020; Kulikov, Aleksandr Vladimirovich/V-7083-2017; Fursenko, Dariya/ABF-4273-2021; Mormede, Pierre/K-5537-2015</t>
  </si>
  <si>
    <t>Fursenko, Dariya/0000-0003-0386-7315; Mormede, Pierre/0000-0003-0345-1432; Terenina, Elena/0009-0005-1398-4525</t>
  </si>
  <si>
    <t>1601-1848</t>
  </si>
  <si>
    <t>1601-183X</t>
  </si>
  <si>
    <t>10.1111/gbb.12313</t>
  </si>
  <si>
    <t>WOS:000393079000005</t>
  </si>
  <si>
    <t>Lehtonen, TK; Nagarajan-Radha, V; Dowling, DK; Wong, BBM</t>
  </si>
  <si>
    <t>Lehtonen, Topi K.; Nagarajan-Radha, Venkatesh; Dowling, Damian K.; Wong, Bob B. M.</t>
  </si>
  <si>
    <t>Size, more than colour, drives dyadic interactions in sub-adults of a colour polymorphic cichlid</t>
  </si>
  <si>
    <t>BIOLOGICAL JOURNAL OF THE LINNEAN SOCIETY</t>
  </si>
  <si>
    <t>Social and aggressive behaviours often affect the fitness of multiple interacting individuals simultaneously. Here, we assessed dyadic interactions in a colour-polymorphic cichlid fish, the red devil, Amphilophus labiatus. We found that sub-adult red devil pairs of smaller body size interacted more, and were more aggressive towards each other, than pairs comprising larger individuals. Interactions did not significantly differ between colour morphs, i.e. between dark, gold and heterotypic pairs. Interestingly, within a broad range of parameters, an automated measure of time that the two fish spent in close proximity was an accurate proxy for their level of aggression, as measured by an observer from video recordings. These results show that, between sub-adult red devils, (aggressive) interactions significantly depend on body size, but not colour morph, of the interacting individuals. In addition, the results support the use of automated data-gathering approaches as an appropriate tool for studies of aggression.</t>
  </si>
  <si>
    <t>Lehtonen, Topi/A-6679-2010; Nagarajan Radha, Venkatesh/GON-6995-2022; Dowling, Damian/C-9016-2009; Nagarajan-Radha, Venkatesh/I-3232-2014</t>
  </si>
  <si>
    <t>Dowling, Damian/0000-0003-2209-3458; Wong, Bob/0000-0001-9352-6500; Lehtonen, Topi/0000-0002-1372-9509; Nagarajan-Radha, Venkatesh/0000-0002-2386-4093</t>
  </si>
  <si>
    <t>0024-4066</t>
  </si>
  <si>
    <t>1095-8312</t>
  </si>
  <si>
    <t>10.1093/biolinnean/blac014</t>
  </si>
  <si>
    <t>MAR 2022</t>
  </si>
  <si>
    <t>WOS:000768465800001</t>
  </si>
  <si>
    <t>Lehtonen, TK; Gagnon, K; Sowersby, W; Wong, BBM</t>
  </si>
  <si>
    <t>Lehtonen, Topi K.; Gagnon, Karine; Sowersby, Will; Wong, Bob B. M.</t>
  </si>
  <si>
    <t>Allopatry, competitor recognition and heterospecific aggression in crater lake cichlids</t>
  </si>
  <si>
    <t>BMC EVOLUTIONARY BIOLOGY</t>
  </si>
  <si>
    <t>Background: Aggressive behaviour can have significant evolutionary consequences-not only within species, but also in the context of heterospecific interactions. Here, we carried out an experimental field study to investigate the importance of phenotypic similarity on levels of aggression between species whilst controlling for familiarity effects using manipulated allopatric stimuli. Specifically, we investigated aggressive responses of territory holding males and females in two species of Neotropical cichlid fish, Amphilophus sagittae and Hypsophrys nicaraguensis, that differ in their phenotypic similarity to our allopatric stimulus species, Amphilophus astorquii. Results: We found that, independent of phenotypic similarity (and correlated phylogenetic proximity) between the territory holders and intruder, territorial aggression was not adjusted in relation to allopatric intruder colour markings that are associated with different levels of threat and known to provoke different responses in a sympatric setting. We also found that males and females did not differ in their overall patterns of aggression adjustment towards intruder cues. Nevertheless, the two focal species, which share the same breeding grounds and external threats, exhibited different sex roles in breeding territory defence. Conclusion: Together with earlier studies assessing hetrospecific aggression in sympatry, our current results highlight the importance of coevolution and learning in species interactions.</t>
  </si>
  <si>
    <t>Gagnon, Karine/O-1514-2013; Lehtonen, Topi/A-6679-2010; Sowersby, Will/AAG-5106-2019</t>
  </si>
  <si>
    <t>Gagnon, Karine/0000-0002-0971-7740; Sowersby, Will/0000-0002-9774-5935; Wong, Bob/0000-0001-9352-6500; Lehtonen, Topi/0000-0002-1372-9509</t>
  </si>
  <si>
    <t>1471-2148</t>
  </si>
  <si>
    <t>JAN 4</t>
  </si>
  <si>
    <t>10.1186/s12862-015-0569-9</t>
  </si>
  <si>
    <t>WOS:000367430900003</t>
  </si>
  <si>
    <t>Pearce, D; Pryke, SR; Griffith, SC</t>
  </si>
  <si>
    <t>Pearce, Dhanya; Pryke, Sarah R.; Griffith, Simon C.</t>
  </si>
  <si>
    <t>INTERSPECIFIC AGGRESSION FOR NEST SITES: MODEL EXPERIMENTS WITH LONG-TAILED FINCHES (POEPHILA ACUTICAUDA) AND ENDANGERED GOULDIAN FINCHES (ERYTHRURA GOULDIAE)</t>
  </si>
  <si>
    <t>AUK</t>
  </si>
  <si>
    <t>For cavity-nesting birds, tree cavities often represent a critical, defendable, and limiting resource that is frequently under intense interspecific competition. However, the dynamics of interspecific conflict resolution, especially between species of similar size, are often unclear. We experimentally tested aggression and nest-defense behaviors in Gouldian Finches (Erythrura gouldiae) and Long-tailed Finches (Poephila acuticauda), two sympatric, cavity-nesting estrildid finches that are very similar in size, ecology, and nest-site requirements. Mounted taxiderinic models of conspecific and heterospecific nest-site competitors (black and red Gouldian Finch morph and Long-tailed Finch models), as well as a control noncompetitor (Black-chinned Honeyeater [Melithreptus gularis]), were presented to Gouldian and Long-tailed finches. These two competing species differed in their overall responses to simulated intruders and in their relative aggression toward conspecific and heterospecific intruders. Long-tailed Finches reacted more quickly to models, approached closer, and were more likely to at tack models (i.e., make physical contact) than Gouldian Finches, which suggests that Long-tailed Finches are intrinsically more aggressive. In addition, Long-tailed Finches were more aggressive toward Gouldian Finches than toward conspecific models. By contrast, Gouldian Finches were more aggressive to conspecific models and avoided approaching Long-tailed Finch models. Male Gouldian Finches were particularly aggressive toward conspecifics, and red head-color morphs were more aggressive than black morphs. These results suggest that the outcomes of competitive asymmetries within and between these species are driven by differences in aggression. Together with the substantial overlap in nest-site use, the Long-tailed Finch's aggressive domination of limited nest sites may lead to competitive exclusion of the endangered Gouldian Finch. Received 14 April 2011, accepted 25 May 2011.</t>
  </si>
  <si>
    <t>Griffith, Simon/AAH-3706-2021; Pryke, Sarah/G-7484-2011</t>
  </si>
  <si>
    <t>Griffith, Simon/0000-0001-7612-4999;</t>
  </si>
  <si>
    <t>1938-4254</t>
  </si>
  <si>
    <t>10.1525/auk.2011.11085</t>
  </si>
  <si>
    <t>WOS:000293307300007</t>
  </si>
  <si>
    <t>Smith, P; Waterman, M</t>
  </si>
  <si>
    <t>Sex differences in processing aggression words using the Emotional Stroop task</t>
  </si>
  <si>
    <t>There is a robust relationship between the salience of stimulus materials presented in the Emotional Stroop task and inhibition of response in clinical populations. Researchers have now found information-processing biases in both forensic and non-forensic samples presented with threatening or aggressive stimuli [Cohen et al., 1998; Eckhardt and Cohen, 1997; Smith and Waterman, 2003; Van Honk et al., 2001]. We sought to explore sex differences in processing words relating to acts of direct and indirect aggression using a group of undergraduates (50 males and 50 females). Participants also completed self-report questionnaires (AQ and EXPAGG) to allow some consideration of the relationship between objective and subjective measures. We predicted that males would demonstrate delayed responses when presented with words relating to acts of direct aggression. We also predicted that high levels of physical aggression would be the best predictor of bias for direct aggression words, high levels of verbal aggression would be the best predictor of bias for indirect aggression words, physical aggression would predict bias in males, and verbal aggression would predict bias in females. Males demonstrated a perceptual bias for words relating to acts of direct aggression, taking significantly longer to correctly colour name direct aggression words. Females were slower to correctly colour name indirect aggression words, but not significantly so. Verbal aggression, as expected, predicted bias performance for indirect aggression words but anger rather than physical aggression was the best predictor of bias for direct aggression words. Gender was a predictor for bias with both sets of words. Contrary to our predictions, it was observed that a high level of physical aggression was the best predictor of bias in both males and females. These data provide further evidence to confirm the saliency of aggression words to aggressive individuals in non-forensic populations. (c) 2005 Wiley-Liss, Inc.</t>
  </si>
  <si>
    <t>Waterman, Mitch/0000-0003-0168-0426</t>
  </si>
  <si>
    <t>10.1002/ab.20071</t>
  </si>
  <si>
    <t>WOS:000227894100006</t>
  </si>
  <si>
    <t>Romero-Diaz, C; Pruett, JA; Campos, SM; Ossip-Drahos, AG; Zúñiga-Vega, JJ; Vital-García, C; Hews, DK; Martins, EP</t>
  </si>
  <si>
    <t>Romero-Diaz, Cristina; Pruett, Jake A.; Campos, Stephanie M.; Ossip-Drahos, Alison G.; Zuniga-Vega, J. Jaime; Vital-Garcia, Cuauhcihuatl; Hews, Diana K.; Martins, Emilia P.</t>
  </si>
  <si>
    <t>Evolutionary loss of a signalling colour is linked to increased response to conspecific chemicals</t>
  </si>
  <si>
    <t>Behavioural responses to communicative signals combine input from multiple sensory modalities and signal compensation theory predicts that evolutionary shifts in one sensory modality could impact the response to signals in other sensory modalities. Here, we conducted two types of field experiments with 11 species spread across the lizard genus Sceloporus to test the hypothesis that the loss of visual signal elements affects behavioural responses to a chemical signal (conspecific scents) or to a predominantly visual signal (a conspecific lizard), both of which are used in intraspecific communication. We found that three species that have independently lost a visual signal trait, a colourful belly patch, responded to conspecific scents with increased chemosensory behaviour compared to a chemical control, while species with the belly patch did not. However, most species, with and without the belly patch, responded to live conspecifics with increased visual displays of similar magnitude. While aggressive responses to visual stimuli are taxonomically widespread in Sceloporus, our results suggest that increased chemosensory response behaviour is linked to colour patch loss. Thus, interactions across sensory modalities could constrain the evolution of complex signalling phenotypes, thereby influencing signal diversity.</t>
  </si>
  <si>
    <t>Zúñiga-Vega, J. Jaime/B-9423-2013; Romero-Diaz, Cristina/AAA-5613-2021</t>
  </si>
  <si>
    <t>Zúñiga-Vega, J. Jaime/0000-0002-9661-1521; Romero-Diaz, Cristina/0000-0002-0718-4055; Pruett, Jake/0000-0002-6421-0715; Martins, Emilia/0000-0002-8952-3240; Vital Garcia, Cuauhcihuatl/0000-0002-3634-2964; Hews, Diana/0000-0002-2252-6711</t>
  </si>
  <si>
    <t>MAR 31</t>
  </si>
  <si>
    <t>10.1098/rspb.2021.0256</t>
  </si>
  <si>
    <t>WOS:000636370000005</t>
  </si>
  <si>
    <t>Lailvaux, SP; Huyghe, K; Van Damme, R</t>
  </si>
  <si>
    <t>Lailvaux, S. P.; Huyghe, K.; Van Damme, R.</t>
  </si>
  <si>
    <t>Why can't we all just get along? Interspecific aggression in resident and non-resident Podarcis melisellensis lizards</t>
  </si>
  <si>
    <t>JOURNAL OF ZOOLOGY</t>
  </si>
  <si>
    <t>Interspecific aggression is thought to be driven by competition over either shared resources or mates, with the latter facilitated by mistaken or poor species recognition. However, such aggression may potentially also be modulated by other factors, including residency in territorial species. We tested the relative strengths of intra- and interspecific aggression in the lacertid lizard Podarcis melisellensis by introducing males to both the territories of conspecific males and the territories of a sympatric lacertid, Dalmatolacerta oxycephala. We also conducted reciprocal introductions to test the effect of residency on interspecific aggression in P.?melisellensis. Our results show that P.?melisellensis exhibit significantly more aggression towards D.?oxycephala than towards conspecifics, even though these two species do not closely resemble one another and do not exhibit extensive overlap in diet preferences. We also found an overall effect of residency on behavioural measures of aggression, as well as a clear increase in interspecific aggression towards D.?oxycephala in resident relative to non-resident P.?melisellensis. These results show that interspecific aggression between sympatric species can exist in the absence of breeding competition and with little resource overlap.</t>
  </si>
  <si>
    <t>Lailvaux, Simon/C-3121-2008; Van Damme, Raoul/AFQ-1065-2022</t>
  </si>
  <si>
    <t>Lailvaux, Simon/0000-0002-2737-8682; Van Damme, Raoul/0000-0002-4585-6940</t>
  </si>
  <si>
    <t>0952-8369</t>
  </si>
  <si>
    <t>1469-7998</t>
  </si>
  <si>
    <t>10.1111/j.1469-7998.2012.00943.x</t>
  </si>
  <si>
    <t>WOS:000310330900007</t>
  </si>
  <si>
    <t>Lyon, BE; Shizuka, D; Eadie, JM</t>
  </si>
  <si>
    <t>Lyon, Bruce E.; Shizuka, Daizaburo; Eadie, John M.</t>
  </si>
  <si>
    <t>Interspecific egg rejection as ecological collateral damage from selection driven by conspecific brood parasitism</t>
  </si>
  <si>
    <t>Distinguishing between interspecific and intraspecific coevolution as the selective driver of traits can be difficult in some taxa. A previous study of an avian obligate brood parasite, the black-headed duck, Heteronetta atricapilla, suggested that egg rejection by its two main hosts (two species of coot) is an incidental by-product of selection from conspecific brood parasitism within the hosts, not selection imposed by the interspecific parasite. However, although both species of coot can recognize and reject eggs of conspecific brood parasites, which closely resemble their own, they paradoxically also accept a moderate fraction of duck eggs (40-60%), which differ strikingly in shape and colour from their own eggs. Here we test the key assumption of the incidental by-product hypothesis that natural selection for egg recognition solely from conspecific brood parasitism can result in intermediate levels of rejection of nonmimetic eggs. We repeated the same egg rejection experiments conducted previously with the two Argentine hosts in a third closely related species that experiences only conspecific brood parasitism, the American coot, Fulica americana. These experiments yielded the same intermediate rejection rates for nonmimetic duck eggs. Our results confirm that selection from conspecific brood parasitism can lead to counterintuitive intermediate rejection rates of nonmimetic interspecific eggs and further support the suggestion that selection from antagonism within species can incidentally affect interactions between species. (C) 2015 The Association for the Study of Animal Behaviour. Published by Elsevier Ltd. All rights reserved.</t>
  </si>
  <si>
    <t>Lyon, Bruce E/E-8491-2011</t>
  </si>
  <si>
    <t>Eadie, John/0000-0001-9573-2703</t>
  </si>
  <si>
    <t>10.1016/j.anbehav.2015.02.010</t>
  </si>
  <si>
    <t>WOS:000353378200015</t>
  </si>
  <si>
    <t>Hews, DK; Hara, E; Anderson, MC</t>
  </si>
  <si>
    <t>Hews, Diana K.; Hara, Erina; Anderson, Maurice C.</t>
  </si>
  <si>
    <t>Sex and species differences in plasma testosterone and in counts of androgen receptor-positive cells in key brain regions of Sceloporus lizard species that differ in aggression</t>
  </si>
  <si>
    <t>GENERAL AND COMPARATIVE ENDOCRINOLOGY</t>
  </si>
  <si>
    <t>We studied neuroendocrine correlates of aggression differences in adults of two Sceloporus lizard species. These species differ in the degree of sex difference in aggressive color signals (belly patches) and in aggression: Sceloporus undulatus (males blue, high aggression; females white, low aggression) and Sceloporus virgatus (both sexes white, lower aggression). We measured plasma testosterone and counted cells expressing androgen receptor-like immunoreactivity to the affinity-purified polyclonal AR antibody, PG-21, in three brain regions of breeding season adults. Male S. undulatus had the highest mean plasma testosterone and differed significantly from conspecific females. In contrast, there was no sex difference in plasma testosterone concentrations in S. virgatus. Male S. undulatus also had the highest mean number of AR-positive cells in the preoptic area: the sexes differed in S. undulatus but not in S. virgatus, and females of the two species did not differ. In the ventral medial hypothalamus, S. undulatus males had higher mean AR cell counts compared to females, but again there was no sex difference in S. virgatus. In the habenula, a control brain region, the sexes did not differ, and although the sex by species interaction significant was not significant, there was a trend (p = 0.050) for S. virgatus to have higher mean AR cell counts than S. undulatus. Thus hypothalamic AR cell counts paralleled sex and species differences in aggression, as did mean plasma testosterone levels in these breeding-season animals. (c) 2012 Elsevier Inc. All rights reserved.</t>
  </si>
  <si>
    <t>0016-6480</t>
  </si>
  <si>
    <t>10.1016/j.ygcen.2011.12.028</t>
  </si>
  <si>
    <t>WOS:000303700900032</t>
  </si>
  <si>
    <t>Dijkstra, PD; Seehausen, O; Pierotti, MER; Groothuis, TGG</t>
  </si>
  <si>
    <t>Dijkstra, P. D.; Seehausen, O.; Pierotti, M. E. R.; Groothuis, T. G. G.</t>
  </si>
  <si>
    <t>Male-male competition and speciation: aggression bias towards differently coloured rivals varies between stages of speciation in a Lake Victoria cichlid species complex</t>
  </si>
  <si>
    <t>Sympatric speciation driven by sexual selection by female mate choice on a male trait is a much debated topic. The process is problematic because of the lack of negative frequency-dependent selection that can facilitate the invasion of a novel colour phenotype and stabilize trait polymorphism. It has recently been proposed that male-male competition for mating territories can generate frequency-dependent selection on male colouration. Rare male cichlid fish would enjoy a fitness advantage if territorial defenders bias aggression towards male cichlid fish of their own colour. We used blue (ancestral type) and red phenotypes of the Lake Victoria cichlid species complex Pundamilia. We tested the aggression bias of wild-caught territorial blue male cichlid fish from five separate populations for blue vs. red rival male cichlid fish using simulated intruder choice tests. The different populations vary in the frequency of red male cichlid fish, and in the degree of reproductive isolation between red and blue, reflecting different stages of speciation. Blue male cichlid fish from a population that lack red phenotypes biased aggression towards blue stimulus male cichlid fish. The same was found in two populations where blue and red are reproductively isolated sister species. This aggression bias may facilitate the invasion of a novel colour phenotype and species coexistence. Blue male cichlid fish from two populations where red and blue are hybridizing incipient species biased aggression towards red stimulus male cichlid fish. Thus, after a successful invasion of red, aggression bias alone is not likely to generate frequency dependence required to stabilize the coexistence of phenotypes. The findings show that aggression bias varies between stages of speciation, but is not enough to stabilize the process of speciation.</t>
  </si>
  <si>
    <t>Seehausen, Ole/C-8272-2011; Pierotti, Michele E R/E-7563-2011</t>
  </si>
  <si>
    <t>Seehausen, Ole/0000-0001-6598-1434; Pierotti, Michele E R/0000-0003-2837-6192; Dijkstra, Peter/0000-0001-5382-225X</t>
  </si>
  <si>
    <t>10.1111/j.1420-9101.2006.01266.x</t>
  </si>
  <si>
    <t>WOS:000244244300008</t>
  </si>
  <si>
    <t>Frederiksen, M; Bregnballe, T</t>
  </si>
  <si>
    <t>Conspecific reproductive success affects age of recruitment in a great cormorant, Phalacrocorax carbo sinensis, colony</t>
  </si>
  <si>
    <t>Few studies have addressed the proximate factors affecting the age at which individuals of long-lived bird species are recruited into the breeding population. We use capture-recapture analysis of resightings of 16 birth cohorts of colour-ringed great cormorants. Phalacrocorax carbo sinenis, in a Danish colony to assess the evidence for two hypotheses: conspecific attraction (earlier recruitment when the colon) is large) and conspecific reproductive success (earlier recruitment following years of high breeding success). For both males and females, conspecific reproductive success was the most important covariate explaining the interannual variation in age of recruitment: colony size was also important for females. These covariates explained nearly 60% of the year-to-year variation for both sexes. The age of recruitment increased for cohorts horn after 1990, and this increase was correlated with a decline in breeding success in the colon); we interpret this as an indirect and delayed density-dependent effect. Females were recruited earlier than males (mean age of recruitment for cohorts born before 1990: 2.98 years versus 3.53 years); the most plausible reason for this is a skewed sex ratio in favour of males in the adult population. Recruitment of males may thus, to some extent, be constrained by the availability of females. This study provides the first evidence that conspecific reproductive success carl affect the age at which individual birds start to breed.</t>
  </si>
  <si>
    <t>Frederiksen, Morten/A-7542-2008; Bregnballe, Thomas/L-1890-2013</t>
  </si>
  <si>
    <t>Frederiksen, Morten/0000-0001-5550-0537; Bregnballe, Thomas/0000-0003-2867-478X</t>
  </si>
  <si>
    <t>JUL 22</t>
  </si>
  <si>
    <t>10.1098/rspb.2001.1701</t>
  </si>
  <si>
    <t>WOS:000170003600013</t>
  </si>
  <si>
    <t>Wright, DS; Yong, L; Pierotti, MER; McKinnon, JS</t>
  </si>
  <si>
    <t>Wright, Daniel Shane; Yong, Lengxob; Pierotti, Michele E. R.; McKinnon, Jeffrey S.</t>
  </si>
  <si>
    <t>Male red throat coloration, pelvic spine coloration, and courtship behaviours in threespine stickleback</t>
  </si>
  <si>
    <t>EVOLUTIONARY ECOLOGY RESEARCH</t>
  </si>
  <si>
    <t>Background: In addition to exhibiting red nuptial throat coloration, male threespine sticklebacks (Gasterosteus aculeatus) often possess red coloration on their pelvic spines. Although variation in throat colour has been shown to be associated with male reproductive behaviour, limited research has been devoted to the behavioural correlates of red spine colour. Like the red throat, spine colour might correlate with components of male reproductive behaviour and may also be androgen dependent, with important implications for a potential signalling function. Hypothesis: Spine coloration, like throat coloration, is correlated with components of courtship behaviour, and also with the fish androgen 11-ketotestosterone (11KT). Methods: To examine the role of male throat and spine colour expression in a mating context, we measured the behavioural response of nesting males to conspecific females. We analysed the relationships between throat and spine colours with reproductive behaviours as well as with 11KT. Results: Males with more intensely red throats courted females more vigorously, whereas males with redder spines displayed relatively more aggressive behaviour during courtship. An initial analysis of a subsample of males showed that 11KT was positively associated with spine colour intensity, but not with red throats or any behaviours. Hence throat and spine colour may reflect different components of male reproductive behaviour, and 11KT is a potential mediator of spine coloration in males.</t>
  </si>
  <si>
    <t>Wright, Shane/AAE-7523-2020; Pierotti, Michele E R/E-7563-2011</t>
  </si>
  <si>
    <t>Wright, Shane/0000-0002-4066-6718; Pierotti, Michele E R/0000-0003-2837-6192; Yong, Lengxob/0000-0002-7459-4863</t>
  </si>
  <si>
    <t>1522-0613</t>
  </si>
  <si>
    <t>1937-3791</t>
  </si>
  <si>
    <t>WOS:000378168300007</t>
  </si>
  <si>
    <t>Ardia, DR; Broughton, DR; Gleicher, MJ</t>
  </si>
  <si>
    <t>Ardia, Daniel R.; Broughton, Deanna R.; Gleicher, Michael J.</t>
  </si>
  <si>
    <t>Short-term exposure to testosterone propionate leads to rapid bill color and dominance changes in zebra finches</t>
  </si>
  <si>
    <t>HORMONES AND BEHAVIOR</t>
  </si>
  <si>
    <t>Testosterone (T) can influence both male-male competition and mate choice displays. In zebra finches, female mate choice is based in part on bill color, and bill color has been shown to be enhanced by long-term testosterone supplementation. However, it is not clear whether bill color plays a role in male-male interactions and how bill color responds to shorter-term changes in T. We tested whether a single injection of testosterone propionate (TP) would influence male-male dominance interactions and lead to rapid (over a three-day period) changes in bill color. In addition, we tested whether bill color predicted aggression and dominance. We allowed birds in triads to establish hierarchies and then injected either dominant or subordinate individuals with TP, in addition to establishing sham control triads. We found that red chroma, but not hue, predicted aggressiveness of males. Exposure to TP led both dominant and subordinate birds to increase dominance scores over three days, longer than the &lt;24 h period in which injected TP stays active. In addition, exposure to TP increased red chroma and hue in three days showing the dynamic nature of allocation of pigments to the bill. Our results suggest that zebra finches can modulate T and bill color levels over short time periods and these changes may occur through positive feedback between T-levels and dominance. (C) 2010 Elsevier Inc. All rights reserved.</t>
  </si>
  <si>
    <t>0018-506X</t>
  </si>
  <si>
    <t>1095-6867</t>
  </si>
  <si>
    <t>10.1016/j.yhbeh.2010.04.004</t>
  </si>
  <si>
    <t>WOS:000280933600025</t>
  </si>
  <si>
    <t>Volpato, GL; Luchiari, AC; Duarte, CRA; Barreto, RE; Ramanzini, GC</t>
  </si>
  <si>
    <t>Eye color as an indicator of social rank in the fish Nile tilapia</t>
  </si>
  <si>
    <t>BRAZILIAN JOURNAL OF MEDICAL AND BIOLOGICAL RESEARCH</t>
  </si>
  <si>
    <t>18th Annual Meeting of the Federacao-de-Sociedades-de-Biologia-Experimental</t>
  </si>
  <si>
    <t>AUG 27-30, 2003</t>
  </si>
  <si>
    <t>CURITIBA, BRAZIL</t>
  </si>
  <si>
    <t>Fed Soc Bio Experimental</t>
  </si>
  <si>
    <t>We investigated the association of eye color with the dominantsubordinate relationship in the fish Nile tilapia, Oreochromis niloticus. Eye color pattern was also examined in relation to the intensity of attacks. We paired 20 size-matched fish (intruder: 73.69 +/- 11.49 g; resident: 75.42 +/- 8.83 g) and evaluated eye color and fights. These fish were isolated in individual aquaria for 10 days and then their eye color was measured 5 min before pairing (basal values). Twenty minutes after pairing, eye color and fights were quantified for 10 min. Clear establishment of social hierarchy was observed in 7 of 10 pairs of fish. Number of attacks ranged from 1 to 168 among pairs. The quartile was calculated for these data and the pairs were then divided into two classes: low-attack (1 to 111 attacks - 2 lower quartiles) or high-attack (112 to 168 attacks - 2 higher quartiles). Dominance decreased the eye-darkening patterns of the fish after pairing, while subordinance increased darkening compared to dominance. Subordinate fish in low-attack confrontations presented a darker eye compared to dominant fish and to the basal condition. We also observed a paler eye pattern in dominants that shared low-attack interactions after pairing compared to the subordinates and within the group. However, we found no differences in the darkening pattern between dominants and subordinates from the high-attack groups. We conclude that eye color is associated with social rank in this species. Moreover, the association between eye color and social rank in the low-attack pairs may function to reduce aggression.</t>
  </si>
  <si>
    <t>Barreto, Rodrigo E/A-3440-2013; Duarte, Cristiane Regina do Amaral/G-4826-2012; Luchiari, Ana C/O-3206-2013; MA, Visconti/H-7123-2013; Volpato, Gilson L/B-2304-2008</t>
  </si>
  <si>
    <t>MA, Visconti/0000-0001-8703-5238; Duarte, Cristiane Regina do Amaral/0000-0003-3209-3814</t>
  </si>
  <si>
    <t>0100-879X</t>
  </si>
  <si>
    <t>10.1590/S0100-879X2003001200007</t>
  </si>
  <si>
    <t>WOS:000187175000007</t>
  </si>
  <si>
    <t>BRACE, RC</t>
  </si>
  <si>
    <t>INTRASPECIFIC AGGRESSION IN THE COLOR MORPHS OF THE ANEMONE PHYMACTIS-CLEMATIS FROM CHILE</t>
  </si>
  <si>
    <t>MARINE BIOLOGY</t>
  </si>
  <si>
    <t>The anemone P. clematis exhibits intraspecific aggression. An investigation into dominance relationships among the 3 color morphs collected from Vina del Mar, Chile, during June 1980 revealed them to be equally aggressive. The outcomes of experimental contests appeared to reside solely with size-dependent differences in the threshold for the release of aggression. Contests were asymmetric and larger individuals displayed aggression earlier against smaller opponents, and won encounters. An analysis of times for the onset of aggression in contests showed that they were highly variable and were not a good indicator of the absolute aggressive ability of individuals as denoted by dominance rankings. A lack of assessment of opponent size during initial contact was observed. This is discussed in relation to the evolution of aggression in anemones and to the concept of evolutionarily stable strategies in contest behavior. Future work on the apparent size-dependent threshold will most instructively be conducted at the neurophysiological level.</t>
  </si>
  <si>
    <t>0025-3162</t>
  </si>
  <si>
    <t>1432-1793</t>
  </si>
  <si>
    <t>10.1007/BF00394084</t>
  </si>
  <si>
    <t>WOS:A1981MG93600010</t>
  </si>
  <si>
    <t>Pérez-Guisado, J; Muñoz-Serrano, A</t>
  </si>
  <si>
    <t>Perez-Guisado, Joaquin; Munoz-Serrano, Andres</t>
  </si>
  <si>
    <t>Factors Linked to Dominance Aggression in Dogs</t>
  </si>
  <si>
    <t>JOURNAL OF ANIMAL AND VETERINARY ADVANCES</t>
  </si>
  <si>
    <t>The aim of this study was to determine factors that might be linked to dominance aggression in pet dogs. Our results show that possession aggression is the first manifestation of dominance aggression and its basic form. Modifiable and non-modifiable factors that are associated with higher levels of dominance aggression and depend on the owner include first time ownership, a lack of obedience training, the owner not being the main obedience trainer, spoiling the dog, not using physical punishment, acquisition as a present, as a pet, impulsively, or to guard and spaying female dogs. Modifiable factors have the greatest influence on dominance aggression in dogs. Dog-dependent factors (gender, breed, age, size and coat color) are fewer than owner dependent factors. There was an association between certain dog behaviour patterns and higher level of dominance aggression.</t>
  </si>
  <si>
    <t>1680-5593</t>
  </si>
  <si>
    <t>WOS:000264104700027</t>
  </si>
  <si>
    <t>Sternberg, K</t>
  </si>
  <si>
    <t>Colours, colour change, colour patterns and (Cuticular windows' as light traps - Their thermoregulatoric and ecological significance in some Aeshna species (Odonata: Aeshnidae)</t>
  </si>
  <si>
    <t>ZOOLOGISCHER ANZEIGER</t>
  </si>
  <si>
    <t>Male and female Aeshna caerulea, A. cyanea, A. juncea and A. mixta were illuminated with a halogen and a infrared lamp, and intraabdominal temperatures (T-abd), threshold temperatures of certain behaviours during warm-up (beginning eye-cleaning, wing-whirring and take off) and warm-up times were taken. Especially the two colour phases in male A. caerulea, which are able to perform physiological colour change, have been taken into account. Depending on colours and colour patterns T-abd varied in species and conspecific sexes. T-abd was only Little, if at all, affected by body mass. Abdominal heat gain was high in dull coloured abdominal segments (in females and male A. caerulea in dark colour phase) due to high light absorption, and low under Tyndall-blue spots (e. g. male A. caerulea in blue colour phase) due to high light reflection. The Tyndall-blue seems to effect as 'overheating-protector'. It is supposed that different diurnal activity patterns in females and conspecific males are mainly caused by body colours and colour patterns. In aeshnids pigments are situated in the epidermis and are visible only through translucent cuticular areas. Together with epidermal pigments, these 'cuticular windows' are conceived as light-traps maximizing the efficiency of incident light and limiting abdominal heat gain (heat protection) to certain spots only, e.g. to support the work of abdominal organs.</t>
  </si>
  <si>
    <t>0044-5231</t>
  </si>
  <si>
    <t>1-2</t>
  </si>
  <si>
    <t>WOS:A1996WG04900005</t>
  </si>
  <si>
    <t>Tamura, N; Fujii, Y; Boonkhaw, P; Prayoonc, U; Kanchanasaka, B</t>
  </si>
  <si>
    <t>Tamura, Noriko; Fujii, Yukiko; Boonkhaw, Phadet; Prayoonc, Umphornpimon; Kanchanasaka, Budsabong</t>
  </si>
  <si>
    <t>Colour vision in Finlayson's squirrel (Callosciurus finlaysonii): is conspicuous pelage colour useful for species recognition?</t>
  </si>
  <si>
    <t>TROPICAL ZOOLOGY</t>
  </si>
  <si>
    <t>Finlayson's squirrel, Callosciurus finlaysonii, is distributed in lowland forests throughout South-East Asia. Its pelage colour is conspicuous and polymorphic (red, black, white and a mixture of these colours), which is characteristic of the species, with 16 subspecies described based on pelage colour patterns. Two closely related species, the brown C. erythraeus and the orange C. caniceps, are also distributed throughout the region. To examine whether the conspicuous pelage colour is a visual clue for species/subspecies discrimination, we experimentally assessed the colour vision of C. finlaysonii. Optically measured pelage colours of the dorsal body differed greatly among seven subspecies of C. finlaysonii and also differed among the three species of the region. Colour vision tests revealed that C. finlaysonii can discriminate the colour of conspecific white, black, and red pelages from the orange pelages of C. caniceps. They can also discriminate the brown pelages of C. erythraeus and conspecific white and black pelages, but they cannot discriminate between the brown and red pelages because they have dichromatic colour vision. White, black and orange pelage colours could be useful clues for species/subspecies recognition in Callosciurus.</t>
  </si>
  <si>
    <t>0394-6975</t>
  </si>
  <si>
    <t>1970-9528</t>
  </si>
  <si>
    <t>10.1080/03946975.2017.1345471</t>
  </si>
  <si>
    <t>WOS:000407553100002</t>
  </si>
  <si>
    <t>Moretz, J</t>
  </si>
  <si>
    <t>Aggression and fighting ability are correlated in the swordtail fish Xiphophorus cortezi:: the advantage of being barless</t>
  </si>
  <si>
    <t>Males of the swordtail fish Xiphophorus cortezi are polymorphic for the pigment pattern vertical bars. Previous studies indicate that barred males exhibit higher levels of aggression towards males with bars than those without, while barless males fail to exhibit differential levels of aggression to either morph. In this study I matched barred and barless males for size and paired them in dyadic contests in order to determine if either morph was more dominant and if so, if dominance was the result of higher aggression levels. I found that barless males had higher bite frequencies and were able to win a majority of the contests while barred males consistently escalated to biting first, even though in most cases they were ultimately the losers. In order to determine whether the observed aggression levels and fighting abilities were inherent to being barless or a consequence of responses to the bars themselves, the dyads were re-paired once after barless males were given temporary bars and once after barred males had their bars removed. Thus, each morph encountered his opponent in both a barred and barless state. Regardless of bar state, naturally barless males continued to be more aggressive and more dominant than their barred counterparts. In addition, naturally barred males only won contests in which they bit more. These results indicate that for this species, aggression is an important component of winning contests when opponents are roughly the same size. As a result, naturally barless males as a whole appear to have higher resource holding potential (RHP) than naturally barred males of the same size because of their greater aggression levels.</t>
  </si>
  <si>
    <t>10.1007/s00265-005-0008-9</t>
  </si>
  <si>
    <t>WOS:000233242600008</t>
  </si>
  <si>
    <t>Khan, MK; Herberstein, ME</t>
  </si>
  <si>
    <t>Khan, Md Kawsar; Herberstein, Marie E.</t>
  </si>
  <si>
    <t>Male-male interactions select for conspicuous male coloration in damselflies</t>
  </si>
  <si>
    <t>Male ornamentation, such as conspicuous male coloration, can evolve through female mate choice. Alternatively, in species without overt female mate preference, conspicuous male coloration can evolve as a badge of status via intrasexual selection to avoid costly fights or prevent mating attempts with other males. Here, we investigated the drivers of conspicuous male coloration in an ontogenetic colourchanging damselfly, Xanthagrion erythroneurum, where the juvenile males are yellow and change colour to red upon sexual maturity. We first showed that red males were chromatically and achromatically more conspicuous than the yellow males. We then quantified the condition of the males: red males were larger and in better condition than yellow males. We tested female preference in a choice experiment where we artificially manipulated male colour and found that females did not choose mates based on male coloration. We further tested whether the male coloration affected male-male interactions. We presented red and yellow males at the breeding site and measured behavioural responses from conspecific males and heterospecific (Ischnura heterosticta) males. Red males received less aggression from conspecifics and heterospecifics than yellow males. Our study experimentally showed that male conspicuousness is not a target of female mate choice in damselflies. Instead, intra- and interspecific male-male interactions appear to be the driver of its evolution. (c) 2021 The Association for the Study of Animal Behaviour. Published by Elsevier Ltd. All rights reserved.</t>
  </si>
  <si>
    <t>; Herberstein, Marie/D-2042-2011</t>
  </si>
  <si>
    <t>Khan, Md Kawsar/0000-0003-1795-1315; Herberstein, Marie/0000-0001-5071-2952</t>
  </si>
  <si>
    <t>10.1016/j.anbehav.2021.04.006</t>
  </si>
  <si>
    <t>MAY 2021</t>
  </si>
  <si>
    <t>WOS:000655320000013</t>
  </si>
  <si>
    <t>Bieri, E; Rubio, AO; Summers, K</t>
  </si>
  <si>
    <t>Bieri, Eli; Rubio, Andrew O.; Summers, Kyle</t>
  </si>
  <si>
    <t>Beyond color and pattern: elucidating the factors associated with intraspecific aggression in the mimic poison frog (Ranitomeya imitator)</t>
  </si>
  <si>
    <t>EVOLUTIONARY ECOLOGY</t>
  </si>
  <si>
    <t>Assortative or disassortative aggression - when individuals display more aggression towards conspecifics with similar or different phenotypic characteristics - can either maintain polymorphisms or facilitate gene flow between populations depending on which direction the aggression is aimed. Deciphering which factors elicit or prevent aggression is crucial to improving our knowledge of the origin and maintenance of reproductive barriers and subsequent speciation. The Peruvian mimic poison frog, Ranitomeya imitator, is a monogamous and territorial species that has evolved into four distinct color-pattern morphs in a mimetic radiation. Here we use historical landscape genetic data and competition trials between male individuals sourced from different populations and color-pattern morphs to show that the level of aggression between individuals is not associated with color morph or body size but rather with source population. Individuals spent more time in combat with individuals from their own deme (genetically homogeneous population), irrespective of color morph or size. These findings indicate that genotypic similarity is correlated with increased aggression in R. imitator, though the mechanism by which R. imitator males identify conspecifics as territorial threats remains unclear. As body size and color morph were not significantly associated with aggression levels, this study emphasizes the necessity of further research to identify whether other phenotypic traits are influencing territorial behavior between male frogs, and if these factors play a role in increasing gene flow, or conversely, the formation of reproductive barriers between populations.</t>
  </si>
  <si>
    <t>Rubio, Andrew/0000-0001-9273-4199; Bieri, Eli/0009-0002-5576-1045</t>
  </si>
  <si>
    <t>0269-7653</t>
  </si>
  <si>
    <t>1573-8477</t>
  </si>
  <si>
    <t>2024 JAN 25</t>
  </si>
  <si>
    <t>10.1007/s10682-023-10285-x</t>
  </si>
  <si>
    <t>JAN 2024</t>
  </si>
  <si>
    <t>WOS:001150340400001</t>
  </si>
  <si>
    <t>Yang, Y; Dugas, MB; Sudekum, HJ; Murphy, SN; Richards-Zawacki, CL</t>
  </si>
  <si>
    <t>Yang, Y.; Dugas, M. B.; Sudekum, H. J.; Murphy, S. N.; Richards-Zawacki, C. L.</t>
  </si>
  <si>
    <t>Male-male aggression is unlikely to stabilize a poison frog polymorphism</t>
  </si>
  <si>
    <t>Phenotypic polymorphism is common in animals, and the maintenance of multiple phenotypes in a population requires forces that act against homogenizing drift and selection. Male-male competition can contribute to the stability of a polymorphism when males compete primarily with males of the same phenotype. In and around a contact zone between red and blue lineages of the poison frog Oophaga pumilio, we used simulated territorial intrusions to test the nonexclusive predictions that males would direct more aggression towards males of (i) their own phenotype and/or (ii) the phenotype that is most common in their population. Males in the monomorphic red and blue populations that flank the contact zone were more aggressive towards simulated intruders that matched the local coloration. However, males in the two polymorphic populations biased aggression towards neither their own colour nor the colour most common in their population. In sympatry, the rarer colour morph gains no advantage via reduced male-male aggression from territorial males in these O.pumilio populations, and so male aggression seems unlikely to stabilize colour polymorphism on its own. More broadly, these results suggest that the potential for divergent male aggression biases to maintain phenotypic diversity depends on the mechanism(s) that generate the biases and the degree to which these mechanisms persist in sympatry.</t>
  </si>
  <si>
    <t>Yang, Yusan/I-5529-2019; Richards-Zawacki, Corinne/F-2731-2011</t>
  </si>
  <si>
    <t>Yang, Yusan/0000-0003-2765-4197; Richards-Zawacki, Corinne/0000-0002-4212-041X</t>
  </si>
  <si>
    <t>10.1111/jeb.13243</t>
  </si>
  <si>
    <t>WOS:000426731400012</t>
  </si>
  <si>
    <t>Van Gossum, H; Stoks, R; De Bruyn, L</t>
  </si>
  <si>
    <t>Frequency-dependent male mate harassment and intra-specific variation in its avoidance by females of the damselfly Ischnura elegans</t>
  </si>
  <si>
    <t>We focused on male harassment on different female color morphs of the damselfly Ischnura elegans and on variation in morph-specific mating avoidance tactics by females. In L elegans, one of the female morphs is colored like the conspecific male (andromorphs) while the other morphs are not (gynomorphs). Our first goal was to quantify morph-specific male mating attempts, hence male harassment, in populations with manipulated population parameters (densities, sex ratios, and proportion of andromorphs). Second, we examined the female's perspective by looking for potential differences in morph-specific mating avoidance tactics and success of those tactics in a natural population. Differences in population conditions did influence the number of male mating attempts per morph. The less frequent female morph was always subject to fewer mating attempts, which contradicts earlier hypotheses on mimicry, but supports those that assume that males learn to recognize female morphs. Gynomorphs occupy less open habitat and often fly away when a male approaches, while andromorphs use more open habitat, do not fly large distances and directly face approaching males. Female morphs did not differ in the proportion of successful mating-avoidance attempts. Our results suggest that the maintenance of the color polymorphism is most probably the result of interactive selective forces depending on variation in all population conditions, instead of solely density- or frequency-dependent selection within populations.</t>
  </si>
  <si>
    <t>De Bruyn, Luc/C-7030-2008; Stoks, Robby/AAK-1227-2020</t>
  </si>
  <si>
    <t>De Bruyn, Luc/0000-0002-8968-8862; Stoks, Robby/0000-0003-4130-0459</t>
  </si>
  <si>
    <t>WOS:000173034800009</t>
  </si>
  <si>
    <t>Timmer, R; Magellan, K</t>
  </si>
  <si>
    <t>Timmer, Rowan; Magellan, Kit</t>
  </si>
  <si>
    <t>The Effects of Light Intensity and Color on Aggressive Interactions in the Dusky Kob, Argyrosomus japonicus</t>
  </si>
  <si>
    <t>ISRAELI JOURNAL OF AQUACULTURE-BAMIDGEH</t>
  </si>
  <si>
    <t>The dusky kob, Argyrosomus japonicus, is highly susceptible to stress under culture conditions. Such stress frequently involves a high degree of aggression, leading to cannibalism. Here, the effects of light intensity and color on the frequency of aggressive interactions and the time that passes between presentation of food and food first being eaten (feeding latency) in this species were examined. Aggression was lowest when fish were maintained in partial shade and highest in red light. Feeding latency was not affected by light treatment. The results can aid the aquaculture industry in determining the optimal light intensity for minimizing aggressive behavior in A. japonicus.</t>
  </si>
  <si>
    <t>Magellan, Kit/B-5528-2012</t>
  </si>
  <si>
    <t>0792-156X</t>
  </si>
  <si>
    <t>WOS:000296494000001</t>
  </si>
  <si>
    <t>Rose, P; Soole, L</t>
  </si>
  <si>
    <t>Rose, Paul; Soole, Laura</t>
  </si>
  <si>
    <t>What influences aggression and foraging activity in social birds? Measuring individual, group and environmental characteristics</t>
  </si>
  <si>
    <t>ETHOLOGY</t>
  </si>
  <si>
    <t>For specialised feeders, accessing food resources may impact on the performance of appetitive foraging and social behaviours at individual and population levels. Flamingos are excellent examples of social species with complex, species-specific feeding strategies. As attainment of coloured plumage depends upon intake of dietary carotenoids, and as study of free-ranging flamingos shows that foraging is disrupted by aggression from other birds, we investigated the effect of four feeding styles on foraging and aggression in captive lesser flamingos. We evaluated individual and group differences in foraging and aggression when birds consumed bespoke flamingo pellet from a bowl, an indoor feeding pool and an outdoor feeding section of their pool. Natural foraging (when birds were feeding irrespective of the presence of pellet) was recorded for comparison with artificial feeding styles. One-minute long video footage of the birds' activities in these different locations, recorded between 2013 and 2016, was used to evaluate behaviour. Total number of seconds engaged in feeding and in aggression was recorded by continuous sampling. The colour of individual birds was scored from 1 (mainly white) to 4 (mainly pink). For natural filter feeding in the outdoor pool, maximum foraging was twice as much as bowl feeding, whilst aggression was less than half as much as other feeding methods. Overall, a more restricted feeding style significantly predicted aggression, along with increasing group size. Plumage colour significantly influenced aggression (brightest flamingos were more aggressive) and showed a non-significant trend with foraging (brighter birds fed less than paler birds). No sex effect on feeding or aggression was found. This study enhances our understanding of husbandry and species' biology impacts on captive behaviour and provides data-based evidence to improve food presentation. For flamingos, implementation of spacious outdoor feeding areas can encourage natural foraging patterns by reducing excess aggression and enhances welfare by improving flock social stability.</t>
  </si>
  <si>
    <t>Rose, Paul/AAY-2506-2020</t>
  </si>
  <si>
    <t>Rose, Paul/0000-0002-5375-8267</t>
  </si>
  <si>
    <t>0179-1613</t>
  </si>
  <si>
    <t>1439-0310</t>
  </si>
  <si>
    <t>10.1111/eth.13067</t>
  </si>
  <si>
    <t>JUN 2020</t>
  </si>
  <si>
    <t>WOS:000538660200001</t>
  </si>
  <si>
    <t>Castillo, MBC; Grether, GF</t>
  </si>
  <si>
    <t>Castillo, Maria Beatriz Cabezas; Grether, Gregory F.</t>
  </si>
  <si>
    <t>Why are female color polymorphisms rare in territorial damselflies?</t>
  </si>
  <si>
    <t>In nonterritorial damselflies, females often come in multiple color morphs, perhaps because females with rare colors experience reduced sexual harassment, and thus have a frequency-dependent fitness advantage, compared to females of the most common color morph, but such polymorphisms are rare in territorial species. We consider three hypotheses to explain the rarity of female color polymorphisms in territorial species: (a) misdirected male aggression, (b) poor male mate recognition, and (c) low mating harassment rates. The first hypothesis has some empirical support, and can account for the absence of andromorphs (i.e., females that resemble males), but does not explain the absence of multiple heteromorphs. We tested the second hypothesis by presenting females of two novel color morphs (green- or red-banded abdomens) to territorial male Hetaerina capitalis. Females of both novel color morphs elicited fewer sexual responses than control females, and the red morph occasionally elicited aggressive responses. These results indicate that novel female color morphs would experience reduced mating harassment in this species, contradicting the hypothesis that male mate recognition is too poorly developed to reduce harassment of novel female morphs. By process of elimination, the third hypothesis, that harassment rates are too low in territorial species to provide rare female morphs a fitness advantage, is favored, but remains untested. Our findings also suggest that the common practice of color-marking odonates for behavioral research is likely to interfere with mate choice, as has long been known to be the case in birds.</t>
  </si>
  <si>
    <t>Grether, Gregory F./F-6286-2011</t>
  </si>
  <si>
    <t>Grether, Gregory F./0000-0003-3441-0537</t>
  </si>
  <si>
    <t>10.1111/eth.12771</t>
  </si>
  <si>
    <t>WOS:000440649700006</t>
  </si>
  <si>
    <t>Leitao, AV; Hall, ML; Delhey, K; Mulder, RA</t>
  </si>
  <si>
    <t>Leitao, Ana, V; Hall, Michelle L.; Delhey, Kaspar; Mulder, Raoul A.</t>
  </si>
  <si>
    <t>Female and male plumage colour signals aggression in a dichromatic tropical songbird</t>
  </si>
  <si>
    <t>Animal signals of competitive ability allow contests for limited resources to be settled without costly physical fights. Traits indicating competitive ability are diverse and span visual, acoustic or chemical modalities. Although animal signalling has been intensively studied, research has focused mainly on male traits. Little is known about the extent and functionality of competitive signals in females and whether there are sex differences in signal function. We studied whether plumage colour signals competitive ability in female and male lovely fairy-wrens, Malurus amabilis. In this species, both sexes sport elaborate but sexually dichromatic ornamental plumage. Using a mirror image stimulation test, we first assessed the relationship between male and female colour and agonistic behaviour, controlling for other physical, social and ecological variables. We then tested whether colourful plumage influenced aggressive response in both sexes by experimentally manipulating plumage colour and measuring individual responses to their mirror image. Females and males were more aggressive towards naturally less colourful reflections of the cheek patch in the mirror. However, when we manipulated plumage colour, both females and males responded more aggressively to experimentally increased cheek colour reflection in the mirror. Our findings suggest that plumage colour signals competitive ability in an aggressive context in both sexes and raises the possibility that signal reliability may be maintained by social interactions where individuals police and punish dishonest signals. (C) 2019 The Association for the Study of Animal Behaviour. Published by Elsevier Ltd. All rights reserved.</t>
  </si>
  <si>
    <t>Delhey, Kaspar/AAZ-5362-2020; Leitao, Ana/I-5863-2014</t>
  </si>
  <si>
    <t>Delhey, Kaspar/0000-0001-5190-5406; Leitao, Ana/0000-0001-5367-9158</t>
  </si>
  <si>
    <t>APR</t>
  </si>
  <si>
    <t>10.1016/j.anbehav.2019.01.025</t>
  </si>
  <si>
    <t>WOS:000463590000025</t>
  </si>
  <si>
    <t>Ruxton, GD; Broom, M; Colegrave, N</t>
  </si>
  <si>
    <t>Are unusually colored eggs a signal to potential conspecific brood parasites?</t>
  </si>
  <si>
    <t>It has previously been suggested that some species of birds make the last egg in their clutch pale as a signal to potential conspecific brood parasites that incubation has commenced. Here, we use game theory to show that the signaling function of pale eggs can be evolutionarily stable and resistant to cheating and to demonstrate that such a signal can only be maintained under strict conditions. The key conditions are, first, that there is a cost associated with the production of pale eggs (in particular, the cost of a pale egg produced early in the clutch must be more expensive than the cost of one produced later in the clutch) and, second, that the cost of making the last egg pale is not too great (relative to the costs of parasitism). We discuss the likelihood of these conditions being met in real systems and suggest empirical tests that would differentiate this theory from alternative nonadaptive explanations for pale eggs.</t>
  </si>
  <si>
    <t>Colegrave, Nick/F-3916-2010</t>
  </si>
  <si>
    <t>Broom, Mark/0000-0002-1698-5495</t>
  </si>
  <si>
    <t>10.1086/319319</t>
  </si>
  <si>
    <t>WOS:000167830600007</t>
  </si>
  <si>
    <t>Bruinjé, AC; Coelho, FEA; Paiva, TMA; Costa, GC</t>
  </si>
  <si>
    <t>Bruinje, Andre C.; Coelho, Felipe E. A.; Paiva, Tales M. A.; Costa, Gabriel C.</t>
  </si>
  <si>
    <t>Aggression, color signaling, and performance of the male color morphs of a Brazilian lizard (Tropidurus semitaeniatus)</t>
  </si>
  <si>
    <t>Behavior can help to establish dominance in intrasexual interactions, preventing more costly aggressive interactions and improving access to mates. Distinct color morphs often correlate with behavior, driving differential reproductive success between them. The lizard Tropidurus semitaeniatus usually expresses two male color morphs, Yellow or Black. It is likely that morphs play a role in reproduction, which is still unexplored. Here, we test whether there is morph-related dominance during intrasexual interactions. We used ex situ behavioral trials to test whether a particular morph shows dominance, gathering dominance by attributing scores to aggressive/evasive behaviors. We also tested whether winner individuals show higher performance (sprint speed), and whether spectrophotometric measures of body coloration predict winners of male encounters. Morphs showed differences in behaviors suggesting alternative behavioral tactics: Black males behave more aggressively and less evasively while Yellow males show the opposite sets of behavior. Black males also tend to be dominant, but dominants do not show higher sprint speeds than submissive males. Chest coloration, often displayed during encounters, highly predicts winnings (particularly high yellow chroma and low lightness and UV). Our results show that lizards signal competitive condition by behaviorally exposing their chest. Males displaying more head bobs and with darker chests are more likely to win encounters. Our results suggest that Yellow males might undertake a sneaker tactic, preventing aggression costs by evasiveness even though they might perform similarly to Black males. Further studies should address whether female preference is biased in relation to male morphs and its colorations, which would suggest selective processes towards costly signals and morph maintenance.Significance statementIn the struggle for survival and reproduction, often, there is no single best strategy and multiple distinct tactics may evolve. Behavior, color signaling, and performance are frequently correlated with distinct color morphs, which can coexist as alternative mating tactics. However, studies that are able to integrate all these traits are scarce. Here, we test whether different color morphs of the lizard Tropidurus semitaeniatus show different behaviors and dominance patterns. We also test whether these color morphs differ in their performances (sprint speed) and visual signaling (behavioral displays and intensity of coloration). We demonstrate that Black and Yellow-morph males adopt distinct behavioral tactics: an aggressive (Black-morph) and an evasive (Yellow-morph) tactic. We also show that dominance is highly correlated to chest's intensity of dark yellow colorations and that lizards signal theirdominance status through displays of head bob bouts.</t>
  </si>
  <si>
    <t>Bruinjé, Andre/F-4011-2014; Costa, Gabriel C/A-4147-2008</t>
  </si>
  <si>
    <t>Bruinjé, Andre/0000-0003-1997-8247; Costa, Gabriel C/0000-0002-6777-6706</t>
  </si>
  <si>
    <t>10.1007/s00265-019-2673-0</t>
  </si>
  <si>
    <t>WOS:000467390400001</t>
  </si>
  <si>
    <t>Widmann, ME; van Elden, S; Meeuwig, JJ</t>
  </si>
  <si>
    <t>Widmann, Myriam E.; van Elden, Sean; Meeuwig, Jessica J.</t>
  </si>
  <si>
    <t>Colour change and colour phases in Lethrinidae with insights into ecology</t>
  </si>
  <si>
    <t>ECOLOGY AND EVOLUTION</t>
  </si>
  <si>
    <t>Colour change is used by a wide range of animals. It is used for intra- and interspecific communication and crypsis, and can occur on morphological and physiological levels. Bony fish employ rapid physiological colour change and display various types of patterns and colouration (colour phases) useful for aposematic and cryptic purposes. Using an existing database of benthic stereo-baited remote underwater video systems from two locations in Western Australia, we tested whether the frequency of colour phases of emperors, Lethrinidae, varied by species. We described colour phases and rapid physiological colour change in 16 species of lethrinids, and related occurrences of colour change to feeding activity and life stages. Dark and light colour phases were observed in nine of the 16 evaluated species of which seven also displayed physiological colour change. Frequency of colour phases varied between species, suggesting that the display of different dark patterns may be especially important for certain species. Both juveniles and adults showed the ability to change between different colour patterns. The change into a mottled pattern mainly occurred while feeding or when approaching to feed, suggesting that it may be triggered by feeding and the associated decrease in environmental awareness. Colour change is a commonly observed strategy in lethrinids and may have evolved as an adaptation for increased foraging success or to reduce aggression from conspecifics. Physiological colour change allows lethrinids to quickly adapt to various cues from the environment and can therefore be considered a versatile physiological mechanism in this family. We described colour phases and rapid physiological colour change in 16 species of lethrinids, and related occurrences of colour change to feeding activity. Our results showed that frequency of dark phases varied between species, that both juvenile and adult lethrinids showed the ability to change between different colour patterns and that the most common pattern (the mottled pattern) was often observed while feeding. Physiological colour change is a commonly observed strategy in lethrinids and is most likely driven by different mechanisms, including increased foraging success and reduced aggression from conspecifics.image</t>
  </si>
  <si>
    <t>van Elden, Sean/JDX-1504-2023</t>
  </si>
  <si>
    <t>van Elden, Sean/0000-0002-9089-5762</t>
  </si>
  <si>
    <t>2045-7758</t>
  </si>
  <si>
    <t>e10735</t>
  </si>
  <si>
    <t>10.1002/ece3.10735</t>
  </si>
  <si>
    <t>WOS:001114381400001</t>
  </si>
  <si>
    <t>BURLEY, N; KRANTZBERG, G; RADMAN, P</t>
  </si>
  <si>
    <t>INFLUENCE OF COLOR-BANDING ON THE CONSPECIFIC PREFERENCES OF ZEBRA FINCHES</t>
  </si>
  <si>
    <t>Male and female zebra finches are affected by the color of plastic leg bands worn by opposite-sex conspecifics. They find certain colors more attractive, and others less attractive, than the natural unbanded condition. Females prefer red-banded males over unbanded ones, and avoid light-blue and light-green banded males. Males prefer black and pink banded females and avoid those wearing light-blue or light-green bands.These findings may be useful in the study of mate choice in monogamous species; they also raise important questions about a widely used experimental technique.</t>
  </si>
  <si>
    <t>krantzberg, gail/A-5404-2008</t>
  </si>
  <si>
    <t>krantzberg, gail/0000-0002-2660-7770</t>
  </si>
  <si>
    <t>10.1016/S0003-3472(82)80055-9</t>
  </si>
  <si>
    <t>WOS:A1982NQ92800014</t>
  </si>
  <si>
    <t>Tyers, AM; Cooke, GM; Turner, GF</t>
  </si>
  <si>
    <t>Tyers, Alexandra M.; Cooke, Gavan M.; Turner, George F.</t>
  </si>
  <si>
    <t>Rare morph Lake Malawi mbuna cichlids benefit from reduced aggression from con- and hetero-specifics</t>
  </si>
  <si>
    <t>Balancing selection is important for the maintenance of polymorphism as it can prevent either fixation of one morph through directional selection or genetic drift, or speciation by disruptive selection. Polychromatism, the presence of multiple genetically determined colour phenotypes, can be maintained if the fitness of alternative morphs depends on the relative frequency in a population. In aggressive species, negative frequency-dependent antagonism can prevent an increase in the frequency of rare morphs as they would only benefit from increased fitness while they are rare. Heterospecific aggression is common in nature and has the potential to contribute to rare morph advantage. Here we carry out field observations and laboratory aggression experiments with mbuna cichlids from Lake Malawi, to investigate the role of con- and heterospecific aggression in the maintenance of polychromatism and identify benefits to rare morphs which are likely to result from reduced aggression. We hypothesize that rare morph individuals receive less aggression than common morph individuals and therefore have an ecological advantage. Within species we found that males and females bias aggression towards their own morph, adding to the evidence that inherent own-morph aggression biases can contribute to balancing selection. Over-representation of rare morph territory owners may be influenced by two factors; higher tolerance of different morph individuals as neighbours, and the ability of rare morphs to spend more time feeding. Reduced aggression to rare morph individuals by heterospecifics may also contribute to rare morph advantage.</t>
  </si>
  <si>
    <t>Tyers, Alexandra Morton/0000-0002-1153-1347</t>
  </si>
  <si>
    <t>10.1111/jeb.13929</t>
  </si>
  <si>
    <t>SEP 2021</t>
  </si>
  <si>
    <t>WOS:000698957000001</t>
  </si>
  <si>
    <t>TAYLOR, GT; BARTKO, G; FARR, S</t>
  </si>
  <si>
    <t>GONADAL-HORMONES AND CONSPECIFIC MARKING IN MALE-RATS</t>
  </si>
  <si>
    <t>Urine deposited by a rat on a conspecific was quantified with injections of sodium fluorescein, a substance that changes the color of urine. The hypothesis examined in experiment 1 was that marking the environment and a conspecific would be similarly androgen-sensitive behaviors during each of three stages.sbd.before castration, after castration, and with restorative therapy with testosterone propionate. Findings were that castration reduced both forms of marking, and testosterone therapy to castrated males restored environmental marking in a dose-response fashion. However, the findings for social marking were more complex; for example, a physiological 200-.mu.g testosterone dosage to castrated males was unable to elevate conspecific marking over the rates of marking by castrates without testosterone replacement. In experiment 2 the ontogeny conspecific marking in juvenile males was examined in relation to the pubertal surge of androgens. Results suggested that juvenile male marking of an adult male decreased despite a pubertal increase of androgens. Conclusions were that testicular hormones influenced both forms of marking but were less important in the social setting. Moreover, conspecific marking is not simply an extension of marking the environment.</t>
  </si>
  <si>
    <t>10.1016/0018-506X(87)90048-1</t>
  </si>
  <si>
    <t>WOS:A1987H984200009</t>
  </si>
  <si>
    <t>Bitton, PP; Doucet, SM</t>
  </si>
  <si>
    <t>Bitton, Pierre-Paul; Doucet, Stephanie M.</t>
  </si>
  <si>
    <t>Sympatric black-headed and elegant trogons focus on different plumage characteristics for species recognition</t>
  </si>
  <si>
    <t>The ability of individuals to distinguish conspecifics from similar-looking congeners has important evolutionary consequences, yet few studies have determined which specific visual characteristics are used for species recognition, and whether closely related species use the same characteristics. In particular, sympatry with similar-looking congeners may influence which traits are important in species recognition. We presented elegant trogons, Trogon elegans, and black-headed trogons, Trogon melanocephalus, with models that closely resembled conspecifics and models that differed in either the colour of the belly, the colour of the upperparts or the tail-barring pattern, while broadcasting species-specific songs. Elegant trogons showed significantly more aggression towards the conspecific and tail models, suggesting that belly and back colour, but not tail-barring pattern, are important for species recognition in this species. In contrast, the black-headed trogon approached all models very closely, except for the conspecific model. We interpret this counterintuitive behaviour as reluctance to approach an unknown conspecific, suggesting that all three plumage traits are important for species recognition in black-headed trogons. Because the elegant trogon is not sympatric with a similar-looking congener, we argue that they may lack the ability to discriminate fine-barring tail differences or overlook this trait. Sympatry with the similar-looking violaceous trogon may have influenced species recognition in black-headed trogons, favouring the use of all three plumage characteristics, including tail-banding patterns, which differ between these species. Alternatively, it is possible that incongruent stimuli are attended to differently, with elegant trogons focusing on the acoustic traits and black-headed trogons focusing on visual cues. Nevertheless, our study provides the first experimental evidence that specific plumage patches are used for species recognition and that closely related species may use different traits for species recognition. Our findings also suggest that the presence of a similar-looking congener can influence which traits are important in species recognition. (c) 2016 The Association for the Study of Animal Behaviour. Published by Elsevier Ltd. All rights reserved.</t>
  </si>
  <si>
    <t>Bitton, Pierre-Paul/0000-0001-5984-2331</t>
  </si>
  <si>
    <t>10.1016/j.anbehav.2016.03.035</t>
  </si>
  <si>
    <t>WOS:000377286700023</t>
  </si>
  <si>
    <t>MARTINEZ, M; GUILLENSALAZAR, F; SALVADOR, A; SIMON, VM</t>
  </si>
  <si>
    <t>SUCCESSFUL INTERMALE AGGRESSION AND CONDITIONED PLACE PREFERENCE IN MICE</t>
  </si>
  <si>
    <t>PHYSIOLOGY &amp; BEHAVIOR</t>
  </si>
  <si>
    <t>This study assessed the reinforcing properties of successful intermale agonistic encounters between OF1 male mice using the conditioned place preference paradigm. A three compartment apparatus was used and the procedure consisted of three phases: preconditioning (3 days), conditioning (8 days) and postconditioning (3 tests). Individually housed male mice were allocated to two groups. The aggression group confronted docile opponents in the preconditioning ''less-preferred'' compartment and were left alone in the ''preferred'' one. The control group was left alone in both compartments. Whereas no significant differences were found between both groups in the time spent in the less-preferred compartment, a separate analysis of animals in function of the color of the less-preferred compartment revealed a clear-cut difference. Mice developed a conditioned place preference for the aggression-paired compartment only if that experience took place in the black one. These findings suggest that the process of establishing a conditioned place preference with successful intermale aggression as reinforcer is extremely fragile and can be easily disrupted by changing the environmental cues involved.</t>
  </si>
  <si>
    <t>Salvador, Alicia/B-6045-2011; Guillen-Salazar, Federico/F-5597-2016</t>
  </si>
  <si>
    <t>Martinez, Manuela/0000-0003-1343-7394; Salvador, Alicia/0000-0002-8686-8083; Guillen-Salazar, Federico/0000-0002-7447-9697</t>
  </si>
  <si>
    <t>0031-9384</t>
  </si>
  <si>
    <t>10.1016/0031-9384(95)00061-M</t>
  </si>
  <si>
    <t>WOS:A1995RH18300016</t>
  </si>
  <si>
    <t>Segev, O</t>
  </si>
  <si>
    <t>Segev, Ori</t>
  </si>
  <si>
    <t>EFFECTS OF BACKGROUND COLOR AND PREDATION RISK ON COLOR CHANGE IN FIRE SALAMANDER LARVAE</t>
  </si>
  <si>
    <t>ISRAEL JOURNAL OF ECOLOGY &amp; EVOLUTION</t>
  </si>
  <si>
    <t>The threat-sensitivity hypothesis assumes individuals should demonstrate flexibility in response to perceived predation risk and vary the intensity of anti-predator responses in concert with perceived risk of predation. Substrate color matching is adaptive as it enables organisms to become less conspicuous to both their prey and predators. I hypothesized that newborn fire salamander (Salamandra infraimmaculata) larvae will respond fast through physiological color change to contrasting backgrounds, becoming lighter against a white background and darker against a black background. Additionally, in accordance with the threat-sensitivity hypothesis, I expected a background color x predator interaction-i.e., that predator presence will further enhance the focal larvae color-matching response. To explicitly test these hypotheses I conducted a replicated outdoor mesocosm experiment. I used a two-by-two factorial design: pools of black or white background color crossed with the presence or absence of a larger cannibalistic conspecific. Digital photos of the focal larvae's dorsal view revealed that larval brightness and chroma changed accordingly against the contrasting black and white backgrounds to increase background matching. Although not statistically significant, larvae tended to show a stronger color-change response towards enhanced background matching in the presence of the free predator. Larval survival was strongly reduced in the presence of the larger conspecific, with no apparent effect of background color. This study demonstrates that Salamandra larvae are capable of environmentally induced physiological color change and highlights the need for further investigation into the interplay between threat intensity, mechanisms of risk assessment, and physiological antipredator responses.</t>
  </si>
  <si>
    <t>1565-9801</t>
  </si>
  <si>
    <t>2224-4662</t>
  </si>
  <si>
    <t>10.1560/IJEE.55.4.359</t>
  </si>
  <si>
    <t>WOS:000281916500005</t>
  </si>
  <si>
    <t>ENDLER, JA</t>
  </si>
  <si>
    <t>ON THE MEASUREMENT AND CLASSIFICATION OF COLOR IN STUDIES OF ANIMAL COLOR PATTERNS</t>
  </si>
  <si>
    <t>In studies of animal colouration it is no longer necessary to rely on subjective assessments of colour and conspicuousness, nor on methods which rely upon human vision. This is important because animals vary greatly in colour vision and colour is context-dependent. New methods make it practical to measure the colour spectrum of pattern elements (patches) of animals and their visual backgrounds for the conditions under which patch spectra reach the conspecific''s, predator''s or prey''s eyes. These methods can be used in both terrestrial and aquatic habitats. A patch''s colour is dependent not only upon its reflectance spectrum, but also upon the ambient light spectrum, the transmission properties of air or water, and the veiling light spectrum. These factors changes with time of day, weather, season and microhabitat, so colours must be measured under the conditions prevalent when colour patterns are normally used. Methods of measuring, classifying and comparing colours are presented, as well as techniques for assessing the conspicuousness of colour patterns as a whole. Some implications of the effect of environmental light and vision are also discussed.</t>
  </si>
  <si>
    <t>Endler, John A/B-6659-2009</t>
  </si>
  <si>
    <t>Endler, John A/0000-0002-7557-7627</t>
  </si>
  <si>
    <t>10.1111/j.1095-8312.1990.tb00839.x</t>
  </si>
  <si>
    <t>WOS:A1990EQ25300002</t>
  </si>
  <si>
    <t>Titone, V; Marsiglia, F; Mangiacotti, M; Sacchi, R; Scali, S; Zuffi, MAL</t>
  </si>
  <si>
    <t>Titone, V.; Marsiglia, F.; Mangiacotti, M.; Sacchi, R.; Scali, S.; Zuffi, M. A. L.</t>
  </si>
  <si>
    <t>Better to be resident, larger or coloured? Experimental analysis on intraspecific aggression in the ruin lizard</t>
  </si>
  <si>
    <t>Territoriality evolves when the benefits gained from exclusive access to limited resources exceed the costs of defence. Sometimes animals evolve distinct morphs, that may reflect different capability, and in some territorial species of lizards the polymorphism is associated to alternative strategies, both for reproductive efficiency and territorial dominance. It is known that normally larger males are more aggressive and are able to defend a larger area and for longer than small males; in fact this dynamic is widespread in many animal species including the genus Podarcis. The aim of our study was to test which factors determine the outcome of fighting in the strongly territorial Italian ruin lizard, Podarcis siculus, using two types of contests: (1) resident versus intruder and (2) in a neutral arena. Furthermore, because these lizards are characterized by strong ventral colour variability, usually restricted to jaws and throat, we wanted to investigate if coloured lizards have higher chances at winning than white lizards. The results showed that the fight's result was significantly influenced by the state of residence, while the colour had no effect; instead, the snout to vent length difference between opponents had significant influence on the outcome in the neutral arena. Our results suggest that, in this lizard, both the size and the state of residency, no matter of colour, play an important role to determine the outcome of a fight, however, highly depending on the contest. We think that P.siculus should be object of future studies, focusing on behavioural and ecological aspects, even considering the occurrence of different colours within and among populations.</t>
  </si>
  <si>
    <t>Mangiacotti, Marco/AAZ-9550-2021; Zuffi, Marco A.L./J-6974-2013; SACCHI, ROBERTO/E-2141-2011; Zuffi, Marco Alberto Luca/O-8945-2014</t>
  </si>
  <si>
    <t>Mangiacotti, Marco/0000-0001-7144-3851; SACCHI, ROBERTO/0000-0002-6199-0074; Zuffi, Marco Alberto Luca/0000-0003-1710-9929</t>
  </si>
  <si>
    <t>10.1111/jzo.12524</t>
  </si>
  <si>
    <t>WOS:000429420900005</t>
  </si>
  <si>
    <t>BRACE, RC; PAVEY, J; QUICKE, DLJ</t>
  </si>
  <si>
    <t>INTRASPECIFIC AGGRESSION IN THE COLOR MORPHS OF THE ANEMONE ACTINIA-EQUINA - CONVENTION GOVERNING DOMINANCE RANKING</t>
  </si>
  <si>
    <t>The aggressive behavior of red-brown and green Actinia individuals during intra- and inter-color morph encounters staged in the laboratory is described. By considering the colors and relative sizes of the opponents, the outcomes of contests are predictable to the observer. Red-brown anemones were highly aggressive. Larger individuals attacked before smaller components and subsequently won encounters. A variable threshold for aggression appears to underlie this difference; an attempt to correlate threshold with absolute size was only partially successful. Using the results of many encounters, it is possible to establish a branching and overlapping dominance hierarchy among red-brown anemones. Green individuals were less aggressive and predominantly lost contests with red-brown anemones.</t>
  </si>
  <si>
    <t>Quicke, Donald LJ/I-5948-2012</t>
  </si>
  <si>
    <t>+</t>
  </si>
  <si>
    <t>10.1016/0003-3472(79)90190-8</t>
  </si>
  <si>
    <t>WOS:A1979HE66900025</t>
  </si>
  <si>
    <t>Deckel, AW; Fuqua, L</t>
  </si>
  <si>
    <t>Effects of serotonergic drugs on lateralized aggression and aggressive displays in Anolis carolinensis</t>
  </si>
  <si>
    <t>BEHAVIOURAL BRAIN RESEARCH</t>
  </si>
  <si>
    <t>Previous work demonstrated that the brains of many reptiles, including the American chameleon Anolis carolinensis (A. carolinensis), are functionally 'split'. Because the left eye in this species projects predominantly to the right hemisphere, and vice versa, inferences about lateralized brain functioning can be made in A. carolinensis by observation of eye use during behavioral encounters. Using this model, past work suggested that territorial aggression in Anolis is under the preferential control of the right hemisphere, and that acute stress or chronic alcohol exposure selectively reduces right hemisphere mediated territorial aggression. In addition, drugs which increase serotonin (5-HT) in the synaptic cleft inhibit aggressive responding in anoles in both hemispheres. The current experiment examined whether or not the administration of the serotonin agonists 8-hydroxy-2-(di-n-propylamine) tetralin (8-OHDPAT), quipazine, or meta-chlorophenylbiguanide (mCPBG) alter territorial aggression in Anolis. Nine adult socially isolated male A. carolinensis underwent a series of behavioral trials during which an antagonistic male was introduced into the cage. Once stable responding was initiated, all subjects were injected in a semi-randomized crossover manner with the following agents, (1) lactated Ringer's, (2) the 5-HT2 agonist quipazine (1.5 mg/kg and 3.0 mg/kg), (3) the 5-HT1 agonist 8-OHDPAT (83 mg/kg), and (4) the 5-HT3 agonist mCPBG (3.0 mg/kg and 9 mg/kg). Twenty minutes post injections, the male intruder was reintroduced into the subject's cage. Several behaviors were recorded, including: (1) the time to the first aggressive response, (2) the number of aggressive episodes mediated by the left eye or right eye, and (3) changes in skin color and posture. Aggressive responding was virtually eliminated in all subjects injected with 8-OHDPAT. On the other hand, one-way ANOVA found that both the 9 mg/kg dose of mCPBG (P = 0.007), and the 3.0 mg/kg dose of quipazine (P = 0.035), selectively decreased territorial aggression mediated by the left eye/right hemisphere compared to lactated Ringer's controls, but had no effect on aggression mediated by the right eye/left hemisphere. Although 8-OHDPAT inhibited aggression, injected subjects developed phenotypic displays of aggressive coloring/posturing, such as blackening of the eye spot and a raising of the neck crest. These results suggest that aggressive action can be differentiated from phenotypic displays that accompany aggression by a 5-HT1 agonist. They also indicate that there is an asymmetrical effect of 5-HT2/5-HT3 serotonin agonists on hemispheric mediation of aggression in this species. (C) 1998 Elsevier Science B.V. All rights reserved.</t>
  </si>
  <si>
    <t>0166-4328</t>
  </si>
  <si>
    <t>1872-7549</t>
  </si>
  <si>
    <t>10.1016/S0166-4328(98)00048-5</t>
  </si>
  <si>
    <t>WOS:000076619000008</t>
  </si>
  <si>
    <t>Kolluru, GR; Akky, YJ; Weissman, A; Poore, H; Weiner, D; Earley, RL</t>
  </si>
  <si>
    <t>Kolluru, Gita R.; Akky, Yasmine J.; Weissman, Alana; Poore, Hilary; Weiner, Dana; Earley, Ryan L.</t>
  </si>
  <si>
    <t>Cross-context behavioural correlations and signals of aggression in females of a livebearing fish</t>
  </si>
  <si>
    <t>Behaviours can be adaptively correlated with each other and with other aspects of phenotype. We investigated behaviour across foraging, mating, and risk contexts in females of the poeciliid fish, Girardinus metallicus. We quantified relationships between these behaviours and aggression signals, body size, and reproductive output. Behaviours describing aggression and boldness, some of which were repeatable, were correlated in females. Aggression was signalled by the darkening of a black spot on the extended dorsal fin or by fin flaring. Spot darkening occurred during intra- and intersexual interactions and was positively correlated with interfemale aggression and negatively correlated with the time females spent following males, suggesting that it is an honest indicator of motivational state. In contrast, fin flaring was directed only at females and occurred more frequently in the foraging context. Larger females had fewer offspring and received fewer courtship displays, possibly because they were more aggressive to males. In contrast to studies of males, we found a negative relationship between rank order of boldness and aggression, consistent with either a trade-off or with selection favouring the negative relationship. Our results highlight the importance of studying females in model systems to uncover novel patterns and potentially meaningful departures from what is typically seen in males.</t>
  </si>
  <si>
    <t>2024 MAR 4</t>
  </si>
  <si>
    <t>10.1093/biolinnean/blae006</t>
  </si>
  <si>
    <t>MAR 2024</t>
  </si>
  <si>
    <t>WOS:001178186000001</t>
  </si>
  <si>
    <t>Son, SJ; Kim, JS; Lee, JW; Nam, KB; Yoo, JC</t>
  </si>
  <si>
    <t>Son, Seok-Jun; Kim, Ji-Sub; Lee, Jin-Won; Nam, Ki-Baek; Yoo, Jeong-Chil</t>
  </si>
  <si>
    <t>Rejection of conspecific eggs associated with the appearance of eggs, in the Azure-winged Magpie Cyanopica cyanus in Korea</t>
  </si>
  <si>
    <t>ORNITHOLOGICAL SCIENCE</t>
  </si>
  <si>
    <t>Avian brood parasitism is a reproductive strategy in which a parasitic species lays its eggs in the nests of a host. In response to parasitism, hosts have evolved various defence strategies. One of the host defences against intraspecific and interspecific brood parasitism is to distinguish parasitic eggs based on intraclutch variation in egg appearance. Hosts can improve their ability to discriminate parasitic eggs by lowering the degree of their intraclutch variation in egg appearance. Therefore, intraclutch variation may affect the egg rejection behaviour of hosts. In this study, we conducted experiments to study egg recognition and rejection behavior for mimetic eggs in Azure-winged Magpies Cyanopica cyanus in Korea. We also investigated the level of variation in egg appearance (egg color, spottiness and volume) in order to explore whether the degree of this variation is associated with the rejection decision. We found that there were no differences in egg coloration or spottiness between the rejecter and accepter. However, we found that intraclutch egg volume variation in rejecters was significantly lower than that in accepters, indicating that the Azure-winged Magpie is likely to recognize its own eggs by lowering its intraclutch variation in egg volume as a defensive strategy against brood parasitism. This study suggests that the Azure-winged Magpie use not the differences in egg coloration but egg volume to discriminate and reject closely mimetic conspecific eggs.</t>
  </si>
  <si>
    <t>1347-0558</t>
  </si>
  <si>
    <t>WOS:000752459100006</t>
  </si>
  <si>
    <t>Nettle, D; Cronin, KA; Bateson, M</t>
  </si>
  <si>
    <t>Nettle, Daniel; Cronin, Katherine A.; Bateson, Melissa</t>
  </si>
  <si>
    <t>Responses of chimpanzees to cues of conspecific observation</t>
  </si>
  <si>
    <t>Recent evidence has shown that humans are remarkably sensitive to artificial cues of conspecific observation when making decisions with potential social consequences. Whether similar effects are found in other great apes has not yet been investigated. We carried out two experiments in which individual chimpanzees, Pan troglodytes, took items of food from an array in the presence of either an image of a large conspecific face or a scrambled control image. In experiment 1 we compared three versions of the face image varying in size and the amount of the face displayed. In experiment 2 we compared a fourth variant of the image with more prominent coloured eyes displayed closer to the focal chimpanzee. The chimpanzees did not look at the face images significantly more than at the control images in either experiment. Although there were trends for some individuals in each experiment to be slower to take high-value food items in the face conditions, these were not consistent or robust. We suggest that the extreme human sensitivity to cues of potential conspecific observation may not be shared with chimpanzees. (C) 2013 The Authors. Published on behalf of The Association for the Study of Animal Behaviour by Elsevier Ltd. All rights reserved.</t>
  </si>
  <si>
    <t>Bateson, Melissa/AAE-7075-2022; Nettle, Daniel/B-2259-2008; Bateson, Melissa/B-1874-2008</t>
  </si>
  <si>
    <t>Bateson, Melissa/0000-0002-0861-0191; Bateson, Melissa/0000-0002-0861-0191; Nettle, Daniel/0000-0001-9089-2599</t>
  </si>
  <si>
    <t>10.1016/j.anbehav.2013.06.015</t>
  </si>
  <si>
    <t>WOS:000323944200016</t>
  </si>
  <si>
    <t>Caves, EM; Frank, TM; Johnsen, S</t>
  </si>
  <si>
    <t>Caves, Eleanor M.; Frank, Tamara M.; Johnsen, Soenke</t>
  </si>
  <si>
    <t>Spectral sensitivity, spatial resolution and temporal resolution and their implications for conspecific signalling in cleaner shrimp</t>
  </si>
  <si>
    <t>JOURNAL OF EXPERIMENTAL BIOLOGY</t>
  </si>
  <si>
    <t>Cleaner shrimp (Decapoda) regularly interact with conspecifics and client reef fish, both of which appear colourful and finely patterned to human observers. However, whether cleaner shrimp can perceive the colour patterns of conspecifics and clients is unknown, because cleaner shrimp visual capabilities are unstudied. We quantified spectral sensitivity and temporal resolution using electroretinography (ERG), and spatial resolution using both morphological (inter-ommatidial angle) and behavioural (optomotor) methods in three cleaner shrimp species: Lysmata amboinensis, Ancylomenes pedersoni and Urocaridella antonbruunii. In all three species, we found strong evidence for only a single spectral sensitivity peak of (mean +/- s.e.m.) 518 +/- 5, 518 +/- 2 and 533 +/- 3 nm, respectively. Temporal resolution in dark-adapted eyes was 39 +/- 1.3, 36 +/- 0.6 and 34 +/- 1.3 Hz. Spatial resolution was 9.9 +/- 0.3, 8.3 +/- 0.1 and 11 +/- 0.5 deg, respectively, which is low compared with other compound eyes of similar size. Assuming monochromacy, we present approximations of cleaner shrimp perception of both conspecifics and clients, and show that cleaner shrimp visual capabilities are sufficient to detect the outlines of large stimuli, but not to detect the colour patterns of conspecifics or clients, even over short distances. Thus, conspecific viewers have probably not played a role in the evolution of cleaner shrimp appearance; rather, further studies should investigate whether cleaner shrimp colour patterns have evolved to be viewed by client reef fish, many of which possess triand tetra-chromatic colour vision and relatively high spatial acuity.</t>
  </si>
  <si>
    <t>Frank, Tamara/W-8662-2019; Caves, Eleanor/G-9958-2015</t>
  </si>
  <si>
    <t>Caves, Eleanor/0000-0003-3497-5925</t>
  </si>
  <si>
    <t>0022-0949</t>
  </si>
  <si>
    <t>1477-9145</t>
  </si>
  <si>
    <t>FEB 1</t>
  </si>
  <si>
    <t>10.1242/jeb.122275</t>
  </si>
  <si>
    <t>WOS:000370238000021</t>
  </si>
  <si>
    <t>Yong, LX; Lee, B; Mckinnon, JS</t>
  </si>
  <si>
    <t>Yong, Lengxob; Lee, Brittney; Mckinnon, Jeffrey S.</t>
  </si>
  <si>
    <t>Variation in female aggression in 2 three-spined stickleback populations with female throat and spine coloration</t>
  </si>
  <si>
    <t>CURRENT ZOOLOGY</t>
  </si>
  <si>
    <t>Despite growing interest in female ornament evolution, we still have a rudimentary understanding of female display traits relative to similar traits in males. Under one popular adaptive scenario, female ornaments are hypothesized to function in female-female competition and serve as badges of status, such that their expression is linked with elevated aggression in some cases. In this study, we investigated the relationship between 2 female ornaments-male-like red throat color and red spine coloration-and female aggression in 2 independently derived stream-resident populations of three-spined stickleback Gasterosteus aculeatus. Using simulated intrusions, we tested whether females with redder ornaments were generally more aggressive, and for variation in aggressive and social behaviors between the 2 populations. We found that the red intensity of the throat and spine did not predict aggression levels in either population, suggesting a limited role for both female ornaments during female-female interaction. The 2 populations exhibited different levels of aggressive behaviors, unrelated to the color patches. Our results suggest that variation in selective pressures between populations may promote interpopulation variance in aggressive behavior but not the correlation between female ornamentation and aggression, and raise the possibility that red coloration may have evolved through different mechanisms or processes in the 2 populations.</t>
  </si>
  <si>
    <t>Yong, Lengxob/0000-0002-7459-4863</t>
  </si>
  <si>
    <t>1674-5507</t>
  </si>
  <si>
    <t>2396-9814</t>
  </si>
  <si>
    <t>10.1093/cz/zoy020</t>
  </si>
  <si>
    <t>WOS:000436421000011</t>
  </si>
  <si>
    <t>Owen, RE; Whidden, TL; Plowright, RC</t>
  </si>
  <si>
    <t>Owen, Robin E.; Whidden, Troy L.; Plowright, R. C.</t>
  </si>
  <si>
    <t>Genetic and morphometric evidence for the conspecific status of the bumble bees, Bombus melanopygus and Bombus edwardsii</t>
  </si>
  <si>
    <t>JOURNAL OF INSECT SCIENCE</t>
  </si>
  <si>
    <t>The taxonomic status of closely related bumble bee species is often unclear. The relationship between the two nominate taxa, Bombus melanopygus Nylander (Hymenoptera: Apidae) and Bombus edwardsii Cresson (Hymenoptera: Apidae), was investigated using genetic (enzyme electrophoretic) and morphometric analyses. The taxa differ in the color of the abdominal terga two and three, being ferruginous in B. melanopygus and black in B. edwardsii. B. edwardsii occurs throughout California, while B. melanopygus extends north through Oregon, to Alaska and Canada. They are sympatric only in southern Oregon and northern California. The taxonomic status of these taxa was questioned when Owen and Plowright (1980) reared colonies from queens collected in the area of sympatry, and discovered that pile coloration was due to a single, biallelic Mendelian gene, with the red (R) allele dominant to the black (r). Here it is shown that all the taxa, whether from California, Oregon, or Alberta, have the same electrophoretic profile and cannot be reliably distinguished by wing morphometrics. This strongly supports the conclusion that B. melanopygus and B. edwardsii are conspecific and should be synonymized under the name B. melanopygus. Hence, there is a gene frequency cline running from north to south, where the red allele is completely replaced by the black allele over a distance of about 600 km.</t>
  </si>
  <si>
    <t>1536-2442</t>
  </si>
  <si>
    <t>JUL 13</t>
  </si>
  <si>
    <t>10.1673/031.010.10901</t>
  </si>
  <si>
    <t>WOS:000280095500007</t>
  </si>
  <si>
    <t>Batabyal, A; Thaker, M</t>
  </si>
  <si>
    <t>Batabyal, Anuradha; Thaker, Maria</t>
  </si>
  <si>
    <t>Lizards assess complex social signals by lateralizing colour but not motion detection</t>
  </si>
  <si>
    <t>Vertebrates lateralize many behaviours including social interactions. Social displays typically comprise multiple components, yet our understanding of how these are processed comes from studies that typically examine responses to the dominant component or the complex signal as a whole. Here, we examined laterality in lizard responses to determine whether receivers separate the processing of motion and colour signal components in different brain hemispheres. In Psammophilus dorsalis, males display colours that dynamically change during courtship and aggressive interactions. We tested the visual grasp reflex of both sexes using robotic stimuli that mimicked two signal components: (1) multiple speeds of head-bobbing behaviour and (2) multiple colours. We found no laterality in response to different motion stimuli, indicating that motion similarly attracts attention from the two visual fields across sexes. Notably, receivers showed left visual field dominance to colours, especially when males were exposed to 'aggression-specific' colours and females to 'courtship-specific' colours.</t>
  </si>
  <si>
    <t>Batabyal, Anuradha/M-4264-2019</t>
  </si>
  <si>
    <t>Batabyal, Anuradha/0000-0002-3373-5519; Thaker, Maria/0000-0001-6019-2639</t>
  </si>
  <si>
    <t>jeb173252</t>
  </si>
  <si>
    <t>10.1242/jeb.173252</t>
  </si>
  <si>
    <t>WOS:000427353100021</t>
  </si>
  <si>
    <t>Wilhelmy, J; Serpell, J; Brown, D; Siracusa, C</t>
  </si>
  <si>
    <t>Wilhelmy, Jacqueline; Serpell, James; Brown, Dorothy; Siracusa, Carlo</t>
  </si>
  <si>
    <t>Behavioral associations with breed, coat type, and eye color in single-breed cats</t>
  </si>
  <si>
    <t>JOURNAL OF VETERINARY BEHAVIOR-CLINICAL APPLICATIONS AND RESEARCH</t>
  </si>
  <si>
    <t>In this study, behavioral characteristics in purebred cats were hypothesized to associate with breed, eye color, coat color, and coat pattern. Owners of 574 single-breed, registered cats completed the Feline Behavioral Assessment and Research Questionnaire, which generates a standardized behavioral profile incorporating 20 factors. Subjects were also screened for evidence of fear-related aggression, territorial aggression and inappropriate social skills, fear of noises, redirected aggression, separation anxiety, and inappropriate elimination. Subject breeds included Abyssinians, Bengals, Birmans, Burmese, Devon rexes, Maine coons, Norwegian Forest cats, Orientals, Persians, Ragdolls, Siamese, and Tonkinese. Coat colors included agouti, black, brown, cinnamon, blue, lilac, fawn, caramel, taupe, red, cream, blue cream, apricot, and white. Phenotypic variants associated with albinism, tabby and tortoiseshell patterning, inhibition of melanin, production of pheomelanin, and white spotting were represented. Statistical analysis revealed significant differences in the Feline Behavioral Assessment and Research Questionnaire scores and frequency of behavior problems in cats of multiple coat colors, coat patterns, and breeds (P &lt; 0.05). Interestingly, nearly all associations between behavior and coat type could be attributed to breed-based behavior differences. Associations independent of breed included increased cat aggression in agouti cats and prey interest in red cats, decreased stranger-directed aggression in piebald cats, and increased likelihood of separation anxiety in Siamese and Tonkinese patterned cats. (c) 2016 Elsevier Inc. All rights reserved.</t>
  </si>
  <si>
    <t>Serpell, Jonathan/K-7389-2019</t>
  </si>
  <si>
    <t>1558-7878</t>
  </si>
  <si>
    <t>1878-7517</t>
  </si>
  <si>
    <t>MAY-JUN</t>
  </si>
  <si>
    <t>10.1016/j.jveb.2016.03.009</t>
  </si>
  <si>
    <t>WOS:000378094700013</t>
  </si>
  <si>
    <t>Miyai, CA; Sanches, FHC; Costa, TM; Colpo, KD; Volpato, GL; Barreto, RE</t>
  </si>
  <si>
    <t>Miyai, Caio A.; Sanches, Fabio H. Carretero; Costa, Tania M.; Colpo, Karine Delevati; Volpato, Gilson L.; Barreto, Rodrigo E.</t>
  </si>
  <si>
    <t>The correlation between subordinate fish eye colour and received attacks: a negative social feedback mechanism for the reduction of aggression during the formation of dominance hierarchies</t>
  </si>
  <si>
    <t>ZOOLOGY</t>
  </si>
  <si>
    <t>Eye darkening has been linked to social status in fish. The subordinate's eyes darken, while the eyes of the dominant fish become pale. Although this phenomenon has been described in salmonid fishes and in the African cichlid Nile tilapia Oreochromis niloticus, it is unclear whether eye darkening correlates with a reduction in aggressive behaviour. Thus, we evaluated the link between social status and eye darkening. We evaluated whether the eye colours of subordinate fish correlate with the frequency of received attacks in a neotropical fish, the pearl cichlid Geophagus brasiliensis. We paired pearl cichlids and quantified both the aggressive behaviour and the eye darkening of each fish. As has been described for Nile tilapia and Atlantic salmon, a clear-cut hierarchical relationship formed, where dominance and subordination were associated with pale and dark eye colours, respectively. Initially, eye colour darkening was positively correlated with the frequency of received attacks; however, a negative association occurred following eye darkening, in which the intensity of aggressive interactions decreased. Thus, fish that initially received a high number of attacks signalled subordination more rapidly and intensely (rapid and dramatic eye darkening), thereby inducing a negative social feedback mechanism that led to reduced aggression. (C) 2011 Elsevier GmbH. All rights reserved.</t>
  </si>
  <si>
    <t>Volpato, Gilson L/B-2304-2008; Sanches, Fabio H C/K-3526-2013; Barreto, Rodrigo E/A-3440-2013; Costa, Tania M/C-8066-2012; Costa, Tânia Marcia/AAC-6750-2019; Colpo, Karine Delevati/D-7224-2012; Miyai, Caio/J-7498-2013</t>
  </si>
  <si>
    <t>Sanches, Fabio H C/0000-0002-1105-4894; Costa, Tania M/0000-0003-0230-8431; Costa, Tânia Marcia/0000-0003-0230-8431; Colpo, Karine/0000-0003-4513-8620; Miyai, Caio/0000-0002-6116-3159</t>
  </si>
  <si>
    <t>0944-2006</t>
  </si>
  <si>
    <t>10.1016/j.zool.2011.07.001</t>
  </si>
  <si>
    <t>WOS:000297909600003</t>
  </si>
  <si>
    <t>Tenan, S; Fasola, M; Volponi, S; Tavecchia, G</t>
  </si>
  <si>
    <t>Tenan, Simone; Fasola, Mauro; Volponi, Stefano; Tavecchia, Giacomo</t>
  </si>
  <si>
    <t>Conspecific and not performance-based attraction on immigrants drives colony growth in a waterbird</t>
  </si>
  <si>
    <t>JOURNAL OF ANIMAL ECOLOGY</t>
  </si>
  <si>
    <t>1. Local recruitment and immigration play an important part in the dynamics and growth of animal populations. However, their estimation and incorporation into open population models is, in most cases, problematic. We studied factors affecting the growth of a recently established colony of Eurasian spoonbill (Platalea leucorodia) and assessed the contribution of local recruits, i.e. birds born in the colony, and immigrants, i.e. birds of unknown origin, to colony growth. 2. We applied an integrated population model that accounts for uncertainty in breeding state assignment and merges population surveys, local fecundity and individual longitudinal data of breeding and non-breeding birds, to estimate demographic rates and the relative role of recruitment and immigration in driving the local dynamics. We also used this analytical framework to assess the degree of support for the 'performance-based' and 'conspecific attraction' hypotheses as possible mechanisms of colony growth. 3. Among the demographic rates, only immigration was positively and significantly correlated with population growth rate. In addition, the number of immigrants settling in the colony was positively correlated with colony size in the previous and current year, but was not correlated with fecundity of the previous year. 4. Our results suggest that the variation in immigration affected colony dynamics and that conspecific attraction likely triggered the relevant role of immigration in the growth of a recently formed waterbird colony, supporting the need of including immigration in population analysis.</t>
  </si>
  <si>
    <t>Volponi, Stefano/ABA-1869-2020; Tavecchia, Giacomo/N-3961-2014; Tenan, Simone/N-5246-2014</t>
  </si>
  <si>
    <t>Volponi, Stefano/0000-0002-7471-2268; Tavecchia, Giacomo/0000-0001-5435-2691; Tenan, Simone/0000-0001-5055-9193</t>
  </si>
  <si>
    <t>0021-8790</t>
  </si>
  <si>
    <t>1365-2656</t>
  </si>
  <si>
    <t>10.1111/1365-2656.12690</t>
  </si>
  <si>
    <t>WOS:000407320500010</t>
  </si>
  <si>
    <t>Young, CM; Cain, KE; Svedin, N; Patricia, RBY; Pryke, SR</t>
  </si>
  <si>
    <t>Young, Catherine Mary; Cain, Kristal Elaine; Svedin, Nina; Backvvell, Patricia Ruth Yvonne; Pryke, Sarah Rosalind</t>
  </si>
  <si>
    <t>Predictors of aggressive response towards simulated intruders depend on context and sex in Crimson Finches (Neochmia phaeton)</t>
  </si>
  <si>
    <t>Quantifying differences in aggressive behaviour across contexts can be useful in developing an understanding of life histories and breeding systems, as well as the relative costs and benefits of such behaviour. We investigated whether age, relative body size and colouration, sex, and breeding stage influenced levels of aggressive behaviour in two contexts, towards conspecific and heterospecific intruders (mounts) around active nests of group living Crimson Finches (Neochmia phaeton). We found that when responding to a conspecific mount, relative body size, and age were important in predicting the aggressive response of males toward a conspecific, with older males and those close in size to their opponent showing a higher aggressive response. On the other hand, factors relating to female aggression were not as clear. In contrast, response to a heterospecific mount was unrelated to age, colour or size in either sex. Additionally, although birds were equally aggressive to conspecific and heterospecific mount types, we found no evidence that individuals are consistent in their level of aggression across these contexts. This suggests that aggressive behaviour in Crimson Finches is at least partially plastic and that individuals may be capable kof assessing and responding to situations independently. (C) 2017 Elsevier B.V. All rights reserved.</t>
  </si>
  <si>
    <t>Backwell, Patricia RY/C-8883-2009</t>
  </si>
  <si>
    <t>10.1016/j.beproc.2017.01.017</t>
  </si>
  <si>
    <t>WOS:000400878800007</t>
  </si>
  <si>
    <t>Kamilar, JM; Heesy, CP; Bradley, BJ</t>
  </si>
  <si>
    <t>Kamilar, Jason M.; Heesy, Christopher P.; Bradley, Brenda J.</t>
  </si>
  <si>
    <t>Did Trichromatic Color Vision and Red Hair Color Coevolve in Primates?</t>
  </si>
  <si>
    <t>AMERICAN JOURNAL OF PRIMATOLOGY</t>
  </si>
  <si>
    <t>Reddish pelage and red hair ornaments have evolved many times, independently, during primate evolution. It is generally assumed that these red-coat phenotypes, like red skin phenotypes, play a role in sociosexual signaling and, thus evolved in tandem with conspecific color vision. This study examines the phylogenetic distribution of color vision and pelage coloration across the primate order to ask: (1) did red pelage and trichromacy coevolve; or (2) did trichromacy evolve first, and then subsequently red pelage evolved as an exaptation? We collected quantitative, color-corrected photographic color data for 142 museum research skins from 92 species representing 41 genera spanning all major primate lineages. For each species, we quantified the ratio of Red/Green values (from a RGB color model) at 20 anatomical landmarks. For these same species, we compiled data on color vision type (routine trichromatic, polymorphic, routine dichromatic, monochromatic) and data on variables that potentially covary with visual system (VS) and coloration, including activity pattern and body mass dimorphism (proxy for sexual selection). We also considered whether the long-term storage of research skins might influence coloration. Therefore, we included the time since the specimen was collected as an additional predictor. Analyzing the data with phylogenetic generalized least squares models, we found that the amount of red hair present in primates is associated with differences in VSs, but not in the direction expected. Surprisingly, trichromatic primate species generally exhibited less red hair compared to red-green colorblind species. Thus, our results do not support the general assumption that color vision and red pelage coloration are a coevolutionary product of sociosexual signaling in primates. In addition, we did not find an effect of activity pattern, body mass dimorphism, or time since collection on the redness of primate hair. Our results have important implications for the evolution of primate coloration and visual systems. Am. J. Primatol. 75:740-751, 2013. (c) 2012 Wiley Periodicals, Inc.</t>
  </si>
  <si>
    <t>Heesy, Christopher P./AAP-8737-2021; Kamilar, Jason M/E-1990-2011</t>
  </si>
  <si>
    <t>Heesy, Christopher P./0000-0003-1258-2506; Kamilar, Jason/0000-0001-6082-9396</t>
  </si>
  <si>
    <t>0275-2565</t>
  </si>
  <si>
    <t>1098-2345</t>
  </si>
  <si>
    <t>SI</t>
  </si>
  <si>
    <t>10.1002/ajp.22099</t>
  </si>
  <si>
    <t>WOS:000319001000009</t>
  </si>
  <si>
    <t>Korzan, WJ; Robison, RR; Zhao, S; Fernald, RD</t>
  </si>
  <si>
    <t>Korzan, Wayne J.; Robison, Rex R.; Zhao, Sheng; Fernald, Russell D.</t>
  </si>
  <si>
    <t>Color change as a potential behavioral strategy</t>
  </si>
  <si>
    <t>Within species, color morphs may enhance camouflage, improve communication and/or confer reproductive advantage. However, in the male cichlid Astatotilapia burtoni, body color may also signal a behavioral strategy. A. burtoni live in a lek-like social system in Lake Tanganyika, Africa where bright blue or yellow territorial (T) males (together similar to 10-30% of the population) are reproductively capable and defend territories containing food with a spawning site. In contrast, non-territorial (NT) males are smaller, cryptically colored, shoal with females and have regressed gonads. Importantly, males switch between these social states depending on their success in aggressive encounters. Yellow and blue morphs were thought to be adaptations to particular habitats, but they co-exist both in nature and in the laboratory. Importantly, individual males can switch colors so we asked whether color influences behavioral and hormonal profiles. When pairing territorial males with opposite colored fish, yellow males became dominant over blue males significantly more frequently. Moreover, yellow T males had significantly higher levels of 11-ketotosterone than blue T males while only blue NT males had higher levels of the stress hormone cortisol compared to the other groups. Thus color differences alone predict dominance status and hormone profiles in T males. Since T males can and do change color, this suggests that A. burtoni may use color as a flexible behavioral strategy. (C) 2008 Elsevier Inc. All rights reserved.</t>
  </si>
  <si>
    <t>Zhao, Sheng/K-4190-2012; Robison, Rex/B-4174-2008</t>
  </si>
  <si>
    <t>Robison, Rex/0000-0002-6885-5051</t>
  </si>
  <si>
    <t>10.1016/j.yhbeh.2008.05.006</t>
  </si>
  <si>
    <t>WOS:000258812900017</t>
  </si>
  <si>
    <t>Omar, DC</t>
  </si>
  <si>
    <t>Omar, Dominguez-Castanedo</t>
  </si>
  <si>
    <t>Intra-sexual selection in a North American annual killifish: does the color-polymorphism matter?</t>
  </si>
  <si>
    <t>ACTA ETHOLOGICA</t>
  </si>
  <si>
    <t>The decision to escalate aggression in a contest is based on the assessment of oneself and the opponent's capabilities, previous experiences and the asymmetries between contenders. Interestingly, there is increasing evidence that color polymorphism may also influence the result in a contest during agonistic encounters. Therefore, this research aimed to analyze, for the first time, the intra-sexual competition of adult males of the Mexican Rivulus Millerichthys robustus, testing the influence of color polymorphic variations during agonistic contests. The results of this study suggest that the aggressiveness between morphotypes is of orange and red over yellow. The orange morph was related to winning the greatest number of encounters, whereas yellow lost the most. The red morpho registered the greatest number of ties. Interestingly, in contests between more aggressive morphs (orange and red), fish tended to modulate and lower aggressiveness levels, possibly to avoid injuries. In contrast, the least aggressive morphotype (yellow) tended to raise its aggressiveness against the most successful morphotype and lower it in matches against its own color, changing to a scheme between contenders with symmetrical aggression levels. These results suggest that differential aggression between morphotypes can influence the evolution of color polymorphism in M. robustus, differentially influencing the fitness of the individuals.</t>
  </si>
  <si>
    <t>Dominguez-Castanedo, Omar/0000-0002-3017-5114</t>
  </si>
  <si>
    <t>0873-9749</t>
  </si>
  <si>
    <t>1437-9546</t>
  </si>
  <si>
    <t>2024 JUL 23</t>
  </si>
  <si>
    <t>10.1007/s10211-024-00444-w</t>
  </si>
  <si>
    <t>JUL 2024</t>
  </si>
  <si>
    <t>WOS:001274807200001</t>
  </si>
  <si>
    <t>Yewers, MS; Jessop, TS; Stuart-Fox, D</t>
  </si>
  <si>
    <t>Yewers, Madeleine St Clair; Jessop, Tim S.; Stuart-Fox, Devi</t>
  </si>
  <si>
    <t>Endocrine differences among colour morphs in a lizard with alternative behavioural strategies</t>
  </si>
  <si>
    <t>Alternative behavioural strategies of colour morphs are expected to associate with endocrine differences and to correspond to differences in physical performance (e.g. movement speed, bite force in lizards); yet the nature of correlated physiological and performance traits in colour polymorphic species varies widely. Colour morphs of male tawny dragon lizards Ctenophorus decresii have previously been found to differ in aggressive and anti-predator behaviours. We tested whether known behavioural differences correspond to differences in circulating baseline and post-capture stress levels of androgen and corticosterone, as well as bite force (an indicator of aggressive performance) and field body temperature. Immediately after capture, the aggressive orange morph had higher circulating androgen than the grey morph or the yellow morph. Furthermore, the orange morph maintained high androgen following acute stress (30 min of capture); whereas androgen increased in the grey and yellow morphs. This may reflect the previously defined behavioural differences among morphs as the aggressive response of the yellow morph is conditional on the colour of the competitor and the grey morph shows consistently low aggression. In contrast, all morphs showed an increase in corticosterone concentration after capture stress and morphs did not differ in levels of corticosterone stress magnitude (CSM). Morphs did not differ in size and temperature-corrected bite force but did in body temperature at capture. Differences in circulating androgen and body temperature are consistent with morph-specific behavioural strategies in C. decresii but our results indicate a complex relationship between hormones, behaviour, temperature and bite force within and between colour morphs. (C) 2017 Elsevier Inc. All rights reserved.</t>
  </si>
  <si>
    <t>Jessop, Tim/Q-2473-2019</t>
  </si>
  <si>
    <t>Stuart-Fox, Devi/0000-0003-3362-1412; Jessop, Tim S./0000-0002-7712-4373</t>
  </si>
  <si>
    <t>10.1016/j.yhbeh.2017.05.001</t>
  </si>
  <si>
    <t>WOS:000407528300014</t>
  </si>
  <si>
    <t>Frédérich, B; Mills, SC; Denoël, M; Parmentier, E; Brié, C; Santos, R; Waqalevu, VP; Lecchini, D</t>
  </si>
  <si>
    <t>Frederich, Bruno; Mills, Suzanne C.; Denoel, Mathieu; Parmentier, Eric; Brie, Christophe; Santos, Raphael; Waqalevu, Viliame Pita; Lecchini, David</t>
  </si>
  <si>
    <t>Colour differentiation in a coral reef fish throughout ontogeny: habitat background and flexibility</t>
  </si>
  <si>
    <t>AQUATIC BIOLOGY</t>
  </si>
  <si>
    <t>Colour polymorphism is widespread in animals but, in contrast to other types of polymorphism, has been little explored during ontogeny. Among coral reef fish, the surge damselfish Chrysiptera leucopoma settles in the larval stage as a yellow morph, whereas 2 colour morphs (yellow and brown) are apparent in adults at Rangiroa Atoll, French Polynesia. To understand this dimorphism, we tested, under controlled conditions, the hypotheses that: (1) environmental cues (habitat background and conspecific density) play important roles in morph differentiation during ontogeny and (2) morph colouration is reversible. Our first experiment showed that a dark habitat background induced the formation of the brown morph, while C. leucopoma larvae kept their yellow morph when placed in aquaria with a bright habitat background. Colour change from yellow to brown also occurred within the bright habitat, but only at high conspecific densities. Our second experiment showed that colour change was reversible within 15 d post-settlement, but not at the adult stage. Overall, our results highlighted that the studied polymorphism may be environmentally induced and reversible during the first post-settlement days of this coral reef fish.</t>
  </si>
  <si>
    <t>Mills, Suzanne/K-5538-2012; Parmentier, Eric/P-9733-2018</t>
  </si>
  <si>
    <t>Mills, Suzanne/0000-0001-8948-3384; Parmentier, Eric/0000-0002-0391-7530; Santos, Raphael/0000-0002-4800-5180; Denoel, Mathieu/0000-0002-3586-8323; Frederich, Bruno/0000-0003-3438-0243</t>
  </si>
  <si>
    <t>1864-7790</t>
  </si>
  <si>
    <t>1864-7782</t>
  </si>
  <si>
    <t>10.3354/ab00257</t>
  </si>
  <si>
    <t>WOS:000278977700007</t>
  </si>
  <si>
    <t>Konno, A; Inoue-Murayama, M; Hasegawa, T</t>
  </si>
  <si>
    <t>Konno, Akitsugu; Inoue-Murayama, Miho; Hasegawa, Toshikazu</t>
  </si>
  <si>
    <t>Androgen receptor gene polymorphisms are associated with aggression in Japanese Akita Inu</t>
  </si>
  <si>
    <t>We tested for an association between variable number of tandem repeats in the canine androgen receptor (AR) gene and personality differences in Japanese Akita Inu dogs. The polymorphic trinucleotide (CAG) repeat region coding for glutamine in exon 1 of the AR gene was genotyped using genomic DNA obtained from 171 dogs. Three alleles (23, 24 and 26 repeats) were detected, and the allele frequency differed with the coat colour. We assessed the personality profiles of 100 fawn-coloured dogs (54 males and 46 females) based on a questionnaire answered by each dog's owner. The questionnaire consisted of five sub-scales (sociability, playfulness, neuroticism, aggressiveness, distractibility), and the psychometric properties were acceptable based upon internal consistency of the subscales. We found that male dogs with a short allele conferring increased AR function had higher aggressiveness scores than male dogs with longer alleles. By contrast, no evidence was found for a relationship between AR gene variants and personality in females. To our knowledge, our findings provide the first evidence of polymorphism in the AR gene being associated with canine aggression.</t>
  </si>
  <si>
    <t>Konno, Akitsugu/0000-0003-2517-7761</t>
  </si>
  <si>
    <t>OCT 23</t>
  </si>
  <si>
    <t>10.1098/rsbl.2011.0087</t>
  </si>
  <si>
    <t>WOS:000294768400007</t>
  </si>
  <si>
    <t>Color as an Interspecific Badge of Status: A Comparative Test</t>
  </si>
  <si>
    <t>Animals as diverse as cephalopods, insects, fish, and mammals signal social dominance to conspecifics to avoid costly fights. Even though between-species fights may be equally costly, the extent to which dominance signals are used between species is unknown. Here, we test the hypothesis that differences in color are associated with dominance between closely related species that aggressively interact over resources, examining between-species variation in colors that are used in within-species badges of status (black, white, and carotenoid coloration) in a comparative analysis of diverse species of birds. We found that dominant species have more black, on average, than subordinate species, particularly in regions important for aggressive signaling (face, throat, and bill). Furthermore, dominant species were more likely to have more black in comparisons in which the dominant species was similar in size or smaller than the subordinate, suggesting that black may be a more important signal when other signals of dominance (size) are missing. Carotenoid colors (i.e., red, pink, orange, and yellow) were not generally associated with dominance but may signal dominance in some taxonomic groups. White may have opposing functions: white was associated with dominance in species in which black was also associated with dominance but was associated with subordinance in species in which carotenoid-based dominance signals may be used. Overall, these results provide new evidence that colors may function broadly as signals of dominance among competing species. Such signals could help to mediate aggressive interactions among species, thereby reducing some costs of co-occurrence and facilitating coexistence in nature.</t>
  </si>
  <si>
    <t>2023 OCT 1</t>
  </si>
  <si>
    <t>10.1086/725916</t>
  </si>
  <si>
    <t>OCT 2023</t>
  </si>
  <si>
    <t>WOS:001168568800001</t>
  </si>
  <si>
    <t>Pinho-Neto, CF; Miyai, CA; Sanches, FHC; Giaquinto, PC; Delicio, HC; Barcellos, LJG; Volpato, GL; Barreto, RE</t>
  </si>
  <si>
    <t>Pinho-Neto, Candido Ferreira; Miyai, Caio Akira; Carretero Sanches, Fabio Henrique; Giaquinto, Percilia Cardoso; Delicio, Helton Carlos; Gil Barcellos, Leonardo Jose; Volpato, Gilson Luiz; Barreto, Rodrigo Egydio</t>
  </si>
  <si>
    <t>Does sex influence intraspecific aggression and dominance in Nile tilapia juveniles?</t>
  </si>
  <si>
    <t>Although sex of mature fish is known to influence aggression, this issue has so far been neglected in juveniles. Here, we tested this sex effect and showed that it does not significantly affect intraspecific aggression in juveniles of the cichlid Nile tilapia. To reach this conclusion, we measured the latency period before onset of confrontation, the frequency and types of aggressive interactions, the duration of a dispute, and the probability of becoming dominant. This was done on pairs of Nile tilapia that varied by sex: females x females, males x males, and females x males. In a double blind approach, after pairing, the sex of each individual was histologically verified and contrasted with behavioral data. (C) 2014 Elsevier B.V. All rights reserved.</t>
  </si>
  <si>
    <t>Volpato, Gilson L/B-2304-2008; Sanches, Fabio H C/K-3526-2013; Barreto, Rodrigo E/A-3440-2013; Miyai, Caio/J-7498-2013; Giaquinto, Percilia/A-8395-2018</t>
  </si>
  <si>
    <t>Sanches, Fabio H C/0000-0002-1105-4894; Miyai, Caio/0000-0002-6116-3159; Barcellos, Leonardo/0000-0002-4637-3377; Giaquinto, Percilia/0000-0003-4591-4415</t>
  </si>
  <si>
    <t>10.1016/j.beproc.2014.02.003</t>
  </si>
  <si>
    <t>WOS:000336827500003</t>
  </si>
  <si>
    <t>Fresnillo, B; Belliure, J; Cuervo, JJ</t>
  </si>
  <si>
    <t>Fresnillo, Belen; Belliure, Josabel; Cuervo, Jose Javier</t>
  </si>
  <si>
    <t>Red coloration in juvenile spiny-footed lizards, Acanthodactylus erythrurus, reduces adult aggression</t>
  </si>
  <si>
    <t>In many animal taxa, coloration is a visual signal used for communication among conspecifics, for example between age classes. Juvenile coloration has been hypothesized to reduce aggression from adults in some species, in what is called the aggression avoidance hypothesis. Spiny-footed lizards are good subjects for testing this hypothesis, as juveniles develop conspicuous red coloration on their hind limbs and tails that fades in adulthood. To test the influence of juvenile coloration on adult aggressiveness, we conducted videotaped encounters in captivity between adults of both sexes and juveniles with their natural red coloration, or experimentally painted either red or white on their natural red parts. Then we recorded the number of times juveniles were bitten and attacked. In unpainted juveniles, no significant relationship was found between juvenile coloration (brightness, red chroma or hue) and adult aggressiveness. However, juveniles painted red were bitten less than those painted white when number of times bitten was controlled for number of times attacked. This result supports the aggression avoidance hypothesis, as an escalation from low-intensity (attacking) to high-intensity aggression (biting) was less probable towards red juveniles. The presence of red coloration in juveniles caused the reduction in adult aggression, while small natural variations in this red colour did not seem to have any further effect. Juvenile red coloration in this species might indicate age or sexual immaturity to adults. (C) 2015 The Association for the Study of Animal Behaviour. Published by Elsevier Ltd. All rights reserved.</t>
  </si>
  <si>
    <t>Cuervo, José Javier/K-1646-2014; Belliure, Josabel/R-8513-2018</t>
  </si>
  <si>
    <t>Cuervo, José Javier/0000-0001-7943-7835; Belliure, Josabel/0000-0001-7697-3616</t>
  </si>
  <si>
    <t>10.1016/j.anbehav.2015.01.004</t>
  </si>
  <si>
    <t>WOS:000351058700007</t>
  </si>
  <si>
    <t>Detto, T</t>
  </si>
  <si>
    <t>Detto, Tanya</t>
  </si>
  <si>
    <t>The fiddler crab Uca mjoebergi uses colour vision in mate choice</t>
  </si>
  <si>
    <t>Although the role of colour in mate choice is well known, few tests of colour vision have been based on mating behaviour. Females of the fiddler crab Uca mjoebergi have recently been shown to use claw coloration to recognize conspecific males. In this study I demonstrate that the females use colour vision for this task; preferentially approaching yellow claws over grey claws regardless of their intensity while failing to discriminate between yellow claws differing in intensity. This is one of only a handful of studies confirming the involvement of colour vision in mate choice and the first conclusive evidence in fiddler crabs.</t>
  </si>
  <si>
    <t>NOV 22</t>
  </si>
  <si>
    <t>10.1098/rspb.2007.1059</t>
  </si>
  <si>
    <t>WOS:000250555000002</t>
  </si>
  <si>
    <t>Fleishman, LJ; Yeo, AI; Perez, CW</t>
  </si>
  <si>
    <t>Fleishman, Leo J.; Yeo, Anna I.; Perez, Carley W.</t>
  </si>
  <si>
    <t>Visual acuity and signal color pattern in an Anolis lizard</t>
  </si>
  <si>
    <t>Anolis lizards communicate with colorful dewlaps that often include detailed patterns. We measured the visual acuity of Anolis sagrei. Lizards viewed a checkerboard pattern of red and yellow-green squares that were too small to resolve, and thus appeared uniform in color. We quickly replaced the center portion of the display with a pattern of larger squares. If the new pattern could be resolved, the lizards perceived a change in color and reflexively shifted their gaze toward the target. The acuity threshold was 1.21 cycles deg(-1). We also calculated acuity based on published anatomical data for Anolis carolinensis. It was similar to that of A. sagrei for the visual periphery. Foveal acuity was 10 times greater. We approximated the effects of viewing conditions on the visibility of fine details of a conspecific's dewlap. For peripheral vision, no detailed patterns were visible at &gt;= 0.5 m. For foveal vision, color-pattern details were visible at 1.0 m.</t>
  </si>
  <si>
    <t>Fleishman, Leo/0000-0002-2309-7496</t>
  </si>
  <si>
    <t>JUN 15</t>
  </si>
  <si>
    <t>10.1242/jeb.150458</t>
  </si>
  <si>
    <t>WOS:000403337600009</t>
  </si>
  <si>
    <t>Anderson, CN; Grether, GF</t>
  </si>
  <si>
    <t>Anderson, Christopher N.; Grether, Gregory F.</t>
  </si>
  <si>
    <t>Character displacement in the fighting colours of Hetaerina damselflies</t>
  </si>
  <si>
    <t>Aggression between species is a seldom-considered but potentially widespread mechanism of character displacement in secondary sexual characters. Based on previous research showing that similarity in wing coloration directly influences interspecific territorial aggression in Hetaerina damselflies, we predicted that wing coloration would show a pattern of character displacement (divergence in sympatry). A geographical survey of four Hetaerina damselfly species in Mexico and Texas showed evidence for character displacement in both species pairs that regularly occurs sympatrically. Hetaerina titia, a species that typically has large black wing spots and small red wing spots, shifted to having even larger black spots and smaller red wing spots at sites where a congener with large red wing spots is numerically dominant (Hetaerina americana or Hetaerina occisa). Hetaerina americana showed the reverse pattern, shifting towards larger red wing spots where H. titia is numerically dominant. This pattern is consistent with the process of agonistic character displacement, but the ontogenetic basis of the shift remains to be demonstrated.</t>
  </si>
  <si>
    <t>DEC 7</t>
  </si>
  <si>
    <t>10.1098/rspb.2010.0935</t>
  </si>
  <si>
    <t>WOS:000283450100017</t>
  </si>
  <si>
    <t>Romero-Gonzalez, JE; Solvi, C; Chittka, L</t>
  </si>
  <si>
    <t>Romero-Gonzalez, Jose E.; Solvi, Cwyn; Chittka, Lars</t>
  </si>
  <si>
    <t>Honey bees adjust colour preferences in response to concurrent social information from conspecifics and heterospecifics</t>
  </si>
  <si>
    <t>y Bees efficiently learn asocial and social cues to optimize foraging from fluctuating floral resources. However, it remains unclear how bees respond to divergent sources of social information, and whether such social cues might modify bees' natural preferences for nonsocial cues (e.g. flower colour), hence affecting foraging decisions. Here, we investigated honey bees', Apis mellifera, inspection and choices of unfamiliar flowers based on both natural colour preferences and simultaneous foraging information from conspecifics and heterospecifics. Individual honey bees' preferences for flowers were recorded when the reward levels of a learned flower type had declined and novel-coloured flowers were available where they would find either no social information or one conspecific and one heterospecific bumble bee, Bombus terrestris, each foraging from a different coloured flower (magenta or yellow). Honey bees showed a natural preference for magenta flowers. They modified their inspection of both types of flowers in response to conspecific and heterospecific social information. The presence of a conspecific demonstrator on the less-preferred yellow flower increased honey bees' inspection of yellow flowers and the likelihood of foraging on them, thus outweighing the original preference for magenta flowers. The presence of a heterospecific on a magenta flower increased honey bees' inspection of magenta flowers, but this effect was not observed when bumble bees fed on yellow flowers. Our results indicate that flower colour preferences of honey bees are rapidly adjusted in response to both conspecific and heterospecific presence, in different ways, with a preference for conspecific information possibly favouring the transmission of adaptive foraging information within species. (C) 2020 The Association for the Study of Animal Behaviour. Published by Elsevier Ltd. All rights reserved.</t>
  </si>
  <si>
    <t>Chittka, Lars/C-3110-2012</t>
  </si>
  <si>
    <t>Chittka, Lars/0000-0001-8153-1732; Solvi, Cwyn/0000-0003-2517-6179</t>
  </si>
  <si>
    <t>10.1016/j.anbehav.2020.10.008</t>
  </si>
  <si>
    <t>WOS:000598905300020</t>
  </si>
  <si>
    <t>BRACE, RC; SANTER, SJ</t>
  </si>
  <si>
    <t>EXPERIMENTAL HABITUATION OF AGGRESSION IN THE SEA-ANEMONE ACTINIA-EQUINA</t>
  </si>
  <si>
    <t>5TH INTERNATIONAL CONF ON COELENTERATE BIOLOGY</t>
  </si>
  <si>
    <t>JUL 10-14, 1989</t>
  </si>
  <si>
    <t>UNIV SOUTHAMPTON, SOUTHAMPTON, ENGLAND</t>
  </si>
  <si>
    <t>UNIV SOUTHAMPTON</t>
  </si>
  <si>
    <t>Behavioural plasticity in Actinia equina (L.) was examined in experimental contests using a range of pedal disc colour phenotypes, which characterize 3 known, ecologically distinct morphs. With repeated pairing of individuals in auto-phenotypic encounters, habituation was easily induced in the 2 mid-shore morphs, but was not obvious in the less aggressive, low-shore form. Subsequent pairing with a different partner revealed that anemones remained aggressive towards a novel opponent. Following novel contact, repairing of the dark red pedal phenotype with the original partner provided some evidence of retention of habituation to a previous opponent, and thus of a specific inducible memory.</t>
  </si>
  <si>
    <t>JUN 28</t>
  </si>
  <si>
    <t>10.1007/BF00026510</t>
  </si>
  <si>
    <t>WOS:A1991GP24400079</t>
  </si>
  <si>
    <t>Parra, JL</t>
  </si>
  <si>
    <t>Parra, Juan Luis</t>
  </si>
  <si>
    <t>COLOR EVOLUTION IN THE HUMMINGBIRD GENUS COELIGENA</t>
  </si>
  <si>
    <t>The remarkable diversity of coloration and species present in hummingbirds has been considered the result of sexual selection. I evaluate if color differences among species in the genus Coeligena are consistent with expectations from sexual selection theory. If sexual selection on color is important for speciation, closely related species should be markedly different in the colors of feather patches associated with aggression and breeding. I evaluate this prediction through a statistical assessment of the phylogenetic signal of colors from five feather patches: crown, gorget, belly, upper back, and rump. The first two are associated with aggressive and courtship displays and are expected to be under sexual selection, whereas the others are not. Contrary to expectations, the crown and gorget were the only patches with significant phylogenetic signal. Furthermore, I assess if populations of dichromatic species are more divergent in coloration and therefore have reduced gene flow. Color distances among dichromatic subspecies were larger than among monochromatic subspecies, but the magnitude of phenotypic differentiation was not related to levels of gene flow. These results support a role for sexual selection in shaping color variation among populations, but these differences alone are not sufficient to explain speciation.</t>
  </si>
  <si>
    <t>FEB</t>
  </si>
  <si>
    <t>10.1111/j.1558-5646.2009.00827.x</t>
  </si>
  <si>
    <t>WOS:000273821700003</t>
  </si>
  <si>
    <t>Lezalová-Piálková, R; Honza, M</t>
  </si>
  <si>
    <t>Lezalova-Pialkova, Radka; Honza, Marcel</t>
  </si>
  <si>
    <t>Responses of Black-headed Gulls Larus ridibundus to conspecific brood parasitism</t>
  </si>
  <si>
    <t>JOURNAL OF ORNITHOLOGY</t>
  </si>
  <si>
    <t>Conspecific brood parasitism in birds occurs when a female inserts her egg into the clutch of her own species. If successful, i.e. the parasitic egg is accepted by the host, then the host female or pair rears the offspring of the parasite. In the present study, we studied natural conspecific brood parasitism in Black-headed Gulls (Larus ridibundus), and conducted series of the experiments with mimetic (conspecific) and non-mimetic (conspecific painted light blue) eggs to explore responses of the tested pairs towards these alien eggs. The natural parasitism rate was 10% and the probability of being parasitized significantly increased with nest density. Experimentally parasitized pairs rejected both types of experimental eggs at a similar rate: 14.3 % for mimetic and 25.5% for non-mimetic within 2 days. Non-mimetic eggs were more selectively rejected than mimetic eggs. The relationships between the probability of egg rejection (dependent variable) and predictor (independent) variables were examined by fitting generalized linear models. Contrast and intraclutch variation in ground color and spotting pattern and the volume of the egg had no significant effect on rejection behavior in either non-mimetic or mimetic eggs. However, nest density significantly positively affected rejection behavior of the Black-headed Gulls in both non-mimetic and mimetic treatments.</t>
  </si>
  <si>
    <t>Honza, Marcel/A-1123-2011; Piálková, Radka/E-3411-2016</t>
  </si>
  <si>
    <t>Pialkova, Radka/0000-0002-5134-4474</t>
  </si>
  <si>
    <t>2193-7192</t>
  </si>
  <si>
    <t>2193-7206</t>
  </si>
  <si>
    <t>10.1007/s10336-008-0283-0</t>
  </si>
  <si>
    <t>WOS:000256660000013</t>
  </si>
  <si>
    <t>TAYLOR, GT; HALLER, J; BARTKO, G; WEISS, J</t>
  </si>
  <si>
    <t>CONSPECIFIC URINE MARKING IN MALE-FEMALE PAIRS OF LABORATORY RATS</t>
  </si>
  <si>
    <t>Male-female pairs of rats were observed during social interactions for conspecific markings where an animal deposits urine on the body of a 2nd animal. Injections of sodium fluorescein were used to change urinary color and provide a visible mark on the back of a conspecific. The general hypothesis tested in the 3 experiments was that a female would mark males differently dependent upon her hormonal status and upon the relative hormonal integrity of the males. Males marked females more frequently than vice versa and female marking decreased during her estrus. A diestrous female marked an aggressive male more than she marked a non-aggressive male, and a diestrous female marked a castrated male receiving 800 .mu.g testosterone propionate (TP) injections more copiously than she marked a castrated male receiving 200 .mu.g TP injections. Aggressive and non-aggressive males marked females similarly, though the 800 .mu.g TP males marked females more than the 200 .mu.g TP males. These data were compared with findings from research on environmental marking in rodents, and an hypothesis was suggested that female rats use conspecific marking to identify and select males with preferred behavioral and endocrine characteristics.</t>
  </si>
  <si>
    <t>1873-507X</t>
  </si>
  <si>
    <t>10.1016/0031-9384(84)90307-X</t>
  </si>
  <si>
    <t>WOS:A1984SV55800004</t>
  </si>
  <si>
    <t>Cronk, L; Palombit, R</t>
  </si>
  <si>
    <t>Cronk, Lee; Palombit, Ryne</t>
  </si>
  <si>
    <t>Eastern gray squirrel (Sciurus carolinensis) color morphs do not differ in aggressiveness</t>
  </si>
  <si>
    <t>Eastern gray squirrels (Sciurus carolinensis) exhibit a variety of color morphs, including black. In the USA and UK, a common folk belief is that black squirrels are more aggressive than squirrels of other colors. We tested the biological basis of that belief using data from the 2018 Central Park squirrel census. Contrary to the belief, black squirrels do not chase other squirrels more often than do conspecifics of other colors. Black and non-black squirrels were equally likely to approach people for food and to display indifference to human presence, but black squirrels were more likely than non-black squirrels to flee from people. Although other research has found that aggression among squirrels increases when they live in higher population densities, black squirrels were no more aggressive than non-black squirrels despite the fact that they were sighted in parts of Central Park with higher squirrel population densities than other locations.</t>
  </si>
  <si>
    <t>Cronk, Lee/0000-0002-7583-7417</t>
  </si>
  <si>
    <t>10.1007/s10211-021-00372-z</t>
  </si>
  <si>
    <t>WOS:000660333200001</t>
  </si>
  <si>
    <t>Tinghitella, RM; Lehto, WR; Lierheimer, VF</t>
  </si>
  <si>
    <t>Tinghitella, Robin M.; Lehto, Whitley R.; Lierheimer, V. Faith</t>
  </si>
  <si>
    <t>Color and behavior differently predict competitive outcomes for divergent stickleback color morphs</t>
  </si>
  <si>
    <t>Our knowledge of how male competition contributes to speciation is dominated by investigations of competition between within-species morphs or closely related species that differ in conspicuous traits expressed during the breeding season (e.g. color, song). In such studies, it is important to consider the manner in which putatively sexually selected traits influence the outcome of competitive interactions within and between types because these traits can communicate information about competitor quality and may not be utilized by homotypic and heterotypic receivers in the same way. We studied the roles of breeding color and aggressive behaviors in competition within and between two divergent threespine stickleback Gasterosteus aculeatus color types. Our previous work in this system showed that the switch from red to black breeding coloration is associated with changes in male competition biases. Here, we find that red and black males also use different currencies in competition. Winners of both color types performed more aggressive behaviors than losers, regardless of whether the competitor was of the same or opposite color type. But breeding color differently predicted competitive outcomes for red and black males. Males who were redder at the start of competition were more likely to win when paired with homotypic competitors and less likely to win when paired with heterotypic competitors. In contrast, black color, though expressed in the breeding season and condition dependent, was unrelated to competitive outcomes. Placing questions about the role of male competition in speciation in a sexual signal evolution framework may provide insight into the why and how of aggression biases and asymmetries in competitive ability between closely related morphs and species.</t>
  </si>
  <si>
    <t>; Lehto, Whitley/Q-2135-2017</t>
  </si>
  <si>
    <t>Tinghitella, Robin/0000-0002-0049-5539; Lehto, Whitley/0000-0003-4210-6578</t>
  </si>
  <si>
    <t>10.1093/cz/zox070</t>
  </si>
  <si>
    <t>WOS:000425719000012</t>
  </si>
  <si>
    <t>de Luna, AG; Hödl, W; Amézquita, A</t>
  </si>
  <si>
    <t>de Luna, Ana Gabriela; Hoedl, Walter; Amezquita, Adolfo</t>
  </si>
  <si>
    <t>Colour, size and movement as visual subcomponents in multimodal communication by the frog Allobates femoralis</t>
  </si>
  <si>
    <t>Multimodal signals convey information that can be detected by receivers using two or more sensory modalities. The information transmitted through secondary channels may be mostly useless, redundant, complementary, or essential. Although each option implies different evolutionary scenarios, the relative role of signal subcomponents in a secondary channel has rarely been tested. Anuran amphibians are known for their extensive use of auditory signals, but growing evidence suggests their common use of multimodal signals where the visual component represents the secondary channel. Territorial males of the nontoxic frog Allobates femoralis use bimodal (acoustic + visual) signals to recognize conspecific intruders. We used playback experiments to test the relative importance of three visual subcomponents (body coloration, body size and body movement) in a multimodal signal to elicit agonistic reactions in males. The probability of attack was highly related to the movement and size of a dummy frog but very poorly related to dummy's coloration. The results suggest that any body movement, and not only vocal sac movement, is a nonredundant component of a bimodal signal that probably modulates male aggression. Against our expectations, males readily attacked dummy frogs painted to mimic the co-occurring frog Ameerega trivittata as well as models lacking some of their own pattern's subcomponents (white lines and yellow patches). Colourful frogs did not use body coloration as a visual cue for conspecific recognition. Both patterns recall the importance of carefully manipulating the availability of visual information in interpreting the origin and evolution of multimodal signals. (C) 2009 The Association for the Study of Animal Behaviour. Published by Elsevier Ltd. All rights reserved.</t>
  </si>
  <si>
    <t>de Luna, Ana Gabriela/JNR-1145-2023</t>
  </si>
  <si>
    <t>de Luna, Ana Gabriela/0000-0002-3006-7041</t>
  </si>
  <si>
    <t>10.1016/j.anbehav.2009.12.031</t>
  </si>
  <si>
    <t>WOS:000274587400029</t>
  </si>
  <si>
    <t>Ligon, RA; McGraw, KJ</t>
  </si>
  <si>
    <t>Ligon, Russell A.; McGraw, Kevin J.</t>
  </si>
  <si>
    <t>A chorus of color: hierarchical and graded information content of rapid color change signals in chameleons</t>
  </si>
  <si>
    <t>Animals rely on information-rich signals to minimize costs associated with competition. If fighting ability is linked to stable individual attributes (e.g., morphology), the signals that communicate information about such ability should be relatively static. Conversely, the temporal variability of motivation should favor dynamic threat signals that indicate an animal's current likelihood of escalating a contest. Though static color ornaments are used by many animals to signal quality or fighting ability, the function of dynamic color change as a social signal has only recently begun to be investigated. Here, we examined the information content of rapid physiological color changes displayed by adult male veiled chameleons Chamaeleo calyptratus during agonistic interactions by conducting experimental trials between live chameleons and standardized, experimentally controlled robochameleon models. Chameleons reliably communicated motivation with dynamic color displays-individuals that brightened were 14 times more likely to approach the robochameleon than nonbrightening individuals. Additionally, chameleons with shorter latencies to maximum stripe brightness had stronger bites, and those displaying brighter, yellower stripes exhibited more aggression. The parallels between dynamic color changes and the vocalizations used to mediate aggressive interactions in other taxa are numerous. The use of particular vocalizations/color changes can signal motivation levels while specific signal elements (e.g., pitch, timing, brightness) may be linked to fighting ability. Because the complexity and potential information content of color signals increases markedly when organisms can display context-specific variation in the expression of these ornaments, the study of dynamic color signals is a field ripe for the investigation of complex visual and signaling strategies.</t>
  </si>
  <si>
    <t>Ligon, Russell/M-1233-2013</t>
  </si>
  <si>
    <t>Ligon, Russell/0000-0002-0195-8275</t>
  </si>
  <si>
    <t>SEP-OCT</t>
  </si>
  <si>
    <t>10.1093/beheco/ary076</t>
  </si>
  <si>
    <t>WOS:000444301900027</t>
  </si>
  <si>
    <t>Beck, ML; Davies, S; Sewall, KB</t>
  </si>
  <si>
    <t>Beck, Michelle L.; Davies, Scott; Sewall, Kendra B.</t>
  </si>
  <si>
    <t>Urbanization alters the relationship between coloration and territorial aggression, but not hormones, in song sparrows</t>
  </si>
  <si>
    <t>Melanin-based coloration is associated with aspects of phenotype, including conspecific aggression and hormone concentrations. These relationships could arise as a result of genetic and/or biochemical links between melanin production and other traits. Additionally, anthropogenic change, including urbanization, exposes animals to novel conditions that can alter pigmentation, behaviour or hormones, potentially disrupting relationships between coloration and other traits. We examined relationships among the extent and darkness of melanin spotting on the breast of male song sparrows, Melospiza melodia, territorial behaviour, plasma testosterone and corticosterone concentrations to determine whether coloration was reliably associated with phenotype in this species. We conducted this study in urban and rural populations to determine whether relationships between coloration, behaviour and hormones varied between habitats. Males in urban habitat had more extensive brown spotting than rural males. The relationship between melanin coloration and territoriality differed in urban and rural habitats. In rural sparrows, territoriality was negatively correlated with spotting area, while in urban sparrows territoriality was positively associated with spotting darkness. Regardless of habitat, males with more extensive spotting increased testosterone secretion more in response to gonadotropin-releasing hormone administration and males with darker spotting had greater handling restraint-induced release of corticosterone. This suggests that plumage coloration is associated with underlying physiology, but the relationship between coloration and behaviour may shift between habitats. (C) 2018 The Association for the Study of Animal Behaviour. Published by Elsevier Ltd. All rights reserved.</t>
  </si>
  <si>
    <t>Sewall, Kendra/0000-0002-9347-5878</t>
  </si>
  <si>
    <t>10.1016/j.anbehav.2018.06.012</t>
  </si>
  <si>
    <t>WOS:000441515500014</t>
  </si>
  <si>
    <t>Gerald, MS; Waitt, C; Little, AC; Kraiselburd, E</t>
  </si>
  <si>
    <t>Gerald, Melissa S.; Waitt, Corri; Little, Anthony C.; Kraiselburd, Edmundo</t>
  </si>
  <si>
    <t>Females pay attention to female secondary sexual color:: An experimental study in Macaca mulatta</t>
  </si>
  <si>
    <t>INTERNATIONAL JOURNAL OF PRIMATOLOGY</t>
  </si>
  <si>
    <t>Researchers have long considered the color of female sexual skin to play a role in. attracting or inciting competition among males, or both; however, females may also use color in intrasexual communication. To assess this possibility, we examined whether variation in same-sex sexual skin color is salient to female rhesus macaques (Macaca mulatta). We exposed adult females to computerized images of conspecific female faces and hindquarters manipulated for color (red vs. non-red), within the natural range of color variation. Females visually attended more to both reddened faces and hindquarters over the non-red counterparts. We conclude that female color might be biologically meaningful to other females.</t>
  </si>
  <si>
    <t>Little, Anthony/W-2732-2019</t>
  </si>
  <si>
    <t>Little, Anthony/0000-0001-9100-1903</t>
  </si>
  <si>
    <t>0164-0291</t>
  </si>
  <si>
    <t>1573-8604</t>
  </si>
  <si>
    <t>10.1007/s10764-006-9110-8</t>
  </si>
  <si>
    <t>WOS:000246843800001</t>
  </si>
  <si>
    <t>Korzan, WJ; Fernald, RD</t>
  </si>
  <si>
    <t>Korzan, Wayne J.; Fernald, Russell D.</t>
  </si>
  <si>
    <t>Territorial male color predicts agonistic behavior of conspecifics in a color polymorphic species</t>
  </si>
  <si>
    <t>Male cichlid fish, Astatotilapia burtoni, live in a lek-like social system in shore pools of Lake Tanganyika, Africa, as one of two distinct social phenotypes: territorial (T) males that comprise approximately 10-30% of the population and nonterritorial (NT) males that make up the rest. T males are brightly colored either blue or yellow with chromatic body patterns and are larger, reproductively capable, and defend territories containing a food resource used to entice females to spawn with them. NT males are camouflage colored, smaller, have regressed gonads, and shoal with females. Importantly, males shift between these social states depending on their success in aggressive encounters. It is not known whether there is a difference between yellow and blue T morphs. Here we asked whether T males preferentially defend their territory against a male of the same or opposite color. T males observed in social groups had agonistic interactions predominantly with neighboring T males of the opposite color, and yellow morphs initiated significantly more aggressive interactions. When agonistic preference was tested experimentally, T males had significantly more agonistic interactions toward males of the opposite color, and yellow T males became territorial in the majority of those interactions. Taken together, these results suggest that male coloration is an important social signal among neighboring T males in this species and support the hypothesis that T males differentially direct agonistic behavior depending on the color of neighboring males.</t>
  </si>
  <si>
    <t>MAR-APR</t>
  </si>
  <si>
    <t>10.1093/beheco/arl093</t>
  </si>
  <si>
    <t>WOS:000244658100007</t>
  </si>
  <si>
    <t>Nicolaï, MPJ; D'Alba, L; Goldenberg, J; Gansemans, Y; Van Nieuwerburgh, F; Clusella-Trullas, S; Shawkey, MD</t>
  </si>
  <si>
    <t>Nicolai, Michael P. J.; D'Alba, Liliana; Goldenberg, Jonathan; Gansemans, Yannick; Van Nieuwerburgh, Filip; Clusella-Trullas, Susana; Shawkey, Matthew D.</t>
  </si>
  <si>
    <t>Untangling the structural and molecular mechanisms underlying colour and rapid colour change in a lizard, Agama atra</t>
  </si>
  <si>
    <t>MOLECULAR ECOLOGY</t>
  </si>
  <si>
    <t>With functions as diverse as communication, protection and thermoregulation, coloration is one of the most important traits in lizards. The ability to change colour as a function of varying social and environmental conditions is thus an important innovation. While colour change is present in animals ranging from squids, to fish and reptiles, not much is known about the mechanisms behind it. Traditionally, colour change was attributed to migration of pigments, in particular melanin. More recent work has shown that the changes in nanostructural configuration inside iridophores are able to produce a wide palette of colours. However, the genetic mechanisms underlying colour, and colour change in particular, remain unstudied. Here we use a combination of transcriptomic and microscopic data to show that melanin, iridophores and pteridines are the main colour-producing mechanisms in Agama atra, and provide molecular and structural data suggesting that rapid colour change is achieved via melanin dispersal in combination with iridophore organization. This work demonstrates the power of combining genotypic (gene expression) and phenotypic (microscopy) information for addressing physiological questions, providing a basis for future studies of colour change.</t>
  </si>
  <si>
    <t>Goldenberg, Jonathan/AAF-5595-2021; D'Alba, Liliana/AAC-4969-2022; Nicolaï, Michaël/AAZ-1652-2021; Van Nieuwerburgh, Filip/H-9697-2015; Nicolaï, Michaël/IZD-7689-2023</t>
  </si>
  <si>
    <t>D'Alba, Liliana/0000-0002-2478-3455; Nicolaï, Michaël/0000-0002-9570-0311; Van Nieuwerburgh, Filip/0000-0001-8815-5485; Nicolaï, Michaël/0000-0002-9570-0311; Shawkey, Matthew/0000-0002-5131-8209; Goldenberg, Jonathan/0000-0002-8832-6544; Gansemans, Yannick/0000-0001-5018-044X</t>
  </si>
  <si>
    <t>0962-1083</t>
  </si>
  <si>
    <t>1365-294X</t>
  </si>
  <si>
    <t>10.1111/mec.15901</t>
  </si>
  <si>
    <t>APR 2021</t>
  </si>
  <si>
    <t>WOS:000639399300001</t>
  </si>
  <si>
    <t>Joffard, N; Le Roncé, I; Langlois, A; Renoult, J; Buatois, B; Dormont, L; Schatz, B</t>
  </si>
  <si>
    <t>Joffard, Nina; Le Ronce, Iris; Langlois, Alban; Renoult, Julien; Buatois, Bruno; Dormont, Laurent; Schatz, Bertrand</t>
  </si>
  <si>
    <t>Floral trait differentiation inAnacamptis coriophora: Phenotypic selection on scents, but not on colour</t>
  </si>
  <si>
    <t>Current divergent selection may promote floral trait differentiation among conspecific populations in flowering plants. However, whether this applies to complex traits such as colour or scents has been little studied, even though these traits often vary within species. In this study, we compared floral colour and odour as well as selective pressures imposed upon these traits among seven populations belonging to three subspecies of the widespread, generalist orchidAnacamptis coriophora. Colour was characterized using calibrated photographs, and scents were sampled using dynamic headspace extraction and analysed using gas chromatography-mass spectrometry. We then quantified phenotypic selection exerted on these traits by regressing fruit set values on floral trait values. We showed that the three studied subspecies were characterized by different floral colour and odour, with one of the two predominant floral volatiles emitted by each subspecies being taxon-specific. Plant size was positively correlated with fruit set in most populations, whereas we found no apparent link between floral colour and female reproductive success. We detected positive selection on several taxon-specific compounds inA. coriophorasubsp. fragrans, whereas no selection was found on floral volatiles ofA. coriophorasubsp. coriophoraandA. coriophorasubsp.martrinii. This study is one of the first to document variation in phenotypic selection exerted on floral scents among conspecific populations. Our results suggest that selection could contribute to ongoing chemical divergence amongA. coriophorasubspecies.</t>
  </si>
  <si>
    <t>10.1111/jeb.13657</t>
  </si>
  <si>
    <t>JUL 2020</t>
  </si>
  <si>
    <t>WOS:000545247500001</t>
  </si>
  <si>
    <t>Gaither, MR; Coker, DJ; Greaves, S; Sarigol, F; Payet, SD; Chaidez, V; Sinclair-Taylor, TH; DiBattista, JD; Berumen, ML</t>
  </si>
  <si>
    <t>Gaither, Michelle R.; Coker, Darren J.; Greaves, Samuel; Sarigol, Fatih; Payet, Samuel D.; Chaidez, Veronica; Sinclair-Taylor, Tane H.; DiBattista, Joseph D.; Berumen, Michael L.</t>
  </si>
  <si>
    <t>Does color matter? Molecular and ecological divergence in four sympatric color morphs of a coral reef fish</t>
  </si>
  <si>
    <t>Non-sex-linked color polymorphism is common in animals and can be maintained in populations via balancing selection or, when under diversifying selection, can promote divergence. Despite their potential importance in ecological interactions and the evolution of biodiversity, their function and the mechanisms by which these polymorphisms are maintained are still poorly understood. Here, we combine field observations with life history and molecular data to compare four sympatric color morphs of the coral reef fishParacirrhites forsteri(family Cirrhitidae) in the central Red Sea. Our findings verify that the color morphs are not sex-limited, inhabit the same reefs, and do not show clear signs of avoidance or aggression among them. A barcoding approach based on 1,276 bp of mitochondrial DNA could not differentiate the color morphs. However, when 36,769 SNPs were considered, we found low but significant population structure. Focusing on 1,121F(ST)outliers, we recovered distinct population clusters that corresponded to shifts in allele frequencies with each color morph harboring unique alleles. Genetic divergence at these outlier loci is accompanied by differences in growth and marginal variation in microhabitat preference. Together, life history and molecular analysis suggest subtle divergence between the color morphs in this population, the causes for which remain elusive.</t>
  </si>
  <si>
    <t>Greaves, Samuel/ABE-2235-2020; Berumen, Michael/F-7745-2011; Gaither, Michelle/J-3137-2015; DiBattista, Joseph/O-2074-2014</t>
  </si>
  <si>
    <t>Greaves, Samuel/0000-0001-7299-2991; Berumen, Michael/0000-0003-2463-2742; Gaither, Michelle/0000-0002-0371-5621; Sinclair-Taylor, Tane/0000-0003-4240-0435; Coker, Darren/0000-0002-5099-0984; DiBattista, Joseph/0000-0002-5696-7574; Chaidez, Veronica/0000-0003-1340-5835; Sarigol, Fatih/0000-0002-5842-6114</t>
  </si>
  <si>
    <t>10.1002/ece3.6566</t>
  </si>
  <si>
    <t>SEP 2020</t>
  </si>
  <si>
    <t>WOS:000565433500001</t>
  </si>
  <si>
    <t>Buades-Rotger, M; Krämer, UM</t>
  </si>
  <si>
    <t>Buades-Rotger, Macia; Kraemer, Ulrike M.</t>
  </si>
  <si>
    <t>From words to action: Implicit attention to antisocial semantic cues predicts aggression and amygdala reactivity to angry faces in healthy young women</t>
  </si>
  <si>
    <t>Implicit measures of aggressiveness are able to circumvent response biases that plague self-reports, but it is unclear how they link to neural activation during aggressive interactions and to aggression-related endocrine function. Here, we tested whether an implicit attentional bias toward antisocial semantic information was associated with endogenous testosterone (T) and cortisol (C) levels, as well as with aggressive behavior and amygdala reactivity to angry faces in a separate competitive paradigm. On Day one, participants (39 healthy young women) completed an emotional word Stroop task in which they had to indicate the font color of antisocial, prosocial, or neutral words. On Day two, we measured subjects' brain activity during a competitive reaction time task in which the female opponent displayed angry or neutral facial expressions at the start of each trial and provoked participants with increasingly strong sound blasts. T and C were measured in saliva during a regular weekday as well as before and after scanning. We previously showed that aggression was associated with enhanced amygdala reactivity to angry faces in this sample. The present analyses revealed that subjects were slower to identify the font color of antisocial relative to neutral words, and that this attentional bias predicted higher aggression. T and C were uncorrelated with Stroop scores. Crucially, the relationship between implicit attention to antisocial words and aggression was mediated by amygdala reactivity to angry faces. Our data indicate that a tendency to dwell on implicit hostile cues reflects enhanced responsivity to overt anger displays.</t>
  </si>
  <si>
    <t>Buades-Rotger, Macia/J-5905-2019; Buades-Rotger, Macià/IAR-6543-2023; Krämer, Ulrike/AAF-2966-2020; Krämer, Ulrike M./A-8871-2019</t>
  </si>
  <si>
    <t>Buades-Rotger, Macia/0000-0003-1219-9216; Krämer, Ulrike M./0000-0002-3841-1812</t>
  </si>
  <si>
    <t>NOV-DEC</t>
  </si>
  <si>
    <t>10.1002/ab.21787</t>
  </si>
  <si>
    <t>WOS:000446552400008</t>
  </si>
  <si>
    <t>Dijkstra, PD; Seehausen, O; Gricar, BLA; Maan, ME; Groothuis, TGG</t>
  </si>
  <si>
    <t>Can male-male competition stabilize speciation? A test in Lake Victoria haplochromine cichlid fish</t>
  </si>
  <si>
    <t>It has been suggested that sympatric speciation can be driven by sexual selection on male mating traits alone. However, a fundamental problem for this process is the lack of ecological differentiation that would stabilize the coexistence of incipient species through frequency-dependent selection. Such selection can also occur if male aggression is primarily directed towards similar rather than towards dissimilar phenotypes, so that rare male phenotypes would enjoy a negatively frequency-dependent fitness advantage. We experimentally tested such an aggression bias in two recently diverged, ecologically and anatomically similar sympatric cichlid species pairs of the genus Pundamilia from Lake Victoria. Territorial males of a pair of partially reproductively isolated species with red and blue nuptial coloration, respectively, studied in the laboratory were confronted simultaneously with both colour types enclosed in transparent tubes. Red males were more aggressive to red stimuli under white light but not when colour differences were masked under green light. Blue males were equally aggressive to both stimuli in both light conditions. Males of two apparently fully reproductively isolated species, again one with red and one with blue nuptial coloration, studied in the field, both directed more aggressive behaviour towards conspecific than towards heterospecific stimulus males. The differential allocation of aggression would create an advantage for males of the less abundant phenotype or species, thereby potentially supporting stable coexistence of the phenotypes. The finding that this effect was less clear in the partially reproductively isolated species pair than in the fully isolated species pair is discussed.</t>
  </si>
  <si>
    <t>Maan, Martine/B-5444-2008; Seehausen, Ole/C-8272-2011</t>
  </si>
  <si>
    <t>Maan, Martine/0000-0003-1113-8067; Seehausen, Ole/0000-0001-6598-1434; Dijkstra, Peter/0000-0001-5382-225X</t>
  </si>
  <si>
    <t>10.1007/s00265-005-0100-1</t>
  </si>
  <si>
    <t>WOS:000235219700015</t>
  </si>
  <si>
    <t>Gardner, KM; Mennill, DJ; Newman, AEM; Doucet, SM</t>
  </si>
  <si>
    <t>Gardner, Katrina M.; Mennill, Daniel J.; Newman, Amy E. M.; Doucet, Stephanie M.</t>
  </si>
  <si>
    <t>Social and physiological drivers of rapid colour change in a tropical toad</t>
  </si>
  <si>
    <t>Dynamic sexual dichromatism occurs when males and females differ in colouration for a limited time. Although this trait has been primarily studied in cephalopods, chameleons, and fishes, recent analyses suggest that dynamic dichromatism is prevalent among anurans and may be mediated through sexual selection and sex recognition. Yellow toads, Incilius luetkenii, exhibit dynamic dichromatism during explosive breeding events at the onset of the rainy season: males change from a cryptic brown to a bright yellow and back again during the brief mating event. We tested the hypothesis that dynamic dichromatism in yellow toads is influenced by conspecific interactions and mediated through sex hormones and stress hormones. We placed male toads into one of four social treatments (with three other males, one male, one female, or no other toads). Immediately before and after each one-hour treatment, we quantified male colour with a reflectance spectrometer and we collected a blood sample to assess plasma concentrations of both testosterone and corticosterone. We found that males held with conspecific animals showed the brightest yellow colour and showed little or no change in their corticosterone levels. Across treatments, toads with duller yellow colour had higher levels of corticosterone. Male colour showed no association with testosterone. Interestingly, males showed substantial temporal variation in colour and corticosterone: toads were duller yellow and exhibited greater levels of corticosterone post-treatment across subsequent days at the onset of the rainy season. Our findings reveal that both conspecific interactions and corticosterone are involved in the dynamic colour change of yellow toads.</t>
  </si>
  <si>
    <t>1095-6840</t>
  </si>
  <si>
    <t>JAN 1</t>
  </si>
  <si>
    <t>10.1016/j.ygcen.2019.113292</t>
  </si>
  <si>
    <t>WOS:000504341800024</t>
  </si>
  <si>
    <t>Pauers, MJ; Kapfer, JM; Doehler, K; Lee, JT; Berg, CS</t>
  </si>
  <si>
    <t>Pauers, Michael J.; Kapfer, Joshua M.; Doehler, Kirsten; Lee, J. Todd; Berg, Craig S.</t>
  </si>
  <si>
    <t>Gross colour pattern is used to distinguish between opponents during aggressive encounters in a Lake Malawi cichlid</t>
  </si>
  <si>
    <t>ECOLOGY OF FRESHWATER FISH</t>
  </si>
  <si>
    <t>The role of male colouration in the behavioural interactions of haplochromine cichlids has received much attention. Previous studies supported the role played by visual signals during interactions of rock-dwelling cichlids, or mbuna, from Lake Malawi. It has largely been assumed that hue, and not pattern, is the primary signal encoded in male colouration; thus, the role of colour pattern has received less attention. We explored the use of visual signals during aggression in Labeotropheus fuelleborni by using identically and differently coloured opponents and by offering these opponents under coloured illumination. We presented two simultaneous opponents to males and found that the focal males responses depended upon opponent colour pattern; similarly patterned opponents received more aggression, even if presented under a hue-obscuring light source. These results support findings that gross colour pattern may be more important than hue in interactions among the mbuna and further support an important role for visual communication in these fishes.</t>
  </si>
  <si>
    <t>0906-6691</t>
  </si>
  <si>
    <t>1600-0633</t>
  </si>
  <si>
    <t>10.1111/j.1600-0633.2011.00520.x</t>
  </si>
  <si>
    <t>WOS:000297634700004</t>
  </si>
  <si>
    <t>Magalhaes, IS; Mwaiko, S; Seehausen, O</t>
  </si>
  <si>
    <t>Magalhaes, I. S.; Mwaiko, S.; Seehausen, O.</t>
  </si>
  <si>
    <t>Sympatric colour polymorphisms associated with nonrandom gene flow in cichlid fish of Lake Victoria</t>
  </si>
  <si>
    <t>Colour polymorphisms have fascinated evolutionary ecologists for a long time. Yet, knowledge on the mechanisms that allow their persistence is restricted to a handful of well-studied cases. We studied two species of Lake Victoria cichlid fish, Neochromis omnicaeruleus and Neochromis greenwoodi, exhibiting very similar sex-linked colour polymorphisms. The ecology and behaviour of one of these species is well studied, with colour-based mating and aggression preferences. Here, we ask whether the selection potentially resulting from female and male mating preferences and aggression biases reduces gene flow between the colour morphs and permits differentiation in traits other than colour. Over the past 14 years, the frequencies of colour morphs have somewhat oscillated, but there is no evidence for directional change, suggesting the colour polymorphism is persistent on an ecological timescale. We find limited evidence of eco-morphological differentiation between sympatric ancestral (plain) and derived (blotched) colour morphs. We also find significantly nonrandom genotypic assignment and an excess of linkage disequilibrium in the plain morph, which together with previous information on mating preferences suggests nonrandom mating between colour morphs. This, together with negative frequency-dependent sexual selection, found in previous studies, may facilitate maintenance of these polymorphisms in sympatry.</t>
  </si>
  <si>
    <t>Seehausen, Ole/C-8272-2011</t>
  </si>
  <si>
    <t>Seehausen, Ole/0000-0001-6598-1434</t>
  </si>
  <si>
    <t>10.1111/j.1365-294X.2010.04751.x</t>
  </si>
  <si>
    <t>WOS:000208393200001</t>
  </si>
  <si>
    <t>Huber-Eicher, B</t>
  </si>
  <si>
    <t>The effect of early colour preference and of a colour exposing procedure on the choice of nest colours in laying hens</t>
  </si>
  <si>
    <t>APPLIED ANIMAL BEHAVIOUR SCIENCE</t>
  </si>
  <si>
    <t>It has been observed that hens at the start of Jay show a strong preference for a limited number of nests, i.e. those at the corners and at the ends of rows. This leads to overcrowded nests and, as a consequence, to more aggression and an increase in cracked and mislaid eggs. This study aims to verify whether nest colour can be used to increase the attractiveness of nests, as this could counter-balance the aforementioned positional effects. In detail, a contemporary hybrid was tested to see whether it demonstrates early colour preference, and if this affects nest colour preference, and additionally, whether exposing chicks to specific colours at an early age could influence nest colour preference later on. During the first 12 days of life, eight groups of 15 chicks were exposed to one of four colours (blue, green, yellow and red; two groups per colour). In two additional groups of 92 chicks, individuals showing high preferences for these colours were identified. 50.5% chose yellow more often than any other colour, 32.1 % chose red, but only 7.1 and 2.2% preferred green and blue, respectively. 8.1 % of the chicks did not show preferences for a single colour but preferred two or three different colours equally. Sixteen hens from each of the following eight categories were then tested for their choice of nest colours at the start of lay (weeks 19-22): those exposed to blue, green, yellow or red during the first 12 days of life, those selected at the same age for their preference of yellow, red, yellow and red, and those which were selected because they had shown no preference to any particular colour during the first 12 days of life. Not enough individuals had shown clear preferences for blue or green at an early age to be tested later on. As hens, the birds were tested in 32 groups of four. Each bird of a group originated from a different category and each group had a choice of four double nests, each painted in one of the four colours blue, green, yellow or red. Hens that were exposed at an early age to blue, green or red did not prefer corresponding nest colours when in lay. The same is true for hens showing preference of red or red and yellow at an early age. All these hens showed a significant preference of yellow nests when in lay, and were indifferent to blue, green and red nests. However, birds selected for their preference of yellow at an early age, and also those that were exposed to yellow did not show this general preference of yellow nests, but were indifferent to all four nest colours offered. It is discussed how these results may contribute to the reduction of overcrowded nests at the start of lay. (C) 2004 Elsevier B.V. All rights reserved.</t>
  </si>
  <si>
    <t>0168-1591</t>
  </si>
  <si>
    <t>1872-9045</t>
  </si>
  <si>
    <t>MAY 20</t>
  </si>
  <si>
    <t>10.1016/j.applanim.2003.12.003</t>
  </si>
  <si>
    <t>WOS:000220316400006</t>
  </si>
  <si>
    <t>MARTIN, FD; HENGSTEBECK, MF</t>
  </si>
  <si>
    <t>EYE COLOR AND AGGRESSION IN JUVENILE GUPPIES, POECILIA-RETICULATA PETERS (PISCES, POECILIIDAE)</t>
  </si>
  <si>
    <t>A series of 4 related experiments on guppy, P. reticulata, juveniles indicates that eye color is related to motivational state. In juveniles of this species 2 distinct eye color states are easily discernible, with a transient intermediate state infrequently seen. These states are dark, light and intermediate. In aggressive interactions involving both dark- and light-eyed fish, dark-eyed fish won 98.6% of the encounters (n = 222 encounters). Eye colors are significantly correlated with bout lengths of certain behaviors (aggressive encounters, swimming, substrate biting); total time spent in certain behaviors (swimming, aggressive encounters); and type and intensity of aggressive encounters. Eye color may be related to motivational state and may serve a signal function.</t>
  </si>
  <si>
    <t>Martin, F. Douglas/0000-0002-3421-4408</t>
  </si>
  <si>
    <t>10.1016/S0003-3472(81)80092-9</t>
  </si>
  <si>
    <t>WOS:A1981LQ60200001</t>
  </si>
  <si>
    <t>AGGRESSION IN DAMSELFISH - ADULT JUVENILE INTERACTIONS</t>
  </si>
  <si>
    <t>COPEIA</t>
  </si>
  <si>
    <t>Successful recruitment of juvenile coral reef fish should depend, in part, on the behavior of adults already on the reef, if recruitment threatens resources held by these residents. The levels of aggression by adults upon intruding juveniles may reflect the extent of this threat. In a field experiment, the aggression of adult males of Pomacentrus partitus and P. planifrons was measured toward juveniles of four species (P. partitus, P. planifrons, P. fuscus, and P. variabilis) and three size classes [10-14 mm, 22-28 mm, and 32-40 mm (TL)]. Aggression toward each juvenile ''type'' was measured by the maximum distance from the resident's shelter that assured attack and by attack rates toward single and paired juvenile intruders held in separate ''model bottles.'' For both species of adult, levels of aggression increased with increasing juvenile size, and were highest toward juveniles of P. partitus and P. fuscus, followed by P. variabilis and P. planifrons. The results suggest that aggression by resident adults may be dependent on the size, color pattern, and species identity of juvenile recruits.</t>
  </si>
  <si>
    <t>0045-8511</t>
  </si>
  <si>
    <t>1938-5110</t>
  </si>
  <si>
    <t>FEB 11</t>
  </si>
  <si>
    <t>10.2307/1446296</t>
  </si>
  <si>
    <t>WOS:A1993KN22000006</t>
  </si>
  <si>
    <t>KRAL, M; JARVI, T; BICIK, V</t>
  </si>
  <si>
    <t>INTER-SPECIFIC AGGRESSION BETWEEN THE COLLARED FLYCATCHER AND THE PIED FLYCATCHER - THE SELECTIVE AGENT FOR THE EVOLUTION OF LIGHT-COLORED MALE PIED FLYCATCHER POPULATIONS</t>
  </si>
  <si>
    <t>ORNIS SCANDINAVICA</t>
  </si>
  <si>
    <t>The average plumage colour of the head and back of male Pied Flycatchers varies geographically. Light-coloured males live in sympatry, dark-coloured males in allopatry with the Collared Flycatcher. Because the two species of flycatcher compete for nesting holes, inter-specific aggression may have been a selective agent behind the evolution of light-coloured male Pied Flycatchers. Experiments with studded dummies of male Pied Flycatchers showed that male Collared Flycatchers were more aggressive towards a black dummy than towards a light-coloured one. Light-coloured male Pied Flycatchers may avoid attacks by male Collared Flycatchers either because they appear less threatening to the Collared Flycatcher in the competition for nest-holes (i.e. inter-specific status signalling) or because they closely resemble female Collared Flycatchers (i.e. inter-specific female mimicry).</t>
  </si>
  <si>
    <t>0030-5693</t>
  </si>
  <si>
    <t>10.2307/3676723</t>
  </si>
  <si>
    <t>WOS:A1988R388700006</t>
  </si>
  <si>
    <t>Bolnick, DI; Hendrix, K; Jordan, LA; Veen, T; Brock, CD</t>
  </si>
  <si>
    <t>Bolnick, Daniel I.; Hendrix, Kimberly; Jordan, Lyndon Alexander; Veen, Thor; Brock, Chad D.</t>
  </si>
  <si>
    <t>Intruder colour and light environment jointly determine how nesting male stickleback respond to simulated territorial intrusions</t>
  </si>
  <si>
    <t>Variation in male nuptial colour signals might be maintained by negative frequency-dependent selection. This can occur if males are more aggressive towards rivals with locally common colour phenotypes. To test this hypothesis, we introduced red or melanic three-dimensional printed-model males into the territories of nesting male stickleback from two optically distinct lakes with different coloured residents. Red-throated models were attacked more in the population with red males, while melanic models were attacked more in the melanic male lake. Aggression against red versus melanic models also varied across a depth gradient within each lake, implying that the local light environment also modulated the strength of negative frequency dependence acting on male nuptial colour.</t>
  </si>
  <si>
    <t>Bolnick, Daniel/G-4440-2015; Jordan, Alex/D-8243-2011</t>
  </si>
  <si>
    <t>Bolnick, Daniel/0000-0003-3148-6296; Jordan, Alex/0000-0001-6131-9734</t>
  </si>
  <si>
    <t>AUG 1</t>
  </si>
  <si>
    <t>10.1098/rsbl.2016.0467</t>
  </si>
  <si>
    <t>WOS:000390331600027</t>
  </si>
  <si>
    <t>Parental coordination with respect to color polymorphism in a crater lake fish</t>
  </si>
  <si>
    <t>In many taxa, success in parental care requires the coordinated efforts of both parents. Given the evolutionary potential of parental performance, as well as phenotype-related behavioral differences, it is surprising that parental coordination in polymorphic species has attracted only very limited research attention. To redress this gap, I combined multiple approaches to assess parental performance and coordination of parental effort in the color polymorphic and biparental cichlid fish, Amphilophus sagittae, in its natural crater lake habitat. I compared parents of the 2 color morphs, dark and gold, as well as pairs that had mated color assortatively (same color pairs) versus disassortatively (mixed pairs). The 2 morphs differed in terms of a higher than expected number of single gold morph parents. Interestingly, parental coordination, in terms of the size of the defended territory and the rate of aggressive responses toward natural territory intruders, was lower in mixed than same color pairs. Mixed pairs also had their territories in deeper water. However, no pair type differences in early survival of biparentally defended broods were detected. The findings contribute toward a better understanding of the role of parental coordination in polymorphic species, highlighting the importance of considering parental effort, coordination, and performance in the context of the dynamics of (color) polymorphisms in the wild. Indeed, if the observed behavioral differences will translate into negative fitness effects for mixed pairs, parental performance can also provide a mechanism selecting for color assortative mating and restricting gene flow under mating regimes that are not completely assortative.</t>
  </si>
  <si>
    <t>10.1093/beheco/arx052</t>
  </si>
  <si>
    <t>WOS:000401942800043</t>
  </si>
  <si>
    <t>Pryke, SR; Griffith, SC</t>
  </si>
  <si>
    <t>Pryke, Sarah R.; Griffith, Simon C.</t>
  </si>
  <si>
    <t>Socially Mediated Trade-Offs between Aggression and Parental Effort in Competing Color Morphs</t>
  </si>
  <si>
    <t>Individuals often face trade-offs between investment in parental care and alternative investments of time, energy, and resources into other life-history components, such as dominance, attractiveness, and health. Selection is thought to promote the optimal balance between the costs and the benefits of these conflicting activities by favoring individuals that adopt different tactics to maximize their overall evolutionary fitness in different environments. To test this, we experimentally manipulate both aggression (i.e., competitive environment) and parental effort (i.e., brood size) in red and black morphs of the Gouldian finch (Erythrura gouldiae). Although aggressive red males provide parental effort comparable to that of black males in environments where competition is low, irrespective of their relative brood size, they severely reduce or abandon parental investment in highly competitive environments. In contrast, non-aggressive black males are largely unaffected by the competitive environment and instead adaptively adjust their provisioning effort to the relative demands of their brood. Consequently, in highly competitive environments, although dominant red males defend higher-quality nest sites, they produce fewer and lower-quality offspring (in terms of mass and immunocompetence) than black males do. These opposing effects of frequency-dependent competitive environments on red and black males underlie their differential trade-offs between the costs and the benefits of aggression and parental effort.</t>
  </si>
  <si>
    <t>10.1086/605376</t>
  </si>
  <si>
    <t>WOS:000269824800004</t>
  </si>
  <si>
    <t>Van Gossum, H; Bots, J; Van Heusden, J; Hammers, M; Huyghe, K; Morehouse, NI</t>
  </si>
  <si>
    <t>Van Gossum, Hans; Bots, Jessica; Van Heusden, Jasper; Hammers, Martijn; Huyghe, Katleen; Morehouse, Nathan I.</t>
  </si>
  <si>
    <t>Reflectance spectra and mating patterns support intraspecific mimicry in the colour polymorphic damselfly Ischnura elegans</t>
  </si>
  <si>
    <t>Coexistence of female colour morphs in animal populations is often considered the result of sexual conflict, where polymorphic females benefit from reduced male sexual harassment. Mate-searching males easily detect suitable partners when only one type of female is present, but become challenged when multiple female morphs coexist, which may result in frequency-dependent mate preferences. Intriguingly, in damselflies, one female morph often closely resembles the conspecific male in body coloration, which has lead to hypotheses regarding intra-specific male-mimicry. However, few studies have quantitatively evaluated the correspondence between colour reflectance spectra from males and male-like females, relying instead on qualitative visual assessments of coloration. Using colour analyses of reflectance spectra, we compared characteristics of the body coloration of ontogenetic male and female colour morphs of the damselfly Ischnura elegans. In addition, we evaluated whether males appear to (1) discriminate between immature and mature female colour morphs, and (2) whether male-like females experience reduced male mating attention and low mating frequencies as predicted from male-mimicry. Spectral reflectance data show that immature female morphs differ substantially in coloration from mature individuals. Mating frequencies were much lower for immature than mature female morphs. For the male-like female morph, measures of colour were statistically indistinguishable from that of both immature and mature conspecific males. Mating frequencies of male-like females were lower than those of other mature female morphs under field and experimental conditions. Together, our results indicate that males may use the observed spectral differences in mate choice decisions. Furthermore, male-like females may be regarded as functional mimics that have reduced attractiveness and lowered rates of sexual harassment by mate-searching males.</t>
  </si>
  <si>
    <t>Morehouse, Nathan/0000-0001-6449-7106</t>
  </si>
  <si>
    <t>10.1007/s10682-010-9388-z</t>
  </si>
  <si>
    <t>WOS:000287600500010</t>
  </si>
  <si>
    <t>Kim, YK; Lee, SS; Oh, SI; Kim, JS; Suh, EH; Houpt, KA; Lee, HC; Lee, HJ; Yeon, SC</t>
  </si>
  <si>
    <t>Kim, Young K.; Lee, Scott S.; Oh, Seok I.; Kim, Jong S.; Suh, Euy H.; Houpt, Katherine A.; Lee, Hee C.; Lee, Hyo J.; Yeon, Seong C.</t>
  </si>
  <si>
    <t>Behavioural reactivity of the Korean native Jindo dog varies with coat colour</t>
  </si>
  <si>
    <t>This study aimed to compare the behavioural reactivity of undo dogs with two different coat colours. Fawn (16 males, 15 females; mean age +/- S.D.= 7.2 +/- 2.1 years) and white (10 males, 10 females; mean age +/- S.D. = 6.9 +/- 2.1 years) undo dogs were exposed to a set of behavioural tests. All of the dogs were videotaped during the testing period to allow further analysis. The intensity of social, aggressive, fearful, and submissive reactivity and the frequency of urination as a scent-marking behaviour were scored on a scale running from 0 to 4 points. For each dog, each variable was defined as the average of the scores of nine behaviour tests. Then, the behavioural reactivities of Jindo dogs of each coat colour were compared. The results suggested that Jindo dogs of fawn coat colour exhibited a significantly lower intensity of fearful and submissive reactivity than those of white coat colour. In addition, fawn undo dogs produced scent-marking behaviour significantly more frequently. The results of the present study may provide useful information for scientific researchers, potential owners and breeders of Jindo dogs. (C) 2010 Elsevier B.V. All rights reserved.</t>
  </si>
  <si>
    <t>10.1016/j.beproc.2010.02.012</t>
  </si>
  <si>
    <t>WOS:000279096400004</t>
  </si>
  <si>
    <t>Signalling with physiological colours: high contrast for courtship but speed for competition</t>
  </si>
  <si>
    <t>Dynamic physiological colour change allows animals to alter colours and patterns for communication, camouflage and thermoregulation. Using reflectance spectrometry and digital photography, we found that males of the Indian rock agama, Psammophilus dorsalis, can rapidly express intense colours that are different from the neutral state and specific to the social context. The distinct bands on males shifted between yellow and red (dorsal) and between orange and black (lateral) within seconds, and the resulting colour pattern was diametrically different depending on whether males were in courtship or aggressive interactions. Although males showed higher chromatic contrast when courting females, the colour change was faster during competitive encounters with other males. The nature of this social colour communication also differed across populations in anthropogenically disturbed landscapes. Compared to males from rural areas, suburban males were slower to change colour and showed duller and paler colours during staged social encounters. Consistent with other disturbance-induced shifts in phenotypic traits seen in numerous taxa, we provide the first evidence that social signalling through dynamic colour change in terrestrial vertebrates is also affected by urbanization. (C) 2017 The Association for the Study of Animal Behaviour. Published by Elsevier Ltd. All rights reserved.</t>
  </si>
  <si>
    <t>10.1016/j.anbehav.2017.05.018</t>
  </si>
  <si>
    <t>WOS:000405821200025</t>
  </si>
  <si>
    <t>DAWKINS, MS; GUILFORD, T</t>
  </si>
  <si>
    <t>COLOR AND PATTERN IN RELATION TO SEXUAL AND AGGRESSIVE-BEHAVIOR IN THE BLUEHEAD WRASSE THALASSOMA-BIFASCIATUM</t>
  </si>
  <si>
    <t>Terminal phase adult male bluehead wrasse show rapid and frequent changes of body colour from bright green to opalescent. Green body colour is associated with aggressive chases of other fish, opalescent with courting females and spawning and so the body colour gives an indication of the fish's 'intention' over the next few seconds. Pectoral fin spots appear during courtship and a hypothesis is suggested for their function.</t>
  </si>
  <si>
    <t>10.1016/0376-6357(93)90136-F</t>
  </si>
  <si>
    <t>WOS:A1993MR36400005</t>
  </si>
  <si>
    <t>Yang, GS; Huesmann, LR; Bushman, BJ</t>
  </si>
  <si>
    <t>Yang, Grace S.; Huesmann, L. Rowell; Bushman, Brad J.</t>
  </si>
  <si>
    <t>Effects of Playing a Violent Video Game as Male Versus Female Avatar on Subsequent Aggression in Male and Female Players</t>
  </si>
  <si>
    <t>Previous research has shown that violent video games can increase aggression in players immediately after they play. The present research examines the effects of one subtle cue within violent video games that might moderate these effectswhether the avatar is male or female. One common stereotype is that males are more aggressive than females. Thus, playing a violent video game as a male avatar, compared to a female avatar, should be more likely to prime aggressive thoughts and inclinations in players and lead to more aggressive behavior afterwards. Male and female university students (N=242) were randomly assigned to play a violent video game as a male or female avatar. After gameplay, participants gave an ostensible partner who hated spicy food hot sauce to eat. The amount of hot sauce given was used to measure aggression. Consistent with priming theory, results showed that both male and female participants who played a violent game as a male avatar behaved more aggressively afterwards than those who played as female avatar. The priming effects of the male avatar were somewhat stronger for male participants than for female participants, suggesting that male participants identified more with the male avatar than did the female participants. These results are particularly noteworthy because they are consistent with another recent experiment showing that playing a violent game as an avatar with a different stereotypically aggressive attribute (black skin color) stimulates more aggression than playing as an avatar without the stereotypically aggressive attribute (Yang et al., 2014, Social Psychological and Personality Science). Aggr. Behav. 40:537-541, 2014. (c) 2014 Wiley Periodicals, Inc.</t>
  </si>
  <si>
    <t>Bushman, Brad/ABG-3412-2021</t>
  </si>
  <si>
    <t>10.1002/ab.21551</t>
  </si>
  <si>
    <t>WOS:000344002600005</t>
  </si>
  <si>
    <t>Walter, RP; Haffner, GD; Heath, DD</t>
  </si>
  <si>
    <t>Walter, R. P.; Haffner, G. D.; Heath, D. D.</t>
  </si>
  <si>
    <t>No barriers to gene flow among sympatric polychromatic 'small' Telmatherina antoniae from Lake Matano, Indonesia</t>
  </si>
  <si>
    <t>Genetic divergence, assortative courtship and intermale aggression were assessed between sympatric colour morphs of the sailfin silverside Telmatherina antoniae, endemic to Lake Matano, Indonesia. Genetic analysis using microsatellite markers showed no barriers to gene flow among T. antoniae primary colour morphs (blue and yellow) within sampling sites, sympatric populations or at the lake-wide level. Low but significant genetic differentiation was found between yellow morphs and mixed (blue-yellow) morphs. Behavioural surveys indicated assortative courtship does occur along primary colour lines; however, intermale aggression among paired and intruding male morphs appeared equal with respect to male colour. These observations support the hypothesis that males view other males as threats to their courtship regardless of their colour. This study supports recent work suggesting that assortative mating is present in T. antoniae despite a lack of reproductive isolation among colour morphs.</t>
  </si>
  <si>
    <t>1095-8649</t>
  </si>
  <si>
    <t>10.1111/j.1095-8649.2009.02256.x</t>
  </si>
  <si>
    <t>WOS:000266243100006</t>
  </si>
  <si>
    <t>Clark, DL; Macedonia, JM; Neyer, EE; Mish, AME; Rowe, JW; Valle, CA</t>
  </si>
  <si>
    <t>Clark, David L.; Macedonia, Joseph M.; Neyer, Emma E.; Mish, Angela M. E.; Rowe, John W.; Valle, Carlos A.</t>
  </si>
  <si>
    <t>Display Responses of Gala′ pagos Lava Lizards (Microlophus bivittatus) to Manipulation of Male Shoulder Epaulets on Conspecific-Mimicking Robots</t>
  </si>
  <si>
    <t>HERPETOLOGICA</t>
  </si>
  <si>
    <t>Many animal taxa perform stereotyped displays during ritualized contests over territory and mates. Such displays facilitate assessment of an opponent's prowess and reduce the probability of physical injury. Color patterns likewise can serve as indicators of an individual's body condition. Male San Crist ' obal Lava Lizards (Microlophus bivittatus) of the Gala ' pagos Islands possess a black epaulet on each shoulder that contrasts with their surrounding body coloration. We created robots with the appearance of conspecific males to explore the potential function(s) of the epaulets in a series of four experiments. Our experiments focused on epaulet presence/absence, body location, and location relative to the axis of body motion (pectoral versus pelvic girdle) during pushups. Paired trials were conducted with adult males and females using a robot that performed M. bivittatus signature displays and that differed on its two sides in epaulet attributes. We quantified two kinds of bobbing displays in subjects: signature displays and two-bob displays. We also computed a composite response (CR) score, in which point values were assigned to types of nonbobbing displays and display combinations according to the apparent level of subject aggression. Results of Experiment 1 showed that males (but not females) performed more signature displays to the side of the robot with the epaulet present than to the side with the epaulet absent, suggesting that epaulets serve a signaling function. Composite response scores did not differ between treatments for either sex. In Experiment 2 neither males nor females performed more bobbing displays to an enlarged epaulet than to an epaulet reduced in size. However, males exhibited greater CR scores to the enlarged epaulet, suggesting that epaulet size or conspicuousness is important to its function. In Experiment 3 neither sex produced more bobbing displays to an epaulet on the robot's shoulder than to one on its hip. Yet, males accumulated significantly larger CR scores in response to the shoulder epaulet than to the hip epaulet, indicating that males were aware of normal epaulet location. Finally, in Experiment 4, where our robot performed hindlimb rather than forelimb pushups, subjects failed to exhibit more bobbing displays in response to a shoulder epaulet than to a hip epaulet. CR scores also did not differ between treatments for either sex, perhaps due to the striking abnormality of hindlimb-driven bobbing displays. Although the function of M. bivittatus epaulets remains elusive, these markings clearly are salient to male conspecifics.</t>
  </si>
  <si>
    <t>Valle, Carlos A./AAK-8702-2021</t>
  </si>
  <si>
    <t>Valle, Carlos A./0000-0002-5523-634X</t>
  </si>
  <si>
    <t>0018-0831</t>
  </si>
  <si>
    <t>1938-5099</t>
  </si>
  <si>
    <t>WOS:000948166800005</t>
  </si>
  <si>
    <t>Plenderleith, M; van Oosterhout, C; Robinson, RL; Turner, GF</t>
  </si>
  <si>
    <t>Female preference for conspecific males based on olfactory cues in a Lake Malawi cichlid fish</t>
  </si>
  <si>
    <t>Research on reproductive isolation in African cichlid fishes has largely focused on the role of nuptial colours, but other sensory modes may play an important role in mate choice. Here, we compare the relative importance of visual and olfactory cues in mate recognition by females of a Lake Malawi cichlid species. Female Pseudotropheus emmiltos were given a choice of spawning next to a conspecific male or a male of the closely-related sympatric Pseudotropheus fainzilberi. Significant preference for conspecific males only occurred when olfactory cues were present. This suggests that divergence of olfactory signals may have been an important influence on the explosive radiation of the East African species flock.</t>
  </si>
  <si>
    <t>van Oosterhout, Cock/A-6672-2008</t>
  </si>
  <si>
    <t>van Oosterhout, Cock/0000-0002-5653-738X; Turner, George/0000-0003-0099-7261</t>
  </si>
  <si>
    <t>DEC 22</t>
  </si>
  <si>
    <t>10.1098/rsbl.2005.0355</t>
  </si>
  <si>
    <t>WOS:000233911600009</t>
  </si>
  <si>
    <t>Jones, JA; Siefferman, L</t>
  </si>
  <si>
    <t>Jones, John A.; Siefferman, Lynn</t>
  </si>
  <si>
    <t>AGONISTIC BEHAVIORS BETWEEN CHESTNUT-SIDED (SETOPHAGA PENSYLVANICA) AND GOLDEN-WINGED (VERMIVORA CHRYSOPTERA) WARBLERS ARE UNLIKELY A RESULT OF PLUMAGE MISIDENTIFICATION</t>
  </si>
  <si>
    <t>Plumage coloration within species is often a signal of competitive ability and can influence territorial aggression between males. Agonistic interactions among males of different co-occurring species could result from misidentification (misdirected conspecific aggression). Reflectance spectrometry of plumage coupled with models of avian vision can be used to infer whether plumage color differences can be distinguished by birds. Here we investigate crown coloration similarity as a potential explanation for aggression between the imperiled Golden-winged Warbler (Vermivora chrysoptera) and the comparatively abundant Chestnut-sided Warbler (Setophaga pensylvanica). Because the yellow crown coloration of the two species appears identical to humans, we hypothesized that misidentification of heterospecifics as conspecifics could escalate agonistic interactions. Using museum study skins, we tested whether the yellow crown coloration of the two species should be distinguishable to the birds. Spectral reflectance data demonstrate that plumage color differs between the two species and avian vision models suggest these color differences should be easily discriminated. Thus, we conclude that plumage coloration similarity between these wood warblers is unlikely to cause misidentification of heterospecifics as conspecifics and may just be a result of phylogenic constraint. As populations of Golden-winged Warblers are experiencing accelerating declines, research focusing on the role interspecific competition plays on reduced productivity and survival is warranted.</t>
  </si>
  <si>
    <t>Jones, John Anthony/0000-0003-2615-1248; Siefferman, Lynn/0000-0002-9600-2902</t>
  </si>
  <si>
    <t>1938-5447</t>
  </si>
  <si>
    <t>10.1676/14-028.1</t>
  </si>
  <si>
    <t>WOS:000346425400008</t>
  </si>
  <si>
    <t>Lehtonen, TK; Sowersby, W; Gagnon, K; Wong, BBM</t>
  </si>
  <si>
    <t>Lehtonen, Topi K.; Sowersby, Will; Gagnon, Karine; Wong, Bob B. M.</t>
  </si>
  <si>
    <t>Cichlid Fish Use Coloration as a Cue to Assess the Threat Status of Heterospecific Intruders</t>
  </si>
  <si>
    <t>The ability to assess the threat posed by competitors, and to respond appropriately, is important for reducing the costs of aggression. In this respect, aggression directed toward heterospecifics is often just as significant as aggression among conspecifics. This is especially true for cichlid fish that share breeding grounds with heterospecifics. Indeed, cichlids are known to differentiate not only between conspecifics that pose different levels of threat but also between heterospecific territorial intruders by directing more aggression toward nonbreeding individuals. To assess whether the ability to make such distinctions could be based on color cues alone, we carried out a field study in which we experimentally presented Amphilophus sagittae cichlid pairs with model intruders of a sympatric congener, Amphilophus xiloaensis, in breeding versus nonbreeding coloration. Consistent with our prediction, we found that A. sagittae exhibited more aggression toward A. xiloaensis models of the latter color type. The results are, to our knowledge, the first to show that territory holders can, based on coloration alone, assess variation among individuals of a species other than their own in the threat posed to offspring survival.</t>
  </si>
  <si>
    <t>Lehtonen, Topi/A-6679-2010; Gagnon, Karine/O-1514-2013; Sowersby, Will/AAG-5106-2019</t>
  </si>
  <si>
    <t>Gagnon, Karine/0000-0002-0971-7740; Sowersby, Will/0000-0002-9774-5935; Lehtonen, Topi/0000-0002-1372-9509; Wong, Bob/0000-0001-9352-6500</t>
  </si>
  <si>
    <t>10.1086/682711</t>
  </si>
  <si>
    <t>WOS:000362840100013</t>
  </si>
  <si>
    <t>Heuts, BA; Nijman, V</t>
  </si>
  <si>
    <t>Aggressive behaviour of two swordtail colour breeds (Xiphophorus, Poeciliidae) in a prior residence situation</t>
  </si>
  <si>
    <t>Males of two swordtail colour breeds (Xiphophorus) were tested for differences related to aggression in a prior residency situation. The median latency time of the first dominance sign, the first attack, and the first approach was significantly shorter in the red than in the black breed, while these differences were not present when resident and newcomer or the larger and the smaller member of the pair were compared, either in the two breeds separately, or in the two breeds combined. The significance of these differences in agonistic behaviour is discussed in relation to resource holding power and colour variants in fish. (C) 1998 Elsevier Science B.V. All rights reserved.</t>
  </si>
  <si>
    <t>Nijman, Vincent/AHD-8685-2022</t>
  </si>
  <si>
    <t>10.1016/S0376-6357(98)00006-0</t>
  </si>
  <si>
    <t>WOS:000075498300002</t>
  </si>
  <si>
    <t>McKinnon, JS; McPhail, JD</t>
  </si>
  <si>
    <t>Male aggression and colour in divergent populations of the threespine stickleback: Experiments with animations</t>
  </si>
  <si>
    <t>CANADIAN JOURNAL OF ZOOLOGY-REVUE CANADIENNE DE ZOOLOGIE</t>
  </si>
  <si>
    <t>We investigated the evolution of male agonistic behaviour and nuptial coloration in populations of the threespine stickleback, Gasterosteus aculeatus, with either monomorphic red or monomorphic black coloration. Specifically, we examined the responses of males from the two population types to computer-generated animations of males with black, red, or dull grey throats on otherwise identically coloured bodies. Males varied greatly in their aggressive responses among individuals and among trials, and did not show statistically significant discrimination towards the differently coloured animations. These results, therefore, do not suggest a role for interactions among males in the evolution of divergent male nuptial coloration. In addition, these negative findings are consistent with other studies of stickleback from western North America, suggesting that geographic variation in agonistic colour discrimination may account, in part, for the discrepancies between the results of earlier studies. Given the diverse methods of studies on this topic, however, methodological differences may also have contributed to the inconsistent results.</t>
  </si>
  <si>
    <t>0008-4301</t>
  </si>
  <si>
    <t>10.1139/z96-191</t>
  </si>
  <si>
    <t>WOS:A1996VG77300016</t>
  </si>
  <si>
    <t>Beukema, JJ</t>
  </si>
  <si>
    <t>Recognition of conspecific females by males of Calopteryx haemorrhoidalis (Vander linden) (Zygoptera: Calopterygidae)</t>
  </si>
  <si>
    <t>ODONATOLOGICA</t>
  </si>
  <si>
    <t>males of calopterygid damselflies appear to court females of other (related, sympatric) spp. only rarely. Apparently, females of this group bear species-specific characteristics that release sexual behaviour in conspecific males only. Sympatric Calopteryx spp. usually differ conspicuously in pigmentation (colour, transparency, darkness) of their wings. females C. haemorrhoidalis differ from all other European spp. by the presence of a dark distal zone in the hindwings. - The relative value of various (manipulated) sets of female wings for elicitation of male courtship was assessed using choice experiments. C haemorrhoidalis males did not court wingless females of their own sp. nor did they court conspecific females with wings of the sympatric C. xanthostoma. However, the presence of a single wing of a conspecific female was sufficient to elicit courtship behaviour. Choices between 2 female models (presented simultaneously to territorial male individuals) revealed that the presence of a contrasting dark zone was an important distinguishing characteristic, whereas too high a transparency (a single wing as opposed to a set of 2 or 4 wings pressed against each other) greatly diminished the value of a model. The need for the presence of a dark zone will be effective in precluding courtship of females of other sympatric spp. The need for sufficiently low transparency will put a check on courtship attempts of immature females.</t>
  </si>
  <si>
    <t>0375-0183</t>
  </si>
  <si>
    <t>JUN 1</t>
  </si>
  <si>
    <t>WOS:000221702600002</t>
  </si>
  <si>
    <t>Stavenga, DG; Stowe, S; Siebke, K; Zeil, J; Arikawa, K</t>
  </si>
  <si>
    <t>Butterfly wing colours: scale beads make white pierid wings brighter</t>
  </si>
  <si>
    <t>The wing-scale morphologies of the pierid butterflies Pieris rapae (small white) and Delias nigrina (common jezabel), and the heliconine Heliconius melpomene are compared and related to the wing-reflectance spectra. Light scattering at the wing scales determines the wing reflectance, but when the scales contain an absorbing pigment, reflectance is suppressed in the absorption wavelength range of the pigment. The reflectance of the white wing areas of P. rapae, where the scales are studded with beads, is considerably higher than that of the white wing areas of H. melpomene, which has scales lacking beads. The beads presumably cause the distinct matt-white colour of the wings of pierids and function to increase the reflectance amplitude. This will improve the visual discrimination between conspecific males and females.</t>
  </si>
  <si>
    <t>Zeil, Jochen/C-9223-2009; Stowe, Sally/A-7328-2009</t>
  </si>
  <si>
    <t>AUG 7</t>
  </si>
  <si>
    <t>10.1098/rspb.2004.2781</t>
  </si>
  <si>
    <t>WOS:000222995100005</t>
  </si>
  <si>
    <t>Garcia, JE; Shrestha, M; Dyer, AG</t>
  </si>
  <si>
    <t>Garcia, Jair E.; Shrestha, Mani; Dyer, Adrian G.</t>
  </si>
  <si>
    <t>Flower signal variability overwhelms receptor-noise and requires plastic color learning in bees</t>
  </si>
  <si>
    <t>Color discrimination thresholds proposed by receptor-noise type models are frequently used in animal vision studies to predict a precise limit on the capacity of an animal to discriminate between stimuli. Honeybees and bumblebees are 2 closely related hymenopteran species for which precise data on photoreceptor sensitivities and receptor noise exist, enabling accurate testing on how their vision conforms to model predictions. Color vision has been proved in these species, and they are known to predominantly visit flowers using visual signals to collect nutrition. Surprisingly, however, the natural variability of flower signals has been rarely considered, and recent work also suggests bees may tune color vision through experience. We initially measured the spectral variability of flowers from 2 species: Goodenia ovata and Rosemarinus officinalis where free-flying honeybees were observed constantly foraging from conspecific flowers. We empirically determined honeybee color discrimination thresholds for color stimuli considering either absolute- or differential-conditioning discrimination functions. Secondly, we analyzed greenhouse grown wild-type Antirrhinum majus flower petal spectra as well as spectra from mixta and nivea strains of this species, and empirically determined bumblebee color discrimination considering conditioning experience. In all measured cases, within-flower type spectral variability exceeded a 1.0 Receptor Noise threshold, often by several units. Observed behavioral color discrimination functions considering the respective conditioning procedures closely matched the range of signal variability for both honeybees and bumblebees, showing that color vision in bees cannot be described by a single fixed value, and plasticity is a key component of bee foraging behavior in natural environments.</t>
  </si>
  <si>
    <t>; Shrestha, Mani/P-7045-2015</t>
  </si>
  <si>
    <t>Garcia, Jair/0000-0001-8456-4759; Shrestha, Mani/0000-0002-6165-8418</t>
  </si>
  <si>
    <t>10.1093/beheco/ary127</t>
  </si>
  <si>
    <t>WOS:000453209600018</t>
  </si>
  <si>
    <t>Cassey, P; Honza, M; Grim, T; Hauber, ME</t>
  </si>
  <si>
    <t>Cassey, Phillip; Honza, Marcel; Grim, Tomas; Hauber, Mark E.</t>
  </si>
  <si>
    <t>The modelling of avian visual perception predicts behavioural rejection responses to foreign egg colours</t>
  </si>
  <si>
    <t>How do birds tell the colours of their own and foreign eggs apart? We demonstrate that perceptual modelling of avian visual discrimination can predict behavioural rejection responses to foreign eggs in the nest of wild birds. We use a photoreceptor noise-limited colour opponent model of visual perception to evaluate its accuracy as a predictor of behavioural rates of experimental egg discrimination in the song thrush Turdus philomelos. The visual modelling of experimental and natural eggshell colours suggests that photon capture from the ultraviolet and short wavelength-sensitive cones elicits egg rejection decisions in song thrushes, while inter-clutch variation of egg coloration provides sufficient contrasts for detecting conspecific parasitism in this species. Biologically realistic sensory models provide an important tool for relating variability of behavioural responses to perceived phenotypic variation.</t>
  </si>
  <si>
    <t>Honza, Marcel/A-1123-2011; Grim, Tomas/A-2852-2008</t>
  </si>
  <si>
    <t>Grim, Tomas/0000-0002-5775-6269; Cassey, Phillip/0000-0002-2626-0172</t>
  </si>
  <si>
    <t>10.1098/rsbl.2008.0279</t>
  </si>
  <si>
    <t>WOS:000259085900022</t>
  </si>
  <si>
    <t>MACEDONIA, JM; STAMPS, JA</t>
  </si>
  <si>
    <t>SPECIES RECOGNITION IN ANOLIS-GRAHAMI (SAURIA, IGUANIDAE) - EVIDENCE FROM RESPONSES TO VIDEO PLAYBACKS OF CONSPECIFIC AND HETEROSPECIFIC DISPLAYS</t>
  </si>
  <si>
    <t>The visual displays of male anoles (Anolis sp.) are usually viewed as characters that facilitate species recognition. This presumption stems largely from the extensive variation in the head bobbing movements and dewlap colouration in males of this genus. However, few experimental data exist that illuminate the importance of these visual signals for species recognition. We presented adult male Anolis grahami with colour-videotaped sequences of displays from conspecifics and from three heterospecific species of anoles. The congenerics (A. carolinensis, A. conspersus, and A. sagrei) were chosen on the basis of their phylogenetic and geographical relationships with A. grahami. Stimulus males were filmed at a constant distance and orientation from the video camera, and edited sequences of their displays were presented at a standard distance from subjects. Video playbacks allowed us to equalize the quantity of display performed by each stimulus species, and to eliminate stimulus/subject interactions as well as inter-trial variation in stimulus behaviour. Results revealed that the subjects responded more strongly to conspecific than to heterospecific displays on all behavioural variables examined, but there was no indication of discrimination among the displays of the three congeneric species.</t>
  </si>
  <si>
    <t>Stamps, Judy A/A-5142-2010</t>
  </si>
  <si>
    <t>3-4</t>
  </si>
  <si>
    <t>WOS:A1994QA66800006</t>
  </si>
  <si>
    <t>SLAGSVOLD, T; SAETRE, GP</t>
  </si>
  <si>
    <t>EVOLUTION OF PLUMAGE COLOR IN MALE PIED FLYCATCHERS (FICEDULA-HYPOLEUCA) - EVIDENCE FOR FEMALE MIMICRY</t>
  </si>
  <si>
    <t>We present the first evidence for sexual deception by female mimicry in birds. Using live, caged birds we show that territorial male pied flycatchers behave aggressively toward bright-colored males but display sexually toward female-like male intruders. We also show that the males that are fooled are those that lack recent sexual experience. All male pied flycatchers are dull-colored in winter. It is possible that young males are more constrained during the spring molt than older males since the former are more dull-colored in spring. According to the molt-constraints hypothesis a subadult plumage would be maladaptive in the breeding season. Analysis of male settling pattern at breeding sites in spring suggests that brownish males are allowed to settle closer to already-established males than dark-colored males. This result suggests an adaptive value of having a subadult plumage color, in particular for young males arriving late from spring migration. However, we also show that mimicry incurs a cost, that of increased aggression from females, which may explain why female-like males have reduced mating success.</t>
  </si>
  <si>
    <t>10.2307/2409698</t>
  </si>
  <si>
    <t>WOS:A1991FW83600008</t>
  </si>
  <si>
    <t>Tosetto, L; Hart, NS; Williamson, JE</t>
  </si>
  <si>
    <t>Tosetto, Louise; Hart, Nathan S.; Williamson, Jane E.</t>
  </si>
  <si>
    <t>Dynamic colour change as a signalling tool in bluelined goatfish (Upeneicthtys lineatus)</t>
  </si>
  <si>
    <t>Many animal species can rapidly change their body colouration and patterning, but often the ecological drivers of such changes are unknown. Here, we explored dynamic colour change in the bluelined goatfish, Upeneichthys lineatus, a temperate marine tel- eost species. Upeneichthus lineatus can change in a matter of seconds, from a uniform white colour to display prominent, vertical, dark red stripes. Initial observations sug- gested that rapid colour change in U. lineatus was associated with feeding and may act as a signal to both conspecifics and heterospecifics that are frequently observed to follow feeding goatfish. Field observations of the colour and behaviour of individual U. lineatus were collected to (1) document the repertoire of behaviours that U. lineatus displays and categorise associated colour patterns; (2) quantify the speed of dynamic colour change; (3) establish the context in which U. lineatus changes colour and pat- tern; and (4) test whether the behaviour of follower fishes is influenced by colour pat- terning or specific behaviours of the focal goatfish. We found that U. lineatus changed colouration from white to the red banded pattern in less than 10 s. The key driver of rapid colour change in U. lineatus was feeding, particularly when the fish fed with its head buried in sediment. Conspecific followers were most likely to be white in colour and adopt searching behaviour, regardless of the focal fish colour or behaviour. Other species of follower fish spent significantly more time following U. lineatus that were displaying dark red stripes when searching or eating, implying the red stripes may be an interspecific signalling mechanism. Our findings indicate that rapid colour change in teleost fish may be used for social communication and may provide U. lineatus with increased protection from predation when feeding via a safety-in-numbers approach.</t>
  </si>
  <si>
    <t>Hart, Nathan/B-8564-2011</t>
  </si>
  <si>
    <t>Hart, Nathan/0000-0002-7289-9399; Williamson, Jane/0000-0003-3627-4508</t>
  </si>
  <si>
    <t>10.1002/ece3.10328</t>
  </si>
  <si>
    <t>WOS:001054792900001</t>
  </si>
  <si>
    <t>Millidine, KJ; Metcalfe, NB; Armstrong, JD</t>
  </si>
  <si>
    <t>Millidine, K. J.; Metcalfe, N. B.; Armstrong, J. D.</t>
  </si>
  <si>
    <t>Presence of a conspecific causes divergent changes in resting metabolism, depending on its relative size</t>
  </si>
  <si>
    <t>It is well established that the average metabolism of many species of fish varies with group size. However, it is not clear whether all individuals respond in the same way. Here, we use a newly calibrated method of measuring the metabolic rate of fish from opercular (ventilatory) movements that allows for the first-time estimation of changes in resting metabolic rate (RMR) of each individual within different social groups and when alone. The presence of a conspecific had divergent effects on the RMR of juvenile Atlantic salmon Salmo salar, depending on its relative body size: the presence of a smaller fish caused a 40 per cent reduction, whereas the presence of a slightly larger fish approximately doubled RMR. These effects occurred in the absence of activity and were sustained at lower magnitude in the case of the relatively smaller conspecific even if a transparent barrier prevented any physical interactions between fish. Changes in RMR were mirrored by changes in eye colour that indicate they were linked to stress levels. These contrasting and strong responses show that even the nearby presence of a conspecific can have profound and variable effects on an individual's energy budget; they also highlight the complex trade-offs involved in social interactions.</t>
  </si>
  <si>
    <t>Metcalfe, Neil B./C-5997-2009</t>
  </si>
  <si>
    <t>Metcalfe, Neil B./0000-0002-1970-9349; Armstrong, John/0000-0003-2015-0500</t>
  </si>
  <si>
    <t>10.1098/rspb.2009.1219</t>
  </si>
  <si>
    <t>WOS:000270665100010</t>
  </si>
  <si>
    <t>Rodrigues, RR; Carvalho, LN; Zuanon, J; Del-Claro, K</t>
  </si>
  <si>
    <t>Rodrigues, Raoni Rosa; Carvalho, Lucelia Nobre; Zuanon, Jansen; Del-Claro, Kleber</t>
  </si>
  <si>
    <t>Color changing and behavioral context in the Amazonian Dwarf Cichlid Apistogramma hippolytae (Perciformes)</t>
  </si>
  <si>
    <t>NEOTROPICAL ICHTHYOLOGY</t>
  </si>
  <si>
    <t>Animal coloration has many functions, and fishes are noted among vertebrates for presenting a wide variety of color patterns. Although in marine fishes the relationship between body coloration and behavioral context is well documented, there's not much information about freshwater fishes. Here we describe color patterns displayed by the dwarf cichlid Apistogramma hippolytae and suggest that these patterns are dependent on different social and behavioral settings. Field observations were conducted underwater in a pond in Central Amazonia, Brazil. We recorded six body coloration patterns related to seven different kinds of behavioral activities: foraging, resting, reproductive and agonistic displays, aggression ( attacking and fleeing) and parental care. Changes in coloration occur rapidly and take only a few seconds. Females on parental care exhibited a unique pattern that are more persistent and probably manifests more slowly. In the shallow and clear waters of the natural environment of this dwarf cichlid, color communication seems to constitute an efficient way to display information about individual mood, social status and reproductive readiness, contributing to minimize loss of energy in unnecessary interactions.</t>
  </si>
  <si>
    <t>Nobre Carvalho, Lucélia/D-5986-2013; Raoni R, Rodrigues/O-9810-2015; Zuanon, Jansen A. S./E-5791-2013; Del-Claro, Kleber/N-3700-2019; Del-Claro, K/C-5570-2013</t>
  </si>
  <si>
    <t>Nobre Carvalho, Lucélia/0000-0002-0673-0165; Zuanon, Jansen A. S./0000-0001-8354-2750; Del-Claro, K/0000-0001-8886-9568</t>
  </si>
  <si>
    <t>1679-6225</t>
  </si>
  <si>
    <t>DEC 18</t>
  </si>
  <si>
    <t>10.1590/S1679-62252009000400013</t>
  </si>
  <si>
    <t>WOS:000273613900013</t>
  </si>
  <si>
    <t>Skelhorn, J</t>
  </si>
  <si>
    <t>Skelhorn, John</t>
  </si>
  <si>
    <t>Colour biases are a question of conspecifics' taste</t>
  </si>
  <si>
    <t>Toxic prey often advertise their defences to predators using conspicuous colours, such as red and yellow; and predators exhibit unlearned biases against warningly coloured food. These biases are particularly evident when other components of warning displays, such as sounds and odours, are present. Predators are thought to use additional signal components to reduce their attack rates on warningly coloured prey when the risk of them being defended is perceived to be high. If this is the case, any cue that allows predators to predict the presence of defended prey reliably should incite biases against warningly coloured food. Using domestic chicks, Gallus gallus domesticus, as predators and coloured crumbs for prey, I tested whether observing a conspecific's distaste response caused predators to bias their foraging decisions away from warningly coloured prey. Chicks observed a conspecific that had been given either a drop of water or a drop of Bitrex (a bitter-tasting solution). They were then offered a choice of either red and green, or yellow and green crumbs. Chicks that observed a conspecific's reaction to Bitrex attacked fewer red and yellow crumbs, and more green crumbs, than chicks that observed a conspecific's reaction to water. Observing conspecifics' disgust responses therefore caused birds to bias their foraging preference away from warningly coloured food and towards food of a more neutral colour. This suggests that predators' social systems may play a more important role than previously thought in the evolution of prey defences. (C) 2011 The Association for the Study of Animal Behaviour. Published by Elsevier Ltd. All rights reserved.</t>
  </si>
  <si>
    <t>10.1016/j.anbehav.2011.01.017</t>
  </si>
  <si>
    <t>WOS:000288651200019</t>
  </si>
  <si>
    <t>BARLOW, GW; MCKAYE, KR</t>
  </si>
  <si>
    <t>A COMPARISON OF FEEDING, SPACING, AND AGGRESSION IN COLOR MORPHS OF THE MIDAS CICHLID .2. AFTER 24 HOURS WITHOUT FOOD</t>
  </si>
  <si>
    <t>Three hypotheses were tested: the Gold Effect (the coloration of the gold morph confers an advantage in hostile interactions because that color inhibits aggression); the Habituation Effect (fish habituate to gold fish if they are encountered frequently); and the Dominance-Generalization Effect (the color of the dominant fish is learned, and small fish who share that color receive some protection from attacks). The basic experiment consisted of 1 large juvenile dominating a feeder which was approached by small fish, 3 golds and 3 normals. In the treatment, the feeder was removed for 24 h and then replaced 20 min before recording; this was done to see if the Gold Effect would prevail over the Habituation Effect under conditions of forced competition. Contrary to expectations, the large fish attacked the small golds more than the small normals. Their attacks could have been evoked by the attacks or feeding behavior of the small fish. The small fish themselves showed both the Gold and Dominance-Generalization Effects. As predicted, the Gold Effect prevailed over the Habituation Effect after being deprived of food; but the same thing happened in the control situation, apparently due to the stimulation of revealing concealed worms when their feeder was simply lifted and immediately replaced. The small golds appeared to feed more often than the small normals, but the difference was not significant. The small golds gained significantly more weight than did the small normals. Thus, the small golds benefited more from their aggressive advantage over the small normals than they lost by being attacked more by the large dominant fish.</t>
  </si>
  <si>
    <t>10.1163/156853982X00328</t>
  </si>
  <si>
    <t>WOS:A1982PH83900001</t>
  </si>
  <si>
    <t>Kawamura, G; Bagarinao, T; Yong, ASK; Fen, TC; Lim, LS</t>
  </si>
  <si>
    <t>Kawamura, Gunzo; Bagarinao, Teodora; Yong, Annita Seok Kian; Fen, Teoh Chui; Lim, Leong Seng</t>
  </si>
  <si>
    <t>Shelter colour preference of the postlarvae of the giant freshwater prawn Macrobrachium rosenbergii</t>
  </si>
  <si>
    <t>FISHERIES SCIENCE</t>
  </si>
  <si>
    <t>The addition of artificial shelters of various materials has been used in Macrobrachium rosenbergii tanks and ponds as a means of increasing productivity. The present study investigated the shelter colour preference of M. rosenbergii postlarvae (age 15-18 days after metamorphosis) in the laboratory. Shelter occupancy tests were performed on four groups of 200 postlarvae in four 57-l aquaria, into which were placed shelters made of rigid coloured netting sewn into four-layered cubes open on two sides. The shelters were presented in six colour pairs: black vs dark green, black vs light green, black vs blue, dark green vs light green, dark green vs blue, and light green vs blue. Colour preference was tested six times for each colour pair. The data obtained were analyzed using Thurstone's law of comparative judgment. The mean z-score was significantly highest (i.e., highest preference) for the black shelter. Vision was involved in the detection of and approach to the shelter. When released in aquaria, intact-eyed individual postlarvae directly approached the shelter straight away, whereas blind postlarvae (paint over the eyes) swam around randomly and occupied the shelter only after accidental contact much later. Postlarvae in open water out of the shelter exhibited frequent aggressive contact, while those in the shelter were quiescent. The use of black shelters in rearing tanks is thus recommended for reducing stress and aggression among M. rosenbergii postlarvae in the hatchery.</t>
  </si>
  <si>
    <t>Lim, Leong Seng/I-5324-2016; Lim, Leong Seng/O-2868-2019; Kian, Yong Annita Seok/E-6971-2010</t>
  </si>
  <si>
    <t>Lim, Leong Seng/0000-0002-0404-1083; Kian, Yong Annita Seok/0000-0003-3766-4372; Teoh, Chui Fen/0000-0002-4902-1895</t>
  </si>
  <si>
    <t>0919-9268</t>
  </si>
  <si>
    <t>1444-2906</t>
  </si>
  <si>
    <t>10.1007/s12562-017-1062-8</t>
  </si>
  <si>
    <t>WOS:000399657400013</t>
  </si>
  <si>
    <t>Drury, JP; Grether, GF</t>
  </si>
  <si>
    <t>Drury, J. P.; Grether, G. F.</t>
  </si>
  <si>
    <t>Interspecific aggression, not interspecific mating, drives character displacement in the wing coloration of male rubyspot damselflies (Hetaerina)</t>
  </si>
  <si>
    <t>Traits that mediate intraspecific social interactions may overlap in closely related sympatric species, resulting in costly between-species interactions. Such interactions have principally interested investigators studying the evolution of reproductive isolation via reproductive character displacement (RCD) or reinforcement, yet in addition to reproductive interference, interspecific trait overlap can lead to costly between-species aggression. Previous research on rubyspot damselflies (Hetaerina spp.) demonstrated that sympatric shifts in male wing colour patterns and competitor recognition reduce interspecific aggression, supporting the hypothesis that agonistic character displacement (ACD) drove trait shifts. However, a recent theoretical model shows that RCD overshadows ACD if the same male trait is used for both female mate recognition and male competitor recognition. To determine whether female mate recognition is based on male wing coloration in Hetaerina, we conducted a phenotype manipulation experiment. Compared to control males, male H. americana with wings manipulated to resemble a sympatric congener (H. titia) suffered no reduction in mating success. Thus, female mate recognition is not based on species differences in male wing coloration. Experimental males did, however, experience higher interspecific fighting rates and reduced survival compared to controls. These results greatly strengthen the case for ACD and highlight the mechanistic distinction between ACD and RCD.</t>
  </si>
  <si>
    <t>Grether, Gregory F./0000-0003-3441-0537; Drury, Jonathan/0000-0002-0262-8761</t>
  </si>
  <si>
    <t>10.1098/rspb.2014.1737</t>
  </si>
  <si>
    <t>WOS:000343674500017</t>
  </si>
  <si>
    <t>Tanaka, S</t>
  </si>
  <si>
    <t>A cricket (Gryllus bimaculatus) neuropeptide induces dark colour in the locust, Locusta migratoria</t>
  </si>
  <si>
    <t>JOURNAL OF INSECT PHYSIOLOGY</t>
  </si>
  <si>
    <t>The dark-colour inducing effect of various parts of the nervous system and the corpora cardiaca of crickets (Gryllus bimaculatus) was examined by implanting these organs into albino nymphs of the locust, Locusta migratoria, The corpora cardiaca were most effective, When implanted at the beginning of the 4th instar, albino locusts developed a uniformly blackish body colour after ecdysis to the 5th instar, Black patterns with an orange background colour, resembling normal gregarious locust nymphs, were induced after implantation at the middle of the 4th instar, Implantation late in the 4th instar induced a reddish body colour without black patterns, Methanol extracts of the cricket corpora cardiaca induced a dark colour in albino locusts when the extracts were dried, mixed with soybean oil and injected. Water extracts were much less effective, and the hexane extracts had no activity, Activity of the methanol extracts was destroyed with a proteinase. Ore the other hand, boiling or exposure to a preheated proteinase did not destroy the activity, These results indicate that the dark-colour inducing factor in the cricket corpora cardiaca is a heat-stable neuropeptide(s), The dried methanol extracts of cricket corpora cardiaca did not influence the body colour of conspecific individuals.</t>
  </si>
  <si>
    <t>0022-1910</t>
  </si>
  <si>
    <t>10.1016/0022-1910(95)00115-8</t>
  </si>
  <si>
    <t>WOS:A1996TZ11300012</t>
  </si>
  <si>
    <t>Manchenko, GP; Kulikova, VI</t>
  </si>
  <si>
    <t>Enzyme and colour variation in the hoplonemertean Tetrastemma nigrifrons from the Sea of Japan</t>
  </si>
  <si>
    <t>Five sympatric colour varieties of the hoplonemertean Tetrastemma nigrifrons (var. pallidum, var. bicolor, var. purpureum, var. punctata, var. albino) were found in Vostok Bay (the Sea of Japan). The taxonomic status of the varieties, some of which have been known for almost a century, was uncertain. Starch gel electrophoresis was used to compare allele frequencies of these varieties at 19 isozyme loci. Neither fixed allelic differences nor statistically significant differences in allele frequencies between different colour varieties was revealed. It was concluded therefore that all the colour varieties studied are conspecific. As estimated from the electrophoretic screening of 24 isozyme loci, the species is highly variable at the molecular level. It has high mean values of observed and expected heterozygosity estimates, H-o = 0.313 +/- 0.049 and H-e = 0.323 +/- 0.050, and is one of the most variable species among invertebrates.</t>
  </si>
  <si>
    <t>NOV 1</t>
  </si>
  <si>
    <t>1-3</t>
  </si>
  <si>
    <t>10.1007/BF00028507</t>
  </si>
  <si>
    <t>WOS:A1996WB14600006</t>
  </si>
  <si>
    <t>Lewandowski, E; Boughman, JW</t>
  </si>
  <si>
    <t>Lewandowski, Eva; Boughman, Janette W.</t>
  </si>
  <si>
    <t>Effects of genetics and light environment on colour expression in threespine sticklebacks</t>
  </si>
  <si>
    <t>The genetic basis of traits that are under sexual selection and that are involved in recognizing conspecific mates is poorly known, even in systems in which the phenotypic basis of these traits has been well studied. In the present study, we investigate genetic and environmental influences on nuptial colour, which plays important roles in sexual selection and sexual isolation in species pairs of limnetic and benthic threespine sticklebacks (Gasterosteus aculeatus species complex). Previous work demonstrated that colour differences among species correlate to differences in the ambient light prevalent in their mating habitat. Red fish are found in clear water and black fish in red-shifted habitats. We used a paternal half-sib split-clutch design to investigate the genetic and environmental basis of nuptial colour. We found genetic differences between a red and a black stickleback population in the expression of both red and black nuptial colour. In addition, the light environment influenced colour expression, and genotype by environment interactions were also present. We found evidence for both phenotypic and genetic correlations between our colour traits; some of these correlations are in opposite directions for our red and black populations. These results suggest that both genetic change and phenotypic plasticity underlie the correlation of male colour with light environment. (c) 2008 The Linnean Society of London.</t>
  </si>
  <si>
    <t>Boughman, Janette/0000-0002-5731-7389</t>
  </si>
  <si>
    <t>10.1111/j.1095-8312.2008.01021.x</t>
  </si>
  <si>
    <t>WOS:000258458500002</t>
  </si>
  <si>
    <t>Dijkstra, PD; van Dijk, S; Groothuis, TGG; Pierotti, MER; Seehausen, O</t>
  </si>
  <si>
    <t>Dijkstra, Peter D.; van Dijk, Sander; Groothuis, Ton G. G.; Pierotti, Michele E. R.; Seehausen, Ole</t>
  </si>
  <si>
    <t>Behavioral dominance between female color morphs of a Lake Victoria cichlid fish</t>
  </si>
  <si>
    <t>Species that exhibit genetic color polymorphism are suitable for studying the evolutionary forces that maintain heritable phenotypic variation in nature. Male color morphs often differ in behavioral dominance, affecting the evolution of color polymorphisms. However, behavioral dominance among female color morphs has received far less attention. We studied a polymorphic population of the cichlid fish Neochromis omnicaeruleus from Lake Victoria, in which 3 distinct female color morphs coexist, black-and-white blotched (WB), orange blotched (OB), and plain (P) color morphs. First, we investigated dominance relationships among female morphs using triadic and dyadic encounters in the laboratory. In triadic encounters, both WB and OB females dominated plain, whereas WB females dominated OB females. Dominance of WB over OB was confirmed using dyadic encounters. In a second experiment, blotched (WB or OB) and plain full-sib sisters were bred by crossing a blotched and a plain parent. In dyadic encounters, WB female morphs dominated their plain sisters, suggesting that dominance of WB females is a pleiotropic effect of color or that genes coding for color and those influencing behavioral dominance are genetically linked, explaining the association between color and behavioral dominance despite gene flow. We conclude that behavioral dominance asymmetries exist among female color morphs of the fish N. omnicaeruleus, and discuss possible mechanisms that may account for the tight association between color and behavioral dominance.</t>
  </si>
  <si>
    <t>10.1093/beheco/arp036</t>
  </si>
  <si>
    <t>WOS:000265950200018</t>
  </si>
  <si>
    <t>Pröhl, H; Ostrowski, T</t>
  </si>
  <si>
    <t>Proehl, Heike; Ostrowski, Thomas</t>
  </si>
  <si>
    <t>Behavioural elements reflect phenotypic colour divergence in a poison frog</t>
  </si>
  <si>
    <t>The coexistence of both aposematic and cryptic morphs as different anti-predator strategies within a species seems to be an unusual phenomenon in nature. The strawberry poison frog, Oophaga pumilio, shows an astonishing colour diversity among populations in western Panama. In this study we selected a red and a green colour morph from two Panamanian islands (Isla Solarte and Isla Colon) for behavioural observations and measurements of conspicuousness. We found that red frogs were more visible to both conspecific frogs and potential predators than green frogs. Interestingly the difference in conspicuousness was most pronounced at the substrate that males used as principal calling places. Red males were more active and spent more time foraging than green males, which spent more time hidden. The association between conspicuousness of colouration and behaviour results in a more aposematic and a more cryptic anti-predator strategy. This is the first study which links differences in conspicuousness between animals on their natural backgrounds to differences in foraging as well as anti-predator behaviour and discusses the results in light of previous findings of toxicity analyses and potential costs and benefits of aposematism. To this end, our study adds a novel perspective for explaining extreme colour diversity between populations within an initially aposematic species.</t>
  </si>
  <si>
    <t>10.1007/s10682-010-9455-5</t>
  </si>
  <si>
    <t>WOS:000294499800003</t>
  </si>
  <si>
    <t>Cai, Y; Chen, XY; Wu, N; Yang, CC</t>
  </si>
  <si>
    <t>Cai, Yan; Chen, Xiangyang; Wu, Neng; Yang, Canchao</t>
  </si>
  <si>
    <t>Chromatic and achromatic differences of melanin- and carotenoid-based plumage coloration in five minivet species (Pericrocotus spp.) under conspecific and predator visual systems</t>
  </si>
  <si>
    <t>AVIAN RESEARCH</t>
  </si>
  <si>
    <t>Adaptive mate choice has been accepted as the leading theory to explain the colorful plumage of birds. This theory hypothesizes that conspicuous colors act as signals to advertise the qualities of the owners. However, a dilemma arises in that conspicuous colors may not only attract mates, but also alert predators. The private channels of communication hypothesis proposes that some intraspecific signals may not be visible to heterospecific animals because of different visual systems. To better understand the evolution of plumage colors and sexual selection in birds, here we studied the chromatic difference and achromatic differences of melanin-and carotenoid-based plumage coloration in five minivet species (Pericrocotus spp.) under conspecific and predator visual systems. We found that either the chromatic or achromatic difference among male or female minivets' plumage was consistently higher under conspecific vision than under predator vision for all five studied species of minivets. This result indicated that individual differences in plumage colors of minivets were visible to the conspecific receivers and hidden from potential predators as a result of evolution under predation risk and conspecific communication. However, males were under a higher risk of predation because they were more conspicuous than females to the vision of a nocturnal predator.</t>
  </si>
  <si>
    <t>Yang, Canchao/0000-0001-9405-2749</t>
  </si>
  <si>
    <t>2053-7166</t>
  </si>
  <si>
    <t>10.1016/j.avrs.2023.100077</t>
  </si>
  <si>
    <t>WOS:000933848900001</t>
  </si>
  <si>
    <t>Lou, YQ; Chen, LJ; Zhao, QS; Moller, AP; Fang, Y; Sun, YH</t>
  </si>
  <si>
    <t>Lou, Yingqiang; Chen, Lijun; Zhao, Qingshan; Moller, Anders Pape; Fang, Yun; Sun, Yuehua</t>
  </si>
  <si>
    <t>The signalling function of plumage colour traits in the Chestnut Thrush (Turdus rubrocanus)</t>
  </si>
  <si>
    <t>IBIS</t>
  </si>
  <si>
    <t>Melanin is a common pigment in birds, and several studies have shown that melanin-based plumage coloration could signal individual body condition, social status and personality traits. However, most of these studies have focused on males, and little is known about the role of plumage coloration in females. Here, we investigated whether body condition and personality traits (activity and exploratory behaviour) were associated with plumage coloration in wild populations of the Chestnut Thrush Turdus rubrocanus, an apparently monochromatic species. We also tested whether the signals of plumage colour traits differed between sexes. In this study, we found that females had better body condition compared with males. Females with lower chroma and brightness of their black wings had better body condition, but no plumage colour measures reflected male body condition. Males with a lower red chroma of their brown back plumage were less active, and females with lower red chroma of the back plumage were more active. However, plumage coloration did not explain variation in exploratory behaviour. Our findings suggest that plumage colour traits may act as sex-specific signals in Chestnut Thrushes and these traits may play important roles in sexual or conspecific communication in the wild.</t>
  </si>
  <si>
    <t>Zhao, Qingshan/O-2694-2018; lijun, chen/C-2660-2008</t>
  </si>
  <si>
    <t>Zhao, Qingshan/0000-0002-3767-1102;</t>
  </si>
  <si>
    <t>0019-1019</t>
  </si>
  <si>
    <t>1474-919X</t>
  </si>
  <si>
    <t>10.1111/ibi.13219</t>
  </si>
  <si>
    <t>MAY 2023</t>
  </si>
  <si>
    <t>WOS:000985415400001</t>
  </si>
  <si>
    <t>Ligon, RA; Hill, GE</t>
  </si>
  <si>
    <t>Ligon, Russell A.; Hill, Geoffrey E.</t>
  </si>
  <si>
    <t>Is the juvenal plumage of altricial songbirds an honest signal of age? Evidence from a comparative study of thrushes (Passeriformes: Turdidae)</t>
  </si>
  <si>
    <t>JOURNAL OF ZOOLOGICAL SYSTEMATICS AND EVOLUTIONARY RESEARCH</t>
  </si>
  <si>
    <t>The function and evolution of avian plumage colouration has been the subject of many studies over the past decade, but virtually all of this research has focused on the plumages of sexually mature individuals. The colours and patterns of juvenal plumage, which is worn by altricial songbirds only for the first few months of life, have been the focus of few studies. We develop the idea that distinctive juvenile appearance may be a signal of sexual immaturity, serving to reduce aggression from conspecific adults. We use a comparative phylogenetic approach to test this hypothesis in the thrushes (Family Turdidae). Honest signals of reproductive immaturity should be more valuable when juveniles fledge into environments with aggressive adult conspecifics. Therefore, we predicted that distinctive juvenile appearance would be more likely to evolve in species with extended breeding seasons and high levels of territoriality. Because many tropical bird species exhibit year-round territoriality and elongated breeding seasons, we used breeding latitude as a proxy for these variables. As predicted, distinctive juvenile appearance was significantly correlated with occupancy of tropical latitudes. While alternative explanations cannot be ruled out and more tests of the hypothesis are needed, the observed associations between breeding latitude and distinctiveness of juvenal plumage are consistent with our hypothesis that distinctive juvenal plumage evolved as a signal of sexual immaturity.</t>
  </si>
  <si>
    <t>Hill, Geoffrey Edward/R-7354-2019; Ligon, Russell/M-1233-2013</t>
  </si>
  <si>
    <t>Hill, Geoffrey Edward/0000-0001-8864-6495; Ligon, Russell/0000-0002-0195-8275</t>
  </si>
  <si>
    <t>0947-5745</t>
  </si>
  <si>
    <t>10.1111/j.1439-0469.2012.00668.x</t>
  </si>
  <si>
    <t>WOS:000313753400008</t>
  </si>
  <si>
    <t>Baran, NM; Streelman, JT</t>
  </si>
  <si>
    <t>Baran, Nicole M.; Streelman, J. Todd</t>
  </si>
  <si>
    <t>Ecotype differences in aggression, neural activity and behaviorally relevant gene expression in cichlid fish</t>
  </si>
  <si>
    <t>In Lake Malawi, two ecologically distinct lineages of cichlid fishes (rock- vs sand-dwelling ecotypes, each comprised of over 200 species) evolved within the last million years. The rock-dwelling species (Mbuna) are aggressively territorial year-round and males court and spawn with females over rocky substrate. In contrast, males of sand-dwelling species are not territorial and instead aggregate on seasonal breeding leks in which males construct courtship bowers in the sand. However, little is known about how phenotypic variation in aggression is produced by the genome. In this study, we first quantify and compare behavior in seven cichlid species, demonstrating substantial ecotype and species differences in unconditioned mirror-elicited aggression. Second, we compare neural activity in mirror-elicited aggression in two representative species, Mchenga conophoros (sand-dwelling) and Petrotilapia chitimba (rock-dwelling). Finally, we compare gene expression patterns between these two species, specifically within neurons activated during mirror aggression. We identified a large number of genes showing differential expression in mirror-elicited aggression, as well as many genes that differ between ecotypes. These genes, which may underly species differences in behavior, include several neuropeptides, genes involved in the synthesis of steroid hormones and neurotransmitter activity. This work lays the foundation for future experiments using this emerging genetic model system to investigate the genomic basis of evolved species differences in both brain and behavior.</t>
  </si>
  <si>
    <t>Baran, Nicole/0000-0001-6270-0625</t>
  </si>
  <si>
    <t>e12657</t>
  </si>
  <si>
    <t>10.1111/gbb.12657</t>
  </si>
  <si>
    <t>MAY 2020</t>
  </si>
  <si>
    <t>WOS:000530887300001</t>
  </si>
  <si>
    <t>Martin, PR; Montgomerie, R; Lougheed, SC</t>
  </si>
  <si>
    <t>Martin, Paul R.; Montgomerie, Robert; Lougheed, Stephen C.</t>
  </si>
  <si>
    <t>Color Patterns of Closely Related Bird Species Are More Divergent at Intermediate Levels of Breeding-Range Sympatry</t>
  </si>
  <si>
    <t>Closely related species of birds often differ markedly in their color patterns. Here we examine the influence of breeding-range overlap (breeding sympatry) on the evolution of color pattern differences in a sample of closely related bird species. We used a sisterlineage method to analyze 73 phylogenetically independent comparisons among 246 species and 39 families of birds worldwide. We found that divergence of color patterns among closely related species was greater between sympatric than between allopatric lineages, but only at intermediate levels of sympatry (50%-80% breeding-range overlap). This pattern suggests that closely related species incur costs at intermediate levels of sympatry if they exhibit similar color patternscosts that could include hybridization, interspecific aggression, competition for signaling space, or ecological interactions that secondarily influence color patterns. The decline in color pattern divergence with further increase in sympatry suggests either the relaxation of divergent selection, increased impediment of gene flow, or an increased role for counteracting selection at higher levels of sympatry. We also found that the differences in color pattern between sympatric and allopatric sister species were greatest at lower latitudes. The global scale and broad taxonomic coverage in our study suggest that the divergence of color patterns between sympatrically breeding closely related species is widespread in birds.</t>
  </si>
  <si>
    <t>Montgomerie, Robert D/C-6516-2008</t>
  </si>
  <si>
    <t>10.1086/680206</t>
  </si>
  <si>
    <t>WOS:000351859700005</t>
  </si>
  <si>
    <t>Kamijo, M; Kawamura, M; Fukamachi, S</t>
  </si>
  <si>
    <t>Kamijo, Makiko; Kawamura, Mayuko; Fukamachi, Shoji</t>
  </si>
  <si>
    <t>Loss of red opsin genes relaxes sexual isolation between skin-colour variants of medaka</t>
  </si>
  <si>
    <t>Colour vision is often essential for animals. Fine discrimination of colours enhances the ability of animals to find food, predators, or mating partners. Using two colour variants of medaka (Oryzias latipes), which mate assortatively depending on visual cues (pale grey versus dark orange), we recently established red colour-blind strains by knocking out the red opsin (long-wavelength-sensitive) genes and elucidated that the fish were indeed insensitive to red light. In the present study, we investigated the mate choice of these red-blind fish. The colour variants with normal colour vision strongly preferred to mate with their own strain. The red-blind ones also preferred their own strain; i.e. they still mated assortatively. However, their preference was significantly weaker than that of fish with normal colour vision. In other words, the red-blind fish showed increased sexual interest in the other colour variant. These results indicated that reduced sensitivity to red light also reduced their ability to discriminate colours. This empirical evidence directly demonstrates that a change in cone-opsin repertoire changes mating decision behaviours, which would affect gene flow and speciation processes between conspecific colour variants in nature, as suggested in other studies.</t>
  </si>
  <si>
    <t>Fukamachi, Shoji/KIL-1595-2024</t>
  </si>
  <si>
    <t>Fukamachi, Shoji/0000-0001-7967-1883</t>
  </si>
  <si>
    <t>10.1016/j.beproc.2018.02.006</t>
  </si>
  <si>
    <t>WOS:000430765900004</t>
  </si>
  <si>
    <t>Kaspersson, R; Höjesjö, J; Pedersen, S</t>
  </si>
  <si>
    <t>Kaspersson, Rasmus; Hojesjo, Johan; Pedersen, Stig</t>
  </si>
  <si>
    <t>Effects of density on foraging success and aggression in age-structured groups of brown trout</t>
  </si>
  <si>
    <t>The benefit of monopolizing a limited resource is influenced by competitor density and by the relative competitive ability of defenders and intruders. Nevertheless, few studies have investigated the effect of density on resource defence in groups with large asymmetries in competitive ability, as a consequence of, for example, age and/or body size. We used two age classes (i.e. size groups) of stream-living brown trout, Salmo trutta, to investigate this issue. While old (and large) trout are assumed to be superior during interference competition, younger individuals may be both numerically dominant and constitute more than half of the total population biomass. In this experiment, the ability of one yearling to monopolize a concentrated food source was observed at four densities of under-yearlings (zero, two, six and 12) in an indoor seminatural stream. We predicted that the success of defence would decrease with increasing under-yearling density and that the frequency of defence (i.e. aggression) would peak at an intermediate density. As predicted, yearlings made significantly more unsuccessful foraging attempts and adopted darker body coloration at high density of under-yearlings, suggesting increased stress levels. However, in contrast to our second prediction, the number of aggressive interactions increased progressively with density. These novel findings suggest that the cost of defence increases with under-yearling density, probably as a consequence of stress from interference with under-yearlings employing alternative competitive strategies. However, the difference in size seems to enable yearlings to defend the food resource at higher density of competitors than predicted from the resource defence theory. (C) 2009 The Association for the Study of Animal Behaviour. Published by Elsevier Ltd. All rights reserved.</t>
  </si>
  <si>
    <t>Pedersen, Stig/AAY-9708-2021</t>
  </si>
  <si>
    <t>Pedersen, Stig/0000-0002-8759-175X</t>
  </si>
  <si>
    <t>10.1016/j.anbehav.2009.12.025</t>
  </si>
  <si>
    <t>WOS:000274587400025</t>
  </si>
  <si>
    <t>Andrés, JA; Cordero, A</t>
  </si>
  <si>
    <t>The inheritance of female colour morphs in the damselfly Ceriagrion tenellum (Odonata, Coenagrionidae)</t>
  </si>
  <si>
    <t>HEREDITY</t>
  </si>
  <si>
    <t>Female-limited polychromatism is found in many species of Odonata. In Ceriagrion tenellum (Coenagrionidae) one of the morphs is red-coloured, like the conspecific male (androchrome, erythrogastrum morph), whereas most females are red and black (typica morph) or black (melanogastrum morph). Virgin females of this species were mated in the laboratory and their progeny reared (13 crosses). Results of these crosses indicate that colour morphs are controlled by one autosomal locus with female-limited expression. A second laboratory generation (two crosses) confirmed this inheritance system. This locus has three alleles (one per phenotype) and a hierarchy of dominance: typica &gt; melanogastrum &gt; erythrogastrum. The dominance relationships of andro/gynochrome alleles in polymorphic damselflies so far studied are discussed. The frequencies of female morphs in natural populations are highly variable, but in all cases typica females are the commonest.</t>
  </si>
  <si>
    <t>Cordero-Rivera, Adolfo/K-4182-2014</t>
  </si>
  <si>
    <t>0018-067X</t>
  </si>
  <si>
    <t>10.1038/sj.hdy.6884930</t>
  </si>
  <si>
    <t>WOS:000080078300013</t>
  </si>
  <si>
    <t>John, L; Rick, IP; Vitt, S; Thünken, T</t>
  </si>
  <si>
    <t>John, Leonie; Rick, Ingolf P.; Vitt, Simon; Thuenken, Timo</t>
  </si>
  <si>
    <t>Body coloration as a dynamic signal during intrasexual communication in a cichlid fish</t>
  </si>
  <si>
    <t>BMC ZOOLOGY</t>
  </si>
  <si>
    <t>Background Intrasexual competition over access to resources can lead to aggression between individuals. Because overt aggression, i.e. fights, can be costly for contestants, the communication of aggressive motivation prior to engagement in a physical fight is often mediated by conventional signals. Animals of various taxa, including fishes, display visual signals such as body coloration that can dynamically be adjusted depending on the individual's motivation. Male individuals of the West African cichlid Pelvicachromis taeniatus express a yellow body coloration displayed during courtship but also in an intrasexual competition context. Results Within-individual variation in male yellow body coloration, as quantified with standardized digital photography and representation in a CIELab color space, was examined in a mating context by exposing males to a female and in a competitive intrasexual context, i.e. in a dyadic contest. Additionally, spectrometric reflectance measurements were taken to obtain color representations in a physiological color space based on spectral sensitivities of our model species. Exposure to females did not significantly affect male color expression. However, analysis of body coloration revealed a change in within-individual color intensity and colored area after interaction with a male competitor. In dominant males, extension of coloration was positively correlated with restrained aggression, i.e. displays, which in turn explained dominance established between the two contestants. Conclusion Body coloration in male P. taeniatus is a dynamic signal that is used in concert with display behavior in communication during intrasexual competition.</t>
  </si>
  <si>
    <t>Vitt, Simon/0000-0002-5403-8827; John, Leonie/0000-0002-8167-4132</t>
  </si>
  <si>
    <t>2056-3132</t>
  </si>
  <si>
    <t>10.1186/s40850-021-00075-9</t>
  </si>
  <si>
    <t>WOS:000646554600001</t>
  </si>
  <si>
    <t>Rathbun, NA; Grunst, AS; Grunst, ML; Hubbard, JK; Safran, RJ; Gonser, RA; Tuttle, EM</t>
  </si>
  <si>
    <t>Rathbun, Nathan A.; Grunst, Andrea S.; Grunst, Melissa L.; Hubbard, Joanna K.; Safran, Rebecca J.; Gonser, Rusty A.; Tuttle, Elaina M.</t>
  </si>
  <si>
    <t>Quantitative color variation within and across morphs of the polymorphic White-throated Sparrow</t>
  </si>
  <si>
    <t>Coloration has evolved to serve diverse functions, including communication. In species with discrete color polymorphisms, the extent to which color variation exists within morphs and communicates multiple messages often remains unclear. We employed reflectance spectrometry to study variation in coloration in the dimorphic White-throated Sparrow (Zonotrichia albicollis), which exhibits a white'' and tan'' morph in both sexes. We explored whether distinct color traits distinguish between morph and sex classes, and whether color variation exists within classes that might reflect differences in individual quality. Further, we asked whether sexual dichromatism is more pronounced in the white morph, in which males display greater promiscuity and aggression and, thus, may be under stronger sexual selection for conspicuous coloration. Distinct aspects of crown plumage coloration differentiated the two morphs versus the two sexes and multiple types of coloration were associated with a morph, suggesting both multiple and redundant messaging functions of coloration. The brightness of white coloration and yellow carotenoid-based coloration differentiated the morphs, whereas the brightness and saturation of brown to black melanin-based pigmentation differentiated the sexes within morphs. However, coloration also varied considerably within morph and sex classes, potentially reflecting differences in individual quality. Finally, more sexual dichromatism existed within white morph than within tan morph birds. White morph males and females differed in white and yellow coloration, which also differentiated the morphs, and in melanin-based coloration. By contrast, tan morph males and females differed only marginally in coloration, and only in terms of melanin-based coloration. Results suggest that crown coloration is a multifaceted signal, and that selection has acted differently on coloration in both the morphs and the sexes. Our study suggests that multifaceted coloration can play multiple and redundant messaging functions, shows that color variation in polymorphic species can communicate more than morph, and suggests that morph-specific reproductive strategies alter selection on coloration.</t>
  </si>
  <si>
    <t>, andrea.grunst@indstate.edu/S-5992-2019; Grunst, Melissa/ABA-7121-2020; Tuttle, Elaina/A-1485-2016</t>
  </si>
  <si>
    <t>, andrea.grunst@indstate.edu/0000-0001-5705-9845; Tuttle, Elaina/0000-0002-2465-918X; Grunst, Melissa/0000-0002-3425-4020</t>
  </si>
  <si>
    <t>0004-8038</t>
  </si>
  <si>
    <t>10.1642/AUK-14-103.1</t>
  </si>
  <si>
    <t>WOS:000347799300010</t>
  </si>
  <si>
    <t>Williams, LJ; King, AJ; Mettke-Hofmann, C</t>
  </si>
  <si>
    <t>Williams, Leah J.; King, Andrew J.; Mettke-Hofmann, Claudia</t>
  </si>
  <si>
    <t>Colourful characters: head colour reflects personality in a social bird, the Gouldian finch, Erythrura gouldiae</t>
  </si>
  <si>
    <t>Remarkable diversity in behaviour and morphology (phenotypes) are often observed within a species; this diversity can be understood in terms of individuals maximizing their fitness. Based on evidence from studies linking different phenotypes to individual behaviours we hypothesize that discrete colour polymorphism can reflect personality. We tested for such a relationship in a social bird, the Gouldian finch, which shows two major head-colour morphs: red and black. Forty birds of differing head colours were used in five controlled laboratory tests. We found that three of the five tests were repeatable over time, and that bird performance in these tests differed with respect to head colour. Specifically: (1) pairs of red-headed birds were more aggressive than pairs of black-headed birds; (2) black-headed birds approached and touched a novel object quicker than red-headed birds (they were bolder); (3) black-headed birds returned to feed faster following the presentation of a false predator (they were less risk-averse); (4) boldness was positively correlated with risk taking (within the whole sample, within the red-headed birds and trending in the black-headed birds). Together, our results are consistent with our hypothesis that colour polymorphism could be indicative of consistent behavioural differences, and we make a number of predictions about how we expect this to function as a signal in competitive and cooperative (social) contexts. (C) 2012 The Association for the Study of Animal Behaviour. Published by Elsevier Ltd. All rights reserved.</t>
  </si>
  <si>
    <t>King, Andrew J/B-5912-2011</t>
  </si>
  <si>
    <t>Williams, Leah/0000-0001-8004-2187</t>
  </si>
  <si>
    <t>10.1016/j.anbehav.2012.04.025</t>
  </si>
  <si>
    <t>WOS:000305748000020</t>
  </si>
  <si>
    <t>Dijkstra, PD; Hemelrijk, C; Seehausen, O; Groothuis, TGG</t>
  </si>
  <si>
    <t>Dijkstra, Peter D.; Hemelrijk, Charlotte; Seehausen, Ole; Groothuis, Ton G. G.</t>
  </si>
  <si>
    <t>Color polymorphism and intrasexual competition in assemblages of cichlid fish</t>
  </si>
  <si>
    <t>The origin and maintenance of phenotypic polymorphisms is a classical problem in evolutionary ecology. Aggressive male-male competition can be a source of negative frequency-dependent selection stabilizing phenotypic polymorphisms when aggression is biased toward the own morph. We studied experimental assemblages of red and blue color morphs of the Lake Victoria cichlid fish Pundamilia. Aggression was investigated in mixed-color and single-color assemblages. We found that aggression was indeed biased toward males of the same color, which could in theory reduce aggression levels in mixed-color assemblages and promote coexistence. However, previous studies showed high aggression levels in red and dominance of red over blue males in dyadic interactions, which could hinder coexistence. We found that coexistence in mixed-color assemblages reduced the level of aggression in red males but not in blue males. Red and blue males were equally dominant in mixed-color assemblages, suggesting that predictions derived from dyadic interactions may not be valid for an assemblage situation. The results are consistent with field data: the geographic range of red is nested within that of blue, suggesting that red cannot displace blue. Our study suggests that male-male competition may be a significant force for maintaining phenotypic diversity.</t>
  </si>
  <si>
    <t>Seehausen, Ole/C-8272-2011; Hemelrijk, Charlotte/E-4828-2013</t>
  </si>
  <si>
    <t>Seehausen, Ole/0000-0001-6598-1434; Dijkstra, Peter/0000-0001-5382-225X; Hemelrijk, Charlotte/0000-0001-6160-077X</t>
  </si>
  <si>
    <t>JAN-FEB</t>
  </si>
  <si>
    <t>10.1093/beheco/arn125</t>
  </si>
  <si>
    <t>WOS:000262152300018</t>
  </si>
  <si>
    <t>Prayitno, DS; Phillips, CJC; Omed, H</t>
  </si>
  <si>
    <t>The effects of color of lighting on the behavior and production of meat chickens</t>
  </si>
  <si>
    <t>POULTRY SCIENCE</t>
  </si>
  <si>
    <t>Male and female meat chickens were reared for 28 d in blue, green, red, or white Light at 30 1x and the effects on tissue growth and bird behavior recorded. Birds reared in red or white Light were more active, as expressed by greater walking activity in the white light treatment and by greater floor-pecking, wing-stretching, and aggression in the red light treatment. In these two treatments, gut contents and skin and bone weights were reduced. After 28 d, the preference of the birds for blue, red, or green lights was determined, as well as residual effects of rearing color on bird growth. In the first few hours of the test, the birds chose to remain in their rearing color, except that the birds reared in red light quickly showed a preference for blue light. After 1 wk, birds in all treatments showed a preference for blue light, except that the birds reared in blue light showed some preference for a novel color, green. It was concluded that blue or green light is preferable to red or white light for broilers because it keeps the birds calmer and is chosen by the birds themselves.</t>
  </si>
  <si>
    <t>0032-5791</t>
  </si>
  <si>
    <t>10.1093/ps/76.3.452</t>
  </si>
  <si>
    <t>WOS:A1997WM41000005</t>
  </si>
  <si>
    <t>Boerner, M; Krüger, O</t>
  </si>
  <si>
    <t>Boerner, M.; Krueger, O.</t>
  </si>
  <si>
    <t>Aggression and fitness differences between plumage morphs in the common buzzard (Buteo buteo)</t>
  </si>
  <si>
    <t>Genetic plumage polymorphism in birds is increasingly recognized as a potentially important trait influencing birds' life histories. In the common buzzard Buteo buteo, the 3 color morphs vary in lifetime reproductive success (LRS), but the proximate mechanisms leading to these differences are unknown. We first confirmed the stability of the fitness differences found previously, using a greatly extended LRS data set. To find potential causes for these differences, we experimentally studied variation in aggressive behavior of the morphs, both against an interspecific predator and intraspecific competitors. The morphs showed substantial variation in aggressive behavior. Light-colored males were most aggressive toward an interspecific predator, followed by intermediate and dark males. In females, this pattern was reversed, resulting in sex-related differences of aggression in 2 morphs. When defending their territory against intraspecific competitors, no absolute difference in aggression was found, but the morphs reacted strongest toward intruders of a morph similar to their own. This suggests that aggression differs both between and within morphs, leading to a complex pattern on the population level. Coupled with the strong fitness differences, our results suggest that the genetic basis of the polymorphism has far-reaching behavioral consequences.</t>
  </si>
  <si>
    <t>10.1093/beheco/arn132</t>
  </si>
  <si>
    <t>WOS:000262152300024</t>
  </si>
  <si>
    <t>Deepak, CK; Payra, A; Tripathy, B; Chandra, K</t>
  </si>
  <si>
    <t>Deepak, C. K.; Payra, Arajush; Tripathy, Basudev; Chandra, Kailash</t>
  </si>
  <si>
    <t>Observation on rapid physiological color change in Giant tree frog Rhacophorus smaragdinus (Blyth, 1852) from Namdapha Tiger Reserve, Arunachal Pradesh, India</t>
  </si>
  <si>
    <t>HERPETOZOA</t>
  </si>
  <si>
    <t>Many poikilotherms have the ability to change body color for homeostatic regulation, conspecific communication or predator deterrence. Physiological color change is a rapid, reversible mode of color change regulated by neuromuscular or neuroendocrine system and has been observed in several anuran species. Here we report the occurrence of physiological color change in the tree frog Rhacophorus smaragdinus (Blyth, 1852) (Amphibia, Anura, Rhacophoridae) for the first time from Namdapha Tiger Reserve, Arunachal Pradesh, India. Probable proximate causes of the behavior are discussed along with an overview of physiological color change in species of the family Rhacophoridae and nature of color change observed.</t>
  </si>
  <si>
    <t>Payra, Arajush/AAW-5702-2020; CHANDRA, KAILASH/AAU-5395-2020</t>
  </si>
  <si>
    <t>Payra, Arajush/0000-0003-0858-7339; CHANDRA, KAILASH/0000-0001-9076-5442; C K, Deepak/0000-0002-3827-9452</t>
  </si>
  <si>
    <t>1013-4425</t>
  </si>
  <si>
    <t>10.3897/herpetozoa.32.e36023</t>
  </si>
  <si>
    <t>WOS:000471808100016</t>
  </si>
  <si>
    <t>Seaver, CMS; Hurd, PL</t>
  </si>
  <si>
    <t>Seaver, Cheryl M. Sedlak; Hurd, Peter L.</t>
  </si>
  <si>
    <t>Are there consistent behavioral differences between sexes and male color morphs in Pelvicachromis pulcher?</t>
  </si>
  <si>
    <t>Adult sex ratios in the kribensis cichlid (Pelvicachromis pulcher) are influenced by environmental conditions during early development. These environmental sex-determining factors may also organize life-long variation in social behavior within each sex. If this is true, then individual differences in behavior may be, at least in part, expressions of the relative strength of sexual differentiation of that individual. As adults, kribensis males take on one of four alternative color morphs. Males of the yellow morph tend toward breeding monogamously and are produced at higher frequency under female-biasing environmental conditions, while males of the red morph tend more towards breeding polygynously and are produced more frequently by male-biasing early environments. Here we test whether these two alternative kribensis male color morphs show consistent behavioral differences as predicted by an underlying behavioral syndrome of relative feminization to masculinization. We compare these males to females in five different behavioral tests: an aggression assay, an open field exploration task, a novel environment emergence task, and three cerebral lateralization tests. We hypothesize that red males will show more exaggerated sex differences across all behaviors. We find that red males are hypermasculinized as predicted with respect to aggressive behavior and activity levels, but not all behaviors follow this pattern. We find no evidence for a common behavioral syndrome underlying personality traits across females, yellow males and red males. (C) 2017 Elsevier GmbH. All rights reserved.</t>
  </si>
  <si>
    <t>1873-2720</t>
  </si>
  <si>
    <t>10.1016/j.zool.2017.05.002</t>
  </si>
  <si>
    <t>WOS:000404310700015</t>
  </si>
  <si>
    <t>Schultz, TD; Anderson, CN; Symes, LB</t>
  </si>
  <si>
    <t>Schultz, Tom D.; Anderson, Christopher N.; Symes, Laurel B.</t>
  </si>
  <si>
    <t>The conspicuousness of colour cues in male pond damselflies depends on ambient light and visual system</t>
  </si>
  <si>
    <t>The colours of male coenagrionid damselflies have been interpreted by some as intraspecific signals that reduce intrasexual harassment by advertising the unprofitability of pursuing conspecific males as potential mates. As visual cues, male colours should be conspicuous to other males under the specific light environments where males search for females. We tested this prediction by using spectroradiometry and two models of damselfly colour vision to determine the chromatic and achromatic contrast of males from six species of Enallagma damselflies with pond backgrounds under the ambient light conditions when each species was most active. The males of five species were active at the time when their colour was most conspicuous against aquatic vegetation. Three blue species were most active and attained their highest levels of contrast during midday, while species that became active in late afternoon or evening reflected longer wavelengths and increased in brightness contrast under low sun angles. A sixth species, Enallagma pictum, departed from this pattern. We propose that colour may serve as a signal of both sexual and species identity among males. (C) 2008 The Association for the Study of Animal Behaviour. Published by Elsevier Ltd. All rights reserved.</t>
  </si>
  <si>
    <t>Symes, Laurel/I-4329-2019</t>
  </si>
  <si>
    <t>Symes, Laurel/0000-0001-6650-3813</t>
  </si>
  <si>
    <t>10.1016/j.anbehav.2008.04.024</t>
  </si>
  <si>
    <t>WOS:000260118000026</t>
  </si>
  <si>
    <t>Olsson, M; Healey, M; Wilson, M; Tobler, M</t>
  </si>
  <si>
    <t>Olsson, Mats; Healey, Mo; Wilson, Mark; Tobler, Michael</t>
  </si>
  <si>
    <t>Polymorphic male color morphs visualized with steroids in monomorphic females: a tool for designing analysis of sex-limited trait inheritance</t>
  </si>
  <si>
    <t>In diploid animals, males and females share most of the genome (except sex-specific elements, such as sex chromosome genes), yet despite sharing the underlying genes that hard-wire traits, males and females may differ in their phenotypes when traits are controlled by proximate mechanisms, such as hormones. In color polymorphic species where coloration is only expressed in one sex, the design of studies of the inheritance of color and coevolved morph-specific traits (e. g. territorial vs sneaker strategies, skewed energetic investment in territorial defense vs sperm production, etc.) is compromised as the expression of morph-coding genes is only visualized in one sex. Here, we circumvented this problem by first characterizing oxidative stress traits in both sexes and then using testosterone implants in females to expose their otherwise 'silent' coloration. Males of our model species are highly territorial and exhibit morph-specific levels of aggression, whereas females are non-territorial and display very low levels of aggression. Interestingly, reactive oxygen species levels were found to be morph specific regardless of sex, despite considerable differences in lifestyle. Males and females did differ remarkably, however, in superoxide levels depending on whether they sported a colored throat bib or not, a trait also used in male sexual signaling. Females with throat bibs had significantly lower levels of superoxide than females without a bib, which was not the case for males.</t>
  </si>
  <si>
    <t>Olsson, Mats/AAK-5565-2021; Wilson, Mark/B-3254-2018; Tobler, Michael/B-2754-2013</t>
  </si>
  <si>
    <t>Olsson, Mats/0000-0002-4130-1323; Wilson, Mark/0000-0002-9551-7445; Tobler, Michael/0000-0001-5895-6302</t>
  </si>
  <si>
    <t>10.1242/jeb.059352</t>
  </si>
  <si>
    <t>WOS:000300185900006</t>
  </si>
  <si>
    <t>Collins, CE; Houtman, AM</t>
  </si>
  <si>
    <t>Tan and white color morphs of White-throated Sparrows differ in their non-song vocal responses to territorial intrusion</t>
  </si>
  <si>
    <t>CONDOR</t>
  </si>
  <si>
    <t>White-throated Sparrows (Zonotrichia albicollis) occur in two distinct color morphs indicated by the color of the bird's median crown stripe. Tan-striped (TS) and white-striped (WS) sparrows differ in their aggressive behavior, with WS males generally behaving more aggressively than TS males. We measured the number and type of songs and call vocalizations used by TS and WS males in response to simulated territorial intrusion. TS males used significantly more low aggression calls compared to WS males. These results suggest that non-song call vocalizations, in addition to measures of song, may be valuable for future studies of territorial behavior and communication in birds.</t>
  </si>
  <si>
    <t>0010-5422</t>
  </si>
  <si>
    <t>10.2307/1370072</t>
  </si>
  <si>
    <t>WOS:000083884100014</t>
  </si>
  <si>
    <t>FLORY, RK; SMITH, ELP; ELLIS, BB</t>
  </si>
  <si>
    <t>EFFECTS OF 2 RESPONSE-ELIMINATION PROCEDURES ON REINFORCED AND INDUCED AGGRESSION</t>
  </si>
  <si>
    <t>JOURNAL OF THE EXPERIMENTAL ANALYSIS OF BEHAVIOR</t>
  </si>
  <si>
    <t>Pecks against a stuffed pigeon were reinforced according to a fixed-interval schedule for 1 group of pigeons and a variable-interval schedule for a 2nd group. Red and green stimulus lights were alternately illuminated. Subsequently, food deliveries no longer occurred during 1 color (extinction). In the presence of the other color, food was presented only when no attack occurred for 30 s. When the attack produced food, all pigeons generally exhibited characteristic fixed-interval or variable-interval response patterns. Two birds in each group frequently exhibited postreinforcement schedule-induced aggression. Attack was reduced to low levels at approximately the same rate by extinction and differential reinforcement of other behavior. For birds that had previously exhibited schedule-induced aggression, the initial reduction of attack during the 2nd experimental phase was followed by induced attack immediately after food delivery in the differential-reinforcement-of-other-behavior component and upon onset of the extinction component. Either extinction or differential reinforcement of other behavior may eliminate reinforced aggression but may be relatively ineffective for reducing induced attack.</t>
  </si>
  <si>
    <t>0022-5002</t>
  </si>
  <si>
    <t>1938-3711</t>
  </si>
  <si>
    <t>10.1901/jeab.1977.27-5</t>
  </si>
  <si>
    <t>WOS:A1977CV62300001</t>
  </si>
  <si>
    <t>Andersson, M; Åhlund, M</t>
  </si>
  <si>
    <t>Protein fingerprinting:: A new technique reveals extensive conspecific brood parasitism</t>
  </si>
  <si>
    <t>ECOLOGY</t>
  </si>
  <si>
    <t>Conspecific brood parasitism occurs in many birds and some insects, fishes, and amphibians. Here, we develop and test a novel molecular technique for ecological analysis, protein fingerprinting (PF), based on isoelectric focusing electrophoresis (IEF) in immobilized pH gradients. It is applied here to albumen from birds' eggs and permits accurate identification of eggs laid by different females. This technique greatly clarifies female alternative reproductive tactics and laying patterns in brood-parasitic Common Goldeneye ducks Bucephala clangula. A small, nondestructive sample of albumen is taken through a hole drilled through the eggshell, which is then sealed with superglue, preserving egg hatchability. IEF yields a rich pattern of albumen bands with extensive variation among females. Observation and video recording of egg-laying by 21 color-marked females showed that they had unique band patterns, which were fully repeatable within and between years. Brood parasitism occurred in two-thirds (13 of 19) of the video-recorded nests of color-ringed females, with up to five parasitic females per nest. Of 234 eggs, 36% were laid by females other than the incubating host. These results suggest that intraspecific brood parasitism is more common and important than suggested by earlier studies using traditional methods. Protein fingerprinting yields individual resolution similar to that of a DNA multilocus fingerprinting probe, and has several advantages. The albumen band pattern represents only the laying female, not her mate(s), making it easy to determine the maternity of eggs, and to identify a parasite that spreads her eggs among a number of nests. Albumen can be sampled as soon as the egg is laid, before predation or other losses occur, maximizing sample size and minimizing bias. Protein fingerprinting is relatively inexpensive and easy. It is also useful for several purposes other than maternity determination, such as relatedness estimation for categories of individuals.</t>
  </si>
  <si>
    <t>0012-9658</t>
  </si>
  <si>
    <t>1939-9170</t>
  </si>
  <si>
    <t>10.1890/0012-9658(2001)082[1433:PFANTR]2.0.CO;2</t>
  </si>
  <si>
    <t>WOS:000168844200018</t>
  </si>
  <si>
    <t>Yerushalmi, Y; Pener, MP</t>
  </si>
  <si>
    <t>Age-dependent response of adults of a homochrome grasshopper, Oedipoda miniata, to the dark-colour-inducing neurohormone (DCIN) of locusts</t>
  </si>
  <si>
    <t>PHYSIOLOGICAL ENTOMOLOGY</t>
  </si>
  <si>
    <t>The effect of the dark-colour-inducing neurohormone (DCIN = [His(7) ]-corazonin) of locusts was investigated in field-collected young and old adults of the grasshopper, Oedipoda miniata (Pallas) (Orthoptera: Acrididae). This species shows homochromy, but neither green-brown, nor phase-dependent colour polymorphism. By injecting graded doses of synthetic DCIN in 2 muL of olive oil, young adults were tested within a week of their last moult, and old adults 3.5 months later, a few weeks before natural termination of their reproductive summer diapause. Colour changes were followed for 28 days after injection. Darkening of the young adults was considerable, but their response to DCIN is more moderate than that of conspecific nymphs, by exhibiting a higher threshold, slower response and weaker maximal response. Old adults also show a clear effect, but their response is even slower and less marked than the response of the young adults. It is concluded that the response to DCIN decreases from nymphs to young adults and it is further decreasing with ageing of the adults.</t>
  </si>
  <si>
    <t>0307-6962</t>
  </si>
  <si>
    <t>10.1046/j.1365-3032.2002.00283.x</t>
  </si>
  <si>
    <t>WOS:000175861800011</t>
  </si>
  <si>
    <t>Torrezani, CS; Pinho-Neto, CF; Miyai, CA; Sanches, FHC; Barreto, RE</t>
  </si>
  <si>
    <t>Torrezani, Camila Sobral; Pinho-Neto, Candido Ferreira; Miyai, Caio Akira; Carretero Sanches, Fabio Henrique; Barreto, Rodrigo Egydio</t>
  </si>
  <si>
    <t>Structural enrichment reduces aggression in Tilapia rendalli</t>
  </si>
  <si>
    <t>MARINE AND FRESHWATER BEHAVIOUR AND PHYSIOLOGY</t>
  </si>
  <si>
    <t>Environmental enrichment seeks to improve the behavior of captive animals. Few studies have developed enrichment strategies for fish, particularly for use in aquaculture. Environmental enrichment for territorial and aggressive animals has the potential to increase both the amount of defensible resources and the value of a disputed territory which can increase the level of aggression. This study evaluated this hypothesis for the redbreast tilapia, Tilapia rendaIli. We used a short-term approach for evaluation of fish aggressive behavior by recording it for 30min after introduction of a pair of fish into each experimental aquarium. Our main finding was that the latency to start a fight was lower in an enriched environment, but the frequency of attacks was higher in a non-enriched environment (control). Furthermore, we observed clear hierarchical behavior (submissive dark stripes on the body and dominant light-colored bodies without stripes) only in the non-enriched environment. Structural enrichment of the environment for redbreast tilapia leads to decreased aggression and cohabitation without hierarchical dominance.</t>
  </si>
  <si>
    <t>Sanches, Fabio H C/K-3526-2013; Barreto, Rodrigo E/A-3440-2013; Miyai, Caio/J-7498-2013</t>
  </si>
  <si>
    <t>Sanches, Fabio H C/0000-0002-1105-4894; Miyai, Caio/0000-0002-6116-3159</t>
  </si>
  <si>
    <t>1023-6244</t>
  </si>
  <si>
    <t>1029-0362</t>
  </si>
  <si>
    <t>10.1080/10236244.2013.805053</t>
  </si>
  <si>
    <t>WOS:000320570200004</t>
  </si>
  <si>
    <t>Amdekar, MS; Thaker, M</t>
  </si>
  <si>
    <t>Amdekar, Madhura S.; Thaker, Maria</t>
  </si>
  <si>
    <t>Risk of social colours in an agamid lizard: implications for the evolution of dynamic signals</t>
  </si>
  <si>
    <t>The forces of sexual and natural selection are typically invoked to explain variation in colour patterns of animals. Although the benefits of conspicuous colours for social signalling are well documented, evidence for their ecological cost, especially for dynamic colours, remains limited. We examined the riskiness of colour patterns of Psammophilus dorsalis, a species in which males express distinct colour combinations during social interactions. We first measured the conspicuousness of these colour patterns on different substrates based on the visual systems of conspecifics and predators (bird, snake, canid) and then quantified actual predation risk on these patterns using wax/polymer lizard models in the wild. The black and red male state exhibited during courtship was the most conspicuous to all visual systems, while the yellow and orange male aggression state and the brown female colour were least conspicuous. Models bearing the courtship colour pattern experienced the highest predator attacks, irrespective of the substrate they were placed on. Thus, social colours of males are not only conspicuous but also risky. Using physiological colours to shift in and out of conspicuous states may be an effective evolutionary solution to balance social signalling benefits with predation costs.</t>
  </si>
  <si>
    <t>Thaker, Maria/0000-0001-6019-2639; Amdekar, Madhura S/0000-0003-1741-6646</t>
  </si>
  <si>
    <t>10.1098/rsbl.2019.0207</t>
  </si>
  <si>
    <t>WOS:000470116400022</t>
  </si>
  <si>
    <t>Cheroske, AG; Cronin, TW</t>
  </si>
  <si>
    <t>Variation in stomatopod (Gonodactylus smithii) color signal design associated with organismal condition and depth</t>
  </si>
  <si>
    <t>BRAIN BEHAVIOR AND EVOLUTION</t>
  </si>
  <si>
    <t>In interactions, many tropical stomatopod species display conspicuous colored body spots that can communicate information about the sender's state ( e. g., sex, aggressiveness, etc.). Species inhabiting a variety of depths experience large differences in illumination spectrum and intensity due to filtering of light by water and its constituents. Stomatopod spectral sensitivity is known to vary phenotypically with changes in light environment ( associated with depth) that potentially affects the detection of color signals. Animals collected at different depths also have different body coloration. This study examines how spectral differences in colored body spots vary with organismal condition and models the effects of changing body coloration, light environment, and spectral sensitivity on the detection of color signals in a gonodactyloid species, Gonodactylus smithii. Of the seven conspicuous color spots that were measured in G. smithii, three had spectral differences that correlated with sex, aggression, and female reproductive state. A model of color detection in G. smithii indicates that longer-wavelength spectral content was affected most by varying body coloration and light conditions. Most color signals were perceived similarly both by shallow-and by deep-adapted photoreceptor sets over a range of depths ( 1 - 13 m). Eye spot ('meral spot') color detection also was invariant over the same depth range in shallow- and deep-adapted, long-wavelength receptors, but deep-adapted receptors continued to maintain a consistent detection of these spots down to 18 meters. These results suggest that meral spot coloration may have evolved as a constant signal when viewed by conspecifics from various depths. Copyright (C) 2005 S. Karger AG, Basel.</t>
  </si>
  <si>
    <t>0006-8977</t>
  </si>
  <si>
    <t>1421-9743</t>
  </si>
  <si>
    <t>10.1159/000086229</t>
  </si>
  <si>
    <t>WOS:000230679800003</t>
  </si>
  <si>
    <t>KELTIKANGASJARVINEN, L; KEINONEN, M</t>
  </si>
  <si>
    <t>AGGRESSION, SELF-CONFIDENCE, AND CARDIOVASCULAR REACTIONS IN COMPETITIVE PERFORMANCE IN ADOLESCENT BOYS</t>
  </si>
  <si>
    <t>Interactions between suggested risk factors for the development of coronary heart disease (namely aggression, competitive performance, and cardiovascular reactions) were studied in 36 adolescent boys. Different manifestations of aggression were measured using a structured interview, the aggression-impatience factor of the MYTH test, and observation. Self-confidence was assessed by means of an interview. The performance tests used were the Stroop Color Word test and the P-factor test. Cardiovascular reactions were measured using an automatic noninvasive sphygmomanometer with a continuous recording system. Results showed that the significance of aggression in performance or competition cannot be evaluated separately; aggression in itself had an injurious effect on performance, but when combined with high self-confidence it resulted in a high level of performance. High cardiovascular reactivity was related to competitiveness rather than aggression. The results emphasize that before intervention programs for behavioral risk factors of coronary heart disease are planned, there are many questions to answer.</t>
  </si>
  <si>
    <t>10.1002/1098-2337(1988)14:4&lt;245::AID-AB2480140403&gt;3.0.CO;2-I</t>
  </si>
  <si>
    <t>WOS:A1988P800800002</t>
  </si>
  <si>
    <t>Balzarini, V; Taborsky, M; Villa, F; Frommen, JG</t>
  </si>
  <si>
    <t>Balzarini, Valentina; Taborsky, Michael; Villa, Fabienne; Frommen, Joachim G.</t>
  </si>
  <si>
    <t>Computer animations of color markings reveal the function of visual threat signals in Neolamprologus pulcher</t>
  </si>
  <si>
    <t>Visual signals, including changes in coloration and color patterns, are frequently used by animals to convey information. During contests, body coloration and its changes can be used to assess an opponent's state or motivation. Communication of aggressive propensity is particularly important in group-living animals with a stable dominance hierarchy, as the outcome of aggressive interactions determines the social rank of group members. Neolamprologus pulcher is a cooperatively breeding cichlid showing frequent within-group aggression. Both sexes exhibit two vertical black stripes on the operculum that vary naturally in shape and darkness. During frontal threat displays these patterns are actively exposed to the opponent, suggesting a signaling function. To investigate the role of operculum stripes during contests we manipulated their darkness in computer animated pictures of the fish. We recorded the responses in behavior and stripe darkness of test subjects to which these animated pictures were presented. Individuals with initially darker stripes were more aggressive against the animations and showed more operculum threat displays. Operculum stripes of test subjects became darker after exposure to an animation exhibiting a pale operculum than after exposure to a dark operculum animation, highlighting the role of the darkness of this color pattern in opponent assessment. We conclude that ( i) the black stripes on the operculum of N. pulcher are a reliable signal of aggression and dominance, ( ii) these markings play an important role in opponent assessment, and ( iii) 2D computer animations are well suited to elicit biologically meaningful short-term aggressive responses in this widely used model system of social evolution.</t>
  </si>
  <si>
    <t>Taborsky, Michael/F-8420-2013; Frommen, Joachim/D-6802-2013</t>
  </si>
  <si>
    <t>Frommen, Joachim/0000-0002-1752-6944; Balzarini, Valentina/0000-0003-1764-9028</t>
  </si>
  <si>
    <t>10.1093/cz/zow086</t>
  </si>
  <si>
    <t>WOS:000396213400006</t>
  </si>
  <si>
    <t>Stuart-Fox, DM; Johnston, GR</t>
  </si>
  <si>
    <t>Experience overrides colour in lizard contests</t>
  </si>
  <si>
    <t>We examined the role of conspicuous coloration in male-male contests for two species of Australian dragon lizards, Ctenophortis decresii and C. vadnappa, in which conspicuous coloration has a demonstrated predation cost. We conducted contests in which the overall conspicuousness of male coloration was manipulated using paints that matched the spectral reflectance of the lizards, as well as natural (control) contests. There was little evidence for an influence of colour on contest outcome or aggression levels for either species when all experiments were considered. However, we found a significant effect of trial order and experience on contest outcome and aggression levels (the same pair of males was used for both types of contest), despite a 2-3 week interval between contests. When we examined only the first trial between unfamiliar males, we found that male C. vadnappa that had been painted to appear more conspicuous consistently won. Comparison with the natural trials suggests that the aspect of colour manipulation that was responsible for this result was the 'hue' of the throat: males with yellower throats consistently beat males with bluer throats in both natural and painted trials. The difference in coloration of flank markings also predicted the difference in aggression scores between contestants in the natural trials. These results suggest that although colour is important in opponent assessment and in determining contest outcome in C vadnappa, previous agonistic experience can override the effects of colour and have a long-lasting influence on aggressive behaviour.</t>
  </si>
  <si>
    <t>Johnston, Greg R/F-9917-2010; Johnston, Gregory/G-6770-2013</t>
  </si>
  <si>
    <t>10.1163/1568539053778265</t>
  </si>
  <si>
    <t>WOS:000230357500004</t>
  </si>
  <si>
    <t>Hoess, R; Scholl, A</t>
  </si>
  <si>
    <t>Glomeris undulata Koch and G-conspersa Koch are conspecific. -: Enzyme electrophoretic evidence and taxonomical consequences (Diplopoda: Glomeridae)</t>
  </si>
  <si>
    <t>REVUE SUISSE DE ZOOLOGIE</t>
  </si>
  <si>
    <t>Syntopic and allotopic populations of Glomeris undulata and G. conspersa have been investigated with enzyme electrophoresis. There was no evidence for separate gene pools of these taxa. However, G. romana, a species supposed to be closely related to G. undulata and G. conspersa, prooved to be well differentiated based on allozyme data. We therefore conclude that the taxa undulata and conspersa are conspecific. Consequently, G. conspersa C. L. Koch, 1847, is a junior subjective synonym of G. undulata C. L. Koch, 1844 (nov. syn,). An analysis of the colour pattern provides arguments for the discussion why no intermediate forms exist.</t>
  </si>
  <si>
    <t>0035-418X</t>
  </si>
  <si>
    <t>10.5962/bhl.part.80100</t>
  </si>
  <si>
    <t>WOS:000082969900010</t>
  </si>
  <si>
    <t>MOKSNES, A; ROSKAFT, E</t>
  </si>
  <si>
    <t>RESPONSES OF SOME RARE CUCKOO HOSTS TO MIMETIC MODEL CUCKOO EGGS AND TO FOREIGN CONSPECIFIC EGGS</t>
  </si>
  <si>
    <t>Reactions of Willow Warblers Phylloscopus trochilus, Reed Buntings Emberiza schoeniclus, Blackcaps Sylvia atricapilla and Bluethroats Luscinia svecica, towards mimetic model Cuckoo Cuculus canorus eggs were tested by exchanging one of their eggs for a model plastic egg. Reactions of Willow Warblers, Reed Buntings and Bluethroats towards a foreign conspecific egg were also tested. Some Willow Warblers were also tested with Great Tit Parus major eggs. The Willow Warblers, Reed Buntings and Blackcaps rejected mimetic model eggs at a high rate (90-100%), while the Bluethroats showed a lower (but not statistically significant) rejection rate (63%). The Willow Warblers and the Bluethroats accepted conspecific eggs, but the Reed Buntings rejected some of these eggs (3 of 8 trials). Great Tit eggs, which resemble Willow Warbler eggs in colour and pattern but are bigger (although considerably smaller than Cuckoo eggs), were rejected in 5 of 6 trials. The responses of the above species towards mimetic model eggs were similar to those previously reported for non-mimetic eggs. This behaviour pattern is important in providing an explanation for their present status as only rare hosts of the Cuckoo.</t>
  </si>
  <si>
    <t>Røskaft, Eivin/N-7476-2019</t>
  </si>
  <si>
    <t>Røskaft, Eivin/0000-0003-0262-8443</t>
  </si>
  <si>
    <t>JAN-MAR</t>
  </si>
  <si>
    <t>10.2307/3676422</t>
  </si>
  <si>
    <t>WOS:A1992HN98800004</t>
  </si>
  <si>
    <t>Abalos, J; de Lanuza, G; Bartolomé, A; Liehrmann, O; Aubret, F; Font, E</t>
  </si>
  <si>
    <t>Abalos, Javier; de Lanuza, Guillem; Bartolome, Alicia; Liehrmann, Oceane; Aubret, Fabien; Font, Enrique</t>
  </si>
  <si>
    <t>Behavioral threat and appeasement signals take precedence over static colors in lizard contests</t>
  </si>
  <si>
    <t>The interplay between morphological (structures) and behavioral (acts) signals in contest assessment is still poorly understood. During contests, males of the common wall lizard (Podarcis muralis) display both morphological (i.e. static color patches) and behavioral (i.e. raised-body display, foot shakes) traits. We set out to evaluate the role of these putative signals in determining the outcome and intensity of contests by recording agonistic behavior in ten mesocosm enclosures. We find that contests are typically won by males with relatively more black coloration, which are also more aggressive. However, black coloration does not seem to play a role in rival assessment, and behavioral traits are stronger predictors of contest outcome and winner aggression than prior experience, morphology, and coloration. Contest intensity is mainly driven by resource- and self-assessment, with males probably using behavioral threat (raised-body displays) and de-escalation signals (foot shakes) to communicate their willingness to engage/persist in a fight. Our results agree with the view that agonistic signals used during contests are not associated with mutual evaluation of developmentally-fixed attributes, and instead animals monitor each other to ensure that their motivation is matched by their rival. We emphasize the importance of testing the effect of signals on receiver behavior and discuss that social recognition in territorial species may select receivers to neglect potential morphological signals conveying static information on sex, age, or intrinsic quality. Behavioral signals outweigh static color patches in determining the winner of territorial disputes. To understand what limits aggression in wall lizards, we recorded social behavior in 10 experimental enclosures. We found that raised-body displays and foot shakes are better predictors of contest outcome than color patches, possibly because lizards use dynamic threat and de-escalation signals to communicate their motivation to engage/persist in a fight, while coloration conveys more general information about sex, age, and quality.</t>
  </si>
  <si>
    <t>Abalos, Javier/AAQ-8844-2020</t>
  </si>
  <si>
    <t>Abalos, Javier/0000-0001-9357-7420</t>
  </si>
  <si>
    <t>JUL 1</t>
  </si>
  <si>
    <t>arae045</t>
  </si>
  <si>
    <t>10.1093/beheco/arae045</t>
  </si>
  <si>
    <t>WOS:001258741000002</t>
  </si>
  <si>
    <t>Dyson, ML; Perez, DM; Curran, T; McCullough, EL; Backwell, PRY</t>
  </si>
  <si>
    <t>Dyson, M. L.; Perez, D. M.; Curran, T.; McCullough, E. L.; Backwell, P. R. Y.</t>
  </si>
  <si>
    <t>The role of claw color in species recognition and mate choice in a fiddler crab</t>
  </si>
  <si>
    <t>Many animal signals are brightly colored and convey information about species identity as well as information about individual conspecifics. Colorful bird and lizard signals have received much attention, and many studies have related specific spectral properties of these signals to variation in mating success and territory defense. Far less attention has been given to invertebrates even though there are spectacularly colorful species. The enlarged claw of the male banana fiddler crabAustruca mjoebergi, for example, is bright yellow and contrasts vividly against the mudflat substrate. It is used in waving displays to attract females and in male territory defense and combat. Claw color varies among males in the degree of yellowness, ranging very pale yellow to orange. In this study, we examined female responses to claw color variation in two-choice tests using robotic crabs. We found that although females strongly discriminate against colors that fall outside the natural range of intensity, hue, and chroma, they show no consistent preferences for different claw colors within the natural range, and no single component of claw color (hue, chroma, or intensity) independently affected female choices. Using three-choice tests, we also showed that female preferences induce stabilizing selection on male claw color. We conclude that, although claw color is sufficient to facilitate species recognition, it is unlikely to be used in intraspecific mate choice to provide information about male quality. Significance statement Fiddler crabs are often brightly colored, are visually orientated animals, and have a highly complex social system. Despite this, there are few studies that have looked at the role of color in species recognition and mate choice in these animals. In this study, we use robotic crabs with painted claws to determine the role of claw color in species recognition and mate choice in the banana fiddler crab,Austruca mjoebergi. We found that color is important in conspecific mate recognition but the variation among males in claw yellowness is unlikely to be used by females in intraspecific mate choice decisions.</t>
  </si>
  <si>
    <t>M. Perez, Daniela/0000-0002-8560-0368; Curran, Tony/0000-0002-7720-2079; dyson, miranda/0000-0002-9963-354X</t>
  </si>
  <si>
    <t>SEP 4</t>
  </si>
  <si>
    <t>10.1007/s00265-020-02899-w</t>
  </si>
  <si>
    <t>WOS:000565883300001</t>
  </si>
  <si>
    <t>Benítez-Burraco, A; Progovac, L</t>
  </si>
  <si>
    <t>Benitez-Burraco, Antonio; Progovac, Ljiljana</t>
  </si>
  <si>
    <t>Language evolution: examining the link between cross-modality and aggression through the lens of disorders</t>
  </si>
  <si>
    <t>PHILOSOPHICAL TRANSACTIONS OF THE ROYAL SOCIETY B-BIOLOGICAL SCIENCES</t>
  </si>
  <si>
    <t>We demonstrate how two linguistic phenomena, figurative language (implicating cross-modality) and derogatory language (implicating aggression), both demand a precise degree of (dis)inhibition in the same cortico-subcortical brain circuits, in particular cortico-striatal networks, whose connectivity has been significantly enhanced in recent evolution. We examine four cognitive disorders/conditions that exhibit abnormal patterns of (dis)inhibition in these networks: schizophrenia (SZ), autism spectrum disorder (ASD), synaesthesia and Tourette's syndrome (TS), with the goal of understanding why the two phenomena altered reactive aggression and altered cross-modality cluster together in these disorders. Our proposal is that enhanced cross-modality (necessary to support language, in particular metaphoricity) was a result, partly a side-effect, of self-domestication (SD). SD targeted the taming of reactive aggression, but reactive impulses are controlled by the same cortico-subcortical networks that are implicated in cross-modality. We further add that this biological process of SD did not act alone, but was engaged in an intense feedback loop with the cultural emergence of early forms of language/grammar, whose high degree of raw metaphoricity and verbal aggression also contributed to increased brain connectivity and cortical control. Consequently, in conjunction with linguistic expressions serving as approximations/'fossils' of the earliest stages of language, these cognitive disorders/conditions serve as confident proxies of brain changes in language evolution, helping us reconstruct certain crucial aspects of early prehistoric languages and cognition, as well as shed new light on the nature of the disorders. This article is part of the theme issue 'Reconstructing prehistoric languages'.</t>
  </si>
  <si>
    <t>Benítez-Burraco, Antonio/N-3339-2014; Progovac, Ljiljana/ABD-7366-2020</t>
  </si>
  <si>
    <t>Benítez-Burraco, Antonio/0000-0003-4574-5666;</t>
  </si>
  <si>
    <t>0962-8436</t>
  </si>
  <si>
    <t>1471-2970</t>
  </si>
  <si>
    <t>MAY 10</t>
  </si>
  <si>
    <t>10.1098/rstb.2020.0188</t>
  </si>
  <si>
    <t>WOS:000631504800001</t>
  </si>
  <si>
    <t>Hesham, MH; El Shereen, AH; Enas, SN</t>
  </si>
  <si>
    <t>Hesham, M. H.; El Shereen, A-H; Enas, S. N.</t>
  </si>
  <si>
    <t>Impact of different light colors in behavior, welfare parameters and growth performance of Fayoumi broiler chickens strain</t>
  </si>
  <si>
    <t>JOURNAL OF THE HELLENIC VETERINARY MEDICAL SOCIETY</t>
  </si>
  <si>
    <t>Light is considered one of the most managerial factors affecting poultry well-being. Therefore, the current study was conducted to investigate the effects of different light colors in behaviour, welfare and growth performance of Fayoumi chickens. A total of 300 one-day old chicks of Fayoumi broiler breed were weighed and randomly divided into 4 environmentally controlled chambers with different artificial light color (yellow, red, green and blue) until the end of the experimental period (12 weeks); each was divided into five replicate brooders (15 birds for each replicate). A scanning technique was used to report the chicken's behaviors. Moreover, the plumage condition, foot and toe hyperkeratosis, foot and toe lesions (foot pad dermatitis) and growth performance were evaluated. Light colors had significant (P &lt; 0.05) effects of the impose of different light colors in all kinds of behaviour of Fayoumi chickens. It was found that eating frequency was the highest in blue light. Preening, dust bathing and drinking frequencies were the highest in green light. Birds reared in red light were more active, as expressed by greater walking, flying, head movement, litter scratching, body shaking, wing flapping, wing/leg stretching, feather pecking and aggression. While, birds in blue light were calmest, evidenced by more intense sleeping, sitting and idling behaviors. In spite of the fact that the light colors had no significant effect on plumage condition, health status of the foot and toe and growth performance, those parameters were better in birds kept in blue light than other light colors. We conclude that the blue light colour may improve the birds' welfare.</t>
  </si>
  <si>
    <t>1792-2720</t>
  </si>
  <si>
    <t>APR-JUN</t>
  </si>
  <si>
    <t>10.12681/jhvms.18017</t>
  </si>
  <si>
    <t>WOS:000439066300006</t>
  </si>
  <si>
    <t>Owen, RE; Whidden, TL</t>
  </si>
  <si>
    <t>Owen, Robin E.; Whidden, Troy L.</t>
  </si>
  <si>
    <t>Discrimination of the bumble bee species Bombus occidentalis Greene and B. terricola Kirby by morphometric, colour and RAPD variation</t>
  </si>
  <si>
    <t>ZOOTAXA</t>
  </si>
  <si>
    <t>The taxonomic status of B. terricola Kirby and B. occidentalis Greene has long been questioned. However recent COI gene sequence data suggests that B. occidentalis and B. terricola do represent good biological species. In this paper we test the hypothesis that B. terricola and B. occidentalis are conspecific by using independent morphometric and genetic (RAPD) data. For comparison we also analyzed one consubgeneric species, B. moderatus (now B. crytptarum), and one non-consubgeneric species B. (Pyrobombus) perplexus. Discriminant function analysis of wing morphometric data correctly classified over 85% of the specimens of B. occidentalis and B. terricola. Analysis of molecular variance of the RAPD data showed a significant difference (P &lt; 0.0001) between B. occidentalis and B. terricola. Colour variation from laboratory reared colonies of B. occidentalis suggests that probably two gene locus inheritance is likely but that hybridization as the sole basis for the colour variation seen in the nominate taxon B. occidentalis can be excluded. We conclude that B. terricola and B. occidentalis should be regarded as distinct species which have recently diverged, and that they can be distinguished by wing morphometrics and RAPD genotypes. Where they are sympatric (e.g. in Alberta) colour pattern variation is confined to B. occidentalis.</t>
  </si>
  <si>
    <t>1175-5326</t>
  </si>
  <si>
    <t>1175-5334</t>
  </si>
  <si>
    <t>JAN 22</t>
  </si>
  <si>
    <t>10.11646/zootaxa.3608.5.2</t>
  </si>
  <si>
    <t>WOS:000313804500002</t>
  </si>
  <si>
    <t>Sacchi, R; Pupin, F; Gentilli, A; Rubolini, D; Scali, S; Fasola, M; Galeotti, P</t>
  </si>
  <si>
    <t>Sacchi, Roberto; Pupin, Fabio; Gentilli, Augusto; Rubolini, Diego; Scali, Stefano; Fasola, Mauro; Galeotti, Paolo</t>
  </si>
  <si>
    <t>Male-Male Combats in a Polymorphic Lizard: Residency and Size, but not Color, Affect Fighting Rules and Contest Outcome</t>
  </si>
  <si>
    <t>Theoretical models predict that the outcome of dyadic agonistic encounters between males is influenced by resource-holding potential, resource value, and intrinsic aggressiveness of contestants. Moreover, in territorial disputes residents enjoy a further obvious competitive advantage from the residency itself, owing to the intimate familiarity with their territory. Costs of physical combats are, however, dramatically high in many instances. Thus, signals reliably reflecting fighting ability of the opponents could easily evolve in order to reduce these costs. For example, variation in color morph in polymorphic species has been associated with dominance in several case studies. In this study, we staged asymmetric resident-intruder encounters in males of the common wall lizard Podarcis muralis, a species showing three discrete morphs (white, yellow, and red) to investigate the effects of asymmetries in color morph, residency, and size between contestants on the outcome of territorial contests. We collected aggression data by presenting each resident male with three intruders of different color morph, in three consecutive tests conducted in different days, and videotaping their interactions. The results showed that simple rules such as residency and body size differences could determine the outcome of agonistic interactions: residents were more aggressive than intruders, and larger males were competitively superior to smaller males. However, we did not find any effect of color on male aggression or fighting success, suggesting that color polymorphism in this species is not a signal of status or fighting ability in intermale conflicts. Aggr. Behav. 35:274-283, 2009. (C) 2009 Wiley-Liss, Inc.</t>
  </si>
  <si>
    <t>Rubolini, Diego/F-2851-2011; SACCHI, ROBERTO/E-2141-2011</t>
  </si>
  <si>
    <t>Rubolini, Diego/0000-0003-2703-5783; FASOLA, MAURO/0000-0002-7366-5893; SACCHI, ROBERTO/0000-0002-6199-0074</t>
  </si>
  <si>
    <t>10.1002/ab.20305</t>
  </si>
  <si>
    <t>WOS:000265331000006</t>
  </si>
  <si>
    <t>ROWLAND, WJ</t>
  </si>
  <si>
    <t>THE RELATIONSHIPS AMONG NUPTIAL COLORATION, AGGRESSION, AND COURTSHIP OF MALE 3-SPINED STICKLEBACKS, GASTEROSTEUS-ACULEATUS</t>
  </si>
  <si>
    <t>CANADIAN JOURNAL OF ZOOLOGY</t>
  </si>
  <si>
    <t>A method was devised, using several independent judges, to estimate the degree of nuptial coloration of male 3-spined sticklebacks, G. aculeatus. Using the color-state scores that resulted from this technique, territorial males were compared with respect to their coloration level and with respect to their responsiveness to live and dummy stimulus fish. These comparisons show a positive association between color state and responsiveness; brightly colored males tend to court (zigzag) and attack (bite) stimulus fish more vigorously than duller colored males do. The degree to which a male 3-spined stickleback''s nuptial coloration is developed can be used to some extent to predict its responsiveness, with the particular category of response (courtship or aggression) dependent on the stimulus presented. A close association between zigzag and bite frequencies was found, responsive males showing higher levels of both courtship and aggression than less responsive ones. These results are consistent with evidence pertaining to the hormonal control of nuptial coloration, courtship and aggression and to the signal value of nuptial coloration in G. aculeatus.</t>
  </si>
  <si>
    <t>1480-3283</t>
  </si>
  <si>
    <t>10.1139/z84-141</t>
  </si>
  <si>
    <t>WOS:A1984TE15700001</t>
  </si>
  <si>
    <t>de Oliveira, JJ; Silva, PF; Lopes, FD; Luchiari, AC</t>
  </si>
  <si>
    <t>de Oliveira, Jessica Janine; Silva, Priscila Fernandes; Lopes, Fivia de Araujo; Luchiari, Ana Carolina</t>
  </si>
  <si>
    <t>Individual Differences Guide Mate Choice in the Fighting Fish (Betta splendens)</t>
  </si>
  <si>
    <t>Individual differences in behavior are observed in the variety of ways animals respond to environmental challenges, interact in a social group, take risks to access a resource, and so forth. In the present study, we investigated the behavioral reactions of male and female Siamese fighting fish (Betta splendens) in different contexts and how they affect female mate choice. A total of 100 females and 50 males were classified according to boldness, sociability, and aggression, and then female mate choice was observed based on male profile and body color. Our results showed sex-related differences in Siamese fighting fish behavioral profiles: Males exhibited a higher correlation with aggression and females with boldness. Both male and female behavioral profile affected female mate choice. Females preferred bold red and nonaggressive red males. Sex-related differences in behavioral profiles may reflect ecological differences between male and female Siamese fighting fish. Female mate choice could be related to behavioral profiles that indicate better parental care, as male features may influence parental care decisions and the development of offspring behavioral profiles.</t>
  </si>
  <si>
    <t>Lopes, Fívia/KCX-6209-2024; Luchiari, Ana C/O-3206-2013</t>
  </si>
  <si>
    <t>de Araujo Lopes, Fivia/0000-0002-8388-9786; Fernandes Silva, Priscila/0000-0002-6320-2465; Oliveira, Jessica/0000-0003-1294-3893</t>
  </si>
  <si>
    <t>10.1037/com0000267</t>
  </si>
  <si>
    <t>WOS:000699927200011</t>
  </si>
  <si>
    <t>Jones, JA; Boersma, J; Liu, JW; Nason, D; Ketaloya, S; Karubian, J</t>
  </si>
  <si>
    <t>Jones, John Anthony; Boersma, Jordan; Liu, Jiawen; Nason, Doka; Ketaloya, Serena; Karubian, Jordan</t>
  </si>
  <si>
    <t>Female ornamentation does not predict aggression in a tropical songbird</t>
  </si>
  <si>
    <t>Although conflict is often adaptive and necessary to secure limited resources, it is also frequently a costly endeavor. Signals that reliably communicate competitive ability are commonly employed by animals to reduce conflict costs. Both male and female signals have the capacity to serve as honest indicators of competitive ability, but the extent to which this occurs in females has received relatively limited attention. We studied how natural feather coloration and experimentally manipulated plumage ornamentation in female white-shouldered fairywrens (Malurus alboscapulatus moretoni) relates to their aggressive behavior. These fairywrens are a useful study system in that female, but not male coloration varies throughout New Guinea. We tested behavioral responses to simulated rivals both prior to and after plumage manipulation via two distinct behavioral assays: simulated territorial intrusions (where both sexes jointly respond to rival intruders) and mirror image simulation (where females are isolated from their mate). Plumage manipulation treatments had no measurable impact on female aggression during mirror image simulation tests, though aggression did decrease over the course of multiple assays. Similarly, using simulated territorial intrusion assays, we found no difference in female aggression with respect to both natural coloration and manipulation treatment. Finally, our correlative analysis of natural feather color also revealed no detectable relationship. These findings suggest that female white scapular coloration is unlikely to function as a signal of competitive ability in this tropical species with derived female ornamentation and we discuss possible alternative explanations. Significance statement Like their showy male counterparts, female animals may use plumage-based signals to mediate aggressive encounters. Determining if and how signals used in female-female competition may mitigate the costs of agonistic encounters is particularly important, as it is thought to be a key driver of female signal evolution. We used a repeated-measures design and two distinct behavioral assays to explore how both manipulated and natural feather coloration relate to aggression in female white-shouldered fairywrens of Papua New Guinea - a species with female, but not male, plumage polymorphisms. We were unable to detect any differences in aggression with respect to female plumage coloration despite two distinct behavioral assays that mimic distinct social contexts, suggesting that female plumage coloration may function in other contexts or lack a modern signaling function altogether in this system.</t>
  </si>
  <si>
    <t>Karubian, Jordan/A-4364-2015; Liu, Jiawen/AAQ-4168-2020</t>
  </si>
  <si>
    <t>Liu, Jiawen/0000-0002-1733-3501; Jones, John Anthony/0000-0003-2615-1248</t>
  </si>
  <si>
    <t>10.1007/s00265-022-03165-x</t>
  </si>
  <si>
    <t>WOS:000779357300001</t>
  </si>
  <si>
    <t>Colours of stress in male Indian rock agamas predict testosterone levels but not performance</t>
  </si>
  <si>
    <t>Rapid physiological colour change offers dynamic signalling opportunities that can reveal distinct information to receivers in different contexts. Information content in dynamic colours, however, is largely unexplored. In males of the Indian rock agama (Psammophilus dorsalis), stressful events, including male-male agonistic interactions, induce a colour change, wherein the dorsal band turns yellow and the lateral bands turn orange. We aimed to determine whether these pigment-based dynamic colours convey information about individual quality. Using an agamid-specific visual model, we first quantified the chromatic and achromatic contrasts of each colour component displayed by males during handling stress, which induces the maximal response of aggression-typical colours. We then measured baseline testosterone levels, morphology (body mass and size), and performance measures (bite force and sprint speed) of these lizards. Chromatic contrasts of the dorsal yellow and lateral orange bands, individually and relative to each other (internal pair), were negatively correlated with testosterone levels, while the chromatic contrast of the internal pair was positively correlated with body condition. The lack of an association between colour contrasts and both bite force and sprint speed indicate that the conspicuousness of colours expressed during stressful events, such as agonistic interactions, do not reveal male performance ability. Despite our expectations of a positive relationship with testosterone, morphology (body condition), and performance (bite force, sprint speed), we find that for P. dorsalis, the conspicuousness of stress-induced colours provide only some information about individual quality. We speculate that the dynamicity of physiological colours may influence their function as content-containing signals in social interactions.</t>
  </si>
  <si>
    <t>Amdekar, Madhura S/0000-0003-1741-6646; Thaker, Maria/0000-0001-6019-2639</t>
  </si>
  <si>
    <t>10.1016/j.yhbeh.2022.105214</t>
  </si>
  <si>
    <t>JUN 2022</t>
  </si>
  <si>
    <t>WOS:000815736500002</t>
  </si>
  <si>
    <t>Dijkstra, PD; Seehausen, O; Fraterman, RE; Groothuis, TGG</t>
  </si>
  <si>
    <t>Dijkstra, Peter D.; Seehausen, O.; Fraterman, R. E.; Groothuis, Ton G. G.</t>
  </si>
  <si>
    <t>Learned aggression biases in males of Lake Victoria cichlid fish</t>
  </si>
  <si>
    <t>Male-male competition for mating territories can exert negative frequency- dependent selection on a male secondary sexual trait, such as nuptial coloration. This can occur when males bias aggression towards owncoloured competitors, resulting in a fitness advantage for rare phenotypes, thereby promoting the evolution and maintenance of stable colour polymorphisms. It could operate in the extensive radiations of haplochromine cichlid fish in East African lakes. In a previous investigation we studied wild- caught blue and red Pundamilia males from Lake Victoria; males from a location where most resemble blue (referred to as bluish males) biased aggression towards blue stimulus males. In contrast, blue males from a location where blue and red occur sympatrically biased aggression towards red stimulus males. Using lab- bred bluish and blue males, we tested the hypothesis that exclusive experience with blue males (blue treatment) leads to an aggression bias towards blue and that experience with blue and red males (mixed treatment) leads to an aggression bias towards red. Contrary to predictions, blue- treated males did not distinguish between blue and red males, whereas mixed- treated males preferentially attacked blue stimulus males. The data suggest that prior experience can affect aggression biases and that experience with more than one phenotype may be required for the development of biases. Yet, our results cannot explain the direction of differences in specific biases observed in wild- caught males from different populations. (C) 2008 The Association for the Study of Animal Behaviour. Published by Elsevier Ltd. All rights reserved.</t>
  </si>
  <si>
    <t>Seehausen, Ole/0000-0001-6598-1434; Dijkstra, Peter/0000-0001-5382-225X</t>
  </si>
  <si>
    <t>10.1016/j.anbehav.2008.03.013</t>
  </si>
  <si>
    <t>WOS:000258490800015</t>
  </si>
  <si>
    <t>Soudry, O; Kaira, H; Parsa, S; Mendelson, T</t>
  </si>
  <si>
    <t>Soudry, Olivia; Kaira, Hatib; Parsa, Shabnam; Mendelson, Tamra</t>
  </si>
  <si>
    <t>Male rainbow darters (Etheostoma caeruleum) prefer larger conspecific females</t>
  </si>
  <si>
    <t>Female mate choice is a well studied mechanism of sexual selection that can affect the evolution of male secondary sexual traits. However, males also exhibit selective mate choice in some animals, which can affect the evolution of female phenotypes. We tested for evidence of intraspecific male mate choice in the Rainbow Darter (Percidae: Etheostoma caeruleum). Males of numerous darter species have been shown to prefer conspecific over heterospecific females; however, intraspecific preferences in males have not yet been demonstrated in this genus. This study investigated male preference for indicators of female fecundity, specifically female size. We found that male Rainbow Darters prefer larger females, both in dichotomous choice tests, when access between individuals was prevented, and in unrestricted behavioral tests with full access to females. Notably, however, the dichotomous trials were not repeatable; males only displayed a significant preference for larger females in the first dichotomous trial and in the unrestricted trial. We discuss our results in light of experimental methods and the role of male mate choice in sexual selection.</t>
  </si>
  <si>
    <t>10.1016/j.beproc.2019.104013</t>
  </si>
  <si>
    <t>WOS:000519226600012</t>
  </si>
  <si>
    <t>Mertens, S; Gass, P; Palme, R; Hiebl, B; Chourbaji, S</t>
  </si>
  <si>
    <t>Mertens, Sinja; Gass, Peter; Palme, Rupert; Hiebl, Bernhard; Chourbaji, Sabine</t>
  </si>
  <si>
    <t>Effect of a partial cage dividing enrichment on aggression-associated parameters in group-housed male C57BL/6NCrl mice</t>
  </si>
  <si>
    <t>Group-housing is highly important for social animals. Group-housing of male mice in captivity though often leads to aggression with partially disastrous consequences for the animals as well as for the quality of experimental data. In this study we investigated the effect of a novel cross-enrichment, i.e. a colored partial cage divider, which is provided in transparent or black and which is partly separating the cage in four small areas. Group-housed male C57BL/6NCrl mice (three per cage) were maintained under either standard conditions (nestles group) or enriched conditions (nestles + cage divider in black [EB-group] or in transparent [ET-group]) for eight weeks. Several physiological parameters (body weight, blood glucose, stress induced hyperthermia, fecal corticosterone metabolites and organ weights) and behavioral tests (Nest test, Openfield/social Novel-Object, Dark-Light-Box, Hotplate and Resident-Intruder test) were measured/performed to determine enrichment-induced effects. In comparison to nestles- and ET-group animals, EB-mice showed significant increased stress-associated parameters, i.e. in the blood glucose concentration. Furthermore, EB animals seemed to have enhanced emotional stress with a poorer outcome in the nest test and a higher amount of fecal boli at the end of the social Novel-Object test. Additionally, EB-mice behaved more aggressively towards conspecifics after cleaning cages. We conclude that the opacity of the tested partial cage dividers has a huge impact on aggressive behavior and therefore may lead to significant changes in behavioral and physical measures potentially altering research outcomes.</t>
  </si>
  <si>
    <t>Palme, Rupert/A-3499-2008</t>
  </si>
  <si>
    <t>Palme, Rupert/0000-0001-9466-3662; Hiebl, Bernhard/0000-0002-6450-0675</t>
  </si>
  <si>
    <t>10.1016/j.applanim.2020.104939</t>
  </si>
  <si>
    <t>WOS:000524493000008</t>
  </si>
  <si>
    <t>Melèndez-Ackerman, E; Campbell, DR</t>
  </si>
  <si>
    <t>Adaptive significance of flower color and inter-trait correlations in an Ipomopsis hybrid zone</t>
  </si>
  <si>
    <t>Flower color is often viewed as a trait that signals rewards to pollinators, such that the relationship between flower color and plant fitness might result from its association with another trait. We used experimental manipulations of flower color and nectar reward to dissociate the natural character correlations present in a hybrid zone between Ipomopsis aggregata and Ipomopsis tenuituba. Isozyme markers were used to follow the male and female reproductive success of these engineered phenotypes. One field experiment compared fitnesses of I. aggregata plants that varied only in flower color. Plants with flowers painted red received more hummingbird visits and sired more seeds than did plants with flowers painted pink or white to match those of hybrids and I. tenuituba. Our second held experiment compared fitnesses of I. aggregata, I. tenuituba, and hybrid plants in an unmanipulated array and in a second array where all flowers were painted red. In the unmanipulated array, I. aggregata received more hummingbird visits, set more seeds per flower, and sired more seeds per flower. These fitness differences largely disappeared when the color differences were eliminated. The higher male fitness of I. aggregata was due to its very high success at siring seeds on conspecific recipients. On both I. tenuituba and hybrid recipients, hybrid plants sired the most seeds, despite showing lower pollen fertility than I. aggregata in mixed donor pollinations in the greenhouse. Ipomopsis tenuituba had a fitness of only 13% relative to I. aggregata when traits varied naturally, compared to a fitness of 36% for white relative to red flowers when other traits were held constant.</t>
  </si>
  <si>
    <t>Campbell, Diane/A-1653-2012</t>
  </si>
  <si>
    <t>Campbell, Diane/0000-0002-1147-846X</t>
  </si>
  <si>
    <t>10.2307/2411299</t>
  </si>
  <si>
    <t>WOS:000076931100006</t>
  </si>
  <si>
    <t>Ligon, RA</t>
  </si>
  <si>
    <t>Ligon, Russell A.</t>
  </si>
  <si>
    <t>Defeated chameleons darken dynamically during dyadic disputes to decrease danger from dominants</t>
  </si>
  <si>
    <t>Research on intraspecific aggression has typically focused on dominant individuals, but a better understanding of the consequences and mechanisms of agonistic encounters requires a balanced perspective that includes knowledge of subordinate animal behaviors. In contrast to signals of fighting ability, signals of submission are an understudied component of agonistic communication that could provide important insights into the dynamics, function, and evolution of intraspecific competition. Here, I use a series of staged agonistic trials between adult male veiled chameleons Chamaeleo calyptratus to test the hypothesis that rapid skin darkening serves as a submissive signal to resolve agonistic activity. Concordant with this hypothesis, I found that losing chameleons darkened over the course of aggressive trials while winners brightened, and the likelihood of darkening increased when individuals were attacked more aggressively. Additionally, I found that the degree of brightness change exhibited by individual chameleons was tied to both overall and net aggression experienced during a trial, with chameleons who received high levels of aggression relative to their own aggression levels darkening to a greater extent than individuals receiving relatively less aggression. Lastly, I found that aggression increased for losers and winners prior to the onset of darkening by the eventual loser but that both chameleons reduced aggression after the losing chameleon began to darken. Based on the theoretical prediction that signals of submission should be favored when retreat options are restricted, I suggest that limited escapability imposed by chameleon morphology, physiology, and ecology favored the evolution of a pigment-based signal of submission in this group.</t>
  </si>
  <si>
    <t>10.1007/s00265-014-1713-z</t>
  </si>
  <si>
    <t>WOS:000336022700013</t>
  </si>
  <si>
    <t>Yang, YS; Prémel, V; Richards-Zawacki, CL</t>
  </si>
  <si>
    <t>Yang, Yusan; Premel, Vincent; Richards-Zawacki, Corinne L.</t>
  </si>
  <si>
    <t>Prior residence effect determines success of male-male territorial competition in a color polymorphic poison frog</t>
  </si>
  <si>
    <t>Male-male competition shapes resource distributions and reproductive success among individuals, and can drive trait evolution when phenotypes differ in competitive abilities and/or strategies. Divergence of populations, regardless of the cause, is often accompanied by divergence in male competitive ability, and such asymmetries can play an important role in mediating the interactions and evolutionary trajectory of the nascent lineages. Here, we designed a field experiment to examine the importance of color, a divergent trait, in determining territorial contest outcomes in the poison frogOophaga pumilio. Males of differentO. pumiliocolor morphs differ in aggression level, suggesting a potential dominance hierarchy between these divergent phenotypes. In a contact zone between red and blue-color morphs, we first removed territorial males from their calling sites, and examined whether certain color morph(s) were better at establishing in these now-vacant territories. We then staged a territorial contest by simultaneously releasing the original and the new occupant to their point of capture. Surprisingly, we found no significant effect of color on acquiring territories or winning staged contests. However, the original occupants won against the new occupant in 84% of the staged contests, revealing a strong prior residence effect. This suggests that asymmetries that stem from prior residency override coloration in predicting contest outcomes of male-male territorial contests in wildO. pumilio. Thus, contradicting our hypothesis, male-male territorial competition alone seems unlikely to exert selection on coloration in this contact zone.</t>
  </si>
  <si>
    <t>10.1111/eth.13093</t>
  </si>
  <si>
    <t>WOS:000572325900001</t>
  </si>
  <si>
    <t>Obara, Y; Ozawa, G; Fukano, Y; Watanabe, K; Satoh, T</t>
  </si>
  <si>
    <t>Obara, Yoshiaki; Ozawa, Gaku; Fukano, Yuya; Watanabe, Kenta; Satoh, Toshiyuki</t>
  </si>
  <si>
    <t>Mate preference in males of the cabbage butterfly, Pieris rapae crucivora, changes seasonally with the change in female UV color</t>
  </si>
  <si>
    <t>ZOOLOGICAL SCIENCE</t>
  </si>
  <si>
    <t>We initially investigated whether females of the cabbage butterfly, Pieris rapae crucivora, exhibit a seasonal change in ultraviolet wing color, which is a key stimulus for mate recognition by conspecific males, and whether and how a seasonal change affects the mating behavior of the males. We found that female UV wing color changes seasonally, the color being more pronounced in summer than in spring or autumn. We also demonstrated that male mate preference changes seasonally, concomitantly with the change in female UV color. Specifically, males appearing in summer exhibit a mating preference for summer-form females over spring- or autumn-form females, while those appearing in spring or autumn exhibit no seasonal preference, thereby facilitating more effective mate location. Our results suggest that this field of study will require more strictly controlled experimental investigation in which the seasonal change in UV color is considered when UV-influenced mating behaviors such as mate choice are investigated.</t>
  </si>
  <si>
    <t>Satoh, Toshiyuki/C-8374-2013</t>
  </si>
  <si>
    <t>0289-0003</t>
  </si>
  <si>
    <t>10.2108/zsj.25.1</t>
  </si>
  <si>
    <t>WOS:000256943500001</t>
  </si>
  <si>
    <t>Do adult eastern bluebird, Sialia sialis, males recognize juvenile-specific traits?</t>
  </si>
  <si>
    <t>Juveniles of many avian species possess spotted or mottled plumage that is distinct from the plumage of adults. Such plumage has typically been assumed to aid in camouflaging vulnerable immature birds. Here, we propose that spotty plumage signals juvenile status, thereby decreasing aggression from territorial adults. We tested this hypothesis by measuring the aggressive responses of adult eastern bluebird males to different combinations of simultaneously presented taxidermic mounts. We found that territorial males attacked adult models significantly more than juvenile models, and that they attacked adult models with orange breasts (typical of adults) more frequently than they attacked adult models with spotty breasts (typical of juveniles). We found no difference in attack rates when models with white breasts (a novel trait) were presented with models possessing spotty breasts. These observations indicate that breast colour is a cue used by territorial adults when identifying conspecific intruders, but that adults do not recognize juvenile-specific plumage as such. Adults respond aggressively only to orange-breasted intruders. (C) 2009 The Association for the Study of Animal Behaviour. Published by Elsevier Ltd. All rights reserved.</t>
  </si>
  <si>
    <t>10.1016/j.anbehav.2009.01.031</t>
  </si>
  <si>
    <t>WOS:000265283900036</t>
  </si>
  <si>
    <t>Wang, Q</t>
  </si>
  <si>
    <t>Sexual selection of Zorion guttigerum Westwood (Coleoptera: Cerambycidae: Cerambycinae) in relation to body size and color</t>
  </si>
  <si>
    <t>JOURNAL OF INSECT BEHAVIOR</t>
  </si>
  <si>
    <t>Zorion guttigerum is a flower-visiting longhorned beetle endemic to New Zealand. Sexual selection of this species in relation to the body size and color form of different sexes was investigated in the field. The population sex ratio, based on censuses of feeding and mating sites (flowers), is male-biased. Females are significantly larger than males. Both sexes have antennae of similar length but the antennal length relative to the elytral length is greater in males than in females, and the antennal length of males increases more with an increase in body size than that of females. Both sexes have dark blue (DB) and yellowish-brown (YB) individuals. Both pair-bonded and solitary males are similar in elytral and antennal length. In pair-bonded males, DB individuals are significantly more numerous than YB ones, but in solitary males, the number of both color forms is similar. Males tend to have territory protection behavior, fighting with and chasing away rival males from feeding and mating sites. Larger males usually win the fight but the size-dependent fighting advantage does not translate into mating success. Male color plays an important role in mating success, with DB males having a significantly better chance to mate than YB males. Furthermore, male body size and color also have interactions in mating success: males of DB color morph obtain a greater mating advantage according to body size. Pair-bonded females are significantly larger and have longer antennae than solitary females, suggesting that males prefer larger females for mating. In addition, females of DB color morph with longer antennae are also preferred by males for mating. The significance of these findings is discussed.</t>
  </si>
  <si>
    <t>Wang, Qiao/P-3121-2018</t>
  </si>
  <si>
    <t>Wang, Qiao/0000-0001-6494-2097</t>
  </si>
  <si>
    <t>0892-7553</t>
  </si>
  <si>
    <t>1572-8889</t>
  </si>
  <si>
    <t>10.1023/A:1020747907490</t>
  </si>
  <si>
    <t>WOS:000178788900005</t>
  </si>
  <si>
    <t>Hiermes, M; Rick, IP; Mehlis, M; Bakker, TCM</t>
  </si>
  <si>
    <t>Hiermes, Meike; Rick, Ingolf P.; Mehlis, Marion; Bakker, Theo C. M.</t>
  </si>
  <si>
    <t>The dynamics of color signals in male threespine sticklebacks Gasterosteus aculeatus</t>
  </si>
  <si>
    <t>Body coloration and color patterns are ubiquitous throughout the animal kingdom and vary between and within species. Recent studies have dealt with individual dynamics of various aspects of coloration, as it is in many cases a flexible trait and changes in color expression may be context-dependent. During the reproductive phase, temporal changes of coloration in the visible spectral range (400-700 nm) have been shown for many animals but corresponding changes in the ultraviolet (UV) waveband (300-400 nm) have rarely been studied. Threespine stickleback Gasterosteus aculeatus males develop conspicuous orange-red breeding coloration combined with UV reflectance in the cheek region. We investigated dynamics of color patterns including UV throughout a male breeding cycle, as well as short-term changes in coloration in response to a computer-animated rival using reflectance spectrophotometry and visual modeling, to estimate how colors would be perceived by conspecifics. We found the orange-red component of coloration to vary during the breeding cycle with respect to hue (theta/R50) and intensity (achieved chroma/red chroma). Furthermore, color intensity in the orange-red spectral part (achieved chroma) tended to be increased after the presentation of an artificial rival. Dynamic changes in specific measures of hue and intensity in the UV waveband were not found. In general, the orange-red component of the signal seems to be dynamic with respect to color intensity and hue. This accounts in particular for color changes during the breeding cycle, presumably to signal reproductive status, and with limitations as well in the intrasexual context, most likely to signal dominance or inferiority.</t>
  </si>
  <si>
    <t>Rick, Ingolf P/AAP-2531-2020; Bakker, Theo/AAI-3587-2020; Rick, Ingolf P/C-1387-2010</t>
  </si>
  <si>
    <t>Rick, Ingolf P/0000-0001-8072-6933;</t>
  </si>
  <si>
    <t>10.1093/cz/zov009</t>
  </si>
  <si>
    <t>WOS:000374258900004</t>
  </si>
  <si>
    <t>SUMMERS, CH; GREENBERG, N</t>
  </si>
  <si>
    <t>SOMATIC CORRELATES OF ADRENERGIC ACTIVITY DURING AGGRESSION IN THE LIZARD, ANOLIS-CAROLINENSIS</t>
  </si>
  <si>
    <t>Aggressive interactions in Anolis carolinensis result in increased circulating levels of epinephrine (Epi) and norepinephrine (NE) and conspicuous color changes. This activation of the adrenergic component of an acute stress response is externally represented by the darkening of the postorbital eyespot of A. carolinensis. In adult males, this site darkens in response to stressful physical stimulation (trauma, passive restraint) or psychological stimuli, most notably the sight of an aggressively intruding conspecific. Aggressive male A. carolinensis exhibit posterbital eyespot darkening; animals that have a longer latency to expression of this eyespot and those that never show this response were defeated in agonistic interactions. Also, during agonistic interactions, subjects that subsequently win are the first to display eyespot darkening. Plasma catecholamine levels are significantly elevated within 30 sec in both combatants. At 30 sec following the determination of the outcome, winning male lizards have plasma NE levels which are higher than those of losers. Castration, however, significantly increases the latency to eyespot darkening and extends its duration. Testosterone levels may therefore enhance the onset of Epi-mediated eyespot darkening as well as other aspects of the endocrine stress response. Elevated androgen levels and more rapid activation of acute catecholamine response increases the likelihood of becoming socially dominant. (C) 1994 Academic Press, Inc.</t>
  </si>
  <si>
    <t>Summers, Cliff/0000-0002-9051-2696</t>
  </si>
  <si>
    <t>10.1006/hbeh.1994.1003</t>
  </si>
  <si>
    <t>WOS:A1994NG07100003</t>
  </si>
  <si>
    <t>Schröder, R; Linkem, CN; Rivera, JA; Butler, MA</t>
  </si>
  <si>
    <t>Schroeder, Roland; Linkem, Christina N.; Rivera, Julio A.; Butler, Marguerite A.</t>
  </si>
  <si>
    <t>Should I stay or should I go? Perching damselfly use simple colour and size cues to trigger flight</t>
  </si>
  <si>
    <t>How do flying insects correctly respond to visual stimuli in complex natural environments? The spectacular coloration of some orders suggests that colour cues are important. Size may contain useful information as well, but insects are limited in resolving fine spatial detail due to the structure of their compound eyes. Although there have been many studies of experimentally altered body colour and pattern, we know surprisingly little about simple, isolated cues that insects use to take off after objects. Specifically, whether it is colour, size or some combination that triggers pursuit. We presented artificial bead stimuli of varying colours and sizes to perching males of the Hawaiian orangeblack damselfly Megalagrion xanthomelas in their natural forested stream habitat. Damselflies were most vigorously responsive to conspecific colours - attacking red (males) and tracking brown (females). Other colours with lesser biological relevance inspired lower response rates. Interestingly, size strongly modulated responses, whereby attack responses towards the smallest bead sizes transitioned to tracking or avoidance at the larger bead sizes. Although small beads are inherently more difficult to see, they triggered responses from greatest distances, even beyond the calculated stereopsis range of 17.5 cm. Damselflies had an object detection threshold of 0.34 degrees within a high-resolution frontally directed acute zone with an interommatidial angle of 0.82 degrees. We found evidence that size and colour serve as discrimination filters to efficiently identify objects of interest while ignoring visual noise. Simple schemes for object discrimination may help to explain how insects can differentiate among prey and conspecifics, and why multiple species can exist in the same community despite being similar in colour. We discuss implications for visual capabilities, and how visual systems that can readily discriminate size and colour can contribute to extraordinary phenotypic diversity. (C) 2018 The Association for the Study of Animal Behaviour. Published by Elsevier Ltd. All rights reserved.</t>
  </si>
  <si>
    <t>Butler, Marguerite/B-6700-2011</t>
  </si>
  <si>
    <t>Butler, Marguerite/0000-0002-2039-5965</t>
  </si>
  <si>
    <t>10.1016/j.anbehav.2018.08.015</t>
  </si>
  <si>
    <t>WOS:000449696600003</t>
  </si>
  <si>
    <t>Yong, L; Woodall, BE; Pierotti, MER; McKinnon, JS</t>
  </si>
  <si>
    <t>Yong, Lengxob; Woodall, Benjamin E.; Pierotti, Michele E. R.; McKinnon, Jeffrey S.</t>
  </si>
  <si>
    <t>Intrasexual competition and throat color evolution in female three-spined sticklebacks</t>
  </si>
  <si>
    <t>In a stickleback population, in which females have male-like red throats, the redder females are not more aggressive or dominant. But overall, females of this population are more aggressive and dominant than in the ancestral marine form. The absence of a clear relationship between color and agonism contradicts many studies of male animals, and some of females, in which more conspicuously colored individuals are often more aggressive and dominant.Interest in the evolution of female ornaments has been growing but explaining their presence remains a challenge for many animal taxa. Although female ornaments may be sexually selected via male choice, they can also function in female-female competition. Here, we studied a stream-resident population of three-spined sticklebacks (Gasterosteus aculeatus), in which females possess male-typical red throat coloration, and a nearby anadromous population that lacks such coloration and is thought to possess ancestral character states for most traits in this species complex. We asked first whether there were population-level differences in agonism that might be associated with the evolution of female ornaments. We tested if the derived population possessing some red-throated females exhibited relatively higher levels and clearer patterns of within-population aggression and dominance in dyadic trials and more frequent behavioral dominance over individuals of the population lacking red females. Second, to address the relationship between the derived coloration and female-female competition, we tested whether red-throated stream females were more aggressive and dominant toward dull-throated stream females in both dyadic and socially complex contexts. We found that clear dominance was established more often in pairs of stream females, and stream females were more often dominant in stream-anadromous dyads. However, we found no clear evidence that the red throat coloration was directly linked to a female competitive advantage within the stream population, suggesting alternative untested signaling or perhaps nonadaptive functions. Our study represents the first evaluation of the potential relationship between a male-typical nuptial trait and intrasexual competition in female three-spined sticklebacks.</t>
  </si>
  <si>
    <t>Pierotti, Michele E R/E-7563-2011</t>
  </si>
  <si>
    <t>Pierotti, Michele E R/0000-0003-2837-6192; Yong, Lengxob/0000-0002-7459-4863</t>
  </si>
  <si>
    <t>10.1093/beheco/arv037</t>
  </si>
  <si>
    <t>WOS:000358171600013</t>
  </si>
  <si>
    <t>Seehausen, O; Schluter, D</t>
  </si>
  <si>
    <t>Male-male competition and nuptial-colour displacement as a diversifying force in Lake Victoria cichlid fishes</t>
  </si>
  <si>
    <t>We propose a new mechanism for diversification of male nuptial-colour patterns in the rapidly speciating cichlid fishes of Lake Victoria. Sympatric closely related species often display nuptial colours at opposite ends of the spectrum with males either blue or yellow to red. Colour polymorphisms within single populations are common too. We propose that competition between males for breeding sites promotes such colour diversification, and thereby speciation. We hypothesize that male aggression is primarily directed towards males of the common colour, and that rare colour morphs enjoy a negatively frequency-dependent fitness advantage. We test our hypothesis with a large dataset on the distributions and nuptial colorations of 52 species on 47 habitat islands in Lake Victoria, and with a smaller dataset on the within-spawning-site distributions of males with different coloration. We report that territories of males of the same colour are negatively associated on the spawning site, and that the distribution of closely related species over habitat islands is determined by nuptial coloration in the fashion predicted by our hypothesis. Whereas among unrelated species those with similar nuptial colour are positively associated, among closely related species those with similar colour are negatively associated and those with different colour are positively associated. This implies that negatively frequency-dependent selection on nuptial coloration among closely related species is a sufficiently strong force to override other effects on species distributions. We suggest that male-male competition is an important and previously neglected agent of diversification among haplochromine cichlid fishes.</t>
  </si>
  <si>
    <t>Seehausen, Ole/0000-0001-6598-1434; Schluter, Dolph/0000-0003-1683-7836</t>
  </si>
  <si>
    <t>JUL 7</t>
  </si>
  <si>
    <t>10.1098/rspb.2004.2737</t>
  </si>
  <si>
    <t>WOS:000222576500004</t>
  </si>
  <si>
    <t>Barry, KL; White, TE; Rathnayake, DN; Fabricant, SA; Herberstein, ME</t>
  </si>
  <si>
    <t>Barry, Katherine L.; White, Thomas E.; Rathnayake, Darshana N.; Fabricant, Scott A.; Herberstein, Marie E.</t>
  </si>
  <si>
    <t>Sexual signals for the colour-blind: cryptic female mantids signal quality through brightness</t>
  </si>
  <si>
    <t>FUNCTIONAL ECOLOGY</t>
  </si>
  <si>
    <t>Cryptic coloration may evolve in response to selective pressure imposed by predators, yet effective intraspecific communication may require some level of detectability. This creates a tension between the benefits of sexually selected visual traits and the predatory costs imposed by greater conspicuousness, and little is known about how this tension may be ameliorated in highly cryptic species. We explore these competing demands in the false garden mantid Pseudomantis albofimbriata, a colour-blind and seemingly cryptic insect. We use reflectance spectrometry and receptor-noise modelling to characterize the conspicuousness of mantid body regions in the visual systems of mates (mantids), as well as potential predators (birds) and prey (bees). We then use condition manipulation and conspecific choice tests to further explore the colour traits of interest. Based on visual modelling, we find that male mantids are inconspicuous to conspecifics, prey and predators - that is, they are chromatically and achromatically cryptic. In contrast, female mantids are chromatically cryptic to all potential receivers, but their abdomens are achromatically conspicuous. Our food manipulation experiment shows that females in good condition (and therefore with more eggs) have brighter abdomens than females in poor condition. Choice assays show male mantids are consistently attracted to females bearing brighter abdomens. Our results reveal brightness-mediated sexual signalling in a colour-blind and classically cryptic insect. By communicating in the only visual channel available to them, female mantids are conspicuously signalling their quality to mates, while potentially minimizing their conspicuousness to predators and prey. Furthermore, by signalling with only a single body region, female mantids are apparently using coincident disruptive coloration to further decrease detectability to potential eavesdroppers. Our data reveal a novel example of the way in which the trade-off between sexual selection for conspicuousness and natural selection for crypsis may be mediated in a visual signalling system. Such signals may be common in apparently cryptic species, and this study once again demonstrates the importance of analysing visual signals beyond the capacity of human vision.</t>
  </si>
  <si>
    <t>Barry, Katherine L/B-6743-2008; Herberstein, Marie/D-2042-2011; Fabricant, Scott/H-1005-2014</t>
  </si>
  <si>
    <t>Herberstein, Marie/0000-0001-5071-2952; Fabricant, Scott/0000-0003-3080-7895; White, Thomas/0000-0002-3976-1734; Rathnayake, Darshana/0000-0002-4238-6533</t>
  </si>
  <si>
    <t>0269-8463</t>
  </si>
  <si>
    <t>1365-2435</t>
  </si>
  <si>
    <t>10.1111/1365-2435.12363</t>
  </si>
  <si>
    <t>WOS:000353684800011</t>
  </si>
  <si>
    <t>Detection and response to conspecific chemical cues by ornate tree lizards (Urosaurus ornatus)</t>
  </si>
  <si>
    <t>JOURNAL OF HERPETOLOGY</t>
  </si>
  <si>
    <t>Although many lizard species detect and respond to conspecific chemical cues, variation in this ability among populations of the same species from different habitat types is less well understood. We compared chemoreceptive behaviors and head-bobs in response to conspecific chemical cues by Ornate Tree Lizards (Urosaurus ornatus) between populations from an upland forested habitat and a lowland desert habitat. Under this experimental design, U. ornatus from different habitats performed chemoreceptive behaviors and head-bobs at similar rates. Rate of chemoreceptive behaviors and head-bobs in response to chemical cues deposited by same- and opposite-sex conspecifics was higher than that of cues deposited by the subject in their home tank, demonstrating that U. ornatus has the ability to detect cues from conspecifics. Head-bob rate was also higher in same- and opposite-sex tanks compared to home tanks, demonstrating that chemical cues alter the rate of a social display behavior. Urosaurus ornatus exhibited chemosensory behavior at rates similar to rates reported for this species and lower than those reported for other phrynosomatid lizards, suggesting a lower reliance on chemical cues in social interactions.</t>
  </si>
  <si>
    <t>0022-1511</t>
  </si>
  <si>
    <t>1937-2418</t>
  </si>
  <si>
    <t>10.1670/207-04N.1</t>
  </si>
  <si>
    <t>WOS:000232114800022</t>
  </si>
  <si>
    <t>Russell, AL; Newman, CR; Papaj, DR</t>
  </si>
  <si>
    <t>Russell, Avery L.; Newman, China Rae; Papaj, Daniel R.</t>
  </si>
  <si>
    <t>White flowers finish last: pollen-foraging bumble bees show biased learning in a floral color polymorphism</t>
  </si>
  <si>
    <t>Pollinator-driven selection is thought to drive much of the extraordinary diversity of flowering plants. Plants that produce floral traits preferred by particular pollinators are more likely to receive conspecific pollen and to evolve further adaptations to those pollinators that enhance pollination and ultimately generate floral diversity. Two mechanisms in particular, sensory bias and learning, are thought to explain how pollinator preference can contribute to divergence and speciation in flowering plants. While the preferences of pollinators, such as bees, flies, and birds, are frequently implicated in patterns of floral trait evolution, the role of learning in generating reproductive isolation and trait divergence for different floral types within plant populations is not well understood. Floral color polymorphism in particular provides an excellent opportunity to examine how pollinator behavior and learning might maintain the different floral morphs. In this study we asked if bumble bees showed innate preferences for different color morphs of the pollen-only plant Solanum tridynamum, whether bees formed preferences for the morphs with which they had experience collecting pollen from, and the strength of those learned preferences. Using an absolute conditioning protocol, we gave bees experience collecting pollen from a color polymorphic plant species that offered only pollen rewards. Despite initially-na &lt; ve bees showing no apparent innate bias toward human-white versus human-purple flower morphs, we did find evidence of a bias in learning. Specifically, bees learned strong preferences for purple corollas, but learned only weak preferences for hypochromic (human-white) corollas. We discuss how our results might explain patterns of floral display evolution, particularly as they relate to color polymorphisms. Additionally, we propose that the ease with which floral visual traits are learned-i.e., biases in learning-can influence the evolution of floral color as a signal to pollinators.</t>
  </si>
  <si>
    <t>Russell, Avery/0000-0001-8036-2711</t>
  </si>
  <si>
    <t>10.1007/s10682-016-9848-1</t>
  </si>
  <si>
    <t>WOS:000397595600003</t>
  </si>
  <si>
    <t>McGraw, KJ; Medina-Jerez, W; Adams, H</t>
  </si>
  <si>
    <t>McGraw, Kevin J.; Medina-Jerez, William; Adams, Heather</t>
  </si>
  <si>
    <t>Carotenoid-based plumage coloration and aggression during molt in male house finches</t>
  </si>
  <si>
    <t>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</si>
  <si>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10.1163/156853907779947328</t>
  </si>
  <si>
    <t>WOS:000245544800002</t>
  </si>
  <si>
    <t>ROBERTSON, CM</t>
  </si>
  <si>
    <t>ASPECTS OF SEXUAL DISCRIMINATION BY FEMALE SIAMESE FIGHTING FISH (BETTA-SPLENDENS REGAN)</t>
  </si>
  <si>
    <t>The responses of female B. splendens to various stimuli presented behind a transparent partition were recorded. The stimuli comprised live male and female B. splendens, 8 motionless model B. splendens and an empty-tank control. The models consisted of 4 pairs, one member of which had long male-like fins and raised opercula, and the other, short female-like fins and lowered opercula. The 1st pair had lifelike coloring; the other 3 pairs had aggressive, submissive and reproductive colorings, respectively. The responses to live males and females differed primarily in the amounts of agonistic behavior shown to each, and in the color pattern adopted. A principal components analysis was used to analyze the data. Four main possible motivational systems were suggested influencing a female''s response to a conspecific. These were similar to systems suggested for males. They were: a close display response elicited by a female conspecific; a mate-or-flee response to a male conspecific (affecting primarily the color pattern adopted by the female); an overt-aggression response most often elicited by a female conspecific; and a curiosity response indicating interest in a stimulus. The females grouped the live female and live male separately from each other and from all other stimuli. The control was also separated from the model stimuli, which were treated as a single group except for the lifelike and reproductive female models, which were slightly separated from the rest. Females may distinguish 3 classes of conspecific behavior: displaying female, courting male and other. Females may discriminate the sex of conspecifics using only fin length and body pattern cues, but unlike the males, these cues are not the primary ones.</t>
  </si>
  <si>
    <t>10.1163/156853979X00115</t>
  </si>
  <si>
    <t>WOS:A1979HU60900006</t>
  </si>
  <si>
    <t>Pryke, SR; Lawes, MJ; Andersson, S</t>
  </si>
  <si>
    <t>Agonistic carotenoid signalling in male red-collared widowbirds: aggression related to the colour signal of both the territory owner and model intruder</t>
  </si>
  <si>
    <t>Carotenoid colour displays are widely assumed to be honest indicators of individual health or quality, primarily in mate attraction. Here we show that sexually dimorphic carotenoid ornamentation functions as an agonistic signal in male red-collared widowbirds, Euplectes ardens. Mounted mate models differing (within natural limits) in the intensity of carotenoid signalling were presented to wild resident males as simulated intruders, perched or made to 'fly' across the territory with the elongated tail folded or keeled. Perched mounts were generally ignored, and stronger aggression towards 'flying' models with a keeled tail (i.e. as in courtship display) than a folded tail suggests the tail display is used to assess the intention of intruding males. Territory owners were less aggressive towards models with intense collar display, suggesting that carotenoid coloration functions as a badge of status in this species. The level of aggressive response was also related to the resident's own badge in that males with larger, redder collars responded more aggressively to the models. In addition, males with a larger collar signal defended larger territories and spent less time in territory defence. Apart from the collar size and 'redness', no other morphological variable predicted the aggressive response of territorial males. Given the previously demonstrated insignificance of the collar in female mate choice, we suggest that the nuptial carotenoid coloration is an honest signal of dominance or fighting ability, sexually selected through male contest competition over territories. (C) 2001 The Association for the Study of Animal Behaviour.</t>
  </si>
  <si>
    <t>Andersson, Staffan/B-1534-2010; Pryke, Sarah/G-7484-2011; Lawes, Michael J/N-2132-2013</t>
  </si>
  <si>
    <t>Andersson, Staffan/0000-0003-1474-3596; Lawes, Michael J/0000-0002-2381-6147</t>
  </si>
  <si>
    <t>10.1006/anbe.2001.1804</t>
  </si>
  <si>
    <t>WOS:000172189400010</t>
  </si>
  <si>
    <t>Cavallero, L; Morales, CL; Montero-Castao, A; Gowda, JH; Aizen, MA</t>
  </si>
  <si>
    <t>Cavallero, L.; Morales, C. L.; Montero-Castao, A.; Gowda, J. H.; Aizen, M. A.</t>
  </si>
  <si>
    <t>Scale-dependent effects of conspecific flower availability on pollination quantity and quality in an invasive shrub</t>
  </si>
  <si>
    <t>Pollen limitation can strongly influence reproduction of pollinator-dependent plants. Flower abundance can affect pollination 'quantity' and 'quality' due to its influence on pollen availability and foraging patterns of pollinators, ultimately impacting on seed production. We complemented individual-based measurements with landscape-level metrics to assess the influence of conspecific flower availability at different spatial scales on the quantity and quality components of pollination, and their impact on seed production in the invasive shrub Cytisus scoparius. In 2013-2014, we sampled 40 C. scoparius populations in Nahuel Huapi National Park, Patagonia (Argentina). In each population, we estimated the proportion of tripped flowers, fruit- and seed-set in five randomly selected individuals. The proportion of tripped flowers and the proportion of them setting fruit were used as proxies of pollination quantity and quality, respectively. Conspecific flower availability at distinct spatial scales (5-1000 m) was estimated as the area covered by flowering C. scoparius from color aerial photographs. Flower availability influenced seed output due to contrasting scale-dependent effects on pollination quantity and quality. Increasing flower availability at the landscape-scale reduced pollination quantity, whereas at the neighborhood-scale it increased pollination quality. The overall positive effect of flower availability on seed output at the neighborhood scale was slightly higher than the overall negative effect at the landscape scale. Moreover, pollination quality had a higher positive effect on seed output than pollination quantity. Our results demonstrate that pollination quality may severely limit plant reproduction. Pollination quality limitation can act independently of pollination quantity limitation because these factors operate at different spatial scales.</t>
  </si>
  <si>
    <t>Gowda, Juan/ABE-6184-2020; Montero-Castano, Ana/M-8541-2015</t>
  </si>
  <si>
    <t>Gowda, Juan/0000-0001-5481-3793; Cavallero, Laura/0000-0002-7630-003X; Montero-Castano, Ana/0000-0003-2631-0085; Aizen, Marcelo/0000-0001-9079-9749</t>
  </si>
  <si>
    <t>10.1007/s00442-018-4239-7</t>
  </si>
  <si>
    <t>WOS:000445426400015</t>
  </si>
  <si>
    <t>Sanmartín-Villar, I; Cordero-Rivera, A</t>
  </si>
  <si>
    <t>Sanmartin-Villar, I.; Cordero-Rivera, A.</t>
  </si>
  <si>
    <t>Female Colour Polymorphism and Unique Reproductive Behaviour in Polythore Damselflies (Zygoptera: Polythoridae)</t>
  </si>
  <si>
    <t>NEOTROPICAL ENTOMOLOGY</t>
  </si>
  <si>
    <t>We studied Polythore damselflies by mark-recapture techniques in the Jatun Sacha Biological Reserve (Ecuador) for a period of 48 days in October-December 2014. Three species were found: Polythore mutata (MacLachlan) was the commonest species (111 individuals marked), Polythore derivata (MacLachlan) was rare (24 individuals) and Polythore concinna (MacLachlan) occasional (four individuals). In P. mutata, we found two phenotypes amongst females, one of them with a white band on the wings, very similar in colouration to the conspecific male (androchrome), and the other with an amber band (gynochrome). The recapture of marked females indicates that both phenotypes are maintained since emergence to maturation and are not age-related (i.e. polymorphism). Androchromes represent 40% of females observed. The colour of the wing band showed an age-dependent change in size with opposite trends between sexes, increasing in males and decreasing in females. Males and females were observed to return to the same forest locations in different days. Courtships and ovipositions involving androchrome females were not observed. No matings were observed in any morph. In contrast, we recorded two consecutive matings of one female P. derivata. We found that Polythore males grasp the mesothorax of females during mating instead of the prothorax as in other Zygoptera. We discuss the rarity of reproductive behaviour in this genus and how female morphs might be maintained.</t>
  </si>
  <si>
    <t>Cordero-Rivera, Adolfo/K-4182-2014; Sanmartín-Villar, Iago/L-3082-2019</t>
  </si>
  <si>
    <t>Sanmartín-Villar, Iago/0000-0002-5008-7613</t>
  </si>
  <si>
    <t>1519-566X</t>
  </si>
  <si>
    <t>1678-8052</t>
  </si>
  <si>
    <t>10.1007/s13744-016-0417-7</t>
  </si>
  <si>
    <t>WOS:000389000400006</t>
  </si>
  <si>
    <t>Brown, DM; Lattanzio, MS</t>
  </si>
  <si>
    <t>Brown, Dawson M.; Lattanzio, Matthew S.</t>
  </si>
  <si>
    <t>Resource variability and the collapse of a dominance hierarchy in a colour polymorphic species</t>
  </si>
  <si>
    <t>Intraspecific social dominance hierarchies should be influenced by environmental variation; however, in colour polymorphic species, dominance hierarchies are often assumed fixed, and thus insensitive to environmental variability. We ran a series of experiments using the colour polymorphic long-tailed brush lizard (Urosaurus graciosus) to challenge this assumption. We staged contests between orange and yellow morph males over a single heated perch, two perches at the same temperature, or two perches differing in temperature. Our first experiment revealed that orange-throated males are socially dominant. However, this hierarchy collapsed in our other experiments as yellow males became more aggressive. Interestingly, both males only ever secured their own perch where the perches differed in temperature. These findings mirror observations of morph behavioural flexibility in nature and studies of behaviour-environment interactions in non-polymorphic taxa. We conclude that colour morphs may have an underappreciated ability to assess resource-level changes and respond with concomitant flexibility in behaviour.</t>
  </si>
  <si>
    <t>10.1163/1568539X-00003498</t>
  </si>
  <si>
    <t>WOS:000437348800001</t>
  </si>
  <si>
    <t>Saverino, C; Gerlai, R</t>
  </si>
  <si>
    <t>Saverino, Cristina; Gerlai, Robert</t>
  </si>
  <si>
    <t>The social zebrafish: Behavioral responses to conspecific, heterospecific, and computer animated fish</t>
  </si>
  <si>
    <t>Zebrafish has been in the forefront of developmental biology and genetics, but only recently has interest in their behavior increased. Zebrafish are small and prolific, which lends this species to high throughput screening applications. A typical feature of zebrafish is its propensity to aggregate in groups, a behavior known as shoaling. Thus, zebrafish has been proposed as a possible model organism appropriate for the analysis of the genetics of vertebrate social behavior. However, shoaling behavior is not well characterized in zebrafish. Here, using a recently developed software application, we first investigate how zebrafish respond to conspecific and heterospecific fish species that differ in coloration and/or shoaling tendencies. We found that zebrafish shoaled with their own species but not with two heterospecific species, one of which was a shoaling the other a non-shoaling species. In addition, we have started the analysis of visual stimuli that zebrafish may utilize to determine whether to shoal with a fish or not. We systematically modified the color, the location, the pattern, and the body shape of computer animated zebrafish images and presented them to experimental zebrafish. The subjects responded differentially to some of these stimuli showing preference for yellow and avoidance of elongated zebrafish images. Our results suggest that computerized stimulus presentation and automated behavioral quantification of zebrafish responses are feasible, which in turn implies that high throughput forward genetic mutation or drug screening will be possible in the analysis of social behavior with this model organism. (C) 2008 Elsevier B.V. All rights reserved.</t>
  </si>
  <si>
    <t>AUG 5</t>
  </si>
  <si>
    <t>10.1016/j.bbr.2008.03.013</t>
  </si>
  <si>
    <t>WOS:000256786700012</t>
  </si>
  <si>
    <t>Fontana, BD; Meinerz, DL; Rosa, LVC; Mezzomo, NJ; Silveira, A; Giuliani, GS; Quadros, VA; Filho, GLB; Blaser, RE; Rosemberg, DB</t>
  </si>
  <si>
    <t>Fontana, Barbara D.; Meinerz, Daniele L.; Rosa, Luiz Vinicius C.; Mezzomo, Nathana J.; Silveira, Ariane; Giuliani, Giulie S.; Quadros, Vanessa A.; Filho, Gilvan L. B.; Blaser, Rachel E.; Rosemberg, Denis B.</t>
  </si>
  <si>
    <t>Modulatory action of taurine on ethanol-induced aggressive behavior in zebrafish</t>
  </si>
  <si>
    <t>PHARMACOLOGY BIOCHEMISTRY AND BEHAVIOR</t>
  </si>
  <si>
    <t>Alcohol is a potent agent for eliciting aggression in vertebrates. Taurine (TAU) is an amino sulfonic acid with pleiotropic actions on brain function. It is one of the most abundant molecules present in energy drinks frequently used as mixers for alcoholic beverages. However, the combined effects of TAU and ethanol (EtOH) on behavioral parameters such as aggression are poorly understood. Considering that zebrafish is a suitable vertebrate to assess agonistic behaviors using noninvasive protocols, we investigate whether TAU modulates EtOH-induced aggression in zebrafish using the mirror-induced aggression (MIA) test. Since body color can be altered by pharmacological agents and may be indicative of emotional state, we also evaluated the actions of EtOH and TAU on pigment response. Fish were acutely exposed to TAU (42, 150, and 400 mg/L), EtOH (0.25%), or cotreated with both molecules for 1 h and then placed in the test apparatus for 6 min. EtOH, TAU 42, TAU 400, TAU 42/EtOH and TAU 400/EtOH showed increased aggression, while 150 mg/L TAU only increased the latency to attack the mirror. This same concentration also prevented EtOH-induced aggression, suggesting that it antagonizes the effects of acute alcohol exposure. Representative ethograms revealed the existence of different aggressive patterns and our results were confirmed by an index used to estimate aggression in the MIA test. TAU did not alter pigment intensity, while EtOH and all cotreated groups presented a substantial increase in body color. Overall, these data show a biphasic effect of TAU on EtOH-induced aggression of zebrafish, which is not necessarily associated with changes in body color. (C) 2015 Elsevier Inc. All rights reserved.</t>
  </si>
  <si>
    <t>Fontana, Barbara D./AAJ-4606-2021; Rosemberg, Denis B/E-5971-2016; Quadros, Vanessa Andreatta/AAD-1177-2022; Blaser, Rachel/A-3341-2012</t>
  </si>
  <si>
    <t>Fontana, Barbara D./0000-0003-2832-400X; Costa da Rosa, Luiz Vinicius/0000-0002-8357-2367; Mezzomo, Nathana/0000-0001-7855-4343; Quadros, Vanessa/0000-0002-2438-0963; Rosemberg, Denis/0000-0003-2538-8761; Blaser, Rachel/0000-0002-4342-532X</t>
  </si>
  <si>
    <t>0091-3057</t>
  </si>
  <si>
    <t>1873-5177</t>
  </si>
  <si>
    <t>10.1016/j.pbb.2015.11.011</t>
  </si>
  <si>
    <t>WOS:000369466100003</t>
  </si>
  <si>
    <t>Lanser, DM; Vredevoe, LK; Kolluru, GR</t>
  </si>
  <si>
    <t>Lanser, Dylan M.; Vredevoe, Larisa K.; Kolluru, Gita R.</t>
  </si>
  <si>
    <t>Tick parasitism impairs contest behavior in the western fence lizard (Sceloporus occidentalis)</t>
  </si>
  <si>
    <t>Parasites may impair host behavior in ways that reduce host fitness, especially when access to territories or mates becomes disrupted. Western fence lizards (Sceloporus occidentalis) are a key host to western blacklegged ticks (Ixodes pacificus). Males are highly aggressive during the mating season, competing with rivals through displays of color badges, pushups, and other behaviors. We hypothesized that experimental tick infestation diminishes the performance of male western fence lizards in intrasexual contests, via either blood loss, damage to sensory structures, or both. We infested adult males with larval ticks for 7 to 10 days, staged contests between infested and quality-matched control males, and measured their behavior in enclosure arenas. Infested lizards were less aggressive and exhibited decreased hematocrit, compared to non-infested animals. We found no relationships between aggression and either body size or blue ventral badge color traits, for either infested or uninfested males. There was also no effect of tick attachment location and hemoparasite infection on host contest behavior. This is the first demonstration of the impact of I. pacificus parasitism on intraspecific interactions of western fence lizards and suggests that tick infestation has substantial impacts on lizard fitness. Because I. pacificus rely heavily on these lizards for blood meals and dispersal, these impacts could also influence the abundance of ticks and the pathogens they vector. Significance statement Parasitism frequently impairs host behavior. We investigated the effect of blacklegged tick parasitism on western fence lizard contest behavior using a lab-based manipulation experiment. We demonstrated that tick infestation reduced lizard aggressiveness, which may lead to territory loss and reduced mating opportunities in the wild. We found no evidence that host body size or coloration are correlated with aggression. This study adds to a growing body of evidence that tick parasitism is costly for lizards, while demonstrating the usefulness of manipulation experiments to understand host-parasite interactions.</t>
  </si>
  <si>
    <t>10.1007/s00265-021-02980-y</t>
  </si>
  <si>
    <t>WOS:000613234900001</t>
  </si>
  <si>
    <t>Cassey, P; Ewen, JG; Marshall, NJ; Vorobyev, M; Blackburn, TM; Hauber, ME</t>
  </si>
  <si>
    <t>Cassey, Phillip; Ewen, John G.; Marshall, N. Justin; Vorobyev, Misha; Blackburn, Tim M.; Hauber, Mark E.</t>
  </si>
  <si>
    <t>Are avian eggshell colours effective intraspecific communication signals in the Muscicapoidea? A perceptual modelling approach</t>
  </si>
  <si>
    <t>Diversity in the colour and appearance of avian eggshells has been proposed to serve a variety of visual functions, including crypsis from predation, mimicry and discrimination in facultative and obligate brood parasitism, and sexually selected intraspecific signalling of the extent of maternal investment in the egg. Here, we apply a photoreceptor noise-limited colour opponent model of avian perception to assess a necessary corollary of any intraspecific signalling hypothesis, namely that individual birds are able to discriminate between colours of eggs in different conspecific clutches. Clutches from 46 species in the superfamily Muscicapoidea were measured at the Natural History Museum collection in Tring, UK. The results demonstrate that, for these particular species, most eggs are predicted not to be easily discriminable from those in other conspecific clutches in terms of the shells' background coloration. These findings are of fundamental concern to any signalling hypothesis that looks to explain the evolution of avian-visible egg colour polymorphism through selection at the intraspecific level. Importantly, future studies should combine both the proximate mechanisms and the ultimate functions of trait variability when testing hypotheses of the variability in eggshell appearance.</t>
  </si>
  <si>
    <t>Blackburn, Tim M/A-7685-2011; Blackburn, Tim/AAC-3144-2019</t>
  </si>
  <si>
    <t>Blackburn, Tim/0000-0003-0152-2663; Marshall, Justin/0000-0001-9006-6713; Cassey, Phillip/0000-0002-2626-0172</t>
  </si>
  <si>
    <t>10.1111/j.1474-919X.2009.00953.x</t>
  </si>
  <si>
    <t>WOS:000269977000006</t>
  </si>
  <si>
    <t>Yang, EJ; Phelps, SM; Crews, D; Wilczynski, W</t>
  </si>
  <si>
    <t>The effects of social experience on aggressive behavior in the green anole lizard (Anolis carolinensis)</t>
  </si>
  <si>
    <t>To understand how context-specific aggression emerges from past experience, we examined how consecutive aggressive encounters influence aggressive behavior and stress responses of male green anole lizards (Anolis carolinensis). Animals were shown a video clip featuring an aggressively displaying conspecific male, which provoked aggressive responding, while control animals viewed a neutral video. After 5 d of interaction with the videos, both the subject and control groups were presented with a live conspecific. As a non-invasive assay of stress responses, we measured changes in body color and eyespot darkness, two features known to be strongly correlated with titers of stress hormones. Our results demonstrate that experience increased aggression in male anoles, but that increases in aggression to a repeated stimulus were transient. Tests with a novel conspecific indicate that the experienced animals remained aggressive when presented with novel stimuli. Although there were differences in the morphological indicators of the stress response between experimental and control groups during video presentations, there were no differences when presented with novel conspecifics. These data indicate that experience-dependent differences were not mediated by differences in the 'stressfulness' of aggressive interaction, as thought to be the case for animals in chronic subordinate/dominant dyads. We suggest that habituation and reinforcement interact to promote aggressive responding and to restrict it to novel individuals. Such context specificity is a hallmark of natural patterns of aggression in territorial species.</t>
  </si>
  <si>
    <t>10.1046/j.1439-0310.2001.00704.x</t>
  </si>
  <si>
    <t>WOS:000171378500002</t>
  </si>
  <si>
    <t>Dijkstra, PD; Verzijden, MN; Groothuis, TGG; Hofmann, HA</t>
  </si>
  <si>
    <t>Dijkstra, Peter D.; Verzijden, Machteld N.; Groothuis, Ton G. G.; Hofmann, Hans A.</t>
  </si>
  <si>
    <t>Divergent hormonal responses to social competition in closely related species of haplochromine cichlid fish</t>
  </si>
  <si>
    <t>The diverse cichlid species flocks of the East African lakes provide a classical example of adaptive radiation. Territorial aggression is thought to influence the evolution of phenotypic diversity in this system. Most vertebrates mount hormonal (androgen, glucocorticoid) responses to a territorial challenge. These hormones, in turn, influence behavior and multiple aspects of physiology and morphology. Examining variation in competition-induced hormone secretion patterns is thus fundamental to an understanding of the mechanisms of phenotypic diversification. We test here the hypothesis that diversification in male aggression has been accompanied by differentiation in steroid hormone levels. We studied two pairs of sibling species from Lake Victoria belonging to the genera Pundamilia and Mbipia. The two genera are ecologically differentiated, while sibling species pairs differ mainly in male color patterns. We found that aggression directed toward conspecific males varied between species and across genera: Pundamilia nyererei males were more aggressive than Pundamilia pundamilia males, and Mbipia mbipi males were more aggressive than Mbipia lutea males. Males of both genera exhibited comparable attack rates during acute exposure to a novel conspecific intruder, while Mbipia males were more aggressive than Pundamilia males during continuous exposure to a conspecific rival, consistent with the genus difference in feeding ecology. Variation in aggressiveness between genera, but not between sibling species, was reflected in androgen levels. We further found that M. mbipi displayed lower levels of cortisol than M. lutea. Our results suggest that concerted divergence in hormones and behavior might play an important role in the rapid speciation of cichlid fishes. (C) 2012 Elsevier Inc. All rights reserved.</t>
  </si>
  <si>
    <t>Verzijden, Machteld N/F-3754-2011; Hofmann, Hans/E-4538-2016</t>
  </si>
  <si>
    <t>Hofmann, Hans/0000-0002-3335-330X; Dijkstra, Peter/0000-0001-5382-225X; Verzijden, Machteld/0000-0001-8989-8897</t>
  </si>
  <si>
    <t>10.1016/j.yhbeh.2012.01.011</t>
  </si>
  <si>
    <t>WOS:000302763700008</t>
  </si>
  <si>
    <t>Dijkstra, PD; Maguire, SM; Harris, RM; Rodriguez, AA; DeAngelis, RS; Flores, SA; Hofmann, HA</t>
  </si>
  <si>
    <t>Dijkstra, Peter D.; Maguire, Sean M.; Harris, Rayna M.; Rodriguez, Agosto A.; DeAngelis, Ross S.; Flores, Stephanie A.; Hofmann, Hans A.</t>
  </si>
  <si>
    <t>The melanocortin system regulates body pigmentation and social behaviour in a colour polymorphic cichlid fish</t>
  </si>
  <si>
    <t>The melanocortin system is a neuroendocrine system that regulates a range of physiological and behavioural processes. We examined the extent to which the melanocortin system simultaneously regulates colour and behaviour in the cichlid fish Astatotilapia burtoni. We found that yellowmales are more aggressive than blue males, in line with previous studies. We then found that exogenous alpha-melanocyte-stimulating hormone (alpha-MSH) increases yellowness of the body and dispersal of xanthophore pigments in both morphs. However, alpha-MSH had amorph-specific effect on aggression, with only blue males showing an increase in the rate of aggression. Exogenous agouti signalling peptide (ASIP), a melanocortin antagonist, did not affect coloration but reduced the rate of aggression in both colour morphs. Blue males had higher cortisol levels than yellow males. Neural gene expression of melanocortin receptors (mcr) and ligands was not differentially regulated between colour morphs. In the skin, however, mc1r and pro-opiomelanocortin (pomc) b were upregulated in blue males, while asip 1 was upregulated in yellow males. The effects of alpha-MSH on behaviour and body coloration, combinedwithmorph-specific regulation of the stress response and the melanocortin system, suggest that the melanocortin systemcontributes to the polymorphism in behaviour and coloration in A. burtoni.</t>
  </si>
  <si>
    <t>Hofmann, Hans A/E-4538-2016; Harris, Rayna M/B-7091-2015</t>
  </si>
  <si>
    <t>Harris, Rayna M/0000-0002-7943-5650; Dijkstra, Peter/0000-0001-5382-225X</t>
  </si>
  <si>
    <t>MAR 29</t>
  </si>
  <si>
    <t>10.1098/rspb.2016.2838</t>
  </si>
  <si>
    <t>WOS:000397884000018</t>
  </si>
  <si>
    <t>Scaia, MF; Morandini, L; Noguera, CA; Ramallo, MR; Somoza, GM; Pandolfi, M</t>
  </si>
  <si>
    <t>Florencia Scaia, Maria; Morandini, Leonel; Alejandro Noguera, Cristobal; Roberto Ramallo, Martin; Manuel Somoza, Gustavo; Pandolfi, Matias</t>
  </si>
  <si>
    <t>Fighting cichlids: Dynamic of intrasexual aggression in dyadic agonistic encounters</t>
  </si>
  <si>
    <t>Aggression is an extremely complex behaviour and female aggression is understudied when compared to males. Despite the fact that it has been suggested that conflict among females may be more frequently resolved peacefully, in many species females show high levels of aggression. We used Cichlasoma dimerus to describe dynamics and conflict outcome in intrasexual agonistic encounters. We performed encounters of two sex-matched animals in a neutral arena and we recorded agonistic interactions during one hour. All aggressive and submissive behaviours were described and quantified to perform the ethogram. Encounters followed three phases: pre-contest, contest and post-resolution. Latency, time of resolution and frequency of aggressive displays did not differ between sexes. Relative variations in size between female opponents better explained aggression outcome in each contest, since higher levels of aggression occurred in dyads of more similar fish. However, this was not observed in males, suggesting that probably morphological characteristics could be less relevant in male conflict resolution. Altogether these results suggest that in this ethological context, C. dimerus females are as aggressive as males and that they have similar motivation towards territorial aggression, emphasizing the need of deepening the study of aggression in females and not only in males.</t>
  </si>
  <si>
    <t>Pandolfi, Margareth/H-7616-2016; Somoza, Gustavo Manuel/A-1642-2012; Scaia, Maria Florencia/L-2769-2015</t>
  </si>
  <si>
    <t>Somoza, Gustavo Manuel/0000-0002-3638-702X; Scaia, Maria Florencia/0000-0003-4069-5567</t>
  </si>
  <si>
    <t>10.1016/j.beproc.2017.12.015</t>
  </si>
  <si>
    <t>WOS:000423645400009</t>
  </si>
  <si>
    <t>López, P; Martín, J; Cuadrado, M</t>
  </si>
  <si>
    <t>Pheromone-mediated intrasexual aggression in male lizards, Podarcis hispanicus</t>
  </si>
  <si>
    <t>Sex recognition is based on color signals in many species of lizards. However, olfactory stimuli are also clearly involved, and many species might rely primarily on chemoreception. We aimed to examine whether color pattern or odors, or a combination of both factors, induce the aggressive response of males of the lizard P hispanicus. We experimentally manipulated the coloration and odor of male P hispanicus, thereby creating groups with all combinations between coloration and odor of males or females. Using data from staged encounters, we compared the responses of resident males to the experimental groups of manipulated males and their response to unmanipulated individuals (males and females). Responding males reacted significantly more aggressively to intruders with male odors independent of their coloration, whereas intruders with female odors did not elicit aggressive responses but were preferentially courted, irrespective of their actual sex and body coloration. In addition, intruders with female odors elicited a higher number of tongue-flick explorations than male odor ones. Comparisons with unmanipulated male and female intruders agreed with these expectations. Therefore, at least at close range, odoriferous cues seem to be more important than color patterns in sex recognition and intrasexual aggression by male R hispanicus. We suggest that this might be a pattern commoner than expected in many species of reptiles. (C) 2002 Wiley-Liss, Inc.</t>
  </si>
  <si>
    <t>Lopez, Pilar/K-6221-2014; martin, jose/B-1073-2014</t>
  </si>
  <si>
    <t>Lopez, Pilar/0000-0001-6577-1509; martin, jose/0000-0001-6648-3998</t>
  </si>
  <si>
    <t>10.1002/ab.90017</t>
  </si>
  <si>
    <t>WOS:000174435600008</t>
  </si>
  <si>
    <t>Hinojosa, JC; Koubínová, D; Dinca, V; Hernández-Roldán, J; Munguira, ML; García-Barros, E; Vila, M; Alvarez, N; Mutanen, M; Vila, R</t>
  </si>
  <si>
    <t>Hinojosa, Joan C.; Koubinova, Darina; Dinca, Vlad; Hernandez-Roldan, Juan; Munguira, Miguel L.; Garcia-Barros, Enrique; Vila, Marta; Alvarez, Nadir; Mutanen, Marko; Vila, Roger</t>
  </si>
  <si>
    <t>Rapid colour shift by reproductive character displacement in Cupido butterflies</t>
  </si>
  <si>
    <t>Reproductive character displacement occurs when competition for successful breeding imposes a divergent selection on the interacting species, causing a divergence of reproductive traits. Here, we show that a disputed butterfly taxon is actually a case of male wing colour shift, apparently produced by reproductive character displacement. Using double digest restriction-site associated DNA sequencing and mitochondrial DNA sequencing we studied four butterfly taxa of the subgenus Cupido (Lepidoptera: Lycaenidae): Cupido minimus and the taxon carswelli, both characterized by brown males and females, plus C. lorquinii and C. osiris, both with blue males and brown females. Unexpectedly, taxa carswelli and C. lorquinii were close to indistinguishable based on our genomic and mitochondrial data, despite displaying strikingly different male coloration. In addition, we report and analysed a brown male within the C. lorquinii range, which demonstrates that the brown morph occurs at very low frequency in C. lorquinii. Such evidence strongly suggests that carswelli is conspecific with C. lorquinii and represents populations with a fixed male brown colour morph. Considering that these brown populations occur in sympatry with or very close to the blue C. osiris, and that the blue C. lorquinii populations never do, we propose that the taxon carswelli could have lost the blue colour due to reproductive character displacement with C. osiris. Since male colour is important for conspecific recognition during courtship, we hypothesize that the observed colour shift may eventually trigger incipient speciation between blue and brown populations. Male colour seems to be an evolutionarily labile character in the Polyommatinae, and the mechanism described here might be at work in the wide diversification of this subfamily of butterflies.</t>
  </si>
  <si>
    <t>Hernández-Roldán, Juan/G-1399-2016; Dinca, Vlad Eugen/O-3879-2014; Vila, Roger/A-1817-2012; Alvarez, Nadir/AAM-2228-2021; Mutanen, Marko/AFM-8748-2022; García-Barros, Enrique/L-2612-2013; Vila, Marta/F-6118-2016; Koubinova, Darina/M-6157-2013</t>
  </si>
  <si>
    <t>Hernández-Roldán, Juan/0000-0002-6262-1641; Dinca, Vlad Eugen/0000-0003-1791-2148; Vila, Roger/0000-0002-2447-4388; Alvarez, Nadir/0000-0002-0729-166X; García-Barros, Enrique/0000-0003-2804-9626; Vila, Marta/0000-0002-8803-9174; Hinojosa Galisteo, Joan Carles/0000-0002-6318-4252; Koubinova, Darina/0000-0002-1854-7675</t>
  </si>
  <si>
    <t>10.1111/mec.15682</t>
  </si>
  <si>
    <t>NOV 2020</t>
  </si>
  <si>
    <t>WOS:000586619500001</t>
  </si>
  <si>
    <t>Song, C; Wang, L; Lei, T; Qi, X</t>
  </si>
  <si>
    <t>Song, Chao; Wang, Le; Lei, Teng; Qi, Xin</t>
  </si>
  <si>
    <t>New Color-Patterned Species of Microtendipes Kieffer, 1913 (Diptera: Chironomidae) and a Deep Intraspecific Divergence of Species by DNA Barcodes</t>
  </si>
  <si>
    <t>INSECTS</t>
  </si>
  <si>
    <t>Simple Summary Non-biting midges are the most widely distributed, and frequently the most abundant, insect family in freshwater environments. Species delimitation concerning color patterns and the shape or distribution of thorax pigmentation, wing spots, abdomen pigmentation, and leg pigmentation are disputable and unstable in the family. This research focuses on a genus that shares the general appearance of the hypopygium, but with variations in coloration of the antennae, thorax, wings, and legs. In this study, we analyzed collected species along with public sequences, resulting in a preliminary DNA library including 21 morphospecies. DNA barcodes can successfully delimit Microtendipes species and showed deep intraspecific divergence in some species. We also confirmed that color patterns can be important diagnostic characters. As a result of this analysis, five species new to science are identified and described, and an updated key to male adults of known Microtendipes species from China is provided. The genus Microtendipes Kieffer (Diptera: Chironomidae) has a nearly worldwide distribution, comprising more than 60 species, which are further divided into two species groups based on larval stage. However, species delimitation and identification among the adults of this genus are controversial and uncertain. For instance, previous studies have provided many synonymies based on conspecific color pattern variations in Microtendipes species. Here, we used DNA barcode data to address Microtendipes species delimitation as well as to test whether color pattern variations can be diagnostic characters for interspecific identification. The 151 DNA barcodes used, 51 of which were contributed by our laboratory, represent 21 morphospecies. Species with specific color patterns could be accurately separated based on DNA barcodes. Consequently, the color patterns of adult males could be important diagnostic characters. The average intraspecific and interspecific sequence divergences were 2.8% and 12.5%, respectively, and several species exhibited deep intraspecific divergences higher than 5%. Molecular operational taxonomic units (OTUs) ranged from 21 to 73, based on methods including phylogenetic trees, the assemble species by automatic partitioning method, the Poisson tree process (PTP), and the general mixed Yule-coalescent (GMYC) method. As a result of these analyses, five new species were recognized (M. baishanzuensis sp. nov., M. bimaculatus sp. nov., M. nigrithorax sp. nov., M. robustus sp. nov., and M. wuyiensis sp. nov.).</t>
  </si>
  <si>
    <t>Lei, Teng/JEZ-8228-2023</t>
  </si>
  <si>
    <t>Lei, Teng/0000-0003-0201-8119; Song, Chao/0000-0002-8981-2296</t>
  </si>
  <si>
    <t>2075-4450</t>
  </si>
  <si>
    <t>10.3390/insects14030227</t>
  </si>
  <si>
    <t>WOS:000955456800001</t>
  </si>
  <si>
    <t>Dijkstra, PD; Seehausen, O; Groothuis, TGG</t>
  </si>
  <si>
    <t>Dijkstra, Peter D.; Seehausen, Ole; Groothuis, Ton G. G.</t>
  </si>
  <si>
    <t>Intrasexual competition among females and the stabilization of a conspicuous colour polymorphism in a Lake Victoria cichlid fish</t>
  </si>
  <si>
    <t>The maintenance of colour polymorphisms within populations has been a long-standing interest in evolutionary ecology. African cichlid fish contain some of the most striking known cases of this phenomenon. Intrasexual selection can be negative frequency dependent when males bias aggression towards phenotypically similar rivals, stabilizing male colour polymorphisms. We propose that where females are territorial and competitive, aggression biases in females may also promote coexistence of female morphs. We studied a polymorphic population of the cichlid fish Neochromis omnicaeruleus from Lake Victoria, in which three distinct female colour morphs coexist: one plain brown and two blotched morphs. Using simulated intruder choice tests in the laboratory, we show that wild-caught females of each morph bias aggression towards females of their own morph, suggesting that females of all three morphs may have an advantage when their morph is locally the least abundant. This mechanism may contribute to the establishment and stabilization of colour polymorphisms. Next, by crossing the morphs, we generated sisters belonging to different colour morphs. We find no sign of aggression bias in these sisters, making pleiotropy unlikely to explain the association between colour and aggression bias in wild fish, which is maintained in the face of gene flow. We conclude that female-female aggression may be one important force for stabilizing colour polymorphism in cichlid fish.</t>
  </si>
  <si>
    <t>MAR 7</t>
  </si>
  <si>
    <t>10.1098/rspb.2007.1441</t>
  </si>
  <si>
    <t>WOS:000252764800006</t>
  </si>
  <si>
    <t>Amat, M; Manteca, X; Mariotti, VM; de la Torre, JLR; Fatjó, J</t>
  </si>
  <si>
    <t>Amat, Marta; Manteca, Xavier; Mariotti, Valentina M.; Luis Ruiz de la Torre, Jose; Fatjo, Jaume</t>
  </si>
  <si>
    <t>Aggressive behavior in the English cocker spaniel</t>
  </si>
  <si>
    <t>A high percentage of aggression problems and a tendency to display noninhibited aggression in the English cocker spaniel (ECS) have been suggested by many authors. The authors of this paper designed a retrospective study to analyze the aggressive behavior of 145 ECSs presented for aggression problems to the Animal Behavior Service at the Barcelona School of Veterinary Medicine's veterinary teaching hospital. Aggressive ECSs were compared with a population of dogs of the same breed presented for a behavior problem other than aggression and with a population of aggressive dogs of other breeds. The most common forms of aggression in the ECS were owner-directed aggression (67.6%), aggression toward unfamiliar people (18.4%), aggression toward unfamiliar dogs (10.1%), and aggression toward family dogs (3.3%). Owner-directed aggression was more common in the ECS than in other breeds, although in similar contexts. In the ECS, the golden coat color was more common in the aggressive dogs than in nonaggressive dogs. ECSs showed impulsive aggression more frequently than aggressive dogs of other breeds. The aim of the study was to analyze cases of aggressive ECSs seen in a referral practice. (C) 2009 Elsevier Inc. All rights reserved.</t>
  </si>
  <si>
    <t>; Manteca, Xavier/L-7343-2014; Amat, Marta/L-5902-2014</t>
  </si>
  <si>
    <t>Ruiz de la Torre, Jose Luis/0000-0003-2844-8352; Manteca, Xavier/0000-0002-2061-4179; Fatjo, Jaume/0000-0001-6806-2097; Amat, Marta/0000-0002-6017-1341</t>
  </si>
  <si>
    <t>10.1016/j.jveb.2008.08.010</t>
  </si>
  <si>
    <t>WOS:000266574100002</t>
  </si>
  <si>
    <t>Honza, M; Sicha, V; Procházka, P; Lezalová, R</t>
  </si>
  <si>
    <t>Honza, Marcel; Sicha, Vaclav; Prochazka, Petr; Lezalova, Radka</t>
  </si>
  <si>
    <t>Host nest defense against a color-dimorphic brood parasite:: great reed warblers (Acrocephalus arundinaceus) versus common cuckoos (Cuculus canorus)</t>
  </si>
  <si>
    <t>We tested great reed warbler (Acrocephalus arundinaceus) discrimination against two common cuckoo (Cuculus canorus) female color morphs (gray and rufous) in two areas with different parasitism rates and proportions of the two morphs. Hosts recognized the two cuckoo morphs from a control, the feral pigeon (Columba livia), at Apaj, Hungary (where brood parasitism was heavy), whereas no significant differences among the models were recorded at Luzice, Czech Republic (where the parasitism rate was moderate). At Apaj, the hosts discriminated the rufous morph (which is slightly predominant there) better than the gray morph from the control. Between-site comparison (after controlling for background aggression) revealed that great reed warblers were more aggressive towards the rufous morph at Apaj than at Luzice, whereas their responses to the gray morph did not differ, corresponding with much higher between-site difference in the relative abundance of the rufous morph. Our results suggest that both local parasitism pressure and relative abundance of two female color morphs of a brood parasite may significantly influence host nest defenses.</t>
  </si>
  <si>
    <t>Procházka, Petr/A-9727-2008; Piálková, Radka/E-3411-2016; Honza, Marcel/A-1123-2011</t>
  </si>
  <si>
    <t>Procházka, Petr/0000-0001-9385-4547;</t>
  </si>
  <si>
    <t>10.1007/s10336-006-0088-y</t>
  </si>
  <si>
    <t>WOS:000241113000015</t>
  </si>
  <si>
    <t>DUBOST, G</t>
  </si>
  <si>
    <t>BODY COLORATION AND COLOR ALTERNATION AMONG TROPICAL FOREST MAMMALS</t>
  </si>
  <si>
    <t>ZEITSCHRIFT FUR ZOOLOGISCHE SYSTEMATIK UND EVOLUTIONSFORSCHUNG</t>
  </si>
  <si>
    <t>Despite different phylogenetic origins, the mammals of Gabon and Guiana show very similar colour patterns. The coloration is closely correlated with several biological parameters: body weight, diet, and activity rhythm. The less dangerous the living conditions, the more easily perceptible are body colours. Within the same community, the degree of colour convergence between species of similar body size is very low among diurnal carnivores or between they and their prey, that is when interspecific encounters can be dangerous. In contrast, it is higher among diurnal terrestrial frugivores of folivores of similar size, than among those of unequal size. Owing to the few colours available, and to the regular size spacing between species, all species are arranged into narrow unicoloured size strata (indistinct colour or red), regularly alternating along the whole size range. Since most species of similar size are well differentiated from each other by ecology, each solitary animal can be sure that another having both the same size and colour is conspecific. The colour alternation does not exist when it is not useful: nocturnal, arboreal, or flying mammals.</t>
  </si>
  <si>
    <t>0044-3808</t>
  </si>
  <si>
    <t>WOS:A1991FW08800006</t>
  </si>
  <si>
    <t>Sternalski, A; Mougeot, F; Bretagnolle, V</t>
  </si>
  <si>
    <t>Sternalski, Audrey; Mougeot, Francois; Bretagnolle, Vincent</t>
  </si>
  <si>
    <t>Adaptive significance of permanent female mimicry in a bird of prey</t>
  </si>
  <si>
    <t>Permanent female mimicry, in which adult males express a female phenotype, is known only from two bird species. A likely benefit of female mimicry is reduced intrasexual competition, allowing female-like males to access breeding resources while avoiding costly fights with typical territorial males. We tested this hypothesis in a population of marsh harriers Circus aeruginosus in which approximately 40 per cent of sexually mature males exhibit a permanent, i.e. lifelong, female plumage phenotype. Using simulated territorial intrusions, we measured aggressive responses of breeding males towards conspecific decoys of females, female-like males and typical males. We show that aggressive responses varied with both the type of decoys and the type of defending male. Typical males were aggressive towards typical male decoys more than they were towards female-like male decoys; female-like male decoys were attacked at a rate similar to that of female decoys. By contrast, female-like males tolerated male decoys (both typical and female-like) and directed their aggression towards female decoys. Thus, agonistic responses were intrasexual in typical males but intersexual in female-like males, indicating that the latter not only look like females but also behave like them when defending breeding resources. When intrasexual aggression is high, permanent female mimicry is arguably adaptive and could be seen as a permanent 'non-aggression pact' with other males.</t>
  </si>
  <si>
    <t>Mougeot, Francois/Y-9569-2019; Mougeot, Francois/B-1894-2009</t>
  </si>
  <si>
    <t>Mougeot, Francois/0000-0002-5819-6275; Mougeot, Francois/0000-0002-5819-6275</t>
  </si>
  <si>
    <t>10.1098/rsbl.2011.0914</t>
  </si>
  <si>
    <t>WOS:000301304000003</t>
  </si>
  <si>
    <t>VanderWerf, EA; Freed, LA</t>
  </si>
  <si>
    <t>'Elepaio subadult plumages reduce aggression through graded status-signaling, not mimicry</t>
  </si>
  <si>
    <t>JOURNAL OF FIELD ORNITHOLOGY</t>
  </si>
  <si>
    <t>The 'Elepaio (Chasiempis sandwichensis) is a monarch flycatcher endemic to the Hawaiian Islands. Both sexes have a two-year delay in plumage maturation, with distinct first-year and second-year subadult plumages. This study tested hypotheses for the evolution of delayed plumage maturation in 'Elepaio by presenting adult males with models representing different ages and sexes in the breeding and nonbreeding seasons. The subadult plumages of 'Elepaio appeared to serve as honest, graded signals of status that reduced aggression from dominant adults. Both first-year and second-year subadult male models were attacked less than adult male models, and aggression increased linearly with age of male models. Neither subadult plumage appeared to function in sexual mimicry or juvenile mimicry. Second-year male models were attacked more than adult female models; neither subadult plumage resembles adult plumage of the opposite sex. First-year male models, which are juvenile-like, were not attacked more than adult female models, but juvenile mimicry cannot account for the behavior toward second-year male models and is a less parsimonious explanation. Aggression toward models was much higher in the breeding season, and all models were treated similarly in the nonbreeding season, suggesting competition for mates has been the primary selective force shaping the evolution of the 'Elepaio's plumage coloration. Models made from color photocopies can be a useful alternative to museum specimens in behavioral studies of rare species or those in which damage to specimens during model presentation would occur.</t>
  </si>
  <si>
    <t>0273-8570</t>
  </si>
  <si>
    <t>FAL</t>
  </si>
  <si>
    <t>10.1648/0273-8570-74.4.406</t>
  </si>
  <si>
    <t>WOS:000186208600011</t>
  </si>
  <si>
    <t>Pauers, MJ; Grudnowski, JA</t>
  </si>
  <si>
    <t>Pauers, Michael J.; Grudnowski, Jacob A.</t>
  </si>
  <si>
    <t>Female preferences for conspecific males indicate reproductive isolation between sympatric Labeotropheus Ahl from Lake Malawi</t>
  </si>
  <si>
    <t>In sexually reproducing taxa, reproductive isolation is key to speciation. Given the speed with which behavioral reproductive isolation evolves, this form of isolation is of particular importance to rapidly evolving species. Here we examine behavioral reproductive isolation in a sympatric, congeneric pair of rock-dwelling cichlids from Lake Malawi, testing the hypothesis that females should prefer conspecific males. We used a pair of Labeotropheus, L. fuelleborni Ahl and L. trewavasae Fryer, from the Chidunga Rocks in southwestern Lake Malawi, to test this hypothesis, with the prediction that females would approach conspecific males more frequently than they would heterospecific males. When given a choice between a male L. fuelleborni and L. trewavasae, we found that females did approach males of their own species more frequently than males of the opposite species, and that differences in length and the number of eggspots on the anal fin between the stimulus males had no effect on a female's choice. These results are consistent with behavioral reproductive isolation between these sympatric species, and add further support to the hypothesis that sexual selection played a key role in the speciation of cichlid fishes from Lake Malawi.</t>
  </si>
  <si>
    <t>10.1111/eth.13282</t>
  </si>
  <si>
    <t>APR 2022</t>
  </si>
  <si>
    <t>WOS:000781080500001</t>
  </si>
  <si>
    <t>Couldridge, VCK; Alexander, GJ</t>
  </si>
  <si>
    <t>Color patterns and species recognition in four closely related species of Lake Malawi cichlid</t>
  </si>
  <si>
    <t>We examined interspecific female mating preferences in four closely related species of cichlid belonging to the Pseudotropheus zebra species complex of Lake Malawi. These species differ in coloration but are similar in other respects, suggesting that male color patterns may be important to female mate choice in species recognition. To test this hypothesis, we presented females from each species with a choice of four males, one of her own species and three others that were each of a different species. We also gave each female a choice between the three heterospecific males only. In all four species, females showed a significant preference for conspecific males in the four-way choice and chose the male with the most similar color pattern to the conspecific male in the three-way choice. These results are discussed with reference to the theory of sexual selection on color patterns as a means of sympatric speciation in cichlids.</t>
  </si>
  <si>
    <t>Alexander, Graham/0000-0003-3991-4099; Couldridge, Vanessa/0000-0003-1948-6584</t>
  </si>
  <si>
    <t>10.1093/beheco/13.1.59</t>
  </si>
  <si>
    <t>WOS:000173390700008</t>
  </si>
  <si>
    <t>Torices, R; DeSoto, L; Narbona, E; Gómez, JM; Pannell, JR</t>
  </si>
  <si>
    <t>Torices, Ruben; DeSoto, Lucia; Narbona, Eduardo; Gomez, Jose Maria; Pannell, John Richard</t>
  </si>
  <si>
    <t>Effects of the Relatedness of Neighbours on Floral Colour</t>
  </si>
  <si>
    <t>FRONTIERS IN ECOLOGY AND EVOLUTION</t>
  </si>
  <si>
    <t>The reproductive success of plants depends both on their phenotype and the local neighbourhood in which they grow. Animal-pollinated plants may benefit from increased visitation when surrounded by attractive conspecific individuals, via a magnet effect. Group attractiveness is thus potentially a public good that can be exploited by individuals, with selfish exploitation predicted to depend on genetic relatedness within the group. Petal colour is a potentially costly trait involved in floral signalling and advertising to pollinators. Here, we assessed whether petal colour was plastically sensitive to the relatedness of neighbours in the annual herb Moricandia moricandioides, which produces purple petals through anthocyanin pigment accumulation. We also tested whether petal colour intensity was related to nectar volume and sugar content in a context-dependent manner. Although both petal colour and petal anthocyanin concentration did not significantly vary with the neighbourhood configuration, plants growing with kin made a significantly higher investment in petal anthocyanin pigments as a result of the greater number and larger size of their flowers. Moreover the genetic relatedness of neighbours significantly modified the relationship between floral signalling and reward quantity: while focal plants growing with non-kin showed a positive relationship between petal colour and nectar production, plants growing with kin showed a positive relationship between number of flowers and nectar volume, and sugar content. The observed plastic response to group relatedness might have important effects on pollinator behaviour and visitation, with direct and indirect effects on plant reproductive success and mating patterns, at least in those plant species with patchy and genetically structured populations.</t>
  </si>
  <si>
    <t>Torices, Rubén/GOP-2601-2022; Torices, Rubén/B-6346-2009; Narbona, Eduardo/G-5276-2015; Gómez, José M/K-8061-2017; DeSoto, Lucia/B-6196-2009</t>
  </si>
  <si>
    <t>Torices, Rubén/0000-0001-9604-1111; Narbona, Eduardo/0000-0003-1790-6821; Gómez, José M/0000-0002-2487-4664; Pannell, John/0000-0002-0098-7074; DeSoto, Lucia/0000-0002-5814-5865</t>
  </si>
  <si>
    <t>2296-701X</t>
  </si>
  <si>
    <t>APR 15</t>
  </si>
  <si>
    <t>10.3389/fevo.2021.589781</t>
  </si>
  <si>
    <t>WOS:000645123900001</t>
  </si>
  <si>
    <t>LOSOS, JB</t>
  </si>
  <si>
    <t>AN EXPERIMENTAL DEMONSTRATION OF THE SPECIES-RECOGNITION ROLE OF ANOLIS DEWLAP COLOR</t>
  </si>
  <si>
    <t>Inter- and intraspecific encounters were staged in the laboratory between adult males of the sympathetic sibling species Anolis marcanoi and A. cybotes which differ morphologically only in dewlap color. Levels of intraspecific aggression among A. marcanoi were high, but little interspecific aggressive behavior was observed. The importance of dewlap color for species-recognition was assessed by changing versa. A. marcanoi in interspecific encounters between altered individuals exhibited an intermediate level of aggressive behavior. Intraspecific encounters between pairs of A. marcanoi with altered dewlaps revealed no higher level of aggression than the normal interspecific encounters. A system of species-recognition signals is proposed in which lizards examine more obvious signals, such as dewlap color, at greater distances and more subtle signals, such as head-bobbing patterns, at closer distances.</t>
  </si>
  <si>
    <t>DEC 10</t>
  </si>
  <si>
    <t>10.2307/1445240</t>
  </si>
  <si>
    <t>WOS:A1985AXC0800010</t>
  </si>
  <si>
    <t>Koellsch, C; Poulin, R; Salloum, PM</t>
  </si>
  <si>
    <t>Koellsch, Celia; Poulin, Robert; Salloum, Priscila M.</t>
  </si>
  <si>
    <t>Microbial artists: the role of parasite microbiomes in explaining colour polymorphism among amphipods and potential link to host manipulation</t>
  </si>
  <si>
    <t>Parasite infections are increasingly reported to change the microbiome of the parasitized hosts, while parasites bring their own microbes to what can be a multi-dimensional interaction. For instance, a recent hypothesis suggests that the microbial communities harboured by parasites may play a role in the well-documented ability of many parasites to manipulate host phenotype, and explain why the degree to which host phenotype is altered varies among conspecific parasites. Here, we explored whether the microbiomes of both hosts and parasites are associated with variation in host manipulation by parasites. Using colour quantification methods applied to digital images, we investigated colour variation among uninfected Transorchestia serrulata amphipods, as well as amphipods infected with Plagiorhynchus allisonae acanthocephalans and with a dilepidid cestode. We then characterized the bacteriota of amphipod hosts and of their parasites, looking for correlations between host phenotype and the bacterial taxa associated with hosts and parasites. We found large variation in amphipod colours, and weak support for a direct impact of parasites on the colour of their hosts. Conversely, and most interestingly, the parasite's bacteriota was more strongly correlated with colour variation among their amphipod hosts, with potential impact of amphipod-associated bacteria as well. Some bacterial taxa found associated with amphipods and parasites may have the ability to synthesize pigments, and we propose they may interact with colour determination in the amphipods. This study provides correlational support for an association between the parasite's microbiome and the evolution of host manipulation by parasites and host-parasite interactions more generally.</t>
  </si>
  <si>
    <t>Koellsch, Celia/0009-0003-7227-2590; Salloum, Priscila/0000-0001-7725-2263</t>
  </si>
  <si>
    <t>2024 JUL 11</t>
  </si>
  <si>
    <t>10.1093/jeb/voae085</t>
  </si>
  <si>
    <t>WOS:001274409500001</t>
  </si>
  <si>
    <t>Beeching, SC</t>
  </si>
  <si>
    <t>Beeching, Simon C.</t>
  </si>
  <si>
    <t>Investigating the behavioral significance of color pattern in a cichlid fish: firemouths Thorichthys meeki respond differently to color-manipulated video and dummy conspecifics</t>
  </si>
  <si>
    <t>ICHTHYOLOGICAL RESEARCH</t>
  </si>
  <si>
    <t>Red coloration is a conspicuous feature of many visual signals and can function to attract or deter its viewers. Among fishes, red is associated with specialized nuptial, territorial and aposematic (warning) displays. Both sexes of the firemouth cichlid fish Thorichthys meeki develop red ventral coloration at sexual maturity, along with temporally variable black (melanic) elements. Isolated adult firemouth cichlids sequentially presented paired dummy and paired video conspecifics, both with and without red ventral coloration. Subjects interacted more with red-containing stimuli, but with a significant interaction: dummy presentations revealed a strong, positive red bias that video presentations did not. In addition, the melanic color pattern displayed by subjects at the initiation of each trial had a significant effect on subject responsiveness. These results reveal the potential for between-subject differences and experimental design parameters to interact critically in the study of animal color patterns.</t>
  </si>
  <si>
    <t>Beeching, Simon/0000-0002-4568-988X</t>
  </si>
  <si>
    <t>1341-8998</t>
  </si>
  <si>
    <t>1616-3915</t>
  </si>
  <si>
    <t>10.1007/s10228-016-0567-y</t>
  </si>
  <si>
    <t>WOS:000404661100003</t>
  </si>
  <si>
    <t>Yerushalmi, Y; Livshits, L; Pener, MP</t>
  </si>
  <si>
    <t>The dark-colour-inducing neurohormone of locusts in relation to an albino mutant of Schistocerca gregaria</t>
  </si>
  <si>
    <t>In the albino mutant of an Okinawa strain of Locusta migratoria (L.) (Orthoptera: Acrididae), albinism is caused by the absence of the dark-colour-inducing neurohormone (DCIN), which is present in the corpora cardiaca (CC) of normally coloured phenotypes. This study tests whether the absence of DCIN is responsible for albinism in an albino mutant of another locust, Schistocerca gregaria (Forsk.) (Orthoptera: Acrididae). This seemed feasible because a single Mendelian unit controls albinism in both species. However, implantation of CC, or injection of an extract of CC, from albino donors of S. gregaria, induce dark coloration in crowded nymph recipients of the Okinawa albino mutant of L. migratoria, as effectively as do implanted CC, or injections of extract of CC, from normal phenotype donors of S. gregaria. Therefore, DCIN is present in the albino mutant of S. gregaria, and consequently, the albinism in this mutant is not caused by its absence. Implantation of CC, or injection of extracts of CC, from albino donors of S. gregaria to conspecific albino nymphs does not induce darkening. Only extremely high doses of synthetic DCIN injected into albino nymphs of S. gregaria are effective, inducing some darkening. The dose to induce such darkening in albino nymphs of S. gregaria is 50 nmol, approximate to 5 X 10(6) times higher than that (10 femtomol) needed to induce equivalent darkening in nymphs of the Okinawa albinos of L. migratoria. The results are discussed and some possible explanations of the observed effects outlined.</t>
  </si>
  <si>
    <t>10.1046/j.1365-3032.2000.00174.x</t>
  </si>
  <si>
    <t>WOS:000087985900004</t>
  </si>
  <si>
    <t>Wang, LW; Yang, CC; Hsu, YC; Antonov, A; Moksnes, A; Roskaft, E; Liang, W; Stokke, BG</t>
  </si>
  <si>
    <t>Wang, Longwu; Yang, Canchao; Hsu, Yu-Cheng; Antonov, Anton; Moksnes, Arne; Roskaft, Eivin; Liang, Wei; Stokke, Bard Gunnar</t>
  </si>
  <si>
    <t>Increase of clutch size triggers clutch destruction behaviour in common moorhens (Gallinula chloropus) during the incubation period</t>
  </si>
  <si>
    <t>Conspecific brood parasitism (CBP) is common in a variety of animal taxa, including birds. In coots (Fulica spp.), and the closely related moorhens (Gallinula spp.), such parasitism is especially common, and hosts experience considerable costs through increased chick competition soon after hatching. Hence, these birds have evolved egg recognition and rejection abilities, e.g., egg counting, burying the foreign eggs, assigning them suboptimal positions within the mixed clutch, or deserting parasitized clutches. For common moorhens (Gallinula chloropus) it has been shown that desertion of parasitized nests pays most at the early egg laying stage. Later on, the costs of desertion exceed the costs of brood parasitism and acceptance is favoured. Here we tested moorhen egg discrimination behaviour during the incubation stage when acceptance of foreign eggs is expected. Four treatments were applied: (1) single added non-mimetic pale blue egg, (2) single added non-mimetic white chicken egg, (3) four foreign conspecific eggs added to the clutch and (4) four foreign conspecific eggs exchanged for four host eggs. Moorhens responded by egg destruction (47%) only to the increased clutch size but not to foreign egg colour and size match. In three nests where egg destruction occurred, all the eggs in the mixed clutch were destroyed by pecking, in two other nests one of the foreign eggs were pecked, while two other nests were deserted. These results are puzzling since moorhens have been shown to possess refined egg recognition abilities. To our knowledge, such destruction of parasitized clutches by moorhens during incubation has not previously been reported. We suggest that after clutch completion, moorhens use increase in clutch size as a cue to determine if they have been parasitized, and some individuals choose to reject parasitic eggs by deserting or destroying the whole clutch.</t>
  </si>
  <si>
    <t>zhang, ling/JXW-6931-2024; Røskaft, Eivin/N-7476-2019</t>
  </si>
  <si>
    <t>10.1163/1568539X-00003046</t>
  </si>
  <si>
    <t>WOS:000318051100006</t>
  </si>
  <si>
    <t>Rojo, A; Swierk, L</t>
  </si>
  <si>
    <t>Rojo, Andres; Swierk, Lindsey</t>
  </si>
  <si>
    <t>How does rapid body color change affect the conspicuity of lizards to their predators and conspecifics?</t>
  </si>
  <si>
    <t>Predator-prey interactions drive the evolution of prey visual camouflage, but prey species also must remain conspicuous to their conspecifics for social signaling purposes. Whether rapid body color change can help to balance conspecific visibility and predator concealment, in the eyes of each group's respective visual systems, remains poorly understood. We tested this question using water anoles (Anolis aquaticus), a small lizard that uses rapid dark-to-light body color change to visually camouflage itself from its avian predators across diverse microhabitats. We used digital image analysis and visual modeling to assess the effectiveness of color-matching camouflage in dark- and light-phase A. aquaticus, as perceived by anoles and avian predators. Our findings reveal that A. aquaticus body coloration was perceived similarly by both groups. However, sex-specific differences in overall conspicuousness emerged, with males more consistently color matching their microhabitats compared to females. Females were less likely to color match their backgrounds in their lighter phase, suggesting a sex difference in preferred conspicuity in more exposed habitats. We highlight the context-dependence of color change, with sex-specific differences and microhabitat potentially affecting its function. Significance statement Predator and prey visual systems influence prey species' visual camouflage evolution, but whether rapid body color changes allow animals to dynamically balance conspecific visibility with predator concealment is not well known. We used visual modeling techniques to examine if water anoles (Anolis aquaticus), small lizards that employ rapid body color changes to evade their avian predators, appear differently to their predators and conspecifics depending on color phase. Our findings reveal that A. aquaticus body coloration is perceived similarly by both groups. However, we observed sex-specific differences: males and larger individuals displayed more consistent color matching across different microhabitats, whereas females showed reduced matching in their lighter phase. Our study underscores the context-dependence of the function of color change in relation to factors including sex and microhabitat.</t>
  </si>
  <si>
    <t>10.1007/s00265-024-03493-0</t>
  </si>
  <si>
    <t>WOS:001262286100002</t>
  </si>
  <si>
    <t>Calisi, RM; Hews, DK</t>
  </si>
  <si>
    <t>Calisi, Rebecca M.; Hews, Diana K.</t>
  </si>
  <si>
    <t>Steroid correlates of multiple color traits in the spiny lizard, Sceloporus pyrocephalus</t>
  </si>
  <si>
    <t>JOURNAL OF COMPARATIVE PHYSIOLOGY B-BIOCHEMICAL SYSTEMS AND ENVIRONMENTAL PHYSIOLOGY</t>
  </si>
  <si>
    <t>Conspicuous coloration in females is less well studied compared to that in males. Adult female Mexican boulder spiny lizards (Sceloporus pyrocephalus) have conspicuously colored throat, or gular, regions, ranging from red to yellow, while adult males only weakly express such color in their gular region. Both sexes have dark blue-black gular stripes and venter stripes. Understanding proximate mechanisms underlying trait expression can aid in understanding trait function. To characterize the proximate mechanisms potentially influencing color variation among field-captured male and female S. pyrocephalus, we quantified three aspects of color (hue, saturation, brightness) for three body locations (gular region, gular stripes, venter stripes) and then assessed how color was related to reproductive state and concentrations of the plasma steroid hormones testosterone (T) and corticosterone (CORT) in males and T, CORT, and 17-beta estradiol (E-2) in females. Testes volume was not related to variation in color or in hormones, perhaps because most males were in peak reproductive condition. Large vitellogenic follicles as opposed to oviductal eggs were associated with higher E-2 in females. Males with more dull gular stripes and females with dull venter stripes had significantly higher CORT. Females with red gular regions and pale grey gular stripes had higher T and E-2 concentrations compared to females with a more yellow gular region and darker gular stripes. Thus, gular region color in females could communicate reproductive state; dull gular stripes in males and dull venter stripes in females could communicate stress status.</t>
  </si>
  <si>
    <t>0174-1578</t>
  </si>
  <si>
    <t>1432-136X</t>
  </si>
  <si>
    <t>10.1007/s00360-007-0162-7</t>
  </si>
  <si>
    <t>WOS:000248301500005</t>
  </si>
  <si>
    <t>Azcárate-García, M; Díaz-Lora, S; Tomás, G; Soler, JJ</t>
  </si>
  <si>
    <t>Azcarate-Garcia, Manuel; Diaz-Lora, Silvia; Tomas, Gustavo; Soler, Juan Jose</t>
  </si>
  <si>
    <t>Spotless starlings prefer spotless eggs: conspecific brood parasites cue on eggshell spottiness to avoid ectoparasites</t>
  </si>
  <si>
    <t>Avian brood parasites are expected to select host nests according to characteristics that maximize offspring fitness, such as reduced probability of ectoparasitism. Spotless starlings, Sturnus unicolor, lay immaculate blue eggs that sometimes become brownish-spotted due to the activity of the ectoparasitic fly Carnus hemapterus on incubating birds. Therefore, conspecific parasitic females should adaptively avoid parasitizing nests with spotted eggshells. Here, we manipulated perceived risk of ectoparasitism by painting the eggs with either brown spots (similar to those due to ectoparasite activity) or blue spots. A third group of nests was maintained with immaculate eggshells. Nests with nonspotted eggshells showed the highest rate of brood parasitism, while nests with brownish or bluish spots on the eggshells were parasitized at a similar lower rate. These results suggest that brood-parasitic females use the presence of spots on the eggshells in their selection of host nests. This study adds to the scarce evidence showing that brood-parasitic birds select host nests with a low risk of ectoparasitism and demonstrates that colour patterns of the eggshell (i.e. spottiness) of their potential hosts represent a major cue employed to appraise the risk of ectoparasitism. (C) 2020 The Association for the Study of Animal Behaviour. Published by Elsevier Ltd. All rights reserved.</t>
  </si>
  <si>
    <t>Soler, J. J./H-2363-2011; Lora, Silvia Díaz/AAC-1173-2021</t>
  </si>
  <si>
    <t>Lora, Silvia Díaz/0000-0001-8008-2752; Azcarate-Garcia, Manuel/0000-0002-6421-4572</t>
  </si>
  <si>
    <t>10.1016/j.anbehav.2020.05.017</t>
  </si>
  <si>
    <t>WOS:000555887500004</t>
  </si>
  <si>
    <t>Vercken, E; Clobert, J</t>
  </si>
  <si>
    <t>Vercken, Elodie; Clobert, Jean</t>
  </si>
  <si>
    <t>Ventral colour polymorphism correlates with alternative behavioural patterns in female common lizards (Lacerta vivipara)</t>
  </si>
  <si>
    <t>ECOSCIENCE</t>
  </si>
  <si>
    <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tills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potential. The possibility that ventral colour is used in social of an intermediate or condition-dependent resource-holding interactions to signal resource-holding potential is discussed.</t>
  </si>
  <si>
    <t>1195-6860</t>
  </si>
  <si>
    <t>10.2980/15-3-3135</t>
  </si>
  <si>
    <t>WOS:000259841500005</t>
  </si>
  <si>
    <t>Sogawa, S; Fukushima, R; Sowersby, W; Awata, S; Kawasaka, K; Kohda, M</t>
  </si>
  <si>
    <t>Sogawa, Shumpei; Fukushima, Rio; Sowersby, Will; Awata, Satoshi; Kawasaka, Kento; Kohda, Masanori</t>
  </si>
  <si>
    <t>Male Guppies Recognize Familiar Conspecific Males by Their Face</t>
  </si>
  <si>
    <t>Individual recognition is a necessary cognitive ability for the maintenance of stable social relationships. Recent studies have shown that like primates, some fish species can distinguish familiar fish from unfamiliar strangers via face-recognition. However, the taxa of the studied fish species are restricted (within Perciformes) and the visual signal used for the recognition of fish remains unclear. Here, we investigated the visual signal for individual-recognition in males of a sexually dichromatic guppy (Poecilia reticulata, Cyprinodontiformes). Using guppy males, we examined the hypothesis that fish distinguish between familiar individuals and unknown strangers by their faces rather than by body coloration. We randomly presented focal fish with four types of composite photo-models: familiar (familiar-face and familiar-body = F/F), stranger (stranger-face and stranger-body = S/S), familiar face combined with stranger body (F/S) and stranger face combined with familiar body (S/F). Focal males infrequently attacked familiar-face models but frequently attacked stranger-face models, regardless of body types. These behavioral reactions indicate that guppy males discriminate between familiar and stranger males by their face, not body coloration with wide variation. Importantly, male faces contain clear individual-variation in white/metallic colored patches on the operculum visible for humans. Considering the photo-model, our results suggest that these patches might be an important visual stimulus for face-recognition in guppy males, like some cichlids. Comparative examination among males of different guppy variants, including wild type phenotype, suggests that the face color- patch is stable regardless of variation in body color, with a different genetic mechanism potentially underlying face and body colors.</t>
  </si>
  <si>
    <t>Awata, Satoshi/GQR-0411-2022; Sowersby, Will/AAG-5106-2019</t>
  </si>
  <si>
    <t>Awata, Satoshi/0000-0003-3254-7943; Sowersby, Will/0000-0002-9774-5935; KAWASAKA, Kento/0000-0001-5508-5652</t>
  </si>
  <si>
    <t>10.2108/zs220088</t>
  </si>
  <si>
    <t>WOS:000963816400010</t>
  </si>
  <si>
    <t>Trillo, PA; Benson, CS; Caldwell, MS; Lam, TL; Pickering, OH; Logue, DM</t>
  </si>
  <si>
    <t>Trillo, Paula A.; Benson, Christopher S.; Caldwell, Michael S.; Lam, Tiffany L.; Pickering, Oliver H.; Logue, David M.</t>
  </si>
  <si>
    <t>The Influence of Signaling Conspecific and Heterospecific Neighbors on Eavesdropper Pressure</t>
  </si>
  <si>
    <t>The study of tradeoffs between the attraction of mates and the attraction of eavesdropping predators and parasites has generally focused on a single species of prey, signaling in isolation. In nature, however, animals often signal from mixed-species aggregations, where interactions with heterospecific group members may be an important mechanism modulating tradeoffs between sexual and natural selection, and thus driving signal evolution. Although studies have shown that conspecific signalers can influence eavesdropper pressure on mating signals, the effects of signaling heterospecifics on eavesdropper pressure, and on the balance between natural and sexual selection, are likely to be different. Here, we review the role of neighboring signalers in mediating changes in eavesdropper pressure, and present a simple model that explores how selection imposed by eavesdropping enemies varies as a function of a signaling aggregation's species composition, the attractiveness of aggregation members to eavesdroppers, and the eavesdroppers' preferences for different member types. This approach can be used to model mixed-species signaling aggregations, as well as same-species aggregations, including those with non-signaling individuals, such as satellites or females. We discuss the implications of our model for the evolution of signal structure, signaling behavior, mixed-species aggregations, and community dynamics.</t>
  </si>
  <si>
    <t>Logue, David/AAM-6781-2021</t>
  </si>
  <si>
    <t>Trillo, Paula/0000-0001-5994-5189; Caldwell, Michael/0000-0001-9655-5657; Pickering, Oliver/0009-0002-0860-2797</t>
  </si>
  <si>
    <t>10.3389/fevo.2019.00292</t>
  </si>
  <si>
    <t>WOS:000479067400001</t>
  </si>
  <si>
    <t>FICKEN, RW; FICKEN, MS; HAILMAN, JP</t>
  </si>
  <si>
    <t>DIFFERENTIAL AGGRESSION IN GENETICALLY DIFFERENT MORPHS OF WHITE-THROATED SPARROW (ZONOTRICHIA-ALBICOLLIS)</t>
  </si>
  <si>
    <t>ZEITSCHRIFT FUR TIERPSYCHOLOGIE-JOURNAL OF COMPARATIVE ETHOLOGY</t>
  </si>
  <si>
    <t>To see if genetic differences correlate with differences in agonistic behavior, 225 encounters within and between color morphs of the white-throated sparrow (Z. albicollis) were observed in feeding groups of different sizes and morphic compositions. Tan morphs lack the M chromosome that replaces either of 2 chromosomes in the white morph. The data were analyzed using quantitative models accounting for the proportions of morphs present. Morphs are equally frequent recipients of aggression but the white morphs was the aggressor more frequently than by chance, regardless of the morphs of the recipients, size of the group or morphic composition of the group.</t>
  </si>
  <si>
    <t>0044-3573</t>
  </si>
  <si>
    <t>WOS:A1978ES06300004</t>
  </si>
  <si>
    <t>WAGO, H; UNNO, K</t>
  </si>
  <si>
    <t>STUDIES ON MATING-BEHAVIOR OF PALE GRASS BLUE, ZIZEERIA-MAHA ARGIA (LEPIDOPTERA-LYCAENIDAE) .1. RECOGNITION OF CONSPECIFIC INDIVIDUALS BY FLYING MALES</t>
  </si>
  <si>
    <t>APPLIED ENTOMOLOGY AND ZOOLOGY</t>
  </si>
  <si>
    <t>Preliminary observations and experimental analyses were made on the mating behavior of the pale grass blue, Z. argia. Adult emergence took place from about 18:00 to 11:00 and flight behavior of adult butterflies could be seen from 8:00-18:00. Males flying in search of females approached any male or female resting with wings closed. Field experiments with a variety of models revealed that males were generally attracted not only by wing-closed females but also by wing-closed males. Males were also attracted by an undersurface model of the same size as the pale grass blue. Attraction of the male to the wing undersurface was observed regardless of the model shape, although the model size was of primary importance. Spectroscopic examination showed that the reflectivity pattern of the wing undersurface in both sexes was approximately similar. Apparently sexual behavior of the flying males was first of all released by the color of the wing undersurface, and not of the uppersurface. Male adults discover conspecific individuals by recognizing the color of the wing undersurface.</t>
  </si>
  <si>
    <t>0003-6862</t>
  </si>
  <si>
    <t>1347-605X</t>
  </si>
  <si>
    <t>WOS:A1976CY45000005</t>
  </si>
  <si>
    <t>MAGURRAN, AE; SEGHERS, BH</t>
  </si>
  <si>
    <t>VARIATION IN SCHOOLING AND AGGRESSION AMONGST GUPPY (POECILIA-RETICULATA) POPULATIONS IN TRINIDAD</t>
  </si>
  <si>
    <t>Schooling behaviour is an effective defence against predation but, since it depends on coordinated behaviour, it may restrict individual competition for limited resources. We tested the hypothesis that levels of individual aggression will be reduced in fish with a high schooling tendency by comparing the behaviour of guppies, Poecilia reticulata, from eight Trinidad populations. Schooling tendency was assayed in the wild. Fish were then transferred to the laboratory where aggression was measured when groups of eight males foraged on a small, but profitable, food patch. An inverse relationship between schooling tendency and intensity of aggression emerged. Guppies from populations without fish predators displayed a wide range of aggressive behaviours including active patch defence by the most dominant individual. Conversely, populations experiencing high predation, and with well-developed schooling behaviour, showed little aggression. Female guppies (three population tested) also varied in level of aggression and aggression was present in laboratory-bred as well as wild-caught fish. Individual aggression increased with group size but was independent of tank size. These results point towards a trade-off between antipredator behaviour and resource defence and confirm that schooling has associated costs as well as benefits.</t>
  </si>
  <si>
    <t>Magurran, Anne E/D-7463-2013</t>
  </si>
  <si>
    <t>Magurran, Anne/0000-0002-0036-2795</t>
  </si>
  <si>
    <t>10.1163/156853991X00292</t>
  </si>
  <si>
    <t>WOS:A1991GT42800004</t>
  </si>
  <si>
    <t>Alvarez, F</t>
  </si>
  <si>
    <t>Relationship between tail color pattern and reproductive success, mate acquisition and nest predation in Rufous Bush Chats</t>
  </si>
  <si>
    <t>Rufous Bush Chats (Cercotrichas galactotes) show a conspicuous tail color pattern consisting of terminal white and subterminal black patches which are shown in tail display during nest defense, aggression, and courtship. Multiple linear regression of visual tail features of males showed that in the two years of study, birds with higher bilateral symmetry in the black patches attained higher seasonal reproductive success, mated earlier in the season, and their nests were less likely to be depredated. In one year, birds with greater white terminal patches also attained higher reproductive success and their nests were less likely to be depredated, and in the other year birds with longer tails paired earlier. I suggest that these tail features have an effect on reproductive success by facilitating early pairing and/or by diminishing nest predation.</t>
  </si>
  <si>
    <t>1938-5129</t>
  </si>
  <si>
    <t>10.1650/0010-5422(2000)102[0708:RBTCPA]2.0.CO;2</t>
  </si>
  <si>
    <t>WOS:000088716300031</t>
  </si>
  <si>
    <t>Culumber, ZW; Monks, S</t>
  </si>
  <si>
    <t>Culumber, Zachary W.; Monks, Scott</t>
  </si>
  <si>
    <t>Does fin coloration signal social status in a dominance hierarchy of the livebearing fish Xiphophorus variatus?</t>
  </si>
  <si>
    <t>In each population of the livebearing fish Xiphophorus variatus, only a small portion of the adult males develop bright yellow-red (YR) coloration on the dorsal and caudal fins. Here we characterized the dominance hierarchy in X. variatus and tested whether YR coloration is related to a male's position in the hierarchy and can therefore serve as a reliable cue to rival males. Populations varied considerably in the frequency of YR males. Across all populations, males with YR coloration were significantly larger than the rest of the males in the population. Observations of aggressive interactions among males in small groups in the laboratory revealed a sized-based dominance hierarchy with YR males at the top. Aggression was more common among males of a similar size and fighting increased as male body size differences decreased. However, despite the reliability of YR coloration as a signal of dominance status, males at lower social ranks did not avoid aggression with YR males and YR males did not experience fewer aggressive attacks compared to non-YR males. Our findings demonstrate that fin coloration is a reliable cue of a male's social status but rival males appear to not use this information to avoid potentially costly interactions with dominant males, suggesting that YR fin coloration has not evolved as a cue in agonistic interactions. (C) 2014 Elsevier B.V. All rights reserved.</t>
  </si>
  <si>
    <t>Monks, Scott/X-6776-2019</t>
  </si>
  <si>
    <t>Monks, Scott/0000-0002-5041-8582</t>
  </si>
  <si>
    <t>10.1016/j.beproc.2014.08.010</t>
  </si>
  <si>
    <t>WOS:000343628400020</t>
  </si>
  <si>
    <t>FIELD, LH</t>
  </si>
  <si>
    <t>OBSERVATIONS ON THE BIOLOGY OF DEINACRIDA-CONNECTENS (ORTHOPTERA, STENOPELMATIDAE), AN ALPINE WETA</t>
  </si>
  <si>
    <t>NEW ZEALAND JOURNAL OF ZOOLOGY</t>
  </si>
  <si>
    <t>Live D. connectens from New Zealand''s South Island were studied in captivity for up to 5 mo. Adult females were significantly (P &lt; 0.01) larger than adult males. Sample populations from 3 mountain ranges differed in head capsule coloration, the extent of red coloration on the pronotum, the ground color of the abdomen and the banding pattern on abdominal tergites; at least 4 color varieties must exist. The nightly activity period was characterized by feeding, perching behavior and agonistic behavior which resulted in the spacing out of individuals. Sexual behavior is described and compared to that of other species of Deinacrida spp. and of the tree wetas Hemideina spp. The roles of the males of these genera are compared. In contrast to male sexual behavior in Hemideina spp., that in D. connectens lacks an acoustic repertoire and aggression towards conspecific males.</t>
  </si>
  <si>
    <t>0301-4223</t>
  </si>
  <si>
    <t>1175-8821</t>
  </si>
  <si>
    <t>10.1080/03014223.1980.10423778</t>
  </si>
  <si>
    <t>WOS:A1980JX22800006</t>
  </si>
  <si>
    <t>HELLER, J</t>
  </si>
  <si>
    <t>AGGRESSION COLOR PATTERN OF ASTATOTILAPIA-FLAVIIJOSEPHI (TELEOSTEI, CICHLIDAE) IN THE AQUARIUM</t>
  </si>
  <si>
    <t>ISRAEL JOURNAL OF ZOOLOGY</t>
  </si>
  <si>
    <t>0021-2210</t>
  </si>
  <si>
    <t>WOS:A1981MW98300007</t>
  </si>
  <si>
    <t>Boyer, JFF; Swierk, L</t>
  </si>
  <si>
    <t>Boyer, Jane F. F.; Swierk, Lindsey</t>
  </si>
  <si>
    <t>Rapid body color brightening is associated with exposure to a stressor in an Anolis lizard</t>
  </si>
  <si>
    <t>Many species use color change to optimize body coloration to changing environmental conditions, and drivers of rapid color change in natural populations are numerous and poorly understood. We examined factors influencing body coloration in the Water Anole (Anolis aquaticus Taylor, 1956), a lizard possessing color-changing stripes along the length of its body. We quantified the color of three body regions (the eye stripe, lateral stripe, and dorsum) before and after exposure to a mild stressor (handling and restraint). Based on current understanding of the genus Anolis Daudin, 1802, we hypothesized that exposure to a stressor would generate genus-typical skin darkening (i.e., increased melanism). Contrary to expectations, stress consistently brightened body coloration: eye and lateral stripes transitioned from brown to pale blue and green and the dorsum became lighter brown. Sex, size, and body temperature did not correlate with any aspect of body coloration, and a laboratory experiment confirmed that light exposure did not drive brightening. We propose that color change may serve to reduce conspicuousness through disruptive camouflage; lizards tended to display brighter stripes on mottled green-brown substrates. Together, these results improve our understanding of Anolis color change diversity and emphasize the need for a broader interpretation of the mechanism and functions of color change across taxa.</t>
  </si>
  <si>
    <t>Swierk, Lindsey/JVO-0517-2024</t>
  </si>
  <si>
    <t>Swierk, Lindsey/0000-0001-7897-0275</t>
  </si>
  <si>
    <t>10.1139/cjz-2016-0200</t>
  </si>
  <si>
    <t>WOS:000398092400009</t>
  </si>
  <si>
    <t>Maan, ME; Cummings, ME</t>
  </si>
  <si>
    <t>Maan, Martine E.; Cummings, Molly E.</t>
  </si>
  <si>
    <t>Poison Frog Colors Are Honest Signals of Toxicity, Particularly for Bird Predators</t>
  </si>
  <si>
    <t>Antipredator defenses and warning signals typically evolve in concert. However, the extensive variation across taxa in both these components of predator deterrence and the relationship between them are poorly understood. Here we test whether there is a predictive relationship between visual conspicuousness and toxicity levels across 10 populations of the color-polymorphic strawberry poison frog, Dendrobates pumilio. Using a mouse-based toxicity assay, we find extreme variation in toxicity between frog populations. This variation is significantly positively correlated with frog coloration brightness, a viewer-independent measure of visual conspicuousness (i.e., total reflectance flux). We also examine conspicuousness from the view of three potential predator taxa, as well as conspecific frogs, using taxon-specific visual detection models and three natural background substrates. We find very strong positive relationships between frog toxicity and conspicuousness for bird-specific perceptual models. Weaker but still positive correlations are found for crab and D. pumilio conspecific visual perception, while frog coloration as viewed by snakes is not related to toxicity. These results suggest that poison frog colors can be honest signals of prey unpalatability to predators and that birds in particular may exert selection on aposematic signal design.</t>
  </si>
  <si>
    <t>Maan, Martine/B-5444-2008</t>
  </si>
  <si>
    <t>Maan, Martine/0000-0003-1113-8067</t>
  </si>
  <si>
    <t>E1</t>
  </si>
  <si>
    <t>E14</t>
  </si>
  <si>
    <t>10.1086/663197</t>
  </si>
  <si>
    <t>WOS:000298379200001</t>
  </si>
  <si>
    <t>Hurtado-Gonzales, JL; Uy, JAC</t>
  </si>
  <si>
    <t>Hurtado-Gonzales, Jorge L.; Uy, J. Albert C.</t>
  </si>
  <si>
    <t>Intrasexual competition facilitates the evolution of alternative mating strategies in a colour polymorphic fish</t>
  </si>
  <si>
    <t>Background: Intense competition for access to females can lead to males exploiting different components of sexual selection, and result in the evolution of alternative mating strategies (AMSs). Males of Poecilia parae, a colour polymorphic fish, exhibit five distinct phenotypes: drab-coloured (immaculata), striped (parae), structural-coloured (blue) and carotenoid-based red and yellow morphs. Previous work indicates that immaculata males employ a sneaker strategy, whereas the red and yellow morphs exploit female preferences for carotenoid-based colours. Mating strategies favouring the maintenance of the other morphs remain to be determined. Here, we report the role of agonistic male-male interactions in influencing female mating preferences and male mating success, and in facilitating the evolution of AMSs. Results: Our study reveals variation in aggressiveness among P. parae morphs during indirect and direct interactions with sexually receptive females. Two morphs, parae and yellow, use aggression to enhance their mating success (i.e., number of copulations) by 1) directly monopolizing access to females, and 2) modifying female preferences after winning agonistic encounters. Conversely, we found that the success of the drab-coloured immaculata morph, which specializes in a sneak copulation strategy, relies in its ability to circumvent both male aggression and female choice when facing all but yellow males. Conclusions: Strong directional selection is expected to deplete genetic variation, yet many species show striking genetically-based polymorphisms. Most studies evoke frequency dependent selection to explain the persistence of such variation. Consistent with a growing body of evidence, our findings suggest that a complex form of balancing selection may alternatively explain the evolution and maintenance of AMSs in a colour polymorphic fish. In particular, this study demonstrates that intrasexual competition results in phenotypically distinct males exhibiting clear differences in their levels of aggression to exclude potential sexual rivals. By being dominant, the more aggressive males are able to circumvent female mating preferences for attractive males, whereas another male type incorporates subordinate behaviours that allow them to circumvent male aggression and female mating preferences. Together, these and previous results indicate that exploiting different aspects of social interactions may allow males to evolve distinct mating strategies and thus the long term maintenance of polymorphisms within populations.</t>
  </si>
  <si>
    <t>DEC 23</t>
  </si>
  <si>
    <t>10.1186/1471-2148-10-391</t>
  </si>
  <si>
    <t>WOS:000287579200001</t>
  </si>
  <si>
    <t>Macedonia, JM; Clark, DL; Riley, RG; Kemp, DJ</t>
  </si>
  <si>
    <t>Macedonia, Joseph M.; Clark, David L.; Riley, Raymond G.; Kemp, Darrell J.</t>
  </si>
  <si>
    <t>Species recognition of color and motion signals in Anolis grahami: evidence from responses to lizard robots</t>
  </si>
  <si>
    <t>Male Anolis lizards exhibit an impressive diversity of dewlap color patterns and motion displays. These traits are thought to mediate species recognition, but direct experimental support is limited. It is also unclear if and how color and display behavior each may contribute to the signaling of species identity. We used a programmable robotic lizard to manipulate these signal components independently in Anolis grahami. Four robot variants were used: a control treatment that displayed the conspecific (orange) dewlap color and headbobbing sequence, 2 treatments that differed from the control only in dewlap coloration (light or dark blue), and a fourth treatment that differed from the control only in headbob display pattern (reversed headbob display structure). Artificial dewlaps were calibrated in color and brightness to the A. grahami visual system using a computational model. We presented robots to 102 adult male subjects and quantified their responses for durations of dewlap pulsing and headbob displays. Subjects spent significantly more time pulsing their dewlaps in response to control (conspecific) robot displays than to treatments that deviated from the control either in dewlap color or in headbob display structure. Our findings implicate both morphology and behavior as functional components of social signaling in A. grahami, thus underscoring the complex, multicomponent nature of anoline displays.</t>
  </si>
  <si>
    <t>Kemp, Darrell/ABC-9638-2021</t>
  </si>
  <si>
    <t>Kemp, Darrell/0000-0002-5845-5513; Macedonia, Joseph/0009-0007-1320-8993</t>
  </si>
  <si>
    <t>10.1093/beheco/art027</t>
  </si>
  <si>
    <t>WOS:000320409900014</t>
  </si>
  <si>
    <t>Batzina, A; Karakatsouli, N</t>
  </si>
  <si>
    <t>Batzina, Alkisti; Karakatsouli, Nafsika</t>
  </si>
  <si>
    <t>Is it the blue gravel substrate or only its blue color that improves growth and reduces aggressive behavior of gilthead seabream Sparus aurata?</t>
  </si>
  <si>
    <t>AQUACULTURAL ENGINEERING</t>
  </si>
  <si>
    <t>The positive effects of a blue gravel substrate as a means of environmental enrichment have been previously observed for gilthead seabream Sparus aurata. The aim of the present study was to investigate whether the blue color per se is efficient to produce similar benefits to those observed with the blue substrate. If this hypothesis proves true, then it would be more practical just to paint the bottom of the rearing tanks to this specific color. Triplicated tanks contained the Blue Substrate (BS), the Photo of the Blue Substrate (PBS) or remained plain - Control (C). Fish groups of 18 specimens (mean initial body mass 20.2 +/- 0.26 g) were reared in these conditions for 75 days in a recirculating aquaculture system (RAS). According to results, BS fish showed greater final body mass and less aggression than PBS and C fish indicating that the presence of the blue substrate and not its blue color is responsible for the beneficial effects of the blue substrate. In the case of several growth parameters (i.e. specific growth rate, food conversion ratio, total and standard length), the lack of significant difference between BS and PBS fish suggests that the substrate color has also merit. In conclusion, present results confirm that the use of the blue substrate on the tank bottom improves gilthead seabream welfare and provides for growth benefits. It is also shown that it is not enough just to paint the tank bottom in this certain color. The effectiveness of this environmental enrichment, ensuring gilthead seabream welfare, strengthens the use of land-based aquaculture facilities and the reassessment of RAS inclusion in existing legislation concerning organic aquaculture for on-growing production stage. (C) 2014 Elsevier B.V. All rights reserved.</t>
  </si>
  <si>
    <t>0144-8609</t>
  </si>
  <si>
    <t>1873-5614</t>
  </si>
  <si>
    <t>10.1016/j.aquaeng.2014.06.004</t>
  </si>
  <si>
    <t>WOS:000342263700007</t>
  </si>
  <si>
    <t>Rudh, A; Breed, MF; Qvarnström, A</t>
  </si>
  <si>
    <t>Rudh, Andreas; Breed, Martin F.; Qvarnstrom, Anna</t>
  </si>
  <si>
    <t>Does aggression and explorative behaviour decrease with lost warning coloration?</t>
  </si>
  <si>
    <t>For prey, many behavioural traits are constrained by the risk of predation. Therefore, shifts between warning and cryptic coloration have been suggested to result in parallel changes in several behaviours. In the present study, we tested whether changes in chromatic contrast among eight populations of the strawberry poison-dart frog, Dendrobates pumilio, co-vary with behaviour, as expected if selection is imposed by predators relying on visual detection of prey. These eight populations are geographically isolated on different island in the Bocas del Toro region of Panama and have recently diverged morphologically and genetically. We found that aggression and explorative behaviour were strongly correlated and also that males tended to be more aggressive and explorative if they belonged to populations with conspicuously coloured individuals. We discuss how evolutionary switches between predator avoidance strategies and associated behavioural divergence between populations may affect reproductive isolation. (c) 2012 The Linnean Society of London, Biological Journal of the Linnean Society, 2012, ??, ????.</t>
  </si>
  <si>
    <t>; Breed, Martin/G-5482-2011</t>
  </si>
  <si>
    <t>Qvarnstrom, Anna/0000-0002-1178-4053; Breed, Martin/0000-0001-7810-9696</t>
  </si>
  <si>
    <t>10.1111/j.1095-8312.2012.02006.x</t>
  </si>
  <si>
    <t>WOS:000312543100011</t>
  </si>
  <si>
    <t>Delhey, K; Kempenaers, B</t>
  </si>
  <si>
    <t>Age differences in blue tit Parus caeruleus plumage colour:: within-individual changes or colour-biased survival?</t>
  </si>
  <si>
    <t>JOURNAL OF AVIAN BIOLOGY</t>
  </si>
  <si>
    <t>In many species of passerine birds yearlings display a less elaborate version of the adult secondary sexual traits, but the causes of such differences in ornamentation are not always well understood. We studied age-related changes in blue tit Parus caeruleus UV/blue structural crown coloration, a sexually selected trait. In our Austrian study population, older blue tits, irrespective of sex, displayed on average a more ultraviolet (lower hue, higher UV chroma), more chromatic and brighter crown coloration than yearlings. This age dichromatism was caused by within-individual changes in the expression of crown coloration between years since males and females became more UV, more chromatic and brighter as they aged. Colour biased survival did not contribute to the observed pattern of age dichromatism since crown coloration was largely unrelated to overwinter survival. Between-year repeatability of crown colour was significant for most colour variables but low in general, and lower for females than for males. In the blue tit, yearling males might benefit from being less ornamented by avoiding adult aggression but at the expense of sexual attractiveness. Adaptive explanations of blue tit age dichromatism should however take into account that age effects were of similar magnitude in males and females. This suggests that both male and female yearlings could benefit from being less ornamented and hence that sexual selection might be acting on both sexes simultaneously in this species.</t>
  </si>
  <si>
    <t>Delhey, Kaspar/AAZ-5362-2020; Delhey, Kaspar/F-6515-2010</t>
  </si>
  <si>
    <t>Delhey, Kaspar/0000-0001-5190-5406;</t>
  </si>
  <si>
    <t>0908-8857</t>
  </si>
  <si>
    <t>10.1111/j.2006.0908-8857.03655.x</t>
  </si>
  <si>
    <t>WOS:000238486700008</t>
  </si>
  <si>
    <t>Romano, D; Benelli, G; Hwang, JS; Stefanini, C</t>
  </si>
  <si>
    <t>Romano, Donato; Benelli, Giovanni; Hwang, Jiang-Shiou; Stefanini, Cesare</t>
  </si>
  <si>
    <t>Fighting fish love robots: mate discrimination in males of a highly territorial fish by using female-mimicking robotic cues</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</si>
  <si>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robotic replica colour pattern mimicked a reproductive female. Furthermore, male courtship behaviours obtained in response to the robotic replica exhibiting light stimuli were comparable with responses towards authentic conspecific females. Our biomimetic approach to establish animal-robot individual interaction can represent an advanced strategy for trait-based ecology investigation, a rapidly developing research field.</t>
  </si>
  <si>
    <t>Benelli, Giovanni/A-9100-2013; Romano, Donato/ITV-7496-2023</t>
  </si>
  <si>
    <t>Benelli, Giovanni/0000-0001-8971-6010; Stefanini, Cesare/0000-0003-0989-041X; Romano, Donato/0000-0003-4975-3495</t>
  </si>
  <si>
    <t>10.1007/s10750-019-3899-6</t>
  </si>
  <si>
    <t>WOS:000460694400013</t>
  </si>
  <si>
    <t>Limeri, LB; Morehouse, NI</t>
  </si>
  <si>
    <t>Limeri, Lisa B.; Morehouse, Nathan I.</t>
  </si>
  <si>
    <t>Sensory limitations and the maintenance of colour polymorphisms: viewing the 'alba' female polymorphism through the visual system of male Colias butterflies</t>
  </si>
  <si>
    <t>1. Although colour polymorphisms are a widespread and conspicuous component of extant biodiversity, the selective pressures that act to maintain multiple morphs within populations remain poorly understood in most cases. In particular, the role that visual system limitations may play in maintaining multiple colour morphs is not well explored. 2. We used a female-limited colour polymorphism common to the butterfly genus Colias, called the alba' polymorphism, to investigate the hypotheses that mate-searching males may struggle to discriminate pale alba' females from co-occurring heterospecific white butterflies and/or heterospecific alba' females, or that alba' females may be more difficult to detect than nonalba' females in natural scenes. Such perceptual limitations may influence the relative mating rates of alba' versus nonalba' females, contributing to the evolutionary persistence of both morphs. 3. Based on receptor-noise-limited modelling of the male Colias visual system, we find that alba' females exhibit chromatic and luminance contrasts against background foliage that are most similar to the alba' females of other co-occurring Colias species and females of the co-occurring white butterfly Pieris rapae. When compared to other co-flying butterflies including nonalba' females, alba' females are consistently lower in chromatic contrast against background, but higher in luminance contrast. 4. When viewed side-by-side, we estimate that male Colias should be able to discriminate alba' females from other co-occurring heterospecific butterflies, including heterospecific albas'. However, under field conditions that involve larger distances in space or time, males are likely to face challenges discriminating between conspecific alba' females and co-occurring heterospecific white butterflies, particularly heterospecific alba' females. 5. Our results suggest that constraints arising from male visual function may be involved in the maintenance of this colour polymorphism, particularly in populations that co-occur with other alba'-polymorphic Colias species. We argue that such visual system constraints may play a larger role in the maintenance of colour polymorphism than has been empirically appreciated to date.</t>
  </si>
  <si>
    <t>Limeri, Lisa/AAA-6514-2020</t>
  </si>
  <si>
    <t>Limeri, Lisa/0000-0002-7054-7509; Morehouse, Nathan/0000-0001-6449-7106</t>
  </si>
  <si>
    <t>10.1111/1365-2435.12244</t>
  </si>
  <si>
    <t>WOS:000342615100015</t>
  </si>
  <si>
    <t>Holopainen, JK; Peltonen, P</t>
  </si>
  <si>
    <t>Bright autumn colours of deciduous trees attract aphids: nutrient retranslocation hypothesis</t>
  </si>
  <si>
    <t>OIKOS</t>
  </si>
  <si>
    <t>We propose an alternative hypothesis to the handicap-signalling hypothesis, to explain the high number of specialist aphids on tree species having bright autumn colour. Since birch aphids actively seek the first yellowing leaves for breeding in autumn, it is obvious that autumn colour of foliage does not repel migrating aphids. We suggest that aphids use bright colours as a cue to detect individual trees and leaves that are good sources of nitrogen in the form of amino acids in autumn. The active formation of bright-coloured pigments in leaves is nee e to protect them from photo inhibition during energy consuming nutrient retranslocation under cold autumn conditions. During nutrient export from leaves, nitrogen is in the form of amino acids in the sieve elements and easily available for aphids. Therefore, bright colours may act as a signal of easily available high-quality food for viviparous aphid migrants that are selecting suitable trees for their sexual offspring reproduction. The females of sexual generation grown on the better quality food probably can oviposit the over-wintering eggs to the twigs in higher numbers, which may have an adaptive advantage in competition with conspecific females.</t>
  </si>
  <si>
    <t>Holopainen, Jarmo K./B-1656-2008</t>
  </si>
  <si>
    <t>Holopainen, Jarmo K./0000-0001-5026-3245</t>
  </si>
  <si>
    <t>0030-1299</t>
  </si>
  <si>
    <t>1600-0706</t>
  </si>
  <si>
    <t>10.1034/j.1600-0706.2002.990119.x</t>
  </si>
  <si>
    <t>WOS:000178883100019</t>
  </si>
  <si>
    <t>BROWN, SD; DOOLING, RJ</t>
  </si>
  <si>
    <t>PERCEPTION OF CONSPECIFIC FACES BY BUDGERIGARS (MELOPSITTACUS-UNDULATUS) .1. NATURAL FACES</t>
  </si>
  <si>
    <t>Perception of faces by 4 budgerigars (Melopsittacus undulatus), a species of small parrot, was studied with a same-different discrimination task. Reaction times were taken as a measure of the similarity between pairs of faces and analyzed with multidimensional scaling to reveal patterns of similarity among the faces. The perception of natural faces was tested to determine which characteristics were perceptually salient. Color, patterns of markings, darkness of the iris, and size of the pupil corresponded to the observed patterns of similarity among the faces. Differences among budgerigar faces were more salient than differences among zebra finch faces, and budgerigar faces were perceptually distinct from the faces of other avian species. The results from these experiments provide a basis for understanding the ways in which these signals function in the coordination of social behaviors.</t>
  </si>
  <si>
    <t>10.1037/0735-7036.106.3.203</t>
  </si>
  <si>
    <t>WOS:A1992JK69600001</t>
  </si>
  <si>
    <t>Oldfield, RG</t>
  </si>
  <si>
    <t>Oldfield, Ronald G.</t>
  </si>
  <si>
    <t>Aggression and Welfare in a Common Aquarium Fish, the Midas Cichlid</t>
  </si>
  <si>
    <t>JOURNAL OF APPLIED ANIMAL WELFARE SCIENCE</t>
  </si>
  <si>
    <t>Many species of fishes are aggressive when placed in small aquaria. Aggression can negatively affect the welfare of those individuals toward whom it is directed. Animals may behave aggressively in order to defend resources such as food, shelter, mates, and offspring. The decision to defend depends on the distribution of resources and on ecological factors such as number of competitors, amount of available space, and amount of habitat complexity. This study tested the effects of these factors on aggression in a common aquarium fish, the Midas cichlid (Amphilophus citrinellus). The study found that time spent behaving aggressively was not associated with small-scale differences in group size or available space. Aggression was significantly lower in a large aquarium with a complex habitat. Aquaria of sizes typically used in the companion animal (pet) hobby did not provide optimal welfare for cichlids housed with aggressive conspecifics. The public should be aware that this and similar species require larger aquaria with complex habitat, which elicit more natural behavior.</t>
  </si>
  <si>
    <t>Oldfield, Ronald/0000-0001-9187-3947</t>
  </si>
  <si>
    <t>1088-8705</t>
  </si>
  <si>
    <t>1532-7604</t>
  </si>
  <si>
    <t>10.1080/10888705.2011.600664</t>
  </si>
  <si>
    <t>WOS:000296232000005</t>
  </si>
  <si>
    <t>Rätti, O</t>
  </si>
  <si>
    <t>Characteristics and level of aggression by female Pied Flycatchers at different distances from the nest hole</t>
  </si>
  <si>
    <t>ORNIS FENNICA</t>
  </si>
  <si>
    <t>Proposed reasons for female aggression include defence of nest site or food resources on their territory, prevention of intraspecific brood parasitism or infanticide, or monopolisation of male's contribution to feeding of young. Here I investigate the characteristics and the level of aggression of Pied Flycatcher (Ficedula hypoleuca) females at different distances from the current nest site during the nest building and egg laying period. A live female was presented in a cage 1, 10, 20 and 40 m away from the nest box of the females and the behaviour of the focal females was recorded. In total, we conducted 76 presentations (19 per distance category). The time spent by females at their own nest box increased significantly with the decreasing distance of the intruded female. This suggests that females used staying at their own nest box as a defence when an intruder was very close. Female aggressive behaviour was concentrated around the nest site and decreased gradually as the distance from the nest hole increased. The main reason for female aggression seems to be the need to defend their own nest site against intruders. However, this does not totally exclude the importance of other reasons for female aggression. Both the intensity and characteristics of female-female aggression were dependent on the distance from the current nest site. This should be taken account when different studies on the level of female aggression are compared.</t>
  </si>
  <si>
    <t>Rätti, Osmo/L-4439-2013</t>
  </si>
  <si>
    <t>Ratti, Osmo/0000-0003-1185-0281</t>
  </si>
  <si>
    <t>0030-5685</t>
  </si>
  <si>
    <t>WOS:000086364000002</t>
  </si>
  <si>
    <t>Bach, CE; Kelly, D</t>
  </si>
  <si>
    <t>Effects of forest edges, fruit display size, and fruit colour on bird seed dispersal in a New Zealand mistletoe, Alepis flavida</t>
  </si>
  <si>
    <t>NEW ZEALAND JOURNAL OF ECOLOGY</t>
  </si>
  <si>
    <t>This study examined how forest edges, fruit display size, and fruit colour influenced rates of seed dispersal in an endemic, bird-dispersed, New Zealand mistletoe species, Alepis flavida. To examine rates of seed dispersal, fruit removal rates were compared between plants growing on forest edges and in forest interior, and also between two morphs of plants with different coloured fruits. Two aspects of fruit display size were examined: plant size and the neighbourhood of conspecific plants. There was no overall difference in fruit removal rates on forest edges and in forest interior, but birds removed fruits from red-fruited plants at a faster rate than from orange-fruited plants. Proximity of plant neighbours interacted with edges to influence fruit removal rates. The smaller the distance to nearest neighbours, the greater the fruit removal rates for orange-fruited plants in both habitats, but this relationship was significant for red-fruited plants only in the interior. Plant size affected fruit removal rates for orange-fruited plants, but not for red-fruited plants, and these differences were consistent in both habitats. Thus, fruit colour had the strongest effects on rates of fruit removal in this system, but forest edges also affected fruit removal rates, via altering the effects of neighbouring plants. Although birds prefer red fruits, there appears to be little selection pressure against orange-fruited plants because fruit removal rates are very high for both morphs.</t>
  </si>
  <si>
    <t>Vazquez-Dominguez, Guillermo GVD/L-7818-2014; Kelly, Dave/A-6129-2013</t>
  </si>
  <si>
    <t>Kelly, Dave/0000-0002-9469-2161</t>
  </si>
  <si>
    <t>0110-6465</t>
  </si>
  <si>
    <t>1177-7788</t>
  </si>
  <si>
    <t>WOS:000223581700009</t>
  </si>
  <si>
    <t>Hosseini, F; Lotfalizadeh, H; Norouzi, M; Dadpour, M</t>
  </si>
  <si>
    <t>Hosseini, Farnaz; Lotfalizadeh, Hossein; Norouzi, Majid; Dadpour, Mohammadreza</t>
  </si>
  <si>
    <t>Wing interference colours in Eurytoma (Hymenoptera: Eurytomidae): variation in patterns among populations and sexes of five species</t>
  </si>
  <si>
    <t>SYSTEMATICS AND BIODIVERSITY</t>
  </si>
  <si>
    <t>Taxonomic studies on parasitic Hymenoptera were mainly based on comparative morphology of adult wasps and occasionally on molecular surveys. Nowadays, wing interference patterns (WIPs) are applied to separate cryptic species of microhymenoptera. In our current research, colour characters of WIPs are quantified as wing interference colours (WICs), for the first time. In this regard, we demonstrated that statistical analysis of WICs is able to perform as well as side-by-side comparison of WIPs. WICs is a new concept including three main wing colours and their qualitative attributes. WICs of five Eurytoma species (Hymenoptera: Chalcidoidea, Eurytomidae), E. acroptilae Zerova, E. amygdali (Enderlein), E. caninae Lotfalizadeh and Delvare, E. plotnikovi Nikols'kaya and E. rosae Nees were analysed, for the first time. For this purpose, six colour parameters including red, green and blue (RGB) as well as hue, saturation and value (HSV) were compared. WICs alone could differentiate Eurytoma species. Geographic variation and sex determination were also examined based on WICs. Since these characters were similar and unique in both sexes, they were very useful for linking conspecific males and females. The study of different populations of the same species confirmed the stability of WICs.</t>
  </si>
  <si>
    <t>Lotfalizadeh, Hossein/AAF-4583-2021; Lotfalizadeh, Hossein/C-6060-2008</t>
  </si>
  <si>
    <t>Lotfalizadeh, Hossein/0000-0002-7927-819X; Lotfalizadeh, Hossein/0000-0002-7927-819X; Norouzi, Majid/0000-0002-1558-7030</t>
  </si>
  <si>
    <t>1477-2000</t>
  </si>
  <si>
    <t>1478-0933</t>
  </si>
  <si>
    <t>2019 NOV 29</t>
  </si>
  <si>
    <t>10.1080/14772000.2019.1687603</t>
  </si>
  <si>
    <t>NOV 2019</t>
  </si>
  <si>
    <t>WOS:000499312800001</t>
  </si>
  <si>
    <t>Social costs enforce honesty of a dynamic signal of motivation</t>
  </si>
  <si>
    <t>Understanding the processes that promote signal reliability may provide important insights into the evolution of diverse signalling strategies among species. The signals that animals use to communicate must comprise mechanisms that prohibit or punish dishonesty, and social costs of dishonesty have been demonstrated for several fixed morphological signals (e.g. colour badges of birds and wasps). The costs maintaining the honesty of dynamic signals, which are more flexible and potentially cheatable, are unknown. Using an experimental manipulation of the dynamic visual signals used by male veiled chameleons (Chamaeleo calyptratus) during aggressive interactions, we tested the idea that the honesty of rapid colour change signals is maintained by social costs. Our results reveal that social costs are an important mechanism maintaining the honesty of these dynamic colour signals-'dishonest' chameleons whose experimentally manipulated coloration was incongruent with their contest behaviour received more physical aggression than 'honest' individuals. This is the first demonstration, to the best our knowledge, that the honesty of a dynamic signal of motivation-physiological colour change-can be maintained by the social costliness of dishonesty. Behavioural responses of signal receivers, irrespective of any specific detection mechanisms, therefore prevent chameleon cheaters from prospering.</t>
  </si>
  <si>
    <t>OCT 26</t>
  </si>
  <si>
    <t>10.1098/rspb.2016.1873</t>
  </si>
  <si>
    <t>WOS:000386492600019</t>
  </si>
  <si>
    <t>Megía-Palma, R; Paranjpe, D; Cooper, RD; Blaimont, P; Sinervo, B</t>
  </si>
  <si>
    <t>Megia-Palma, Rodrigo; Paranjpe, Dhanashree; Cooper, Robert D.; Blaimont, Pauline; Sinervo, Barry</t>
  </si>
  <si>
    <t>Natural parasites in conjunction with behavioral and color traits explain male agonistic behaviors in a lizard</t>
  </si>
  <si>
    <t>Male competition conforms to a cost-benefit model, because while aggression may increase reproductive prospects, it can also increase the risk of injury. We hypothesize that an additional cost in aggressive males would be an increase in parasite load associated with a high energy investment into sexual competition. Some of these infections, in turn, may downmodulate the level of host aggression via energetic trade-offs. We staged dyadic male contests in the lab to investigate the relationships of multiple parasites with the agonistic behavior of lizard hosts, Sceloporus occidentalis. We also included both color and behavioral traits from opponents in the analyses because (1) color patches of lizards may serve as intraspecific signals used by conspecifics to assess the quality of opponents, and (2) contests between male lizards fit classical models of escalated aggression, where lizards increase aggression displays in response to an opponent's behavior. The results conform to our hypothesis because male lizards displayed more pushups when they had more ticks. Moreover, some parasites may modulate the levels of aggression because lizards infected by hematic coccidians performed fewer pushups. Interestingly, lizards also displayed fewer pushups when both the chroma and size of the opponent's blue patch were greater. The results thus also supported the role of the blue patch of S. occidentalis as a sexual armament, because it contributed to the deterrence of aggression from opponent lizards. We revealed that natural parasitic infections in lizard hosts can contribute to their agonistic behavior. We encourage future studies to account for parasites in behavioral tests with lizards.</t>
  </si>
  <si>
    <t>Megía-Palma, Rodrigo/O-5819-2017</t>
  </si>
  <si>
    <t>Megía-Palma, Rodrigo/0000-0003-1038-0468</t>
  </si>
  <si>
    <t>MAR 11</t>
  </si>
  <si>
    <t>10.1093/cz/zoac095</t>
  </si>
  <si>
    <t>NOV 2022</t>
  </si>
  <si>
    <t>WOS:000908307000001</t>
  </si>
  <si>
    <t>Yasukawa, K; Butler, LK; Enstrom, DA</t>
  </si>
  <si>
    <t>Yasukawa, Ken; Butler, Luke K.; Enstrom, David A.</t>
  </si>
  <si>
    <t>Intersexual and intrasexual consequences of epaulet colour in male red-winged blackbirds: an experimental approach</t>
  </si>
  <si>
    <t>We conducted experiments on the intersexual and intrasexual consequences of epaulet colour in male red-winged blackbirds, Agelaius phoeniceus. In the female choice experiment, we gave captive females a choice between males with normal or dulled epaulets, and between males with normal or reddened epaulets. Females tended to associate more with normal males than with dulled males, but were equally likely to perform precopulatory displays to the two types of males. Females associated significantly more with redder-than-normal males and were more likely to perform precopulatory displays to reddened males. In the male-male competition experiment, we presented free-living territorial males with a male model to which we could attach wings with dulled, normal or reddened epaulets. Presence of the model with reddened epaulets resulted in significant increases in display rates by territory owners, but the increase in display rates was probably in response to males other than the territory owner flying through and trespassing rather than to the reddened epaulet model per se. Normal epaulets produced a significant decrease in song rates and approach distances of owners. Responses of territorial and other males did not differ significantly during normal and dulled epaulet presentations. These results support the hypothesis that epaulets of male red-winged blackbirds are salient inter-and intrasexual signals: unusually red epaulets were attractive to females and attracted more attention and aggression from male conspecifics than normal epaulets. Epaulet colour may thus be an example of intrasexual selection opposing intersexual selection. (C) 2008 The Association for the Study of Animal Behaviour. Published by Elsevier Ltd. All rights reserved.</t>
  </si>
  <si>
    <t>Yasukawa, Ken/0000-0002-8785-3123</t>
  </si>
  <si>
    <t>10.1016/j.anbehav.2008.11.013</t>
  </si>
  <si>
    <t>WOS:000262709400033</t>
  </si>
  <si>
    <t>Meakin, CA; Qin, JG</t>
  </si>
  <si>
    <t>Meakin, C. A.; Qin, J. G.</t>
  </si>
  <si>
    <t>Growth, behaviour and colour changes of juvenile King George whiting (Sillaginodes punctata) mediated by light intensities</t>
  </si>
  <si>
    <t>NEW ZEALAND JOURNAL OF MARINE AND FRESHWATER RESEARCH</t>
  </si>
  <si>
    <t>Light is an important environmental factor regulating physiological processes and ecological activities in fishes. This research aimed to examine the effect of light on the growth, distribution and body colour of juvenile King George whiting (Sillaginodes punctata) when fish were exposed to different light levels under laboratory conditions. In this study, the fish were exposed to three light levels (25, 500, and 1000 lux) in triplicate for two months. Comparisons were made for growth, body colour and behavioural changes between treatments. During the experimental period, there were no statistical differences in specific growth rate, survival, growth efficiency and condition factor between the light levels. Although light did not affect swimming speed or encounter rates, it did influence group flight activity and fish distribution in the tanks. Whiting in low light preferred to spend more time grouped at the bottom of the tank than at medium (500 lux) or high light (1000 lux). Likewise, after having been exposed to low light, whiting exhibited a brighter colour and had fewer body markings and counter-shading than fish in medium and high light intensities. Differences in fish distribution and body colour between medium and high light intensities were not detected. This study offers a new insight into understanding the impact of light on behaviour and body colour of fish, which may contribute to the spatial distribution, predator avoidance and recruitment of fish in inshore coastal waters.</t>
  </si>
  <si>
    <t>Qin, Jianguang/0000-0003-2448-8058</t>
  </si>
  <si>
    <t>0028-8330</t>
  </si>
  <si>
    <t>10.1080/00288330.2011.608687</t>
  </si>
  <si>
    <t>WOS:000304675700010</t>
  </si>
  <si>
    <t>Voelker, G; Museum, B</t>
  </si>
  <si>
    <t>An hypothesis for seasonal color strange in the genus Sterna</t>
  </si>
  <si>
    <t>In keeping with a recent and growing body of literature providing evidence for the functional significance of molt patterns in relation to other events in the annual cycle, I present and discuss an hypothesis for the adaptive significance of one aspect of seasonal color change in Sterna terns. After breeding, many adults molt a limited number of head feathers which results in a mottled aspect. I suggest that the post-breeding change in head color is a signal directed by nonbreeding species toward breeding congeners that may be encountered either during migration to winter range, or in the winter range. This advertisement of nonbreeding status should help members of migratory/wintering species to avoid costly courtship chases and aggression from breeding species.</t>
  </si>
  <si>
    <t>10.2307/3677231</t>
  </si>
  <si>
    <t>WOS:A1996VQ62800012</t>
  </si>
  <si>
    <t>Dey, CJ; Quinn, JS; King, A; Hiscox, J; Dale, J</t>
  </si>
  <si>
    <t>Dey, Cody J.; Quinn, James S.; King, Ash; Hiscox, Jessica; Dale, James</t>
  </si>
  <si>
    <t>A bare-part ornament is a stronger predictor of dominance than plumage ornamentation in the cooperatively breeding Australian Swamphen</t>
  </si>
  <si>
    <t>Many animals use coloration to signal dominance and fighting ability. In birds, plumage coloration is often linked to individual quality, but less research has investigated coloration in unfeathered traits (i.e. 'bare parts'), despite theoretical expectations that they might be more reliable signals. Here, we investigate the relationship between multiple ornaments and social dominance in a wild population of the cooperatively breeding Australian Swamphen (known locally as and hereafter referred to as Pukeko; Porphyrio melanotus melanotus) to test the hypothesis that barepart ornaments should be more strongly correlated with dominance than plumage coloration. We show that the size and color of the pukeko's frontal shield (a bare-part ornament), as well as the brightness and chroma of the blue-UV breast plumage, are correlated with social dominance in adult birds. However, the correlation between frontal shield size and dominance was much higher than that between plumage color and dominance, and was also higher than most previously published correlations between plumage traits and dominance. Additionally, frontal shield size, but not breast coloration, was correlated with the size of the testes in male pukekos, which may be because bare-part ornaments are more closely tied to an individual's current physiology than plumage ornaments. While correlative, our results demonstrate that bare-part and plumage traits could act as redundant ornaments, but with differing reliability, and suggest that future studies on bare-part ornaments will enhance our understanding of dominance signaling. Keywords: color, feather, multiple ornamentation, pukeko, aggression, badge of status, status signal, testes</t>
  </si>
  <si>
    <t>Dey, Cody/0000-0003-4947-8972</t>
  </si>
  <si>
    <t>10.1642/AUK-16-119.1</t>
  </si>
  <si>
    <t>WOS:000398573200004</t>
  </si>
  <si>
    <t>Sawada, K; Yamahira, K; Kuriwada, T</t>
  </si>
  <si>
    <t>Sawada, Kouji; Yamahira, Kazunori; Kuriwada, Takashi</t>
  </si>
  <si>
    <t>Interpopulation variation in female color-type frequency of Ischnura senegalensis in Okinawa Island, Japan (Odonata: Coenagrionidae)</t>
  </si>
  <si>
    <t>Ischnura senegalensis (Rambur, 1842) has two female color-types: gynochromes, which are brown, and androchromes, which are green and similar in appearance to conspecific males. Ischnura senegalensis females from Okinawa Island, a small island in the Ryukyu Archipelago, Japan, show color-type frequencies that vary greatly, even among adjacent local populations. For example, androchrome frequencies were very low (0-4.3 %) in northern populations of the island. However, in the southern populations androchrome frequencies were high and ranged widely (0-67.2%). Periodical surveys from 2011 to 2013 of two adjacent southern populations revealed that the frequency of color-type remained constant over time. To our knowledge, this is the first study of temporally stable and extremely high interpopulation variation in female color-type frequency in Odonata. We discuss possible reasons for the evolution of such high interpopulation variation in color-type frequency.</t>
  </si>
  <si>
    <t>DEC 1</t>
  </si>
  <si>
    <t>WOS:000345540300007</t>
  </si>
  <si>
    <t>Huber, BA; Perez-González, A; Astrin, JJ; Blume, C; Baptista, R</t>
  </si>
  <si>
    <t>Huber, Bernhard A.; Perez-Gonzalez, Abel; Astrin, Jonas J.; Blume, Christina; Baptista, Renner</t>
  </si>
  <si>
    <t>Litoporus iguassuensis Mello-Leitao, 1918 (Araneae, Pholcidae): Camouflaged retreat, sexual dimorphism, female color polymorphism, intra-specific genital variation, and description of the male</t>
  </si>
  <si>
    <t>We describe the previously unknown male of Litoporus iguassuensis Mello-Leitao, 1918 and document the exceptional biology of this species: (1) females and juveniles but not adult males construct camouflaged retreats; (2) there is a strong sexual dimorphism involving coloration, leg length, and behavior; (3) females at some localities are color polymorphic, i.e., discontinuously variable within the population. The species, previously only known from Rio de Janeiro, is widely distributed in the Brazilian Atlantic Forest. Among some of the localities studied it shows genital and male cheliceral variation that is here interpreted as being intraspecific. Preliminary molecular data (16S, H3) reveal low p-distances and no significant grouping information, leading us to hypothesize a single variable species rather than two or more species. Finally, we argue that Mello-Leitao's original assignment to Litoporus (instead of Tupigea) may be correct, and discuss the implications: (1) Litoporus may be nested within Mesabolivar and represent a case of evolutionary shift among microhabitats with the correlated morphological changes; (2) extreme sexual dimorphism may be common in Litoporus and may explain the fact that females continue to be unknown in several species (because they were not recognized as being conspecific with the males). (C) 2012 Elsevier GmbH. All rights reserved.</t>
  </si>
  <si>
    <t>Pérez-González, Abel/R-4999-2019; Astrin, Jonas/N-5207-2018</t>
  </si>
  <si>
    <t>Pérez-González, Abel/0000-0002-4245-3302; Astrin, Jonas/0000-0003-1961-1162</t>
  </si>
  <si>
    <t>10.1016/j.jcz.2012.12.001</t>
  </si>
  <si>
    <t>WOS:000322803400009</t>
  </si>
  <si>
    <t>Horth, L</t>
  </si>
  <si>
    <t>Melanic body colour and aggressive mating behaviour are correlated traits in male mosquitofish (Gambusia hotbrooki)</t>
  </si>
  <si>
    <t>Correlated traits are important from an evolutionary perspective as natural selection acting on one trait may indirectly affect other traits. Further, the response to selection can be constrained or hastened as a result of correlations. Because mating behaviour and body colour can dramatically affect fitness, a correlation between them can have important fitness ramifications. In this work, melanic (black) male mosquitofishes (Gambusia holbrooki) with temperature-sensitive body-colour expression are bred in captivity. Half of the sons of each melanic sire are reared at 19 degreesC (and express a black body colour) and half are reared at 31 degreesC (and express a silver body colour). The two colour morphs are placed in the same social setting and monitored for behavioural differences. Mating behaviour and colour are correlated traits. Mating behaviour differs markedly between the two phenotypes, despite high genetic relatedness. Melanic (black) phenotypes are more aggressive towards females, chasing them and attempting more matings than their silver siblings. Females avoid melanic-male mating attempts more than silver-male mating attempts. When males with temperature-sensitive colour expression are melanic and aggressive, they probably experience a very different selective regime in nature from when they are silver and less aggressive. Under some conditions (e.g. predation), melanic coloration and/or aggression is advantageous compared with silver coloration and/or less aggressive behaviour. However, under different conditions (e.g. high-frequency melanism), melanism and/or aggression appears to be disadvantageous and melanic males have reduced survival and reproduction. Selective advantages to each morph under different conditions may enable the long-term persistence of this temperature-sensitive genotype.</t>
  </si>
  <si>
    <t>MAY 22</t>
  </si>
  <si>
    <t>10.1098/rspb.2003.2348</t>
  </si>
  <si>
    <t>WOS:000182969100005</t>
  </si>
  <si>
    <t>Chaves-Acuña, W; Sandoval, L; Bitton, PP; Barrantes, G; García-Rodríguez, A</t>
  </si>
  <si>
    <t>Chaves-Acuna, Wagner; Sandoval, Luis; Bitton, Pierre-Paul; Barrantes, Gilbert; Garcia-Rodriguez, Adrian</t>
  </si>
  <si>
    <t>Conspecific and Predator Perception of the Red Oophaga pumilio Morph from the Central Caribbean of Costa Rica</t>
  </si>
  <si>
    <t>Strawberry Poison Frogs (Oophaga pumilio) are common members of leaf litter lowland communities in Central America and exhibit several color morphs throughout their distribution. Color plays a determinant role during intra- and intermorph interactions in many insular populations, but little is known about the variation and perception of visual signals in mainland populations. In this study, we investigated color variation of four body parts-head, back, belly, and throat-in a bright red O. pumilio population of northeastern Costa Rica. We incorporated frog- and bird-specific visual modeling to evaluate the differences in color and brightness between the sexes, from the perspective of conspecifics and avian predators. Furthermore, we measured the color and brightness contrast against natural backgrounds commonly used by these frogs to forage and patrol within territories. Our results revealed that, from the perspective of conspecifics, there is no dichromatism between males and females. However, females had a greater contrast against green and brown backgrounds than males. The bird visual models indicated that males and females are highly conspicuous against common background substrates but that females are easier to detect than males. This study detailing color variants between sexes within a mainland population of O. pumilio contributes to our understanding of color differences in populations of this species.</t>
  </si>
  <si>
    <t>García-Rodríguez, Adrián/I-8990-2016</t>
  </si>
  <si>
    <t>Chaves-Acuna, Wagner/0000-0002-6669-5701; Garcia-Rodriguez, Adrian/0000-0002-9831-2963</t>
  </si>
  <si>
    <t>10.1670/19-110</t>
  </si>
  <si>
    <t>WOS:000589893000013</t>
  </si>
  <si>
    <t>Eaton, L; Edmonds, E; Henry, TB; Snellgrove, DL; Sloman, KA</t>
  </si>
  <si>
    <t>Eaton, L.; Edmonds, E. J.; Henry, T. B.; Snellgrove, D. L.; Sloman, K. A.</t>
  </si>
  <si>
    <t>Mild maternal stress disrupts associative learning and increases aggression in offspring</t>
  </si>
  <si>
    <t>Maternal stress has been shown to affect behaviour of offspring in a wide range of animals, but this evidence has come from studies that exposed gestating mothers to acute or severe stressors, such as restraint or exposure to synthetic stress hormones. Here we show that exposure of mothers to even a mild stressor reduces associative learning and increases aggression in offspring. Female guppies were exposed to routine husbandry procedures that produced only a minimal, non-significant, elevation of the stress hormone cortisol. In contrast to controls, offspring from mothers that experienced this mild stress failed to learn to associate a colour cue and food reward, and showed a greater amount of inter-individual variation in behaviour compared with control offspring. This mild stress also resulted in offspring that were more aggressive towards their own mirror image than controls. While it is possible that these results could represent the transmission of beneficial maternal characteristics to offspring born into unpredictable environments, the potential for mild maternal stress to affect offspring performance also has important implications for research into the trans-generational effects of stress. (C) 2015 Elsevier Inc. All rights reserved.</t>
  </si>
  <si>
    <t>Henry, Theodore/C-2634-2013</t>
  </si>
  <si>
    <t>Henry, Theodore/0000-0002-9675-9454; Eaton, Lewis/0000-0002-3463-3848</t>
  </si>
  <si>
    <t>10.1016/j.yhbeh.2015.03.005</t>
  </si>
  <si>
    <t>WOS:000355573500002</t>
  </si>
  <si>
    <t>Tyers, AM; Turner, GF</t>
  </si>
  <si>
    <t>Tyers, Alexandra M.; Turner, George F.</t>
  </si>
  <si>
    <t>Signal and preference divergence among populations of the non-endemic basal Lake Malawi cichlid fish Astatotilapia calliptera (Perciformes: Cichlidae)</t>
  </si>
  <si>
    <t>In Lake Malawi and Lake Victoria, cichlid fishes have diversified into hundreds of species, many reproductively isolated by mate choice. Territorial males tend to be more aggressive to similar-coloured males, facilitating coexistence of divergent colour morphs or species. Behavioural mate choice and aggression biases of species and allopatric populations of specialized rocky shore cichlids are influenced by divergent signals such as male colour. Believed to be basal to the Lake Malawi haplochromine radiation, and inhabiting shallow weedy areas of the lake and neighbouring water bodies, Astatotilapia calliptera also shows allopatric variation in colour. Here, it is demonstrated that such signal divergence is associated with tendencies of females to mate with males of their own population and also for males to preferentially attack males of their own population, indicating that preference divergence related to signal divergence in allopatry may have operated throughout the adaptive radiation of the Malawian cichlids.(c) 2013 The Linnean Society of London, Biological Journal of the Linnean Society, 2013, 110, 180-188.</t>
  </si>
  <si>
    <t>Tyers, Alexandra Morton/0000-0002-1153-1347; Turner, George/0000-0003-0099-7261</t>
  </si>
  <si>
    <t>10.1111/bij.12105</t>
  </si>
  <si>
    <t>WOS:000323040200013</t>
  </si>
  <si>
    <t>Female preference for male coloration may explain behavioural isolation in sympatric darters</t>
  </si>
  <si>
    <t>Animal colour patterns are among the most striking examples of biological diversity. Elaborate coloration is thought to play a role in mate choice within populations and to pose a barrier to interbreeding between species, with individuals preferring the coloration of conspecifics. Ideally, the importance of coloration as a reproductive barrier would be tested by holding all traits constant and manipulating only colour to test its effect. In butterflies, researchers use paper models to manipulate female colour patterns and show strong male preference for conspecific female coloration. In African cichlids and poison frogs, researchers manipulate the light environment to test the importance of male colour in female preference for conspecifics. Here we use motorized models to test whether females in a pair of sexually dimorphic fish species (genus: Etheostoma) prefer conspecific over heterospecific male coloration. By isolating and manipulating specific components of male coloration, we show that females of both species significantly prefer conspecific male colour (red versus green) and pattern (stripe versus bars). These results provide strong evidence that female preference for conspecific male nuptial coloration may play a critical role in behavioural isolation. (C) 2011 The Association for the Study of Animal Behaviour. Published by Elsevier Ltd. All rights reserved.</t>
  </si>
  <si>
    <t>10.1016/j.anbehav.2011.06.023</t>
  </si>
  <si>
    <t>WOS:000295262800012</t>
  </si>
  <si>
    <t>Fuss, T; Witte, K</t>
  </si>
  <si>
    <t>Fuss, Theodora; Witte, Klaudia</t>
  </si>
  <si>
    <t>Sex differences in color discrimination and serial reversal learning in mollies and guppies</t>
  </si>
  <si>
    <t>Behavioral flexibility provides an individual with the ability to adapt its behavior in response to environmental changes. Studies on mammals, birds, and teleosts indicate greater behavioral flexibility in females. Conversely, males appear to exhibit greater behavioral persistence. We, therefore, investigated sex differences in behavioral flexibility in 2 closely related molly species (Poecilia latipinna, P. mexicana) and their more distant relative, the guppy P. reticulata by comparing male and female individuals in a serial, visual reversal learning task. Fish were first trained in color discrimination, which was quickly learned by all females (guppies and mollies) and all molly males alike. Despite continued training over more than 72 sessions, male guppies did not learn the general test procedure and were, therefore, excluded from further testing. Once the reward contingency was reversed serially, molly males of both species performed considerably better by inhibiting their previous response and reached the learning criterion significantly faster than their respective conspecific females. Moreover, Atlantic molly males clearly outperformed all other individuals (males and females) and some of them even reached the level of 1-trial learning. Thus, the apparently universal pattern of higher female behavioral flexibility seems to be inverted in the 2 examined molly species, although the evolutionary account of this pattern remains highly speculative. These findings were complemented by the observed lower neophobia of female sailfin mollies compared with their male conspecifics. This sex difference was not observed in Atlantic mollies that were observed to be significantly less distressed in a novel situation than their consexuals. Hypothetically, sex differences in behavioral flexibility can possibly be explained in terms of the different roles that males and females play in mating competition, mate choice, and reproduction or, more generally, in complex social interactions. Each of these characteristics clearly differed between the closely related mollies and the more distantly related guppies.</t>
  </si>
  <si>
    <t>10.1093/cz/zoz029</t>
  </si>
  <si>
    <t>WOS:000475905500012</t>
  </si>
  <si>
    <t>NORMAN, DO</t>
  </si>
  <si>
    <t>ROLE FOR PLUMAGE COLOR IN MUTE SWAN (CYGNUS-OLOR) PARENT-OFFSPRING INTERACTIONS</t>
  </si>
  <si>
    <t>Mute swan (C. olor) cygnets usually hatch out covered with a brownish gray colored down. Less frequently the cygnets will hatch out white. According to reports in the literature, white mute swan cygnets receive disproportionately more paternal aggression than their brownish gray colored siblings. To test whether this agression is the result of plumage color, brown and white swan models were presented to 4 territorial pairs of adult mute swans. Each model was presented separately to the swans on their respective territories or both models were presented to the territory holders at the same time. The models were accorded significantly different treatments by the territorial adults. The white model received more threats and attacks than did the brown model. The experimental results together with anecdotal evidence suggest the use of whiteness as a major cue for identifying conspecifics in the mute swan.</t>
  </si>
  <si>
    <t>10.1163/156853977X00162</t>
  </si>
  <si>
    <t>WOS:A1977EA46300006</t>
  </si>
  <si>
    <t>Aikins, C; Altizer, S; Sasaki, T</t>
  </si>
  <si>
    <t>Aikins, Caroline; Altizer, Sonia; Sasaki, Takao</t>
  </si>
  <si>
    <t>Neither Copy nor Avoid: No Evidence for Social Cue Use in Monarch Butterfly Oviposition Site Selection</t>
  </si>
  <si>
    <t>Time spent assessing host plant quality during oviposition for phytophagous insects represents an energy-fitness tradeoff affecting future reproduction and offspring survival. In situations where resources are scarce or unattractive, organisms can utilize social information, including cues left behind by conspecific individuals, to inform decisions. In invertebrates, eggs deposited by previous females could signal a desirable resource, or alternatively females might avoid ovipositing near conspecific eggs to reduce offspring competition. Here, we show that monarch butterflies (Danaus plexippus) display the same pattern of oviposition across milkweed (Asclepias incarnata) stalks of differing quality, ignoring potential social cues and competition pressure imposed by conspecific eggs. Female monarchs preferentially laid eggs on healthy-looking, intact milkweed relative to water-stressed or herbivory-damaged stalks and exhibited differential post-alightment behavior on the three stalk types. Despite this apparent assessment of host plants for suitability, females failed to respond to social information in the form of conspecific eggs. Contrary to expectations that females would avoid healthy-looking, intact stalks with high egg numbers and prefer less desirable stalks with moderate egg numbers, the number of eggs laid by focal females did not depend on the number of prior conspecific eggs per stalk, regardless of stalk type. Our results suggest that monarchs neither avoid nor prefer stalks with conspecific eggs- perhaps due to low egg densities and larval survival in the wild, making discrimination based on conspecific eggs impractical when milkweed is abundant. Alternatively, egg clustering by females may be an adaptive oviposition strategy when host plant options are few, regardless of quality.</t>
  </si>
  <si>
    <t>Altizer, Sonia/0000-0001-9966-2773; Aikins, Caroline/0000-0001-6330-7569; Sasaki, Takao/0000-0001-7923-9855</t>
  </si>
  <si>
    <t>10.1007/s10905-023-09817-8</t>
  </si>
  <si>
    <t>FEB 2023</t>
  </si>
  <si>
    <t>WOS:000922274000001</t>
  </si>
  <si>
    <t>Whiting, MJ; Stuart-Fox, DM; O'Connor, D; Firth, D; Bennett, NC; Blomberg, SP</t>
  </si>
  <si>
    <t>Whiting, Martin J.; Stuart-Fox, Devi M.; O'Connor, David; Firth, David; Bennett, Nigel C.; Blomberg, Simon P.</t>
  </si>
  <si>
    <t>Ultraviolet signals ultra-aggression in a lizard</t>
  </si>
  <si>
    <t>Understanding the role of multiple colour signals during sexual signalling is a central theme in animal communication. We quantified the role of multiple colour signals (including ultraviolet, UV), measures of body size and testosterone levels in settling disputes between male rivals in an elaborately ornamented, African lizard, played out in a large 'tournament' in the wild. The hue and brightness (total reflectance) of the UV throat in Augrabies flat lizards, Platysaurus broadleyi, as well as body size, were consistent and strong predictors of 'fighting ability'. Males with high fighting ability were larger and displayed a UV throat with low total reflectance. In contrast, males with low fighting ability were smaller and had violet throats with broader spectral reflectance curves (higher total reflectance). As fighting ability is associated with alternative reproductive tactics in this system (territorial versus floater), we also examined the role of colour signals in predicting male reproductive tactic. Territorial males had UV throats with higher chroma but had poorer body condition than floater males, probably because of the energetic costs of maintaining a territory. Although testosterone was not a significant predictor of fighting ability or reproductive tactic, it was correlated with the hue of the UV throat, suggesting that testosterone may impose some constraint on signal expression. Lastly, we show that within the context of the natural signalling environment, UV-reflective throats constitute a conspicuous, effective signal that male Augrabies flat lizards use to advertise their status honestly to rivals. (c) 2006 The Association for the Study of Animal Behaviour. Published by Elsevier Ltd. All rights reserved.</t>
  </si>
  <si>
    <t>Blomberg, Simone P/B-7613-2008; Whiting, Martin J./E-2999-2010; Firth, David/A-8207-2011; Bennett, Nigel/E-4238-2010</t>
  </si>
  <si>
    <t>Whiting, Martin J./0000-0002-4662-0227; Firth, David/0000-0003-0302-2312; Blomberg, Simone/0000-0003-1062-0839; Bennett, Nigel/0000-0001-9748-2947; Stuart-Fox, Devi/0000-0003-3362-1412</t>
  </si>
  <si>
    <t>10.1016/j.anbehav.2005.10.018</t>
  </si>
  <si>
    <t>WOS:000240217300011</t>
  </si>
  <si>
    <t>Bannister, CC; Thomson, AJC; Cuculescu-Santana, M</t>
  </si>
  <si>
    <t>Bannister, Callum C.; Thomson, Angus J. C.; Cuculescu-Santana, Mirela</t>
  </si>
  <si>
    <t>Can colored object enrichment reduce the escape behavior of captive freshwater turtles?</t>
  </si>
  <si>
    <t>ZOO BIOLOGY</t>
  </si>
  <si>
    <t>The effect of environmental enrichment on the behavior and welfare in captivity of reptiles and of freshwater turtles in particular, which are popular aquarium and pet species, is very little studied compared to other taxa. We carried out a small scale case-study on the effect of colored object enrichment, with and without fish scent, on the behavior of a group of 15 cooters (Pseudemys sp.) and sliders (Trachemys scripta ssp.) on display at a public aquarium. The new enrichment aimed to reduce the escape behavior (interaction with transparent boundaries) and increase exploration and random swimming. We used simultaneous recording of behavior at whole group level and for focal individually-marked turtles. The escape behavior decreased on days with new enrichment before feeding at whole group level and for the focal turtles overall, in spite of the relatively low interest in the colored objects. Fish-scented objects attracted significantly more interest. Random swimming, enrichment focus, aggression and submission increased significantly, and basking decreased significantly at whole group level before feeding, with smaller differences after feeding. There were large differences between individual turtles with respect to activity budgets and changes in behavior on days with new enrichment, with both increases and decreases seen in escape behavior, aggression, and levels of activity. Our outcomes suggested that introducing new colored objects with food scent may be beneficial for reducing escape behavior in captive freshwater turtles. However, careful monitoring of effects at individual level and much larger scale investigations, including postenrichment periods, are needed.</t>
  </si>
  <si>
    <t>Bannister, Callum/HRD-3767-2023; Thomson, Angus/GWC-6149-2022</t>
  </si>
  <si>
    <t>0733-3188</t>
  </si>
  <si>
    <t>1098-2361</t>
  </si>
  <si>
    <t>10.1002/zoo.21583</t>
  </si>
  <si>
    <t>FEB 2021</t>
  </si>
  <si>
    <t>WOS:000614925000001</t>
  </si>
  <si>
    <t>Cheroske, AG; Cronin, TW; Durham, MF; Caldwell, RL</t>
  </si>
  <si>
    <t>Cheroske, Alexander G.; Cronin, Thomas W.; Durham, Mary F.; Caldwell, Roy L.</t>
  </si>
  <si>
    <t>Adaptive signaling behavior in stomatopods under varying light conditions</t>
  </si>
  <si>
    <t>Stomatopod crustaceans (mantis shrimp) are aggressive benthic marine predators with extraordinary color vision. When communicating with conspecifics, many stomatopods display conspicuously colored body areas, often in combination with other types of signals such as motion and chemical cues. Some species occupy wide depth ranges (&gt;30 m), where changing light conditions can influence color perception. To test the potential effects of differing ambient lights on signaling behavior, stomatopods (Gonodactylus smithii) interacted with conspecifics in aquaria, under full-spectrum, high intensity light or light restricted in either spectrum or intensity. During intrasexual and intersexual trials in full-spectrum, high intensity light, animals performed more aggressive acts using colored body parts (meral spread, lunge, strike). Stomatopods used significantly more antennular flicking, and performed aggressive acts at reduced distances under restricted light conditions. To compare the use of antennules in visual and chemical communication, additional experiments showed more antennular flicking in response to chemical stimuli from food or conspecifics compared to seawater controls. This response ceased immediately after ablation of antennular chemoreceptors but returned to pre-treatment levels after 5 days of recovery. These findings suggest that stomatopods can vary their use of signals during conspecific interactions under different photic conditions. These inducible, plastic behavioral responses can potentially improve signal transfer in varying light environments.</t>
  </si>
  <si>
    <t>Durham, Mary/0000-0002-9378-1795</t>
  </si>
  <si>
    <t>10.1080/10236240903169222</t>
  </si>
  <si>
    <t>WOS:000271013700001</t>
  </si>
  <si>
    <t>Stapley, J</t>
  </si>
  <si>
    <t>Individual variation in preferred body temperature covaries with social behaviours and colour in male lizards</t>
  </si>
  <si>
    <t>JOURNAL OF THERMAL BIOLOGY</t>
  </si>
  <si>
    <t>I. I tested if individual variation in preferred body temperature (PBT) covaried with behaviours and male phenotypic traits (size and colouration) in Pseudemoia entrecasteauxii. 2. Individuals varied in their PBT and this variation was repeatable across days. PBT was not related to body size but males with orange ventral colour had higher PBT. 3. Males with orange ventral colour were more aggressive and dominated males with white venters. 4. Male behaviours were correlated and they covaried with PBT. Correlated behaviours such as these may be related to a shy-bold continuum. (c) 2006 Elsevier Ltd. All rights reserved.</t>
  </si>
  <si>
    <t>Stapley, Jessica/B-3858-2010</t>
  </si>
  <si>
    <t>Stapley, Jessica/0000-0002-9138-5684</t>
  </si>
  <si>
    <t>0306-4565</t>
  </si>
  <si>
    <t>10.1016/j.jtherbio.2006.01.008</t>
  </si>
  <si>
    <t>WOS:000237171000013</t>
  </si>
  <si>
    <t>Podberscek, AL; Serpell, JA</t>
  </si>
  <si>
    <t>Environmental influences on the expression of aggressive behaviour in English Cocker Spaniels</t>
  </si>
  <si>
    <t>A group of 'low' (n=217) and 'high' (n=218) aggression purebred English Cocker Spaniels were compared in relation to demographics and owner interactions. Owners of 'low' aggression dogs were more likely to be: older (65 years +; chi(2)=18.753, P&lt;0.01) and more attached to their dogs (U=20346, P&lt;0.001). Dogs in the 'high' aggression group were: significantly more likely to be of a solid colour (chi(2)=38.13, P&lt;0.001); more likely to have been chosen for pet purposes only (chi(2)=25.161, P&lt;0.001); more likely to have suffered an illness during the first 16 weeks of life (chi(2)=14.899, P&lt;0.001); groomed less often (t=2.252, P&lt;0.05); given less time for walks/exercise (t=2.618, P&lt;0.01); slow in obeying commands (U=17967.5, P&lt;0.001), more likely to pull on the lead (U=16663, P&lt;0.001); and more likely to react to loud or high-pitched noises (chi(2)=14.142, P&lt;0.001). Factors often quoted to be important in the development of dominance-related aggression, such as feeding the dog before the owner eats, a lack of obedience training, and playing competitive games with the dog, were not found to be significantly different between the two groups. Determining the importance of various factors in the development of canine aggression will enable us to better advise owners in the rearing of their dogs. (C) 1997 Elsevier Science B.V.</t>
  </si>
  <si>
    <t>Serpell, James/0000-0002-2826-1187</t>
  </si>
  <si>
    <t>10.1016/S0168-1591(96)01124-0</t>
  </si>
  <si>
    <t>WOS:A1997XA61600004</t>
  </si>
  <si>
    <t>Yang, ML; Wang, YL; Liu, Q; Liu, ZK; Jiang, F; Wang, HM; Guo, XJ; Zhang, JZ; Kang, L</t>
  </si>
  <si>
    <t>Yang, Meiling; Wang, Yanli; Liu, Qing; Liu, Zhikang; Jiang, Feng; Wang, Huimin; Guo, Xiaojiao; Zhang, Jianzhen; Kang, Le</t>
  </si>
  <si>
    <t>A β-carotene-binding protein carrying a red pigment regulates body-color transition between green am black in locusts</t>
  </si>
  <si>
    <t>ELIFE</t>
  </si>
  <si>
    <t>Changes of body color have important effects for animals in adapting to variable environments. The migratory locust exhibits body color polyphenism between solitary and gregarious individuals, with the former displaying a uniform green coloration and the latter having a prominent pattern of black dorsal and brown ventral surface. However, the molecular mechanism underlying the density-dependent body color changes of conspecific locusts remain largely unknown. Here, we found that upregulation of beta-carotene-binding protein promotes the accumulation of red pigment, which added to the green color palette present in solitary locusts changes it from green to black, and that downregulation of this protein led to the reverse, changing the color of gregarious locusts from black to green. Our results provide insight that color changes of locusts are dependent on variation in the red beta-carotene pigment binding to beta CBP. This finding of animal coloration corresponds with trichromatic theory of color vision.</t>
  </si>
  <si>
    <t>wang, hui/HSG-6135-2023; wang, huimin/HDM-8421-2022; liu, xiang/JED-7878-2023; Kang, Le/ABD-1116-2022; Wang, Hui/HMU-9512-2023</t>
  </si>
  <si>
    <t>Kang, Le/0000-0003-4262-2329; Jiang, Feng/0000-0002-7407-7604; Liu, Qing/0000-0002-6163-2488</t>
  </si>
  <si>
    <t>2050-084X</t>
  </si>
  <si>
    <t>JAN 8</t>
  </si>
  <si>
    <t>e41362</t>
  </si>
  <si>
    <t>10.7554/eLife.41362</t>
  </si>
  <si>
    <t>WOS:000455079700001</t>
  </si>
  <si>
    <t>Moore, MP; Martin, RA</t>
  </si>
  <si>
    <t>Moore, M. P.; Martin, R. A.</t>
  </si>
  <si>
    <t>Intrasexual selection favours an immune-correlated colour ornament in a dragonfly</t>
  </si>
  <si>
    <t>Sexual signalling is predicted to shape the evolution of sex-specific ornamentation, and establishing the costs and benefits of ornamentation and the information that ornamentation provides to receivers is necessary to evaluating this adaptive function. Here, we assessed the adaptive function of a common colour ornament in insects, melanin wing ornamentation, using the dragonfly Pachydiplax longipennis. We hypothesized that greater ornamentation would improve territory-holding success by decreasing aggression that males receive from territorial rivals, but that more ornamented males may have shorter lifespans. Using mark-recapture field observations, we found that more ornamented males had greater territory-holding success and that viability selection did not act on wing melanization. We then compared the aggression of territorial rivals to decoy males before and after experimentally augmenting wing melanization, finding that males significantly reduced aggression following the manipulation. We next hypothesized that wing melanization would signal fighting ability to territorial rivals by reflecting condition via investment in the costly melanin synthesis pathway. We observed a positive relationship between ornamentation and the likelihood of winning territorial disputes, suggesting that wing melanization provides information about fighting ability to rivals. We also found a positive relationship between melanin-based immune defence and ornamentation, supporting a link between the signal and condition. We conclude that wing melanization is a condition-related signal of fighting ability and suggest that this may be a common mechanism promoting the evolution of melanin ornamentation.</t>
  </si>
  <si>
    <t>Martin, Ryan/AAF-1314-2019; Moore, Michael/JJD-3293-2023</t>
  </si>
  <si>
    <t>Martin, Ryan/0000-0002-7448-5907; Moore, Michael/0000-0002-8255-4247</t>
  </si>
  <si>
    <t>10.1111/jeb.12953</t>
  </si>
  <si>
    <t>WOS:000388312300013</t>
  </si>
  <si>
    <t>Pham, TT; Queller, PS; Tarvin, KA; Murphy, TG</t>
  </si>
  <si>
    <t>Pham, T. T.; Queller, P. S.; Tarvin, K. A.; Murphy, T. G.</t>
  </si>
  <si>
    <t>Honesty of a dynamic female aggressive status signal: baseline testosterone relates to bill color in female American goldfinches</t>
  </si>
  <si>
    <t>Status signals are linked to fighting ability and enable competitors to gain access to resources without risking injury in aggressive combat. The relationship between testosterone (T), a hormone that mediates aggression, and signals of status is well studied in males, but little is known about the relationship between T and female signals of status. Female and male American goldfinches Spinus tristis express a dynamic carotenoid-based orange bill color during the breeding season and previous work has demonstrated that females use orange bill color to communicate competitive ability during intrasexual competition. We test the hypothesis that female bill color reflects baseline T, which would allow receivers to directly assess a competitor's aggressive potential. We found a positive relationship between T and bill coloration in females, indicating that bill color has the ability to signal female competitive status. This finding is consistent with the hypothesis that female bill color is a reliable signal of fighting ability, and indicates that females, like males, may use coloration to signal their hormonally mediated aggressive potential.</t>
  </si>
  <si>
    <t>Murphy, Troy/A-7092-2008</t>
  </si>
  <si>
    <t>Murphy, Troy/0000-0001-7239-2160</t>
  </si>
  <si>
    <t>1600-048X</t>
  </si>
  <si>
    <t>10.1111/j.1600-048X.2013.00286.x</t>
  </si>
  <si>
    <t>WOS:000329866900004</t>
  </si>
  <si>
    <t>Terlouw, EMC; Porcher, J; Fernandez, X</t>
  </si>
  <si>
    <t>Repeated handling of pigs during rearing. II. Effect of reactivity to humans on aggression during mixing and on meat quality</t>
  </si>
  <si>
    <t>JOURNAL OF ANIMAL SCIENCE</t>
  </si>
  <si>
    <t>The present study was designed to determine whether reactivity toward humans can be used to predict a pig's reactivity to the slaughter procedure as measured by postmortem muscle metabolism. Forty-two pigs were group-reared in six pens with straw-bedding. Pigs received regular positive (HI) or mildly negative (RC) handling training in a separate pen for 40 d before slaughter. Control pigs remained in their home pens throughout rearing. Pigs were slaughtered at a commercial packing plant, and half of each treatment group (HI, RC, or controls) was accompanied by the handler throughout mixing and transportation, as well as a portion of the lairage time and introduction to the holding pens situated before the slaughter room, whereas the other half was not accompanied by the handler. Muscle pH and temperature, objective color (L*, a*, and b* values), and drip loss were measured on the LM, biceps femoris, semimembranosus, and adductor femoris. Prior handling experience did not in itself influence ultimate meat quality (P &gt; 0.37); however, the presence of the negative handler (RC pigs) at slaughter accelerated (P &lt; 0.06) preslaughter glycogen breakdown in the LM. Fighting behavior during mixing explained between 13 and 32% of the variability of lightness (L* values) of the LM, biceps femoris, and semimembranosus. Visual contact with the handler at the start of the handling training and number of fights initiated explained between 31 and 42% of the variability in ultimate muscle pH. Latency to approaching the handler during human exposure tests explained 20% of the variability in initial muscle temperature of two muscles. Fighting behavior during mixing could be partly predicted from fighting during a food competition test conducted at the start of the rearing period. Results indicate that reactivity to humans and the tendency to fight determined, in part, meat quality in pigs of similar genetic and rearing backgrounds. These behavioral characteristics were, to some extent, determined early in life. Handling experience modified behavior toward the handler but correlations between behavioral characteristics and meat quality were not influenced by prior handling experience.</t>
  </si>
  <si>
    <t>Porcher, Jocelyne/M-2442-2014</t>
  </si>
  <si>
    <t>Terlouw, E. M. Claudia/0000-0002-8249-1100</t>
  </si>
  <si>
    <t>0021-8812</t>
  </si>
  <si>
    <t>1525-3163</t>
  </si>
  <si>
    <t>WOS:000235847500021</t>
  </si>
  <si>
    <t>Border, SE; DeOliveira, GM; Janeski, HM; Piefke, TJ; Brown, TJ; Dijkstra, PD</t>
  </si>
  <si>
    <t>Border, Shana E.; DeOliveira, Gabriela M.; Janeski, Hannah M.; Piefke, Taylor J.; Brown, Tayler J.; Dijkstra, Peter D.</t>
  </si>
  <si>
    <t>Social rank, color morph, and social network metrics predict oxidative stress in a cichlid fish</t>
  </si>
  <si>
    <t>Dominance hierarchies are a fundamental part of social systems in many species and social rank can influence access to resources and impact health and physiology. While social subordination is a profound stressor, few studies consider the social stress experienced by dominant males due to constantly needing to defend their dominance status through costly aggressive displays. Recent studies suggest that in species that use body coloration to signal status, these costs may also be color morph-specific. Our study examines the link between the social rank, intensity of territorial defense, body coloration, and oxidative stress in males of the color polymorphic cichlid fish Astatotilapia burtoni where males are either blue or yellow. We studied behavior in naturalistic communities and examined circulating reactive oxygen metabolites (ROMs) and antioxidant defenses. We found that dominant males experience higher concentrations of circulating ROMs without notably increasing their antioxidant defenses, but this effect was not related to color morph. Aggression and social network ties predicted oxidative stress in a morph-specific manner, with yellow but not blue males showing signs of increased oxidative damage with increasing agonistic effort. In contrast to expectation, oxidative stress was not influenced by cortisol or testosterone levels. We conclude that oxidative stress is instrumental to understanding the costs and benefits of high social rank.</t>
  </si>
  <si>
    <t>Piefke, Taylor/ISV-2446-2023</t>
  </si>
  <si>
    <t>Dijkstra, Peter/0000-0001-5382-225X</t>
  </si>
  <si>
    <t>10.1093/beheco/ary189</t>
  </si>
  <si>
    <t>WOS:000464932900025</t>
  </si>
  <si>
    <t>Culumber, ZW</t>
  </si>
  <si>
    <t>Culumber, Zachary W.</t>
  </si>
  <si>
    <t>Early recognition and response to predator, heterospecific, and conspecific visual cues by multiple species of poeciliid fry</t>
  </si>
  <si>
    <t>Recognition and response to cues from conspecific and heterospecific individuals is critical to survival and reproduction and therefore should be learned early in life. Young fry of two live-bearing fishes, Poecilia mexicana and Xiphophorus birchmanni, were exposed to visual cues of three different species in order to measure shoal tightening, an antipredator defence. Both species responded to a putative predator with shoal tightening, but response to a con-and hetero-specific poeciliid did not differ, though inter-fry distances became larger in the presence of both species compared to distances prior to exposure. There were also size-dependent effects on the pairwise distance between fry. These results suggest that fry are able to learn to distinguish among species based on visual cues alone at an early age, that A. mexicanus is perceived as a threat, but that adult poeciliids are likely not perceived as a predator by fry as some studies have posited.</t>
  </si>
  <si>
    <t>10.1163/1568539X-00003287</t>
  </si>
  <si>
    <t>WOS:000359994100002</t>
  </si>
  <si>
    <t>Ferreira, G; Keller, M; Saint-Dizier, H; Perrin, G; Lévy, F</t>
  </si>
  <si>
    <t>Transfer between views of conspecific faces at different ages or in different orientations by sheep</t>
  </si>
  <si>
    <t>Sheep are able to discriminate photographs of conspecific faces. The present study investigates adult ewe's recognition of faces of the same animal between different ages or between different orientations. Twelve adult sheep were first trained to discriminate between faces of two unfamiliar animals, one of which was associated with a food reward. Transfer of discrimination from this pair to the same pair but at a different age, or in a different orientation, was then evaluated (transfer test), and compared with a new pair of the same condition (control test). Learned discrimination of a frontal view of unfamiliar 3-month-old lambs' faces improved subsequent discrimination of the same pair when they were 1-month-old in comparison to discrimination of new 1-month-old faces. Moreover, sheep that were trained to discriminate frontal views of unfamiliar adult individuals discriminated profile views of the same animals more accurately than that of novels. However, learned discrimination of the profile view of unfamiliar adult faces had no effect on subsequent discrimination of the frontal view of that same pair. These results suggest that to some extent sheep recognise faces of unfamiliar animals at different ages and in different orientations. (C) 2004 Elsevier B.V. All rights reserved.</t>
  </si>
  <si>
    <t>Keller, Matthieu/Q-1431-2019</t>
  </si>
  <si>
    <t>Keller, Matthieu/0000-0002-5445-7431; Ferreira, Guillaume/0000-0001-5984-8143</t>
  </si>
  <si>
    <t>NOV 30</t>
  </si>
  <si>
    <t>10.1016/j.beproc.2004.08.005</t>
  </si>
  <si>
    <t>WOS:000225051100016</t>
  </si>
  <si>
    <t>BAUGH, JR; FORESTER, DC</t>
  </si>
  <si>
    <t>PRIOR RESIDENCE EFFECT IN THE DART-POISON FROG, DENDROBATES PUMILIO</t>
  </si>
  <si>
    <t>Each of 32 male, Dendrobates pumilio (red phase) were allowed to establish a territory in one half of a 40 liter aquarium. Each enclosure contained a substrate of Sphagnum, a pelted plant, and a water dish. Males occupying the same aquarium were prevented from seeing one another by an opaque barrier. In the first experiment, residents were presented with a conspecific intruder matched for size and color. Based on a numerical index of aggression, residents were consistently dominant over intruders. When reciprocal trials were conducted, the results were reversed (i.e. residents were dominant over males to which they previously had been subordinate). The success of resident males was not influenced by the size of conspecific intruders. In addition, residents consistently dominated a sympatric confamilial intruder (Phyllobates lugubris). Removal experiments revealed that resident males recognize and defend their enclosures after 3, and to a lesser degree, 6 days of isolation. We also examined the effect of territorial markers on the prior residence effect by stepwise removal of the plant and Sphagnum. Residents aggressively defended enclosures in both experiments. When Sphagnum was removed from the resident's enclosures and placed in a previously unused aquaria, 7 of 10 males exhibited dominance over conspecific intruders.</t>
  </si>
  <si>
    <t>10.1163/156853994X00442</t>
  </si>
  <si>
    <t>WOS:A1994QT85100005</t>
  </si>
  <si>
    <t>HANNON, SJ; EASON, P</t>
  </si>
  <si>
    <t>COLOR BANDS, COMBS AND COVERABLE BADGES IN WILLOW PTARMIGAN</t>
  </si>
  <si>
    <t>Willow ptarmigan, Lagopus lagopus, possess red supra-orbital combs. If this secondary sexual structure is important in attracting mates or in male-male competition, then colour banding males with red or orange bands (RO) could influence their pairing and reproductive success, survival and the amount of aggression directed towards them. Males with RO bands did not have more mates than those without RO bands, nor did males unbanded in year x improve their pairing success in year x+1 when they were given RO bands. In a female removal experiment, males with RO bands did not have more females settling on their territories than males with other band colours. Number of chicks fledged from successful nests and annual survival did not differ for RO and non-RO males. Monogamous and polygynous males had similar comb areas, which were larger than the combs of unmated males. When pairing status was controlled, comb area was not related to annual survival or number of chicks fledged. Males with RO bands did not have larger combs than non-RO males. Area of comb was correlated with territory size in years of high breeding density, but not in years of low breeding density. Radiotagged non-territorial males did not preferentially intrude upon the territories of males with RO bands and song rates, number of border disputes, mean length of border disputes, and territorial intrusion rates did not differ significantly for RO and non-RO males. These results suggest that colour-banding willow ptarmigan with red colour bands does not have a negative or positive effect on reproductive success or survival, and thus the data do not support the coverable badge hypothesis.</t>
  </si>
  <si>
    <t>Hannon, Susan J/A-2648-2014</t>
  </si>
  <si>
    <t>Eason, Perri/0000-0001-9796-2510</t>
  </si>
  <si>
    <t>10.1016/0003-3472(95)80153-7</t>
  </si>
  <si>
    <t>WOS:A1995QC44700006</t>
  </si>
  <si>
    <t>George, EM; Rosvall, KA</t>
  </si>
  <si>
    <t>George, Elizabeth M.; Rosvall, Kimberly A.</t>
  </si>
  <si>
    <t>Testosterone production and social environment vary with breeding stage in a competitive female songbird</t>
  </si>
  <si>
    <t>In many vertebrates, males increase circulating testosterone (T) levels in response to seasonal and social changes in competition. Females are also capable of producing and responding to T, but the full extent to which they can elevate T across life history stages remains unclear. Here we investigated T production during various breeding stages in female tree swallows (Tachycineta bicolor), which face intense competition for nesting sites. We performed GnRH and saline injections and compared changes in T levels 30 min before and after injection. We found that GnRH-injected females showed the greatest increases in T during territory establishment and pre-laying stages, whereas saline controls dramatically decreased T production during this time. We also observed elevated rates of conspecific aggression during these early stages of breeding. During incubation and provisioning, however, T levels and T production capabilities declined. Given that high T can disrupt maternal care, an inability to elevate T levels in later breeding stages may be adaptive. Our results highlight the importance of saline controls for contextualizing T production capabilities, and they also suggest that social modulation of T is a potential mechanism by which females may respond to competition, but only during the period of time when competition is most intense. These findings have broad implications for understanding how females can respond to their social environment and how selection may have shaped these hormone-behavior interactions.</t>
  </si>
  <si>
    <t>George, Elizabeth/GQQ-7136-2022; Rosvall, Kimberly A/GQB-1395-2022</t>
  </si>
  <si>
    <t>Rosvall, Kimberly A/0000-0003-3766-9624; George, Elizabeth/0000-0002-1223-5857</t>
  </si>
  <si>
    <t>10.1016/j.yhbeh.2018.05.015</t>
  </si>
  <si>
    <t>WOS:000441368400004</t>
  </si>
  <si>
    <t>HOLDER, K; MONTGOMERIE, R</t>
  </si>
  <si>
    <t>RED COLOR BANDS DO NOT IMPROVE THE MATING SUCCESS OF MALE ROCK PTARMIGAN</t>
  </si>
  <si>
    <t>We studied the relation between the mating success of male Rock Ptarmigan Lagopus mutus and the colour of their leg bands. A previous study in this population at Sarcpa Lake, NWT, Canada reported that males with red or orange (R/O) leg bands achieved significantly higher mating success in one year than males without these band colours. During our study, we found that R/O bands did not increase male mating success in four subsequent years. Males with R/O bands were, however. significantly more likely to suffer aggressive intrusions from other males than males with non-R/O bands. These new findings are more consistent with recent theoretical and empirical studies of coverable badges in birds-R/O bands are similar in colour to the supraorbital combs (a coverable ornament used in both inter- and intrasexual interactions) of male Rock Ptarmigan and thus may elicit aggression from other males rather than increasing their attractiveness to females.</t>
  </si>
  <si>
    <t>Montgomerie, Robert/C-6516-2008</t>
  </si>
  <si>
    <t>Montgomerie, Robert/0000-0003-4701-4525</t>
  </si>
  <si>
    <t>10.2307/3676410</t>
  </si>
  <si>
    <t>WOS:A1993KP96900009</t>
  </si>
  <si>
    <t>Van Gossum, H; Stoks, R; Matthysen, E; Valck, F; De Bruyn, L</t>
  </si>
  <si>
    <t>Male choice for female colour morphs in Ischnura elegans (Odonata, Coenagrionidae):: testing the hypotheses</t>
  </si>
  <si>
    <t>The occurrence of different conspecific female colour morphs, with one of the morphs resembling the male, is supposed to have consequences for mate choice. There are two hypotheses linking mate choice and female colour polymorphism. First, males may mate predominantly with female morphs that differ from the male because they do not recognize androchrome females as females (male mimic hypothesis). Second, males may be more attracted to the most common morph in the population (habituation hypothesis). We tested these hypotheses in five populations of the same species, Ischnura elegans, with a range of androchrome frequencies. In each population we performed binary choice experiments in small cages. Males did not consistently prefer gynochrome females but mated predominantly with the most common morph in the population. Moreover, a reanalysis of the available damselfly data in the literature also supported the habituation hypothesis. (C) 1999 The Association for the Study of Animal Behaviour.</t>
  </si>
  <si>
    <t>Stoks, Robby/AAK-1227-2020; De Bruyn, Luc/C-7030-2008</t>
  </si>
  <si>
    <t>De Bruyn, Luc/0000-0002-8968-8862; Stoks, Robby/0000-0003-4130-0459; Matthysen, Erik/0000-0002-7521-9248</t>
  </si>
  <si>
    <t>10.1006/anbe.1999.1100</t>
  </si>
  <si>
    <t>WOS:000080973100007</t>
  </si>
  <si>
    <t>Smith, PF; Kornfield, I</t>
  </si>
  <si>
    <t>Phylogeography of Lake Malawi cichlids of the genus Pseudotropheus:: significance of allopatric colour variation</t>
  </si>
  <si>
    <t>One of the most compelling features of the cichlid fishes of the African Great Lakes is the seemingly endless diversity of male coloration. Colour diversification has been implicated as an important factor driving cichlid speciation. Colour has also been central to cichlid taxonomy and, thus, to our concept of species diversity. We undertook a phylogeographical examination of several allopatric populations of the Lake Malawi cichlid Pseudotropheus zebra in order to reconstruct the evolutionary history of the populations, which exhibit one of two dorsal fin colours. We present evidence that populations with red dorsal fins (RT) are not monophyletic. The RT population defining the northern limit of the distribution has evidently originated independently of the southern RT populations, which share a common ancestry. This evidence of species-level colour convergence is an important discovery in our understanding of cichlid evolution. It implies that divergence in coloration may accompany speciation, and that allopatric populations with similar coloration cannot be assumed to be conspecific. In addition to this finding, we have observed evidence for introgression, contributing to current evidence that this phenomenon may be extremely widespread. Thus, in species-level phylogenetic reconstructions, including our own, consideration must be given to the potential effects of introgression.</t>
  </si>
  <si>
    <t>10.1098/rspb.2002.2188</t>
  </si>
  <si>
    <t>WOS:000180221100001</t>
  </si>
  <si>
    <t>ELLIS, DH; GARAT, CP</t>
  </si>
  <si>
    <t>THE PALLID FALCON FALCO-KREYENBORGI IS A COLOR PHASE OF THE AUSTRAL PEREGRINE FALCON (FALCO-PEREGRINUS CASSINI)</t>
  </si>
  <si>
    <t>The pallid falcon (Falco kreyenborgi), a rare form from southern Patagonia and Tierra del Fuego, has gained acceptance as a full species. In 1981, 13 pallid falcons were observed on the Patagonian Steppe. Four adult pallid falcons were paired with normal peregrine falcon (F. peregrinus cassini) mates. Two normal-phased peregrine pairs produced mixed broods of normal and pallid young. One pair of pallid adults produced only pallid young. The pallid falcon is conspecific with and a color phase of the peregrine falcon.</t>
  </si>
  <si>
    <t>Ellis, David/0000-0002-1411-9550</t>
  </si>
  <si>
    <t>10.1093/auk/100.2.269</t>
  </si>
  <si>
    <t>WOS:A1983QX26300001</t>
  </si>
  <si>
    <t>van der Sluijs, I; Dijkstra, PD; Lindeyer, CM; Visser, B; Smith, AM; Groothuis, TGG; van Alphen, JJM; Seehausen, O</t>
  </si>
  <si>
    <t>van der Sluijs, Inke; Dijkstra, Peter D.; Lindeyer, Charlotte M.; Visser, Bertanne; Smith, Alan M.; Groothuis, Ton G. G.; van Alphen, Jacques J. M.; Seehausen, Ole</t>
  </si>
  <si>
    <t>A test of genetic association among male nuptial coloration, female mating preference, and male aggression bias within a polymorphic population of cichlid fish</t>
  </si>
  <si>
    <t>Both inter- and intrasexual selection have been implicated in the origin and maintenance of species-rich taxa with diverse sexual traits. Simultaneous disruptive selection by female mate choice and male-male competition can, in theory, lead to speciation without geographical isolation if both act on the same male trait. Female mate choice can generate discontinuities in gene flow, while male-male competition can generate negative frequency-dependent selection stabilizing the male trait polymorphism. Speciation may be facilitated when mating preference and/or aggression bias are physically linked to the trait they operate on. We tested for genetic associations among female mating preference, male aggression bias and male coloration in the Lake Victoria cichlid Pundamilia. We crossed females from a phenotypically variable population with males from both extreme ends of the phenotype distribution in the same population (blue or red). Male offspring of a red sire were significantly redder than males of a blue sire, indicating that intra-population variation in male coloration is heritable. We tested mating preferences of female offspring and aggression biases of male offspring using binary choice tests. There was no evidence for associations at the family level between female mating preferences and coloration of sires, but dam identity had a significant effect on female mate preference. Sons of the red sire directed significantly more aggression to red than blue males, whereas sons of the blue sire did not show any bias. There was a positive correlation among individuals between male aggression bias and body coloration, possibly due to pleiotropy or physical linkage, which could facilitate the maintenance of color polymorphism [Current Zoology 59 (2): 221-229, 2013].</t>
  </si>
  <si>
    <t>Seehausen, Ole/C-8272-2011; Visser, Bertanne/J-9796-2012</t>
  </si>
  <si>
    <t>10.1093/czoolo/59.2.221</t>
  </si>
  <si>
    <t>WOS:000315813200009</t>
  </si>
  <si>
    <t>Meyer-Rochow, VB; Shimoyama, A</t>
  </si>
  <si>
    <t>Meyer-Rochow, Victor Benno; Shimoyama, Ayu</t>
  </si>
  <si>
    <t>UV-reflecting and absorbing body regions in gentoo and king penguin: Can they really be used by the penguins as signals for conspecific recognition?</t>
  </si>
  <si>
    <t>POLAR BIOLOGY</t>
  </si>
  <si>
    <t>Photographs of gentoo and king penguins were taken in the field on a bright and sunny day first in colour (here reproduced in black and white) and then, seconds later, through a filter that transmits only UV radiation and blocks all visible light. Because of the lower light intensity and different focal point of UV, it is unavoidable that the UV photographs turn out less sharp and less well focused than photographs taken with visible light. Comparisons of the two sets of photographs show that king penguins with white (but not yellow or orange) auricular patches reflect UV from these areas. Furthermore, the beaks of juvenile gentoo penguins, but not those of the adults, are UV reflectant. The findings are discussed in view of recent Suggestions that UV reflection in penguins could be part of a communication system. However, this paper argues that as long as UV perception in penguins has not been demonstrated, UV reflection in penguins ought to be seen as an associative phenomenon with no significance to penguin behaviour.</t>
  </si>
  <si>
    <t>MEYER-ROCHOW, Victor Benno/AAJ-7258-2020</t>
  </si>
  <si>
    <t>MEYER-ROCHOW, V. Benno/0000-0003-1531-9244</t>
  </si>
  <si>
    <t>0722-4060</t>
  </si>
  <si>
    <t>10.1007/s00300-007-0387-7</t>
  </si>
  <si>
    <t>WOS:000254486900004</t>
  </si>
  <si>
    <t>Ontogenetic habitat shifts reduce costly male-male interactions</t>
  </si>
  <si>
    <t>Ontogenetic habitat shifts are predicted to increase the fitness and survival of individuals by allowing effective utilization of spatially distributed resources. Evidence supports nutritional requirements and predation pressure as drivers of habitat shifts. Likewise, intraspecific interactions are thought to lead to ontogenetic habitat shifts, however, empirical evidence is lacking. Here, we test if intraspecific male-male interactions are responsible for ontogenetic habitat shifts inXanthagrion erythroneurum, a damselfly that undergoes developmental colour change. The juvenile males are yellow and change colour to red with sexual maturity. Field observations showed that the proportion of juvenile males is higher in adjacent woods than in primary mating arenas by ponds. We measured male-male interactions by the pond and in the woods, predicting the habitat switch would reduce male antagonistic interactions such as male aggression and male-male mating attempts. We showed that juvenile males receive less aggression in woods than at the pond mating arena. We conclude that lower population density and lower male encounter rates in the woods reduce the cost of male aggression for juvenile males. Our study provides evidence that stage-dependent habitat choice resulting from intrasexual antagonistic interactions may drive ontogenetic habitat shifts.</t>
  </si>
  <si>
    <t>10.1007/s10682-020-10064-y</t>
  </si>
  <si>
    <t>AUG 2020</t>
  </si>
  <si>
    <t>WOS:000555728700001</t>
  </si>
  <si>
    <t>Weiss, SL</t>
  </si>
  <si>
    <t>Weiss, Stacey L.</t>
  </si>
  <si>
    <t>Female-specific color is a signal of quality in the striped plateau lizard (Sceloporus virgatus)</t>
  </si>
  <si>
    <t>Recent theoretical and empirical studies confirm that male mate choice and/or female-female mate competition can be expressed in the absence of sex-role reversal. Such reproductive patterns may select for the evolution of female traits that indicate female phenotypic or genotypic quality among non-role-reversed species. Although attention to the evolution and function of female ornaments is increasing, additional focus is needed on female-specific ornaments (those not expressed in conspecific males) and on nonavian systems in order to gain a broad understanding of how selection acts directly on ornamentation of female animals. In the striped plateau lizard, Sceloporus virgatus, only females develop orange throat patches during the reproductive season. The color peaks in expression near the time of ovulation and appears to stimulate male courtship. Here, I examine whether this female-specific ornament can be used by males to reliably assess female phenotypic quality. Using multivariate regression analyses, I show that the area of the orange color patch predicts body condition and mite load, the chroma (i.e., saturation) of the color patch predicts body size, and both patch area and chroma reliably predict average egg mass. Thus, female reproductive color may function as a condition-dependent signal, indicating phenotypic quality to potential mates.</t>
  </si>
  <si>
    <t>Weiss, Stacey/AEX-0170-2022</t>
  </si>
  <si>
    <t>Weiss, Stacey/0000-0003-3571-9667</t>
  </si>
  <si>
    <t>10.1093/beheco/arl001</t>
  </si>
  <si>
    <t>WOS:000239899500005</t>
  </si>
  <si>
    <t>Creer, DA</t>
  </si>
  <si>
    <t>Correlations between ontogenetic change in color pattern and antipredator behavior in the racer, Coluber constrictor</t>
  </si>
  <si>
    <t>Differences in snake color pattern have been demonstrated to affect behaviors involved in antipredator defense. Snakes with blotched or banded color patterns are concealed when not moving, and tend to rely on concealment and aggression for defense. In contrast, snakes with uniform or striped color patterns are easily seen when stationary, but their speed and direction are difficult to track when moving. They tend to rely on flight for protection. Some snake taxa exhibit ontogenetic change in color pattern, but the behavioral consequences of this change have not been investigated. I present results of a behavioral study in the racer, Coluber constrictor, which has a blotched juvenile color pattern but is uniformly colored as an adult. Hatchling racers were significantly more likely than adults to show aggressive behavior when confronted with a model predator, whereas adults were more likely to flee. This supports the hypothesis that changes in behavior and color pattern are correlated in this species to provide effective antipredator defense at different stages of life history. I also examined sprint speed, which may be an important factor in antipredator defense. Juvenile and adult racers showed a similar relationship between length and speed, a pattern also seen in other species that lack color change. This result suggests that sprint speed is not a causal factor in the evolution of ontogenetic color change.</t>
  </si>
  <si>
    <t>10.1111/j.1439-0310.2004.01062.x</t>
  </si>
  <si>
    <t>WOS:000227192500004</t>
  </si>
  <si>
    <t>Cross, FR; Jackson, RR; Taylor, LA</t>
  </si>
  <si>
    <t>Cross, Fiona R.; Jackson, Robert R.; Taylor, Lisa A.</t>
  </si>
  <si>
    <t>Influence of seeing a red face during the male-male encounters of mosquito-specialist spiders</t>
  </si>
  <si>
    <t>LEARNING &amp; BEHAVIOR</t>
  </si>
  <si>
    <t>Males of Evarcha culicivora, an East African jumping spider (Salticidae), have bright red faces. Here, we investigated how seeing a red face might influence a male's behaviour during encounters with another male. We applied black eyeliner to conceal the red on a male's face and measured the spectral properties of male faces with and without the eyeliner. Only the faces without eyeliner reflected in the long-wavelength range corresponding to red. In experiments over 2 days, where eyeliner was absent on the first day and present on the second, we compared how two groups of males responded to their mirror images. Face Group: eyeliner concealed their faces. Head Group: eyeliner was applied to the tops of the males' heads instead of on their faces. The males from both groups displayed to their mirror image as if it were a living same-sex conspecific. However, when they could see a red face, males in the face group escalated to higher levels of aggression to their mirror image and initiated displaying from farther away than when the red had been concealed. We also found that the influence of eyeliner was stronger for the face group than for the head group. These findings suggest that, when seeing a red face, E. culicivora males become more confident that the individual in view is another male.</t>
  </si>
  <si>
    <t>Jackson, Robert/IVV-6008-2023</t>
  </si>
  <si>
    <t>Cross, Fiona/0000-0001-8266-4270</t>
  </si>
  <si>
    <t>1543-4494</t>
  </si>
  <si>
    <t>1543-4508</t>
  </si>
  <si>
    <t>10.3758/s13420-020-00411-y</t>
  </si>
  <si>
    <t>WOS:000520711400013</t>
  </si>
  <si>
    <t>Lattanzio, MS; Miles, DB</t>
  </si>
  <si>
    <t>Lattanzio, Matthew S.; Miles, Donald B.</t>
  </si>
  <si>
    <t>Ecological divergence among colour morphs mediated by changes in spatial network structure associated with disturbance</t>
  </si>
  <si>
    <t>Differences in individual behaviour affect social interactions and contribute to the spatial structuring of animal populations. However, disturbance should also affect spatial networks by altering habitat heterogeneity and resource availability. Variation in resource availability should perturb the frequency and nature of social and ecological interactions within a population by affecting the spatial distribution of individuals. In disturbed habitats where resources are limiting, spatial relationships should reflect behavioural differences among individuals, with higher-quality resources controlled by dominant individuals. In contrast, all individuals may exploit preferred resources in resource-rich habitats. Environmental variation and population reorganization may also result in variation in morphological, behavioural and ecological traits, which ultimately affect fitness. We addressed these considerations for male tree lizards (Urosaurus ornatus) at three sites that differ in levels of disturbance. The habitats at these localities differed in the availability of live trees, the preferred microhabitat of U.ornatus. In addition, male U.ornatus exhibits a polymorphism in dewlap colour linked with differences in aggression, which should influence their position in a network and access to resources. We applied a network framework to characterize the spatial organization of male morphs at each site and quantified male aggressive behaviour in the laboratory. We also compared body size, body condition, number of bite marks, parasite load and the microhabitat use and diet, of males among the sites. We detected no significant differences in spatial network structure between unburned and infrequently burned sites. However, at a frequently burned site, the network shifted towards geographically closer, heteromorphic male neighbour associations. Males at this site were also larger, more aggressive and had more bite marks but fewer parasites than males at the other sites. Moreover, we detected divergence in microhabitat use and diet among the morphs at the frequently burned site that reflected the shift in spatial network structure and differences in morph behaviour. That is, only more aggressive morphs usurped trees and consumed prey from higher trophic levels. We conclude that environmental variation may influence animal spatial network structure. Jointly, behavioural and environmental variation may promote despotic social dynamics and ecological divergence in resource-limited habitats.</t>
  </si>
  <si>
    <t>Miles, Donald B./AFW-0480-2022</t>
  </si>
  <si>
    <t>Miles, Donald/0000-0001-5768-179X</t>
  </si>
  <si>
    <t>10.1111/1365-2656.12252</t>
  </si>
  <si>
    <t>WOS:000344339500025</t>
  </si>
  <si>
    <t>Jones, PL; Ryan, MJ; Chittka, L</t>
  </si>
  <si>
    <t>Jones, Patricia L.; Ryan, Michael J.; Chittka, Lars</t>
  </si>
  <si>
    <t>The influence of past experience with flower reward quality on social learning in bumblebees</t>
  </si>
  <si>
    <t>Foraging decisions can be influenced by innate biases, previous individual experience and social information acquired from conspecifics. We examined how these factors interact to affect flower colour preference in the large earth bumblebee, Bombus terrestris dalmatinus. Individual bees with no experience foraging on coloured flowers were first tested for innate colour biases on an unrewarded array of blue and yellow artificial flowers. Depending on treatment, bees then acquired individual experience foraging on a colour (either blue or yellow) associated with high-quality sucrose rewards, or a colour with low-quality sucrose rewards, or they did not acquire any individual experience. Bees were then exposed to the alternative colour associated with conspecific demonstrator bees (social information) or the alternative colour with no social information. Bees that had no individual experience visited flower colours that were associated with conspecific demonstrators (social information) but only significantly if the socially demonstrated colour was one for which bees had an innate bias. When bees had individual experience foraging on a colour with high-quality rewards they continued foraging on that colour, and generally did not visit the socially demonstrated alternative colour, regardless of innate colour bias. Alternatively, when bees had individual experience foraging on colours with low-quality rewards, they made more visits to the socially demonstrated alternative flower colour, but only when the alternative colour was the colour for which they had an innate bias. Bees that had no access to social information continued to forage on low-reward coloured flowers. Thus we show that reward quality of resources with which bees have individual experience affects the use of social information but with an important role of innate biases. (C) 2014 The Association for the Study of Animal Behaviour. Published by Elsevier Ltd. All rights reserved.</t>
  </si>
  <si>
    <t>Chittka, Lars/0000-0001-8153-1732</t>
  </si>
  <si>
    <t>10.1016/j.anbehav.2014.12.016</t>
  </si>
  <si>
    <t>WOS:000351020200004</t>
  </si>
  <si>
    <t>Bugnyar, T; Kotrschal, K</t>
  </si>
  <si>
    <t>Leading a conspecific away from food in ravens (Corvus corax)?</t>
  </si>
  <si>
    <t>Active misleading of conspecifics has been described as a social strategy mainly for primates. Here we report a raven leading a competitor away from food in a social foraging task. Four individuals had to search and compete for hidden food at color-marked clusters of artificial food caches. At the beginning of the experiment, a subordinate male found and exploited the majority of the food. As a result, the dominant male displaced him from the already opened boxes. The subordinate male then developed a pattern, when the loss of reward to the dominant got high, of moving to unrewarded clusters and opening boxes there. This diversion often led the dominant to approach those unrewarded clusters and the subordinate then had a head start for exploiting the rewarded boxes. Subsequently, however, the dominant male learned not to follow the subordinate to unrewarded clusters and eventually started searching for the reward himself. These interactions between the two males illustrate the ravens' potential for deceptively manipulating conspecifics. We discuss under which circumstances ravens might use this capacity.</t>
  </si>
  <si>
    <t>Kavcik, Nadja/B-4916-2013</t>
  </si>
  <si>
    <t>Bugnyar, Thomas/0000-0002-6072-9667</t>
  </si>
  <si>
    <t>10.1007/s10071-003-0189-4</t>
  </si>
  <si>
    <t>WOS:000221649900001</t>
  </si>
  <si>
    <t>Horth, L; Binckley, C; Wilk, R; Reddy, P; Reddy, A</t>
  </si>
  <si>
    <t>Horth, Lisa; Binckley, Christopher; Wilk, Rebecca; Reddy, Pranav; Reddy, Abhinav</t>
  </si>
  <si>
    <t>Color, Body Size, and Genitalia Size Are Correlated Traits in Eastern Mosquitofish (Gambusia holbrooki)</t>
  </si>
  <si>
    <t>The effect of natural selection acting upon correlated traits can alter mating success and relative fitness dramatically. Eastern Mosquitofish (Gambusia holbrooki) harbor a genetic body-pigmentation polymorphism where pigmentation color is associated with particular correlated traits. About ninety-nine percent of all males are silver and about one percent are melanic (or black spotted). Here we demonstrate that these pigmentation morphs also differ in correlated life-history traits that affect fitness. Melanic males are larger than silver males in nature, and larger than silver siblings in a controlled environment. Me lank males have relatively larger gonopodia (mating organ) than silver males and greater survival during conspecific competition. This is indicative of a genetic correlation between body color, body size, growth rate, and relative gonopodium size (after controlling for body size). Our past work demonstrates that melanic males also have much higher survival with predators. Thus, while a relatively larger gonopodium is said to result in a cost with respect to predation in two Gambusia species, in G. holbrooki the fitness effects of correlated traits appear to far outweigh this cost for melanic males.</t>
  </si>
  <si>
    <t>Reddy, Pranav/GRO-2799-2022</t>
  </si>
  <si>
    <t>10.1643/CG-09-044</t>
  </si>
  <si>
    <t>WOS:000278428900002</t>
  </si>
  <si>
    <t>CARPENTER, GC</t>
  </si>
  <si>
    <t>THE ONTOGENY OF A VARIABLE SOCIAL BADGE - THROAT COLOR DEVELOPMENT IN TREE LIZARDS (UROSAURUS-ORNATUS)</t>
  </si>
  <si>
    <t>Two populations of tree lizards (Urosaurus ornatus) that differ in morphological and social traits, were used in a comparative study examining the ontogenetic development of throat coloration. Adult males from the Aguirre Spring population exhibited monomorphic throat coloration while Dona Ana males were polymorphic. In a separate study, Aguirre Spring males were found to be in certain respects more aggressive than Dona Ana males. Juvenile males and females from both populations first exhibit orange throat color. Adult Dona Ana females always retain the orange throat coloration but Aguirre Spring females may either retain orange or develop yellow throats. In males from both populations throat badge ontogeny involves a series of throat color changes while ventral belly coloration initially appears as its final hue. This suggests that ontogenetic color change and polymorphic adult coloration serve social functions. Orange throat coloration seen in females and young males may serve to inhibit aggression from adult males. Most dominant Aguirre Spring males have throat colors that are seen late in the developmental sequence suggesting that mature colors (i.e., blue and blue-green) are more socially dominant and are favored by sexual selection.</t>
  </si>
  <si>
    <t>10.2307/1565079</t>
  </si>
  <si>
    <t>WOS:A1995QM52600002</t>
  </si>
  <si>
    <t>Naretto, S; Chiaraviglio, M</t>
  </si>
  <si>
    <t>Naretto, Sergio; Chiaraviglio, Margarita</t>
  </si>
  <si>
    <t>Hoisting the white flag of surrender? Color change in agonistic encounters between Achala copper lizard males (Pristidactylus achalensis)</t>
  </si>
  <si>
    <t>Sexual selection pressures play a significant role in driving the evolution of color, morphological, and behavioral traits that serve as signals to communicate fighting ability between opponents. In lizards, body and head size often predict the outcome of male-male contests, but these morphological signals are static during and after the contest. However, coloration and behaviors may be dynamic traits that change during interactions being a potential mechanism of continuous evaluation of current or future opponents. In this study, we examine the function of color change as a signal in agonistic interactions between males of the Achala copper lizard. Also, we examine the relationship between fighting ability and multiple traits, including body size, head size, behaviors, and coloration. Furthermore, we explore the variability of agonistic encounters between reproductive and non-reproductive periods. We performed dyadic trials between males to evaluate behavior and measure dorsal color before and after the trials. Results show that Pristidactylus achalensis can modify the lightness of their skin during intrasexual interaction, with winners displaying lighter colors than losers. We observed dramatic changes from very light green to totally dark coloration. Notably, color difference between competitors was distinguishable only after the trial, not before. Winners also displayed more push-up behaviors, predicting the outcome of the agonistic interactions. Additionally, we did not find differences in the behavioral repertoire between periods (reproductive vs non-reproductive). We suggest that push-up behavior and color change are essential signals that allow contenders to assess their opponent's fighting ability from a distance without physical interaction and settle conflicts without escalating aggression.</t>
  </si>
  <si>
    <t>Naretto, Sergio/0000-0002-5428-9845</t>
  </si>
  <si>
    <t>10.1007/s00265-023-03389-5</t>
  </si>
  <si>
    <t>WOS:001100527400001</t>
  </si>
  <si>
    <t>MILTON, D</t>
  </si>
  <si>
    <t>GENETIC-EVIDENCE FOR SYMPATRIC DIFFERENTIATION BETWEEN 2 COLOR MORPHS OF THE SKINK EGERNIA-WHITII</t>
  </si>
  <si>
    <t>AUSTRALIAN JOURNAL OF ZOOLOGY</t>
  </si>
  <si>
    <t>The viviparous skink Egernia whitii is dimorphic for dorsal colour pattern. Both patterned and plain morphs coexist throughout the species'' range. Adults live in family groups beneath exfoliating granite rocks. The closely related E. modesta also coexists in similar habitats in the northern part of the range of E. whitii. The plain E. whitii morph is intermediate in colour pattern between patterned E. whitii and E. modesta. Three populations of E. whitii and two populations of E. modesta were examined electrophoretically to assess the status of the plain morph of E. whitii. There were no fixed differences between the two morphs of E. whitii at any of the 55 loci examined, and loci polymorphic in both morphs of E. whitii showed no evidence of linkage disequilibria. Although heterozygosity values (H = 0.017 .+-. 0.002) and the level of polymorphism (P0.95= 0.015) were low, there were highly significant allele frequency differences between sympatric samples of the two morphs of E. whitii. This indicated that the two morphs were conspecific, yet they were not interbreeding at random. The established frequency of gene exchange between the two colour morphs in the three populations samples varied from 3.6 to 6 individuals per generation. Reproductive data confirmed that both colour morphs of E. whitii produced young of the same dorsal colour pattern as their own in much greater frequency than random. However, females of both colours can and do breed with males of the other colour in very low frequency. Analysis of the lateral colour pattern of the two E. whitii morphs and E. modesta suggests that the colour patterns of the two E. whitii morphs are very similar, yet differ slightly from the colour pattern of E. modesta in the region of geographic overlap of these species. These results suggest that behavioural or microhabit differences between the two morphs may be involved in mate recognition.</t>
  </si>
  <si>
    <t>Milton, David A/A-9794-2011</t>
  </si>
  <si>
    <t>0004-959X</t>
  </si>
  <si>
    <t>1446-5698</t>
  </si>
  <si>
    <t>10.1071/ZO9900117</t>
  </si>
  <si>
    <t>WOS:A1990ED59400002</t>
  </si>
  <si>
    <t>Quinn, Vanessa S.; Hews, Diana K.</t>
  </si>
  <si>
    <t>The Evolutionary Decoupling of Behavioral and Color Cues in a Multicomponent Signal in Two Sceloporus Lizards</t>
  </si>
  <si>
    <t>The study of multicomponent signals in the context of social systems has generated interesting results demonstrating that complex signals are used in many communication systems. The multicomponent signal in the majority of Sceloporus lizards consists of a color signal (blue abdominal coloration) and the behavioral display of the color signal (fullshow behavior). In a small number of species, males have lost the color signal. We staged outdoor trials between conspecific males in two closely related Sceloporus lizards that differ in the presence of blue abdominal coloration. In the species with the evolutionary loss of blue abdominal coloration (Sceloporus virgatus), fullshow behavior is present but reduced compared with that of the species with male abdominal coloration (Sceloporus undulatus consobrinus). In comparison, the mean rates of other behaviors that do not display abdominal skin (push-up, head-bob) did not differ between these species. We also found that S. virgatus males were more likely to show a neutral response following the first fullshow during the 60-min trial. While, S. u. consobrinus males were more likely to respond to the first fullshow with an aggressive response. Thus, in this case, the color signal and the behavioral signal are evolutionarily decoupled because in S. virgatus the loss of the color signal is not coincident with the loss of the behavioral signal.</t>
  </si>
  <si>
    <t>10.1111/j.1439-0310.2010.01765.x</t>
  </si>
  <si>
    <t>WOS:000277405700004</t>
  </si>
  <si>
    <t>Huang, H; Todd, PA; Yeo, DCJ</t>
  </si>
  <si>
    <t>Huang, H.; Todd, P. A.; Yeo, D. C. J.</t>
  </si>
  <si>
    <t>Inter- and intra-specific variation in the facial colours of Perisesarma eumolpe and Perisesarma indiarum (Crustacea: Brachyura: Sesarmidae)</t>
  </si>
  <si>
    <t>The colour of the characteristic facial bands in the mangrove crabs Perisesarma eumolpe (De Man) and Perisesarma indiarum (Tweedie) were investigated in relation to species, sex and size. Quantitative red/blue/green (RBG) values extracted from close-up digital photographs of 27 P. indiarum and 48 P. eumolpe specimens revealed significant differences between species and sexes. Males of both species possessed facial bands characterized by a greater intensity of blue, whereas green was more pronounced in female facial bands. It is postulated that these colour differences play a role in intra-specific sexual recognition. There existed a significant positive relationship between size and the intensity of blue in the facial bands of females of both species, suggesting these traits function as an indicator of their maturity (and possibly body condition). In large males, facial band colours contrast strongly against the surrounding mudflat and may play an important role in conspecific signalling during territorial disputes or contests over access to females.</t>
  </si>
  <si>
    <t>Todd, Peter A/H-8410-2012; Yeo, Darren CJ/H-9790-2012</t>
  </si>
  <si>
    <t>10.1007/s10750-007-9169-z</t>
  </si>
  <si>
    <t>WOS:000251874300028</t>
  </si>
  <si>
    <t>Ioan, S; Sandulache, M; Avramescu, S; Ilie, A; Neacsu, A; Zagrean, L; Moldovan, M</t>
  </si>
  <si>
    <t>Ioan, Silvia; Sandulache, Miriam; Avramescu, Sinziana; Ilie, Andrei; Neacsu, Alexandru; Zagrean, Leon; Moldovan, Mihai</t>
  </si>
  <si>
    <t>Red is a distractor for men in competition</t>
  </si>
  <si>
    <t>EVOLUTION AND HUMAN BEHAVIOR</t>
  </si>
  <si>
    <t>Red athletic uniforms may have a psychological effect on the behavior of the wearer and/or opponent in combat sport. The aim of this study was to investigate the distractor effect of red color during a computerized Stroop task. A group of medical students (27 men and 23 women) were asked to accurately name the red, blue or green color of a series of equiluminant color words that appeared on a dark computer screen. The participants were told that their performance would be ranked. Stroop interference (SI) was quantified as the prolongation in response times (RTs) when naming color-color word incongruent stimuli than when naming noncolor words. We found that men experienced more SI when naming the red color in relation to RTs when naming the other colors. Men also experienced shorter RT than women, but this effect was not specific to naming of the red color. When the luminosity of the colored stimuli was halved, the RT was prolonged to a similar extent in both men and women but the gender discrepancy in SI during red color naming was maintained. Furthermore, in men SI for red positively correlated with scores on the depression subscale of the SCL-90-R questionnaire. Our data suggest that seeing red distracts men through a psychological rather than perceptual rnechanism. Such a mechanism would associate red with aggression or dominance and may have a long evolutionary history, as indicated by behavioral evidence from nonhuman primates and other species. (C) 2007 Elsevier Inc. All rights reserved.</t>
  </si>
  <si>
    <t>Zagrean, Leon/D-6469-2011; Moldovan, Mihai/C-4215-2011</t>
  </si>
  <si>
    <t>Moldovan, Mihai/0000-0003-2512-3499</t>
  </si>
  <si>
    <t>1090-5138</t>
  </si>
  <si>
    <t>1879-0607</t>
  </si>
  <si>
    <t>10.1016/j.evolhumbehav.2007.03.001</t>
  </si>
  <si>
    <t>WOS:000247824100010</t>
  </si>
  <si>
    <t>Dwyer, JF</t>
  </si>
  <si>
    <t>Dwyer, James F.</t>
  </si>
  <si>
    <t>CORRELATION OF CERE COLOR WITH INTRA- AND INTERSPECIFIC AGONISTIC INTERACTIONS OF CRESTED CARACARAS</t>
  </si>
  <si>
    <t>JOURNAL OF RAPTOR RESEARCH</t>
  </si>
  <si>
    <t>Bright coloration in birds is an important indicator of individual quality often used in social displays. Structural, carotenoid-, and melanin-based colors are long-lasting, widespread, and widely studied. Hemoglobin-based colors are ephemeral, rare, and less studied. Hemoglobin-based displays occur when an individual facultatively enhances or restricts blood flow through caruncles, combs, wattles, or other highly vascularized un-feathered skin patches. In Crested Caracaras (Caracara cheriway; hereafter caracara) highly vascularized ceres facultatively undergo immediately reversible hemoglobin-based color changes, hypothesized to correlate with status during contests. I predicted aggressors in contests would consistently display hemoglobin-deprived ceres (hereafter light), and receivers would display hemoglobin-enhanced ceres (hereafter dark), or vice versa. To test this hypothesis, I conducted 149 30-min group observations during which I recorded outcomes of all observed intra- and interspecific agonistic interactions involving caracaras in groups including up to 46 caracaras (x = 13.4, SD = 6.9). I recorded 2586 agonistic interactions in which I could identify cere colors and ages of both caracaras involved in an intraspecific interaction (n = 1160), or of one caracara involved in an interspecific interaction (n = 1426). Cere colors of caracaras were consistently light when acting as aggressors in intra- and interspecific agonistic interactions, and dark when acting as receivers. Within age classes, caracaras displaying light-colored ceres were consistently aggressors toward caracaras displaying dark ceres, and between age classes, adults with light-colored ceres were aggressors toward younger birds with dark ceres. Caracaras displaying light-colored ceres were aggressors toward Black Vultures (Coragyps atratus) and Turkey Vultures (Cathartes aura) and caracaras with dark ceres were receivers of aggression from these species. Regardless of the cere color, caracaras were subordinate to much larger Bald Eagles (Haliaeetus leucocephalus) and dominant over much smaller American Crows (Corvus brachyrhynchos). My observations support the hypothesis that cere color is correlated with agonistic behaviors and support the signaling hypothesis by correlating specific cere colors displayed with individual roles in intra- and interspecific interactions.</t>
  </si>
  <si>
    <t>0892-1016</t>
  </si>
  <si>
    <t>2162-4569</t>
  </si>
  <si>
    <t>10.3356/0892-1016-48.3.240</t>
  </si>
  <si>
    <t>WOS:000341096200005</t>
  </si>
  <si>
    <t>Mettke-Hofmann, C</t>
  </si>
  <si>
    <t>Mettke-Hofmann, Claudia</t>
  </si>
  <si>
    <t>Head Colour and Age Relate to Personality Traits in Gouldian Finches</t>
  </si>
  <si>
    <t>Colour polymorphism is a widespread phenomenon in vertebrates and has often been linked with differences in behaviour such as aggression or boldness, behaviours that are often part of personality traits in monomorphic species. However, up to now, very few studies have looked whether colour morphs just differ in average behaviour or whether specific combinations of behaviours are favoured in relation to a particular morph therefore signalling personality traits. This was tested in the highly social and polymorphic Gouldian finch (Erythrura gouldiae). Tests were performed in pairs of a red-headed and a black-headed individual of same sex and size but different age. Capture rank in the aviary as well as latency to feed beside a novel object (neophobia) and to approach and touch a novel object on a perch (neophilia) were measured. For neophobia and neophilia, ranks of latencies calculated across all individuals were used and general and within-pair comparisons were made. Neophobia and approach neophilia were consistent over time (2 similar to mo), and approach neophilia was positively correlated with capture rank and neophobia indicating that the behaviours are part of personality traits. Moreover, black-headed birds generally approached the novel object earlier than red-headed birds. Similarly, within pairs, black-headed birds were first to approach the novel object and were also captured first. Relative age (younger or older than the partner) was related to neophobia and tactile neophilia ranks; older birds reacted faster. The results indicate that colour morphs not only differ in average behaviour but that specific combinations of behaviours are related to colour morphs suggesting that head colours signal personality traits. Furthermore, depending on age individuals may have different roles in a social network.</t>
  </si>
  <si>
    <t>10.1111/j.1439-0310.2012.02079.x</t>
  </si>
  <si>
    <t>WOS:000306734400012</t>
  </si>
  <si>
    <t>Hanley, D; Stoddard, MC; Cassey, P; Brennan, PLR</t>
  </si>
  <si>
    <t>Hanley, Daniel; Stoddard, Mary Caswell; Cassey, Phillip; Brennan, Patricia L. R.</t>
  </si>
  <si>
    <t>Eggshell conspicuousness in ground nesting birds: do conspicuous eggshells signal nest location to conspecifics?</t>
  </si>
  <si>
    <t>AVIAN BIOLOGY RESEARCH</t>
  </si>
  <si>
    <t>Predators can adversely impact nesting success and therefore the presence of seemingly conspicuous eggshells would appear maladaptive. The ratites, especially the tinamous, exhibit a diverse array of eggshell colours that appear to differ strikingly from their nesting substrate, while most ground-nesting species that do not build a nest lay camouflaged eggs. Surprisingly, there is little research on how these nest contents appear to ecologically-relevant viewers, including conspecifics and predators. Here we use visual modelling to compare eggshell conspicuousness in two distinct avian lineages differing in eggshell colour and breeding biology: ratites and galliformes. Ratites generally lay vibrant, unspeckled eggs directly on the ground, while galliformes tend to lay subtler, speckled eggs on nests built on the ground. We test the hypothesis that eggshell colours in ratites are more conspicuous, from the perspective of an avian conspecific, than those of galliformes. We found that the uniform colour covering the surface of the eggshell colour (hereafter, eggshell background colour) differs noticeably from the nesting substrate in both ratites and galliformes. However, the speckling pattern of galliform eggs often masks their conspicuous eggshell background colour, which contributes to a less conspicuous appearance overall. We tested the hypothesis that eggshell conspicuousness in ratites serves an intraspecific signalling function to advertise nest location to females in communally nesting species. We found no support for this hypothesis, suggesting that selection pressure for communal laying did not result in the diversity of conspicuousness found in avian eggs. Overall, we argue that future investigations of egg coloration should consider egg appearance (eggshell background colour and speckling) in the context of the natural nest substrate, all from the perspective of the relevant visual receiver.</t>
  </si>
  <si>
    <t>Hanley, Daniel/C-9080-2016</t>
  </si>
  <si>
    <t>Hanley, Daniel/0000-0003-0523-4335; Brennan, Patricia/0000-0002-1905-3327; Stoddard, Mary/0000-0001-8264-3170; Cassey, Phillip/0000-0002-2626-0172</t>
  </si>
  <si>
    <t>1758-1559</t>
  </si>
  <si>
    <t>1758-1567</t>
  </si>
  <si>
    <t>10.3184/175815513X13617279883973</t>
  </si>
  <si>
    <t>WOS:000318967100007</t>
  </si>
  <si>
    <t>MCLENNAN, DA</t>
  </si>
  <si>
    <t>TEMPORAL CHANGES IN THE STRUCTURE OF THE MALE NUPTIAL SIGNAL IN THE BROOK STICKLEBACK, CULAEA-INCONSTANS (KIRTLAND)</t>
  </si>
  <si>
    <t>Within the Gasterosteidae, only members of the clade Culaea + Pungitius + Gasterosteus contain nuptially coloured males. Of these males, the nuptial signal has been subjected to detailed experimental examination in one species, the three-spined stickleback, Gasterosteus aculeatus. Since most components of the signal did not originate in G. aculeatus, descriptions of signal structure and variability for other members of the Gasterosteidae are a critical prerequisite to discussions of the processes underlying the evolution of male nuptial colouration in these fish. In this paper I investigated the changes in the male nuptial signal for another member of the clade, the brook stickleback, Culaea inconstans. The results of this investigation revealed that as in G. aculeatus, the signal is a complex mosaic, in this case representing the interaction between changes in the intensity of black pigmentation in the ventral - lateral body surface, the dorsal - lateral body surface, the eye bar, the fins, and the spines. These variables interacted to produce four distinct male colour mosaics corresponding to the stage a male had reached in the breeding cycle and the sex of an intruding conspecific.</t>
  </si>
  <si>
    <t>10.1139/z93-151</t>
  </si>
  <si>
    <t>WOS:A1993LU73200007</t>
  </si>
  <si>
    <t>Currie, D; Millett, J; Hill, M; Shah, NJ</t>
  </si>
  <si>
    <t>Factors affecting the response of Seychelles Scops-owl Otus insularis to playback of conspecific calls:: consequences for monitoring and management</t>
  </si>
  <si>
    <t>BIRD CONSERVATION INTERNATIONAL</t>
  </si>
  <si>
    <t>The endemic Seychelles Scops-owl Otus insularis is a Critically Endangered restricted range species currently only recorded in the upland forest of Mahe, the largest (152 km(2)) and highest (903 m) island in the granitic Seychelles. We studied the response of colour-ringed individuals to playback of conspecific calls, to determine factors affecting playback reaction, to monitor behaviour and to assess the reliability of current monitoring techniques. Playback of the territorial waugh call was conducted at fixed points (C. 200 M apart) every month along a total transect length of 8.4 km between April 1999 and May 2001. On the basis of responses and movements of marked individuals we identified 12 territories and noted their boundaries. Mean territory length was 2.92 points (approximately 400 m), equivalent to a conservative estimated territory size of c. 12-16 ha. Males were more frequently detected than females/pairs. The probability of detection (males vs. females/pairs) was 0.87 vs. 0.50 on territory; 0.65 VS. 0.26 at fixed points within territories; and 0.58 VS. 0.22 at fixed points along the transect. There was some significant seasonal variation in detection rates at fixed points within territories for both males and pairs, and in general there was a low probability of detecting individuals around June-August and a high probability of detection around April and, to a lesser degree, October. Response times and owl-recorder distances were not influenced by moon phase or time of playback. This study provides the first baseline data on individual responses to the systematic repeated use of playback in Seychelles Scops-owl. We discuss the implications for current monitoring and its application to other similar Otus species.</t>
  </si>
  <si>
    <t>0959-2709</t>
  </si>
  <si>
    <t>10.1017/S0959270902002228</t>
  </si>
  <si>
    <t>WOS:000180506600005</t>
  </si>
  <si>
    <t>Korzan, WJ; Hoglund, E; Watt, MJ; Forster, GL; Overli, O; Lukkes, JL; Summers, CH</t>
  </si>
  <si>
    <t>Korzan, Wayne J.; Hoglund, Erik; Watt, Michael J.; Forster, Gina L.; Overli, Oyvind; Lukkes, Jodi L.; Summers, Cliff H.</t>
  </si>
  <si>
    <t>Memory of opponents is more potent than visual sign stimuli after social hierarchy has been established</t>
  </si>
  <si>
    <t>During agonistic interactions between male Anolis carolinensis, perception of a visual sign stimulus (darkened eyespots) not only inhibits aggression and promotes initial attainment of dominant social status, but also evokes distinct neuroenclocrine responses in each opponent. This study was designed to examine the effect of eyespot manipulation on behavior and social rank during a second interaction between opponents that had previously established a natural dyadic social hierarchy. Prior to a second interaction, eyespots of familiar size-matched combatants were manipulated to reverse information conveyed by this visual signal. Eyespots on the previously dominant male were masked with green paint to indicate low aggression and social status. Previously subordinate males had their eyespots permanently marked with black paint to convey high aggression and status. Opponents were then re-paired for a second 10 min interaction following either I or 3 clays of separation. Aggression was generally decreased and social status between pairs remained reasonably consistent. Unlike rapidly activated monoaminergic activity that occurs following the initial pairing, most brain areas sampled were not affected when animals were re-introduced, regardless of visual signal reversal or length of separation between interactions. However in males with normal eyespot color, dominant males had reduced serotonergic activity in CA(3) and raphe, while subordinate males exhibited elevated CA3 dopaminergic activity. Reversing eyespot color also reversed serotonergic activity in raphe and dopaminergic activity in CA3 after 3 days of separation. The results suggest that males remember previous opponents, and respond appropriately to their previous social rank in spite of eyespot color. (C) 2007 Elsevier B.V. All rights reserved.</t>
  </si>
  <si>
    <t>Watt, Michael/0000-0003-1164-1367</t>
  </si>
  <si>
    <t>OCT 1</t>
  </si>
  <si>
    <t>10.1016/j.bbr.2007.05.021</t>
  </si>
  <si>
    <t>WOS:000249511100005</t>
  </si>
  <si>
    <t>Macedonia, JM; Clark, DL; Tamasi, AL</t>
  </si>
  <si>
    <t>Macedonia, Joseph M.; Clark, David L.; Tamasi, Alison L.</t>
  </si>
  <si>
    <t>DOES SELECTION FAVOR DEWLAP COLORS THAT MAXIMIZE DETECTABILITY? A TEST WITH FIVE SPECIES OF JAMAICAN ANOLIS LIZARDS</t>
  </si>
  <si>
    <t>Animal color signals evolve in response to selection by visual systems that perceive them, ambient light spectra that illuminate them, and features of the background against which they are juxtaposed. In Anolis lizards, males use a colorful dewlap, together with head-bobbing displays, to deter conspecific rivals and to attract females. As most anoles are both arboreal and sympatric with one or more congeners, selection should favor dewlap colors that contrast sufficiently with the visual background of foliage to be detectable, and that differ reliably from dewlaps of sympatric congeners to be discriminable. We used spectroradiometry and computational visual modeling for five species of closely related Jamaican anoles to calculate the detection probability of each species' dewlap in each of the species' light habitats. Despite substantial interspecific differences in dewlap colors, as well as moderate differences in habitat light spectra, results of our analyses did not support the prediction that a given species' dewlap should be more detectable in its ``own'' light habitat than in those of sympatric congeners. Rather, dewlaps tended to perform similarly across most light environments. Our results resemble those reported for Puerto Rican anoles, and we discuss potential reasons why Anolis dewlap color design does not appear to be optimized for specific light habitats.</t>
  </si>
  <si>
    <t>Macedonia, Joseph/0009-0007-1320-8993</t>
  </si>
  <si>
    <t>10.1655/HERPETOLOGICA-D-13-00073</t>
  </si>
  <si>
    <t>WOS:000336047900004</t>
  </si>
  <si>
    <t>Galeano, SP; Harms, KE</t>
  </si>
  <si>
    <t>Galeano, Sandra P.; Harms, Kyle E.</t>
  </si>
  <si>
    <t>Coloration in the polymorphic frog Oophaga pumilio associates with level of aggressiveness in intraspecific and interspecific behavioral interactions</t>
  </si>
  <si>
    <t>Intraspecific morphological variation may correspond to behavioral variation that helps determine the nature of species interactions. Color variation among populations of variably toxic organisms has been shown to associate with alternative anti-predator behaviors. However, the effects of these alternative behavioral tendencies on the outcomes of interspecific interactions other than predator-prey remain largely unexplored. We investigated how coloration and body size variation in Oophaga pumilio, one of the most phenotypically diverse amphibians known, associated with territorial aggressiveness and how this association influenced the outcome of agonistic male-male interactions with conspecifics and heterospecifics of two sympatric species (Andinobates claudiae and Phyllobates lugubris). Irrespective of body size, resident frogs from more conspicuous, red-colored O. pumilio populations responded to same-morph conspecifics and P. lugubris more quickly and exhibited more aggressive behaviors and more energetically expensive behaviors than resident frogs from green populations under these same treatments. Furthermore, red-colored resident frogs dominated most of the interactions in which they were involved, whereas green residents dominated only a few of the interactions, despite their status as residents. Because conspecific and heterospecific intruders did not behave more aggressively toward red resident frogs, aggressiveness of red residents does not appear to be a response to higher aggression being directed toward them. These results suggest that coloration in O. pumilio is a good indicator of aggressiveness that associates with the outcome of intraspecific and some interspecific behavioral male-male interactions, providing support for a positive association among anti-predator traits, agonistic behavior, and dominance in both intraspecific and interspecific, intraguild interactions.</t>
  </si>
  <si>
    <t>Harms, Kyle Edward/AFU-6498-2022</t>
  </si>
  <si>
    <t>Harms, Kyle Edward/0000-0002-8842-382X</t>
  </si>
  <si>
    <t>10.1007/s00265-015-2027-5</t>
  </si>
  <si>
    <t>WOS:000367686200008</t>
  </si>
  <si>
    <t>Klein, AL; de Araújo, AM</t>
  </si>
  <si>
    <t>Klein, Andre Luis; de Araujo, Aldo Mellender</t>
  </si>
  <si>
    <t>Reproductive interference is stronger than expected in Heliconius butterflies</t>
  </si>
  <si>
    <t>In animals, reproductive interference associated with mimicry can result in the evolution of private communication channels, as suggested for Heliconius butterflies, where cryptic color wavelength would drive male preference for conspecific over intergeneric co-mimics. Here, we tested this hypothesis in two co-mimic pairs (intra and intergeneric) and measured the efficacy and symmetry of color pattern as a reproductive barrier in a non-co-mimic, possibly hybridizing pair of Heliconius species. We conducted pairwise experiments of preference where a group of males was presented to a conspecific and heterospecific female model made with real wings and free of chemical volatiles. We did not detect any indication of the expected use of cryptic recognition signals to mate choice in the intergeneric co-mimic pair. Additionally, we detected an unexpected male preference for heterospecific female models between intrageneric co-mimics towards the species with larger red patches, suggesting a supernormal stimulus based on a general preference for the red color. Finally, we found an asymmetry in the behavioral reproductive barrier between the non-co-mimic closely related species that also agrees with the hypothesis of a general preference for red and with an expected permeability of the reproductive barrier between them. Since the costs imposed by heterospecific courtships can limit the convergence of signaling phenotypes, our results contribute to explaining the maintenance of multiple aposematic color pattern between unpalatable and closely related sympatric Heliconius species.</t>
  </si>
  <si>
    <t>Klein, Andre/0009-0003-7511-2023</t>
  </si>
  <si>
    <t>10.1111/eth.13397</t>
  </si>
  <si>
    <t>JUL 2023</t>
  </si>
  <si>
    <t>WOS:001033519800001</t>
  </si>
  <si>
    <t>COLLIAS, EC</t>
  </si>
  <si>
    <t>INHERITANCE OF EGG-COLOR POLYMORPHISM IN THE VILLAGE WEAVER (PLOCEUS-CUCULLATUS)</t>
  </si>
  <si>
    <t>Eggs collected from an aviary colony of Village Weavers (Ploceus cucullatus cucullatus) over a 14-year period varied in color among different females from white to emerald or turquoise, and from many spots to few or none. Color and amount of spotting of the eggs of a given female were constant throughout her life (based on 815 eggs from 37 females). Color was judged from the Villalobos Color Atlas. Mendelian analysis of five different hypotheses showed that inheritance of background color of eggs in 20 different crosses was consistent only with a hypothesis of two independent pairs of autosomal alleles for hue.</t>
  </si>
  <si>
    <t>10.2307/4088624</t>
  </si>
  <si>
    <t>WOS:A1993NL01100001</t>
  </si>
  <si>
    <t>Lackey, ACR; Boughman, JW</t>
  </si>
  <si>
    <t>Lackey, A. C. R.; Boughman, J. W.</t>
  </si>
  <si>
    <t>Divergent sexual selection via male competition: ecology is key</t>
  </si>
  <si>
    <t>Sexual selection and ecological differences are important drivers of speciation. Much research has focused on female choice, yet the role of male competition in ecological speciation has been understudied. Here, we test how mating habitats impact sexual selection and speciation through male competition. Using limnetic and benthic species of threespine stickleback fish, we find that different mating habitats select differently on male traits through male competition. In mixed habitat with both vegetated and open areas, selection favours two trait combinations of male body size and nuptial colour: large with little colour and small with lots of colour. This matches what we see in reproductively isolated stickleback species, suggesting male competition could promote trait divergence and reproductive isolation. In contrast, when only open habitat exists, selection favours one trait combination, large with lots of colour, which would hinder trait divergence and reproductive isolation. Other behavioural mechanisms in male competition that might promote divergence, such as avoiding aggression with heterospecifics, are insufficient to maintain separate species. This work highlights the importance of mating habitats in male competition for both sexual selection and speciation.</t>
  </si>
  <si>
    <t>Lackey, Alycia/0000-0001-8279-6417; Boughman, Janette/0000-0002-5731-7389</t>
  </si>
  <si>
    <t>10.1111/jeb.12173</t>
  </si>
  <si>
    <t>WOS:000323101800001</t>
  </si>
  <si>
    <t>Albert, AYK; Millar, NP; Schluter, D</t>
  </si>
  <si>
    <t>Albert, Arianne Y. K.; Millar, Nathan P.; Schluter, Dolph</t>
  </si>
  <si>
    <t>Character displacement of male nuptial colour in threespine sticklebacks (Gasterosteus aculeatus)</t>
  </si>
  <si>
    <t>Character displacement in signalling traits occurs when differences between species are greater in sympatry than where either species occurs alone. Finding character displacement in a signalling trait suggests that the trait has diverged as a result of interspecific interactions such as competition, aggression, predation, or reproductive interference. We tested for character displacement of male nuptial coloration between sympatric species of threespine sticklebacks (Gasterosteus aculeatus spp.). The sympatric pairs consist of a large 'benthic' species, which feeds on benthic invertebrates, and a smaller planktivorous 'limnetic' species. Breeding males of both species develop red throats and blue bodies, although limnetic males appear brighter. To test for character displacement, we compared the nuptial colour of benthics and limnetics from two species-pair lakes (sympatric) with that of males from three similar allopatric lakes (only one species present). We measured the intensity of blue and red coloration using reflectance spectra taken from live fish. We found that allopatric males were intermediate between limnetic and benthic males in the intensity of red colour, indicating character displacement in that trait in sympatry. By contrast, we found no evidence for character displacement in blue intensity, although it differed sharply between the species pairs in one lake (Priest). (c) 2007 The Linnean Society of London.</t>
  </si>
  <si>
    <t>Albert, Arianne/AAG-7518-2019</t>
  </si>
  <si>
    <t>Albert, Arianne/0000-0002-3050-0888; Schluter, Dolph/0000-0003-1683-7836</t>
  </si>
  <si>
    <t>10.1111/j.1095-8312.2007.00777.x</t>
  </si>
  <si>
    <t>WOS:000245938100004</t>
  </si>
  <si>
    <t>SEX CHROMOSOME LINKAGE OF MATE PREFERENCE AND COLOR SIGNAL MAINTAINS ASSORTATIVE MATING BETWEEN INTERBREEDING FINCH MORPHS</t>
  </si>
  <si>
    <t>Assortative mating is a key aspect in the speciation process because it is important for both initial divergence and maintenance of distinct species. However, it remains a challenge to explain how assortative mating evolves when diverging populations are undergoing gene flow (e g., during hybridization) Here I experimentally test how assortative mating is maintained with frequent gene flow between diverged head-color morphs of the Gouldian finch (Erythrura gouldiae). Contrary to the predominant view on the development of sexual preferences in birds, cross-fostered offspring did not imprint on the phenotype of their conspecific (red or black morphs) or heterospecific (Bengalese finch) foster parents. Instead, the mating preferences of F-1 and F-2 intermorph-hybrids are consistent with inheritance on the Z chromosomes, which are also the location for genes controlling color expression and the genes causing low fitness of intermorph-hybrids. Genetic associations between color signal and preference loci on the sex chromosomes may prevent recombination from breaking down these associations when the morphs interbreed, helping to maintain assortative mating in the face of gene flow. Although sex linkage of reproductively isolating traits is theoretically expected to promote speciation, social and ecological constraints may enforce frequent interbreeding between the morphs, thus preventing complete reproductive isolation.</t>
  </si>
  <si>
    <t>10.1111/j.1558-5646.2009.00897.x</t>
  </si>
  <si>
    <t>WOS:000277096400011</t>
  </si>
  <si>
    <t>Heindl, M; Winkler, H</t>
  </si>
  <si>
    <t>Vertical lek placement of forest-dwelling manakin species (Aves, Pipridae) is associated with vertical gradients of ambient light</t>
  </si>
  <si>
    <t>We studied the interaction of ambient light and plumage colour in four sympatric neotropical manakin species which differ in signal colours and vertical lek placement. We estimated bird conspicuousness by modelling chromatic and achromatic background contrast of signal colours in tetrachromatic colour space. Spectral composition of ambient light varies gradually from the understory to the canopy and may affect where manakins lek. Under the given spatial requirements for their horizontal display flights, manakins place their leks at that position along the vertical gradient where ambient light increases chromatic and/or achromatic contrast of their colour signals against the background and/or within their coloration patterns. This suggests that physical factors can be important for placement of display sites, since they may critically influence the effectiveness and efficiency of conspecific communication. (C) 2003 The Linnean Society of London.</t>
  </si>
  <si>
    <t>10.1111/j.1095-8312.2003.00264.x</t>
  </si>
  <si>
    <t>WOS:000187247200007</t>
  </si>
  <si>
    <t>Klomp, DA; Stuart-Fox, D; Cassidy, EJ; Ahmad, N; Orda, TJ</t>
  </si>
  <si>
    <t>Klomp, Danielle A.; Stuart-Fox, Devi; Cassidy, Elizabeth J.; Ahmad, Norhayati; Orda, Terry J.</t>
  </si>
  <si>
    <t>Color pattern facilitates species recognition but not signal detection: a field test using robots</t>
  </si>
  <si>
    <t>There are many factors that affect signal design, including the need for rapid signal detection and the ability to identify the signal as conspecific. Understanding these different sources of selection on signal design is essential to explain the evolution of both signal complexity and signal diversity. We assessed the relative importance of detection and recognition for signal design in the black-bearded gliding lizard, Draco melanopogon, which uses the extension and retraction of a large, black-and-white dewlap (or throat fan) in territorial communication. We presented free-living lizards with robots displaying dewlaps of different designs that varied in the proportion of the black and white components. We found no effect of dewlap brightness or design on the time it took for a lizard to detect the robot, consistent with the view that initial detection is likely to be primarily elicited by movement rather than specific color or pattern. However, males (but not females) responded with a greater intensity to the dewlap treatment that most resembled the natural dewlap color and design of the species. Furthermore, males were more likely to display to any dewlap color in the presence of a neighbor. These results suggest that dewlap pattern may play an important role in species recognition but has minimal influence on the initial detection of the signal. Importantly, our results also highlight that factors unrelated to discrimination, such as social cues and individual motivational state, may affect responses to species identity cues.</t>
  </si>
  <si>
    <t>Ahmad, Norhayati/Q-2806-2019</t>
  </si>
  <si>
    <t>Ahmad, Norhayati/0000-0003-3215-2968; Stuart-Fox, Devi/0000-0003-3362-1412</t>
  </si>
  <si>
    <t>10.1093/beheco/arw186</t>
  </si>
  <si>
    <t>WOS:000401769000036</t>
  </si>
  <si>
    <t>Setchell, JM; Smith, TE; Knapp, LA</t>
  </si>
  <si>
    <t>Setchell, Joanna M.; Smith, Tessa E.; Knapp, Leslie A.</t>
  </si>
  <si>
    <t>Androgens in a female primate: Relationships with reproductive status, age, dominance rank, fetal sex and secondary sexual color</t>
  </si>
  <si>
    <t>A comprehensive understanding of the role of androgens in reproduction, behavior and morphology requires the examination of female, as well as male, hormone profiles. However, we know far less about the biological significance of androgens in females than in males. We investigated the relationships between fecal androgen (immunoreactive testosterone) levels and reproductive status, age, dominance rank, fetal sex and a secondary sexual trait (facial color) in semi-free-ranging female mandrills (Mandrillus sphinx), using samples collected from 19 reproductively mature females over 13 months. Fecal androgens varied with reproductive status, being highest during gestation. Fecal androgens began to increase at 3 months of gestation, and peaked at 5 months. This pattern is more similar to that found in a platyrrhine than in other cercopithecine species, suggesting that such patterns are not necessarily phylogenetically constrained. Fecal androgens did not vary systematically with rank, in contrast to the relationship we have reported for male mandrills, and in line with sex differences in how rank is acquired and maintained. Offspring sex was unrelated to fecal androgens, either prior to conception or during gestation, contrasting with studies of other primate species. Mean facial color was positively related to mean fecal androgens across females, reflecting the same relationship in male mandrills. However, the relationship between color and androgens was negative within females. Future studies of the relationship between female androgens and social behavior, reproduction and secondary sexual traits will help to elucidate the factors underlying the similarities and differences found between the sexes and among studies. (C) 2015 Elsevier Inc. All rights reserved.</t>
  </si>
  <si>
    <t>10.1016/j.physbeh.2015.04.051</t>
  </si>
  <si>
    <t>WOS:000356737100034</t>
  </si>
  <si>
    <t>Kelley, LA; Clayton, NS</t>
  </si>
  <si>
    <t>Kelley, Laura A.; Clayton, Nicola S.</t>
  </si>
  <si>
    <t>California scrub-jays reduce visual cues available to potential pilferers by matching food colour to caching substrate</t>
  </si>
  <si>
    <t>Some animals hide food to consume later; however, these caches are susceptible to theft by conspecifics and heterospecifics. Caching animals can use protective strategies to minimize sensory cues available to potential pilferers, such as caching in shaded areas and in quiet substrate. Background matching (where object patterning matches the visual background) is commonly seen in prey animals to reduce conspicuousness, and caching animals may also use this tactic to hide caches, for example, by hiding coloured food in a similar coloured substrate. We tested whether California scrub jays (Aphelocoma californica) camouflage their food in this way by offering them caching substrates that either matched or did not match the colour of food available for caching. We also determined whether this caching behaviour was sensitive to social context by allowing the birds to cache when a conspecific potential pilferer could be both heard and seen (acoustic and visual cues present), or unseen (acoustic cues only). When caching events could be both heard and seen by a potential pilferer, birds cached randomly in matching and non-matching substrates. However, they preferentially hid food in the substrate that matched the food colour when only acoustic cues were present. This is a novel cache protection strategy that also appears to be sensitive to social context. We conclude that studies of cache protection strategies should consider the perceptual capabilities of the cacher and potential pilferers.</t>
  </si>
  <si>
    <t>; Kelley, Laura/A-4268-2011</t>
  </si>
  <si>
    <t>Clayton, Nicola/0000-0003-1835-423X; Kelley, Laura/0000-0003-0700-1471</t>
  </si>
  <si>
    <t>10.1098/rsbl.2017.0242</t>
  </si>
  <si>
    <t>WOS:000409400700003</t>
  </si>
  <si>
    <t>Touchon, JC; Warkentin, KM</t>
  </si>
  <si>
    <t>Touchon, Justin Charles; Warkentin, Karen Michelle</t>
  </si>
  <si>
    <t>Thermally contingent plasticity: temperature alters expression of predator-induced colour and morphology in a Neotropical treefrog tadpole</t>
  </si>
  <si>
    <t>P&gt;1. Behavioural, morphological and coloration plasticity are common responses of prey to predation risk. Theory predicts that prey should respond to the relative magnitude of risk, rather than a single level of response to any risk level. In addition to conspecific and predator densities, prey growth and differentiation rates affect the duration of vulnerability to size- and stage-limited predators and therefore the relative value of defences. 2. We reared tadpoles of the Neotropical treefrog Dendropsophus ebraccatus with or without cues from a predator (Belostoma sp.) in ecologically relevant warm or cool temperatures. To track phenotypic changes, we measured morphology, tail coloration and developmental stage at three points during the larval period. 3. Cues from predators interacted with growth conditions causing tadpoles to alter their phenotype, changing only tail colour in response to predators in warm water, but both morphology and colour in cool growth conditions. Tadpoles with predators in warm water altered coloration early but converged on the morphology of predator-free controls. Water temperature alone had no effect on tadpole phenotype. 4. We demonstrate that seemingly small variation in abiotic environmental conditions can alter the expression of phenotypic plasticity, consistent with predictions about how growth rate affects risk. Predator-induced tadpole phenotypes depended on temperature, with strong expression only in temperatures that slow development. Thermal modulation of plastic responses to predators may be broadly relevant to poikilotherm development. It is important to include a range of realistic growth conditions in experiments to more fully understand the ecological and evolutionary significance of plasticity.</t>
  </si>
  <si>
    <t>Warkentin, Karen/0000-0002-7804-800X</t>
  </si>
  <si>
    <t>10.1111/j.1365-2656.2010.01765.x</t>
  </si>
  <si>
    <t>WOS:000285110600008</t>
  </si>
  <si>
    <t>De Araújo, MFP; Lima, EM; Pessoa, VF</t>
  </si>
  <si>
    <t>De Araujo, Maruna F. P.; Lima, Eldianne M.; Pessoa, Valdir F.</t>
  </si>
  <si>
    <t>Modeling dichromatic and trichromatic sensitivity to the color properties of fruits eaten by squirrel monkeys (Saimiri sciureus)</t>
  </si>
  <si>
    <t>Most platyrrhines have a visual polymorphism that is characterized by the presence of multiple alleles of the M/LWS gene on the X chromosome. This polymorphism is probably maintained by selection. There are two possible mechanisms by which this can be explained: First, heterozygous females may have perceptual advantages over dichromats, such that trichromacy would be favored via the existence of different visual pigments. This is known as selection by heterosis. Second, dichromacy may be advantageous in some situations, with polymorphism being maintained by frequency-dependent selection. In this study the reflectance spectra of fruits and flowers eaten by a troop of squirrel monkeys (Saimiri sciureus) in Eastern Amazon were measured using a spectrophotometer. S. sciureus have an SWS cone with a spectral tuning of approximately 430 nm, and three M/LWS alleles with spectral tunings of 535 nm, 550 nm, and 562 nm. Based on the spectral tunings of the different phenotypes and the spectral data obtained from the food items, the responses of the different visual systems to the measured objects were modeled and then compared. The model predicted that trichromatic phenotypes would have an advantage over dichromats in detecting fruits and flowers from background foliage, which suggests that heterosis is the mechanism for maintaining polymorphism in S. sclureus. On the other hand, a large proportion of fruits could not be detected by any of the phenotypes. Additional studies are necessary to determine whether other important aspects of the primates' visual world, such as prey, predator, and conspecific detection, favor tri- or dichromacy.</t>
  </si>
  <si>
    <t>Araújo, Mariana/L-5508-2014</t>
  </si>
  <si>
    <t>Araújo, Mariana/0000-0002-3016-8475</t>
  </si>
  <si>
    <t>10.1002/ajp.20312</t>
  </si>
  <si>
    <t>WOS:000242416400001</t>
  </si>
  <si>
    <t>Gil-Santana, HR; Davranoglou, LR; Neves, JA</t>
  </si>
  <si>
    <t>Gil-Santana, Helcio R.; Davranoglou, Leonidas-Romanos; Neves, Juliana A.</t>
  </si>
  <si>
    <t>A new synonymy of Graptocleptes bicolor (Burmeister), with taxonomical notes (Hemiptera: Heteroptera: Reduviidae: Harpactorinae: Harpactorini)</t>
  </si>
  <si>
    <t>Hiranetis coleopteroides (Walker, 1873) is here found to be conspecific with Graptocleptes bicolor (Burmeister, 1838). Graptocleptes bicolor is redescribed and the male genitalia characters are illustrated for the first time. Intraspecific morphological, color and male genitalia variability are discussed. Furthermore, the species is recorded from Paraguay for the first time.</t>
  </si>
  <si>
    <t>Gil-Santana, Hélcio Reinaldo/AAG-2534-2021</t>
  </si>
  <si>
    <t>Gil-Santana, Hélcio Reinaldo/0000-0002-0544-348X; Davranoglou, Leonidas-Romanos/0000-0002-3447-4242</t>
  </si>
  <si>
    <t>AUG 14</t>
  </si>
  <si>
    <t>10.11646/zootaxa.3700.3.2</t>
  </si>
  <si>
    <t>WOS:000323105800002</t>
  </si>
  <si>
    <t>Kemp, DJ; Rutowski, RL; Mendoza, M</t>
  </si>
  <si>
    <t>Colour pattern evolution in butterflies: a phylogenetic analysis of structural ultraviolet and melanic markings in North American sulphurs</t>
  </si>
  <si>
    <t>The males of many butterflies are more brightly coloured than conspecific females and this sexual dichromatism often extends into ultraviolet (UV) wavelengths. Sexual selection, acting either in the context of intra- or intersexual interactions. is thought responsible for the relative brightness of the male visage: however, this hypothesis has been difficult to test experimentally. In this study, we undertake an indirect evaluation of this idea by analysing the phylogenetic distribution of two elements of male colour pattern - UV reflectance and melanic markings - in North American sulphur butterflies. Only the UV element, which derives from nanometre-scale surface structures and is extremely bright and spectrally pure, is expected to be of sexually selected origin. We therefore predicted, based upon prior theoretical treatments. that UV colour pattern should exhibit a polyphyletic distribution typical of a sexually selected trait, whereas melanic patterns should not. We charted the distribution of each colour element across the dorsal hind- and fore-wing surfaces of 26 species (spanning four genera), and summarized the resulting intraspecific variation in colour pattern using principal components analysis. Analysis of among- versus within-sister species group variance confirmed, as predicted, a largely polyphyletic distribution for UV but not melanic patterns. We also found that variation in fore-wing UV patterning could be considered orthogonal of hind-wing variation. These findings shed interesting light on the evolution of structural coloration in this group and add strength to the idea that brilliant male coloration is principally of sexually selected origin.</t>
  </si>
  <si>
    <t>Kemp, Darrell/0000-0002-5845-5513</t>
  </si>
  <si>
    <t>WOS:000227450800009</t>
  </si>
  <si>
    <t>BARLOW, GW; BAUER, DH; MCKAYE, KR</t>
  </si>
  <si>
    <t>COMPARISON OF FEEDING, SPACING, AND AGGRESSION IN COLOR MORPHS OF MIDAS CICHLID .1. FOOD CONTINUOUSLY PRESENT</t>
  </si>
  <si>
    <t>10.1163/156853975X00344</t>
  </si>
  <si>
    <t>WOS:A1975AN77800005</t>
  </si>
  <si>
    <t>Miao, J; Wu, YQ; Li, KB; Jiang, YL; Gong, ZJ; Duan, Y; Li, T</t>
  </si>
  <si>
    <t>Miao, Jin; Wu, Yu-Qing; Li, Ke-Bin; Jiang, Yue-Li; Gong, Zhong-jun; Duan, Yun; Li, Tong</t>
  </si>
  <si>
    <t>Evidence for Visually Mediated Copulation Frequency in the Scarab Beetle Anomala corpulenta</t>
  </si>
  <si>
    <t>The scarab beetle, Anomala corpulenta Motschulsky, is a metallic iridescent species that selectively reflects left-circularly polarized light and possesses a brilliant metallic green appearance. We hypothesized that A. corpulenta use the green circularly polarized signal for conspecific communication, specifically sexual signaling and mate selection. To test this, we examined the influence of vision, body color and polarized light environment on the mating behavior of A. corpulenta. The results reported here demonstrate that A. corpulenta uses the green cuticle-reflected light for mate choice in its visual environment, although the role of color and circular polarization separately and independent of each other could not be revealed in this study.</t>
  </si>
  <si>
    <t>Gong, Zhongjun/AAZ-4442-2020</t>
  </si>
  <si>
    <t>Li, Tong/0000-0001-6269-5117</t>
  </si>
  <si>
    <t>10.1007/s10905-015-9487-3</t>
  </si>
  <si>
    <t>WOS:000351525100009</t>
  </si>
  <si>
    <t>Blackman, RL; Sorin, M; Miyazaki, M</t>
  </si>
  <si>
    <t>Blackman, Roger L.; Sorin, Masato; Miyazaki, Masahisa</t>
  </si>
  <si>
    <t>Sexual morphs and colour variants of Aphis (formerly Toxoptera) odinae (Hemiptera, Aphididae) in Japan</t>
  </si>
  <si>
    <t>Recent molecular studies have shown that the genus Toxoptera is polyphyletic, and in particular that the name of the aphid known since 1952 as Toxoptera odinae (van der Goot) should revert to Aphis odinae ( van der Goot), stat. rev. In this paper oviparae, alate males and fundatrices of A. odinae are described for the first time, from Japan. A. odinae is common as a grey-brown or rust-brown aphid on numerous plant species of shrubby habit throughout the Old World tropics and subtropics, but in temperate east Asia much darker forms occur, and Japanese populations of A. odinae include a dark green form not found elsewhere in the world. Multivariate morphometrics were used to confirm that both colour forms of the aphid in Japan were conspecific with samples from other parts of the world. Pergandeida kalopanacis Hori 1927 is a new synonym of A. odinae.</t>
  </si>
  <si>
    <t>NOV 25</t>
  </si>
  <si>
    <t>WOS:000297328000005</t>
  </si>
  <si>
    <t>Nomano, FY; Kutsukake, N</t>
  </si>
  <si>
    <t>Nomano, Fumiaki Y.; Kutsukake, Nobuyuki</t>
  </si>
  <si>
    <t>Aggression induced by ornament similarity is limited to females in a mutually ornamented fish, Betta brownorum</t>
  </si>
  <si>
    <t>Ornamentation found in both sexes, or mutual ornamentation, can be used as a threat signal towards rivals or to bias aggression towards those sharing preferences for mates or other resources. The wide-spread male bias in ornamentation suggests that sexual selection for these competitive functions is stronger in males, but these functions are rarely compared between the sexes. We investigated intra-sexual contests in a mutually ornamented fish, Betta brownorum, that uniquely has both male bias and high intrasexual variation in the presence and size of side blotches. Neither blotch size nor body size predicted the winner in either sex. The frequency of lateral display increased with opponent body size in females. Physical attacks increased when facing similarly blotched opponents only in females. These results suggest that nonsexual social selection contributes more to the maintenance of blotches than sexual selection, as the latter predicts the threat signal and/or aggression bias mainly in the sex with greater ornamentation. Our study highlights that smaller female ornaments can have social functions that are distinct from those of male ornaments and may be partially maintained by social selection in many other systems. (c) 2022 The Association for the Study of Animal Behaviour. Published by Elsevier Ltd. All rights reserved.</t>
  </si>
  <si>
    <t>Nomano, Fumiaki/0000-0003-1298-0782</t>
  </si>
  <si>
    <t>10.1016/j.anbehav.2022.05.018</t>
  </si>
  <si>
    <t>JUL 2022</t>
  </si>
  <si>
    <t>WOS:000863984000003</t>
  </si>
  <si>
    <t>Whittaker, BA; Balasubramanian, G; Camacho-Alpízar, A; Lambert, CT; Guillette, LM</t>
  </si>
  <si>
    <t>Whittaker, Benjamin A.; Balasubramanian, Gopika; Camacho-Alpizar, Andres; Lambert, Connor T.; Guillette, Lauren M.</t>
  </si>
  <si>
    <t>The Roles of Social Information, Asocial Information, and Initial Bias in Nest-Building Decisions</t>
  </si>
  <si>
    <t>Animals can use asocial (e.g., environmental cues) or social (e.g., conspecific behavior) information when making decisions. We investigated decisions made by zebra finches when asocial and social sources conveyed agreeing or conflicting information, and assessed the influence of initial bias on decision making. Finches completed an initial preference test ranking preference for three colors of nest-building material. Birds in the agree group (n = 14) then observed demonstrators build nests using nonpreferred color material (social information) that matched the environment color (asocial information). Birds in the conflict group (n = 15) observed demonstrators build nests with nonpreferred color material that did not match the cage environment (another nonpreferred color). A final preference test assessed any changes in color preference. The agree group reduced average preference for their initially preferred color, but did not significantly increase average preference for the asocial/social colors. The conflict group also reduced average preference for the initially preferred color and also increased preference for the socially demonstrated color. Observers with stronger initial bias were less likely to choose the socially demonstrated color than observers with weaker initial bias. This shows that social information informs nest-building decisions, even when in conflict with asocial information. However, bias influences social information use and adds nuance to how different individuals use information when making decisions.</t>
  </si>
  <si>
    <t>Guillette, Lauren M/AFZ-0823-2022</t>
  </si>
  <si>
    <t>Guillette, Lauren M/0000-0002-8777-6543</t>
  </si>
  <si>
    <t>2024 FEB 8</t>
  </si>
  <si>
    <t>10.1037/com0000374</t>
  </si>
  <si>
    <t>FEB 2024</t>
  </si>
  <si>
    <t>WOS:001158763200001</t>
  </si>
  <si>
    <t>Collins, JR; Vernon, EL; Thomson, JS</t>
  </si>
  <si>
    <t>Collins, J. R.; Vernon, Emily L.; Thomson, Jack S.</t>
  </si>
  <si>
    <t>Variation in risk-taking and aggression in morphotypes of the beadlet anemone, Actinia equina (L.), and the green anemone, Actinia prasina (Gosse)</t>
  </si>
  <si>
    <t>JOURNAL OF EXPERIMENTAL MARINE BIOLOGY AND ECOLOGY</t>
  </si>
  <si>
    <t>Anemones exhibit distinct between-individual differences in behaviours such as risk-taking and aggressiveness. The genus of anemone Actinia contains numerous morphotypes which occupy different locations on the shore and show different levels of aggressiveness. In this study we explored whether their propensity to take risks likewise differed between three groups of anemones: Actinia prasina; a low shore morph of Actinia equina characterised by a blue limbus around the pedal disc (described as ring-present, RP); and upper shore morphs of A. equina characterised by a lack of such a ring (ring-absent, RA). Risk-taking behaviour was measured using startle-response durations across two trials, separated by two weeks. In-between trials anemones were allowed to engage in pairwise contests with a randomly-selected opponent, during which the number of occurrences of behaviours related to movement of the body, tentacles and acrorhagi were counted and compared between groups to identify systematic variation in potentially offensive and defensive postures. Length of holotrich nematocysts, thought to be linked to aggressiveness, was also measured. Both risk-taking and inflation/deflation of acrorhagi significantly differed between groups: RA anemones were risk-prone and aggressive, RP anemones risk-averse and non-aggressive, A. prasina occupying a position in-between. Likewise nematocyst lengths varied between groups, shortest among RP anemones and longest in RA anemones. These data suggest that different morphotypes are associated with differences in risk-taking which may result from a complex interplay of various ecological factors linked to the habitats these morphotypes occupy, and add further credence to theories on speciation within the Actinia equina species complex.</t>
  </si>
  <si>
    <t>0022-0981</t>
  </si>
  <si>
    <t>1879-1697</t>
  </si>
  <si>
    <t>10.1016/j.jembe.2017.07.011</t>
  </si>
  <si>
    <t>WOS:000412252700005</t>
  </si>
  <si>
    <t>Frohnwieser, A; Pike, TW; Murray, JC; Wilkinson, A</t>
  </si>
  <si>
    <t>Frohnwieser, Anna; Pike, Thomas W.; Murray, John C.; Wilkinson, Anna</t>
  </si>
  <si>
    <t>Perception of artificial conspecifics by bearded dragons (Pogona vitticeps)</t>
  </si>
  <si>
    <t>INTEGRATIVE ZOOLOGY</t>
  </si>
  <si>
    <t>9th International Symposium of Integrative Zoology</t>
  </si>
  <si>
    <t>AUG 27-31, 2017</t>
  </si>
  <si>
    <t>Xining, PEOPLES R CHINA</t>
  </si>
  <si>
    <t>Artificial animals are increasingly used as conspecific stimuli in animal behavior research. However, researchers often have an incomplete understanding of how the species under study perceives conspecifics, and, hence, which features are needed for a stimulus to be perceived appropriately. To investigate the features that bearded dragons (Pogona vitticeps) attend to, we measured their lateralized eye use when assessing a successive range of stimuli. These ranged through several stages of realism in artificial conspecifics, to see how features such as color, the presence of eyes, body shape and motion influence behavior. We found differences in lateralized eye use depending on the sex of the observing bearded dragon and the artificial conspecific, as well as the artificial conspecific's behavior. Therefore, this approach can inform the design of robotic animals that elicit biologically-meaningful responses in live animals.</t>
  </si>
  <si>
    <t>1749-4877</t>
  </si>
  <si>
    <t>1749-4869</t>
  </si>
  <si>
    <t>10.1111/1749-4877.12303</t>
  </si>
  <si>
    <t>WOS:000462130200009</t>
  </si>
  <si>
    <t>da Silva, AR; Nogueira, CS</t>
  </si>
  <si>
    <t>da Silva, Alexandre R.; Nogueira, Caio S.</t>
  </si>
  <si>
    <t>From color to shape: ontogenetic shifts in traits of the freshwater crab Dilocarcinus pagei (Brachyura: Trichodactylidae)</t>
  </si>
  <si>
    <t>Crustaceans usually undergo a series of changes after the puberty molt. These changes are often associated with size increases in the body and in structures such as the abdomen and claws so that they can achieve higher reproductive fitness. These morphological changes allow the animal to fight, court, and signal for its conspecific with better performance. To compare ontogenetic changes, we used the freshwater crab Dilocarcinus pagei Stimpson, 1851 as a model. We analyzed differences in carapace and claw shape, force generation (via the apodeme area), morphological integration of claws, and color changes among demographic groups. Adult crabs had an increase in claw and carapace size followed by a shape change that makes the claws more robust. In addition, the animals changed from a dark brown coloration in juveniles to a dark red coloration in adult males, while adult females presented a dark red-brown coloration. Presumably, phenotypic changes may enhance crabs' ability to obtain different food sources, as well as fight for sexual partners, and manipulate females during courtship. Color changes can be a strategy by which adult males can signal to females, while the dark brown coloration of juveniles can help in camouflage in the substrate.</t>
  </si>
  <si>
    <t>da Silva, Alexandre/ABE-9168-2021; Nogueira, Caio Santos/AAV-4864-2021</t>
  </si>
  <si>
    <t>da Silva, Alexandre/0000-0001-8921-8767; Nogueira, Caio Santos/0000-0001-8539-0551</t>
  </si>
  <si>
    <t>10.1139/cjz-2023-0039</t>
  </si>
  <si>
    <t>WOS:000995450300001</t>
  </si>
  <si>
    <t>Fleishman, LJ; Perez-Martinez, CA; Leal, M</t>
  </si>
  <si>
    <t>Fleishman, Leo J.; Perez-Martinez, Christian A.; Leal, Manuel</t>
  </si>
  <si>
    <t>Can Sensory Drive Explain the Evolution of Visual Signal Diversity in Terrestrial Species? A Test with Anolis Lizards</t>
  </si>
  <si>
    <t>Animal signal colors evolve to efficiently stimulate conspecific visual systems. The sensory drive hypothesis proposes that species differences in habitat light conditions favor the evolution of color diversity. The strongest support comes from aquatic systems, while terrestrial systems offer fewer convincing examples. Anolis lizards occupy diverse habitats and signal with a colorful dewlap. Dewlap visibility depends on perceived chromatic contrast with the background. Visual system modeling has shown that red dewlaps are most visible in most habitat types. However, a majority of species possess white or yellow dewlaps. In a recent behavioral study, we showed that low light conditions can sometimes make yellow and white colors more visible by altering chromatic contrast perception with the background. Using 17 Caribbean Anolis species, we showed that cut-on wavelength, a measure of dewlap color in a white to red continuum, correlates with habitat light intensity. Pairwise comparisons revealed that red dewlaps are most visible in bright habitats, whereas yellow and white are more visible in darker habitats. We conclude that sensory drive has contributed to the evolution of dewlap color differences through the interactive effects of total habitat light intensity and chromatic contrast perception and may provide a mechanism for speciation among anoles.</t>
  </si>
  <si>
    <t>10.1086/720267</t>
  </si>
  <si>
    <t>WOS:000815766400001</t>
  </si>
  <si>
    <t>Brumfield, RT; Braun, MJ</t>
  </si>
  <si>
    <t>Phylogenetic relationships in bearded manakins (Pipridae: Manacus) indicate that male plumage color is a misleading taxonomic marker</t>
  </si>
  <si>
    <t>The piprid genus Manacus is composed of four allospecies that are readily distinguishable by differences in male plumage color. Electrophoretic data for two populations of each of the four forms plus seven outgroup piprid taxa were collected from 32 isozyme loci and used to infer phylogenetic relationships. Each Manacus form was monophyletic, with the exception of M. manacus, in which the trans-Andean (west of the Andes) population was sister to M. vitellinus, rather than to its conspecific cis-Andean (east of the Andes) population. This controversial relationship, supported by the synapomorphic allele PGM-2(b) as well as allele frequencies at ADA, GOT-1 and LGG, is consistent with general biogeographic patterns in the region, but indicates that male plumage color is an unreliable taxonomic marker. Reconstruction of male plumage color on the tree confirms that gold plumage is a derived state in M. vitellinus, a finding consistent with the possibility that gold plumage is an evolutionary novelty in vitellinus which has spread recently under positive selection. Among piprids, there was strong support for a group composed of Antilophia, Chiroxiphia, and Corapipo, and for a group composed of Pipra mentalis, P. fasciicauda, and Dixiphia pipra. Manacus is more closely related to the P. mentalis + P. fasciicauda + D. pipra group. The isozymes supported Lepidothrix as the basal taxon of those examined.</t>
  </si>
  <si>
    <t>Brumfield, Robb/K-6108-2015</t>
  </si>
  <si>
    <t>Brumfield, Robb/0000-0003-2307-0688</t>
  </si>
  <si>
    <t>10.1650/0010-5422(2001)103[0248:PRIBMP]2.0.CO;2</t>
  </si>
  <si>
    <t>WOS:000168569600005</t>
  </si>
  <si>
    <t>Roulin, A; Des Monstiers, B; Ifrid, E; Da Silva, A; Genzoni, E; Dreiss, AN</t>
  </si>
  <si>
    <t>Roulin, A.; Des Monstiers, B.; Ifrid, E.; Da Silva, A.; Genzoni, E.; Dreiss, A. N.</t>
  </si>
  <si>
    <t>Reciprocal preening and food sharing in colour-polymorphic nestling barn owls</t>
  </si>
  <si>
    <t>Barn owl (Tyto alba) siblings preen and offer food items to one another, behaviours that can be considered prosocial because they benefit a conspecific by relieving distress or need. In experimental broods, we analysed whether such behaviours were reciprocated, preferentially exchanged between specific phenotypes, performed to avoid harassment and food theft or signals of hierarchy status. Three of the results are consistent with the hypothesis of direct reciprocity. First, food sharing was reciprocated in three-chick broods but not in pairs of siblings, that is when nestlings could choose a partner with whom to develop a reciprocating interaction. Second, a nestling was more likely to give a prey item to its sibling if the latter individual had preened the former. Third, siblings matched their investment in preening each other. Manipulation of age hierarchy showed that food stealing was directed towards older siblings but was not performed to compensate for a low level of cooperation received. Social behaviours were related to melanin-based coloration, suggesting that animals may signal their propensity to interact socially. The most prosocial phenotype (darker reddish) was also the phenotype that stole more food, and the effect of coloration on prosocial behaviour depended upon rank and sex, suggesting that colour-related prosociality is state dependent.</t>
  </si>
  <si>
    <t>Dreiss, Amelie/0000-0001-7154-4783</t>
  </si>
  <si>
    <t>10.1111/jeb.12793</t>
  </si>
  <si>
    <t>WOS:000370070500014</t>
  </si>
  <si>
    <t>Roberts, NS; Gumm, JM; Mendelson, TC</t>
  </si>
  <si>
    <t>Roberts, Natalie S.; Gumm, Jennifer M.; Mendelson, Tamra C.</t>
  </si>
  <si>
    <t>Darter (Percidae: Etheostoma) species differ in their response to video stimuli</t>
  </si>
  <si>
    <t>Video playback experiments offer unique opportunities for behavioural tests due to the breadth and ease of possible manipulations available to stimuli. However, serious limitations to video playback experiments exist, primarily the need to configure a technology designed for human vision to replicate stimuli for a nonhuman viewer. Here, we test the effectiveness of video playback for two species of freshwater fish, Etheostoma barrenense and Etheostoma zonale. The focal species are closely related sympatric species that have distinct male nuptial coloration. Dichotomous choice assays using video stimuli showed that female E. zonale prefer video of conspecific males whereas female E. barrenense showed no preference for videos of conspecific or heterospecific males. Comparisons of video trials to live trials indicate that response to video playback is comparable to responses to live stimuli in female E. zonale but not in female E. barrenense. Differences in monitor replication of species-specific coloration may account for the asymmetry in response, and future work should further test colour-based recognition of video stimuli in E. zonale. (C) 2017 The Association for the Study of Animal Behaviour. Published by Elsevier Ltd. All rights reserved.</t>
  </si>
  <si>
    <t>10.1016/j.anbehav.2017.07.013</t>
  </si>
  <si>
    <t>WOS:000410035100014</t>
  </si>
  <si>
    <t>Campbell, D. L. M.; Hauber, M. E.</t>
  </si>
  <si>
    <t>Behavioural correlates of female zebra finch (Taeniopygia guttata) responses to multimodal species recognition cues</t>
  </si>
  <si>
    <t>ETHOLOGY ECOLOGY &amp; EVOLUTION</t>
  </si>
  <si>
    <t>Successful sexual reproduction requires accurate mate selection, including correct species recognition. When studying multimodal species recognition cues, uncorrelated presentations of visual and acoustic traits can be valuable tools for investigating the relative importance of various sensory modalities in the recognition process. Using a model system for species recognition research, the zebra finch (Taeniopygia guttata), we investigated captive-bred females' behavioural responses to video and acoustic playbacks of male conspecific or phylogeographically relevant heterospecific cues. Females consistently spatially preferred conspecific cues when acoustic and visual cues were presented together or acoustic-only cues were played back. In contrast, females showed no discrimination when visual cues only were available and when the visual and acoustic cues of stimulus species were experimentally mismatched. Subjects showed significant individual variation in their attentiveness to playback stimulus types. The relevance of this behavioural individuality to mate choice was confirmed by a correlation between a female's attentiveness and whether it became pair bonded with an unfamiliar male in a free-flight aviary paradigm. These results are consistent with acoustic cues being more salient than visual cues presented through video playbacks and suggest that consistency in behavioural variation in female zebra finches across testing contexts may be relevant for appropriate mate selection decisions.</t>
  </si>
  <si>
    <t>0394-9370</t>
  </si>
  <si>
    <t>1828-7131</t>
  </si>
  <si>
    <t>PII 922022306</t>
  </si>
  <si>
    <t>10.1080/03949371003707885</t>
  </si>
  <si>
    <t>WOS:000277606200006</t>
  </si>
  <si>
    <t>Csosz, S; Kiran, K; Karaman, C; Lapeva-Gjonova, A</t>
  </si>
  <si>
    <t>Csosz, Sandor; Kiran, Kadri; Karaman, Celal; Lapeva-Gjonova, Albena</t>
  </si>
  <si>
    <t>A striking color variation is detected in Ponera testacea Emery, 1895 (Hymenoptera, Formicidae) across its Western Palaearctic geographic range</t>
  </si>
  <si>
    <t>ZOOKEYS</t>
  </si>
  <si>
    <t>In this paper, we provide numeric morphology-based evidence that the dark-colored Ponera coarctata var. lucida Emery, 1898, formerly considered a synonym of P. coarctata (Latreille, 1802), is conspecific with the lighter-colored Ponera testacea Emery, 1895. Species hypotheses are developed via NC-PART clus-tering, combined with Partitioning Algorithm based on Recursive Thresholding (PART), and via PCA combined with gap statistics. We obtained our results from an extensive dataset from the 10 continuous morphometric traits measured on 165 workers belonging to 73 nest samples. Linear discriminant analysis (LDA) confirmed the grouping of hypotheses generated by exploratory analyses with 100% classification success when all ten morphometric traits were involved. The Anatolian Turkish black and the predomi-nantly European yellow samples, did not separate based on their morphometric characteristics. These two color variations broadly overlap in their geographic range in Anatolian Turkey. The investigated type series of Ponera coarctata var. lucida Emery, 1898 (collected from Kazakhstan) fell within the P. testacea cluster instead of P. coarctata and is also classified with high certainty as P. testacea by confirmatory LDA. There-fore, we propose the synonymy of Ponera coarctata var. lucida Emery, 1898 with Ponera testacea Emery, 1895. As no other morphological differences than color patterns were detected between the black and pale P. testacea samples, we hold that these populations constitute geographically occurring color vari-ations of the same species. Finally, our quantitative morphology-based results show that relying on color patterns is not a robust approach in identifying European Ponera samples, particularly in the east, but using multivariate analyses of morphometric traits is advised instead.</t>
  </si>
  <si>
    <t>Lapeva-Gjonova, Albena/AFD-8097-2022</t>
  </si>
  <si>
    <t>Lapeva-Gjonova, Albena/0000-0003-0811-0768</t>
  </si>
  <si>
    <t>1313-2989</t>
  </si>
  <si>
    <t>1313-2970</t>
  </si>
  <si>
    <t>10.3897/zookeys.1084.79415</t>
  </si>
  <si>
    <t>WOS:000750859100001</t>
  </si>
  <si>
    <t>Stephenson, BP; Ihász, N; Byrd, DC; Swierk, J; Swierk, L</t>
  </si>
  <si>
    <t>Stephenson, Barry P.; Ihasz, Nikolett; Byrd, David C.; Swierk, John; Swierk, Lindsey</t>
  </si>
  <si>
    <t>Temperature-dependent colour change is a function of sex and directionality of temperature shift in the eastern fence lizard (Sceloporus undulatus)</t>
  </si>
  <si>
    <t>Sexually dimorphic colour traits are widespread across taxa, but relatively little is known about how and why these features change with body temperature. To examine whether sex and directionality (warming vs. cooling) influence temperature-dependent colour change, we used spectrophotometry to characterize ventral and dorsal coloration in eastern fence lizards (Sceloporus undulatus), a species with temperature-dependent conspecific signals (ventral patches). In general, we found that skin colour (hue) in both sexes changed with temperature. Only ventral patch colour in males changed visibly to human observers; ventral patch hue decreased (green to blue shift) with an increase in body temperature. Male dorsal colour also changed with temperature, with cooler males exhibiting a longer-wavelength hue (red shift) than that exhibited by warmer males. Female dorsal hue changed in a manner paralleling that of males, and female ventral hue trended in the same direction: overall, warmer females tended to exhibit shorter-wavelength hues. However, the magnitude of male ventral patch colour change was highly dependent upon temperature sequence; the colourful badges of males that were progressively warmed changed from green to blue, whereas those of males that were cooled over the same time period did not change hue. Notably, only the coloration of male ventral patches was dependent on the directionality of temperature change; no other measured skin surfaces in either sex exhibited similar temperature-directionality dependence. These results are considered in the context of models for badge colour production in Sceloporus, as well as in hypotheses for the functional significance of ventral patch coloration. (C) 2016 The Linnean Society of London,</t>
  </si>
  <si>
    <t>Stephenson, Barry P./P-5076-2019; Swierk, John R/D-9936-2014; Swierk, Lindsey/JVO-0517-2024</t>
  </si>
  <si>
    <t>Stephenson, Barry P./0000-0001-5468-2439; Swierk, Lindsey/0000-0001-7897-0275</t>
  </si>
  <si>
    <t>WOS:000400944500010</t>
  </si>
  <si>
    <t>Utsumi, K; Staley, C; Eifler, MA; Núñez, H; Eifler, DA</t>
  </si>
  <si>
    <t>Utsumi, Kaera; Staley, Catherine; Eifler, Maria A.; Nunez, Herman; Eifler, Douglas A.</t>
  </si>
  <si>
    <t>Color variation and habitat use in Liolaemus silvai</t>
  </si>
  <si>
    <t>SOUTH AMERICAN JOURNAL OF HERPETOLOGY</t>
  </si>
  <si>
    <t>Liolaemus is a species-rich genus endemic to South America with relatively little known about the biology of most of the &gt; 200 included species. One species, L. silvai is common in the coastal Atacama Desert and is sexually dimorphic. We studied their phenotypic variation in color and body size, as well as habitat use by capturing lizards active on the surface. To assess phenotypic variation, we categorized the color morph of each lizard based on visible coloration in their ventral throat region and their ventral body from the shoulder girdle to the hips. We also sexed each lizard, measured snout-vent length and body mass, and recorded incidences of tail breakage. For habitat use we measured perch height, distance from the rock edge to nearest vegetation, and the height of the rocks on which lizards were initially sighted. We assessed habitat selection by comparing perch characteristics to features available in the habitat by pairing capture rocks with the nearest rock in a random direction from the initial perch site. Male L. silvai were significantly larger than females, but color morph and tail break frequency were independent of sex. Lizards used rocks that were significantly closer to vegetation than random rocks available in the environment independently of sex or color morph. We document the same pattern for perch height. Future studies are needed to examine the exact role of vegetation for L. silvai.</t>
  </si>
  <si>
    <t>Utsumi, Kaera/0000-0001-5935-7299; Eifler, Maria/0000-0002-7373-8423</t>
  </si>
  <si>
    <t>1808-9798</t>
  </si>
  <si>
    <t>10.2994/SAJH-D-20-00015.1</t>
  </si>
  <si>
    <t>WOS:000739788300008</t>
  </si>
  <si>
    <t>Papoutsoglou, SE; Karakatsouli, N; Chiras, GL</t>
  </si>
  <si>
    <t>Dietary L-tryptophan and tank colour effects on growth performance of rainbow trout (Oncorhynchus mykiss) juveniles reared in a recirculating water system</t>
  </si>
  <si>
    <t>The aim of the present study was to evaluate the possible anti-stressful effect of dietary tryptophan supplementation on growth of juvenile rainbow trout (Oncorhynchus mykiss) reared in different background colour using recirculating water system. Therefore. rainbow trout (4.7g +/- 0.02) were reared for 11 weeks in black, light blue and white tanks and fed either a commercial diet (CD) or the, same diet supplemented with tryptophan (2 100 g(-1) diet). Rearing in black tanks led to reduced final weight and total length, lower food consumption, food conversion ratio and body protein, while no differences were observed between fish reared in light blue or white ranks. Feeding the fish tryptophan supplemented diet resulted in depressed growth, increased food consumption and food conversion ratio, decreased body protein and increased body lipid, reduced liver total lipids and a marked increase in hepatosomatic index (least in fish reared in white tanks). It is concluded that rearing on a black background was stressful for rainbow trout juveniles, while the dietary level of tryptophan used failed as a stress-releasing factor and probably evoked an amino acid imbalance. (C) 2004 Elsevier B.V. All rights reserved.</t>
  </si>
  <si>
    <t>10.1016/j.aquaeng.2004.04.004</t>
  </si>
  <si>
    <t>WOS:000226462600001</t>
  </si>
  <si>
    <t>Marini, KLD; McKellar, AE; Ratcliffe, LM; Marra, PP; Reudink, MW</t>
  </si>
  <si>
    <t>Marini, Kristen L. D.; McKellar, Ann E.; Ratcliffe, Laurene M.; Marra, Peter P.; Reudink, Matthew W.</t>
  </si>
  <si>
    <t>Age-related change in carotenoid-based plumage of the American Redstart (Setophaga ruticilla)</t>
  </si>
  <si>
    <t>Plumage colouration serves a variety of functions for birds, including conspecific signalling, crypsis, and predator-prey interactions. Though much research has been conducted on colour changes in species with delayed plumage maturation, where birds do not exhibit definitive adult plumage until their second breeding season or later, relatively few studies have examined how plumage colour changes once definitive adult plumage has been attained. In this study on male and female American Redstarts (Setophaga ruticilla), which exhibit male delayed plumage maturation, we used reflectance spectrometry to evaluate carotenoid-based tail colour changes over 11 breeding seasons, examining both within-individual and population-level changes. At a population level, males in their first breeding season in definitive adult plumage had a feather hue that was more orange-shifted than birds in their second year in adult plumage, and marginally, but not significantly, more orange-shifted than birds in their third year in adult plumage. Within-individual analysis of males recaptured in subsequent seasons also revealed a shift away from orange towards a more yellow feather hue as individuals aged. Within individuals, red chroma was highest for males in their second year in adult plumage, but it showed no population-level effects. At the population level, female redstarts in their first breeding season displayed plumage with a higher red chroma and a lower brightness than birds in their second breeding season, potentially as a result of differences in the timing and conditions of moult (first-year bird tail feathers were grown in the nest). For adult males and females, there was no difference in plumage colouration between birds that returned to the study site compared to those that failed to return. Together, our results suggest that within-individual change rather than differential survival best explains our findings. We suggest that studies examining age-related colour changes are critical for understanding the evolution of complex signalling systems, such as that of American Redstarts.</t>
  </si>
  <si>
    <t>McKellar, Ann/JEF-2803-2023</t>
  </si>
  <si>
    <t>McKellar, Ann/0000-0002-7032-3759; Reudink, Matthew/0000-0001-8956-5849; Marra, Peter/0000-0002-0508-7577; Marini, Kristen/0000-0002-6301-355X</t>
  </si>
  <si>
    <t>10.1007/s10336-015-1168-7</t>
  </si>
  <si>
    <t>WOS:000356447100022</t>
  </si>
  <si>
    <t>Siebeck, UE</t>
  </si>
  <si>
    <t>Communication in coral reef fish: the role of ultraviolet colour patterns in damselfish territorial behaviour</t>
  </si>
  <si>
    <t>Many coral reef fish possess ultraviolet (UV) colour patterns. The behavioural significance of these patterns is poorly understood and experiments on this issue have not been reported for free-living reef fish in their natural environment. The damselfish Pomacentrus amboinensis has UV facial patterns, and spectroradiometric ocular media measurements show that it has the potential for UV vision. To test the potential behavioural significance of the UV patterns, I studied the response of males, in natural territories on the reef and in aquaria, to two conspecific intruders, one presented in a UV-transmitting (UV+) container and the other in a UV-absorbing (UV-) one. Territory owners attacked intruders viewed through UV+ filters significantly more often and for longer than intruders viewed through the UV- filter. In general, the results of the field experiment confirmed those of the laboratory experiment. The results support the hypothesis that P. amboinensis males are sensitive to UV light and that reflectance patterns, which appear in high contrast only in UV, modulate the level of aggressive behaviour. A recent survey showed that many predatory fish may not have UV vision and the use of UV colours in select species of reef fish may therefore serve as a 'private communication channel'. (C) 2004 The Association for the Study of Animal Behaviour. Published by Elsevier Ltd. All rights reserved.</t>
  </si>
  <si>
    <t>Siebeck, Ulrike E/J-6190-2014</t>
  </si>
  <si>
    <t>Siebeck, Ulrike E/0000-0003-2024-1568</t>
  </si>
  <si>
    <t>10.1016/j.anbehav.2003.11.010</t>
  </si>
  <si>
    <t>WOS:000223614300006</t>
  </si>
  <si>
    <t>Whitaker, KW; Alvarez, M; Preuss, T; Cummings, ME; Hofmann, HA</t>
  </si>
  <si>
    <t>Whitaker, Keith W.; Alvarez, Marcos; Preuss, Thomas; Cummings, Molly E.; Hofmann, Hans A.</t>
  </si>
  <si>
    <t>Courting danger: socially dominant fish adjust their escape behavior and compensate for increased conspicuousness to avian predators</t>
  </si>
  <si>
    <t>Males of many species display conspicuous colors to attract mates and deter rivals, although this benefit can incur an increased predation risk. In the African cichlid fish, Astatotilapia burtoni, males can change both their social status (dominant, DOM, or subordinate, SUB) and primary body color (yellow or blue). We hypothesized that these phenotypes vary in conspicuousness to predators and conspecifics, thus establishing a trade-off between intraspecific signaling and predation. We quantified the spectral reflectance of yellow and blue DOM and SUB males. We then constructed avian and conspecific visual receiver models to determine the relative conspicuousness of each phenotype. We show that there are significant differences in conspicuousness to predators and conspecifics, with the flanks of the yellow DOM males exhibiting more spectral contrast to both avian predators and conspecifics than the flanks of blue DOM males. Our measurements of escape behavior revealed that each morph exhibits distinct anti-predatory responses, with SUB males shoaling for protection, and the more conspicuous yellow DOM males executing more escape responses, potentially compensating for their increased conspicuousness. Our results suggest a novel mechanism for the maintenance of alternative male phenotypes in this species, where dynamically enhanced conspicuousness is offset by plastic changes in behavior.</t>
  </si>
  <si>
    <t>Preuss, Thomas G. G/A-7926-2009; Hofmann, Hans/E-4538-2016</t>
  </si>
  <si>
    <t>Whitaker, Keith/0000-0002-4301-3296; Hofmann, Hans/0000-0002-3335-330X</t>
  </si>
  <si>
    <t>10.1007/s10750-020-04475-9</t>
  </si>
  <si>
    <t>JAN 2021</t>
  </si>
  <si>
    <t>WOS:000604160900002</t>
  </si>
  <si>
    <t>MASUDA, Y; OZAWA, T; ENAMI, S</t>
  </si>
  <si>
    <t>GENETIC DIFFERENTIATION AMONG 8 COLOR TYPES OF THE FRESH-WATER GOBY, RHINOGOBIUS-BRUNNEUS, FROM WESTERN JAPAN</t>
  </si>
  <si>
    <t>JAPANESE JOURNAL OF ICHTHYOLOGY</t>
  </si>
  <si>
    <t>Genetic differentiation among eight color types of the freshwater goby, Rhinogobius brunneus, from the western part of Japan was investigated by using electrophoretic methods. Four sympatric types (Cross-band, Dark, Cobalt and Large-Dark (A) types) did not share alleles at between one and six loci out of 12 loci tested. No hybrid specimens were found among these types. The average genetic distances among these four types ranged from 0.13 to 0.72, which fall within the range of values among congeneric species of fishes. The average genetic distances among the other four types, Large-Dark (B), Orange, Shinji-Lake and Boso types, were only 0.01 to 0.03, and fall within the range of values among conspecific populations. These results suggest that the former four types are clearly discrete species and the latter four types may be considered as intraspecific variations of a fifth species.</t>
  </si>
  <si>
    <t>0021-5090</t>
  </si>
  <si>
    <t>1884-7374</t>
  </si>
  <si>
    <t>10.1007/BF02905670</t>
  </si>
  <si>
    <t>WOS:A1989AD70900004</t>
  </si>
  <si>
    <t>Moyaho, A; Salazar-Bautista, JL; Evelyn, BC; Amira, FU</t>
  </si>
  <si>
    <t>Moyaho, Alejandro; Salazar-Bautista, Jose Luis; Evelyn, Beristain-Castillo; Amira, Flores-Urbina</t>
  </si>
  <si>
    <t>Iridescent scales signal male fighting ability to access females in the jewelled splitfin Xenotoca variata</t>
  </si>
  <si>
    <t>Jewelled splitfin males (Xenotoca variata) possess multi-colour iridescent scales (speckles) on the flanks. This study tested the hypothesis that the number of speckles could be a good proxy for predicting fighting ability in contests for access to females. The experiments consisted in observing and recording males' agonistic behaviour, courtship displays and mating attempts in mixed-sex groups. The data were analysed and presented based on a Bayesian approach, which revealed that the density (cm(-2)) of speckles was positively correlated with the increase observed in the proportional frequency of attacks. Similarly, the density of speckles was positively associated with the increase observed in the frequency of courtship behaviour and with the frequency of mating attempts. Male-male aggressions drastically diminished (by eightfold) when females were removed from the observation tanks. These results indicate that the number of speckles is a consistent predictor of successful access to females and therefore, speckled males are likely to be able to gain more mating opportunities. This finding highlights the ubiquitous role iridescent colours play in visual signalling.</t>
  </si>
  <si>
    <t>Beristain-Castillo, Evelyn/0000-0003-4517-3362; Moyaho, Alejandro/0000-0002-2902-2938</t>
  </si>
  <si>
    <t>10.1111/jfb.15316</t>
  </si>
  <si>
    <t>WOS:000924339000001</t>
  </si>
  <si>
    <t>Barry, KL; Hawryshyn, CW</t>
  </si>
  <si>
    <t>Spectral sensitivity of the Hawaiian saddle wrasse, Thalassoma duperrey, and implications for visually mediated behaviour on coral reefs</t>
  </si>
  <si>
    <t>Although tropical coral reefs are one of the most spectrally complex habitats, there is relatively little known about colour vision of reef fish. In this study, we measured the spectral sensitivity of an endemic Hawaiian coral reef fish, Thalassoma duperrey (family Labridae), and assessed the possible role of visual sensitivity in mediating intraspecific communication. Electrophysiological recordings of compound action potentials from retinal ganglion cells were used to generate spectral sensitivity curves for specific wavelengths (380-620 nm). We found at least 2 sensitivity peaks for the on response (lambda(max)=460, 550 nm). The off response lacked a short wavelength mechanism but a medium wavelength mechanism (lambda(max)=545 nm) and a longwave mechanism (lambda(max)=570 nm) were found. To quantify the visual stimulus provided by a conspecific individual, spectral reflectance from the colour pattern of T. duperrey was measured with a spectroradiometer. Luminance and spectral contrast were computed between colour patches of the pattern and between the patches and natural backgrounds (i.e., water and coral). Reflectance from the blue head and contrast from the blue, green and red patches matched the sensitivity maxima of T. duperrey, although this depended on the type of background. Our results indicate that T. duperrey should be able to visually detect the colour pattern of a conspecific fish and that T. duperrey's visual system is designed to enhance target detection in the coral reef habitat with matched and offset cone mechanisms.</t>
  </si>
  <si>
    <t>Barry, Katherine L/B-6743-2008</t>
  </si>
  <si>
    <t>10.1023/A:1007556112449</t>
  </si>
  <si>
    <t>WOS:000084346500010</t>
  </si>
  <si>
    <t>Fincke, OM; Fargevieille, A; Schultz, TD</t>
  </si>
  <si>
    <t>Fincke, Ola M.; Fargevieille, Amelie; Schultz, Tom D.</t>
  </si>
  <si>
    <t>Lack of innate preference for morph and species identity in mate-searching Enallagma damselflies</t>
  </si>
  <si>
    <t>Insect mate recognition is often viewed as stereotypic, innate, and species-specific. However, male damselflies can learn to identify female-specific color morphs as potential mates. A suite of male mimicry hypotheses assume that heteromorphic females, which differ from males in color pattern, are more easily recognized as female and thus lack the inherent, anti-harassment advantage that the more male-like signal provides for andromorphs. Using two measures of male preference, we investigated whether naive males have a preexisting sensory bias for a given morph color in Enallagma civile, a species that appeared to exhibit extreme plasticity in morph expression across generations within a breeding season. E. civile males raised in the absence of females exhibited no preference for either morph, whereas males raised with one female type exhibited a learned sensory bias for that morph. Male Enallagma also lacked a bias toward conspecific females over a congeneric sister species. In a naturally naive population of Enallagma ebrium, males reacted sexually to both morphs of Enallagma hageni as often as they did to conspecific females, whose thoracic spectra were nearly identical with those of E. hageni. Moreover, despite the similar thoracic spectra of males and andromorphs, both of which reflected UV, males rarely reacted sexually to other males. Our results falsified implicit assumptions of male mimicry hypotheses, supported learned mate recognition, and suggested a scenario for speciation via sexual conflict.</t>
  </si>
  <si>
    <t>Fincke, Ola/W-2810-2019</t>
  </si>
  <si>
    <t>Fargevieille, Amelie/0000-0003-0934-3563; Fincke, Ola/0000-0002-4456-0136</t>
  </si>
  <si>
    <t>10.1007/s00265-006-0345-3</t>
  </si>
  <si>
    <t>WOS:000245519700015</t>
  </si>
  <si>
    <t>ANDRIES, S; NELISSEN, MHJ</t>
  </si>
  <si>
    <t>A STUDY OF THE DOMINANCE HIERARCHY IN 4 MBUNA-SPECIES - MELANOCHROMIS-JOHANNI, M-AURATUS, PSEUDOTROPHEUS-ORNATUS AND P-LOMBARDOI (TELEOSTEI, CICHLIDAE)</t>
  </si>
  <si>
    <t>BELGIAN JOURNAL OF ZOOLOGY</t>
  </si>
  <si>
    <t>Social organization forms in fish groups have been very poorly studied. However, NELISSEN (1985) found that Melanchromis auratus (BOULENGER, 1897) establishes linear rank orders in aquarium tanks. This Mbuna cichlid (Lake Malawi) is closely related to all other species of the ten Mbuna genera (RIBBINK et al., 1983) belonging to the very complex community (Mbuna is a community of a monophyletic species flock; FRYER and ILES, 1972). After this study the question arose whether other Mbuna cichlids have the same kind of social organization. In order to find out about this a study of M. johanni (ECCLES, 1983), Pseudotropheus &lt;&lt; ornatus &gt;&gt; (not yet described) and P. lombardoi (BURGESS, 1979) was carried out. A few groups of M. auratus were also observed in order to make a comparison between the four species. Individuals of the same species were kept in groups of 3 to 6 members. The colour patterns and their changes were described, the length of the individuals was measured and the agonistic acts (full display, chasing, circle fighting, mouth fighting, quivering, avoiding and fleeing) were recorded. These recordings of aggression and aggression inhibition were converted into interaction matrices for analysis. All three species establish a linear rank order in aquaria similar to the dominance hierarchy formed in groups of M. auratus (see NELISSEN, 1985). In these rank orders interactions are ordered: - the interactions depend upon the status of the animals in question. - neighbouring animals in the hierarchy interact more frequently with each other then with other group members.</t>
  </si>
  <si>
    <t>0777-6276</t>
  </si>
  <si>
    <t>2295-0451</t>
  </si>
  <si>
    <t>WOS:A1990EQ64700004</t>
  </si>
  <si>
    <t>Nelson, MW</t>
  </si>
  <si>
    <t>Nelson, Michael W.</t>
  </si>
  <si>
    <t>BREEDING EVIDENCE FOR CONSPECIFIC STATUS OF GRAMMIA PHYLLIRA (DRURY, 1773) AND GRAMMIA OITHONA (STRECKER, 1878) (EREBIDAE: ARCTIINAE), WITH NOTES ON NATURAL HISTORY AND CONSERVATION STATUS</t>
  </si>
  <si>
    <t>JOURNAL OF THE LEPIDOPTERISTS SOCIETY</t>
  </si>
  <si>
    <t>It has long been suspected that Grammia oithona may be a form of G. phyllira, but concrete evidence has been lacking. The only obvious difference between G. oithona and G. phyllira is the presence of cream-colored scales outlining the veins of the brewing of G. oithona. A female C. oithona from Hampden County, Massachusetts, U.S.A., produced progeny consisting of 55 phyllira and 51 oithona. The following year a female G. phyllira from the same locality produced 33 phyllira and 40 oithona. Therefore the name oithona represents a wing pattern phenotype, not a species, at least in the population studied. Progeny of both wild females were bred in captivity, each cross consisting of a virgin female bred with a single male, with eight separate crosses producing offspring. The simplest, most parsimonious hypothesis consistent with the data from all eight crosses is that the wing pattern phenotype is inherited as a single autosomal gene with two alleles, a dominant phyllira allele and a recessive oithona allele; dominance may be incomplete in heterozygotes. Assuming G. phyllira and G. oithona to be conspecific across their composite range, the phyllira phenotype occurs with high frequency in most populations along the East Coast and in the Upper Midwest, and with low frequency in most populations to the west and south of this range. G. phyllira is of conservation concern in the northeastern U.S.A., where it has declined substantially during the past 50 to 100 years. The natural history of G. phyllira is typical of Grammia species, but its dependence on grassland and savanna habitat on dry, sandy soils is an important consideration in conservation and management efforts for this species.</t>
  </si>
  <si>
    <t>0024-0966</t>
  </si>
  <si>
    <t>JUL 27</t>
  </si>
  <si>
    <t>WOS:000280497600001</t>
  </si>
  <si>
    <t>Petrocelli, I; Ricciardi, G; de Souza, AR; Ermanni, A; Ninu, A; Turillazzi, S</t>
  </si>
  <si>
    <t>Petrocelli, Iacopo; Ricciardi, Giulia; de Souza, Andre Rodrigues; Ermanni, Andrea; Ninu, Andrea; Turillazzi, Stefano</t>
  </si>
  <si>
    <t>Visual Signals of Individual Quality in a European Solitary Founding Paper Wasp</t>
  </si>
  <si>
    <t>Conventional signals are maintained via social costs and commonly used in the animal kingdom to assess conspecifics' agonistic ability during disputes over resources. In the last decade, some experimental studies reported the existence of visual conventional signals in several social wasp species, being good rank predictors in different social contexts. Females of the social wasp Polistes gallicus do not cooperate to start nests but they often try to usurp conspecific nests. Here, we showed that the reproductive females of this species have variable facial colour patterns that function as conventional signals. Wasps with larger black spots on their clypeus are more likely to successfully overwinter, are larger, and are better at fighting and at holding a nest. Furthermore, in field experiments, resident foundresses rely on facial pattern to assess usurpers' fighting abilities, modulating their defence reaction accordingly, so that rivals with larger black spot receive more aggression than rivals with smaller or no black spots on the clypeus. Our study reveals that visual recognition abilities are widespread among paper wasps that, regardless of their social biology, face similar selective pressures within competitive contexts.</t>
  </si>
  <si>
    <t>de Souza, André Rodrigues/C-9069-2015</t>
  </si>
  <si>
    <t>TURILLAZZI, STEFANO/0000-0002-4460-7467; Ricciardi, Giulia/0000-0002-9398-9916</t>
  </si>
  <si>
    <t>10.1111/eth.12339</t>
  </si>
  <si>
    <t>WOS:000348908100009</t>
  </si>
  <si>
    <t>LaPlante, LH; Delaney, S</t>
  </si>
  <si>
    <t>LaPlante, Lori H.; Delaney, Samantha</t>
  </si>
  <si>
    <t>Male mate choice for a female ornament in a monogamous cichlid fish, Mikrogeophagus ramirezi</t>
  </si>
  <si>
    <t>Male ram cichlid, Mikrogeophagus ramirezi, spent significantly more time associating with animated female images compared to static images of the same female, indicating that males of the species reliably respond to computer-animated images of conspecific females. Female M. ramirezi temporarily display a pink-coloured belly, and this study showed that males spent significantly more time associating with animated female images displaying a pink-coloured belly compared to animated female images with pink belly colour removed. This is the first study to report male mate choice in M. ramirezi, a neotropical monogamous dwarf cichlid.</t>
  </si>
  <si>
    <t>10.1111/jfb.14257</t>
  </si>
  <si>
    <t>JAN 2020</t>
  </si>
  <si>
    <t>WOS:000509418500001</t>
  </si>
  <si>
    <t>Hastings, BT; Melnyk, A; Ghyabi, M; White, E; Barroso, FM; Carretero, MA; Lattanzi, D; Claude, J; Chiari, Y</t>
  </si>
  <si>
    <t>Hastings, Brandon T.; Melnyk, Anastasiya; Ghyabi, Mehrdad; White, Emma; Barroso, Frederico M.; Carretero, Miguel A.; Lattanzi, David; Claude, Julien; Chiari, Ylenia</t>
  </si>
  <si>
    <t>Melanistic coloration does not influence thermoregulation in the crepuscular gecko Eublepharis macularius</t>
  </si>
  <si>
    <t>BIOLOGY OPEN</t>
  </si>
  <si>
    <t>Body coloration in ectotherms serves multiple biological functions, including avoiding predators, communicating with conspecific individuals, and involvement in thermoregulation. As ectotherms rely on environmental sources of heat to regulate their internal body temperature, stable melanistic body coloration or color change can be used to increase or decrease heat absorption and heat exchange with the environment. While melanistic coloration for thermoregulation functions to increase solar radiation absorption and consequently heating in many diurnal ectotherms, research on crepuscular and nocturnal ectotherms is lacking. Since crepuscular and nocturnal ectotherms generally absorb heat from the substrate, in these organisms melanistic coloration may have other primary functions beside thermoregulation. As such, in this work we hypothesized that the proportion of dorsal melanistic body coloration would not influence heating and cooling rates in the crepuscular gecko, Eublepharis macularius, and that changes in environmental temperature would not trigger color changes in this species. Temperature measurements of the geckos and of the environment were taken using infrared thermography and temperature loggers. Color data were obtained using objective photography and a newly developed custom software package. We found that body temperature reflected substrate temperatures, and that the proportion of melanistic coloration has no influence on heating or cooling rates or on color changes. These findings support that melanistic coloration in E. macularius may not be used for thermoregulation and strengthen the hypothesis that in animals active in low light conditions, melanistic coloration may be used instead for camouflage or other functions.</t>
  </si>
  <si>
    <t>Chiari, Ylenia/AAW-3108-2020; Barroso, Frederico M./AAX-1029-2021; Claude, julien/G-7411-2016; Carretero, Miguel A./A-1472-2013</t>
  </si>
  <si>
    <t>Chiari, Ylenia/0000-0003-2338-8602; Barroso, Frederico M./0000-0002-4111-6793; Carretero, Miguel A./0000-0002-2335-7198</t>
  </si>
  <si>
    <t>2046-6390</t>
  </si>
  <si>
    <t>bio060114</t>
  </si>
  <si>
    <t>10.1242/bio.060114</t>
  </si>
  <si>
    <t>WOS:001108722600005</t>
  </si>
  <si>
    <t>Bolyard, KJ; Rowland, WJ</t>
  </si>
  <si>
    <t>Context-dependent response to red coloration in stickleback</t>
  </si>
  <si>
    <t>Although Tinbergen found that red nuptial coloration of male three-spined stickleback, Gasterosteus aculeatus, elicited attack by other males, subsequent researchers have had difficulty replicating his results (Tinbergen 1948, Wilson Bull., 60, 6-51; 1951, The Study of Instinct. Oxford: Oxford University Press). Rowland et al. (1995, Anim. Behav., 50, 267-272) found that males tested in neutral tanks attacked a moderately coloured video image of a conspecific male more than either a bright or dull image in simultaneous presentations. These results suggest that a dual-effect process representing an interaction between aggression and fear might determine attack response. Based on this hypothesis, males tested in home tanks should attack the video images more than males tested in neutral tanks and should attack the brighter images most because their attack:fear ratio is higher. Males in their own territories spent more time attacking video images than males in neutral tanks. Males in their own territories also spent more time attacking the brighter image than they spent attacking either the moderate or the dull image. These results demonstrate the influence of spatial location on the response of male stickleback to rivals. Furthermore, a dual-effect model provides a heuristic tool for understanding the agonistic behaviour of male stickleback. (C) 1996 The Association for the Study of Animal Behaviour</t>
  </si>
  <si>
    <t>10.1006/anbe.1996.0240</t>
  </si>
  <si>
    <t>WOS:A1996VT21600007</t>
  </si>
  <si>
    <t>Ocampo, D; Barrantes, G; Uy, JAC</t>
  </si>
  <si>
    <t>Ocampo, Diego; Barrantes, Gilbert; Uy, J. Albert C.</t>
  </si>
  <si>
    <t>Female and male plumage brightness is positively correlated among populations of the dichromatic Variable Seedeater</t>
  </si>
  <si>
    <t>ORNITHOLOGY</t>
  </si>
  <si>
    <t>Lay Summary center dot We evaluated color variation among females of the Variable Seedeater, an avian species in which females show an overall brown-yellowish and relatively uniform coloration among populations, contrary to the highly variable and contrasting black and white males. center dot Among adult females, color variation is unlikely to facilitate subspecies recognition and assortative mating. center dot The variation in plumage brightness of female ventral patches may result from more relaxed selection compared to dorsal patches and from a shared feather developmental pathway with sexually selected male patches. center dot Adult females did not differ from young individuals, which may allow young males accessing mates, roosting sites, and food, while avoiding aggression from older territorial males. Because studies of plumage coloration often focus on highly elaborate and conspicuous males, little is known about the factors driving theevolution of drab plumage in females of dichromatic species. We explored variation in the color properties of drab female plumage across subspecies of the Variable Seedeater (Sporophila corvina) and found a correlation between plumage brightness of male and female plumage patches. This correlation is consistent with the hypothesis that differences in plumage brightness among females result, at least partially, from a genetic correlation or shared developmental pathway with the more conspicuous male plumage traits that are shaped by sexual selection. Furthermore, we modeled the perception of female plumage using the avian visual system and found that most of the variation in color among females is undetectable by birds; therefore, it is unlikely for such variation to have evolved via direct sexual selection as a signal for recognition or assortative mating. Together, these results suggest that variation in S. corvina female color result from non-adaptive processes. However, we found a reduced variation on color of dorsal patches compared with that of ventral patches among females, which could be explained by natural selection on crypsis, reducing the variation on dorsal patches. Finally, we found little differences in plumage color between adult females and juveniles, which suggest selection for juveniles to resemble adult females possibly to reduce aggression from adult males. Additional within-population studies and behavioral experiments are needed to discern the evolutionary factors driving variation on S. corvina female color and its function.</t>
  </si>
  <si>
    <t>Ocampo Vargas, Diego/0000-0002-7411-2027; Uy, J. Albert C./0000-0002-8437-5525</t>
  </si>
  <si>
    <t>2732-4613</t>
  </si>
  <si>
    <t>MAY 8</t>
  </si>
  <si>
    <t>10.1093/ornithology/ukad002</t>
  </si>
  <si>
    <t>JAN 2023</t>
  </si>
  <si>
    <t>WOS:000959502700001</t>
  </si>
  <si>
    <t>Overs, E; Stump, S; Severino, I; Blumstein, DT</t>
  </si>
  <si>
    <t>Overs, Elle; Stump, Sydney; Severino, Isabel; Blumstein, Daniel T.</t>
  </si>
  <si>
    <t>A test of the species confidence hypothesis in dusky damselfish</t>
  </si>
  <si>
    <t>Visual cues are important in both interspecific and intraspecific communication. The species confidence hypothesis proposes that animals are more attracted to conspecific colors and repelled by colors, not on their bodies. Studies on terrestrial lizards and birds have tested the species confidence hypothesis and shown that conspecific colors elicit reduced antipredator behavior. To date, the species confidence hypothesis has not been tested in the marine environment, specifically on coral reefs where color communication is of vital importance. We addressed this knowledge gap by measuring flight initiation distance (the distance an individual moves away from an approaching threat) in dusky damselfish (Stegastes nigricans) in response to an approaching disc of 1 of 4 different color treatments: conspecific, blue, yellow, and black. If the species confidence hypothesis explained variation in damselfish flight initiation distance, then we expected individuals to tolerate closer approaches when approached by a conspecific color. In addition, we calculated the color difference between each stimulus and its corresponding background as a potential alternative explanation for flight responses. Damselfish tolerated the closest approach from the conspecific color stimulus; there were no significant differences between other colors and there was no support for the alternative color difference hypothesis. As with similar terrestrial studies, these results are relevant to ecotourists' choice of swimsuit and wetsuit colors because color choice may modify natural antipredator behavior.</t>
  </si>
  <si>
    <t>Blumstein, Daniel/0000-0001-5793-9244</t>
  </si>
  <si>
    <t>10.1093/cz/zoac099</t>
  </si>
  <si>
    <t>WOS:000941847900001</t>
  </si>
  <si>
    <t>Karubian, J; Sillett, TS; Webster, MS</t>
  </si>
  <si>
    <t>Karubian, Jordan; Sillett, T. Scott; Webster, Michael S.</t>
  </si>
  <si>
    <t>The effects of delayed plumage maturation on aggression and survival in male red-backed fairy-wrens</t>
  </si>
  <si>
    <t>The occurrence of multiple phenotypes within a sex of a single species has long puzzled behavioral ecologists. Male red-backed fairy-wrens Malurus melanocephalus exhibit 3 behaviorally distinct types in their first breeding season: breed in bright nuptial plumage, breed in dull plumage, or remain as an unpaired auxiliary (helper) with dull plumage. The retention of dull plumage by auxiliaries and dull breeders is an example of delayed plumage maturation (DPM), a widespread phenomenon in birds whose costs and benefits are not well understood. At a mechanistic level, DPM might allow dull males either to deceptively mimic females (female mimicry hypothesis) or to honestly signal their subordinate status (status-signaling hypothesis). DPM might function via either mechanism to provide ultimate benefits relative to developing nuptial plumage by increasing reproductive success, survival, or both. In this study, we tested the hypothesis that DPM is related to increased male survival in the red-backed fairy-wren via either female mimicry or status signaling. Aviary-based experiments revealed that dull males were perceived as male, which is consistent with the status-signaling hypothesis but contradicts the female mimicry hypothesis. Further aviary and field-based experiments also revealed that dull males were socially subordinate to bright males and received less aggression than bright males, further evidence for status signaling. However, male survival was not related to plumage coloration or breeding status. These findings indicate that male plumage coloration signals social status but that dull plumage does not afford a net survival advantage, perhaps because plumage color is a conditional strategy.</t>
  </si>
  <si>
    <t>Webster, Michael/AAB-7151-2020; Karubian, Jordan/A-4364-2015; Sillett, Scott/N-2240-2017</t>
  </si>
  <si>
    <t>Webster, Michael/0000-0001-7585-4578; Karubian, Jordan/0000-0001-8201-9992; Sillett, Scott/0000-0002-7486-0076</t>
  </si>
  <si>
    <t>10.1093/beheco/arm159</t>
  </si>
  <si>
    <t>WOS:000255987600006</t>
  </si>
  <si>
    <t>Innis, T; Cunning, R; Ritson-Williams, R; Wall, CB; Gates, RD</t>
  </si>
  <si>
    <t>Innis, T.; Cunning, R.; Ritson-Williams, R.; Wall, C. B.; Gates, R. D.</t>
  </si>
  <si>
    <t>Coral color and depth drive symbiosis ecology of Montipora capitata in Kane'ohe Bay, O'ahu, Hawai'i</t>
  </si>
  <si>
    <t>CORAL REEFS</t>
  </si>
  <si>
    <t>Scleractinian corals form symbioses with diverse photosynthetic dinoflagellates (genus Symbiodinium) that confer varying levels of performance and stress tolerance to their hosts. Variation in thermal stress susceptibility (i.e., bleaching) among conspecific corals is linked to variability in symbiont community composition, yet factors driving heterogeneous symbiont associations within a population are poorly understood. To investigate potential drivers, we characterized Symbiodinium communities in Montipora capitata (N = 707 colonies) across the biophysical regions, reef types, and depth range of Kane'ohe Bay (Hawai'i, USA), where this dominant reef-builder associates with Symbiodinium spp. in clade C (C31) and/or D (S. glynnii), and occurs as brown and orange color morphs. The distribution of these traits was primarily influenced by depth: orange, D-dominated colonies were more prevalent in shallow, high light environments (&lt; 2 m), whereas brown, C-dominated colonies were more prevalent with increasing depth and light attenuation. Though either color morph could be dominated by either symbiont, brown colonies were almost exclusively C-dominated, while orange colonies were more likely to be D-dominated above 4.3 m, and C-dominated below, revealing a significant interaction between color morph and symbiosis ecology. The distribution of orange, D-dominated colonies extended deeper on patch reefs, where light penetrates deeper, compared to the more turbid, fringing reefs, further supporting light as the driver of these patterns. This work reveals that symbiont community variability may arise either from holobiont phenotypic plasticity or differential survival across light gradients, with implications for predicting coral bleaching responses and informing management applications such as selective breeding of robust corals.</t>
  </si>
  <si>
    <t>Wall, Christopher B./ACJ-0486-2022</t>
  </si>
  <si>
    <t>Wall, Christopher B./0000-0002-7164-3201; Cunning, Ross/0000-0001-7241-1181</t>
  </si>
  <si>
    <t>0722-4028</t>
  </si>
  <si>
    <t>1432-0975</t>
  </si>
  <si>
    <t>10.1007/s00338-018-1667-0</t>
  </si>
  <si>
    <t>WOS:000432285500010</t>
  </si>
  <si>
    <t>Deckel, AW</t>
  </si>
  <si>
    <t>Behavioral changes in Anolis carolinensis following injection with fluoxetine</t>
  </si>
  <si>
    <t>Eight adult male lizards of the genus and species Anolis carolinensis were used in this experiment. In order to induce aggressive responding, animals were caged separately and daily underwent pairing with another male, during which aggressive responses and changes in skin color were measured. After obtaining a baseline measure of aggressive responding, animals were injected either with fluoxetine or vehicle-controls in a cross-over design. Subjects were then exposed to five more days of (non drug) pairing with the intruder male, after which they underwent a second trial with fluoxetine/vehicle. Finally, two post-drug paired-trials were obtained. Fluoxetine injection significantly reduced the aggressive responding in the males while causing the postorbital eyespot to significantly darken. Subjects also showed increased aggressivity and skin-color reactivity subsequent to the two drug trials, although it is unclear if the fluoxetine, or non-specific factors of the injection paradigm, accounted for these changes. These results suggest that serotonergic CNS systems tonically regulate aggression in Anolis carolinesis, similar to that seen in many other species. They further suggest that eyespot-darkening and aggressive responding can be pharmacologically dissociated, implicating serotonin in the regulation of this phenomenon.</t>
  </si>
  <si>
    <t>WOS:A1996VD71100011</t>
  </si>
  <si>
    <t>Mercadante, A; Hill, GE</t>
  </si>
  <si>
    <t>Mercadante, Austin; Hill, Geoffrey E.</t>
  </si>
  <si>
    <t>An experimental test of the role of structural blue and melanin-based chestnut coloration in aggressive contests in male eastern bluebirds</t>
  </si>
  <si>
    <t>Male eastern bluebirds (Sialia sialis) have feathers with either structurally based blue coloration or melanin-based chestnut coloration, and they hold territories during the breeding season that they defend vigorously. We tested whether the melanin pigmentation or structural coloration of feathers serve as signals during intrasexual aggressive encounters by placing color-modified stuffed bluebirds in male territories. We recorded the time to attack and the intensity of attacks on each model, and we then compared the response to color-enhanced vs. color-reduced models. Male bluebirds attacked models with brighter and more chromatic blue coloration significantly more often than they attacked models with darker and less chromatic blue coloration. In contrast, the darkness of the chestnut breast coloration did not have a significant effect on the rate at which models were attacked. We conclude that territorial male bluebirds perceive intruding males with brighter blue coloration as a greater threat than males with drabber blue coloration, presumably because blue coloration is a signal of fighting ability. In contrast, the chestnut coloration of breast feathers appears to be a signal of gender and sexual maturity and not a graded signal of social status.</t>
  </si>
  <si>
    <t>10.3389/fevo.2014.00024</t>
  </si>
  <si>
    <t>WOS:000517755700023</t>
  </si>
  <si>
    <t>Sacchi, R; Coladonato, AJ; Battaiola, M; Pasquariello, C; Buratti, S; Matellini, C; Mangiacotti, M; Scali, S; Zuffi, MAL</t>
  </si>
  <si>
    <t>Sacchi, Roberto; Coladonato, Alan J.; Battaiola, Mara; Pasquariello, Carlotta; Buratti, Simone; Matellini, Cristian; Mangiacotti, Marco; Scali, Stefano; Zuffi, Marco A. L.</t>
  </si>
  <si>
    <t>Subjective resource value affects aggressive behavior independently of resource-holding-potential and color morphs in male common wall lizard</t>
  </si>
  <si>
    <t>JOURNAL OF ETHOLOGY</t>
  </si>
  <si>
    <t>Game theory models predict the outcome of a dyadic contest to depend on opponents' asymmetries in three main traits: resource-holding potential (RHP), resource value (RV) and aggressiveness. Using male common wall lizards Podarcis muralis, a polymorphic species showing three discrete morphs (white, yellow, and red), we investigated how the aggressive behavior varies according to a change in subjective RV and color morphs, while controlling for the asymmetry in RHP (using mirrors). By comparing the aggression of the same individual towards its mirror image in two different arenas (familiar = high subjective RV; novel = low subjective RV), we showed that lizard aggressive behavior was more intense and prolonged in the familiar arena than in the new one, thus supporting the occurrence of a direct relationship between motivation and aggression in this species. We also found the overall aggressiveness to differ from individual to individual, supporting the general hypothesis that aggressiveness is a trait associated with personality. By contrast, no effect of morphs was detected, ruling out the occurrence of morph specific variation in the aggressiveness. Our results highlight that an individual's motivation and personality might be as important as RHP and RV in the resolution of animal contests.</t>
  </si>
  <si>
    <t>Mangiacotti, Marco/AAZ-9550-2021; Zuffi, Marco A.L./J-6974-2013; SACCHI, ROBERTO/E-2141-2011</t>
  </si>
  <si>
    <t>Mangiacotti, Marco/0000-0001-7144-3851; SACCHI, ROBERTO/0000-0002-6199-0074</t>
  </si>
  <si>
    <t>0289-0771</t>
  </si>
  <si>
    <t>1439-5444</t>
  </si>
  <si>
    <t>10.1007/s10164-021-00690-6</t>
  </si>
  <si>
    <t>WOS:000614674500001</t>
  </si>
  <si>
    <t>Bellegarde, LGA; Erhard, HW; Weiss, A; Boissy, A; Haskell, MJ</t>
  </si>
  <si>
    <t>Bellegarde, Lucille G. A.; Erhard, Hans W.; Weiss, Alexander; Boissy, Alain; Haskell, Marie J.</t>
  </si>
  <si>
    <t>Valence of Facial Cues Influences Sheep Learning in a Visual Discrimination Task</t>
  </si>
  <si>
    <t>FRONTIERS IN VETERINARY SCIENCE</t>
  </si>
  <si>
    <t>Sheep are one of the most studied farm species in terms of their ability to process information from faces, but little is known about their face-based emotion recognition abilities. We investigated (a) whether sheep could use images of sheep faces taken in situation of varying valence as cues in a simultaneous discrimination task and (b) whether the valence of the situation affects their learning performance. To accomplish this, we photographed faces of sheep in three situations inducing emotional states of neutral (ruminating in the home pen) or negative valence (social isolation or aggressive interaction). Sheep (n = 35) first had to learn a discrimination task with colored cards. Animals that reached the learning criterion (n = 16) were then presented with pairs of images of the face of a single individual taken in the neutral situation and in one of the negative situations. Finally, sheep had to generalize what they had learned to new pairs of images of faces taken in the same situation, but of a different conspecific. All sheep that learned the discrimination task with colored cards reached the learning criterion with images of faces. Sheep that had to associate a negative image with a food reward learned faster than sheep that had to associate a neutral image with a reward. With the exception of sheep from the aggression-rewarded group, sheep generalized this discrimination to images of faces of different individuals. Our results suggest that sheep can perceive the emotional valence displayed on faces of conspecifics and that this valence affects learning processes.</t>
  </si>
  <si>
    <t>Bellegarde, Lucille/I-5603-2019; Erhard, Hans W/C-8845-2016; Weiss, Alexander/KRQ-5193-2024</t>
  </si>
  <si>
    <t>Bellegarde, Lucille/0000-0002-5616-7817; Haskell, Marie/0000-0001-9373-0624</t>
  </si>
  <si>
    <t>2297-1769</t>
  </si>
  <si>
    <t>NOV 6</t>
  </si>
  <si>
    <t>10.3389/fvets.2017.00188</t>
  </si>
  <si>
    <t>WOS:000451800800002</t>
  </si>
  <si>
    <t>D'Eath, RB; Turner, SP; Kurt, E; Evans, G; Thölking, L; Looft, H; Wimmers, K; Murani, E; Klont, R; Foury, A; Ison, SH; Lawrence, AB; Mormède, P</t>
  </si>
  <si>
    <t>D'Eath, R. B.; Turner, S. P.; Kurt, E.; Evans, G.; Thoelking, L.; Looft, H.; Wimmers, K.; Murani, E.; Klont, R.; Foury, A.; Ison, S. H.; Lawrence, A. B.; Mormede, P.</t>
  </si>
  <si>
    <t>Pigs' aggressive temperament affects pre-slaughter mixing aggression, stress and meat quality</t>
  </si>
  <si>
    <t>ANIMAL</t>
  </si>
  <si>
    <t>Pre-slaughter stress has a negative impact on animal welfare and on meat quality. Aggressive behaviour when pigs are mixed together for transportation to, or on arrival at, the abattoir is an important factor in pre-slaughter stress. Aggressiveness of pigs varies between individuals in the population, and this study investigated its effects on stress and meat quality at slaughter We mixed pigs at a young age to identify individuals of high (H) or low (L) aggressive temperament using the previously validated approach of lesion scoring. To contrast extremes of social stress single-sex groups of eight pigs were mixed according to their aggressiveness in HH, HL or LL combinations or left unmixed (U) prior to transport and slaughter (n = 271). Each treatment was replicated in at least two groups in each of four slaughter batches. Mixing per se had little effect, but mixed groups composed of aggressive pigs (HH) had more carcass skin lesions and higher levels of plasma cortisol at slaughter and had loin muscle samples with higher pH at 24h, and lower redness (a*) and yellowness (b*) compared to the other treatments. Females had higher levels of plasma cortisol at slaughter; a more rapid decline in pH post-slaughter and greater lean content of meat. Lactate and creatine kinase (CK) levels and meat pH were affected by the interaction of sex and treatment. Genetic factors, dam and sire line composition, and halothane locus (ryanodine receptor 1, RYR1) genotype, also affected a number of production and meat quality parameters as expected. Additionally, 'commercially normal' levels of social stress were studied in four further slaughter batches with no manipulation of group composition (n = 313). In these pigs, the proportion of unfamiliar pigs and group size of lairage groups explained limited variation in lesion scores at slaughter, but earlier aggressiveness did not. High numbers of skin lesions on the carcass were associated with high levels of cortisol and lactate and low glucose at slaughter, but not with meat quality measures. When stress and meat quality measures were compared for all pigs, high lactate was associated with low early pH and high drip loss, while high cortisol and CK were associated with high pH at 24h and changes in meat colour In conclusion, mixing pigs of above average aggressiveness resulted in greater aggression and stress, and changes in meat quality parameters, consistent with the effects of pre-slaughter stress on muscle chemistry</t>
  </si>
  <si>
    <t>Mormede, Pierre/N-3918-2019; Lawrence, Alistair/AAQ-3875-2020; Wimmers, Klaus/AAF-9434-2020; Mormede, Pierre/K-5537-2015</t>
  </si>
  <si>
    <t>Turner, Simon/0000-0001-9198-9448; Ison, Sarah/0000-0002-5838-281X; Foury, Aline/0000-0002-4552-3222; D'Eath, Rick/0000-0002-1801-254X; Wimmers, Klaus/0000-0002-9523-6790; Lawrence, Alistair/0000-0002-2083-4243; Mormede, Pierre/0000-0003-0345-1432</t>
  </si>
  <si>
    <t>1751-7311</t>
  </si>
  <si>
    <t>1751-732X</t>
  </si>
  <si>
    <t>10.1017/S1751731109991406</t>
  </si>
  <si>
    <t>WOS:000276005600013</t>
  </si>
  <si>
    <t>Robertson, JM; Rosenblum, EB</t>
  </si>
  <si>
    <t>Robertson, J. M.; Rosenblum, E. B.</t>
  </si>
  <si>
    <t>Male territoriality and 'sex confusion' in recently adapted lizards at White Sands</t>
  </si>
  <si>
    <t>The evolution of intersexual interactions, like mate choice, during ecological speciation has received widespread attention. However, changes in intrasexual interactions, like male territoriality, during ecological divergence are largely unexamined. We conducted field experiments with adaptively diverged populations of the eastern fence lizard (Sceloporus undulatus) to determine whether territorial males behaved differently towards ecologically similar vs. dissimilar intruders. We performed trials with light-coloured males from White Sands, New Mexico and dark-coloured males from the surrounding desert. We found that intruders from White Sands elicited more aggression than intruders from dark-soil habitat. We also documented a case of 'sex confusion' where white-sand males courted dark-soil intruders. We found population differences in signalling patch size that can explain both aggression bias and sex misidentification. We argue that direct selection (for population recognition or optimal signal transmission) and indirect selection (by-products of ecological adaptation) should influence both intersexual and intrasexual interactions during ecological speciation.</t>
  </si>
  <si>
    <t>10.1111/j.1420-9101.2010.02063.x</t>
  </si>
  <si>
    <t>WOS:000281141800011</t>
  </si>
  <si>
    <t>Stuczka, A; Hickerson, CA; Anthony, C</t>
  </si>
  <si>
    <t>Stuczka, Angela; Hickerson, Cari-Ann; Anthony, Carl</t>
  </si>
  <si>
    <t>Niche partitioning along the diet axis in a colour polymorphic population of Eastern Red-backed Salamanders, Plethodon cinereus</t>
  </si>
  <si>
    <t>AMPHIBIA-REPTILIA</t>
  </si>
  <si>
    <t>Eastern Red-backed Salamanders are colour polymorphic and have become a model system for examining ecological separation and the mechanisms for potential divergence in sympatry. Morphs of this species are differentiated along several niche axes including temperature optima, territorial behaviour, and response to predators. We were interested in whether temporal variation in ecological conditions would affect foraging behavior and ultimately diet. The goal of our study was to compare the diets of striped and unstriped P. cinereus over a range of seasonal conditions to better understand if the reported differences observed in the fall season at our field site remain consistent through the active season of this species. Diet differences between the two morphs were greatest during spring and fall when salamanders are most abundant at the surface. These diet differences were driven largely by two prey categories. In the spring, striped salamanders ate more oribatid mites and in the fall they consumed more entomobryomorph Collembola. Trade-offs associated with territory acquisition coupled with physiological and morphological differences may explain the observed seasonal niche partitioning related to the diet in this population.</t>
  </si>
  <si>
    <t>0173-5373</t>
  </si>
  <si>
    <t>1568-5381</t>
  </si>
  <si>
    <t>10.1163/15685381-00003055</t>
  </si>
  <si>
    <t>WOS:000384414500004</t>
  </si>
  <si>
    <t>Fleishman, LJ; Loew, ER; Whiting, MJ</t>
  </si>
  <si>
    <t>Fleishman, Leo J.; Loew, Ellis R.; Whiting, Martin J.</t>
  </si>
  <si>
    <t>High sensitivity to short wavelengths in a lizard and implications for understanding the evolution of visual systems in lizards</t>
  </si>
  <si>
    <t>Progress in developing animal communication theory is frequently constrained by a poor understanding of sensory systems. For example, while lizards have been the focus of numerous studies in visual signalling, we only have data on the spectral sensitivities of a few species clustered in two major clades (Iguania and Gekkota). Using electroretinography and microspectrophotometry, we studied the visual system of the cordylid lizard Platysaurus broadleyi because it represents an unstudied clade (Scinciformata) with respect to visual systems and because UV signals feature prominently in its social behaviour. The retina possessed four classes of single and one class of double cones. Sensitivity in the ultraviolet region (UV) was approximately three times higher than previously reported for other lizards. We found more colourless oil droplets (associated with UV-sensitive (UVS) and short wavelength-sensitive (SWS) photoreceptors), suggesting that the increased sensitivity was owing to the presence of more UVS photoreceptors. Using the Vorobyev-Osorio colour discrimination model, we demonstrated that an increase in the number of UVS photoreceptors significantly enhances a lizard's ability to discriminate conspecific male throat colours. Visual systems in diurnal lizards appear to be broadly conserved, but data from additional clades are needed to confirm this.</t>
  </si>
  <si>
    <t>Whiting, Martin J./E-2999-2010</t>
  </si>
  <si>
    <t>Whiting, Martin J./0000-0002-4662-0227; Fleishman, Leo/0000-0002-2309-7496</t>
  </si>
  <si>
    <t>OCT 7</t>
  </si>
  <si>
    <t>10.1098/rspb.2011.0118</t>
  </si>
  <si>
    <t>WOS:000294244900005</t>
  </si>
  <si>
    <t>Hamilton, K; Goulet, CT; Johnstone, CP; Chapple, DG</t>
  </si>
  <si>
    <t>Hamilton, Katelyn; Goulet, Celine T.; Johnstone, Christopher P.; Chapple, David G.</t>
  </si>
  <si>
    <t>Does geographical isolation influence group recognition and social preference in an invasive lizard?</t>
  </si>
  <si>
    <t>The formation of aggregations is fundamental to animal organization and has been shown to confer an evolutionary advantage. Conspecific attraction often prompts the formation of social groups yet not all individuals are equally attracted to others of their own species. The decision to aggregate with or avoid a particular individual is based upon class-specific signals that serve to differentiate among members and non-members. Given that signal divergence may be driven by local adaptation, disjunct populations could potentially have evolved distinct recognition systems adapted to their own ecological conditions. Several studies have shown that individuals of a species are capable of discriminating between such classes as sex, mate, kin, and familiar. Yet research exploring conspecific attraction between populations is lacking. Invasive species offer a unique opportunity to determine the consequences of geographic isolation on recognition systems and social preferences, as these genetically distinct native-range source populations have the potential to undergo secondary contact within the invaded region. To this end, we used an invasive lizard species, the delicate skink (Lampropholis delicata), to investigate conspecific recognition and attraction among individuals from two identified source populations that vary both genetically and morphologically. Our results of the dichotomous choice tests indicate that L. delicata did not differ in the level of social attraction expressed towards individuals from either population. It is unclear whether these findings are due to an inability to discriminate between local and foreign lizards using visual cues or instead that attraction is not based upon an individual's population origin but rather some other factor such as thermoregulatory requirements. Understanding the role that conspecific attraction plays in the invasion process will enable us to better predict the impacts of biological invasions. Future studies should consider using other sensory modalities and investigate the physiological benefit of grouping.</t>
  </si>
  <si>
    <t>Chapple, David/B-9073-2008</t>
  </si>
  <si>
    <t>Chapple, David/0000-0002-7720-6280</t>
  </si>
  <si>
    <t>10.1111/jzo.12738</t>
  </si>
  <si>
    <t>WOS:000517127100008</t>
  </si>
  <si>
    <t>Horppila, J; Estlander, S; Olin, M; Pihlajamäki, J; Vinni, M; Nurminen, L</t>
  </si>
  <si>
    <t>Horppila, Jukka; Estlander, Satu; Olin, Mikko; Pihlajamaki, Jenna; Vinni, Mika; Nurminen, Leena</t>
  </si>
  <si>
    <t>Gender-dependent effects of water quality and conspecific density on the feeding rate of fish - factors behind sexual growth dimorphism</t>
  </si>
  <si>
    <t>Sexual growth dimorphism is common among animals, growth rate differing between the genders. Growth dimorphism is common also in fish, but the regulatory mechanisms remain unclear. Variations in feeding rate may lead to sexual growth dimorphism in fish, the growth rate of females decreasing steeper than the growth rate of males when feeding rate decreases. Because water quality strongly affects the prey detection by fish, variations in water quality could affect sexual growth dimorphism. Additionally, variations in fish density could affect dimorphism through food competition. We studied experimentally with perch Perca fluvialitis, whether the effects of decreasing water transparency and increasing fish density on the feeding rate of planktivorous fish are gender-dependent. We expected that the feeding efficiency of females decrease steeper with increasing water colour and increasing fish density than the feeding rate of males. Additionally, we collected field data and studied the effects of water colour on the growth rate of male and female perch. The results showed that the effect of water colour on the feeding rate of perch was gender-dependent, while perch density had no effect on the feeding rate difference between males and females. In highly humic water, the feeding rate of male and female perch did not differ, but in clear water females showed a significantly higher feeding rate than males. The results suggested that due to their high energy demand, female perch were feeding at high rate in both water colours, while the feeding rate of males in the clear water experiments was much lower than their possible maximum rate. This was probably due to the decreased feeding activity of males to reduce predation risk. The results were supported by field data, which revealed a significant effect of water colour on the gender growth difference in planktivorous 3-year-old perch. The results suggested that variations in water quality may be a factor behind the population-dependency of dimorphism in fish.</t>
  </si>
  <si>
    <t>Olin, Mikko/I-9258-2012; Estlander, Satu/JUU-6679-2023</t>
  </si>
  <si>
    <t>Estlander, Satu/0000-0002-7197-3251</t>
  </si>
  <si>
    <t>10.1111/j.1600-0706.2010.19056.x</t>
  </si>
  <si>
    <t>WOS:000290871400007</t>
  </si>
  <si>
    <t>Silveira, MM; Oliveira, JJ; Luchiari, AC</t>
  </si>
  <si>
    <t>Silveira, M. M.; Oliveira, J. J.; Luchiari, A. C.</t>
  </si>
  <si>
    <t>Dusky damselfish Stegastes fuscus relational learning: evidences from associative and spatial tasks</t>
  </si>
  <si>
    <t>This study investigated the ability of the dusky damselfish Stegastes fuscus to associate conditioned and unconditioned stimuli (single CS-US) and to find a specific place in a clueless ambiece (spatial learning). After tested for colour preference and showing no specific colour attractively, the fish were trained to associate a colour cue with a stimulus fish (conspecific). Fish were then challenged to locate the exact place where the stimulus fish was presented. Stegastes fuscus spent most time close to the zone where stimulus was presented, even without obvious marks for orientation. The results confirm that S. fuscus show single CS-US learning and suggest the fish ability for spatial orientation. Stegastes fuscus appears to use multiple senses (sight and lateral line) for cues association and recall, and appear to perform relational learning similar to mammals. These data suggest the importance of cognitive skill for reef fishes that may have contributed to their establishment and evolutionary success in such complex environment. (C) 2015 The Fisheries Society of the British Isles</t>
  </si>
  <si>
    <t>Luchiari, Ana C/O-3206-2013</t>
  </si>
  <si>
    <t>Silveira, Mayara/0000-0001-7608-3074; Oliveira, Jessica/0000-0003-1294-3893; Luchiari, Ana/0000-0003-3294-7859</t>
  </si>
  <si>
    <t>10.1111/jfb.12618</t>
  </si>
  <si>
    <t>WOS:000351356700014</t>
  </si>
  <si>
    <t>Wang, L; Sun, F; Wan, ZY; Ye, BQ; Wen, YF; Liu, HM; Yang, ZT; Pang, HY; Meng, ZN; Fan, B; Alfiko, Y; Shen, YB; Bai, B; Lee, MSQ; Piferrer, F; Schartl, M; Meyer, A; Yue, GH</t>
  </si>
  <si>
    <t>Wang, Le; Sun, Fei; Wan, Zi Yi; Ye, Baoqing; Wen, Yanfei; Liu, Huiming; Yang, Zituo; Pang, Hongyan; Meng, Zining; Fan, Bin; Alfiko, Yuzer; Shen, Yubang; Bai, Bin; Lee, May Shu Qing; Piferrer, Francesc; Schartl, Manfred; Meyer, Axel; Yue, Gen Hua</t>
  </si>
  <si>
    <t>Genomic Basis of Striking Fin Shapes and Colors in the Fighting Fish</t>
  </si>
  <si>
    <t>MOLECULAR BIOLOGY AND EVOLUTION</t>
  </si>
  <si>
    <t>Resolving the genomic basis underlying phenotypic variations is a question of great importance in evolutionary biology. However, understanding how genotypes determine the phenotypes is still challenging. Centuries of artificial selective breeding for beauty and aggression resulted in a plethora of colors, long-fin varieties, and hyper-aggressive behavior in the air-breathing Siamese fighting fish (Betta splendens), supplying an excellent system for studying the genomic basis of phenotypic variations. Combining whole-genome sequencing, quantitative trait loci mapping, genome-wide association studies, and genome editing, we investigated the genomic basis of huge morphological variation in fins and striking differences in coloration in the fighting fish. Results revealed that the double tail, elephant ear, albino, and fin spot mutants each were determined by single major-effect loci. The elephant ear phenotype was likely related to differential expression of a potassium ion channel gene, kcnh8. The albinotic phenotype was likely linked to a cis-regulatory element acting on the mitfa gene and the double-tail mutant was suggested to be caused by a deletion in a zic1/zic4 coenhancer. Our data highlight that major loci and cis-regulatory elements play important roles in bringing about phenotypic innovations and establish Bettas as new powerful model to study the genomic basis of evolved changes.</t>
  </si>
  <si>
    <t>Yang, Zituo/KRQ-2645-2024; Bai, Bin/JFK-6375-2023; YUE, Gen Hua/F-4801-2015; Piferrer, Francesc/A-5634-2012</t>
  </si>
  <si>
    <t>Yang, Zituo/0000-0003-2206-0445; YUE, Gen Hua/0000-0002-3537-2248; Piferrer, Francesc/0000-0003-0903-4736; Wang, Le/0000-0002-3363-5753; Bai, Bin/0000-0001-9904-9987; , Bin Fan/0000-0003-4258-035X</t>
  </si>
  <si>
    <t>0737-4038</t>
  </si>
  <si>
    <t>1537-1719</t>
  </si>
  <si>
    <t>10.1093/molbev/msab110</t>
  </si>
  <si>
    <t>WOS:000693740300024</t>
  </si>
  <si>
    <t>BARLOW, GW; SIRI, P</t>
  </si>
  <si>
    <t>POLYCHROMATIC MIDAS CICHLIDS RESPOND TO DUMMY OPPONENTS - COLOR, CONTRAST AND CONTEXT</t>
  </si>
  <si>
    <t>Dummies allow the analysis of the effects of striking visual trails free of the confounding variation and interaction seen in live stimuli. In the Midas cichlid ('Cichlasoma' citrinellum), gold morphs (G) dominate norm al (N) ones, apparently because an all-gold fish is a 'supernormal releaser' of fear. Although in other fish a dummy that looks like a territory holder or a dominant individual usually evokes the most aggressive response, we wondered whether the gold color was special and would depress aggressiveness. If so, when shown four differently colored passive dummies, gold ones would be approached and attacked least. The other three colors, all naturally occurring, were gray, white and black. Based on earlier, indirect evidence, we predicted that the N and G subjects would not differ in their responses, nor would males and females. We found that gold dummies were attacked at the highest rate, not the lowest, but all dummies were approached about equally. G and N subjects did not differ, nor did males and females based on attack rates. Females, however, spent more time close to the dummies than did males, possibly prospecting for a mate. To 'calibrate' the responses, we then presented to male subjects dummies colored gold, gray, and two novel colors, green and blue. The dummies were attacked from most to least in that order. The novel colors produced greater differences in responses than did colors normally found in the Midas cichlid. Other tests using dummies altered the position of the gold patch that is normally found on the throat, eye color, eye position, proportion of body colored gold, and species-typical markings; a patch of gold covering just the face was particularly evocative. The response to G may depend on whether the encounter is symmetrical or asymmetrical. Gold and gray dummies that threatened back were alternated with passive ones of the same color. Reactive gold and gray dummies were attacked at the highest rates and about equally; they were approached less than were the passive dummies, however. The results of testing with dummies can produce contrary results depending on whether the dummy is reactive or passive, and on the color of the background.</t>
  </si>
  <si>
    <t>10.1163/156853994X00154</t>
  </si>
  <si>
    <t>WOS:A1994PR38500006</t>
  </si>
  <si>
    <t>Lifetime fitness components in female colour morphs of a damselfly: density- or frequency-dependent selection?</t>
  </si>
  <si>
    <t>In many damselfly species mature females exhibit colour polymorphism: one female morph resembles the conspecific male (androchrome) while the others do not (gynochromes). Hypotheses for the maintenance of such polymorphisms differ mainly as to whether they are based on density- and/or frequency-dependent selection and on the nature of the frequency dependence. We collected lifetime fitness data (individual lifespan, number of copulations and number of ovipositions) for female morphs of the damselfly Ischnura elegans from 15 insectaries differing in population parameters (density, sex ratio and ratio of andro- to gynochromes). Both density and frequency affected a specific set of the studied fitness components. While morph frequency influenced lifespan, sex ratio influenced the number of copulations, and density affected lifespan and the number of ovipositions. Clearly, discrepancies among studies may be generated if the studied fitness components differ. Our final fitness estimate, the number of ovipositions, was only influenced by density, thereby not supporting frequency-based hypotheses. Contrary to expectation under the current density-based hypothesis, androchromes compared to gynochromes had a lower number of ovipositions at high density. We discuss our findings in the light of mechanisms maintaining the female polymorphism. (c) 2005 The Linnean Society of London, Biological Journal of the Linnean Society, 2005, 86, 515-523.</t>
  </si>
  <si>
    <t>10.1111/j.1095-8312.2005.00551.x</t>
  </si>
  <si>
    <t>WOS:000233621200008</t>
  </si>
  <si>
    <t>Ingram, AL; Deparis, O; Boulenguez, J; Kennaway, G; Berthier, S; Parker, AR</t>
  </si>
  <si>
    <t>Ingram, A. L.; Deparis, O.; Boulenguez, J.; Kennaway, G.; Berthier, S.; Parker, A. R.</t>
  </si>
  <si>
    <t>Structural origin of the green iridescence on the chelicerae of the red-backed jumping spider, Phidippus johnsoni (Salticidae: Araneae)</t>
  </si>
  <si>
    <t>ARTHROPOD STRUCTURE &amp; DEVELOPMENT</t>
  </si>
  <si>
    <t>The structurally coloured chelicerae of jumping spiders (Salticidae) display some of the most striking of all colours in this family, in which they predominantly occur. Remarkably, however, the source of this iridescence has not been studied. For this reason, we chose to investigate the green iridescent chelicerae of the red-backed jumping spider, Phidippus johnsoni. The colour is restricted to the dorsal region of the basal chelicera segment - the paturon. This was confirmed by reflectance measurements taken at normal incidence and in backscatter, which gave a peak reflectance in the green (520 nm), arising from the first harmonic of a Bragg resonance in the near infrared. Transmission electron microscope analysis of the paturon cuticle revealed a stack of 86 layers of alternating low and high density materials, identified as air and chitin respectively. Simulations based on a periodic multilayer model of the ten outermost layers of this structure gave theoretical reflectance spectra, closely matching those observed, suggesting that the stack functions as a multilayer reflector for green. The colour is thought to function as a conspecific signal, since studies of vision in a closely related species, also displaying green chelicerae, have shown that the eyes have a peak spectral sensitivity, matching that of the chelicerae. (C) 2010 Elsevier Ltd. All rights reserved.</t>
  </si>
  <si>
    <t>Ingram, Abigail/AAT-8668-2020</t>
  </si>
  <si>
    <t>1467-8039</t>
  </si>
  <si>
    <t>1873-5495</t>
  </si>
  <si>
    <t>10.1016/j.asd.2010.07.006</t>
  </si>
  <si>
    <t>WOS:000286405700003</t>
  </si>
  <si>
    <t>Rutowski, RL; Kemp, DJ</t>
  </si>
  <si>
    <t>Rutowski, Ronald L.; Kemp, Darrell J.</t>
  </si>
  <si>
    <t>Female iridescent colour ornamentation in a butterfly that displays mutual ornamentation: is it a sexual signal?</t>
  </si>
  <si>
    <t>In species wherein males display elaborate sexually selected traits or ornaments, conspecific females may also express these traits in full or partial form. This is called mutual ornamentation, and the co-occurrence of such traits in males and females remains poorly understood. In many sulphur butterflies (subfamily Coliadinae), males have a brilliant ultraviolet (UV) iridescence on their dorsal wing surfaces that functions as a sexual signal in courtship. In some of these sulphurs, such as the large grass yellow, Eurema hecabe, females also display dorsal iridescent patches, albeit smaller, restricted to the forewings and less bright than the male's, but the reasons for its occurrence in females are unknown. Here we present a study testing two functional hypotheses for the female UV-reflecting patch: an antiharassment hypothesis and a male mate choice hypothesis. The daily activity pattern of this species suggests that males are most likely to harass or choose among females from midday on. Observations made at this time of day on the characteristics of females related to male courtship duration suggest that males may preferentially court females with a large UV patch. Experiments with colour-manipulated models also suggest that males court with equal intensity females with and without a basal UV patch. Taken altogether the results provide no support for the antiharassment hypothesis. Because support for the male mate choice hypothesis was relatively weak and because of the limited potential for selection on female coloration due to male choice in these butterflies, the nonfunctional sexual correlation hypothesis remains a viable explanation for the female ornament. (C) 2017 The Association for the Study of Animal Behaviour. Published by Elsevier Ltd. All rights reserved.</t>
  </si>
  <si>
    <t>10.1016/j.anbehav.2017.02.012</t>
  </si>
  <si>
    <t>WOS:000400402700031</t>
  </si>
  <si>
    <t>Clement, TS; Parikh, V; Schrumpf, M; Fernald, RD</t>
  </si>
  <si>
    <t>Behavioral coping strategies in a cichlid fish: the role of social status and acute stress response in direct and displaced aggression</t>
  </si>
  <si>
    <t>The African cichlid fish, Astatotilapia burtoni, has a complex social system with a sophisticated social hierarchy that offers unique opportunities to understand how social rank and its physiological substrates relate to behavioral strategies. In A. burtoni, a small fraction of the males are dominant T, territorial), as distinguished by being large, brightly colored, reproductively active, and aggressively defending territories. In contrast, the majority of males are non-dominant (NT, non-territorial), being smaller, drably colored, sexually immature, and typically schooling with females. The social system is regulated by aggressive interactions between males and behavioral responses to aggression can be direct or displaced with respect to the animal that acts. To determine whether direct and displaced behaviors are differentially exhibited by T and NT males, individuals were shown a video presentation of a dominant male displaying aggressively. Analysis of aggressive acts toward the video display and displaced activity toward a tank mate revealed that T males exhibited more direct behavior (toward the video display), while NT males engaged in more displaced behavior (toward tank mates). Because similar experiments with primates suggest that shifts in behavioral strategies are linked to changes in the stress response (as measured by circulating cortisol levels), we measured cortisol levels of T and NT males following exposure to the aggressive stimulus. Although in some animals subordinate males are reported to have higher cortisol levels, here we show that in A. burtoni the endocrine response to specific situations can vary considerably even among animals of the same status. Interestingly, NT males with intermediate cortisol levels showed more directed behavior while NT males with both high and low cortisol levels showed more displaced. This suggests an optimal physiological stress response in NT mates that predisposes them to challenge aggressors perhaps making it more likely for them to ascend in status. (C) 2005 Elsevier Inc. All rights reserved.</t>
  </si>
  <si>
    <t>10.1016/j.yhbeh.2004.11.014</t>
  </si>
  <si>
    <t>WOS:000227326100013</t>
  </si>
  <si>
    <t>Bohls, P; Koehnle, TJ</t>
  </si>
  <si>
    <t>Bohls, Patricia; Koehnle, Thomas J.</t>
  </si>
  <si>
    <t>Responses of Eastern Gray Squirrels (Sciurus carolinensis) to Predator Calls and Their Modulation by Coat Color</t>
  </si>
  <si>
    <t>AMERICAN MIDLAND NATURALIST</t>
  </si>
  <si>
    <t>In mammals, expression of certain melanocortin receptor ligands is correlated with both dark pigmentation and increased stress resistance and higher levels of aggression. Though many studies of captive and laboratory animals have explored this pleiotropic interaction, relatively few studies of animal behavior have occurred in free-living wild animals. This playback study focused on the antipredator behavior differences between melanistic and gray morphs of eastern gray squirrels (Sciurus carolinensis) in Hiram, Ohio. Vigilance, tail flagging, freezing, and escape behaviors were recorded in response to digital playback of an American robin call, a chickadee call, a car alarm, a buzzer, or one of two different red-tailed hawk calls. All squirrels exhibited increased antipredator behavior after hearing increasingly threatening stimuli. Consistent with prior findings in other species with color polymorphism, gray morphs were more likely to escape after hearing a threatening call. A growing body of evidence indicates it is possible to study pleiotropic effects of genes in free living animals.</t>
  </si>
  <si>
    <t>0003-0031</t>
  </si>
  <si>
    <t>1938-4238</t>
  </si>
  <si>
    <t>10.1674/0003-0031-178.2.226</t>
  </si>
  <si>
    <t>WOS:000416392800005</t>
  </si>
  <si>
    <t>Korsten, P; Dijkstra, TH; Komdeur, J</t>
  </si>
  <si>
    <t>Korsten, Peter; Dijkstra, Thomas H.; Komdeur, Jan</t>
  </si>
  <si>
    <t>Is UV signalling involved in male-male territorial conflict in the blue tit (Cyanistes caeruleus)?: A new experimental approach</t>
  </si>
  <si>
    <t>Structurally-based ultraviolet (UV) coloration of plumage can signal male quality and plays a role in female mate choice in many bird species. UV-reflecting badges could also be important signals in male-male competition. We tested if territorial blue tit (Cyanistes caeruleus) males discriminate between conspecific male intruders which differ in the UV reflectance of their crown feathers. To this aim, we used a new experimental approach in which we simultaneously (instead of sequentially) introduced two male blue tit taxidermic mounts in the territories of resident males during the female fertile period; one mount with natural crown UV reflectance and one mount with reduced crown UV. The two mounts provoked strong aggressive reactions from resident males. Males specifically directed their aggression to conspecific intruders, as a male blue tit mount received substantially more aggression than a mount of a European robin (Erithacus rubecula). However, aggression of resident males did not vary between the UV-reduced and the control mount. Furthermore, the variation in natural crown UV reflectance of the resident males did not predict the intensity of their aggressive response. Contrary to previous findings our results suggest that UV signals play only a limited role in male-male interactions during territorial intrusions in the female fertile period.</t>
  </si>
  <si>
    <t>Korsten, Peter/AAW-1318-2020; Komdeur, Jan/X-1261-2019</t>
  </si>
  <si>
    <t>Korsten, Peter/0000-0003-0814-9099; Komdeur, Jan/0000-0002-9241-0124</t>
  </si>
  <si>
    <t>10.1163/156853907780756030</t>
  </si>
  <si>
    <t>WOS:000247125600005</t>
  </si>
  <si>
    <t>Hansen, SW; Moller, SH; Damgaard, BM</t>
  </si>
  <si>
    <t>Hansen, Steffen W.; Moller, Steen H.; Damgaard, Birthe M.</t>
  </si>
  <si>
    <t>Bite marks in mink-Induced experimentally and as reflection of aggressive encounters between mink</t>
  </si>
  <si>
    <t>For many years, bite marks have been used as an indicator for aggression in mink production systems. However, the validity of bite marks as indicator of aggression has recently been questioned. We therefore tested the following hypotheses: (1) experimentally applied pressure to, or penetration of, the pelt during the growth phase of the winter coat will produce marks that can be recognized as bite marks at pelting, (2) bite marks applied experimentally by use of an artificial tooth or occurring due to social/aggressive interactions (bites) between mink are only visible if pressure/bite on the mink skin is applied during the active growth phase of the winter coat prior to time when matured, (3) bite marks will be easier to detect on dark mink than on mink with light coloured fur and (4) the number of bite marks accumulates and increases with time mink are housed in groups. The experimental mink were of the brown colour type (N=140) and the white colour type (N=60). Twenty brown and 20 white mink (housed in pairs since weaning) were housed individually at the age of 16 weeks. Every second week (at the age of 20, 22, 24, 25 and 28 weeks), four brown and four white mink were subjected to pressure by an artificial tooth. Before pressure was applied, each mink was anaesthetized and pain treated. In order to investigate when bite marks from cage mates are inflicted and to what extend they accumulate over time, 120 brown and 40 white juvenile mink were placed in groups of four in climbing cages after weaning. Every second week (at the age of 20, 22, 24, 26 and 28 weeks) group housed mink were moved to single housing in standard cages in order to prevent further bites from cage mates. At the age of 29 weeks, all mink were killed individually by CO2 and the pelts were examined for bite marks. The results showed that: (1) experimentally applied pressure on the skin can be recognized as bite marks in brown mink at pelting, (2) bite marks are easier to detect on brown mink than on white coloured mink (P&lt;0.001), (3) bite marks applied experimentally by use of an artificial tooth or occurring due to social/aggressive interactions (bites) between mink are only visible if pressure/bite on the mink skin is applied during the active growth phase of the winter coat prior to time when matured, and (4) the longer time mink are kept in groups, the more bite marks can be observed on the skin (P&lt;0.001). The study has shown that bite marks are a valid and useful welfare indicator for quantifying the social tolerance of dark mink and consequently the risk for serious bite wounds. (C) 2014 Elsevier B.V. All rights reserved.</t>
  </si>
  <si>
    <t>Moller, Steen Henrik/0000-0003-3086-753X</t>
  </si>
  <si>
    <t>10.1016/j.applanim.2014.06.008</t>
  </si>
  <si>
    <t>WOS:000341480200009</t>
  </si>
  <si>
    <t>TAYLOR, HL; WALKER, JM</t>
  </si>
  <si>
    <t>MORPHOLOGICAL EVIDENCE FOR THE CONSPECIFIC RELATIONSHIP OF THE TEIID LIZARDS, CNEMIDOPHORUS-TIGRIS-AETHIOPS AND C-TIGRIS-GRACILIS</t>
  </si>
  <si>
    <t>Compared with reference populations of the teiid lizards, Cnemidophorus tigris aethiops and C. t. gracilis, in northwestern Sonora, Mexico, specimens from a geographically intermediate zone exhibited characteristics of both subspecies. Evidence from color patterns, univariate statistics, canonical variates analysis, inferred fertility, and ecological data indicated that free intergradation had occurred in an ecotone between Arizona Upland and Lower Colorado River subdivisions of the Sonoran Desertscrub Formation and substantiated the subspecific relationship of the two forms. Four contact zones involving differentiated populations of C. tigris were compared and provide examples of various outcomes predicted by the alloparapatric speciation model.</t>
  </si>
  <si>
    <t>WOS:A1991FZ81200023</t>
  </si>
  <si>
    <t>KRYSAN, JL; SMITH, RF; GUSS, PL</t>
  </si>
  <si>
    <t>DIABROTICA-BARBERI (COLEOPTERA, CHRYSOMELIDAE) ELEVATED TO SPECIES RANK BASED ON BEHAVIOR, HABITAT CHOICE, MORPHOMETRICS, AND GEOGRAPHICAL VARIATION OF COLOR</t>
  </si>
  <si>
    <t>ANNALS OF THE ENTOMOLOGICAL SOCIETY OF AMERICA</t>
  </si>
  <si>
    <t>Based upon laboratory and field studies, and examination of more than 3500 museum specimens, D. longicornis barberi Smith and Lawrence is elevated to species rank. D. barberi and D. longicornis (say) are distinct species with overlapping ranges in the central plains of the United States. Adults of D. longicornis are characterized by piceous antennae, tibiae, tarsi and clypeus and are collected from cucurbits. D. barberi is commonly collected in cornfields and, where it is sympatric with D. longicornis, has yellow to testaceous antennae, tibiae, tarsi and clypeus. The distinguishing colors prevailed in progeny of field-collected beetles fed from egg hatch to adulthood on a common diet. Sex pheromone extracts which attract D. barberi males did not attract D. longicornis males, and males of each species were attracted by conspecific virgin female beetles but not by females of the other species. In caged sexual compatibility experiments, mating success was asymmetrical. Discriminant analysis of 14 morphometric characters failed to discriminate completely between D. barberi and D. longicornis. Chromatic variation within D. barberi is geographically complex. The distribution of the 2 taxa is presented.</t>
  </si>
  <si>
    <t>0013-8746</t>
  </si>
  <si>
    <t>1938-2901</t>
  </si>
  <si>
    <t>10.1093/aesa/76.2.197</t>
  </si>
  <si>
    <t>WOS:A1983QE09100008</t>
  </si>
  <si>
    <t>Scherer, U; Godin, JGJ; Schuett, W</t>
  </si>
  <si>
    <t>Scherer, Ulrike; Godin, Jean-Guy J.; Schuett, Wiebke</t>
  </si>
  <si>
    <t>Validation of 2D-animated pictures as an investigative tool in the behavioural sciences: A case study with a West African cichlid fish, Pelvicachromis pulcher</t>
  </si>
  <si>
    <t>Virtual stimuli represent an increasingly popular tool in the study of animal behaviour. Modern techniques have the potential to simplify and improve traditional experiments using live stimuli. However, the increasing availability of diverse techniques is associated with problems and limitations. Although many new methods have been developed, their validation remains largely untested. In the present study, we therefore performed two experiments to test whether 2-D animations of predators and conspecifics elicit biologically appropriate behavioural responses in male rainbow kribs, Pelvicachromis pulcher. Individual responses towards a sympatric natural fish predator, Parachanna obscura, were tested using live predators and still colour photographs, animated using PowerPoint c. Compared to control trials (empty aquarium and white computer screen, respectively), individuals decreased their activity in response to both live and animated predators. We found no difference in activity between live and animation trials. Further, we tested individual aggression (frequency of aggressive behaviours) exhibited towards live and animated conspecifics. Individual aggressive behaviours shown towards live and animated conspecifics were positively correlated. Moreover, an individual's mean distance towards the opponent was a suitable proxy for individual aggression permitting the facilitation and standardisation of an individual's aggression through the use of a tracking software compared with the more laborious, traditional manual assessment. Our results show that simple, inexpensive animation techniques have the potential to provide an easy-to-apply and useful technological advance in animal behaviour research.</t>
  </si>
  <si>
    <t>Scherer, Ulrike/AAC-8286-2020</t>
  </si>
  <si>
    <t>Scherer, Ulrike/0000-0003-1086-8527; Schuett, Wiebke/0000-0002-4149-6095</t>
  </si>
  <si>
    <t>10.1111/eth.12630</t>
  </si>
  <si>
    <t>WOS:000404616400008</t>
  </si>
  <si>
    <t>Yamazaki, Y; Pagani-Núñez, E; Sota, T; Barnett, CRA</t>
  </si>
  <si>
    <t>Yamazaki, Yuki; Pagani-Nunez, Emilio; Sota, Teiji; Barnett, Craig R. A.</t>
  </si>
  <si>
    <t>The truth is in the detail: predators attack aposematic prey with less aggression than other prey types</t>
  </si>
  <si>
    <t>Aposematic organisms are often unprofitable to predators (e.g. because of defensive chemicals) which they advertise with a conspicuous signal (e.g. bright and conspicuous colour signals). Aposematism is thought to reduce predation of prey because the colour signal increases the ability of predators to learn, recognize and remember the prey's defensive properties. The efficacy of aposematism has been extensively documented in laboratory studies, although its benefits seem to be harder to demonstrate in the field. In this study, we compared the levels of partial and overall predation among four prey types (undefended and cryptic, undefended and warning coloured, defended and cryptic, and aposematic prey). Overall, predation of warning coloured and defended (aposematic) prey was lower than the predation for cryptic and undefended prey; however, it was the same as predation of cryptic and defended prey. Moreover, aposematic prey had higher levels of partial predation (where prey was not wholly consumed by the predator) and lower attack intensities. This suggests that prey were being taste sampled, but also might be better able to survive attacks. Therefore, the benefits of aposematism may lie not only in reducing outright predation, but also in altering a predator's post-attack behaviour, thus leading to greater escape opportunities and post-attack survival of prey. These results reinforce the importance of examining predation in more detail rather than simply examining attack rates.</t>
  </si>
  <si>
    <t>Nunez, Emilio Pagani/AAR-1744-2020</t>
  </si>
  <si>
    <t>Nunez, Emilio Pagani/0000-0001-8839-4005</t>
  </si>
  <si>
    <t>10.1093/biolinnean/blaa119</t>
  </si>
  <si>
    <t>WOS:000580984200006</t>
  </si>
  <si>
    <t>Brazill-Boast, J; Griffith, SC; Pryke, SR</t>
  </si>
  <si>
    <t>Brazill-Boast, James; Griffith, Simon C.; Pryke, Sarah R.</t>
  </si>
  <si>
    <t>Morph-dependent resource acquisition and fitness in a polymorphic bird</t>
  </si>
  <si>
    <t>Understanding genetic colour polymorphism has proved a major challenge, both in terms of the underlying genetic mechanisms and the evolutionarily forces maintaining such genetic variation. In this context, genetic differences in aggression or competitive-related traits may covary with the expression of alternative phenotypes, and affect the evolutionary stability and maintenance of colour polymorphisms. Genetic red and black head-colour morphs of the Gouldian finch (Erythrura gouldiae) co-occur in temporally and geographically stable frequencies in sympatric populations. Gouldian finches are obligate cavity-nesters with highly specific preferences for nest-site morphometry that directly affect reproductive success. Because intra- and interspecific competition for high quality nest-sites is prevalent, and fitness is directly related to nest-site quality, we investigated the relative access (and consequences for reproductive success) of alternative morphs to this critical limiting resource in the wild. Red males defended higher quality nest-sites, and overcame greater levels of nest-site competition against conspecifics and superior heterospecific competitors than black males. Red-headed males also produced more fledglings (especially with red-headed females) than black-headed males, independent of nest-site quality. Finally, the independent (positive) effect of nest-site quality on reproductive success was confirmed. Such competitive asymmetries are important to relative selection among coexisting morphs, and are likely to contribute to the maintenance of alternative sympatric colour-morphs in wild populations.</t>
  </si>
  <si>
    <t>Griffith, Simon/AAH-3706-2021; Brazill-Boast, James/R-6195-2019</t>
  </si>
  <si>
    <t>10.1007/s10682-013-9651-1</t>
  </si>
  <si>
    <t>WOS:000326897500010</t>
  </si>
  <si>
    <t>Rhodes, SB; Schlupp, I</t>
  </si>
  <si>
    <t>Rhodes, S. B.; Schlupp, I.</t>
  </si>
  <si>
    <t>Rapid and socially induced change of a badge of status</t>
  </si>
  <si>
    <t>This paper reports a new aspect of male signalling in the green swordtail Xiphophorus hellerii. Males are highly ornamented and possess a sword (an extension of the caudal fin), as well as a lateral stripe that has been shown to be a badge of status. Males of one natural population, however, were found to quickly change the colour of their lateral stripe to red when socially dominant over other males and black when subdominant, thereby exploiting the female preference for red stripes while dominant, and avoiding the costs of male aggression while subdominant.</t>
  </si>
  <si>
    <t>Schlupp, Ingo/C-3913-2012</t>
  </si>
  <si>
    <t>Schlupp, Ingo/0000-0002-2460-5667</t>
  </si>
  <si>
    <t>10.1111/j.1095-8649.2011.03212.x</t>
  </si>
  <si>
    <t>WOS:000300933900019</t>
  </si>
  <si>
    <t>Taylor, JN; Lattanzio, MS</t>
  </si>
  <si>
    <t>Taylor, Julie N.; Lattanzio, Matthew S.</t>
  </si>
  <si>
    <t>Boldness, Dominance, and Territoriality in the Color Polymorphic Tree Lizard, Urosaurus ornatus</t>
  </si>
  <si>
    <t>Social dynamics in territorial species often reflect underlying variation in aggression and other aspects of social dominance among individuals. In ornate tree lizards (Urosaurus ornatus), males differing in dewlap color differ in social dominance: while blue males are the dominant, aggressive morph and always territorial, yellow males tend to exhibit a less-aggressive satellite behavioral tactic. However, in habitats with fewer available territorial resources, yellow males defend territories and increase in relative abundance. These observations suggest that consideration of social dominance alone may be insufficient to explain U. ornatus' territorial dynamics in the wild. Here, we tested how both dominance and another important behavioral trait, boldness, contribute to the outcome of territorial disputes in tree lizards. We recorded the territorial behavior of blue and yellow male tree lizards (entered in pairs) in an experimental arena. At the end of each trial, we then approached each male and recorded whether it fled (shy) or not (bold) in response to our approach. As expected, dominant blue males exploited the higher quality perch more often than yellow males. However, when approached by a simulated predator, blue males were more likely to flee than yellow males. Thus, while blue males are more dominant, yellow is likely the bolder morph. As a result, this morph may be better equipped to defend territories in riskier environments. We conclude that although dominance asymmetries may predictably drive initial territorial interactions among competing males, variation in other behaviors (like boldness) may perturb the long-term outcome of these interactions across variable environments.</t>
  </si>
  <si>
    <t>Taylor, Julie/0000-0001-5862-9037</t>
  </si>
  <si>
    <t>10.1111/eth.12534</t>
  </si>
  <si>
    <t>WOS:000385572700005</t>
  </si>
  <si>
    <t>Yasukawa, K; Enstrom, DA; Parker, PG; Jones, TC</t>
  </si>
  <si>
    <t>Yasukawa, Ken; Enstrom, David A.; Parker, Patricia G.; Jones, Thomas C.</t>
  </si>
  <si>
    <t>EPAULET COLOR AND SEXUAL SELECTION IN THE RED-WINGED BLACKBIRD: A FIELD EXPERIMENT</t>
  </si>
  <si>
    <t>The epaulets of mate Red-winged Blackbirds (Agelaius phoeniceus) function in both intersexual and intrasexual contexts, but there is little evidence that they covary with reproductive success in this well-studied species. We used path analysis of male/territory traits, mating success, and reproductive success of unmanipulated males to estimate current directional selection. Territory size had a positive effect on number of within-pair mates. Number of extra-pair mates had a positive effect on number of extra-pair fledglings, and number of within-pair and extra-pair fledglings had positive effects on total number of fledglings. We also reddened epaulets of free-living territorial males to determine whether manipulated and control males differ in territorial behavior, mating success, or reproductive success. Compared with control males, males with reddened epaulets incurred elevated rates of trespassing and territorial challenges, lost their territories more often, and were unable to produce extra-pair offspring. Despite these differences, however, the realized reproductive success of experimental and control males did not differ significantly, perhaps because males with reddened epaulets devoted more time to anti-predator vigilance and were more aggressive toward a simulated predator than were control males. An apparent lack of current sexual selection on epaulet color may be a form of counter-balancing sexual selection in which male aggression against redder epaulets opposes female preference for redder epaulets, or it might be the result of males compensating for lost extra-pair fertilizations by increasing their parental care.</t>
  </si>
  <si>
    <t>10.1525/cond.2009.090058</t>
  </si>
  <si>
    <t>WOS:000272325600018</t>
  </si>
  <si>
    <t>Trnka, A; Grim, T</t>
  </si>
  <si>
    <t>Trnka, Alfred; Grim, Tomas</t>
  </si>
  <si>
    <t>Color plumage polymorphism and predator mimicry in brood parasites</t>
  </si>
  <si>
    <t>FRONTIERS IN ZOOLOGY</t>
  </si>
  <si>
    <t>Background: Plumage polymorphism may evolve during coevolution between brood parasites and their hosts if rare morph(s), by contravening host search image, evade host recognition systems better than common variant(s). Females of the parasitic common cuckoo (Cuculus canorus) are a classic example of discrete color polymorphism: gray females supposedly mimic the sparrowhawk (Accipiter nisus), while rufous females are believed to mimic the kestrel (Falco tinnunculus). Despite many studies on host responses to adult cuckoos comprehensive tests of the hawk mimicry and kestrel mimicry hypotheses are lacking so far. Results: We tested these hypotheses by examining host responses to stuffed dummies of the sparrowhawk, kestrel, cuckoo and the innocuous turtle dove (Streptopelia turtur) as a control at the nest. Our experimental data from an aggressive cuckoo host, the great reed warbler (Acrocephalus arundinaceus), showed low effectiveness of cuckoo-predator mimicry against more aggressive hosts regardless of the type of model and the degree of perfection of the mimic. Specifically, warblers discriminated gray cuckoos from sparrowhawks but did not discriminate rufous cuckoos from kestrels. However, both gray and rufous cuckoos were attacked vigorously and much more than control doves. The ratio of aggression to gray vs. rufous cuckoo was very similar to the ratio between frequencies of gray vs. rufous cuckoo morphs in our study population. Conclusions: Overall, our data combined with previous results from other localities suggest polymorphism dynamics are not strongly affected by local predator model frequencies. Instead, hosts responses and discrimination abilities are proportional, other things being equal, to the frequency with which hosts encounter various cuckoo morphs near their nests. This suggests that female cuckoo polymorphism is a counter-adaptation to thwart a specific host adaptation, namely an ability to not be fooled by predator mimicry. We hypothesize the dangerousness of a particular model predator (sparrowhawks are more dangerous to adult birds than kestrels) may be another important factor responsible for better discrimination between the gray cuckoo and its model rather than between the rufous cuckoo and its model. We also provide a review of relevant existing literature, detailed discussion of plumage polymorphism in cuckoos, methodological recommendations and new ideas for future work.</t>
  </si>
  <si>
    <t>Grim, Tomas/A-2852-2008</t>
  </si>
  <si>
    <t>Grim, Tomas/0000-0002-5775-6269</t>
  </si>
  <si>
    <t>1742-9994</t>
  </si>
  <si>
    <t>10.1186/1742-9994-10-25</t>
  </si>
  <si>
    <t>WOS:000319151500001</t>
  </si>
  <si>
    <t>Hooper, RE; Plaistow, SJ; Tsubaki, Y</t>
  </si>
  <si>
    <t>Signal function of wing colour in a polymorphic damselfly, Mnais costalis Selys (Zygoptera: Calopterygidae)</t>
  </si>
  <si>
    <t>Mnais costalis male male exist in 2 forms specialised for the demands of 2 distinct strategies, territorial fighters and non-territorial sneaks, which give approximately equal fitness payoffs. Territorial male male have orange wings, whereas typical non-territorial male male are clear-winged. By simulating agonistic encounters between male male it is shown that the 2 morphs showed distinct responses to the signal from orange wings: territorial orange-winged male male always tried to enter contests, while clear-winged male male always avoided them. On the other hand, the 2 morphs showed similar responses to the signal from clear wings: both morphs tried to attack models. Also presented are 'painted clear models' which were clear-winged male male whose wings had been painted orange, and both morphs responded as if they were orange-winged models. These observations indicate that male male discriminate between fighter and sneaker morphs using the colour of wings, and shows different styles of agonistic responses toward fighter and sneaker morphs. It is likely that non-territorial sneaks may gain an advantage from non-signalling because clear wings increase crypsis on another male territory, increasing their success in stealing copulations. No indication was found that clear-winged male male are female mimics, or that having clear wings reduced the level of aggression directed towards them by territorial orange-winged male male.</t>
  </si>
  <si>
    <t>Kawata, Kyoko/E-4818-2010; Tsubaki, Yoshitaka/E-5300-2010</t>
  </si>
  <si>
    <t>MAR 1</t>
  </si>
  <si>
    <t>WOS:000235795700002</t>
  </si>
  <si>
    <t>Drury, JP; Anderson, CN; Grether, GF</t>
  </si>
  <si>
    <t>Drury, J. P.; Anderson, C. N.; Grether, G. F.</t>
  </si>
  <si>
    <t>Seasonal polyphenism in wing coloration affects species recognition in rubyspot damselflies (Hetaerina spp.)</t>
  </si>
  <si>
    <t>Understanding how phenotypic plasticity evolves and in turn affects the course of evolution is a major challenge in modern biology. By definition, biological species are reproductively isolated, but many animals fail to distinguish between conspecifics and closely related heterospecifics. In some cases, phenotypic plasticity may interfere with species recognition. Here, we document a seasonal polyphenism in the degree of dark wing pigmentation in smoky rubyspot damselflies (Hetaerina titia) - a shift so pronounced that it led early researchers to classify different forms of H.titia as separate species. We further show how the seasonal colour shift impacts species recognition with the sympatric congener Hetaerina occisa. Interspecific aggression (territorial fights) and reproductive interference (mating attempts) are much more frequent early in the year, when H.titia more closely resembles H.occisa, compared to later in the year when the dark phase of H.titia predominates. Using wing colour manipulations of tethered damselflies, we show that the seasonal changes in interspecific interactions are caused not only by the seasonal colour shift but also by shifts in discriminatory behaviour in both species. We also experimentally tested and rejected the hypothesis that learning underlies the behavioural shifts in H.occisa. An alternative hypothesis, which remains to be tested, is that the seasonal polyphenism in H.titia wing coloration has resulted in the evolution of a corresponding seasonal polyphenism in species recognition in H.occisa. This study illustrates one of the many possible ways that plasticity in species recognition cues may influence the evolution of interspecific interactions.</t>
  </si>
  <si>
    <t>10.1111/jeb.12665</t>
  </si>
  <si>
    <t>WOS:000359606200002</t>
  </si>
  <si>
    <t>Slagsvold, T; Drevon, T</t>
  </si>
  <si>
    <t>Female pied flycatchers trade between male quality and mating status in mate choice</t>
  </si>
  <si>
    <t>According to mate choice theory females should consider both male quality and mating status when choosing a mate. In birds, strong experimental evidence indicates that females prefer males with elaborate traits. No comparable evidence exists to determine whether females take male mating status into account or how they may trade between male quality and male mating status. We studied mate choice of female pied flycatchers (Ficedula hypoleuca) in outdoor aviaries where the effect of territory quality could be eliminated and where we could control which males were mated and which were unmated. We used male plumage colour as our measure of male quality. In the aviaries, focal females could easily compare males and assess their plumage colour and mating status, and resident females were prevented from attacking prospecting females because of separation in different compartments. The study provided evidence for a trade-off in mate choice. Females may compromise by choosing an already mated male if he is more brightly coloured and, presumably, of higher quality than available unmated males. The study did not support the idea that polygyny is based on male deception of females, but the results were consistent with the female aggression hypothesis.</t>
  </si>
  <si>
    <t>MAY 7</t>
  </si>
  <si>
    <t>10.1098/rspb.1999.0724</t>
  </si>
  <si>
    <t>WOS:000080290100008</t>
  </si>
  <si>
    <t>Gerald, MS; Waitt, C; Little, AC</t>
  </si>
  <si>
    <t>Gerald, Melissa S.; Waitt, Corri; Little, Anthony C.</t>
  </si>
  <si>
    <t>Pregnancy coloration in macaques may act as a warning signal to reduce antagonism by conspecifics</t>
  </si>
  <si>
    <t>Instances of bright, hormonally induced coloration among females during gestation have been reported in a few reptile and primate genera. Gravid coloration in lizards has been linked to female aggression but the influence of color changes associated with pregnancy has not yet been experimentally pursued for primates. As a first step to determine whether the crimson to magenta hues common to pregnancy coloration in rhesus macaques (Macaca mulatta) contains information, to which conspecifics of either sex attend, we evaluated whether male and female rhesus macaques discriminate between pregnant and non-pregnant female faces. To these ends, we presented 19 adult rhesus macaques with color-manipulated digital images of female faces where pregnancy coloration was present or absent, and measured visual attention and behavioral reactions. Males were significantly more attentive to female faces with pregnancy coloration over those without pregnancy coloration. Both sexes engaged in higher levels of appeasement behavior toward stimulus with pregnancy coloration, and males showing signs of anxiety did so exclusively when exposed to faces with pregnancy coloration. Our results suggest that pregnancy coloration might be an attention grabbing Stimulus to males and a warning Stimulus to both male and female rhesus macaques. The findings provide a comparative perspective on the use of color in intra-specific communication, and suggest similarity in female similarity in signalling properties in distantly related taxa. (C) 2008 Published by Elsevier B.V.</t>
  </si>
  <si>
    <t>10.1016/j.beproc.2008.08.001</t>
  </si>
  <si>
    <t>WOS:000262546900002</t>
  </si>
  <si>
    <t>Luchiari, AC</t>
  </si>
  <si>
    <t>Luchiari, Ana C.</t>
  </si>
  <si>
    <t>How Betta splendens finds its way</t>
  </si>
  <si>
    <t>This study investigated the Siamese fighting fish Betta splendens performance in associating a stimulus with a specific cue when distractors are present. After trained to associate a specific color cue to a stimulus (conspecific) in a tank containing three colored distractors, the fish was challenged to locate the exact place where the stimulus fish was presented. With only color cues as guides, the Siamese fighting fish spent most of its time close to the color where the stimulus fish was previously presented, regardless of the distractors. However, fish trained to associate an empty place (no cues) to a stimulus fish, and then tested to localize the specific zone where the stimulus was shown, succeeded to locate the place even without any obvious cues/distractors for orientation. This study confirms that Siamese fighting fish show good conditioned learning and cannot be distracted by other stimuli. In addition, an unexpected good performance in the absence of cues may suggest the Betta's ability to orientate by using another sensorial modalities, as magnetic orientation. Collectively, the results of this study confirm Betta as a valid and reliable model for learning and memory tests, and suggest more studies should be developed for the better understanding of the fish's spatial orientation mechanisms. (c) 2015 Elsevier B.V. All rights reserved.</t>
  </si>
  <si>
    <t>Luchiari, Ana/0000-0003-3294-7859</t>
  </si>
  <si>
    <t>10.1016/j.beproc.2015.11.021</t>
  </si>
  <si>
    <t>WOS:000371552600007</t>
  </si>
  <si>
    <t>Stokke, BG; Polaciková, L; Dyrcz, A; Hafstad, I; Moksnes, A; Roskaft, E</t>
  </si>
  <si>
    <t>Stokke, Bard G.; Polacikova, Lenka; Dyrcz, Andrzej; Hafstad, Inge; Moksnes, Arne; Roskaft, Eivin</t>
  </si>
  <si>
    <t>Responses of Reed Warblers Acrocephalus scirpaceus to non-mimetic eggs of different sizes in a nest parasitism experiment</t>
  </si>
  <si>
    <t>ACTA ORNITHOLOGICA</t>
  </si>
  <si>
    <t>Host rejection of parasitic eggs is the most important defence against avian brood parasitism Here, we examined the influence of egg size differences between host and parasite eggs on egg rejection behaviour in a population of Reed Warblers Acrocephalus scirpaceus parasitized by Common Cuckoos Cuculus canorus To this end, we experimentally parasitized host clutches using real Chinese Quail Column: chinensis and conspecific eggs Both egg types were painted immaculate blue The Chinese Quail eggs differed from host eggs in both size and colour, while the conspecific eggs differed only in colour There were no differences in the rate of rejection rate of the two types of experimental eggs However, Chinese Quail eggs were rejected primarily by nest desertion, whereas conspecific eggs were mostly ejected. Moreover, clutches with Chinese Quail eggs were deserted significantly sooner in comparison with the ejection of conspecific eggs Therefore, egg size differences apparently affect the mode and speed but not the rate of egg rejection in this host population.</t>
  </si>
  <si>
    <t>ASCR, IVB/A-9883-2011; Røskaft, Eivin/N-7476-2019; Polacikova, Lenka/G-1109-2014</t>
  </si>
  <si>
    <t>Røskaft, Eivin/0000-0003-0262-8443;</t>
  </si>
  <si>
    <t>0001-6454</t>
  </si>
  <si>
    <t>1734-8471</t>
  </si>
  <si>
    <t>SUM</t>
  </si>
  <si>
    <t>10.3161/000164510X516137</t>
  </si>
  <si>
    <t>WOS:000280387600011</t>
  </si>
  <si>
    <t>Takahashi, M; Takahashi, Y; Kawata, M</t>
  </si>
  <si>
    <t>Takahashi, Michihiko; Takahashi, Yuma; Kawata, Masakado</t>
  </si>
  <si>
    <t>Candidate genes associated with color morphs of female-limited polymorphisms of the damselfly Ischnura senegalensis</t>
  </si>
  <si>
    <t>Many Odonata species exhibit female-limited polymorphisms, where one morph is similar to the conspecific male in body color and other traits (andromorph), whereas one or more other morphs differ from the male (gynomorphs). Here we investigated the differentially expressed transcripts (DETs) among males and two female morph groups (gynomorphs and andromorphs) using RNA-seq to identify candidate transcripts encoding female-limited polymorphisms in the damselfly Ischnura senegalensis. Seven DETs that had significantly different expression levels between males and gynomorphs, but not between males and andromorphs, were identified. The expression levels of four of these candidate genes, doublesex (dsx), black, ebony, and chaoptin (chp), were selected for further analysis using qRT-PCR. Sequence analysis of the dsx amplicons revealed that this gene produced at least three transcripts. Two short transcripts were mainly expressed in males and andromorphs, whereas the long transcript was specifically expressed in both morph female groups; that is, the expression pattern of the dsx splice variants in andromorphs was an intermediate between that of males and gynomorphs. Because the dsx gene functions as a transcription factor that regulates the sex-specific expression of multiple genes, its splice variants in I. senegalensis may explain why the andromorph is female but exhibits some masculinized traits. Because we did not detect different coding sequences of the candidate genes among the different morphs, a diallelic genomic region controlling alternative splicing of dsx, thus determining female-limited polymorphism in I. senegalensis most likely lies in a non-coding region of the dsx gene or in a gene upstream of it.</t>
  </si>
  <si>
    <t>Kawata, Masakado/E-3962-2012; Takahashi, Yuma/AGE-7935-2022</t>
  </si>
  <si>
    <t>Takahashi, Yuma/0000-0003-1490-7837; Takahashi, Michihiko/0009-0000-9572-4463; Kawata, Masakado/0000-0001-8716-5438</t>
  </si>
  <si>
    <t>1365-2540</t>
  </si>
  <si>
    <t>10.1038/s41437-018-0076-z</t>
  </si>
  <si>
    <t>WOS:000452620900007</t>
  </si>
  <si>
    <t>Healey, M; Olsson, M</t>
  </si>
  <si>
    <t>Healey, Mo; Olsson, Mats</t>
  </si>
  <si>
    <t>Too big for his boots: Are social costs keeping condition-dependent status signalling honest in an Australian lizard?</t>
  </si>
  <si>
    <t>AUSTRAL ECOLOGY</t>
  </si>
  <si>
    <t>Australian painted dragon lizards Ctenophorus pictus occur in three head colours (red, orange and yellow) that differ in their level of aggression (reds being most aggressive), hormone profile (reds having higher testosterone levels) and in their frequency in our study population over time. They are also polymorphic in bib colour; some males have a bright yellow area under the chin, while others lack this coloured area entirely. We show that red males with a bib are in better body condition than red males that lack a bib. This contrasts sharply to yellow males, in which males with a bib are in poorer condition than yellow males that lack a bib. Our analysis also shows that following exposure to a high percentage of red (more aggressive) neighbours, all males suffer a reduction in body condition, and importantly, males with a bib (regardless of their head colour) suffer a more severe loss of body condition than males that lack a bib. Finally, this condition loss is significantly higher for yellow bibbed males than for red bibbed males, suggesting that the cost of sporting a bib may be higher for them. Orange males showed a non-significant difference in condition between bib morphs. Our analysis also shows that bibbed yellow males (the morph with lower body condition), but no other morph category, declined significantly in their frequency between 2 years.</t>
  </si>
  <si>
    <t>Olsson, Mats/AAK-5565-2021</t>
  </si>
  <si>
    <t>Olsson, Mats/0000-0002-4130-1323</t>
  </si>
  <si>
    <t>1442-9985</t>
  </si>
  <si>
    <t>1442-9993</t>
  </si>
  <si>
    <t>10.1111/j.1442-9993.2009.01968.x</t>
  </si>
  <si>
    <t>WOS:000269675600004</t>
  </si>
  <si>
    <t>MEBES, HD</t>
  </si>
  <si>
    <t>DO COLORS AFFECT NORMAL BEHAVIOR OF LABORATORY AND FARM-ANIMALS - INSTANTANEOUS CHANGE OF BEHAVIOR BY PRESENTATION OF RED IN THE PEACH-F</t>
  </si>
  <si>
    <t>JOURNAL OF THE SOUTH AFRICAN VETERINARY ASSOCIATION</t>
  </si>
  <si>
    <t>In spite of genetic and environmental standardization in farm and laboratory animal science, a considerable amount of variation in the results of comparable experiments remains. This presumably depends upon the individual variability within a species, and upon differences of various species in their specific demands to the environment in captivity. Due to a discovery in the Southwest-African lovebird species A. roseicollis, used as a conventional laboratory animal in bioacoustic research, the phenomenon of instantaneous fear expressed in a number of different displays in connection with the presence or presentation of red objects is described and compared to earlier observations of instantaneous phobias, aggressions and preferences towards colors, in other bird species. Investigation of the chromatophobe and chromatophile behavior of typical laboratory and farm animals should be undertaken to ensure the adequate design of lodging and experimental environments.</t>
  </si>
  <si>
    <t>1019-9128</t>
  </si>
  <si>
    <t>2224-9435</t>
  </si>
  <si>
    <t>WOS:A1979HS03900007</t>
  </si>
  <si>
    <t>Mikheev, VN; Adams, CE; Huntingford, FA; Thorpe, JE</t>
  </si>
  <si>
    <t>Behavioural responses of benthic and pelagic Arctic charr to substratum heterogeneity</t>
  </si>
  <si>
    <t>Responses to environmental heterogeneity were studied in laboratory-reared offspring of two morphs of Arctic charr Salvelinus alpinus from Loch Rannoch, Scotland, one occupying the pelagic zone and feeding predominantly on zooplankton and the other being benthic in habit and feeding mainly on macroinvertebrates. When housed in groups in tanks with a black-and-white striped base. benthic charr demonstrated a clear preference for dark areas, whereas pelagic fish positioned themselves at random with respect to substratum colour. In general, pelagic charr were much less aggressive than benthic charr. In pelagic fish, neither spacing nor aggression was affected by the visual heterogeneity of the substrate. In contrast, benthic charr swam closer together and Fought more when housed over a uniform as opposed to a non-uniform substratum. The results are discussed in the context of habitat-specific visual requirements and of an interaction between visual complexity and territoriality previously described for Atlantic salmon Salmo salar. (C) 1996 The Fisheries Society of the British Isles</t>
  </si>
  <si>
    <t>WOS:A1996VQ32100010</t>
  </si>
  <si>
    <t>Rasmont, P; Terzo, M; Aytekin, AM; Hines, H; Urbanova, K; Cahlikova, L; Valterova, I</t>
  </si>
  <si>
    <t>Cephalic secretions of the bumblebee subgenus Sibiricobombus Vogt suggest Bombus niveatus Kriechbaumer and Bombus vorticosus Gerstaecker are conspecific (Hymenoptera, Apidae, Bombus)</t>
  </si>
  <si>
    <t>APIDOLOGIE</t>
  </si>
  <si>
    <t>Three taxa of the subgenus Sibiricobombus live in the Near-East mountain steppes: Bombus niveatus, B. sulfureus and B. vorticosus. The latter is also present in the Balkan. B. niveatus and B. vorticosus can only be distinguished based on color pattern. B. sulfureus differs in coat color and in genitalia. We identified 40 compounds in the secretions of the labial glands of these taxa, among which 7 were detected for the first time in labial cephalic gland secretions of bumblebee males. Whereas the secretions of the male cephalic labial glands of B. sulfureus are very different from those of B. niveatus and B. vorticosus, we found no significant difference between the latter. We conclude that B. sulfureus is a valid species, whereas B. vorticosus is a mere subspecies of B. niveatus: Bombus niveatus ssp. vorticosus Gerstaecker nov. status.</t>
  </si>
  <si>
    <t>Valterova, Irena/H-1823-2012; Urbanova, Klara/G-5604-2014; aytekin, ahmet murat/AAA-2523-2020; Aytekin, Ahmet Murat/G-9210-2013; Cahlikova, Lucie/T-5670-2017</t>
  </si>
  <si>
    <t>Urbanova, Klara/0000-0001-5976-8135; aytekin, ahmet murat/0000-0002-5204-8626; Aytekin, Ahmet Murat/0000-0002-5204-8626; Cahlikova, Lucie/0000-0002-1555-8870; Valterova, Irena/0000-0001-5723-6143</t>
  </si>
  <si>
    <t>0044-8435</t>
  </si>
  <si>
    <t>1297-9678</t>
  </si>
  <si>
    <t>OCT-DEC</t>
  </si>
  <si>
    <t>10.1051/apido:2005047</t>
  </si>
  <si>
    <t>WOS:000235837400004</t>
  </si>
  <si>
    <t>Gardner, KM; Mennill, DJ; Savi, LM; Shangi, NE; Doucet, SM</t>
  </si>
  <si>
    <t>Gardner, Katrina M.; Mennill, Daniel J.; Savi, Lincoln M.; Shangi, Nicole E.; Doucet, Stephanie M.</t>
  </si>
  <si>
    <t>Sexual selection in a tropical toad: Do female toads choose brighter males in a species with rapid colour change?</t>
  </si>
  <si>
    <t>Conspicuous visual signals play an important role in animal communication, both within and between species. Bright, colourful signals allow animals to discriminate between individuals and can inform behavioural decisions and social interactions. In many instances, conspicuous colouration appears to have evolved through sexual selection via female mate choice or male-male competition. Male Neotropical yellow toads, Incilius luetkenii, display bright-yellow colouration during their brief explosive mating events and then revert to a cryptic, female-like, brown colour following amplexus and fertilization. Recent research has revealed that the yellow colouration of males may serve as a sex identification signal and that males remain yellow in the presence of both males and females but darken without conspecific stimulus. However, there is considerable variation in the brightness of yellow colouration in courting males, ranging from dull olive-green to vibrant lemon-yellow. The function of this variation remains unknown. In this study, we conducted two-choice model presentation trials to test one mechanism of sexual selection that may drive this variation: intersexual selection. Specifically, we set out to determine whether females differentiate between males based on their colouration. We presented females with two hyper-realistic robotic model toads, with one model painted to match a bright-yellow male and the other a dull-yellow male. Using several metrics of choice, we found that females did not show a preference for bright or dull colouration. Our research suggests that variation in the intensity of male breeding colouration is not driven by female choice in this species. Our study is consistent with the idea that there may be limited opportunity for female choice to influence male-trait expression in explosive breeders. Future research will address whether intrasexual selection may influence colour variation in male yellow toads.</t>
  </si>
  <si>
    <t>Mennill, Daniel/0000-0001-9314-6700</t>
  </si>
  <si>
    <t>10.1111/eth.13156</t>
  </si>
  <si>
    <t>WOS:000640929900001</t>
  </si>
  <si>
    <t>Guillette, LM; Morgan, KV; Hall, ZJ; Bailey, IE; Healy, SD</t>
  </si>
  <si>
    <t>Guillette, Lauren M.; Morgan, Kate V.; Hall, Zachary J.; Bailey, Ida E.; Healy, Susan D.</t>
  </si>
  <si>
    <t>Food preference and copying behaviour in zebra finches, Taeniopygia guttata</t>
  </si>
  <si>
    <t>As a social species zebra finches might be expected to copy the food choices of more experienced conspecifics. This prediction has been tested previously by presenting observers with two demonstrator birds that differ in some way (e.g., sex, familiarity), each feeding on a different colour food source. However, if the observer subsequently exhibits a preference, it is unclear whether it has copied the choice of one demonstrator or avoided the choice of the other. Furthermore, this choice may actually be influenced by pre-existing preferences, a potential bias that is rarely tested. Here we examine whether apparent copying or avoidance can be explained by pre-existing preferences. In Experiment 1, observers had the opportunity to watch a conspecific forage from one of the two differently coloured food hoppers. In Experiment 2, the observers did not have this opportunity. In both experiments observers were subsequently tested for their food hopper preference and all but one preferred one colour over the other. In Experiment 1 some observers showed evidence for copying, while others seemed to avoid the colour preferred by the demonstrator. In Experiment 2 females generally preferred the white hopper. Pre-existing colour preferences could, therefore, explain the apparent copying/avoidance we observed. This article is part of a Special Issue entitled: Cognition in the wild. (C) 2014 Elsevier B.V. All rights reserved.</t>
  </si>
  <si>
    <t>Guillette, Lauren M/0000-0002-8777-6543; Healy, Susan/0000-0002-8059-4480; Morgan, Kate/0000-0002-7368-8454</t>
  </si>
  <si>
    <t>B</t>
  </si>
  <si>
    <t>10.1016/j.beproc.2014.04.013</t>
  </si>
  <si>
    <t>WOS:000347742900006</t>
  </si>
  <si>
    <t>Dijkstra, PD; Piefke, TJ; Bonnell, TR</t>
  </si>
  <si>
    <t>Dijkstra, Peter D.; Piefke, Taylor J.; Bonnell, Tyler R.</t>
  </si>
  <si>
    <t>Behavioral changes during social ascent and descent in replicate social networks of an African cichlid fish</t>
  </si>
  <si>
    <t>Within social dominance hierarchies, rank has a major impact on health and fitness. Dominance hierarchies are rarely stable as individuals may change rank due to changes in the social environment. Here we describe general group-level social network properties and changes in social ties and behavior during rank transitions in 16 communities of the cichlid Astatotilapia burtoni. Social networks based on chases were dense with dominant males frequently chasing subordinate males and females. This intense territoriality of dominant males was also reflected by a high degree of 'power' inequality. Compared to chase-based networks, display-based networks were characterized by a high degree of reciprocity due to display behaviors mostly occurring bidirectionally among a few highly ranked males. Territory ownership is tightly linked to social dominance and territory loss (i.e., social descent) was, as expected, associated with a sharp reduction in aggression level and an increase in chases received. However, although territory acquisition (i.e., social ascent) was an abrupt process, ascending males displayed elevated aggression prior to ascent, in sharp contrast to previous studies carried out in less complex settings. Together, our results provide novel insights into dynamic changes in behavior in cichlid dominance hierarchies.</t>
  </si>
  <si>
    <t>Bonnell, Tyler/HKW-7991-2023; Piefke, Taylor/ISV-2446-2023</t>
  </si>
  <si>
    <t>Bonnell, Tyler/0000-0001-6041-5177; Dijkstra, Peter/0000-0001-5382-225X</t>
  </si>
  <si>
    <t>10-11</t>
  </si>
  <si>
    <t>10.1007/s10750-022-04980-z</t>
  </si>
  <si>
    <t>SEP 2022</t>
  </si>
  <si>
    <t>WOS:000849168800001</t>
  </si>
  <si>
    <t>Eastwood, JR; Berg, ML; Ribot, RFH; Stokes, HS; Martens, JM; Buchanan, KL; Walder, K; Bennett, ATD</t>
  </si>
  <si>
    <t>Eastwood, Justin R.; Berg, Mathew L.; Ribot, Raoul F. H.; Stokes, Helena S.; Martens, Johanne M.; Buchanan, Katherine L.; Walder, Ken; Bennett, Andrew T. D.</t>
  </si>
  <si>
    <t>Pair fidelity in long-lived parrots: genetic and behavioural evidence from the Crimson Rosella (Platycercus elegans)</t>
  </si>
  <si>
    <t>EMU-AUSTRAL ORNITHOLOGY</t>
  </si>
  <si>
    <t>Genetic analyses have revolutionised our understanding of avian mating systems. However, the majority of such studies to date have focused on passerine species. Despite this taxonomic bias, extra-pair paternity (EPP) and conspecific brood parasitism (CBP) are usually concluded to be less common in taxa with pronounced longevity, socially monogamous mating systems, and bi-parental care. The order Psittaciformes, with around 350 species worldwide, has long-lived species that are relatively under-studied with respect to parentage and pair fidelity. Although studies have revealed a variety of mating systems in Psittaciformes, there is little work testing whether EPP or CBP occur in Psittaciformes. To test for genetic and social pair fidelity we studied an Australian parrot, the Crimson Rosella (Platycercus elegans), over 8 years at three sites in south-eastern Australia. Using nine microsatellite markers in 42 pairs and their offspring, we found no cases of EPP. However, we found one case of CBP, suggesting that P. elegans females do adopt alternative breeding strategies, albeit at low levels. We also show that over the 8 years of study 32% of recaptured individuals paired with more than one partner in different years. Our results are consistent with assumption of low EPP in parrots, but challenge the notion that this is associated with long-term pair bonds.</t>
  </si>
  <si>
    <t>Eastwood, Justin/AAD-5808-2020; Buchanan, Kate/A-8178-2012; Bennett, Andrew T.D./P-2670-2016</t>
  </si>
  <si>
    <t>Buchanan, Kate/0000-0002-6648-5819; Bennett, Andrew T.D./0000-0001-8512-2805; Walder, Ken/0000-0002-6758-4763; Martens, Johanne/0000-0003-1277-7602; Eastwood, Justin/0000-0002-5294-3321</t>
  </si>
  <si>
    <t>0158-4197</t>
  </si>
  <si>
    <t>1448-5540</t>
  </si>
  <si>
    <t>10.1080/01584197.2018.1453304</t>
  </si>
  <si>
    <t>WOS:000451715900007</t>
  </si>
  <si>
    <t>García, JT</t>
  </si>
  <si>
    <t>Are simple plumage traits sufficient for species discrimination by harrier males?</t>
  </si>
  <si>
    <t>investigated whether plumage features are sufficient for species recognition in two sibling sympatric raptor species: the Montagu's harrier Circus pygargus and the hen harrier C. cyaneus. These species are similar in body size and differ slightly in plumage. During prelaying and laying periods, I placed artificial models close to nests of both species, simulating a conspecific male harrier (male of the same species), a heterospecific male harrier (male of the other species) or a wood pigeon Columba palumbus (acting as a control of the same size and colour). All of them represented birds perched in a neutral posture, so that they could only be recognised by their plumage differences. The use of plumage traits during this period would be particularly relevant in discriminating between their own and other species, offering the opportunity to avoid unnecessary fights, and therefore maximising the benefits of defence. I measured male responsiveness by recording aggressive behaviour towards each model (aggressive rate and time spent close to the female). Male presence time was significantly longer during conspecific decoy presentation than during heterospecific decoy presentation. Furthermore, males of both species were more aggressive towards the conspecific decoy than towards the heterospecific one, and no attacks towards the control were recorded. These results provide evidence that these birds are able to recognise plumage features of their own and the sibling species.</t>
  </si>
  <si>
    <t>GARCIA, JESUS/M-1503-2014</t>
  </si>
  <si>
    <t>GARCIA, JESUS/0000-0003-4126-9658</t>
  </si>
  <si>
    <t>10.1111/j.0908-8857.2003.03064.x</t>
  </si>
  <si>
    <t>WOS:000187792000014</t>
  </si>
  <si>
    <t>ROWLAND, WJ; BOLYARD, KJ; JENKINS, JJ; FOWLER, J</t>
  </si>
  <si>
    <t>VIDEO PLAYBACK EXPERIMENTS ON STICKLEBACK MATE CHOICE - FEMALE MOTIVATION AND ATTENTIVENESS TO MALE COLOR CUES</t>
  </si>
  <si>
    <t>When female three-spined sticklebacks, Gasterosteus aculeatus, were presented simultaneously two video playbacks of a courting male, one playback displayed in colour and the other in greytone, the female approached and attempted to follow both displays. Females that responded strongly to playback of the male clearly preferred the coloured display, whereas those that responded less showed no consistent preference for coloured or greytoned displays. Females showed some approach to playback of a non-reproductive female but did not prefer the coloured over the greytoned one. These results suggest that the female's sexual motivation influences the,mechanism(s) mediating her attraction to nuptially coloured males. Although highly motivated animals may typically show reduced selectivity in successive choice situations, they appeared to be more selective in the simultaneous choice situation studied here, perhaps because they attend more to male nuptial coloration, or because they become less fearful of brightly coloured males. These results demonstrate the effectiveness of video playback for investigating the role of visual cues in stickleback behaviour. They also emphasize the value of considering motivational factors in studies on sexual selection and, especially, when designing or interpreting experiments on mate choice.</t>
  </si>
  <si>
    <t>10.1016/0003-3472(95)90077-2</t>
  </si>
  <si>
    <t>WOS:A1995RE98700015</t>
  </si>
  <si>
    <t>García-Rosales, A; Stephenson, BP; Ramírez-Bautista, A; Manjarrez, J; Pavón, NP</t>
  </si>
  <si>
    <t>Garcia-Rosales, Aaron; Stephenson, Barry P.; Ramirez-Bautista, Aurelio; Manjarrez, Javier; Pavon, Numa P.</t>
  </si>
  <si>
    <t>Female choice and male aggression in the polymorphic lizard Sceloporus minor</t>
  </si>
  <si>
    <t>In comparison with some other vertebrate groups, female choice in lizards is relatively poorly understood. In contrast, aggressive behavior in lizards has been better studied; nevertheless, there are many genera and even whole families for which little or no information on aggressive behavior has been described. Therefore, the objective of this study was to experimentally evaluate the importance of morphometric traits, body coloration, and behavioral attributes of male Sceloporus minor from a population in central Mexico in order to (1) determine whether female choice exists in this species, and if so, identify which features of males females are using to do so, and (2) identify the phenotypic features of males that predict dominance status in contests between dominant and subordinate males. We found that females of S. minor indeed show a preference for males on the basis of ventral patch color; specifically, females chose males with ventral patches of Spectrum Blue or True Blue over males with ventral patches of other blue hues, but found no evidence of choice based on other morphological characters examined. Results also showed that winner (i.e., dominant) males exhibited more aggressive behaviors and were larger in body size than subordinate (i.e., loser) males. Notably, we found no support for a role of male polymorphic dorsal coloration on either female choice or male contest outcome. The results of this study showed evidence of female choice and male-male competition, suggesting that in this population, males exhibit intrasexual interactions to compete for resources such as territories and produce displays that serve in part to attract females.</t>
  </si>
  <si>
    <t>Manjarrez, Javier/S-3082-2019; Stephenson, Barry P./P-5076-2019</t>
  </si>
  <si>
    <t>Manjarrez, Javier/0000-0003-3053-3257; Stephenson, Barry P./0000-0001-5468-2439; Garcia Rosales, Aaron/0000-0001-5671-9186</t>
  </si>
  <si>
    <t>10.1111/eth.13228</t>
  </si>
  <si>
    <t>WOS:000692844500001</t>
  </si>
  <si>
    <t>Domingue, MJ; Lelito, JP; Myrick, AJ; Csóka, G; Szöcs, L; Imrei, Z; Baker, TC</t>
  </si>
  <si>
    <t>Domingue, Michael J.; Lelito, Jonathan P.; Myrick, Andrew J.; Csoka, Gyorgy; Szocs, Levente; Imrei, Zoltan; Baker, Thomas C.</t>
  </si>
  <si>
    <t>Differences in spectral selectivity between stages of visually guided mating approaches in a buprestid beetle</t>
  </si>
  <si>
    <t>Spectral mating preferences were examined in male Agrilus angustulus (Buprestidae: Coleoptera), a member of a taxon known for its high species diversity and striking metallic coloration. The spectral emission profile of a typical A. angustulus female displays low chroma, broadly overlapping that of the green oak leaves they feed and rest upon, while also including longer wavelengths. To pinpoint behaviorally significant spectral regions for A. angustulus males during mate selection, we observed their field approaches to females of five Agrilus planipennis color morphs that have greater chroma than the normal conspecific female targets. Agrilus angustulus males would initially fly equally frequently toward any of the three longest wavelength morphs (green, copper and red) whose spectral emission profiles all overlap that of typical A. angustulus females. However, they usually only completed approaches toward the two longest wavelength morphs, but not the green morphs. Thus, spectral preference influenced mate selection by A. angustulus males, and their discrimination of suitable targets became greater as these targets were approached. This increasing spectral discrimination when approaching targets may have evolved to allow female emissions to remain somewhat cryptic, while also being visible to conspecifics as distinct from the background vegetation and heterospecific competitors.</t>
  </si>
  <si>
    <t>Imrei, Zoltán/I-8327-2015</t>
  </si>
  <si>
    <t>Domingue, Michael/0000-0002-3055-3533</t>
  </si>
  <si>
    <t>SEP 15</t>
  </si>
  <si>
    <t>10.1242/jeb.137885</t>
  </si>
  <si>
    <t>WOS:000384250600015</t>
  </si>
  <si>
    <t>Magige, FJ; Stokke, BG; Roskaft, E</t>
  </si>
  <si>
    <t>Magige, Flora J.; Stokke, Bard G.; Roskaft, Eivin</t>
  </si>
  <si>
    <t>Do Ostriches Struthio camelus reject parasitic eggs by making use of colour as a cue?</t>
  </si>
  <si>
    <t>OSTRICH</t>
  </si>
  <si>
    <t>The Ostrich communal breeding system involves several females laying in a single nest. Only the 'major' female and the territorial male, however, provide parental care from incubation to fledging of chicks. Eggs are turned and displaced frequently upon the onset of incubation, and the major female evicts excess eggs out of the nest when the number of eggs is above a specific threshold level. A previous study indicated that the major female ostrich recognises her own eggs and selectively evicts eggs of minor females based on size, shape and shell texture. Our aim was to investigate if accepted and ejected eggs differ in colour characteristics. We quantified colour by measuring egg reflectance spectra, which were subsequently analysed using a visual model approach. Within clutches, there were no significant differences in colour between accepted and ejected eggs. These results suggest that female ostriches do not discriminate against foreign eggs based on deviations in colour.</t>
  </si>
  <si>
    <t>Magige, Flora/ABB-7595-2020; Røskaft, Eivin/N-7476-2019</t>
  </si>
  <si>
    <t>0030-6525</t>
  </si>
  <si>
    <t>PII 929645626</t>
  </si>
  <si>
    <t>10.2989/00306525.2010.519864</t>
  </si>
  <si>
    <t>WOS:000284229300012</t>
  </si>
  <si>
    <t>Vukusic, P; Sambles, JR; Lawrence, CR; Wootton, RJ</t>
  </si>
  <si>
    <t>Quantified interference and diffraction in single Morpho butterfly scales</t>
  </si>
  <si>
    <t>Brilliant iridescent colouring in male butterflies enables long-range conspecific communication and it has long been accepted that microstructures, rather than pigments, are responsible for this coloration. Few studies, however, explicitly relate the intra-scale microstructures to overall butterfly visibility both in terms of reflected and transmitted intensities and viewing angles. Using a focused-laser technique, we investigated the absolute reflectivity and transmissivity associated with the single-scale microstructures of two species of Morpho butterfly and the mechanisms behind their remarkable: wide-angle visibility Measurements indicate that certain Morpho microstructures reflect up to 75% of the incident blue light over an angle range of greater than 100 degrees in one plane and 15 degrees in the other. We show that incorporation of a second layer of more transparent scales, above a layer of highly iridescent scales, leads to very strong diffraction, and we suggest this effect acts to increase further the angle range over which incident light is reflected. Measurements using index-matching techniques yield the complex refractive index of the cuticle material comprising the single-scale microstructure to be n = (1.56 +/- 0.01) + (0.06 +/- 0.01)i. This figure is required for theoretical modelling of such microstructure systems.</t>
  </si>
  <si>
    <t>Sambles, John Roy/X-8675-2019</t>
  </si>
  <si>
    <t>SAMBLES, John/0000-0003-2721-0692</t>
  </si>
  <si>
    <t>1471-2945</t>
  </si>
  <si>
    <t>10.1098/rspb.1999.0794</t>
  </si>
  <si>
    <t>WOS:000081833200001</t>
  </si>
  <si>
    <t>Ward, JL; McLennan, DA</t>
  </si>
  <si>
    <t>Changes in agonistic, courtship and parental displays of the male brook stickleback, Culaea inconstans, across the breeding cycle</t>
  </si>
  <si>
    <t>Although the individual elements of stickleback behaviour are well known, to date a robust investigation of the temporal cycling of aggressive, courtship and parental behaviour during the breeding cycle has been undertaken in only one species, the threespine stickleback, Gasterosteus aculeatus. In order to understand the evolution of behaviour in this fascinating group of fishes, comparative studies conducted upon other members of the Gasterosteidae are necessary. We thus documented the cyclic changes and structure of sixteen agonistic, parental and Courtship displays across the breeding cycle for a Population of brook sticklebacks, Culaea inconstans, front Nebraska and compared it to the temporal cycling of reproductive behaviour in the threespine. Our results indicate that in the brook stickleback: (I) aggressive behaviour varies temporally in response to a male, but not a female, intruder. (2) During those phases wherein the young are nest bound, aggressive and parental elements are negatively correlated. (3) The location of the focal fish within the tank during the trial is an accurate indicator of his primary motivation and (4), a sex specific differential response to intruding fish is apparent only during the courtship interval. The temporal structure of reproductive behaviour in the brook stickleback mirrors that of the threespine stickleback in three respects: (1) aggressive motivation across the breeding cycle exhibits a U-shaped distribution, with peak levels of aggression occurring in the nest-building stage and final days of parental care. (2) During the courtship phase sexual motivation supercedes aggression in response to the presence of a nuptially coloured female and (3), the pattern of parental fanning shows an inverted U-shaped distribution with peak frequencies coinciding with the hatching of the eggs.</t>
  </si>
  <si>
    <t>10.1163/156853906775133623</t>
  </si>
  <si>
    <t>WOS:000235545400003</t>
  </si>
  <si>
    <t>Campbell, DR; Forster, M; Bischoff, M</t>
  </si>
  <si>
    <t>Campbell, D. R.; Forster, M.; Bischoff, M.</t>
  </si>
  <si>
    <t>Selection of trait combinations through bee and fly visitation to flowers of Polemonium follosissimum</t>
  </si>
  <si>
    <t>Pollinators are known to exert natural selection on floral traits, but the extent to which combinations of floral traits are subject to correlational selection (nonadditive effects of two traits on fitness) is not well understood. Over two years, we used phenotypic manipulations of plant traits to test for effects of flower colour, flower shape and their interaction on rates of pollinator visitation to Polemonium foliosissimum. We also tested for correlational selection based on weighting visitation by the amount of conspecific pollen delivered per visit by each category of insect visitor. Although bumblebees were the presumed pollinators, solitary bees and flies contributed substantially (42%) to pollination. In manipulations of one trait at a time, insects visited flowers presenting the natural colour and shape over flowers manipulated to present artificial mutants with either paler colour or a more open or more tubular flower. When both colour and shape were manipulated in combination, selection on both traits arose, with bumblebees responding mainly to colour and flies responding mainly to shape. Despite selection on both floral traits, in a year with many bumblebees, we saw no evidence for correlational selection of these traits. In a year when flies predominated, fly visitation showed a pattern of correlational selection, but not favouring the natural phenotype, and correlational selection was still not detected for expected pollen receipt. These results show that flower colour and shape are subject to pollinator-mediated selection and that correlational selection can be generated based on pollinator visitation alone, but provide no evidence for correlational selection specifically for the current phenotype.</t>
  </si>
  <si>
    <t>10.1111/jeb.12295</t>
  </si>
  <si>
    <t>WOS:000330016400008</t>
  </si>
  <si>
    <t>Andrews, TJ; Summers, CH</t>
  </si>
  <si>
    <t>Aggression, and the acquisition and function of social dominance in female Anolis carolinensis</t>
  </si>
  <si>
    <t>Female green anoles, Anolis carolinensis, were paired in terraria to investigate behavioral components of social interaction. Resources (perching sites, prey, and males as potential mates) were limited to assess their importance to cohabiting females. During interaction, paired females exhibited aggressive social behavior which contributed to the development of dominant-subordinate relationships. Dominant status and its relationship to differential resource acquisition was defined primarily by frequency of displacement of another female. Along with displacement, dominant females also had increased frequency of assertion displays, challenge displays, attacks and biting (Figs 1 &amp; 2). Subordinate females were displaced more often and assumed submissive postures. No differences were found between dominant and subordinate females for perch site selection, body color or in prey capturing latency or success (Figs 3 &amp; 4). Perch site elevation was not different between dominant and subordinate females, but was significantly lower than males. The color of paired females was not different unless males were present, in which case dominant females were darker. Paired females also respond differently to courtship display (Fig. 5). Dominant females responded with displays significantly more often than subordinate females to male courtship, indicating receptivity. The role of dominant-subordinate relationships among female A. carolinensis may include courtship and reproductive success as an important component, with consequences for the outcome of aggressive and reproductive social interactions with males.</t>
  </si>
  <si>
    <t>15-16</t>
  </si>
  <si>
    <t>10.1163/156853996X00396</t>
  </si>
  <si>
    <t>WOS:A1996WF81400008</t>
  </si>
  <si>
    <t>Mitchell, LJ; Cortesi, F; Marshall, NJ; Cheney, KL</t>
  </si>
  <si>
    <t>Mitchell, Laurie J.; Cortesi, Fabio; Marshall, N. Justin; Cheney, Karen L.</t>
  </si>
  <si>
    <t>Higher ultraviolet skin reflectance signals submissiveness in the anemonefish, Amphiprion akindynos</t>
  </si>
  <si>
    <t>When signaling submission, it is important to wave the white flag. In the Barrier Reef anemonefish, ultraviolet color patterns serve to signal submissiveness. In staged contests over dominance between size-matched anemonefish, low ultraviolet skin reflectance strongly predicted fish winning a contest, while high UV skin reflectance predicted losing. We demonstrate that juvenile subordinates benefit by signaling their submissiveness with a naturally higher ultraviolet skin reflectance which evokes less aggression from larger, more-dominant fish and likely aids with social group integration. Ultraviolet (UV) vision is widespread among teleost fishes, of which many exhibit UV skin colors for communication. However, aside from its role in mate selection, few studies have examined the information UV signaling conveys in other socio-behavioral contexts. Anemonefishes (subfamily, Amphiprioninae) live in a fascinating dominance hierarchy, in which a large female and male dominate over non-breeding subordinates, and body size is the primary cue for dominance. The iconic orange and white bars of anemonefishes are highly UV-reflective, and their color vision is well tuned to perceive the chromatic contrast of skin, which we show here decreases in the amount of UV reflectance with increasing social rank. To test the function of their UV-skin signals, we compared the outcomes of staged contests over dominance between size-matched Barrier Reef anemonefish (Amphiprion akindynos) in aquarium chambers viewed under different UV-absorbing filters. Fish under UV-blocking filters were more likely to win contests, where fish under no-filter or neutral-density filter were more likely to submit. For contests between fish in no-filter and neutral density filter treatments, light treatment had no effect on contest outcome (win/lose). We also show that sub-adults were more aggressive toward smaller juveniles placed under a UV filter than a neutral density filter. Taken together, our results show that UV reflectance or UV contrast in anemonefish can modulate aggression and encode dominant and submissive cues, when changes in overall intensity are controlled for.</t>
  </si>
  <si>
    <t>Cheney, Karen/L-3427-2018; Cortesi, Fabio/A-5688-2017</t>
  </si>
  <si>
    <t>Cheney, Karen/0000-0001-5622-9494; Cortesi, Fabio/0000-0002-7518-6159; Marshall, Justin/0000-0001-9006-6713; Mitchell, Laurie/0000-0003-4967-4113</t>
  </si>
  <si>
    <t>10.1093/beheco/arac089</t>
  </si>
  <si>
    <t>WOS:000876657000001</t>
  </si>
  <si>
    <t>ROWLAND, WJ; BOLYARD, KJ; HALPERN, AD</t>
  </si>
  <si>
    <t>THE DUAL EFFECT OF STICKLEBACK NUPTIAL COLORATION ON RIVALS - MANIPULATION OF A GRADED SIGNAL USING VIDEO PLAYBACK</t>
  </si>
  <si>
    <t>Reproductive male three-spined stickleback, Gasterosteus aculeatus, were presented with pairs of videotaped images of another male played back at three different colour intensities: brightly coloured, moderately coloured and dull. Males attacked all three images but the proportion of attacks each received depended on the other image with which it was simultaneously presented. The moderately coloured image received the majority of attacks when presented with the brightly coloured or dull image, whereas the latter two images were attacked equally when presented together. Thus, nuptial coloration increased the capacity of an opponent to elicit attack from males but this increase was not open-ended. A dual-effect explanation for these colour effects suggests that dull males stimulated relatively low levels of aggression and little fear, whereas brightly coloured ones stimulated a high level of aggression but a level of fear sufficient to inhibit full expression of attack. Moderately coloured males received the highest levels of attack presumably because they stimulated high levels of aggression but relatively little fear. This interpretation emphasizes the importance of intensity of nuptial coloration in stimulating aggression and fear in an opponent and the role that these tendencies may play in determining a male's response to rivals. (C) 1995 The Association for the Study of Animal Behaviour</t>
  </si>
  <si>
    <t>10.1006/anbe.1995.0239</t>
  </si>
  <si>
    <t>WOS:A1995RM19000026</t>
  </si>
  <si>
    <t>Dhileepan, K</t>
  </si>
  <si>
    <t>Physical factors and chemical cues in the oviposition behavior of arboviral vectors Culex annulirostris and Culex molestus (Diptera: Culicidae)</t>
  </si>
  <si>
    <t>ENVIRONMENTAL ENTOMOLOGY</t>
  </si>
  <si>
    <t>The role of physical factors (water depth and container color) and chemical cues (substances of mosquito origin and microbial mediated products) in attracting ovipositing adults of Culex annulirostris Skuse and Culex molestus Forskal were evaluated under laboratory conditions. Oviposition preference of Cx. annulirostris increased with the increase in water depth. For Cx. molestus, there was no significant difference in ovipositional preference between different water depths. Black and red were the most preferred colors for oviposition of Cx. annulirostris and Cx. molestus, respectively, whereas yellow and green were the least preferred colors for both species. For both Cx. annulirostris and Cx. molestus, fresh conspecific egg rafts with apical droplets did not act as an oviposition attractant. Cx. annulirostris preferred water containing conspecific larvae 6 times more often for oviposition than the control water. However, larvae of other species of mosquitoes-Cx. molestus and Aedes camptorhynchus (Thomson)-did not act as oviposition attractants. The oviposition preference of Cx. annulirostris for water containing conspecific larvae increased with the increase in larval density. Failure of antennectomized Cx. annulirostris females to discriminate between water containing conspecific larvae and water alone suggest the possible involvement of volatile olfactory stimuli in oviposition site selection. Cx. molestus preferred conspecific rearing water (water in which the mosquitoes completed development) for oviposition 7.6 times more than the control water. Preference for rearing water by Cx. molestus was caused by both visual and microbial mediated attractants. The bacterium Pseudomonas vesicularis (Dole and Freytag) isolated from the rearing water as well as from fermented food attracted the ovipositing Cx. molestus, confirming the role of bacteria as an oviposition attractant.</t>
  </si>
  <si>
    <t>Dhileepan, kunjithapatham/0000-0001-7232-0861</t>
  </si>
  <si>
    <t>0046-225X</t>
  </si>
  <si>
    <t>1938-2936</t>
  </si>
  <si>
    <t>10.1093/ee/26.2.318</t>
  </si>
  <si>
    <t>WOS:A1997WZ11800024</t>
  </si>
  <si>
    <t>Williams, TH; Gumm, JM; Mendelson, TC</t>
  </si>
  <si>
    <t>Williams, Tory H.; Gumm, Jennifer M.; Mendelson, Tamra C.</t>
  </si>
  <si>
    <t>Sexual selection acting on a speciation trait in darters (Percidae: Etheostoma)</t>
  </si>
  <si>
    <t>Despite theoretical support linking sexual selection for elaborate coloration and behavioral isolation, few empirical examples clearly demonstrate that the sexually dichromatic signals responsible for behavioral isolation between species are, or have been, subject to sexual selection within species. The present study investigates sexual selection on male nuptial coloration in Etheostoma barrenense, a darter species for which male color has been shown in a previous study to contribute to behavioral isolation from a sympatric congener. Through the use of motorized model fish, we demonstrate that female E. barrenense discriminate between the orange and red body hues of conspecific males and exhibit an association preference for orange over red models. Combined with the results from a previous study, these data provide evidence for a link between sexual selection and behavioral isolation and by extension for a role of sexual selection in speciation. A post hoc analysis of the colors modeled in darter visual space suggests that quantifying signal values as they are perceived, rather than expressed, provide a promising way of linking sexual selection and behavioral isolation.</t>
  </si>
  <si>
    <t>10.1093/beheco/art080</t>
  </si>
  <si>
    <t>WOS:000325995900018</t>
  </si>
  <si>
    <t>Fuller, RC; Travis, J</t>
  </si>
  <si>
    <t>A test for male parental care in a fundulid, the bluefin killifish, Lucania goodei</t>
  </si>
  <si>
    <t>Under field conditions, breeding male bluefin killifish, Lucania goodei, have been observed aggressively defending territories from other breeding males, non-breeding females, and minnows (mainly Notropis harperi). We performed an aquarium experiment to test whether male aggression serves to protect newly deposited eggs from predation. We allowed a male and a female to spawn in a yarn mop, removed the female, and exposed the eggs to one of four treatments (spawning male present, two minnows present, spawning mal+two minnows present, no adult fish present). Mops were censused daily for seven days. Egg predation rates were highest in the male+minnows and male only treatments. Egg predation rates in the male+minnows treatment did not differ from the predicted predation rate (sum of male only and minnows only treatments). Hence, there is no evidence for male parental care in L. goodei. In addition, we compared the egg predation rates (filial cannibalism) between males of 3 different color morphs and found no evidence for differential egg cannibalism.</t>
  </si>
  <si>
    <t>Fuller, Rebecca/0000-0002-5744-8012</t>
  </si>
  <si>
    <t>10.1023/A:1011658503017</t>
  </si>
  <si>
    <t>WOS:000170725900008</t>
  </si>
  <si>
    <t>Antonov, A; Avilés, JM; Stokke, BG; Spasova, V; Vikan, JR; Moksnes, A; Yang, CC; Liang, W; Roskaft, E</t>
  </si>
  <si>
    <t>Antonov, Anton; Aviles, Jesus M.; Stokke, Bard G.; Spasova, Velislava; Vikan, Johan R.; Moksnes, Arne; Yang, Canchao; Liang, Wei; Roskaft, Eivin</t>
  </si>
  <si>
    <t>Egg Discrimination in an Open Nesting Passerine Under Dim Light Conditions</t>
  </si>
  <si>
    <t>Many hosts of avian brood parasites such as the common cuckoo (Cuculus canorus) show refined egg discrimination behaviour. Egg recognition in most open-nesting hosts seems to be based entirely on differences in colour. However, hole- and dome-nesting hosts may rely largely on luminance contrasts. Here, we studied egg rejection behaviour in nightingales (Luscinia megarhynchos), an open-nesting species that nests in deeply shadowed positions and lays very specific dark olive-green eggs. Although being theoretically suitable as hosts of the cuckoo, nightingales are very rarely parasitized and no cuckoo egg morph mimicking nightingale eggs is known. Thus, we predicted high rejection rate of foreign eggs, but because of the dim nesting environments, luminance contrasts would be an important cue in egg rejection decisions, similar to cavity- or dome-nesting species. We experimentally parasitized nightingale nests with two groups of model egg types: bright eggs and dark eggs. Within each group, one of the egg types was an effective match while the other type was a poor colour match (whitish vs. pale blue and olive-green vs. black).We used a discrimination visual model to quantify host-model egg similarity and compared egg rejection predicted by the model with the observed rejection pattern. Consistent with a scenario of largely luminance-based egg recognition, blue and white eggs, which had larger achromatic mismatching, were rejected at a higher relative rate than the better achromatic matching black and green eggs. Nightingales showed strong aggression to a cuckoo dummy, suggesting that they were involved in coevolutionary interactions with the cuckoo in the past. However, because of the highly distinct appearance of nightingale eggs relative to the other sympatrically breeding passerines, and the largely luminance-based egg recognition, this arms race was likely terminated at an early stage.</t>
  </si>
  <si>
    <t>Røskaft, Eivin/N-7476-2019; Aviles, Jesus/K-3332-2014</t>
  </si>
  <si>
    <t>Røskaft, Eivin/0000-0003-0262-8443; Aviles, Jesus/0000-0002-1463-8393</t>
  </si>
  <si>
    <t>10.1111/j.1439-0310.2011.01969.x</t>
  </si>
  <si>
    <t>WOS:000297151600008</t>
  </si>
  <si>
    <t>Baird, TA; Baird, TD; Shine, R</t>
  </si>
  <si>
    <t>Baird, Troy A.; Baird, Teresa D.; Shine, Richard</t>
  </si>
  <si>
    <t>SHOWING RED: MALE COLORATION SIGNALS SAME-SEX RIVALS IN AN AUSTRALIAN WATER DRAGON</t>
  </si>
  <si>
    <t>Sexually dimorphic coloration that plays a role in social signaling during stereotypical displays is well known in lizards. Previous studies on a large Australian agamid lizard (Eastern Water Dragon, Intellagama lesueurii) documented male-biased sex differences in ventral coloration, but males were not observed to use postures that displayed their ventral surfaces. Male resource-holding potential (RHP) was determined by body size, with the largest individuals controlling territories in preferred riparian habitat. Both large males that defended territories and those that did not had fully developed ventral coloration. Together these observations suggested that male ventral coloration does not play a role in social communication in male Water Dragons. We tested this hypothesis by recording the behavior of free-ranging males during baseline social conditions and when the level of aggression was much higher because we temporarily removed and then reinstated territory owners. Male Water Dragons performed three behavior patterns that displayed their conspicuous ventral coloration when engaged in agonistic encounters with same-sex rivals, especially when social conditions among neighboring males were unstable. Rival males responded to these displays in all instances. A large, model Water Dragon male in which we manipulated ventral color elicited lower-intensity responses from rival males when the model ventral surface was red than when it was brown. This result is also consistent with the hypothesis that red coloration plays a role in signaling and perhaps in intimidation of rivals. Water Dragon displays that revealed ventral coloration were not given when males interacted with females, suggesting red coloration does not function in advertisement to potential female mates. Our results support the hypothesis that red ventral coloration in Eastern Water Dragons functions in advertisement to rival males similar to the function of red coloration in several other vertebrates.</t>
  </si>
  <si>
    <t>WOS:000328539300005</t>
  </si>
  <si>
    <t>Colchen, T; Gisbert, E; Ledoré, Y; Teletchea, F; Fontaine, P; Pasquet, A</t>
  </si>
  <si>
    <t>Colchen, T.; Gisbert, E.; Ledore, Y.; Teletchea, F.; Fontaine, P.; Pasquet, A.</t>
  </si>
  <si>
    <t>Is a cannibal different from its conspecifics? A behavioural, morphological, muscular and retinal structure study with pikeperch juveniles under farming conditions</t>
  </si>
  <si>
    <t>Cannibalism is defined as the act of killing and consuming the whole, or major part, of an individual belonging to the same species, irrespective of its stage of development. Infra-cohort cannibalism in fish larval or juvenile stages, which is a major economic problem, has been widely studied in captive fish populations. In our study, we investigated the influence of animal personality (with cross-maze and conspecific choice tests) on infra-cohort cannibalism using pikeperch Sander lucioperca as a model species. Furthermore, we investigated the morphological (geometric morphological analysis) and anatomical (histological analysis of retinal and muscle tissue sections) differences between cannibal (C) fish (TL = 34.6 +/- 9.4 mm, n = 25) and conspecific fish randomly sampled from rearing tanks, herein called 'potential non-cannibal fish' (PNC) (FL = 31.4 +/- 10.5 mm, n = 42). We did not find any behavioural differences (swimming activity, exploration, conspecific choice) between cannibal and potential non-cannibal fish that could explain asynchrony in the onset of cannibalism. Moreover, we did not observe any morphological differences between the two groups (C and PNC fish). However, we did detect anatomical differences in two retinal layers (ganglion cell layer and inner nuclear layer) that were thicker for cannibals. These two layers are involved in the collection of information by photoreceptors and allow the shapes, colours and movements of objects to be detected in the water column. The onset of cannibalism therefore appears to be linked to environmental condition-dependent individual development, with some individuals exhibiting precocious anatomical, and probably physiological, development, rather than to individual personality.</t>
  </si>
  <si>
    <t>Gisbert, Enric/I-7224-2019</t>
  </si>
  <si>
    <t>Gisbert, Enric/0000-0002-7457-8468; Teletchea, Fabrice/0000-0003-0025-2120</t>
  </si>
  <si>
    <t>10.1016/j.applanim.2020.104947</t>
  </si>
  <si>
    <t>WOS:000524493000016</t>
  </si>
  <si>
    <t>Takahashi, T; Ngatunga, B; Snoeks, J</t>
  </si>
  <si>
    <t>Takahashi, Tetsumi; Ngatunga, Benjamin; Snoeks, Jos</t>
  </si>
  <si>
    <t>Taxonomic status of the six-band morph of Cyphotilapia frontosa (Perciformes: Cichlidae) from Lake Tanganyika, Africa</t>
  </si>
  <si>
    <t>Six- and seven-band morphs have been identified in a cichlid, Cyphotilapia frontosa, that is endemic to Lake Tanganyika. These color morphs have allopatric distributions; the six-band morph is widespread in the northern half of the lake while the seven-band morph is restricted to Kigoma on the east coast of the lake. Because no specimens of the seven-band morph have been available for taxonomic study except for the holotype of C. frontosa, the taxonomic status of these morphs has not been discussed. In a recent survey at the lake, 21 specimens of the seven-band morph were collected. A comparison of these with existing collection specimens of the six-band morph showed significant differences in morphometric and meristic characters; however, because all characters largely overlapped between these morphs, they are regarded as conspecific.</t>
  </si>
  <si>
    <t>10.1007/s10228-006-0374-y</t>
  </si>
  <si>
    <t>WOS:000244724300008</t>
  </si>
  <si>
    <t>Backström, T; Heynen, M; Brännäs, E; Nilsson, J; Winberg, S; Magnhagen, C</t>
  </si>
  <si>
    <t>Backstrom, Tobias; Heynen, Martina; Brannas, Eva; Nilsson, Jan; Winberg, Svante; Magnhagen, Carin</t>
  </si>
  <si>
    <t>Social stress effects on pigmentation and monoamines in Arctic charr</t>
  </si>
  <si>
    <t>Pigmentation often signals status and in general melanin-based pigmentation is indicative of aggression and stress resilience in vertebrates. This is evident in the salmonids Atlantic salmon (Salmo salar) and rainbow trout (Oncorhynchus mykiss) where more melanin spotted individuals are more stress resilient. However, in the salmonid Arctic charr (Salvelinus alpinus) it seems as if it is carotenoid-based pigmentation that signals aggression and stress resilience. In our study, social stress effects on carotenoid-based spots, and behavioural and physiological stress responses were investigated. Socially stressed individuals have more spots, and behavioural stress responses were associated with spots. Some of the results concerning physiological stress responses, such as plasma cortisol levels and monoaminergic activity, are associated with spottiness. Further, the earlier proposed lateralization of spots, with left side connected to stress responsiveness and right side to aggression, is to some extent validated although not conclusively. In conclusion, this study provides further evidence that more stressed charr have more carotenoid spots, and for the first time monoaminergic activity is shown to be connected with carotenoid pigmentation. (C) 2015 Elsevier B.V. All rights reserved.</t>
  </si>
  <si>
    <t>Winberg, Svante/ABB-6458-2021; Magnhagen, Carin/ABA-4968-2021</t>
  </si>
  <si>
    <t>Winberg, Svante/0000-0003-4252-3144; Backstrom, Tobias/0000-0003-1984-9533</t>
  </si>
  <si>
    <t>10.1016/j.bbr.2015.05.011</t>
  </si>
  <si>
    <t>WOS:000358454800012</t>
  </si>
  <si>
    <t>Yamauchi, K; Ishida, Y; Hashim, R; Heinze, J</t>
  </si>
  <si>
    <t>Yamauchi, K.; Ishida, Y.; Hashim, R.; Heinze, J.</t>
  </si>
  <si>
    <t>Queen-queen competition and reproductive skew in a Cardiocondyla ant</t>
  </si>
  <si>
    <t>INSECTES SOCIAUX</t>
  </si>
  <si>
    <t>Queens and female sexuals of the Southeast Asian ant Cardiocondyla sp. engage in aggressive interactions. By biting and violently antennating female sexuals, queens appear to prevent them from shedding their wings and presumably also from starting to lay haploid eggs. Aggression among dealate queens apparently results in the establishment of reproductive rank orders with considerable differences in offspring production among individual nestmate queens, as visualized by the pronounced color polymorphism of this taxon. Reproductive skew ranged from complete monopolization of both worker and female sexual production to more or less equal partitioning of reproduction. Division of reproduction was associated with variation in the location of queens close to or away from the center of the brood pile, which again appeared to be caused by queen-queen antagonism.</t>
  </si>
  <si>
    <t>Hashim, Rosli/A-8555-2010</t>
  </si>
  <si>
    <t>0020-1812</t>
  </si>
  <si>
    <t>1420-9098</t>
  </si>
  <si>
    <t>10.1007/s00040-007-0941-x</t>
  </si>
  <si>
    <t>WOS:000248901500010</t>
  </si>
  <si>
    <t>Abreu, MS; Kulczykowska, E; Cardoso, SC; André, GI; Morais, M; Gozdowska, M; Soares, MC</t>
  </si>
  <si>
    <t>Abreu, Murilo S.; Kulczykowska, Ewa; Cardoso, Sonia C.; Andre, Goncalo I.; Morais, Marta; Gozdowska, Magdalena; Soares, Marta C.</t>
  </si>
  <si>
    <t>Nonapeptide levels in male cleaner fish' brains during interactions with unfamiliar intra and interspecific partners</t>
  </si>
  <si>
    <t>In nature, cleaner fish face complex situations arising from a highly demanding socio-environment that includes conspecific and mutualistic relationships. The nonapeptide arginine vasotocin (AVT) is known to play a relevant role in the expression of mutualistic behaviour in the Indo-Pacific bluestreak cleaner wrasse (Labroides dimidiatus). However, the role of the second nonapeptide isotocin (IT) in mediating social behaviour has yet to be established. Here we investigated whether there is a link between the distribution of active nonapeptides across brain regions and cleaners' social behaviour. Male cleaner fish were exposed to different social contexts: (i) an unfamiliar male conspecific (conspecific context), (ii) an unfamiliar interspecific partner (blond naso tang, Naso elegans; mutualistic context) and (iii) a ball (non-social context). Furthermore, to distinguish between physicochemical and visual stimulations, cleaners were also exposed to an unfamiliar conspecific or an unfamiliar interspecific partner placed in a separate, smaller aquaria while inside the experimental tank. We then measured biologically available AVT and IT levels in distinct brain macro-areas, forebrain, optic tectum, cerebellum and brain stem, using high-performance liquid chromatography with fluorescence detection. We did not find any association between the levels of AVT and social contexts. On the other hand, we found lower levels of IT in the forebrain of cleaners in contact with a conspecific compared to those introduced to a client and a client inside another aquarium. Additionally, cleaners displayed aggression but only towards other conspecifics. These findings indicate that (i) IT in cleaners' forebrain is linked with mutualistic engagement between cleaners and clients, (ii) stimulation of IT pathways in the forebrain is probably linked with the visual recognition of potential clients and (iii) physicochemical signals are essential to trigger aggressive displays in male conspecifics. The visual stimulation of IT pathways in the forebrain of male cleaner wrasses while introduced to sympatric clients is associated with the establishment of cleaner-client mutualistic relationship; physicochemical signals are important to trigger aggressive displays in male cleaners introduced to conspecifics.</t>
  </si>
  <si>
    <t>Soares, Marta/GSM-7143-2022; Soares, Marta/HJH-3434-2023; Sander de Abreu, Murilo/J-9756-2015; Gozdowska, Magdalena/A-4169-2018; Kulczykowska, Ewa/X-2879-2019</t>
  </si>
  <si>
    <t>Soares, Marta/0000-0002-5213-2377; Sander de Abreu, Murilo/0000-0001-5562-0715; Gozdowska, Magdalena/0000-0002-7927-2230; Kulczykowska, Ewa/0000-0002-3979-9310; Andre, Goncalo/0000-0002-1513-4832; Cardoso, Sonia/0000-0002-5985-7792</t>
  </si>
  <si>
    <t>10.1007/s00265-018-2537-z</t>
  </si>
  <si>
    <t>WOS:000437169600001</t>
  </si>
  <si>
    <t>Beltrao, P; Marques, CI; Cardoso, GC; Gomes, ACR</t>
  </si>
  <si>
    <t>Beltrao, Patricia; Marques, Cristiana I.; Cardoso, Goncalo C.; Gomes, Ana Cristina R.</t>
  </si>
  <si>
    <t>Plumage colour saturation predicts long-term, cross-seasonal social dominance in a mutually ornamented bird</t>
  </si>
  <si>
    <t>Dominance hierarchies are known to reduce agonistic interactions between individuals and may be influenced by differences in phenotypes such as body size, personality or cognition. Colour ornamentation, especially with melanin-based colours, can also be a badge of status signalling social dominance, but status signalling with carotenoid-based colours is little understood. Here we studied whether different phenotypes, including individual differences in carotenoid-based colour ornamentation, body size, personality-, cognition- and stress-related traits, predict social dominance in the highly social and mutually ornamented common waxbill, Estrilda astrild. We monitored aggressive interactions of waxbills living in seminatural conditions, in a large mesocosm, using data from a radiofrequency identification system in the nonbreeding and breeding seasons over 2 consecutive years. We found the position of individual waxbills in the dominance hierarchy repeatable across seasons and years. Furthermore, the steepness of the dominance hierarchy was greater in the breeding seasons, perhaps because of increased competition over mates or breeding resources. Contrary to previous work with waxbills in birdcages, here body size did not predict social dominance, perhaps because in our more natural setting aggressive encounters were mostly airborne, where large body size may not confer a fighting advantage and may even reduce manoeuvrability. Sex, reactive-to-proactive personality differences and traits related to cognition or stress did not predict social dominance either. Finally, red colour saturation, but not the size of the red patch, strongly predicted social dominance and may thus act as a badge of status. This is one of the few studies testing whether size or saturation of carotenoid-based plumage coloration indicates social dominance and suggests that saturation may more often signal dominance. (c) 2021 The Association for the Study of Animal Behaviour. Published by Elsevier Ltd. All rights reserved.</t>
  </si>
  <si>
    <t>Gomes, Ana Cristina R./JCE-4464-2023; Beltrao, Patricia/KCJ-8126-2024; Cardoso, Goncalo/A-1290-2007</t>
  </si>
  <si>
    <t>Gomes, Ana Cristina R./0000-0003-2905-3248; Marques, Cristiana/0000-0002-3406-9597; Cardoso, Goncalo/0000-0001-6258-1881; Beltrao, Patricia/0000-0002-5987-4672</t>
  </si>
  <si>
    <t>10.1016/j.anbehav.2021.09.011</t>
  </si>
  <si>
    <t>WOS:000907004000003</t>
  </si>
  <si>
    <t>Nyalungu, NP; Couldridge, V</t>
  </si>
  <si>
    <t>Nyalungu, Nonhlanhla P.; Couldridge, Vanessa</t>
  </si>
  <si>
    <t>Female mate choice and species recognition between two closely related cichlid fish of Lake Malawi,Metriaclima estheraeandM. callainos</t>
  </si>
  <si>
    <t>Cichlids are one of the most diverse and colourful groups of freshwater fishes in the world. Despite much investigation, the factors that promote speciation in these fishes are still uncertain. However, previous studies suggest that sexual selection on male colour is one of the main drivers of speciation among these fishes.Metriaclima estheraeis a polymorphic cichlid species from Lake Malawi, and thus provides an ideal model for the investigation of the importance of colour as a species recognition cue.M. callainosis a closely related and morphologically similar species, with male colour pattern very similar to that ofM. estherae.We tested female choice by giving females of the two species a choice between conspecific and heterospecific males in the presence and absence of visual (colour) and chemical cues. The results show that females ofM. callainoswere able to reliably recognize conspecific males, even when colour was eliminated as a cue. However, females ofM. estheraedid not prefer conspecific males, although they were able to discriminate between red and blue conspecific colour morphs by using chemical cues. These results suggest that species recognition cues may differ even among closely related species of cichlid fish, and that female preferences for male coloration may be weak in certain species.</t>
  </si>
  <si>
    <t>Nyalungu, Nonhlanhla/0000-0003-3207-279X; Couldridge, Vanessa/0000-0003-1948-6584</t>
  </si>
  <si>
    <t>10.1111/jfb.14327</t>
  </si>
  <si>
    <t>APR 2020</t>
  </si>
  <si>
    <t>WOS:000550050100001</t>
  </si>
  <si>
    <t>Miller, JP</t>
  </si>
  <si>
    <t>Miller, Jonathan P.</t>
  </si>
  <si>
    <t>Integrative taxonomy reveals the conspecific status of Xerotricha madritensis (Rambur, 1868) and Helicella candoni Thach, 2018 (Gastropoda, Geomitridae)</t>
  </si>
  <si>
    <t>The Mediterranean region is a biodiversity hotspot. Mollusks represent the second most diverse phylum, with high species richness, endemism, and significant numbers of threatened species. The non-marine species are an especially vulnerable group. New taxa are frequently described although the descriptions often lack biological support. This is true for Helicella candoni Thach, 2018, originally described from Puerto de Santa Maria, C ' adiz, Spain. Thatch (2018) considered H. candoni to be similar to Xerotricha madritensis (Rambur, 1868) but the comparison was made on the basis of basic conchological characters. The present study analyzed topotypes of X. madritensis and H. candoni using integrative taxonomy to evaluate the relationship of the two taxa and their status within Helicella A. Fe ' russac, 1821 and Xerotricha Monterosato, 1892 respectively. A matrix of the mitochondrial cytochrome c oxidase subunit I (COI) yielded a total of 618 bp. Bayesian and Maximum Likelihood analyses showed that H. candoni and X. madritensis clustered closely together along with Helicella itala. Mean sequence divergence for COI between H. candoni and X. madritensis was 1.42 %. Both taxa are similar in shell shape and colour. Genitalia dimensions of H. condoni were very similar to those of X. madritensis. These data indicate that H. candoni is a junior synonym of X. madritensis. The phylogenetic analyses showed that, despite its morphological similarities, X. madritensis is a species of Helicella instead of Xerotricha.</t>
  </si>
  <si>
    <t>10.1016/j.zool.2023.126128</t>
  </si>
  <si>
    <t>WOS:001098666600001</t>
  </si>
  <si>
    <t>Barthold, J; Fichtel, C; Kappeler, P</t>
  </si>
  <si>
    <t>Barthold, Julia; Fichtel, Claudia; Kappeler, Peter</t>
  </si>
  <si>
    <t>What Is It Going to Be? Pattern and Potential Function of Natal Coat Change in Sexually Dichromatic Redfronted Lemurs (Eulemur fulvus rufus)</t>
  </si>
  <si>
    <t>AMERICAN JOURNAL OF PHYSICAL ANTHROPOLOGY</t>
  </si>
  <si>
    <t>In some primate species, pelage colorations at birth contrast with adult colorations. The intensity of natal coats and their phylogenetic distribution is highly variable within primates. Natal coat coloration seems to change to adult coloration in most species when infants become independent from their mothers, but an accepted functional explanation for natal coats is not available. Here we describe pelage coloration change in sexually dichromatic redfronted lemurs (Eulemur fulvus rufus) in Kirindy Forest, and propose a new functional hypothesis for this phenomenon. In this species, infants are born with adult male coloration and female infants subsequently undergo a change in coloration. Using digital pictures and behavioral data collected on eight mother-offspring dyads from birth until the end of the coloration change, we 1) described timing and pattern of pelage development in redfronted lemur infants and 2) examined behavioral developmental correlates of the coloration change. The color change took place between 7 and 17 weeks of age and coincided with advanced physical independence; a pattern also found in monochromatic primate species with natal coats. No behavioral differences between male and female infants were found. Hypotheses about the ultimate function of natal coats focusing on enhanced infant care or reduced infanticide risk did not explain the pelage change in redfronted lemurs. The natal pelage pattern in this species may instead serve as sexual mimicry. Accordingly, female infants may mimic males during the most vulnerable developmental phase to avoid sex-specific aggression by adult females in a species with intense female-female aggression and competition. Am J Phys Anthropol 138:1-10, 2009. (C) 2008 Wiley-Liss, Inc.</t>
  </si>
  <si>
    <t>Kappeler, Peter M/B-6825-2012</t>
  </si>
  <si>
    <t>Barthold Jones, Julia/0000-0001-9223-1778</t>
  </si>
  <si>
    <t>0002-9483</t>
  </si>
  <si>
    <t>1096-8644</t>
  </si>
  <si>
    <t>10.1002/ajpa.20868</t>
  </si>
  <si>
    <t>WOS:000261759100001</t>
  </si>
  <si>
    <t>BRACE, RC; REYNOLDS, HA</t>
  </si>
  <si>
    <t>RELATIVE INTRASPECIFIC AGGRESSIVENESS OF PEDAL DISK COLOR PHENOTYPES OF THE BEADLET ANEMONE, ACTINIA-EQUINA</t>
  </si>
  <si>
    <t>JOURNAL OF THE MARINE BIOLOGICAL ASSOCIATION OF THE UNITED KINGDOM</t>
  </si>
  <si>
    <t>Relative aggressiveness was determined for a number of pedal disc phenotypes of Actinia equina exhibiting red/red-brown column coloration, which are collectively representative of the three, ecologically distinct morphs present on the British coastline. Aggression was examined in both allo- and auto-phenotypic, laboratory-based experimental contests. In terms of attack frequencies scored in each type of contest, both those anemones having dark red and those with light red/pink pedal discs were found to be significantly more aggressive than the green/grey pedal phenotype; the former two phenotypes proved to be equally aggressive. It is argued that this behavioural dichotomy is explicable in terms of differing ecological preferences: the red/pink pedal phenotypes, which characterize collectively the two mid-shore morphs, predominate on vertical rock faces where densely packed aggregations are often found. In such situations, competition for space is likely to be particularly intense and thus intraspecific aggression of paramount importance. To the contrary, the green/grey pedal phenotype (low-shore morph) favours horizontal surfaces, where prevailing densities are usually relatively low and where, therefore, selection for aggressiveness should be less acute.</t>
  </si>
  <si>
    <t>0025-3154</t>
  </si>
  <si>
    <t>1469-7769</t>
  </si>
  <si>
    <t>10.1017/S0025315400029398</t>
  </si>
  <si>
    <t>WOS:A1989AD16200003</t>
  </si>
  <si>
    <t>Contreras-Garduño, J; Buzatto, BA; Abundis, L; Nájera-Cordero, K; Córdoba-Aguilar, A</t>
  </si>
  <si>
    <t>Contreras-Garduno, Jorge; Buzatto, Bruno A.; Abundis, Lizeth; Najera-Cordero, Karla; Cordoba-Aguilar, Alex</t>
  </si>
  <si>
    <t>Wing colour properties do not reflect male condition in the American rubyspot (Hetaerina americana)</t>
  </si>
  <si>
    <t>Adult males of the American rubyspot (Hetaerina americana) dispute riverine territories where females arrive to mate. On the wing basis, these males bear a red pigmentation spot whose area correlates with territorial disputes and mating rate: males with larger spots are more successful. This is explained by the fact that spot size correlates with fat muscular reserves which fuel flight during territorial intrusions. To further our understanding of sexual selection acting on the spot, here we have examined possible differences in three spot colour properties (red chroma, hue and brightness) in three distinct adult male ages [young, middle-aged (when males are more likely to defend a territory) and old], social status (territorial and non-territorial in middle-aged males), and under two potentially, energetically and costly situations: when faced with an immune challenge [comparing a nylon-implanted male group vs. a non-implanted male group in two ages, teneral (previous to colour formation) and middle-aged] and low diet levels (comparing a male set of middle-aged animals that received food ad libitum vs. a male set that received no food). Our results indicate no change in colour properties across any of these comparisons. Taken together, these and previous results suggest that only spot size but not the spot characteristics we measured here, is sexually selected in males of this species at least in terms of pre-copulatory male-male competition. That some of these colour properties have been related to male condition in other calopterygid damselflies cannot be generalized to the American rubyspot.</t>
  </si>
  <si>
    <t>Buzatto, Bruno Alves/B-6583-2011; Contreras Garduño, Jorge/AFM-4603-2022</t>
  </si>
  <si>
    <t>Buzatto, Bruno Alves/0000-0002-2711-0336; Contreras Garduño, Jorge/0000-0002-9231-0641</t>
  </si>
  <si>
    <t>10.1111/j.1439-0310.2007.01402.x</t>
  </si>
  <si>
    <t>WOS:000249661000004</t>
  </si>
  <si>
    <t>Caputi, AA; Aguilera, PA</t>
  </si>
  <si>
    <t>Ariel Caputi, Angel; Anibal Aguilera, Pedro</t>
  </si>
  <si>
    <t>Encoding phase spectrum for evaluating 'electric qualia'</t>
  </si>
  <si>
    <t>The most broadly expressed and studied aspect of sensory transduction is receptor tuning to the power spectral density of the incoming signals. Temporal cues expressed in the phase spectrum are relevant in African and American pulse-emitting electric fish showing electroreceptors sensing the signals carried by the self- and conspecific-generated electric organ discharges. This article concerns the role of electroreceptor phase sensitivity in American pulse Gymnotiformes. These fish show electroreceptors sharply tuned to narrow frequency bands. This led to the common thought that most electrosensory information is contained in the amplitude spectra of the signals. However, behavioral and modeling studies suggest that in their pulses, Gymnotiformes electroreceptors also encode cues embodied in the phase spectrum of natural stimuli. Here, we show that the two main types of tuberous primary afferents of Gymnotus omarorum differentially respond to cues embodied in the amplitude and phase spectra of self-generated electrosensory signals. One afferent type, pulse markers, is mainly driven by the amplitude spectrum, while the other, burst coders, is predominantly sensitive to the phase spectrum. This dual encoding strategy allows the fish to create a sensory manifold where patterns of 'electric color' generated by object impedance and other potential sources of 'colored' images (such as large nearby objects and other electric fish) can be represented.</t>
  </si>
  <si>
    <t>CAPUTI, ANGEL/0000-0002-7238-0538; Aguilera, Pedro/0000-0002-6610-4895</t>
  </si>
  <si>
    <t>jeb191544</t>
  </si>
  <si>
    <t>10.1242/jeb.191544</t>
  </si>
  <si>
    <t>WOS:000461414600010</t>
  </si>
  <si>
    <t>Hanna, CJ; Eason, PK</t>
  </si>
  <si>
    <t>Hanna, C. J.; Eason, P. K.</t>
  </si>
  <si>
    <t>Juvenile crab spiders (Mecaphesa asperata) use indirect cues to choose foraging sites</t>
  </si>
  <si>
    <t>Direct assessment of food resources may be unreliable if those resources fluctuate or are not easily detected. Foragers under such conditions may instead use indirect cues to assess the quality of potential foraging sites. Young individuals may be particularly likely to use indirect cues to compensate for their inexperience and to reduce assessment costs. We investigated the cues juvenile crab spiders (Mecaphesa asperata) use when selecting foraging sites. First, we examined whether spiderlings' site preference was influenced by prey abundance, a direct cue of site quality. We next investigated whether juvenile crab spiders assessed potential sites using indirect cues, including flower quality, cues left by conspecifics, or conspecifics themselves. We found spiderlings did not use prey abundance to assess foraging sites, but instead used indirect cues when choosing where to forage. Spiderlings preferred sites that would attract larger numbers of their arthropod prey, choosing blooming inflorescences over both senescing inflorescences and inflorescences with buds. Hungry spiderlings, unlike individuals that had recently fed, also used cues left by conspecifics, preferring sites on which a conspecific had previously foraged. Finally, spiderlings avoided sites with larger numbers of conspecifics, but were attracted to sites with relatively low abundances of conspecifics, indicating that spiderlings are able to weigh the possibility of improving their foraging success by joining conspecifics against the potential costs of being in larger groups. We show here that young, relatively inexperienced animals do not always directly assess prey abundance when choosing foraging sites, but that these individuals are capable of detecting and using a variety of indirect cues to evaluate foraging site quality.</t>
  </si>
  <si>
    <t>APR 1</t>
  </si>
  <si>
    <t>10.1080/03949370.2012.742464</t>
  </si>
  <si>
    <t>WOS:000317742200005</t>
  </si>
  <si>
    <t>CHANGES IN FEMALE COLOR ACROSS THE OVULATORY CYCLE IN THE BROOK STICKLEBACK, CULAEA INCONSTANS (KIRTLAND)</t>
  </si>
  <si>
    <t>The colour signal of the female brook stickleback (Culaea inconstans) is a mosaic of five components: intensity (1) and distribution (2) of black colouration on the body, presence or absence of gold colouration on the body (3), degree of development of the black eye bar (4), and colour intensity of the black dorsal spines (5). These components interact to produce three mosaics corresponding to the stage reached by a female in her ovulatory cycle. Nonbreeding individuals display a silver ventral surface, grey-green dorsal and lateral surfaces bearing dark grey, reticulate variegations, no eye bars, and noncoloured fins and spines. Interspawning-interval females develop a silvery gold ventral surface, light grey, spatted dorsal and lateral surfaces, narrow eye bars, noncoloured fins, and dark spines. The intensity of a female's body and spine colour is positively correlated with her aggressive response to an intruding male. Spine colour intensity is also positively correlated with her aggressive response to an intruding female. Courting females project a distinct signal comprising a pink-gold body, medium grey dorsal and lateral swirls, no eye bars, and noncoloured fins and spines. The golden courting female contrasts with the velvety black courting male, enhancing the exchange of information about species, sex, and sexual motivation via the two nuptial signals.</t>
  </si>
  <si>
    <t>10.1139/z94-018</t>
  </si>
  <si>
    <t>WOS:A1994NK85100018</t>
  </si>
  <si>
    <t>Cruz, EMV; Brown, CL</t>
  </si>
  <si>
    <t>Cruz, Emmanuel M. Vera; Brown, Christopher L.</t>
  </si>
  <si>
    <t>The influence of social status on the rate of growth, eye color pattern and Insulin-like Growth Factor-I gene expression in Nile tilapia, Oreochromis niloticus</t>
  </si>
  <si>
    <t>Many aspects of teleost physiology are subject to regulation by social interactions. To evaluate the relationship of social status with growth, eye color pattern and hepatic Insulin-like Growth Factor-I (IGF-I) mRNA expression, 30 Oreochromis niloticus were isolated for 10 days and were used in a social pair study. Results revealed that growth of both dominant (except I day after social interaction) and subordinate individuals was suppressed, but growth suppression was greater in the subordinates. The dominant fish completely inhibited the feeding of the subordinate individuals during and I day after they were introduced into the aquaria together. After that, a pattern of highly aggressive attacks by dominant fish only partially inhibited feeding by the subordinates. Differential alterations in growth rate between dominants and subordinates were attributed more to behavioral changes (i.e., feeding) as transduced by physiological regulators (i.e., IGF-I level and possibly serotonin and/or neuropeptide Y) but may also be due to changes in metabolism. The fish's relative position in the social hierarchy consistently influenced the levels of IGF-I mRNA in the liver and the eye color pattern.' Lower social status depressed hepatic IGF-I levels while dominant status stimulated hepatic IGF-I production, possibly in response to inhibition of somatostatin release in the hypothalamus, leading to greater secretion of pituitary growth hon-none (GH). A significant positive association was detected between the IGF-I mRNA expression of the dominant fish and the level of aggression (number of attacks) during the encounter. Social status also influenced the eye color pattern of the fish. During aggressive interactions, most of the fish (22 out of 24) displayed decreased eye darkening. At the later part of the encounter, all subsequent subordinates displayed eye-darkening patterns which acted as a social signal announcing social submission. After the encounter dominant fish had paler eye color pattern than subordinates. (c) 2007 Elsevier Inc. All tights reserved.</t>
  </si>
  <si>
    <t>Vera Cruz, Emmanuel/0000-0001-9142-8982</t>
  </si>
  <si>
    <t>10.1016/j.yhbeh.2007.02.010</t>
  </si>
  <si>
    <t>WOS:000247275800006</t>
  </si>
  <si>
    <t>Albers, J; Reichert, MS</t>
  </si>
  <si>
    <t>Albers, Jonathan; Reichert, Michael S.</t>
  </si>
  <si>
    <t>Personality affects individual variation in olfactory learning and reversal learning in the house cricket, Acheta domesticus</t>
  </si>
  <si>
    <t>Growing evidence suggests that individual variation in learning is ubiquitous, but why this is the case and what the consequences are is still a subject of much debate and research. One key set of explanations for variation in learning behaviour is that it relates to variation in animal personality traits. If personality traits affect how an individual interacts with its environment or processes information, this could directly affect performance in learning tasks. While this idea is generally well supported, there are inconsistent results on the relationships between specific personality traits and performance on different learning tasks, highlighting the need to measure multiple personality traits and to quantify different aspects of learning in the same individuals. We examined the relationship between three putative personality traits -aggression, latency to emerge from a shelter and time to contact a novel object -and learning speed in both initial and reversal olfactory learning in the house cricket, Acheta domesticus. Crickets were assayed for each personality trait, then tested for their speed to associate an odour with a water reward. Both aggression and latency to emerge were significantly repeatable, but only latency to emerge was related to learning speed, with individuals that took longer to emerge from the shelter requiring fewer trials to reach the learning criterion for both the initial and reversal learning experi-ments. We also identified sex differences in learning speed in the different experiments. Thus, our results provide some support for a relationship between personality and learning in an invertebrate.(c) 2022 The Association for the Study of Animal Behaviour. Published by Elsevier Ltd. All rights reserved.</t>
  </si>
  <si>
    <t>Reichert, Michael/0000-0002-0159-4387</t>
  </si>
  <si>
    <t>10.1016/j.anbehav.2022.06.013</t>
  </si>
  <si>
    <t>WOS:000860712600001</t>
  </si>
  <si>
    <t>Bluemke, M; Friedrich, M; Zumbach, J</t>
  </si>
  <si>
    <t>Bluemke, Matthias; Friedrich, Monika; Zumbach, Joerg</t>
  </si>
  <si>
    <t>The Influence of Violent and Nonviolent Computer Games on Implicit Measures of Aggressiveness</t>
  </si>
  <si>
    <t>We examined the causal relationship between playing violent video games and increases in aggressiveness by using implicit measures of aggressiveness, which have become important for accurately predicting impulsive behavioral tendencies. Ninety-six adults were randomly assigned to play one of three versions of a computer game that differed only with regard to game content (violent, peaceful, or abstract game), or to work on a reading task. In the games the environmental context, mouse gestures, and physiological arousal-as indicated by heart rate and skin conductance-were kept constant. In the violent game soldiers had to be shot, in the peaceful game sunflowers had to be watered, and the abstract game simply required clicking colored triangles. Five minutes of play did not alter trait aggressiveness, yet an Implicit Association Test detected a change in implicit aggressive self-concept. Playing a violent game produced a significant increase in implicit aggressive self-concept relative to playing a peaceful game. The well-controlled study closes a gap in the research on the causality of the link between violence exposure in computer games and aggressiveness with specific regard to implicit measures. We discuss the significance of importing recent social-cognitive theory into aggression research and stress the need for further development of aggression-related implicit measures. Aggr. Behav. 36:1-13, 2010. (C) 2009 Wiley-Liss, Inc.</t>
  </si>
  <si>
    <t>Bluemke, Matthias/IVU-9937-2023; Zumbach, Joerg/AAF-6550-2020; Bluemke, Matthias/V-2057-2019</t>
  </si>
  <si>
    <t>Bluemke, Matthias/0000-0003-1493-7462; Bluemke, Matthias/0000-0003-1493-7462</t>
  </si>
  <si>
    <t>10.1002/ab.20329</t>
  </si>
  <si>
    <t>WOS:000272728400001</t>
  </si>
  <si>
    <t>GREENBERG, N; CREWS, D</t>
  </si>
  <si>
    <t>ENDOCRINE AND BEHAVIORAL-RESPONSES TO AGGRESSION AND SOCIAL-DOMINANCE IN THE GREEN ANOLE LIZARD, ANOLIS-CAROLINENSIS</t>
  </si>
  <si>
    <t>Adult males of the small arboreal iguanid lizard, A. carolinensis, wil fight and form social dominance hierarchies when placed in habitats with limited resources. The relationships between time since initial aggressive interaction, relative social dominance, reproductive activity, and corticosterone and androgen levels were determined for 34 pairs of lizards. A discriminant analysis established a dominance index which indicated that over 90% of the difference between individuals who had won or lost aggressive interactions (putative social dominants and subordinates) was attributable to a single discriminant function reflecting altered body color, perch site selection, and circulating androgen. Animals that had darker body color also selected lower perch sites and had depressed rates of courtship relative to winners of fights and were thus designated as social subordinates. These animals also had levels of circulating androgen significantly lower than that of dominants, but circulating corticosterone was not significantly affected. Winners of fights showed a dramatic surge in circulating androgen at 1 hr but returned to near control values by 1 week; losers, however, showed depressed circulating androgen levels at 1 week.</t>
  </si>
  <si>
    <t>10.1016/0016-6480(90)90309-A</t>
  </si>
  <si>
    <t>WOS:A1990CN99400009</t>
  </si>
  <si>
    <t>Kleszczynska, A; Sokolowska, E; Kulczykowska, E</t>
  </si>
  <si>
    <t>Kleszczynska, Agnieszka; Sokolowska, Ewa; Kulczykowska, Ewa</t>
  </si>
  <si>
    <t>Variation in brain arginine vasotocin (AVT) and isotocin (IT) levels with reproductive stage and social status in males of three-spined stickleback (Gasterosteus aculeatus)</t>
  </si>
  <si>
    <t>Arginine vasotocin (AVT) and isotocin (IT) are fish nonapeptides synthesized in separate hypothalamic neurons from where they are transported to the neurohypophysis for storage and release into circulation. AVT is known to modulate aggression, courtship and parental care or social communication in many species, including fish, amphibians and birds. In this paper we examined a link between the level of AVT and IT in the brain and particular reproductive behavior in males of three-spined stickleback (Gasterosteus aculeatus). AVT and IT levels in whole brain of males of three-spined stickleback vary depending on specific breeding behavior of the individuals and their social status. These studies have shown the highest AVT levels in aggressive males that took care of the eggs. Brain AVT concentrations are also increased in nuptial colored subordinate males that fight to change their social status. On the other hand, IT is significantly higher in aggressive dominant males that defend their territory. IT may be also involved in courtship in three-spined stickleback. These findings highlight the importance of determination of free, bioavailable neuropeptides' level in behavioral studies. (C) 2011 Elsevier Inc. All rights reserved.</t>
  </si>
  <si>
    <t>Kulczykowska, Ewa/X-2879-2019</t>
  </si>
  <si>
    <t>Kulczykowska, Ewa/0000-0002-3979-9310; Sokolowska, Ewa/0000-0001-6576-8238</t>
  </si>
  <si>
    <t>JAN 15</t>
  </si>
  <si>
    <t>10.1016/j.ygcen.2011.11.022</t>
  </si>
  <si>
    <t>WOS:000299137900009</t>
  </si>
  <si>
    <t>Langkilde, T; Boronow, KE</t>
  </si>
  <si>
    <t>Langkilde, T.; Boronow, K. E.</t>
  </si>
  <si>
    <t>Color as a Signal: The Relationship between Coloration and Morphology in Male Eastern Fence Lizards, Sceloporus undulatus</t>
  </si>
  <si>
    <t>Color is used in social signaling by many species. Male Eastern Fence Lizards, Sceloporus undulatus, possess sex-specific dorsal and ventral coloration, including vivid blue badges on their throat and abdomen, which they behaviorally display to conspecifics. The presence of abdominal badges serves as a signal of an individual's sex, but the significance of badge and integument coloration for signaling fitness traits is unknown. We tested for associations between coloration (color of the dorsal surface, chest, and abdominal and throat badges, as well as relative badge size) and a range of fitness-relevant morphological traits (body size and condition, tail and hind-limb length, and head size) in male Eastern Fence Lizards from two sites. Larger males have darker colored abdominal badges and relatively larger abdominal and throat badges. Males with longer tails and wider heads have darker dorsal coloration, and there is a correlation between head length and the color of the black abdominal badges, but this is not consistent between sites. Adults also have darker chest and dorsal coloration than do juveniles. These relationships suggest that S. undulatus color may signal competitive ability to male opponents. However, if this were the case, we would expect body condition and limb length, morphological measures that are tightly correlated with these fitness traits, to also correlate with coloration. This was not evident from our data. Therefore, despite significant variation in coloration of male S. undulatus, it is unlikely to reflect fitness associated with the traits measured in this study.</t>
  </si>
  <si>
    <t>Langkilde, Tracy/L-8696-2017</t>
  </si>
  <si>
    <t>Langkilde, Tracy/0000-0001-7014-2432</t>
  </si>
  <si>
    <t>10.1670/08-275.1</t>
  </si>
  <si>
    <t>WOS:000278297700010</t>
  </si>
  <si>
    <t>Lester, RL; Grach, C; Pener, MP; Simpson, SJ</t>
  </si>
  <si>
    <t>Stimuli inducing gregarious colouration and behaviour in nymphs of Schistocerea gregaria</t>
  </si>
  <si>
    <t>Solitarious nymphs of Schistocerca gregaria were reared under various conditions in both Jerusalem and Oxford to tease apart cues involved in behavioural and colour phase change. Treatments included rearing nymphs from the IInd or IIIrd until the final nymphal stadium in physical contact with similarly aged conspecific groups or with another locust species, Locusta migratoria migratorioides, as well as confining single nymphs in mesh cages, which were kept within crowds of S. gregaria or L. migratoria migratorioides, providing visual and olfactory but no physical contact with other locusts. In the Oxford experiments, an extra treatment was included which provided olfactory cues without visual or contact stimulation. Our results confirm that transformation from the solitarious to the gregarious phase of locusts is complex, and that different phase characteristics not only follow different time courses, but are also controlled by different suites of cues. As predicted from earlier studies, behavioural phase change was evoked by non-species-specific cues. Rearing in contact with either species was fully effective in inducing gregarious behaviour, as was the combination of the sight and smell of other locusts, but odour alone was ineffective. Colour phase change was shown to comprise two distinct elements that could be dissociated: black patterning and yellow background. The former of these could be induced as effectively by rearing S. gregaria nymphs in a crowd of L. migratoria migratorioides as by rearing with conspecifics. Sight and smell of other locusts also triggered black patterning and, unlike behavioural change, some black patterning was induced by odour cues alone. Hence, physical contact was not needed to induce gregarious black patterning. Yellow colouration, however, was only fully induced when locusts were reared in contact with conspecifics, implying the presence of a species-specific contact chemical cue. (c) 2005 Elsevier Ltd. All rights reserved.</t>
  </si>
  <si>
    <t>Simpson, Stephen J/C-8392-2009</t>
  </si>
  <si>
    <t>1879-1611</t>
  </si>
  <si>
    <t>10.1016/j.jinsphys.2005.03.015</t>
  </si>
  <si>
    <t>WOS:000231717400001</t>
  </si>
  <si>
    <t>Horton, BM; Moore, IT; Maney, DL</t>
  </si>
  <si>
    <t>Horton, Brent M.; Moore, Ignacio T.; Maney, Donna L.</t>
  </si>
  <si>
    <t>New insights into the hormonal and behavioural correlates of polymorphism in white-throated sparrows, Zonotrichia albicollis</t>
  </si>
  <si>
    <t>The white-throated sparrow is a promising model for behavioural neuroendocrinology and genetics because behaviour and endocrine function may be linked to a chromosomal rearrangement that determines plumage colour. The notion that the two colour morphs, tan-striped (TS) and white-striped (WS), differ predictably in aggression and parenting has been widely accepted, despite conflicting evidence. It is also hypothesized that morph-typic behaviour is hormone-mediated, yet no field study has measured sex steroids and behaviour in the same birds. Here, we re-evaluate the TS and WS phenotypes, describe the conditions under which they differ and investigate relationships between sex steroids and behaviour. We report that (1) during territorial intrusions, WS males were more aggressive than TS birds, but this difference was restricted to singing; WS males sang more than TS males but showed identical levels of physical aggression. WS females sang more than TS females and were also more physically aggressive. (2) TS males provisioned young more frequently than did WS males, but only during first broods. The parental strategy of WS males was flexible, and during replacement broods, WS and TS males provisioned at equal rates. (3) Consistent with previous studies, we detected no morph difference in female provisioning. (4) Plasma testosterone and dihydrotestosterone were higher in WS males than in TS males during periods of peak territorial defence and during first broods; within breeding stages, male androgen levels were positively correlated with singing and negatively correlated with provisioning. Plasma oestradiol levels were higher in WS females than in TS females and higher during peak territorial defence; oestradiol levels tended to be positively correlated with singing. Overall, our results refine the TS and WS phenotypes, show that behavioural differences between them are restricted to periods with relatively high mating opportunity, and demonstrate an association between sex steroids and morphtypic behaviour. These results will inform future studies of this promising model. (C) 2014 The Association for the Study of Animal Behaviour. Published by Elsevier Ltd. All rights reserved.</t>
  </si>
  <si>
    <t>Maney, Donna L/G-3706-2011</t>
  </si>
  <si>
    <t>Maney, Donna L/0000-0002-1006-2358; Moore, Ignacio/0000-0001-8875-8913</t>
  </si>
  <si>
    <t>10.1016/j.anbehav.2014.04.015</t>
  </si>
  <si>
    <t>WOS:000338712900026</t>
  </si>
  <si>
    <t>Taylor, LA; Clark, DL; McGraw, KJ</t>
  </si>
  <si>
    <t>Taylor, Lisa A.; Clark, David L.; McGraw, Kevin J.</t>
  </si>
  <si>
    <t>Natural variation in condition-dependent display colour does not predict male courtship success in a jumping spider</t>
  </si>
  <si>
    <t>In many animals, males display costly, condition-dependent ornaments to choosy females. Indicator models of sexual selection predict that females should choose mates based on natural variation in such traits. In Habronattus pyrrithrix jumping spiders, males have conspicuous, condition-dependent red faces and green legs that they display to cryptically coloured females during courtship. In a correlational study using field-collected spiders, we paired individual males with virgin females in the laboratory and found that natural variation in male coloration did not predict mating success (likelihood of copulation) or levels of female aggression. Rather, mating success was best predicted by male body condition. We then conducted an outdoor experiment under natural sunlight where we gave both virgin and mated females the choice between two simultaneously courting males, one with his facial coloration experimentally reduced and the other that received a sham treatment. Again, we found no relationship between male coloration and courtship success. Our previous studies have shown that the presence (versus absence) of red facial coloration improves courtship success, but here we found no evidence that more subtle natural variation in this trait has any effect on success. We discuss these findings in the context of complex signalling and species recognition in Habronattus. While many studies report negative results for condition-dependent quality signalling alongside positive ones, few discuss the implications of negative results. We argue that, as empirical data accumulate, we should move towards asking why some condition-dependent traits are consistently important to females while other equally condition-dependent traits are either ignored, or only matter in certain contexts. (C) 2014 The Association for the Study of Animal Behaviour. Published by Elsevier Ltd. All rights reserved.</t>
  </si>
  <si>
    <t>10.1016/j.anbehav.2014.05.005</t>
  </si>
  <si>
    <t>WOS:000338712900033</t>
  </si>
  <si>
    <t>Höglund, E; Balm, PHM; Winberg, S</t>
  </si>
  <si>
    <t>Behavioural and neuroendocrine effects of environmental background colour and social interaction in Arctic charr (Salvelinus alpinus)</t>
  </si>
  <si>
    <t>In salmonid fish, a darker skin colour has been suggested to signal social subordination. Substratum colour is another factor affecting skin pigmentation in fish; in the present experiment, juvenile Arctic charr (Salvelinus alpinus) were acclimated and allowed to interact in pairs for 5 days on a pale or dark background colour. Skin darkness was quantified prior to and following social interaction. Furthermore, agonistic behaviour and skin darkness were quantified, together with plasma levels of cortisol, adrenocorticotropin (ACTH) and a-melanocyte-stimulating hormone (alpha-MSH), and brain levels of monoamines and monoamine metabolites. The results show that fish interacting on a white background were more aggressive than those interacting on a black background. Social subordination resulted in skin darkening in fish kept on a white background, but not in fish kept on a black background. Furthermore, subordinate fish on a white background showed an elevation of brain norepinephric activity, an effect not seen in subordinate fish on a black background. Subordinate fish on both white and black backgrounds showed a similar activation of the brain serotonergic system and the hypothalamic-pituitary-interrenal axis. These results support the suggestion that skin darkening in subordinates acts as a social signal announcing social submission.</t>
  </si>
  <si>
    <t>Winberg, Svante/ABB-6458-2021</t>
  </si>
  <si>
    <t>Winberg, Svante/0000-0003-4252-3144</t>
  </si>
  <si>
    <t>WOS:000177855700019</t>
  </si>
  <si>
    <t>Hofmann, S; Mebert, K; Schulz, KD; Helfenberger, N; Göçmen, B; Böhme, W</t>
  </si>
  <si>
    <t>Hofmann, Sylvia; Mebert, Konrad; Schulz, Klaus-Dieter; Helfenberger, Notker; Gocmen, Bayram; Boehme, Wolfgang</t>
  </si>
  <si>
    <t>A new subspecies of Zamenis hohenackeri (Strauch, 1873) (Serpentes: Colubridae) based on morphological and molecular data</t>
  </si>
  <si>
    <t>Based on morphological characteristics, two subspecies of the Transcaucasian rat snake (Zamenis hohenackeri) are currently recognized, namely Z. h. tauricus and Z. h. hohenackeri. Both subspecies are repeatedly considered to be conspecific colour morphs, or have even been confused with Z. situla. Although, few studies involved the Transcaucasian rat snake in a phylogenetic approach, none has so far led to any taxonomic changes. We assessed the intraspecific morphological variation and phylogeographic relationships among specimens from different locations across its updated distribution. Our molecular (1191 bp mtDNA, 565 bp nuDNA) and morphological data provide sufficient evidence to support three distinct lineages within the Z. hohenackeri complex with a different arrangement compared to a previous study. These represent the subspecies Z. h. hohenackeri, Z. h. tauricus, and a lineage from southwestern Turkey which is described as a new subspecies. Aspects of historical biogeography and conservation status are briefly discussed.</t>
  </si>
  <si>
    <t>Hofmann, Sylvia/AAO-4802-2021; Hofmann, Sylvia/JRR-9031-2023; GOCMEN, Bayram/A-4120-2008</t>
  </si>
  <si>
    <t>Hofmann, Sylvia/0000-0003-0621-9049;</t>
  </si>
  <si>
    <t>10.11646/zootaxa.4471.1.6</t>
  </si>
  <si>
    <t>WOS:000443458800006</t>
  </si>
  <si>
    <t>Ninnes, CE; Adrion, M; Edelaar, P; Tella, JL; Andersson, S</t>
  </si>
  <si>
    <t>Ninnes, Calum E.; Adrion, Marius; Edelaar, Pim; Tella, Jose L.; Andersson, Staffan</t>
  </si>
  <si>
    <t>A receiver bias for red predates the convergent evolution of red color in widowbirds and bishops</t>
  </si>
  <si>
    <t>In the African widowbirds, icons of sexual selection, bright red plumage colors are agonistic (threat) signals in territorial competition, but in the congeneric bishop birds, color functions remain obscure. In the yellow-crowned bishop, the earliest branching lineage of the genus, an experimentally introduced red color patch gave a competitive advantage over yellow. This indicates agonistic sexual selection for red also in bishops, and that a receiver bias predated the evolution of red coloration in the genus.Preexisting receiver biases are well known and empirically supported alternatives or complements to signal evolution through coevolving mate choice, but largely neglected as drivers of sexually or socially selected agonistic signal evolution. In further pursuit of a recently revealed receiver bias for red agonistic signaling in Euplectes (17 species of widowbirds and bishops), we investigate here its presence in the yellow-crowned bishop (Euplectes afer), a representative of the earliest phylogenetic branch of the genus. In a captive population in southern Spain, where the yellow-crowned bishop is invasive, we staged and filmed 10-min dyadic contests over access to a feeder, between males with experimentally yellow- (control-) and red-painted crown plumage, respectively. Red males secured significantly more time at the feeder, and tended to win more of the limited number of supplant attempts observed. This suggests that the previously demonstrated agonistic signal function of red carotenoid coloration in widowbirds also applies to the bishop birds, and may derive from a receiver bias (aversion) that is substantially older than the convergent gains of red plumage pigmentation in Euplectes, and perhaps also predating the evolution of red in a few other weaverbird (Ploceidae) lineages. Given the similarities in ecology and behavior across Euplectes, the color diversity appears to primarily be a consequence of evolutionary limitations on mechanisms for achieving red coloration.</t>
  </si>
  <si>
    <t>Tella, José L/I-3707-2015; Andersson, Staffan/B-1534-2010; Edelaar, Pim/P-5650-2014; Ninnes, Calum/J-6448-2016</t>
  </si>
  <si>
    <t>Tella, José L/0000-0002-3038-7424; Andersson, Staffan/0000-0003-1474-3596; Edelaar, Pim/0000-0003-4649-6366; Ninnes, Calum/0000-0002-3733-9337</t>
  </si>
  <si>
    <t>10.1093/beheco/arv068</t>
  </si>
  <si>
    <t>WOS:000358171600034</t>
  </si>
  <si>
    <t>Ligon, RA; Butler, MW</t>
  </si>
  <si>
    <t>Ligon, Russell A.; Butler, Michael W.</t>
  </si>
  <si>
    <t>Body mass and immune function, but not bill coloration, predict dominance in female mallards</t>
  </si>
  <si>
    <t>Competition over indivisible resources is common and often costly. Therefore, selection should favor strategies, including efficient communication, that minimize unnecessary costs associated with such competition. For example, signaling enables competitors to avoid engaging in costly asymmetrical contests. Recently, bill coloration has been identified as an information-rich signal used by some birds to mediate aggressive interactions and we evaluated this possibility in female mallards Anas platyrhynchos. Specifically, we conducted two rounds of competitive interactions among groups of unfamiliar adult female ducks. By recording all aggressive behaviors exhibited by each individual, as well as the identity of attack recipients, we were able to assign dominance scores and evaluate links between numerous physiological, morphological, and experimental variables that we predicted would influence contest outcome and dominance. Contrary to our predictions, dominance was not linked to any aspect of bill coloration, access to dietary carotenoids during development, two of three measures of immune function, or ovarian follicle maturation. Instead, heavier birds were more dominant, as were those with reduced immune system responses to an experimentally administered external immunostimulant, phytohemagglutinin. These results suggest that visual signals are less useful during the establishment of dominance hierarchies within multi-individual scramble competitions, and that immune function is correlated with contest strategies in competitions for access to limited resources. (C) 2016 Elsevier B.V. All rights reserved.</t>
  </si>
  <si>
    <t>; Ligon, Russell/M-1233-2013</t>
  </si>
  <si>
    <t>Butler, Michael/0000-0002-8390-2960; Ligon, Russell/0000-0002-0195-8275</t>
  </si>
  <si>
    <t>10.1016/j.beproc.2016.08.010</t>
  </si>
  <si>
    <t>WOS:000384383500009</t>
  </si>
  <si>
    <t>Polaciková, L; Honza, M; Procházka, P; Topercer, J; Stokke, BG</t>
  </si>
  <si>
    <t>Polacikova, Lenka; Honza, Marcel; Prochazka, Petr; Topercer, Jan; Stokke, Bard G.</t>
  </si>
  <si>
    <t>Colour characteristics of the blunt egg pole:: cues for recognition of parasitic eggs as revealed by reflectance spectrophotometry</t>
  </si>
  <si>
    <t>Variation in appearance of parasitic and host eggs is an essential trait in the coevolutionary struggle between a brood parasite and its host. Here we examined the role of colour characteristics in the egg recognition in blackcaps, Sylvia atricapilla, assessed by ( 1) human vision and ( 2) spectrophotometry, including UV wavelengths. Since colour and spotting pattern within eggs are often highly variable, we also assessed three different parts of blackcap eggshell separately. We investigated the possibility that a lower intraclutch variation in the parasitized clutch would positively affect egg recognition. In addition, we predicted that egg rejection would depend on contrast between host and parasitic eggs. However, we found that neither intraclutch variation nor mimicry if assessed by humans had significant effect on host rejection. Multivariate analyses of spectrophotometric data revealed, however, that the likelihood of egg rejection significantly increased with decreasing intraclutch variation in blue chroma. Furthermore, probability of egg rejection significantly increased with decreasing contrast between parasitic and host eggs in UV wavelengths and with decreasing brightness of host eggs at the blunt egg pole. Accepted foreign eggs were significantly darker at the blunt pole than acceptors' own eggs. The paradox that rejected eggs had lower contrast could be explained by the fact that the contrast in UV spectra is associated with brightness of the blunt egg part. Our data suggest that colour characteristics of the blunt egg part may play a major role in the recognition of parasitic eggs in the blackcaps. (C) 2007 The Association for the Study of Animal Behaviour. Published by Elsevier Ltd. All rights reserved.</t>
  </si>
  <si>
    <t>Procházka, Petr/A-9727-2008; Polacikova, Lenka/G-1109-2014; Honza, Marcel/A-1123-2011</t>
  </si>
  <si>
    <t>10.1016/j.anbehav.2006.10.023</t>
  </si>
  <si>
    <t>WOS:000250180700008</t>
  </si>
  <si>
    <t>WICKLER, W; SONNENSCHEIN, E</t>
  </si>
  <si>
    <t>ONTOGENY OF SONG IN CAPTIVE DUET-SINGING SLATE-COLORED BOUBOUS (LANIARIUS-FUNEBRIS) - A STUDY IN BIRDSONG EPIGENESIS</t>
  </si>
  <si>
    <t>Ontogeny of song was studied in 11 L. funebris reared in captivity under different learning regimes. Song types usually were learned from conspecific tutors: Males learned from male, females from female tutors. In exceptional situations song types may be learnt from the other sex, proving an ability to produce song of both sexes. Birds reared without tutors nevertheless produced some species-typical song in generalized form, suggesting an innate predisposition for these vocalizations. Once established during the first 6-8 months of life, individual repertoires remained unchanged for years. Pair mates regularly dueted. Neither random pairings nor mate exchanges revealed repertoire alteration in mates. Neither misdeveloped nor reduced song repertoires hampered successful breeding in captivity.</t>
  </si>
  <si>
    <t>1-4</t>
  </si>
  <si>
    <t>10.1163/156853989X00673</t>
  </si>
  <si>
    <t>WOS:A1989CT62800014</t>
  </si>
  <si>
    <t>Morimoto, G; Yamaguchi, N; Ueda, K</t>
  </si>
  <si>
    <t>Morimoto, Gen; Yamaguchi, Noriyuki; Ueda, Keisuke</t>
  </si>
  <si>
    <t>Plumage color as a status signal in male-male interaction in the red-flanked bushrobin, Tarsiger cyanurus</t>
  </si>
  <si>
    <t>Recent studies have suggested that structural based coloration is an honest signal of male genetic and/or conditional quality in sexual selection. However, whether structural coloration functions in intrasexual competition is unknown. We examined whether plumage color functions as a status signal during intrasexual interactions in the red-flanked bushrobin Tarsiger cyanurus; adult males have many blue plumes as structural coloration whereas yearling males and females are olive brown with few blue plumages. Blue males did not always dominate olive-brown males. The number of interactions did not differ with the colors of the two birds involved. The interactions of a blue male and an olive-brown male were less aggressive than those of two blue or of two olive-brown males. In this study, we found that structural plumage coloration may serve as a signal of aggressive intent and lower the escalation level of an aggressive interaction in a manner consistent with hypotheses regarding the evolution of delayed plumage maturation.</t>
  </si>
  <si>
    <t>Ueda, Keisuke/R-2649-2018</t>
  </si>
  <si>
    <t>10.1007/s10164-005-0187-x</t>
  </si>
  <si>
    <t>WOS:000239427700009</t>
  </si>
  <si>
    <t>Rodriguez-Barreto, D; Rey, O; Uren-Webster, TM; Castaldo, G; Consuegra, S; de Leaniz, CG</t>
  </si>
  <si>
    <t>Rodriguez-Barreto, Deiene; Rey, Olivier; Uren-Webster, Tamsyn M.; Castaldo, Giovanni; Consuegra, Sonia; de Leaniz, Carlos Garcia</t>
  </si>
  <si>
    <t>Transcriptomic response to aquaculture intensification in Nile tilapia</t>
  </si>
  <si>
    <t>EVOLUTIONARY APPLICATIONS</t>
  </si>
  <si>
    <t>To meet future global demand for fish protein, more fish will need to be farmed using fewer resources, and this will require the selection of nonaggressive individuals that perform well at high densities. Yet, the genetic changes underlying loss of aggression and adaptation to crowding during aquaculture intensification are largely unknown. We examined the transcriptomic response to aggression and crowding in Nile tilapia, one of the oldest and most widespread farmed fish, whose social structure shifts from social hierarchies to shoaling with increasing density. A mirror test was used to quantify aggression and skin darkening (a proxy for stress) of fish reared at low and high densities, and gene expression in the hypothalamus was analysed among the most and least aggressive fish at each density. Fish reared at high density were darker, had larger brains, were less active and less aggressive than those reared at low density and had differentially expressed genes consistent with a reactive stress-coping style and activation of the hypothalamus-pituitary-interrenal (HPI) axis. Differences in gene expression among aggressive fish were accounted for by density and the interaction between density and aggression levels, whereas for nonaggressive fish differences in gene expression were associated with individual variation in skin brightness and social stress. Thus, the response to crowding in Nile tilapia is context dependent and involves different neuroendocrine pathways, depending on social status. Knowledge of genes associated with the response to crowding may pave the way for more efficient fish domestication, based on the selection of nonaggressive individuals with increasing tolerance to chronic stress necessary for aquaculture intensification.</t>
  </si>
  <si>
    <t>Barreto, Deiene Rodriguez/X-2965-2019; Rey, olivier/R-5453-2016; Consuegra, Sofia/G-1788-2010</t>
  </si>
  <si>
    <t>Barreto, Deiene Rodriguez/0000-0003-2124-4488; Castaldo, Giovanni/0000-0002-4279-7316; Rey, olivier/0000-0003-3699-7204; Consuegra, Sofia/0000-0003-4403-2509; Uren Webster, Tamsyn/0000-0002-0072-9745; Garcia de Leaniz, Carlos/0000-0003-1650-2729</t>
  </si>
  <si>
    <t>1752-4571</t>
  </si>
  <si>
    <t>10.1111/eva.12830</t>
  </si>
  <si>
    <t>JUL 2019</t>
  </si>
  <si>
    <t>WOS:000476434800001</t>
  </si>
  <si>
    <t>Roulin, A; Müller, W; Sasvári, L; Dijkstra, C; Ducrest, AL; Riols, C; Wink, M; Lubjuhn, T</t>
  </si>
  <si>
    <t>Extra-pair paternity, testes size and testosterone level in relation to colour polymorphism in the barn owl Tyto alba</t>
  </si>
  <si>
    <t>In many bird populations, individuals display one of several genetically inherited colour morphs. Colour polymorphism can be maintained by several mechanisms one of which being frequency-dependent selection with colour morphs signalling alternative mating strategies. One morph may be dominant and territorial, and another one adopt a sneaky behaviour to gain access to fertile females. We tested this hypothesis in the barn owl Tyto alba in which coloration varies from reddish-brown to white. This trait is heritable and neither sensitive to the environment in which individuals live nor to body condition. In Switzerland, reddish-brown males were observed to feed their brood at a higher rate and to produce more offspring than white males. This observation lead us to hypothesize that white males may equalise fitness by investing more effort in extra-pair copulations. This hypothesis predicts that lighter Coloured males produce more extra-pair young, have larger testes and higher levels of circulating testosterone. However, our results are not consistent with these three predictions. First, paternity analyses of 54 broods with a total of 211 offspring revealed that only one young was not sired by the male that was feeding it. Second, testes size was not correlated with male plumage coloration suggesting that white males are not sexually more active. Finally, in nestlings at the time of feather growth testosterone level was not related to plumage coloration suggesting that this androgen is not required for the expression of this plumage trait. Our study therefore indicates that in the barn owl colour polymorphism plays no role in the probability of producing extra-pair young.</t>
  </si>
  <si>
    <t>Wink, Michael J./E-3803-2012; Dijkstra, Cor/D-5876-2011</t>
  </si>
  <si>
    <t>Wink, Michael J./0000-0002-7875-4510; Muller, Wendt/0000-0001-7273-4095; Dijkstra, Cor/0000-0002-7042-8083</t>
  </si>
  <si>
    <t>10.1111/j.0908-8857.2004.03294.x</t>
  </si>
  <si>
    <t>WOS:000225224600007</t>
  </si>
  <si>
    <t>The English Cocker Spaniel: Preliminary findings on aggressive behaviour</t>
  </si>
  <si>
    <t>Two thousand questionnaires were distributed randomly via the Kennel Club (UK) to owners of purebred English Cocker Spaniels (ECSs). Owners were asked to give details about the ECSs they owned: age, sex, neuter status, coat colour. They were also asked to indicate whether their dog showed aggression (on a 1-5 scale; 1, never or almost never, 5, always or almost always) in any of 13 situations. These were: aggression towards strange dogs (Al), towards strangers approaching the dog (A2), towards persons approaching/visiting the home (A3), towards persons approaching the owner away from home (A4), towards children in the household (A5), towards other dogs in the household (A6), when the owner gives attention to other person or animal (A7), toward owner or member of owner's family (A8), when disciplined (A9), when reached for or handled (A10), when in restricted spaces (A11), at meal times/defending food (A12) and, suddenly and without apparent reason (A13). A total of 1008 (50.4%) replies was received, of which 932 (owning 1109 dogs) were suitable for analysis. Solid colour ECSs were significantly more likely to show aggression than particolours in 12 out of the 13 situations (A2-A13) and red/goldens were more likely to show aggression than blacks in situations A1, A4, A5 and A7-A13 inclusive. Males were significantly more likely to show aggression than females in situations A1, A8, A9 and A10 while females were significantly more likely to show aggression towards other dogs in the household (A6). When comparing ECSs which had been neutered before signs of aggression were apparent, with entires, neutered females were found more likely to show aggression towards children in the household (A5), Cluster analysis revealed six groups of associated variables; these were labelled, 'protective (of itself and owner)', 'protective (of territory)', 'intraspecific (unfamiliar dogs)', 'competitive', 'possessive', and 'dominance-type' aggression. Most dogs showed 'protective (of territory)' aggression (45.7%) while 'dominance-type' aggression was the least common (11.7%). The results suggest a genetic and neuroendocrine basis for the within-breed differences in aggression. Neutering was not found to be useful as a preventative measure for aggression. From the cluster analysis, there was some evidence that so-called 'rage' syndrome, a condition often reported in the breed and one which is characterised by sudden and unpredictable aggression, is an expression of social dominance, rather than being a separate or pathological phenomenon. Follow-up projects are now underway and it is hoped they will lead to a better understanding of all types of canine aggression, and provide an answer as to whether or not 'rage' truly exists as a distinct phenomenon.</t>
  </si>
  <si>
    <t>10.1016/0168-1591(95)01012-2</t>
  </si>
  <si>
    <t>WOS:A1996UR65000008</t>
  </si>
  <si>
    <t>Backström, T; Heynen, M; Brännäs, E; Nilsson, J; Magnhagen, C</t>
  </si>
  <si>
    <t>Backstrom, Tobias; Heynen, Martina; Brannas, Eva; Nilsson, Jan; Magnhagen, Carin</t>
  </si>
  <si>
    <t>Dominance and stress signalling of carotenoid pigmentation in Arctic charr (Salvelinus alpinus): Lateralization effects?</t>
  </si>
  <si>
    <t>Social conflicts are usually solved by agonistic interactions where animals use cues to signal dominance or subordinance. Pigmentation change is a common cue used for signalling. In our study, the involvement of carotenoid-based pigmentation in signalling was investigated in juvenile Arctic charr (Salvelinus alpinus). Size-matched pairs were analysed for pigmentation both before and after being tested for competitive ability. We found that dominant individuals had fewer carotenoid-based spots on the right and left sides as well as lower plasma cortisol levels compared to subordinate individuals. Further, the number of spots on both sides was positively associated with plasma cortisol levels. These results indicate that carotenoid-based pigmentation in Arctic charr signals dominance and stress coping style. Further, it also appears as if carotenoid-based pigmentation is lateralized in Arctic charr, and that the right side signals aggression and dominance whereas the left side signals stress responsiveness. (C) 2014 Elsevier Inc. All rights reserved.</t>
  </si>
  <si>
    <t>Magnhagen, Carin/ABA-4968-2021</t>
  </si>
  <si>
    <t>Backstrom, Tobias/0000-0003-1984-9533</t>
  </si>
  <si>
    <t>10.1016/j.physbeh.2014.10.003</t>
  </si>
  <si>
    <t>WOS:000348882900007</t>
  </si>
  <si>
    <t>Müller, JC; Schramm, S; Seitz, A</t>
  </si>
  <si>
    <t>Genetic and morphological differentiation of Dikerogammarus invaders and their invasion history in Central Europe</t>
  </si>
  <si>
    <t>FRESHWATER BIOLOGY</t>
  </si>
  <si>
    <t>1. Biological invasions often involve close taxonomic relatives either as native invader pairs or as invader invader pairs. Precise identification and differentiation of species is therefore of paramount importance to reconstruct the invasion history. Genetic studies are indispensable in the case of morphologically conservative taxonomic groups. 2. We analysed the Pontocaspian freshwater amphipods Dikerogammarus that have successfully invaded the benthos of large Central European rivers. Taxonomic uncertainties were clarified by phylogenetic analyses of mitochondrial 16S and COI genes. The three-way partitioning of allozyme genotypes in a syntopic population further corroborated the taxonomic status of the three species Dikerogammarus haemobaphes, D. villosus and D. bispinosus. Dikerogammarus bispinosus had been prior misidentified as a subspecies of D. villosus. The conspicuous colour types of D. villosus, however, appeared to be conspecific. 3. The genetic identification of the previously more abundant D. haemobaphes individuals in old samples supported the 'successive invasion wave' hypothesis with D. haemobaphes as the first invader displaced by the second invader D. villosus. Dikerogammarus bispinosus could be a potential future invader. 4. Haplotype differentiation was apparent between two invasion lines of D. haemobaphes, but the occurrence of a single widespread haplotype indicates genetic impoverishment during rapid colonisation.</t>
  </si>
  <si>
    <t>0046-5070</t>
  </si>
  <si>
    <t>1365-2427</t>
  </si>
  <si>
    <t>10.1046/j.1365-2427.2002.00944.x</t>
  </si>
  <si>
    <t>WOS:000178848300001</t>
  </si>
  <si>
    <t>Guillermo-Ferreira, R; Therézio, EM; Gehlen, MH; Bispo, PC; Marletta, A</t>
  </si>
  <si>
    <t>Guillermo-Ferreira, Rhainer; Therezio, Eralci M.; Gehlen, Marcelo H.; Bispo, Pitagoras C.; Marletta, Alexandre</t>
  </si>
  <si>
    <t>The Role of Wing Pigmentation, UV and Fluorescence as Signals in a Neotropical Damselfly</t>
  </si>
  <si>
    <t>Pigmentation patterns, ultraviolet reflection and fluorescent emission are often involved in mate recognition and mate quality functions in many animal taxa. We investigated the role of wing ultra-violet reflection, fluorescence emission, and pigmentation on age and sexual signals in the damselfly Mnesarete pudica. In this species, wings are sexually dimorphic in colour and exhibit age dependency: males and females show a smoky black colouration when young, turning red in mature males while it turns brown in females. First, we investigated wing UV patterns through reflectance and emission spectra. Second, behavioural experiments were undertaken to show male and female responses to manipulated wing pigmentation and experimentally reduced UV (UV-). Reflectance spectra of the wings of juvenile and mature males and females were used to show the differences between controls and individuals with manipulated colouration used in the behavioural experiment. UV-reduced, females with wings painted red, and control males and females were tethered and presented to conspecific males and females, and their behavioral responses were recorded. The male red wing pigmentation and females with red wings elicited an aggressive response in territorial males and a sexual response in females. Both males and females showed neutral responses towards individuals with reduced UV. Wing signals of juvenile individuals also provoked neutral responses. These results suggest that UV, together with pigmentation, plays a role during mate recognition in males and females. Other than butterflies and spiders, it seems that fluorescence signals and UV reflectance can also be part of communication in odonates.</t>
  </si>
  <si>
    <t>Bispo, Pitágoras C./F-3167-2012; Marletta, Alexandre/P-7655-2019; Ferreira, Rhainer Guillermo/ABH-2294-2021; Therézio, Eralci Moreira/G-1190-2012; Guillermo-Ferreira, Rhainer/A-7119-2013; Gehlen, Marcelo H/I-7311-2013; Ferreira, Rhainer Guillermo/HPH-1939-2023</t>
  </si>
  <si>
    <t>Marletta, Alexandre/0000-0003-1297-6839; Ferreira, Rhainer Guillermo/0000-0001-7774-5252; Therézio, Eralci Moreira/0000-0003-3974-849X; Gehlen, Marcelo H/0000-0001-9698-8284; Ferreira, Rhainer Guillermo/0000-0001-7774-5252; /0000-0002-7356-8882</t>
  </si>
  <si>
    <t>10.1007/s10905-013-9406-4</t>
  </si>
  <si>
    <t>WOS:000329237700006</t>
  </si>
  <si>
    <t>Horth, L; Campbell, L; Bray, R</t>
  </si>
  <si>
    <t>Horth, Lisa; Campbell, Laura; Bray, Rebecca</t>
  </si>
  <si>
    <t>Wild bees preferentially visit Rudbeckia flower heads with exaggerated ultraviolet absorbing floral guides</t>
  </si>
  <si>
    <t>Here, we report on the results of an experimental study that assessed the visitation frequency of wild bees to conspecific flowers with different sized floral guides. UV absorbent floral guides are ubiquitous in Angiosperms, yet surprisingly little is known about conspecific variation in these guides and very few studies have evaluated pollinator response to UV guide manipulation. This is true despite our rich understanding about learning and color preferences in bees. Historical dogma indicates that flower color serves as an important long-range visual signal allowing pollinators to detect the flowers, while floral guides function as close-range signals that direct pollinators to a reward. We initiated the work presented here by first assessing the population level variation in UV absorbent floral guides for conspecific flowers. We assessed two species, Rudbeckia hirta and R. fulgida. We then used several petal cut-andpaste experiments to test whether UV floral guides can also function to attract visitors. We manipulated floral guide size and evaluated visitation frequency. In all experiments, pollinator visitation rates were clearly associated with floral guide size. Diminished floral guides recruited relatively few insect visitors. Exaggerated floral guides recruited more visitors than smaller or average sized guides. Thus, UV floral guides play an important role in pollinator recruitment and in determining the relative attractiveness of conspecific flower heads. Consideration of floral guides is therefore important when evaluating the overall conspicuousness of flower heads relative to background coloration. This work raises the issue of whether floral guides serve as honest indicators of reward, since guide size varies in nature for conspecific flowers at the same developmental stage and since preferences for larger guides were found. To our knowledge, these are the first cut-andpaste experiments conducted to examine whether UV absorbent floral guides affect visitation rates and pollinator preference.</t>
  </si>
  <si>
    <t>MAR 15</t>
  </si>
  <si>
    <t>10.1242/bio.20146445</t>
  </si>
  <si>
    <t>WOS:000348066100005</t>
  </si>
  <si>
    <t>Martin, M; Meylan, S; Haussy, C; Decencière, B; Perret, S; Le Galliard, JF</t>
  </si>
  <si>
    <t>Martin, Melissa; Meylan, Sandrine; Haussy, Claudy; Decenciere, Beatriz; Perret, Samuel; Le Galliard, Jean-Francois</t>
  </si>
  <si>
    <t>UV color determines the issue of conflicts but does not covary with individual quality in a lizard</t>
  </si>
  <si>
    <t>Ultraviolet (UV) colors are visual signals potentially involved in territorial conflicts. However, the role of UV signals remains unclear relative to the prior resident effect and familiarity with the opponent, and the reliability of UV signals is still controversial. Male common lizards Zootoca vivipara exhibit substantial variation in the reflectance of their throat UV color patch. We tested whether UV reflectance was correlated with indicators of individual condition. We further manipulated throat UV reflectance of resident and intruder lizards and staged repeated encounters in the laboratory during the mating season. We found no evidence of condition dependence of the UV colors expression. During the first encounter among unfamiliar males, a reduction of UV reflectance of 1 of the 2 opponents influenced agonistic behaviors and the contest outcome, such that there was a significant advantage for residents over intruders. This advantage disappeared when both opponents were UV reduced. During the subsequent encounters among familiar males, fighting was more aggressive when opponents displayed similar UV signals, but UV signals did not influence the contest outcome. These results demonstrate that UV reflectance acted as a badge of status in male common lizards whose effects on the behavioral response were modulated, but not overridden, by the prior resident effect and by the familiarity effect. Male-male interactions are therefore mediated by UV signaling and competition for mates should play a major role in the evolutionary maintenance of this ornament. We discuss putative functions and reliability of UV signals.</t>
  </si>
  <si>
    <t>sandrine, MEYLAN/AAD-3073-2020; meylan, sandrine/JSL-2480-2023; Le Galliard, Jean-François/E-8702-2011</t>
  </si>
  <si>
    <t>sandrine, MEYLAN/0000-0002-0865-3335; Le Galliard, Jean-François/0000-0002-5965-9868; Decenciere, Beatriz/0000-0002-2847-7631</t>
  </si>
  <si>
    <t>10.1093/beheco/arv149</t>
  </si>
  <si>
    <t>WOS:000374768300038</t>
  </si>
  <si>
    <t>Cupello, M; Ribeiro-Costa, CS; Vaz-De-Mell, FZ</t>
  </si>
  <si>
    <t>Cupello, Mario; Ribeiro-Costa, Cibele S.; Vaz-De-Mell, Fernando Z.</t>
  </si>
  <si>
    <t>The evolution of Bolbites onitoides (Coleoptera: Scarabaeidae: Phanaeini): its phylogenetic significance, geographical polychromatism and the subspecies problem</t>
  </si>
  <si>
    <t>ZOOLOGICAL JOURNAL OF THE LINNEAN SOCIETY</t>
  </si>
  <si>
    <t>The distribution of the iridescent dung beetle Bolbites onitoides can be divided, based on dorsal colouration, into a blue western-half and a red eastern-half. This has raised the question, in 1959, of whether the two colour variants could represent distinct subspecies. Having examined similar to 1200 specimens and evaluated the proposal under both an ontological and an operational subspecies concept, we conclude that B. onitoides should continue to be treated as a single monotypic species because: (1) two kinds of colour intermediates were found living among populations of the two main variants; (2) the distribution of the variants overlaps; (3) no other characters were seen to vary consistently in accordance with the colour variants; (4) the overall geographical pattern can be explained by phenomena other than (incipient) speciation, such as phenotypic plasticity and distinct selective regimes; and (5) colour has been extensively shown not to be a reliable indicator of speciation processes among dung beetles. By comparing our findings with other cases of polychromatism among scarabaeines, we discuss publications proposing subspecies taxa relying uniquely upon colour variants. We contend that, due to the often continuous, populational, polytopic and, several times, clinal nature of the intraspecific geographical variation, subspecies classification schemes should not be established simply to classify variation across a species range without a commitment to the reality as evolutionary entities of the taxa being proposed. The alternative stance championed by many contemporary authors to give trinomina to conspecific (meta)population lineages, in turn, may eventually prove to be adequate, but we express some of our concerns as to the feasibility of this practice. Whether these intraspecific taxa should be ranked in a Linnaean hierarchy - e.g. as subspecies - is equally an open question. We also elaborate on an evolutionary scenario where the role of the iridescence in sexual selection, as hypothesized in a previous work, may be an exaptation, not an adaptation, among the horned Phanaeina.</t>
  </si>
  <si>
    <t>Ribeiro-Costa, Cibele/C-1074-2013</t>
  </si>
  <si>
    <t>Ribeiro-Costa, Cibele/0000-0001-6527-6460</t>
  </si>
  <si>
    <t>0024-4082</t>
  </si>
  <si>
    <t>1096-3642</t>
  </si>
  <si>
    <t>2021 JUL 12</t>
  </si>
  <si>
    <t>zlab015</t>
  </si>
  <si>
    <t>10.1093/zoolinnean/zlab015</t>
  </si>
  <si>
    <t>JUL 2021</t>
  </si>
  <si>
    <t>WOS:000764722000001</t>
  </si>
  <si>
    <t>Cupello, M; Ribeiro-Costa, CS; Vaz-De-Mello, FZ</t>
  </si>
  <si>
    <t>Cupello, Mario; Ribeiro-Costa, Cibele S.; Vaz-De-Mello, Fernando Z.</t>
  </si>
  <si>
    <t>The distribution of the iridescent dung beetle Bolbites onitoides can be divided, based on dorsal colouration, into a blue western-half and a red eastern-half. This has raised the question, in 1959, of whether the two colour variants could represent distinct subspecies. Having examined similar to 1200 specimens and evaluated the proposal under both an ontological and an operational subspecies concept, we conclude that IL onitoides should continue to be treated as a single monotypic species because: (1) two kinds of colour intermediates were found living among populations of the two main variants; (2) the distribution of the variants overlaps; (3) no other characters were seen to vary consistently in accordance with the colour variants; (4) the overall geographical pattern can be explained by phenomena other than (incipient) speciation, such as phenotypic plasticity and distinct selective regimes; and (5) colour has been extensively shown not to be a reliable indicator of speciation processes among dung beetles. By comparing our findings with other cases of polychromatism among scarabaeines, we discuss publications proposing subspecies taxa relying uniquely upon colour variants. We contend that, due to the often continuous, populational, polytopic and, several times, clinal nature of the intraspecific geographical variation, subspecies classification schemes should not be established simply to classify variation across a species range without a commitment to the reality as evolutionary entities of the taxa being proposed. The alternative stance championed by many contemporary authors to give trinomina to conspecific (meta)population lineages, in turn, may eventually prove to be adequate, but we express some of our concerns as to the feasibility of this practice. Whether these intraspecific taxa should be ranked in a Linnaean hierarchy - e.g. as subspecies - is equally an open question. We also elaborate on an evolutionary scenario where the role of the iridescence in sexual selection, as hypothesized in a previous work, may be an exaptation, not an adaptation, among the horned Phanaeina.</t>
  </si>
  <si>
    <t>Ribeiro-Costa, Cibele/C-1074-2013; Vaz-de-Mello, Fernando Zagury/A-1023-2009</t>
  </si>
  <si>
    <t>Ribeiro-Costa, Cibele/0000-0001-6527-6460; Vaz-de-Mello, Fernando Zagury/0000-0001-9697-320X</t>
  </si>
  <si>
    <t>MAR 8</t>
  </si>
  <si>
    <t>WOS:000766308500011</t>
  </si>
  <si>
    <t>Torres-Dowdall, J; Golcher-Benavides, J; Machado-Schiaffino, G; Meyer, A</t>
  </si>
  <si>
    <t>Torres-Dowdall, Julian; Golcher-Benavides, Jimena; Machado-Schiaffino, Gonzalo; Meyer, Axel</t>
  </si>
  <si>
    <t>The role of rare morph advantage and conspicuousness in the stable gold-dark colour polymorphism of a crater lake Midas cichlid fish</t>
  </si>
  <si>
    <t>1. Genetically based stable colour polymorphisms provide a unique opportunity to study the evolutionary processes that preserve genetic variability in the wild. Different mechanisms are proposed to promote the stability of polymorphisms, but only few empirical examples have been documented, resulting in an incomplete understanding of these mechanisms. 2. A remarkable genetically determined stable colour polymorphism is found in the Nicaraguan Midas cichlid species complex (Amphilophus cf. citrinellus). All Midas cichlids start their life with a dark-grey coloration (dark morph), but individuals carrying the dominant gold allele (c. 10%) lose their melanophores later in life, revealing the underlying orange coloration (gold morph). How this polymorphism is maintained remains unclear. Two main hypotheses have been proposed, both suggesting differential predation upon colour morphs as the proximate mechanism. One predicts that the conspicuous gold morph is more likely to be preyed upon, but this disadvantage is balanced by their competitive dominance over the dark morph. The second hypothesis suggests a rare morph advantage where the rarer gold morph experiences less predation. Empirical evidence for either of these mechanisms is still circumstantial and inconclusive. 3. We conducted two field experiments in a Nicaraguan crater lake using wax models simulating both morphs to determine predation pressure upon Midas cichlid colour morphs. First, we tested the interaction of coloration and depth on attack rate. Second, we tested the interaction of fish size and coloration. We contrasted the pattern of attacks from these experiments to the predicted predation patterns from the hypotheses proposed to explain the colour polymorphism's stability. 4. Large models imitating colour morphs were attacked at similar rates irrespectively of their position in the water column. Yet, attacks upon small models resembling juveniles were directed mainly towards dark models. This resulted in a significant size-by-colour interaction. 5. We suggest that gold Midas cichlids experience a rare morph advantage as juveniles when individuals of this morph are extremely uncommon. But this effect is reduced or disappears among adults, where gold individuals are relatively more common. Thus, the interaction of rare morph advantage and conspicuousness, rather than either of those factors alone, is a likely mechanism resulting in the stability of the colour polymorphism in Midas cichlids.</t>
  </si>
  <si>
    <t>Meyer, Axel/C-9826-2009; Machado-Schiaffino, Gonzalo/AAE-3114-2020</t>
  </si>
  <si>
    <t>Meyer, Axel/0000-0002-0888-8193; Machado-Schiaffino, Gonzalo/0000-0002-4049-3247; Torres-Dowdall, Julian/0000-0003-2729-6246</t>
  </si>
  <si>
    <t>10.1111/1365-2656.12693</t>
  </si>
  <si>
    <t>WOS:000407320500007</t>
  </si>
  <si>
    <t>Scali, S; Sacchi, R; Falaschi, M; Coladonato, AJ; Pozzi, S; Zuffi, MAL; Mangiacotti, M</t>
  </si>
  <si>
    <t>Scali, Stefano; Sacchi, Roberto; Falaschi, Mattia; Coladonato, Alan J.; Pozzi, Sara; Zuffi, Marco A. L.; Mangiacotti, Marco</t>
  </si>
  <si>
    <t>Mirrored images but not silicone models trigger aggressive responses in male Common wall lizards</t>
  </si>
  <si>
    <t>ACTA HERPETOLOGICA</t>
  </si>
  <si>
    <t>Disentangling the effects of single releasers in animal communication is a demanding task because a releaser often consists of a combination of different key stimuli. Territorial communication in reptiles usually depends on visual, chemical, and acoustic stimuli, but the role of each of them depends on phylogeny. Lacertids are modern lizards that rely mainly on chemical cues for their communication, but they also use aggressive displays based on visual recognition. We experimentally tested the visual stimuli that release an aggressive response in the males of a typical lacertid, the common wall lizard (Podarcis muralis), testing the effects of silicone models and mirrored images in captivity. The response to models and control (a blank sheet) was not significantly different and these stimuli did not release any aggressive behaviour. On the contrary, the reflected image in a mirror caused overt aggression (i.e., bites against it) in 63% of tested individuals. The results clearly demonstrate the role of visual stimuli in territorial communication, but only as a combined effect of shape and motion, differently from other lizard families for which shape is enough to stimulate aggressive responses. Mirrors can be useful tools to investigate aggression related to physiological and morphological aspects in lacertid lizards.</t>
  </si>
  <si>
    <t>Falaschi, Mattia/0000-0002-4511-4816; Mangiacotti, Marco/0000-0001-7144-3851; SACCHI, ROBERTO/0000-0002-6199-0074</t>
  </si>
  <si>
    <t>1827-9635</t>
  </si>
  <si>
    <t>1827-9643</t>
  </si>
  <si>
    <t>10.13128/Acta_Herpetol-24651</t>
  </si>
  <si>
    <t>WOS:000482630700005</t>
  </si>
  <si>
    <t>WATANABE, S; ITO, Y</t>
  </si>
  <si>
    <t>DISCRIMINATION OF INDIVIDUALS IN PIGEONS</t>
  </si>
  <si>
    <t>BIRD BEHAVIOUR</t>
  </si>
  <si>
    <t>Pigeons Columba livia were trained in an operant chamber with food reinforcement to discriminate between colour slides of faces of two Pigeons. The Pigeons could identify those individuals that were easily identified by human observers, but had difficulty with those found difficult for humans. Results of the chimera test of mixed figures of two birds suggested that there is no single cue for individual recognition in this species. The absence of responses to slides of randomly scrambled parts of the stimulus bird indicated that the test birds saw the slides of conspecifics as representatives of real birds.</t>
  </si>
  <si>
    <t>0156-1383</t>
  </si>
  <si>
    <t>10.3727/015613890791749136</t>
  </si>
  <si>
    <t>WOS:A1991HW66600004</t>
  </si>
  <si>
    <t>Macedonia, JM; Clark, DL; Brown, ZN; Gensterblum, S; McNabb, L; Myrberg, AB; Myrberg, BD; Petroche, MF; Karson, A</t>
  </si>
  <si>
    <t>Macedonia, Joseph M.; Clark, David L.; Brown, Z. Nicholas; Gensterblum, Sara; McNabb, Lauren; Myrberg, Ashley B.; Myrberg, Brooke D.; Petroche, Maria F.; Karson, Adam</t>
  </si>
  <si>
    <t>Responses of Anolis grahami Males to Manipulations of Species Identity and Components of Displays in Lizard Robots</t>
  </si>
  <si>
    <t>Many animal species use stereotyped displays to attract the opposite sex and to intimidate same-sexed rivals. Research aimed at understanding display recognition, function, and usage can be aided through the use of animal robots that allow one side of signaler-receiver interactions to be controlled. Manipulation of displays in ways that do not occur in nature has the potential to determine the boundaries of display recognition, as well as to provide insights into the manner in which animal display contests are structured. We describe two experiments that extend previous work on display recognition in the lizard Anolis grahami. In the first experiment, we used robots to determine the relative importance of body coloration and headbob display structure for species recognition. The results showed that subjects responded more strongly to robots having both conspecific appearance and display structure than to robots that deviated in those characteristics from the conspecific stimulus. In the second experiment, we explored the effect of removing display components on subjects' responses, where subjects witnessed a conspecific robot exhibiting a typical display (headbobs followed by dewlap pulses), or a deficient display consisting only of headbobs or dewlap pulses. Contrary to expectation, subjects in the headbobs-only treatment spent more time headbobbing than dewlapping in response; whereas, those in the dewlap-only treatment spent more time dewlapping than headbobbing. Interactive robots could be used in future investigations of the functions of different display components, as well as to examine the rules by which lizard display contests are conducted in nature.</t>
  </si>
  <si>
    <t>10.1655/HERPETOLOGICA-D-14-00044</t>
  </si>
  <si>
    <t>WOS:000357733800005</t>
  </si>
  <si>
    <t>Aispuro, AA; Canoine, V; Illa, M; Fusani, L; Maggini, I</t>
  </si>
  <si>
    <t>Aispuro, Armando Alberto; Canoine, Virginie; Illa, Marc; Fusani, Leonida; Maggini, Ivan</t>
  </si>
  <si>
    <t>Stopover territoriality in songbirds crossing the Sahara: aggression and energetics during migration</t>
  </si>
  <si>
    <t>Stopover territoriality, i.e., the defense and broadcast of an ephemeral home range during avian migration, is rare or perhaps overlooked. However, settling on a territory may allow for easier access to resources and therefore promote faster refueling despite the added costs of territory defense. We examined the occurrence of stopover territoriality and its relationship to body condition and refueling rates. We color-ringed Western Subalpine Warblers (Curruca iberiae) mapped their home ranges and measured associated habitat characteristics during a spring stopover in the Sahara. We simulated territory intrusions via song playback to quantify territorial behavior. Males aggressively defended and broadcasted their stopover territories in response to intruders. Initial body condition in males was negatively related to home range vegetation density, suggesting that males in higher condition are selective for certain territory features. Low vegetation density does not support habitat selection for foraging, but perhaps does support social monitoring or predator vigilance as its functions. Fuel deposition rates in recaptured males were unrelated to home range habitat characteristics. Female Subalpine Warblers did not use repeated home ranges yet had similar refueling rates, body conditions, and stopover durations as territorial males. Therefore, while stopover territories were selected based on body condition, territory characteristics did not influence refueling rates. Subalpine Warblers expressed reduced migratory characteristics, making prolonged stopovers of up to 27 days with low refueling rates but maintaining body condition while defending territories. These results suggest that some individuals are staging for non-energetic reasons, such as pre-breeding preparations, or transitioning between a migratory and a breeding life history stage.Significance statementTerritoriality in birds is commonly associated with breeding activities, less so with the wintering period and rarely with migratory periods. However, territoriality during migration may be energetically beneficial. During a trans-Saharan stopover, male warblers establish and defend temporary territories by singing and engaging in physical defense of home ranges, and those in better condition occupied territories with sparser vegetation. Females were not territorial but refueled at similar rates as males. Stopover territoriality did not increase access to food-rich patches, but perhaps aided in efficient social monitoring and preparations for the approaching breeding season. This is the first detailed documentation of birds defending ephemeral territories during migration, and its potential functions, costs and benefits may inform studies of full-annual cycles and life histories of many migratory species.</t>
  </si>
  <si>
    <t>Canoine, Virginie/AAO-3996-2020</t>
  </si>
  <si>
    <t>Canoine, Virginie/0000-0003-2272-0634; Maggini, Ivan/0000-0002-1528-2288; Aispuro, Armando Alberto/0000-0002-6035-9176</t>
  </si>
  <si>
    <t>10.1007/s00265-023-03336-4</t>
  </si>
  <si>
    <t>WOS:000993946500002</t>
  </si>
  <si>
    <t>Beeching, SC; Gross, SH; Bretz, HS; Hariatis, E</t>
  </si>
  <si>
    <t>Sexual dichromatism in convict cichlids: the ethological significance of female ventral coloration</t>
  </si>
  <si>
    <t>Female convict cichlids, Cichlasoma nigrofasciatum, typically develop orange ventral coloration which males do not. We investigated the behavioural significance of this sexual dichromatism using both live and dummy stimulus fish. In our experiments, males were insensitive to variation in ventral coloration. Females, however, appeared to use this colour pattern as a visual cue. Females directed significantly more behaviour, including aggressive behaviour, towards more brightly coloured stimulus fish, as well as towards dummies with orange ventral coloration compared with those without. Bright females displayed the least aggression towards an intruding female of intermediate coloration. Thus, sexual dichromatism in the convict cichlid is shown to affect intrasexual aggression among females. (C) 1998 The Association for the Study of Animal Behaviour.</t>
  </si>
  <si>
    <t>10.1006/anbe.1998.0868</t>
  </si>
  <si>
    <t>WOS:000076755700025</t>
  </si>
  <si>
    <t>Braithwaite, VA; Barber, I</t>
  </si>
  <si>
    <t>Limitations to colour-based sexual preferences in three-spined sticklebacks (Gasterosteus aculeatus)</t>
  </si>
  <si>
    <t>Female three-spined sticklebacks (Gasterosteus aculeatus) are suggested to select mates based on their red nuptial coloration, males with a redder display being more preferred. Although there are both laboratory and field data to support this view, there are also published accounts where females do not show a preference for the redder male. Here we report the results of a series of 19 trials where receptive gravid female three-spined sticklebacks were allowed to choose between two size-matched rival males. We used photographic and image analysis techniques to quantify male nuptial coloration to investigate how the magnitude of the colour difference between the two alternative males influenced female preferences. Using the amount of time a female spent oriented towards each male as a measure of his attractiveness to her, females were not always found to select the redder of the two presented males. We did, however, find that that the relative difference in coloration of the two males in each pair was important in determining the level of coloration-based preference, with females only selecting redder males consistently when the difference in coloration was sufficiently large.</t>
  </si>
  <si>
    <t>Barber, Iain/IWM-6135-2023</t>
  </si>
  <si>
    <t>Barber, Iain/0000-0003-3955-6674</t>
  </si>
  <si>
    <t>10.1007/s002650050684</t>
  </si>
  <si>
    <t>WOS:000087531600006</t>
  </si>
  <si>
    <t>Farrell, WJ; Wilczynski, W</t>
  </si>
  <si>
    <t>Farrell, William J.; Wilczynski, Walter</t>
  </si>
  <si>
    <t>Aggressive experience alters place preference in green anole lizards, Anolis carolinensis</t>
  </si>
  <si>
    <t>Males of many species establish territories from which they exclude conspecifics, and experience can influence the cl fence and stability of territorial boundaries. We used a conditioned place preference (CPP) procedure to determine whether engaging in a form of behaviour associated with territorial defence, aggressive behaviour, was rewarding for male green anoles and whether aggressive experience could alter the spatial/contextual preferences of these territorial lizards. When approached by a male conspecific, or when exposed to their reflection in a mirror, many male anoles show species-typical aggressive behaviours. We repeatedly exposed male anoles to a mirror or the nonreflective back of the mirror in opposing sides of a CPP apparatus that consisted of two contextually distinct chambers connected by a central tunnel. Control animals (N = 10) were exposed to the back of the mirror in both sides of the apparatus. Following conditioning, animals that showed aggressive behaviour (N = 13) when exposed to the mirror during conditioning increased the time that they spent in the side of the apparatus paired with the mirror relative to baseline. In contrast, the preferences of nonaggressive (N = 8) and control animals were unchanged. These findings suggest that engaging in aggressive behaviour (and not simply seeing a conspecific) is rewarding for male green anoles and that aggression-related reward and associative learning could influence the formation and/or maintenance of stable territories.</t>
  </si>
  <si>
    <t>10.1016/j.anbehav.2005.10.006</t>
  </si>
  <si>
    <t>WOS:000238108600018</t>
  </si>
  <si>
    <t>Dickerson, AL; Rankin, KJ; Cadena, V; Endler, JA; Stuart-Fox, D</t>
  </si>
  <si>
    <t>Dickerson, Ashton L.; Rankin, Katrina J.; Cadena, Viviana; Endler, John A.; Stuart-Fox, Devi</t>
  </si>
  <si>
    <t>Rapid beard darkening predicts contest outcome, not copulation success, in bearded dragon lizards</t>
  </si>
  <si>
    <t>Rapid colour change is widespread in animals and allows them to respond dynamically to the physical and social environment. However, few studies have examined the information conveyed by dynamic colour signals in different social contexts, such as courtship and rivalry contests. Furthermore, dynamic colour change on different body regions may be subject to different selection pressures and therefore serve different functions. We tested whether male colour or colour change predicts contest outcome in male-male interactions or the likelihood of copulation attempts in male-female interactions in the central bearded dragon, Pogona vitticeps. The extent of beard darkening strongly predicted contest outcome, but neither colour (beard, dorsal) nor colour change predicted copulation attempts. Dorsal colour showed little consistent change and did not predict contest outcome or copulation attempts. Previous work shows that dorsal but not beard colour change occurs in response to both background colour and temperature in the laboratory and in the wild. Taken together, these results indicate that dynamic colour change in bearded dragons varies in relation to social context and can serve different functions depending on the body region. Our results add to the growing appreciation of how rapid colour change enables animals to accommodate the multiple functions of colour, including communication to different receivers, camouflage and thermoregulation. (C) 2020 The Association for the Study of Animal Behaviour. Published by Elsevier Ltd. All rights reserved.</t>
  </si>
  <si>
    <t>Endler, John A/B-6659-2009; Dickerson, Ashton/GZN-1788-2022</t>
  </si>
  <si>
    <t>Endler, John A/0000-0002-7557-7627; Dickerson, Ashton/0000-0001-8555-1693; Rankin, Katrina/0000-0003-3700-0330; Stuart-Fox, Devi/0000-0003-3362-1412; Cadena, Viviana/0000-0001-5232-6449</t>
  </si>
  <si>
    <t>10.1016/j.anbehav.2020.10.014</t>
  </si>
  <si>
    <t>WOS:000598905300016</t>
  </si>
  <si>
    <t>Papaj, DR; Newsom, GM</t>
  </si>
  <si>
    <t>A within-species warning function for an aposematic signal</t>
  </si>
  <si>
    <t>Aposematic, or warning, signals are generally interspecific in form: one species advertises noxiousness to a predator or parasite species. In a study of the pipevine swallowtail butterfly (Battus philenor), we show that a pattern of colouration in the caterpillars that is considered to be aposematic in the context of attack by natural enemies also deters oviposition by conspecific females. In field and laboratory assays, females avoided oviposition on plants bearing live conspecific larvae. Females avoided oviposition on plants bearing artificially constructed models identical to larvae in shape, size and colour pattern. Finally, oviposition on plants harbouring a model bearing the larval colour pattern was reduced relative to plants bearing a leaf-green model, suggesting that the larval colour pattern was essential for avoidance. We discuss how intraspecific and interspecific processes might interact in the evolution of an aposematic signal.</t>
  </si>
  <si>
    <t>10.1098/rspb.2005.3186</t>
  </si>
  <si>
    <t>WOS:000233751700011</t>
  </si>
  <si>
    <t>Hews, DK; Date, P; Hara, E; Castellano, MJ</t>
  </si>
  <si>
    <t>Hews, Diana K.; Date, Priya; Hara, Erina; Castellano, Michael J.</t>
  </si>
  <si>
    <t>Field presentation of male secretions alters social display in Sceloporus virgatus but not S. undulatus lizards</t>
  </si>
  <si>
    <t>Lizards have communicative displays involving primarily vision and chemicals, and recent work suggests trade-offs between these two modalities. In reptiles, little work assesses effects of conspecific chemicals on subsequent signaling behavior. Here, we studied responses to conspecific secretions in two Sceloporus species differing in visual signaling: male Sceloporus undulatus have blue abdominal patches used in aggressive territorial encounters, while Sceloporus virgatus males have evolutionarily lost the patches and have low rates of aggressive display. We measured behavior of free-ranging males following presentation of swabs with conspecific male chemicals from femoral glands and the cloaca, or of clean swabs. For male S. undulatus (blue), neither likelihoods nor rates of behavioral responses differed between swab treatments. In contrast, male S. virgatus (white) presented with secretions had significantly higher likelihood of performing head bob, push-up, and shudder displays, than males in control swab trials. Rates of behavior also differed for S. virgatus, with higher rates of push-up display and tongue flick in trials with conspecific chemicals, but rates of other displays, number of moves, and mean total distance moved did not differ between treatments. Male S. undulatus moved significantly greater distances than S. virgatus, independent of treatment. In sum, male S. virgatus responded to conspecific male chemicals by increasing their low rates of display behavior, whereas male S. undulatus did not alter their already high rates of display or movement following chemical exposure. Chemical signals may play a different role in social signaling in the species with the loss of the abdominal color signal.</t>
  </si>
  <si>
    <t>Castellano, Michael/A-9687-2008</t>
  </si>
  <si>
    <t>Castellano, Michael/0000-0003-1411-7931</t>
  </si>
  <si>
    <t>10.1007/s00265-011-1150-1</t>
  </si>
  <si>
    <t>WOS:000291654000006</t>
  </si>
  <si>
    <t>Carder, ML; Ritchison, G</t>
  </si>
  <si>
    <t>Carder, Michelle L.; Ritchison, Gary</t>
  </si>
  <si>
    <t>Tail pumping by Eastern Phoebes: an honest, persistent predator-deterrent signal?</t>
  </si>
  <si>
    <t>Eastern Phoebes (Sayornis phoebe) persistently pump their tails when perched, and the function of this behavior is unclear. We tested four hypotheses concerning the possible functions of tail pumping, including the (1) balance hypothesis, (2) signal-aggression-to-conspecifics hypothesis, (3) foraging-enhancement hypothesis, and (4) predator-deterrent hypothesis. Eastern Phoebes were monitored from 1 April to 1 August 2006 and 1 June to 1 August 2007 in Madison County, Kentucky. Phoebes were captured in mist nets and marked with unique combinations of colored-leg bands. Each focal phoebe was observed one to two times a week and tail-pumping rates, wind velocity, and perch characteristics were recorded. Our results provided support only for the predator-deterrent hypothesis. Phoebes exhibited a significant increase in tail-pumping rates in the presence of a potential predator (Eastern Screech-Owl, Megascops asio), suggesting that tail pumping, along with increased rates of calling, informs potential predators that a phoebe is aware of their presence and, therefore, more difficult to capture. Phoebes, however, tail pump regardless of whether a predator has been sighted and such movement could make phoebes easier to detect. If so, and if a detected phoebe provides no additional cues (calling) to indicate awareness of a predator, an attack might actually be more likely. However, tail pumping may be beneficial, regardless of whether a predator has been detected, if it serves as a continuous, honest predator-deterrent signal. This would be the case if predators learned to associate tail pumping and phoebes, and also learned that phoebes, with their alert posture, small size, and impressive aerial maneuvering abilities, represent low reward, difficult-to-capture prey. If so, then both phoebes and predators would benefit, with phoebes less likely to be attacked and predators not initiating attacks that would waste time and energy and alert other potential prey to their presence.</t>
  </si>
  <si>
    <t>1557-9263</t>
  </si>
  <si>
    <t>10.1111/j.1557-9263.2009.00218.x</t>
  </si>
  <si>
    <t>WOS:000266465200007</t>
  </si>
  <si>
    <t>Kokko, H; Griffith, SC; Pryke, SR</t>
  </si>
  <si>
    <t>Kokko, Hanna; Griffith, Simon C.; Pryke, Sarah R.</t>
  </si>
  <si>
    <t>The hawk-dove game in a sexually reproducing species explains a colourful polymorphism of an endangered bird</t>
  </si>
  <si>
    <t>The hawk-dove game famously introduced strategic game theory thinking into biology and forms the basis of arguments for limited aggression in animal populations. However, aggressive 'hawks' and peaceful 'doves', with strategies inherited in a discrete manner, have never been documented in a real animal population. Thus, the applicability of game-theoretic arguments to real populations might be contested. Here, we show that the head-colour polymorphismof red and black Gouldian finches (Erythrura gouldiae) provides a real-life example. The aggressive red morph is behaviourally dominant and successfully invades black populations, but when red 'hawks' become too common, their fitness is severely compromised (via decreased parental ability). We also investigate the effects of real-life deviations, particularly sexual reproduction, from the simple original game, which assumed asexual reproduction. A protected polymorphism requires mate choice to be sufficiently assortative. Assortative mating is adaptive for individuals because of genetic incompatibilities affecting hybrid offspring fitness, but by allowing red 'hawks' to persist, it also leads to significantly reduced population sizes. Because reductions in male contributions to parental care are generally known to lead to lower population productivity in birds, we expect zero-sum competition to often have wide ranging population consequences.</t>
  </si>
  <si>
    <t>Kokko, Hanna/C-7861-2009; Griffith, Simon/AAH-3706-2021</t>
  </si>
  <si>
    <t>Griffith, Simon/0000-0001-7612-4999; Kokko, Hanna/0000-0002-5772-4881</t>
  </si>
  <si>
    <t>OCT 22</t>
  </si>
  <si>
    <t>10.1098/rspb.2014.1794</t>
  </si>
  <si>
    <t>WOS:000341560300025</t>
  </si>
  <si>
    <t>Drown, RM; Liebl, AL; Anderson, CV</t>
  </si>
  <si>
    <t>Drown, Rachel M.; Liebl, Andrea L.; Anderson, Christopher, V</t>
  </si>
  <si>
    <t>The functional basis for variable antipredatory behavioral strategies in the chameleon Chamaeleo calyptratus</t>
  </si>
  <si>
    <t>To counterbalance demands of different selective pressures, many species possess morphological, physiological and behavioral specializations that increase survival in their environments. Predation is one such pressure that can elicit multiple adaptive responses, and the effectiveness of antipredator behaviors likely vary both by environment and individual across time. Chameleons use multiple antipredator strategies, many of which vary with body size and habitat type. Although their unique morphological and physiological traits produce relatively slow locomotion, which is poorly suited for fleeing, chameleons can also use crypsis or aggression to avoid predation. To examine the functional basis for variable antipredator behavioral responses, we subjected chameleons to a series of mock predation trials and determined how often individuals adopted each antipredator strategy, and then quantified the performance capacities underlying each strategy. In particular, we measured bite force as a determinant for aggression, sprint velocity for fleeing, and degree of color change for crypsis. We found that aggression was predicted by traits associated with higher absolute and relative bite force, as well as habitat type; fleeing was predicted by higher normalized sprint velocity and habitat type; and crypsis was predicted by habitat type, color change capacity in bird color space and the interaction between the two. These results illustrate the importance of considering both functional capacity and environmental context in antipredator behavior decision-making.</t>
  </si>
  <si>
    <t>Liebl, Andrea/GNM-6443-2022; Anderson, Christopher/F-5224-2011</t>
  </si>
  <si>
    <t>Anderson, Christopher/0000-0001-7411-3102</t>
  </si>
  <si>
    <t>jeb242955</t>
  </si>
  <si>
    <t>10.1242/jeb.242955</t>
  </si>
  <si>
    <t>WOS:000806042900004</t>
  </si>
  <si>
    <t>Quesada, J; Chavez-Zichinelli, CA; Senar, JC; Schondube, JE</t>
  </si>
  <si>
    <t>Quesada, Javier; Alberto Chavez-Zichinelli, Carlos; Carlos Senar, Juan; Ernesto Schondube, Jorge</t>
  </si>
  <si>
    <t>PLUMAGE COLORATION OF THE BLUE GROSBEAK HAS NO DUAL FUNCTION: A TEST OF THE ARMAMENT-ORNAMENT MODEL OF SEXUAL SELECTION</t>
  </si>
  <si>
    <t>Although plumage coloration has been widely used as a model in studies of the evolution of signaling, the role of plumage in intrasexual communication has been less studied, especially in cases of the structural plumage color. The aim of our study was to use choice trials and plumage manipulation to test whether or not the structural blue color of the male Blue Grosbeak (Passerina caerulea) works as a signal of social status. Additionally, we tested whether or not females exploit signals used in aggression between males. If they do, it suggests that plumage coloration is also used in mate choice. In 2007, we captured males and females from two different populations. We performed two choice experiments by manipulating plumage color: (1) a status-signaling experiment, in which a male had to choose one of two other males, and (2) a mate-choice experiment, in which a female had to choose one of two males. Males clearly foraged near less blue birds during their first encounter and on the first day. However, this preference was not evident on subsequent days. Females showed no preference for any color of male. Our data show that plumage color works as a first impression signal, which suggests that plumage coloration in the Blue Grosbeak represents a signal of dominance status between unfamiliar individuals and thus supports the status-signaling hypothesis. Our results support previous evidence for a lack of selection of males by females, which for this species thus rebuts the armament-ornament model of sexual selection.</t>
  </si>
  <si>
    <t>Senar, Joan Carles/V-2371-2018; Quesada, Javier/V-8506-2019; Quesada, Javier/GQQ-1272-2022</t>
  </si>
  <si>
    <t>Senar, Joan Carles/0000-0001-9955-3892; Quesada, Javier/0000-0002-6010-8473; Quesada, Javier/0000-0002-6010-8473</t>
  </si>
  <si>
    <t>10.1525/cond.2013.120009</t>
  </si>
  <si>
    <t>WOS:000328295800022</t>
  </si>
  <si>
    <t>Hauber, ME; Moskát, C; Bán, M</t>
  </si>
  <si>
    <t>Hauber, Mark E.; Moskat, Csaba; Ban, Miklos</t>
  </si>
  <si>
    <t>Experimental shift in hosts' acceptance threshold of inaccurate-mimic brood parasite eggs</t>
  </si>
  <si>
    <t>Hosts are expected to evolve resistance strategies that efficiently detect and resist exposure to virulent parasites and pathogens. When recognition is not error-proof, the acceptance threshold used by hosts to recognize parasites should be context dependent and become more restrictive with increasing predictability of parasitism. Here, we demonstrate that decisions of great reed warblers Acrocephalus arundinaceus to reject parasitism by the common cuckoo Cuculus canorus vary adaptively within a single egg-laying bout. Hosts typically accept one of their own eggs with experimentally added spots and the background colour left visible. In contrast, hosts reject such spotted eggs when individuals had been previously exposed to and rejected one of their own eggs whose background colour had been entirely masked. These results support patterns of adaptive modulation of antiparasitic strategies through shifts in the acceptance threshold of hosts and suggest a critical role for experience in the discrimination decisions between inaccurate-mimic parasite eggs and hosts' own eggs.</t>
  </si>
  <si>
    <t>JUN 22</t>
  </si>
  <si>
    <t>10.1098/rsbl.2005.0438</t>
  </si>
  <si>
    <t>WOS:000241862500005</t>
  </si>
  <si>
    <t>Martin, MD; Mendelson, TC</t>
  </si>
  <si>
    <t>Martin, M. D.; Mendelson, T. C.</t>
  </si>
  <si>
    <t>Incomplete behavioural isolation and asymmetric female preference in darter sister species (Percidae: Etheostoma)</t>
  </si>
  <si>
    <t>In this study, female preferences and behavioural isolation were estimated in a pair of allopatric sister species, Etheostoma duryi and Etheostoma flavum. Dichotomous mate preference trials were conducted to determine whether females prefer to associate with conspecific over heterospecific males and free-spawning assays were conducted to determine whether those preferences translated into behavioural isolation. Dichotomous mate choice trials revealed asymmetric female preference, as female E. flavum preferred conspecific males, whereas female E. duryi showed no preference. Free-spawning assays indicated that behavioural isolation remains incomplete between E. duryi and E. flavum (I-B = 019). In addition to female mating preferences, male behaviour also appeared to influence mating outcomes as male E. flavum consistently courted conspecific females more often in free-spawning assays whereas male E. duryi did not. The data therefore suggest that despite marked divergence in male nuptial colour, divergence in female preferences between these species may not be sufficient to maintain species boundaries upon secondary contact. These results contrast with similar work in a sympatric darter species pair and may be explained by considering the contributions of reinforcement and differences in colour pattern as well as colour value. (C) 2013 The Fisheries Society of the British Isles</t>
  </si>
  <si>
    <t>Martin, Michael/0000-0003-1038-7109</t>
  </si>
  <si>
    <t>10.1111/jfb.12239</t>
  </si>
  <si>
    <t>WOS:000326476700019</t>
  </si>
  <si>
    <t>Dijkstra, PD; Preenen, PTY</t>
  </si>
  <si>
    <t>Dijkstra, Peter D.; Preenen, Paul T. Y.</t>
  </si>
  <si>
    <t>No effect of blue on winning contests in judo</t>
  </si>
  <si>
    <t>A study by Rowe et al. reported a winning bias for judo athletes wearing a blue outfit relative to those wearing a white one during the 2004 Olympics. It was suggested that blue is associated with a higher likelihood of winning through differential effects of colour on opponent visibility and/or an intimidating effect on the opponent. However, we argue that there is no colour effect on winning in judo. We show that alternative factors, namely allocation biases, asymmetries in prior experience and differences in recovery time are possible confounding factors in the analysis of Rowe et al. After controlling for these factors, we found no difference in blue and white wins. We further analysed contest outcomes of 71 other major judo tournaments and also found no winning bias. Our findings have implications for sports policy makers: they suggest that a white-blue outfit pairing ensures an equal level of play.</t>
  </si>
  <si>
    <t>10.1098/rspb.2007.1700</t>
  </si>
  <si>
    <t>WOS:000254464000008</t>
  </si>
  <si>
    <t>HOUTMAN, R; DILL, LM</t>
  </si>
  <si>
    <t>THE INFLUENCE OF SUBSTRATE COLOR ON THE ALARM RESPONSE OF TIDEPOOL SCULPINS (OLIGOCOTTUS-MACULOSUS, PISCES, COTTIDAE)</t>
  </si>
  <si>
    <t>For animals that use crypsis to avoid predators, immobility reduces the risk of detection. The magnitude of this immobility benefit depends upon the probability that a predator is present, since a predator must be present for crypsis to be valuable. Thus, cryptic animals typically reduce their movement rates upon detection of a nearby predator or signs of its activity. Such a response occurs in tidepool sculpins (Oligocottus maculosus) when presented with water-borne compounds released from the skin of injured conspecifics (HUGIE et al. 1991). The benefit of immobility should also depend upon the animal's background, or substrate, since animals on a matching substrate achieve a higher level of crypticity than those on a nonmatching substrate, and have more to gain by remaining still. Therefore, we predicted that the response of tidepool sculpins to conspecific skin extract would involve a greater reduction in movement rates for fish on sand (matching) than for those on white (nonmatching) substrate. The results of a laboratory experiment supported this prediction, with fish on sand showing a large decrease in movement rates in response to skin extract, while the movement rates of those on white substrate remained unchanged.</t>
  </si>
  <si>
    <t>WOS:A1994NJ52600006</t>
  </si>
  <si>
    <t>Husak, JF; McCoy, JK; Fox, SF; Baird, TA</t>
  </si>
  <si>
    <t>Is coloration of juvenile male collared lizards (Crotaphytus collaris) female mimicry?:: An experimental test</t>
  </si>
  <si>
    <t>Juvenile male Collared Lizards (Crotaphytus collaris) have orange, dorsolateral color patterns that closely resemble those of gravid, adult females, and it has long been hypothesized that they serve as a form of female mimicry, reducing aggression from adult males. We experimentally tested this hypothesis by painting juvenile males to remove or maintain orange coloration and measuring the agonistic response of adult males but found no significant differences between treatments. These results do not support the hypothesis that orange coloration of juvenile male Collared Lizards is used as a form of female mimicry to reduce aggression from adult males.</t>
  </si>
  <si>
    <t>Husak, Jerry/0000-0002-5860-3774</t>
  </si>
  <si>
    <t>10.1670/138-03N</t>
  </si>
  <si>
    <t>WOS:000220546800025</t>
  </si>
  <si>
    <t>Moretz, JA; Morris, MR</t>
  </si>
  <si>
    <t>Evolutionarily labile responses to a signal of aggressive intent</t>
  </si>
  <si>
    <t>Males of many swordtail species possess vertical bar pigment patterns that are used both in courtship and agonistic interactions. Expression of the bars may function as a conventional threat signal during conflicts with rival males; bars intensify at the onset of aggression and fade in the subordinate male at contest's end. We used mirror image stimulation and bar manipulations to compare the aggressive responses of the males of four swordtail species to their barred and barless images. We found that having a response to the bars is tightly linked to having genes for bars, while the nature of the response the bars evoked varied across species. Specifically, we report the first known instance where closely related species exhibited differing and contradictory responses to a signal of aggressive motivation. Demonstrating that a signal conveys the same information across species (aggressive intent) while the response to that information has changed among species suggests that the nature of the responses are more evolutionarily labile than the signal.</t>
  </si>
  <si>
    <t>Morris, Molly/0000-0001-9962-2982</t>
  </si>
  <si>
    <t>NOV 7</t>
  </si>
  <si>
    <t>10.1098/rspb.2003.2510</t>
  </si>
  <si>
    <t>WOS:000186630800010</t>
  </si>
  <si>
    <t>Crothers, LR; Cummings, ME</t>
  </si>
  <si>
    <t>Crothers, Laura R.; Cummings, Molly E.</t>
  </si>
  <si>
    <t>A multifunctional warning signal behaves as an agonistic status signal in a poison frog</t>
  </si>
  <si>
    <t>Aposematic species use conspicuous warning signals to communicate unprofitability to potential predators. Although warning signals are classic examples of communication systems that evolved by natural selection, they can also function in the context of sexual communication and are therefore particularly useful for investigating conspicuous trait evolution under multifarious selection. To test whether aposematic signals also serve to mediate intrasexual disputes, we observed males from a highly territorial poison frog species (Oophaga pumilio) in their native territories and in experimental dyadic contests to assess the influences of body characteristics such as warning signal brightness and body size on the outcomes of territorial interactions. We report here that although neither male size (snout-vent length) nor mass significantly predicted male aggressiveness (latency to call) in dyadic contests, a male's dorsal brightness was a significant predictor of willingness to initiate aggressive interactions, with brighter males exhibiting a shorter latency to call than duller males. Furthermore, brightness asymmetries between males predicted the outcomes of contests such that asymmetries were smaller in escalated aggression trials (where both males called), and brighter males were more likely to be the sole aggressor in trials with large asymmetries. These tests, combined with previous work, provide evidence that warning coloration has been co-opted as an agonistic indicator trait in this aposematic amphibian and reveal the potential evolutionary lability of conspicuous traits that arise through natural selection.</t>
  </si>
  <si>
    <t>10.1093/beheco/aru231</t>
  </si>
  <si>
    <t>WOS:000352271800037</t>
  </si>
  <si>
    <t>Machatschke, IH; Bauer, BE; Schrauf, C; Dittami, J; Wallner, B</t>
  </si>
  <si>
    <t>Machatschke, Ivo H.; Bauer, Barbara E.; Schrauf, Cornelia; Dittami, John; Wallner, Bernard</t>
  </si>
  <si>
    <t>Conflict-involvement of male guinea pigs (Cavia aperea f. porcellus) as a criterion for partner preference</t>
  </si>
  <si>
    <t>Polygynous mating systems can inflict considerable costs on males, often causing the emergence of alternative mating strategies to ensure reproductive success. These strategies can lead to different morphs of color, size, or behavior. The present work was done on guinea pigs, a polygynous rodent species. Some males can show a reduced readiness for conflict, perhaps employing an alternative mating strategy. To test this hypothesis, a two-stage experiment was set up, with males (N=16) and females (N=16) initially living in isosexual groups. Visual and olfactory contact was possible through a wire mesh. Male agonistic behavior was observed for 15 days, confirming the existence of less-conflict-involved (LCI, N=7) and more-conflict-involved males (MCI, N=9). Significant differences were found for a conditional parameter, body mass, and a morphometric one, testis width: LCI consistently surpassed MCI. Hormonally, cortisol was comparable, while testosterone was distinctly higher in MCI. Next, males and females were joined and observed for further 24 days. Males initially lost weight but reached original mass towards the end of the experiment. Testis width patterns were similar. Again, LCI had higher body mass. Cortisol was comparable, but testosterone release 3 days after merging was significantly higher in LCI. Behaviorally, LCI exhibited significantly less male-male aggression and more socio-sexual behavior than MCI. The former were more successful, with 57% capable of accessing females, in contrast to 11% of MCI. The existence of two distinct behavioral phenotypes in guinea pig males suggests that different reproductive strategies may exist in this species.</t>
  </si>
  <si>
    <t>Wallner, Bernard/B-1089-2009</t>
  </si>
  <si>
    <t>wallner, bernard/0000-0002-1089-7443</t>
  </si>
  <si>
    <t>10.1007/s00265-008-0562-z</t>
  </si>
  <si>
    <t>WOS:000255851400013</t>
  </si>
  <si>
    <t>Svitacá, K; Slavík, O; Horky, P</t>
  </si>
  <si>
    <t>Svitaca, Kristina; Slavik, Ondrej; Horky, Pavel</t>
  </si>
  <si>
    <t>Pigmentation potentially influences fish welfare in aquaculture</t>
  </si>
  <si>
    <t>Pigmentation is an important factor for the survival of organisms in different environments; in fish, it plays a key role in social communication and shoal formation. Pigmentation mediates communication among colour phe-notypes, as fish may temporarily change colouring to indicate their position in a social hierarchy. Although some colour phenotypes may be more common, less frequent colourations do not appear to significantly impact fish welfare, as aggression is directed more towards common, typically pigmented phenotypes than rare phenotypes. The relationship between pigmentation and fish behaviour can be clearly observed with extremely coloured phenotypes, i.e., albino and melanistic individuals. The melanocortin hypothesis states that phenotypes with more pigmentation are more aggressive, reproductively active, and resistant to stress as well as having better overall health. However, the high levels of aggression expressed by melanistic phenotypes may reduce the well-being of less intensely pigmented phenotypes if these individuals are kept together. In contrast, albino in-dividuals are more sensitive to stress, less aggressive, and, as they are prone to physiological constraints such as impaired vision, are unable to effectively defend resources compared to pigmented phenotypes. Moreover, both these extremely coloured phenotypes are unable to signal their position in the social hierarchy by changing colours, which can result in conflict between their mental state and position in a social hierarchy and/or attempt to change their social rank. In summary, colour variation is a consequence of physiological conditions, especially stress, rather than a cause of such conditions. The breeding and propagation of albino and melanistic fish is generally unethical and should not be considered in aquaculture unless these phenotypes are bred separately under specific conditions, i.e., not kept with typically pigmented conspecifics.</t>
  </si>
  <si>
    <t>Horký, Pavel/A-3857-2013; Centre, NutRisk/AAX-1925-2020</t>
  </si>
  <si>
    <t>Horký, Pavel/0000-0002-1738-7753; Svitacova, Kristina/0000-0001-8901-9987</t>
  </si>
  <si>
    <t>10.1016/j.applanim.2023.105903</t>
  </si>
  <si>
    <t>MAR 2023</t>
  </si>
  <si>
    <t>WOS:000964957600001</t>
  </si>
  <si>
    <t>Leighton, GM; Lees, AC; Miller, ET</t>
  </si>
  <si>
    <t>Leighton, Gavin M.; Lees, Alexander C.; Miller, Eliot T.</t>
  </si>
  <si>
    <t>The hairy-downy game revisited: an empirical test of the interspecific social dominance mimicry hypothesis</t>
  </si>
  <si>
    <t>Understanding the emergence and persistence of convergent phenotypes is the subject of considerable debate. Species may converge on nearly identical phenotypes for a variety of reasons, including occupying similar environments, exhibiting similar foraging ecologies, and for signalling reasons such as mimicry. Interspecific social dominance mimicry (ISDM) is a hypothesis that states that socially subordinate species evolve a phenotype mimicking a dominant species so as to accrue resources and avoid aggression. A recently proposed test case for this phenomenon asserts that downy woodpeckers, Picoides pubescens, evolved mimetic plumage to avoid attacks from hairy woodpeckers, Picoides villosus. We examined this claim with a large behavioural data set collected by citizen scientists. We employed phylogenetic methods and simulations to test whether downy woodpeckers avoid aggression, and whether downy woodpeckers are more dominant than expected based on body mass. Contrary to the expectations of ISDM, we found that downy woodpeckers were markedly more often the target of hairy woodpecker attacks than expected based on their relative abundances. Our empirical data thus offers no support for the strict ISDM hypothesis as an explanation for downy-hairy woodpecker plumage convergence. However, downy woodpeckers are slightly more dominant than expected based on their body mass, albeit not significantly so. Our data therefore lend weight to previous suggestions that the benefits of mimicry potentially accrue from third-party species mistaking the mimic for the model, rather than the model mistaking the mimic for another model. (C) 2018 The Association for the Study of Animal Behaviour. Published by Elsevier Ltd. All rights reserved.</t>
  </si>
  <si>
    <t>Lees, Alexander Charles/S-2443-2019</t>
  </si>
  <si>
    <t>Lees, Alexander Charles/0000-0001-7603-9081</t>
  </si>
  <si>
    <t>10.1016/j.anbehav.2018.01.012</t>
  </si>
  <si>
    <t>WOS:000427436600015</t>
  </si>
  <si>
    <t>Ossip-Drahos, AG; Berry, NJ; King, CM; Martins, EP</t>
  </si>
  <si>
    <t>Ossip-Drahos, Alison G.; Berry, Nicolas J.; King, Christian M.; Martins, Emilia P.</t>
  </si>
  <si>
    <t>Information-gathering as a response to manipulated signals in the eastern fence lizard, Sceloporus undulatus</t>
  </si>
  <si>
    <t>Colorful visual signals are used across taxa to convey information during agonistic male-male encounters, which are important for sexual selection. Although much is known about the information content of color signals, less is known about how receivers interpret this information. Here, using territorial Sceloporus undulatus lizards in a natural setting, we examined receiver response to intruders with different color patch sizes to determine (a) if patch size conveys information assessed during male-male interactions and (b) if/how receivers modulate their behavioral responses to different types of behavioral signals. We found that larger lizards had longer and wider patches, indicating that the size of the patches may be one of the many characteristics of these patches that is used by males to convey information. Free-ranging subject males also produced more headbob displays in response to intruders with small patches and took marginally longer to react to intruders with large patches. However, we found no differences in the aggressiveness of the response (i.e., full-shows). This indicates that patch size conveys information that is employed during territorial disputes, but that the response is primarily in terms of timing, allowing lizards to gather more information about intruders, instead of aggressive behavior (i.e., full-shows).</t>
  </si>
  <si>
    <t>Martins, Emilia/0000-0002-8952-3240</t>
  </si>
  <si>
    <t>10.1111/eth.12801</t>
  </si>
  <si>
    <t>WOS:000440649700008</t>
  </si>
  <si>
    <t>COOPER, WE; MENDONCA, MT; VITT, LJ</t>
  </si>
  <si>
    <t>INDUCTION OF ORANGE HEAD COLORATION AND ACTIVATION OF COURTSHIP AND AGGRESSION BY TESTOSTERONE IN THE MALE BROAD-HEADED SKINK (EUMECES-LATICEPS)</t>
  </si>
  <si>
    <t>Male Eumeces laticeps develop bright orange head coloration during the spring breeding season, when they fight with other males and engage in sexual behavior with females. Outside the breeding season the head color fades and the sexual and agonistic behaviors cease. Intraperitoneal implantation of testosterone propionate in Silastic capsules restores the bright orange head coloration and activates courtship and agonistic behaviors in castrated males.</t>
  </si>
  <si>
    <t>10.2307/1564469</t>
  </si>
  <si>
    <t>WOS:A1987H691700002</t>
  </si>
  <si>
    <t>Chaine, AS; Lyon, BE</t>
  </si>
  <si>
    <t>Chaine, Alexis S.; Lyon, Bruce E.</t>
  </si>
  <si>
    <t>Intrasexual selection on multiple plumage ornaments in the lark bunting</t>
  </si>
  <si>
    <t>Competition over resources can lead to fights and injury, so many species have evolved badge-of-status signals to settle conflicts without resorting to overt aggression. Most studies of status signals have focused on a single trait, under the assumption that aggression is univariate and therefore multiple signals would be redundant. We examined the relationship between male-male social dominance and several plumage traits (wing patch size and colour, body colour and coverage of black feathers on the body or the rump) in lark buntings, Calamospiza melanocorys, using a combination of observation and experimental territorial intrusions. Large body size was correlated with elevated aggression in several assays. Our observational data suggest that some traits function as close-range badges of status, because males with a larger proportion of black feathers on the body and rump win escalated contests, whereas other traits function at longer distances, because males with larger wing patches experience fewer territorial intrusions. Experimental tests of social dominance further suggest that different male plumage traits convey different information: some traits were associated with physical aggression, whereas other traits were associated with the intensity of approach. Together, these results show that selection can favour multiple badges of status to accommodate different levels of escalation or context-dependent dominance interactions. (C) 2008 The Association for the Study of Animal Behaviour. Published by Elsevier Ltd. All rights reserved.</t>
  </si>
  <si>
    <t>Chaine, Alexis S/B-4062-2012; Lyon, Bruce E/E-8491-2011</t>
  </si>
  <si>
    <t>10.1016/j.anbehav.2008.03.014</t>
  </si>
  <si>
    <t>WOS:000258490800016</t>
  </si>
  <si>
    <t>Rojas-Araya, D; Alto, BW; Cummings, DAT; Burkett-Cadena, ND</t>
  </si>
  <si>
    <t>Rojas-Araya, Diana; Alto, Barry W.; Cummings, Derek A. T.; Burkett-Cadena, Nathan D.</t>
  </si>
  <si>
    <t>Differentiation of Multiple Fluorescent Powders, Powder Transfer, and Effect on Mating in Aedes aegypti (Diptera: Culicidae)</t>
  </si>
  <si>
    <t>Simple Summary Fluorescent powders are one of the most used materials for externally marking mosquitoes, such as Aedes aegypti, a vector of numerous human pathogens. They can be used to explore multiple biological questions related to population size, dispersal, and other interactions related to the spread of mosquito-borne diseases. To ensure marking practical aspects and that these powders do not interfere with mosquito natural behaviors, differentiation of multiple colors applied externally in the same mosquito, their impact on mating, and their transference between individuals after copulation and same-sex interactions were studied. Multiple color differentiation was possible, except for green-yellow combination. No important effect of powder marking was found on any of the mosquito mating phases: coupling (recognition and genital contact), copulation (genitalia engagement and semen transfer), and insemination (deposition of the sperm in the female reservoirs). After copulation with a powder-treated mate, &gt;80% of females and all males had powder in genitalia, legs, and wingtips. The transfer of powder, between same-sex individuals, occurred only in males. In general, fluorescent powders had a little observable effect on Ae. aegypti mating, suggesting that these markers do not alter this important vector life-history trait and are a useful and viable tool for mosquito studies. Five different fluorescent powders (orange, yellow, green, blue, and violet) were tested on Aedes aegypti adults to evaluate the differentiation of multiple fluorescent powder colors applied externally in the same female mosquito, their effect on coupling time, copulation time, insemination success, mate choice, and the extent of transference of powders between marked and unmarked individuals, either during copulation or same-sex interactions. Marking with multiple powders was evaluated after applying different powders in the same female at different times and combinations. The comparative effect of powders on mating was explored using different cross-combinations of marked/unmarked couples. Transference of powders between marked/unmarked individuals after copulation was checked in mated individuals, and between same-sex interactions by allowing them to interact under crowded and uncrowded conditions. Identification of the colors included in multiple markings in the same individual was possible when exploring almost all combinations (exception: green-yellow). No important effect of powder marking between cross-combinations was found on coupling time (overall 95% CI (Confidence Interval) 37.6-49.6 min), copulation time (overall 95% CI 17-20 s), insemination success, nor their mate choice. Transferred powder after copulation activity, concentrated in genitalia, legs, and the tip of wings, occurred in &gt;80% of females and 100% of males. Powder transference in legs and genitalia, between same-sex individuals, occurred only in males (ranged between 23-35%) under both density conditions. The lack of important effects of these powders on the studied aspects of Ae. aegypti provides information about their usefulness and limitations, which should be recognized for future applications and to avoid bias.</t>
  </si>
  <si>
    <t>Rojas, Diana/GRR-9864-2022; Rojas Araya, Diana/AAZ-4176-2021</t>
  </si>
  <si>
    <t>Rojas Araya, Diana/0000-0002-1150-6125; Alto, Barry/0000-0001-7054-2081; Burkett-Cadena, Nathan/0000-0001-6168-1637</t>
  </si>
  <si>
    <t>10.3390/insects11110727</t>
  </si>
  <si>
    <t>WOS:000593343100001</t>
  </si>
  <si>
    <t>Uetz, GW; Gilbert, R; Wilson, R; Mann, J; Macedonia, J; Clark, DL</t>
  </si>
  <si>
    <t>Uetz, George W.; Gilbert, Rachel; Wilson, Rebecca; Mann, Jacqueline; Macedonia, Joseph; Clark, David L.</t>
  </si>
  <si>
    <t>Background contrast affects detection and recognition of courting wolf spiders by intended and unintended receivers</t>
  </si>
  <si>
    <t>We used video playback of courting male Schizocosa ocreata wolf spiders to examine responses of intended receivers (conspecific females) and eavesdroppers (competitor males, predatory spiders, toads) to manipulations of spider color (natural color, monochromatic gray, monochromatic RBG average) displayed against complex leaf litter backgrounds (color, grayscale). Models of chromatic and achromatic contrast between spider stimuli and backgrounds were used to predict receiver responses. The results support the hypothesis that interactions between spider and background coloration affect detection and recognition, although responses varied with receiver type. Detection responses of intended receivers (female S. ocreata) did not fit predictions of the chromatic contrast model in some cases, but showed a fair fit to the achromatic model. Detection responses of social eavesdroppers (male S. ocreata) fit the chromatic and achromatic contrast models slightly better than did female responses (poor fit and very good fit, respectively). Eavesdropping wolf spider predators (Rabidosa) exhibited detection responses that significantly matched predictions of the chromatic (very good fit) and achromatic (excellent fit) models. Whereas jumping spiders (Phidippus) showed a good fit to the chromatic and achromatic contrast models, toad predators had a good fit only to the chromatic model. Recognition responses revealed a different pattern of fit to the chromatic and achromatic models across receiver types, although Rabidosa again indicated a significant fit to both models. Taken together, the results of this study identify both chromatic and achromatic features of spider appearance as likely explanations for differences in behavioral responses of intended and unintended receivers. This outcome suggests the possibility that both sexual and natural selection likely target different features of male appearance during courtship. Some of the most striking examples of animal displays involve conspicuous male courtship signals, although such signals often can be exploited by eavesdropping competitors and predators. In this study we manipulated the coloration of courting male Schizocosa ocreata wolf spiders and their leaf-litter backgrounds from pre-existing video footage. We then played back the altered video clips to female conspecifics and eavesdroppers (competing conspecific males and potential predators: non-conspecific wolf spiders, jumping spiders, and toads) and recorded their responses. From these responses we scored both stimulus detection (latency to orient) and recognition (receptivity movements in conspecific females, tapping bouts in conspecific males, and attack in other viewers). Color differences in the courting male stimuli and leaf-litter backgrounds proved to be important for detection and recognition, even for wolf spiders with limited dichromatic vision. Moreover, for jumping spiders and predatory toads with tetrachromatic and trichromatic vision respectively, color of the prey spider stimulus was particularly salient. Overall, our experimental results support the hypothesis that receivers with different visual capacities should vary in their responses to color and contrast of courting male spiders against complex backgrounds.</t>
  </si>
  <si>
    <t>10.1007/s00265-024-03453-8</t>
  </si>
  <si>
    <t>WOS:001190569600001</t>
  </si>
  <si>
    <t>Flamarique, IN; Bergstrom, C; Cheng, CL; Reimchen, TE</t>
  </si>
  <si>
    <t>Flamarique, Inigo Novales; Bergstrom, Carolyn; Cheng, Christiana L.; Reimchen, Thomas E.</t>
  </si>
  <si>
    <t>Role of the iridescent eye in stickleback female mate choice</t>
  </si>
  <si>
    <t>Many vertebrates exhibit prominent body colours that are used in courtship and territorial communication. Some fishes also have an eye whose iris becomes iridescent during the mating season, as in the threespine stickleback. Behavioural studies in this species have focused on the redness of the throat/jaw as the primary determinant of female mate choice. Unlike the iridescent eye, however, the red throat/jaw is not present in all stickleback populations, suggesting that the colour of the eye may be equally important for female mate choice. Here, we used data on photoreceptors and environmental light to assess body conspicuousness and the colour contrast of courtship signals for stickleback populations living in a range of waters, from clear (mesotrophic) to red light shifted (dystrophic). This analysis indicated that the redness of the throat/jaw is expressed to enhance the contrast of the eye. To test the importance of eye colour as a courtship signal, we carried out mate choice experiments in which females were presented with identical videos of a courting male but for the colour of the eye and/or the throat/jaw. Females did not choose based on differences in throat/jaw redness between videos, but preferred males with the highest contrast between the eye and the throat/jaw. This result points to the blue iridescent eye as a primary courtship signal in stickleback female mate choice.</t>
  </si>
  <si>
    <t>10.1242/jeb.084889</t>
  </si>
  <si>
    <t>WOS:000321614700015</t>
  </si>
  <si>
    <t>Pasteels, JM; Deparis, O; Mouchet, SR; Windsor, DM; Billen, J</t>
  </si>
  <si>
    <t>Pasteels, Jacques M.; Deparis, Olivier; Mouchet, Sebastien R.; Windsor, Donald M.; Billen, Johan</t>
  </si>
  <si>
    <t>Structural and physical evidence for an endocuticular gold reflector in the tortoise beetle, Charidotella ambita</t>
  </si>
  <si>
    <t>Charidotella ambita offers a unique opportunity for unambiguously locating its gold reflector by comparing the structure of reflecting and non-reflecting cuticle of the elytron and pronotum. Using light microscopy and TEM, the reflector was located underneath the macrofiber endocuticle just above the epidermis. The reflector is a multilayer comprising up to 50 bilayers alternating high and low density layers parallel to the surface of the cuticle. It is chirped, i.e., showing a progressive decrease in layer thickness from approximately 150 nm-100 nm across its depth. The high density layers in contact with the endocuticle fuse to the last macrofiber when the reflector is interrupted by a trabecula, demonstrating their cuticular nature. Simulated reflectance spectra from models of the multilayer matched the reflection spectra measured on the major gold patch of the elytron of living specimens. Previous reports in adult insects exhibiting metallic colors located their reflector in the upper strata and structures of the cuticle, i.e., epicuticle, exocuticle, scales and hairs. Thus, the endocuticular location of the reflector in C. ambita (and other tortoise beetles) appears unique for adult insects. Gold reflection appears in C ambita only when the synthesis of the macrolayer endocuticle is complete, which may take up to 2 weeks. The development of the gold reflector coincides with the start of mating behavior, possibly suggesting a signaling function in conspecific recognition once sexual maturity has been reached. (C) 2016 Elsevier Ltd. All rights reserved.</t>
  </si>
  <si>
    <t>Mouchet, Sébastien/L-5902-2016</t>
  </si>
  <si>
    <t>Mouchet, Sébastien/0000-0001-6611-3794</t>
  </si>
  <si>
    <t>10.1016/j.asd.2016.10.008</t>
  </si>
  <si>
    <t>WOS:000389092000001</t>
  </si>
  <si>
    <t>Svensson, EI; Karlsson, K; Friberg, M; Eroukhmanoff, F</t>
  </si>
  <si>
    <t>Svensson, Erik I.; Karlsson, Kristina; Friberg, Magne; Eroukhmanoff, Fabrice</t>
  </si>
  <si>
    <t>Gender differences in species recognition and the evolution of asymmetric sexual isolation</t>
  </si>
  <si>
    <t>CURRENT BIOLOGY</t>
  </si>
  <si>
    <t>Closely related sympatric species are expected to evolve strong species discrimination because of the reinforcement of mate preferences [1-4]. Fitness costs of heterospecific matings are thought to be higher in females than in males, and females are therefore expected to show stronger species discrimination than males [5, 6]. Here, we investigated gender and species differences in sexual isolation in a sympatric species pair of Calopteryx damselflies. The genus Calopteryx is one of the classic examples of reproductive character displacement in evolutionary biology, with exaggerated interspecific differences in the amount of dark wing coloration when species become sympatric [7-9]. Experimental manipulation of the extent of dark wing coloration revealed that sexual isolation results from both female and male mate discrimination and that wing melanization functions as a species recognition character. Female choice of conspecific males is entirely based on wing coloration, whereas males in one species also use other species recognition cues in addition to wing color. Stronger species discrimination ability in males is presumably an evolutionary response to an elevated male predation risk caused by conspicuous wing coloration [10]. Gender differences in species discrimination and fitness costs of male courtship can thus shed new light on the evolution of asymmetric sexual isolation and the reinforcement of mate preferences [2-4, 11].</t>
  </si>
  <si>
    <t>Svensson, Erik/E-8324-2010; Eroukhmanoff, Fabrice/F-8319-2010; eroukhmanoff, fabrice/D-1414-2015</t>
  </si>
  <si>
    <t>Svensson, Erik/0000-0001-9006-016X;</t>
  </si>
  <si>
    <t>0960-9822</t>
  </si>
  <si>
    <t>1879-0445</t>
  </si>
  <si>
    <t>NOV 20</t>
  </si>
  <si>
    <t>10.1016/j.cub.2007.09.038</t>
  </si>
  <si>
    <t>WOS:000251274300027</t>
  </si>
  <si>
    <t>JENSEN, GC</t>
  </si>
  <si>
    <t>COMPETENCE, SETTLING BEHAVIOR, AND POSTSETTLEMENT AGGREGATION BY PORCELAIN CRAB MEGALOPAE (ANOMURA, PORCELLANIDAE)</t>
  </si>
  <si>
    <t>Gregarious settlement by megalopae of the porcelain crabs Petrolisthes cinctipes (Randall) and P. eriomerus Stimpson was investigated to determine possible means of attraction and postsettlement benefits. Megalopae of P. eriomerus were attracted to conspecific adults confined to chambers that prevented tactile or visual contact, suggesting that postlarvae respond to a waterborne cue. There was also clear evidence of an extended period of competency for settlement, since newly molted megalopae of P. cinctipes held with conspecific adults settled within 2-4 days while those without adults delayed settlement for 2-3 wk. Loss of swimming ability at settlement is followed by degeneration of the pleopods and color changes. Following settlement juvenile instars appear to gain protection by continuing to hide between and beneath conspecific adults; this behavior significantly reduced predation in a laboratory experiment.</t>
  </si>
  <si>
    <t>10.1016/S0022-0981(05)80005-X</t>
  </si>
  <si>
    <t>WOS:A1991GR91500004</t>
  </si>
  <si>
    <t>Weiss, SL; Dubin, M</t>
  </si>
  <si>
    <t>Weiss, Stacey L.; Dubin, Matthew</t>
  </si>
  <si>
    <t>Male mate choice as differential investment in contest competition is affected by female ornament expression</t>
  </si>
  <si>
    <t>High male mating effort and high variation in female quality select for male mate choice, which may be expressed as differential investment of reproductive effort based on female value. Male reproductive effort includes investment in direct contest competition with rival males for access to females, yet variation in male-male contest behavior is rarely examined in the context of male mate choice. We examine such male response to variation in female body size, reproductive state, and female-specific ornamentation in the striped plateau lizard, Sceloporus virgatus. We housed lizards in trios of 2 size-matched males and one female for 5 days, such that all 3 lizards were physically isolated and the males could see the female but not each other. We then placed males simultaneously into the female's cage and scored the interaction. Male-male aggression was not significantly affected by female body size, reproductive state, nor ornament color, but was influenced by ornament size which reliably signals the phenotypic quality of the female and her offspring. In the presence of larger-ornamented females, males engaged in more male-male aggressive display behavior more quickly, and performed fewer high-intensity contact behaviors but were equally likely to escalate to this riskier level of fighting. Our data suggest that males adjust their energetic investment during intrasexual competitive interactions in response to variation in the contested female which, assuming males gain direct or indirect benefits from their strategic allocation of reproductive effort, fits the modern understanding of male mate choice.</t>
  </si>
  <si>
    <t>10.1093/cz/zoy023</t>
  </si>
  <si>
    <t>WOS:000436421000010</t>
  </si>
  <si>
    <t>FORSTER, GR</t>
  </si>
  <si>
    <t>RAJA RICHARDSONI FROM CONTINENTAL SLOPE OFF SOUTH-WEST ENGLAND</t>
  </si>
  <si>
    <t>Two rays caught in May 1964 by deep sea line fishing are shown to be conspecific with the New Zealand type specimen. Differing characters include color, number of teeth, and presence of a lateral process on the nasal flap.</t>
  </si>
  <si>
    <t>10.1017/S0025315400016581</t>
  </si>
  <si>
    <t>WOS:A19657014900017</t>
  </si>
  <si>
    <t>Schultz, TD; Fincke, OM</t>
  </si>
  <si>
    <t>Schultz, Tom D.; Fincke, Ola M.</t>
  </si>
  <si>
    <t>Lost in the crowd or hidden in the grass: signal apparency of female polymorphic damselflies in alternative habitats</t>
  </si>
  <si>
    <t>Animals must locate prey and mates in noisy sensory environments. Species that rely on visual cues, and which are prey of visual predators, consequently face trade-offs. Additionally, within species, sexual conflict over mating may impose pressures to avoid both predators and mates. Many studies have attempted to explain female-specific polymorphisms in damselflies, but without considering their actual conspicuousness under natural conditions. Using models of colour perception for damselflies and birds, we assessed the detectability of female coloration to conspecific males and potential predators. Alternative colour morphs reduce female apparency either through signal similarity with conspecific males (i.e. mimicry) or by matching the noise of the visual background. The colours of male-mimicking andromorphs that reduce their apparency among groups of males at breeding sites render them highly detectable to males as well as visual predators in offshore vegetation, where females occur when not reproducing. By presenting tethered female damselflies to free-flying males amidst vegetation, we demonstrated that, among flying females, males were able to detect andromorphs more easily than the more cryptic heteromorphs. Thus, when male density is low, cryptic heteromorphs may experience less harassment than andromorphs, suggesting a scenario of disruptive selection on female coloration driven by males as well as predators. Greater attention is warranted not only to the predation risks of female signals, but also to the effect of variation in the visual environments on encounters between males and unreceptive females. (C) 2013 The Association for the Study of Animal Behaviour. Published by Elsevier Ltd. All rights reserved.</t>
  </si>
  <si>
    <t>Fincke, Ola/0000-0002-4456-0136</t>
  </si>
  <si>
    <t>10.1016/j.anbehav.2013.08.008</t>
  </si>
  <si>
    <t>WOS:000326272200011</t>
  </si>
  <si>
    <t>Kuo, CY; Melo-Flóres, L; Aragón, A; Oberweiser, MM; McMillan, WO; Pardo-Diaz, C; Salazar, C; Merrill, RM</t>
  </si>
  <si>
    <t>Kuo, Chi-Yun; Melo-Flores, Lina; Aragon, Andrea; Oberweiser, Morgan M.; McMillan, W. Owen; Pardo-Diaz, Carolina; Salazar, Camilo; Merrill, Richard M.</t>
  </si>
  <si>
    <t>Divergent warning patterns influence male and female mating behaviours in a tropical butterfly</t>
  </si>
  <si>
    <t>Traits under divergent ecological selection that also function during mating can be important in maintaining species boundaries. Few studies have considered mutual mate choice, where both males and females base mating decisions on the same trait. Wing colouration in Heliconius butterflies evolved as a warning signal but also functions as a mating cue. We investigated the contribution of visual preference to assortative mating in an aposematic butterfly Heliconius cydno in the context of reproductive isolation with its sympatric, visually distinct relative Heliconius melpomene. Heliconius cydno have conspicuous white bands on their forewings, whereas those of H. melpomene are red in colour. We predicted that both sexes of H. cydno contributed to assortative mating by exhibiting visual preference towards conspecific wing colouration. We analysed published and new data from preference experiments, in which males were presented with conspecific and H. melpomene females. We also recorded female responses and mating outcomes in choice experiments, involving conspecific males with either the original white or artificially painted red forewing bands. Both sexes of H. cydno responded more positively towards the conspecific colouration, and males strongly preferred females of its own colours. In contrast, male colouration did not predict mating outcomes in female choice experiments. As courtships are initiated by males in butterflies, our findings suggest that female visual preference might be of secondary importance in H. cydno. Our data also suggest that the contribution of visual preference to reproductive isolation might be unequal between H. cydno and its sympatric relative H. melpomene. Graphical Abstract</t>
  </si>
  <si>
    <t>Melo-Florez, Lina/0000-0002-4624-0224; Oberweiser, Morgan/0009-0006-2968-4399; Merrill, Richard/0000-0003-4527-9298; Kuo, Chi-Yun/0000-0002-8533-9358</t>
  </si>
  <si>
    <t>10.1093/jeb/voae010</t>
  </si>
  <si>
    <t>WOS:001155391900001</t>
  </si>
  <si>
    <t>Baude, M; Danchin, É; Mugabo, M; Dajoz, I</t>
  </si>
  <si>
    <t>Baude, Mathilde; Danchin, Etienne; Mugabo, Marianne; Dajoz, Isabelle</t>
  </si>
  <si>
    <t>Conspecifics as informers and competitors: an experimental study in foraging bumble-bees</t>
  </si>
  <si>
    <t>Conspecifics are usually considered competitors negatively affecting food intake rates. However, their presence can also inform about resource quality by providing inadvertent social information. Few studies have investigated whether foragers perceive conspecifics as informers or competitors. Here, we experimentally tested whether variation in the density of demonstrators ('none', 'low' and 'high'), whose location indicated flower profitability, affected decision-making of bumble-bees Bombus terrestris. Bumble-bees foraged on either 'simple' (two colours) or 'complex' (four colours) artificial floral communities. We found that conspecifics at low density may be used as sources of information in first flower choices, whereas they appeared as competitors over the whole foraging sequence. Low conspecific densities improved foragers' first-visit success rate in the simple environment, and decreased time to first landing, especially in the complex environment. High conspecific densities did not affect these behavioural parameters, but reduced flower constancy in both floral communities, which may alter the efficiency of pollinating visits. These results suggest that the balance of the costs and benefits of conspecific presence varies with foraging experience, floral community and density. Spatio-temporal scales could thus be an important determinant of social information use. This behavioural flexibility should allow bumble-bees to better exploit their environment.</t>
  </si>
  <si>
    <t>Danchin, Etienne/A-2299-2009; Danchin, Etienne/AAB-2091-2021; Mugabo, Marianne/P-3527-2015</t>
  </si>
  <si>
    <t>Danchin, Etienne/0000-0002-5013-9612; Mugabo, Marianne/0000-0002-2346-2617</t>
  </si>
  <si>
    <t>10.1098/rspb.2010.2659</t>
  </si>
  <si>
    <t>WOS:000293733600015</t>
  </si>
  <si>
    <t>Ramos-Fabiel, MA; Martorell, C</t>
  </si>
  <si>
    <t>Alejandro Ramos-Fabiel, Melbi; Martorell, Carlos</t>
  </si>
  <si>
    <t>Testing competing hypotheses about the behaviour of floral visitors in mixed-flower stands</t>
  </si>
  <si>
    <t>ECOLOGICAL ENTOMOLOGY</t>
  </si>
  <si>
    <t>1. Plants occur in mixed stands and flower simultaneously. Most hypotheses about how flowers affect the visitation rates of conspecific or heterospecific neighbours involve attractiveness. Attractive flowers are thought to monopolise visitors, but also to act as magnets increasing visits to unattractive neighbours. Attractiveness may be density-dependent: Visitors could profit from focusing on abundant species, sometimes forming search images that make rare flowers less detectable. 2. We tested four hypotheses using data on visitation rates by honeybees (Apis melifera) and bee flies (Bombyliidae) to 1072 stands comprising six plant species in different densities. Hypotheses were compared through multi-model inference using the disc equation (a functional response model) modified for co-flowering species and density-dependent attractiveness. 3. We found that the most attractive flowers had attributes (colour, position, mobility) that elicit strong responses in the sensory apparatus of each type of visitor. 4. Attractiveness usually increased with conspecific floral density, indicating that visitors focus on abundant species. The most attractive flowers strongly reduced the attractiveness of their neighbours, reinforcing visitor monopolisation. However, mildly attractive species increased the attractiveness of less alluring flowers, acting as magnets. 5. In bombyliids, flowers increased the attractiveness of same-coloured heterospecifics but reduced it when colours differed, suggesting search-image formation. The results were similar for both types of visitors but were weaker and less consistent in honeybees. This suggests that Apis behaviour is not as rapidly adjusted to local densities as that of bombyliids, perhaps because of longer-term memory or a strong role of sociality in determining individual behaviour.</t>
  </si>
  <si>
    <t>0307-6946</t>
  </si>
  <si>
    <t>1365-2311</t>
  </si>
  <si>
    <t>10.1111/een.13098</t>
  </si>
  <si>
    <t>OCT 2021</t>
  </si>
  <si>
    <t>WOS:000711895800001</t>
  </si>
  <si>
    <t>Olsson, M; Schwartz, T; Uller, T; Healey, M</t>
  </si>
  <si>
    <t>Olsson, Mats; Schwartz, Tonia; Uller, Tobias; Healey, Mo</t>
  </si>
  <si>
    <t>Effects of sperm storage and male colour on probability of paternity in a polychromatic lizard</t>
  </si>
  <si>
    <t>Sexual selection may take place before or after mating and may involve a large number of different mechanisms, for example, overt male aggression, mate choice, sperm competition and cryptic female choice. In most species, males show similar reproductive tactics and, hence, achieve their reproductive success in the same or a similar way. Sometimes, however, males evolve alternative reproductive tactics. One such example is the polychromatic Australian painted dragon lizard, Ctenophorus pictus, in which red males beat yellow males in staged contests for females and show different emergence patterns post-hibernation in the wild with red males emerging to establish territories before yellow males do (at least in some years). Here we show that yellow males have significantly larger testes in relation to body size and condition than red males and copulate for a shorter period of time. Our mating experiments further showed that sperm storage played a significant role in male reproductive success (i.e. males sired offspring in later ovarian cycles than the one in which they actually mated). Furthermore, yellow males had a three times higher probability of paternity in some situations of sperm competition than red males, suggesting that male polymorphism may be associated with different reproductive tactics. 2008 The Association for the Study of Animal Behaviour. Published by Elsevier Ltd.</t>
  </si>
  <si>
    <t>Schwartz, Todd/D-4995-2012; Olsson, Mats/AAK-5565-2021</t>
  </si>
  <si>
    <t>Schwartz, Todd/0000-0002-0232-2543; Olsson, Mats/0000-0002-4130-1323; Schwartz, Tonia/0000-0002-7712-2810</t>
  </si>
  <si>
    <t>10.1016/j.anbehav.2008.10.017</t>
  </si>
  <si>
    <t>WOS:000262709400018</t>
  </si>
  <si>
    <t>Hardy, EJ; Bumm, LA; Schlupp, I</t>
  </si>
  <si>
    <t>Hardy, Elizabeth J.; Bumm, Lloyd A.; Schlupp, Ingo</t>
  </si>
  <si>
    <t>Social function of a variable lateral stripe in Xiphophorus hellerii?</t>
  </si>
  <si>
    <t>In a single population of a livebearing fish, the green swordtail (Xiphophorus hellerii), a trait considered a static badge of status in males of other populations, the color of a stripe covering the lateral line, has been found to be dynamic relative to their social environment, potentially rendering this signal meaningless. Males change the color expression of their lateral stripe dynamically based on social environment. We investigated if males (n = 26) respond to visual and chemical information about other males with a color change and aggressive behavior. We found that visual information is indeed causing color change, whereas chemical information is less effective. Aggressive responses and frequency of response did not change significantly with the mode of communication. We also studied female preferences for color, but found no significant preference (n = 32). Our results lead to questions as to how interpopulation variation can affect preferences and how dynamic signaling-in this case signal transmission presumably dependent on sex and/or status-influences the behavioral interactions we might expect between X. hellerii in the field.</t>
  </si>
  <si>
    <t>Schlupp, Ingo/C-3913-2012; Bumm, Lloyd/B-5738-2011</t>
  </si>
  <si>
    <t>Bumm, Lloyd/0000-0003-2301-8193</t>
  </si>
  <si>
    <t>10.1111/eth.12664</t>
  </si>
  <si>
    <t>WOS:000414036700013</t>
  </si>
  <si>
    <t>BARLOW, GW</t>
  </si>
  <si>
    <t>IS MATING DIFFERENT IN MONOGAMOUS SPECIES - THE MIDAS CICHLID FISH AS A CASE-STUDY</t>
  </si>
  <si>
    <t>AMERICAN ZOOLOGIST</t>
  </si>
  <si>
    <t>Monogamous species are typically sexually isomorphic, pair well before spawning is imminent, take much time to pair, are discerning about pairing, and appear to weigh multiple sources of information about species, sex, and quality of mate. The monogamous and polychromatic Midas cichlid (Cichlasoma citrinellum) distinguished between its own and a highly similar heterospecific behind a one-way mirror only when visual and chemical cues matched. Likewise, recognition of sex was hindered when interaction was precluded, even in the presence of chemical cues. Female choice of mate was most strongly influenced by the normal, primitive, color and to a lesser degree by color of parents and siblings, making it difficult to account for positive color-assortative mating in the field. Females also selected the largest and the most aggressive males; size predicted a good defender of territory, and aggressiveness foretold effective protection of the young. Males, however, were not choosy. Pair formation features much aggression between the large male and smaller female, and gold-colored morphs (G) dominate normal (N) ones. That made it difficult for an N female to pair with a G male; using an N female the same size as the G male, however, resulted in the usual proportion of successful pairings. I propose three testable models of pair compatibility: complementarity, parity, and maximum male aggressiveness.</t>
  </si>
  <si>
    <t>0003-1569</t>
  </si>
  <si>
    <t>WOS:A1992JK51200010</t>
  </si>
  <si>
    <t>Goldsmith, TH; Butler, BK</t>
  </si>
  <si>
    <t>The roles of receptor noise and cone oil droplets in the photopic spectral sensitivity of the budgerigar, Melopsittacus undulatus</t>
  </si>
  <si>
    <t>JOURNAL OF COMPARATIVE PHYSIOLOGY A-NEUROETHOLOGY SENSORY NEURAL AND BEHAVIORAL PHYSIOLOGY</t>
  </si>
  <si>
    <t>Individual budgerigars (Melopsittacus undulatus) were taught to detect narrow bands of wavelengths under ambient illumination of known spectral composition. Because the cone pigments of this species of bird have been identified and data on carotenoid absorbance present in the cone oil droplets are available, predictions of the Vorobyev-Osorio equations can be calculated with reasonable confidence. Based on more than 27,600 individual choices made by several birds at 10 wavelengths, the photopic sensitivity (i.e., color thresholds) of these birds is found to be consistent with the hypothesis that threshold discrimination of colored targets is limited by receptor noise And that high sensitivity to near-ultraviolet wavelengths is in harmony with the relatively small number of ultraviolet cones present in the retina. The pronounced fine structure of the sensitivity spectrum is caused by the absorption of cone oil droplets. Under natural sunlight, containing more energy in the near-ultraviolet than is present in artificial indoor lighting, the birds' peak of sensitivity in the ultraviolet should be much less prominent than it is in laboratory experiments.</t>
  </si>
  <si>
    <t>0340-7594</t>
  </si>
  <si>
    <t>10.1007/s00359-002-0385-8</t>
  </si>
  <si>
    <t>WOS:000181896800007</t>
  </si>
  <si>
    <t>Polaciková, L; Stokke, BG; Procházka, P; Honza, M; Moksnes, A; Roskaft, E</t>
  </si>
  <si>
    <t>Polacikova, Lenka; Stokke, Bard G.; Prochazka, Petr; Honza, Marcel; Moksnes, Arne; Roskaft, Eivin</t>
  </si>
  <si>
    <t>The role of blunt egg pole characteristics for recognition of eggs in the song thrush (Turdus philomelos)</t>
  </si>
  <si>
    <t>Colour and speckling of avian eggshells play important roles in egg recognition behaviour. However, only a few studies have paid attention to whether specific parts of eggs may be more important than others in rejection decisions by hosts. We hypothesised that the blunt pole in song thrush (Turdus philomelos) eggs possesses important cues for recognition of own eggs because this is the most visible part of the egg in the nest. We examined host response towards conspecific eggs painted blue either at the blunt or sharp poles, and used unpainted conspecific eggs as a control. We found, as predicted, that the experimental eggs painted blue at the blunt poles were rejected significantly more often than the experimental eggs unpainted at this pole. Rejection rates of experimental eggs were higher with increasing differences in number of spots between the two poles of own eggs. Our results confirmed that the essential cues used for egg discrimination in song thrushes are found at the blunt egg pole.</t>
  </si>
  <si>
    <t>Polacikova, Lenka/G-1109-2014; Røskaft, Eivin/N-7476-2019; ASCR, IVB/A-9883-2011; Procházka, Petr/A-9727-2008; Honza, Marcel/A-1123-2011</t>
  </si>
  <si>
    <t>Røskaft, Eivin/0000-0003-0262-8443; Procházka, Petr/0000-0001-9385-4547;</t>
  </si>
  <si>
    <t>10.1163/000579509X12584427339575</t>
  </si>
  <si>
    <t>WOS:000277127600003</t>
  </si>
  <si>
    <t>Aouissi, HA; Ababsa, M; Gaagai, A; Bouslama, Z; Farhi, Y; Chenchouni, H</t>
  </si>
  <si>
    <t>Aouissi, Hani Amir; Ababsa, Mostefa; Gaagai, Aissam; Bouslama, Zihad; Farhi, Yassine; Chenchouni, Haroun</t>
  </si>
  <si>
    <t>Does melanin-based plumage coloration reflect health status of free-living birds in urban environments?</t>
  </si>
  <si>
    <t>Background Ecological functions and processes in urban ecosystems are governed by various human activities. City-adapted and city-exploiting animal species are expected to present certain specific behavioral and physiological traits in comparison to city-avoiders or conspecific individual frequenting less urbanized or rural environments. A trait of high importance, the plumage color polymorphism has been selected as the main study model and was correlated with different morphological and physiological parameters to highlight its importance in determining the possible health status of urban Feral Pigeons (Columba livia) in North African urban habitats. Methods Different body morphometrics, hematological and hemoparasitic parameters were quantified on free-living Feral Pigeons in urban environments of northern Algeria. Moreover, plumage melanin-based coloration (MBC) was measured and the data collected at the individual scale was correlated with the previous parameters using linear and non-linear modeling approaches. Results Plumage MBC scores of the sampled Feral Pigeons ranged between 0.3% and 74.8%. Among the 12 morphological traits measured, body weight, tail length and total length were deemed to be positively correlated with MBC. Darker morphs appeared to have more hemoparasites compared to lighter pigeons. Quite the same observation goes with the immunity but with non-linear trends. The number of monocytes and granulocytes increased with the increase in MBC levels in lighter morphs, while pigeons with high MBC scores exhibited negative relationships between MBC levels and the number of white blood cells. Conclusions Despite the existence of a number of studies demonstrating phenotypic directional selection, further studies are undoubtedly necessary to understand in detail the underlying mechanisms in species life-history strategies between differently colored individuals. Findings of this correlative study open exciting perspectives revealing that MBC can be considered a good indicator of and health status and adaptation strategies to changes in urban environments.</t>
  </si>
  <si>
    <t>ababsa, mostefa/GOG-8295-2022; Chenchouni, Haroun/I-7494-2012; Farhi, Yassine/AAZ-3041-2021; Aouissi, H.A/ABG-3971-2020; Gaagai, Aissam/ACM-0028-2022</t>
  </si>
  <si>
    <t>ababsa, mostefa/0000-0002-0388-7175; Chenchouni, Haroun/0000-0001-9077-2706; Gaagai, Aissam/0000-0002-9646-2837; Yassine, FARHI/0000-0001-9506-4952; Aouissi, HA/0000-0003-0010-657X</t>
  </si>
  <si>
    <t>SEP 14</t>
  </si>
  <si>
    <t>10.1186/s40657-021-00280-7</t>
  </si>
  <si>
    <t>WOS:000695827100001</t>
  </si>
  <si>
    <t>WILSON, MA; GATTEN, RE</t>
  </si>
  <si>
    <t>AEROBIC AND ANAEROBIC METABOLISM OF PAIRED MALE LIZARDS (ANOLIS-CAROLINENSIS)</t>
  </si>
  <si>
    <t>The associations of physical activity, skin color, body mass difference and conspecific olfactory cues with short-term aerobic and anaerobic metabolism in paired male Anolis carolinensis were examined. Control measurements for mild laboratory manipulation (such as the movement of a metabolic chamber) yielded significant increases in the rate of oxygen consumption, but not in the lactate concentration of these animals; stronger manipulation increased both. A possible influence of conspecific olfactory cues on the metabolism of lizards introduced into empty chambers was undetected. Anoles that turned from green to brown with handling showed an increase in oxygen uptake, but an association between this color shift and total body lactate level was not detected. Elevated rates of oxygen use and glycolysis were found in pairs of males in the absence of physical activity. Lactate levels of the individuals of a pair were positively correlated with one another; the lactate concentrations of lizards placed into occupied metabolic chambers were correlated with the difference in body mass of the pair.</t>
  </si>
  <si>
    <t>10.1016/0031-9384(89)90201-1</t>
  </si>
  <si>
    <t>WOS:A1989CE14400011</t>
  </si>
  <si>
    <t>McElroy, EJ; Marien, C; Meyers, JJ; Irschick, DJ</t>
  </si>
  <si>
    <t>McElroy, Eric J.; Marien, Chloe; Meyers, Jay J.; Irschick, Duncan J.</t>
  </si>
  <si>
    <t>Do displays send information about ornament structure and male quality in the ornate tree lizard, Urosaurus ornatus?</t>
  </si>
  <si>
    <t>Displays can transmit information about ornament or male quality; however, few studies have simultaneously explored the relationship between displays, ornament and male quality within a single species. We quantified ornament morphology (five throat color morphs, throat area, and belly area), male quality (bite force, sprint speed, body condition, and body mass), display behavior [percent time displaying (PTD), number of pushups per display, and display duration], and movement behavior among males in a population of the ornate tree lizard, Urosaurus ornatus. Previous studies have shown that male U. ornatus are polymorphic in throat coloration and that morphs differ in behavioral aggression. Our study shows that blue throat morphs use 1.5 more pushups per display than other male color morphs, which suggests that throat color and display behavior act as backup signals for aggression. However, other data support the multiple messages hypothesis, and overall our data do not provide conclusive evidence for any one hypothesis. In addition, we show that body mass is positively related to both PTD and percent time moving and this relationship is independent of color morph. We also found that throat area, belly area, bite force, sprint speed, and body condition are unrelated to display behavior. This result highlights at least some discordance between display behavior, ornaments, and performance in U. ornatus and suggests that these traits may be evolving independently.</t>
  </si>
  <si>
    <t>10.1111/j.1439-0310.2007.01420.x</t>
  </si>
  <si>
    <t>WOS:000250262400011</t>
  </si>
  <si>
    <t>DEMARTINI, EE</t>
  </si>
  <si>
    <t>SOCIAL-BEHAVIOR AND COLORATION CHANGES IN PAINTED GREENLING, OXYLEBIUS-PICTUS (PISCES, HEXAGRAMMIDAE)</t>
  </si>
  <si>
    <t>Underwater observations in Puget Sound, Washington [USA] and off Cannery Row, Monterey, California, were used to characterize the courtship behavior of Oxylebius pictus. Observations during the nonbreeding season in Puget Sound allowed distinction between courtship and superficially similar agonistic behaviors. In Puget Sound, adult male O. pictus were territorial and the adults of both sexes were intraspecifically aggressive throughout the year. Total levels of aggression were similar during the breeding and nonbreeding seasons on Washington reefs, where intersexual aggression was equivalent during the two periods. More male-male aggression occurred in the breeding season than during the nonbreeding period in Puget Sound, when males also attacked other males more frequently than they attacked females. Most female aggression occurred during the nonbreeding season and was directed at other females. Fundamental sexual dichromatism in O. pictus is modified during courtship and during agonistic interactions between individuals of the same or opposite sex. Behavioural modification of sexual dichromatisms in O. pictus and other hexagrammids is compared to the patterns of sexual color differences known for other teleosts. Sexual color patterns are discussed in relation to niche partitioning and agonistic and epigamic sexual selection.</t>
  </si>
  <si>
    <t>DeMartini, Edward/KIE-6411-2024</t>
  </si>
  <si>
    <t>WOS:A1985AXC0800019</t>
  </si>
  <si>
    <t>Marshall, KLA; Stevens, M</t>
  </si>
  <si>
    <t>Marshall, Kate L. A.; Stevens, Martin</t>
  </si>
  <si>
    <t>Wall lizards display conspicuous signals to conspecifics and reduce detection by avian predators</t>
  </si>
  <si>
    <t>Visual signals are often under conflicting selection to be hidden from predators while being conspicuous to mates and rivals. Here, we investigated whether 3 different island populations of Aegean wall lizards (Podarcis erhardii) with variable coloration among diverse island habitats exhibit simultaneous camouflage and sexual signals. We examined whether signals appear better tuned to conspecific vision as opposed to that of avian predators, and whether background-matching camouflage and sexual signals are partitioned to specific body regions. This could facilitate both covert sexual signaling and camouflage according to the viewing perspectives of predators and conspecifics. We found that lizards typically appeared twice as conspicuous to conspecifics than to avian predators against the same visual background, largely due to lizards' enhanced sensitivity to ultraviolet, suggesting that P. erhardii signals are tuned to conspecific vision to reduce detection by predators. Males were more conspicuous than females to both predators and conspecifics. In 2 populations, male backs were relatively more camouflaged to predators compared to signaling flanks, whereas in females, exposed and concealed surfaces were camouflaged to predators and generally did not differ in background matching. These findings indicate that lizard coloration evolves under the competing demands of natural and sexual selection to promote signals that are visible to conspecifics while being less perceptible to avian predators. They also elucidate how interactions between natural and sexual selection influence signal detectability and partitioning to different body regions, highlighting the importance of considering receiver vision, viewing perspectives, and signaling environments in studies of signal evolution.Lizards and their predators see the world differently, allowing lizards (Podarcis erhardii) to display bright sexual signals that are less visible to hunting birds. Males are more conspicuous than females, but reduce their visibility to predators by having camouflaged backs and restricting brighter signals to their sides, which makes them less visible to birds hunting from above while still being highly visible to mates and rivals on the ground.</t>
  </si>
  <si>
    <t>Stevens, Martin/0000-0001-7768-3426</t>
  </si>
  <si>
    <t>10.1093/beheco/aru126</t>
  </si>
  <si>
    <t>WOS:000345432900014</t>
  </si>
  <si>
    <t>Kondo, N; Izawa, E</t>
  </si>
  <si>
    <t>Kondo, Noriko; Izawa, Eiichi</t>
  </si>
  <si>
    <t>Individual differences in facial configuration in large-billed crows</t>
  </si>
  <si>
    <t>The recognition of individuals is a basic cognitive ability of social animals. A prerequisite for individual recognition is distinct characteristics that can be used to distinguish between other conspecific individuals. Studies of birds have shown that visual information, such as colour patterning, is used in individual recognition. However, in the case of monochromatic birds, colour patterning cannot be used to identify individuals. Therefore, we expected that the configuration of facial features, such as the shape of the bills or eyes, may have enough individuality to permit individual recognition in such species. In this study, we aimed to clarify visible individual differences in the facial configuration of large-billed crows (Corvus macrorhynchos). Specifically, we analysed the profile pictures of 16 crows. We measured 26 variables in 20 pictures of each bird and then performed principal component analysis and discriminant function analysis. The results showed that the configuration of the facial profiles was individually distinct, but re-classification by discriminant functions implied that it did not clearly differ between sexes. These results suggest that crows may be able to recognise individuals on the basis of the individuality of facial configuration, even in the absence of any conspicuous colour patterning.</t>
  </si>
  <si>
    <t>10.1007/s10211-013-0156-2</t>
  </si>
  <si>
    <t>WOS:000331631900006</t>
  </si>
  <si>
    <t>Waddell, JC; Caputi, AA</t>
  </si>
  <si>
    <t>Waddell, Joseph C.; Caputi, Angel A.</t>
  </si>
  <si>
    <t>Electrocommunication in pulse Gymnotiformes: the role of electric organ discharge (EOD) time course in species identification</t>
  </si>
  <si>
    <t>Understanding how individuals detect and recognize signals emitted by conspecifics is fundamental to discussions of animal communication. The species pair Gymnotus omarorum and Brachyhypopomus gauderio, found in syntopy in Uruguay, emit species-specific electric organ discharge (EOD) that can be sensed by both species. The aim of this study was to unveil whether either of these species is able to identify a conspecific EOD, and to investigate distinctive recognition signal features. We designed a forced-choice experiment using a natural behavior (i.e. tracking electric field lines towards their source) in which each fish had to choose between a conspecific and a heterospecific electric field. We found a clear pattern of preference for a conspecific waveform even when pulses were played within 1 Hz of the same rate. By manipulating the time course of the explored signals, we found that the signal features for preference between conspecific and heterospecific waveforms were embedded in the time course of the signals. This study provides evidence that pulse Gymnotiformes can recognize a conspecific exclusively through species-specific electrosensory signals. It also suggests that the key signal features for species differentiation are probably encoded by burst coder electroreceptors. Given these results, and because receptors are sharply tuned to amplitude spectra and also tuned to phase spectra, we extend the electric color hypothesis used in the evaluation of objects to apply to communication signals.</t>
  </si>
  <si>
    <t>CAPUTI, ANGEL/0000-0002-7238-0538; Waddell, Joseph/0000-0003-4397-0704</t>
  </si>
  <si>
    <t>jeb226340</t>
  </si>
  <si>
    <t>10.1242/jeb.226340</t>
  </si>
  <si>
    <t>WOS:000576694400015</t>
  </si>
  <si>
    <t>Jones, CW; Risi, MM; Osborne, A; Bester, MN</t>
  </si>
  <si>
    <t>Jones, Christopher W.; Risi, Michelle M.; Osborne, Alexis; Bester, Marthan N.</t>
  </si>
  <si>
    <t>First record of a leucistic sub-Antarctic fur seal</t>
  </si>
  <si>
    <t>Anomalous pelage colourations have been reported to occur in several pinniped species and can potentially be used to assess gene flow amongst conspecific populations. Aberrant pelage colour has not been documented in sub-Antarctic fur seals Arctocephalus tropicalis older than pups. Sub-Antarctic fur seals were inspected on two of the beaches at Gough Island, South Atlantic Ocean, in the austral summer of 2018/19. A leucistic adult male was sighted on 09 January 2019, the first recorded leucistic individual for the species. Given the apparent extreme rarity of leucism in this sub-Antarctic pinniped species, it is unlikely to contribute to assessment of gene flow amongst conspecific populations.</t>
  </si>
  <si>
    <t>Jones, Christopher/0000-0002-4112-1912</t>
  </si>
  <si>
    <t>1432-2056</t>
  </si>
  <si>
    <t>10.1007/s00300-019-02506-3</t>
  </si>
  <si>
    <t>WOS:000470694200016</t>
  </si>
  <si>
    <t>Lindsay, WR; Webster, MS; Varian, CW; Schwabl, H</t>
  </si>
  <si>
    <t>Lindsay, Willow R.; Webster, Michael S.; Varian, Claire W.; Schwabl, Hubert</t>
  </si>
  <si>
    <t>Plumage colour acquisition and behaviour are associated with androgens in a phenotypically plastic tropical bird</t>
  </si>
  <si>
    <t>Androgens regulate male reproductive behaviour and may be a mechanistic link between sexual signals and physiological condition. However, the role of these hormones in regulating prenuptial moult and male plumage signals of passerine birds is unclear. In the red-backed fairy-wren, Malurus melanocephalus, plumage colour is a sexually selected trait and males express three reproductive phenotypes: males can breed in bright red and black plumage or in dull brown plumage, or assume dull plumage and act as nonbreeding auxiliaries; each phenotype differs in parental and reproductive behaviour. We found that plasma androgen concentrations differed significantly between male phenotypes, with red/black breeding males having the highest levels and auxiliaries having the lowest levels across all nesting stages. These hormonal differences were also present during the prebreeding moult when nuptial plumage is acquired. Males also differed significantly in body condition during moult based on the phenotype acquired in the subsequent breeding season, with red/black breeding males being in the best condition and auxiliaries being in the poorest condition. Moreover, androgen concentrations were positively correlated with body condition during prenuptial moult. Thus, in this species, androgens may determine plumage coloration and provide a link between the expression of sexual signals and body condition. The Association for the Study of Animal Behaviour. Published by Elsevier Ltd.</t>
  </si>
  <si>
    <t>Webster, Michael/AAB-7151-2020</t>
  </si>
  <si>
    <t>Webster, Michael/0000-0001-7585-4578</t>
  </si>
  <si>
    <t>10.1016/j.anbehav.2009.02.027</t>
  </si>
  <si>
    <t>WOS:000266884200022</t>
  </si>
  <si>
    <t>Brazill-Boast, J</t>
  </si>
  <si>
    <t>Brazill-Boast, James</t>
  </si>
  <si>
    <t>Competition for resources mediated by intrinsic social dominance in sympatric finches</t>
  </si>
  <si>
    <t>Gouldian Erythrura gouldiae and Long-tailed Finches Poephila acuticauda are morphologically and ecologically similar sympatric species, for which social dominance relationships are likely to determine access to critical limiting resources. Building on previous research showing that Long-tailed Finches dominate competition for nest-sites, I staged dyadic contests for food between the two species in captivity in order to test social dominance dynamics under controlled conditions. Long-tailed Finches were likely to dominate interactions with Gouldian Finches and expressed higher levels of aggression while competing for access to food. These results suggest a stable dominance relationship between the two species which could be affecting Gouldian Finches' access to food resources in the wild, potentially constraining their ability to recover from recent population declines.</t>
  </si>
  <si>
    <t>Brazill-Boast, James/R-6195-2019</t>
  </si>
  <si>
    <t>10.1111/j.1474-919X.2012.01264.x</t>
  </si>
  <si>
    <t>WOS:000316326600017</t>
  </si>
  <si>
    <t>STACEY, PB; CHISZAR, D</t>
  </si>
  <si>
    <t>BODY COLOR PATTERN AND AGGRESSIVE-BEHAVIOR OF MALE PUMPKINSEED SUNFISH (LEPOMIS-GIBBOSUS) DURING REPRODUCTIVE SEASON</t>
  </si>
  <si>
    <t>Male pumpkinseed sunfish (L. gibbosus) readily attacked plywood models placed into their nests. Models containing red features (iris, opercular flap) received more attacks and aggressive displays than models lacking these features or than models which had these features painted black. This indicates that in the pattern of the male pumpkinseed, the red portion of the opercular flap and the red iris are social releasers for aggressive behavior. These features fade in subordinate pumpkinseeds in the laboratory and also in female pumpkinseeds before they enter the male''s nest during reproduction. This pattern change would therefore function to decrease aggressive behavior directed at these individuals. A conspicuous feature of the female pumpkinseed is the presence of lateral bars. When bars were added to models, reductions in aggressive behavior were consistently observed. Bars appeared to inhibit male aggression. Bluegill sunfish (L. macrochirus) nest sympatrically with pumpkinseeds and interspecific nest defense was commonly seen. A conspicuous feature of male bluegills is a dark spot in the area of the dorsal fin rays. When such a spot is added to models, increases in aggressive behavior were observed in male pumpkinseeds. This feature may provide a basis for interspecific recognition and reproductive isolation. Pumpkinseeds responded more vigorously to models than did bluegills. This may imply that the former are more attuned to morphological features than the latter. Bluegills may be more attuned to the behavior of nest intruders. This hypothesis agrees with differences in the nesting ecology of these species.</t>
  </si>
  <si>
    <t>10.1163/156853978X00062</t>
  </si>
  <si>
    <t>WOS:A1978EY03400006</t>
  </si>
  <si>
    <t>de León, JLP; León, G; Rodríguez, R; Metcalfe, CJ; Hernández, D; Casane, D; García-Machado, E</t>
  </si>
  <si>
    <t>Ponce de Leon, Jose Luis; Leon, Gunnary; Rodriguez, Rodet; Metcalfe, Cushla J.; Hernandez, Damir; Casane, Didier; Garcia-Machado, Erik</t>
  </si>
  <si>
    <t>Phylogeography of Cuban Rivulus: Evidence for allopatric speciation and secondary dispersal across a marine barrier</t>
  </si>
  <si>
    <t>MOLECULAR PHYLOGENETICS AND EVOLUTION</t>
  </si>
  <si>
    <t>The genus Rivulus is currently comprised of two species. R. cylindraceus and R. insulaepinorum, which are endemic to Cuba. However, the taxonomic status of the latter species remains dubious because of the poor quality of the original description. In addition, a recent barcoding survey suggests that the two species may be conspecific. The aim of this study was to test the hypothesis that the two species represent a single evolutionary clade. To delimit the species and their evolutionary history, we used a combination of molecular phylogenetic analyses, with both mitochondrial and nuclear sequences, tests of phylogeographic hypotheses, combined with morphological measurements and information on known dispersal barriers and species distribution. None of the data sets support R. insulaepinorum and R. cylindraceus as separate taxa. However, a new species, restricted to the northwestern part of the main island, was identified by phylogenetic analyses, body colour pattern and geographical distribution. The evolutionary distance between the two lineages (cytb, d = 15%; CAM-4, d = 2.5%) indicates a long period of divergence. Phylogeographic analyses shed light on the dispersal history of R. cylindraceus, which probably originated on the Isla de la Juventud. They also suggest that each lineage had contrasting histories; Rivulus sp. is restricted to a relatively small geographic area whereas R. cylindraceus has dispersed considerably and more than once from its centre of origin, probably facilitated by sea level fluctuations. These results strengthen previous findings, i.e. that the diversity of Cuban freshwater fishes is far from well-known and deserves more in-depth studies, and that vicariance and dispersal events have resulted in a complex biogeographical landscape which has had a significant impact on the freshwater fishes of the Caribbean islands. (C) 2014 Elsevier Inc. All rights reserved.</t>
  </si>
  <si>
    <t>Rodriguez-Silva, Rodet/AAP-8524-2020; Metcalfe, Cushla/GSI-8011-2022; Metcalfe, Cushla/D-2476-2013</t>
  </si>
  <si>
    <t>Metcalfe, Cushla/0000-0001-9375-3332; Metcalfe, Cushla/0000-0001-9375-3332; Garcia-Machado, Erik/0000-0001-5720-1733; Rodriguez Silva, Rodet/0000-0002-7463-8272</t>
  </si>
  <si>
    <t>1055-7903</t>
  </si>
  <si>
    <t>1095-9513</t>
  </si>
  <si>
    <t>10.1016/j.ympev.2014.07.007</t>
  </si>
  <si>
    <t>WOS:000342884800034</t>
  </si>
  <si>
    <t>Costanzo, A; Romano, A; Ambrosini, R; Parolini, M; Rubolini, D; Caprioli, M; Corti, M; Canova, L; Saino, N</t>
  </si>
  <si>
    <t>Costanzo, Alessandra; Romano, Andrea; Ambrosini, Roberto; Parolini, Marco; Rubolini, Diego; Caprioli, Manuela; Corti, Margherita; Canova, Luca; Saino, Nicola</t>
  </si>
  <si>
    <t>Barn swallow antipredator behavior covaries with melanic coloration and predicts survival</t>
  </si>
  <si>
    <t>Conspecific individuals often consistently differ in their behavioral responses to specific exogenous stimuli. Such individual differences in personality have been shown to be heritable, suggesting that selection maintains variation in personality. However, survival selection on a major personality trait, antipredator behavior, and its sex-dependency, has been seldom measured in the wild. Here, we found that yearling barn swallows (Hirundo rustica) showed consistency in agitation upon repeated exposure to a restraint-handling protocol, probably reflecting antipredator behavior, and that males were more agitated than females. Females that exhibited larger antipredator behavior were more likely to survive until the next breeding season with no variation among 3 study years nor across 7 breeding colonies, suggesting that variation in antipredator behavior is not maintained by spatiotemporal variation in viability selection on antipredator behavior. In both sexes, the intensity of melanin-based ventral plumage coloration positively covaried with antipredator behavior, consistent with previous observations from diverse vertebrate species. In some barn swallow populations, male coloration is targeted by directional intersexual selection, suggesting that melanization signals antipredator behavior to prospecting females and that sexual selection for antipredator behavior, or other correlated personality traits, can drive the evolution of sexual color dimorphism in barn swallows. Thus, we showed that viability selection occurs on antipredator behavior and that spatiotemporal variation in selection has no major role in promoting variation in antipredator behavior. More melanized individuals were more agitated, implying that melanization may signal personality in a sexual communication context in a species where male coloration is an epigamic trait.</t>
  </si>
  <si>
    <t>Rubolini, Diego/F-2851-2011; Corti, Margherita/AAB-4900-2022; Romano, Andrea/A-2780-2017; CORTI, MARGHERITA/AAD-2943-2022; Ambrosini, Roberto/F-3188-2012; costanzo, alessandra/A-3899-2017</t>
  </si>
  <si>
    <t>Rubolini, Diego/0000-0003-2703-5783; Romano, Andrea/0000-0002-0945-6018; CORTI, MARGHERITA/0000-0002-5064-1223; Ambrosini, Roberto/0000-0002-7148-1468; costanzo, alessandra/0000-0003-3781-0798; Parolini, Marco/0000-0003-0226-1709</t>
  </si>
  <si>
    <t>10.1093/beheco/ary102</t>
  </si>
  <si>
    <t>WOS:000453209600037</t>
  </si>
  <si>
    <t>Kemp, DJ</t>
  </si>
  <si>
    <t>Kemp, Darrell J.</t>
  </si>
  <si>
    <t>Female butterflies prefer males bearing bright iridescent ornamentation</t>
  </si>
  <si>
    <t>Butterflies are among nature's most colourful animals, and provide a living showcase for how extremely bright, chromatic and iridescent coloration can be generated by complex optical mechanisms. The gross characteristics of male butterfly colour patterns are understood to function for species and/or sex recognition, but it is not known whether female mate choice promotes visual exaggeration of this coloration. Here I show that females of the sexually dichromatic species Hypolimnas bolina prefer conspecific males that possess bright iridescent blue/ultraviolet dorsal ornamentation. In separate field and enclosure experiments, using both dramatic and graded wing colour manipulations, I demonstrate that a moderate qualitative reduction in signal brightness and chromaticity has the same consequences as removing the signal entirely. These findings validate a long-held hypothesis, and argue for the importance of intra- versus interspecific selection as the driving force behind the exaggeration of bright, iridescent butterfly colour patterns.</t>
  </si>
  <si>
    <t>10.1098/rspb.2006.0043</t>
  </si>
  <si>
    <t>WOS:000245472200005</t>
  </si>
  <si>
    <t>GILL, FB</t>
  </si>
  <si>
    <t>ALLOZYMES AND GENETIC SIMILARITY OF BLUE-WINGED AND GOLDEN-WINGED WARBLERS</t>
  </si>
  <si>
    <t>I studied variation in plumage color and allozymes in Golden-winged Warblers (Vermivora chrysoptera) from Minnesota and in Glue-winged Warblers (V. pinus) from Missouri and from eastern Pennsylvania. Color character scores were less than 2 in Missouri pinus and greater than 26 in Minnesota chrysoptera. The level of genetic divergence (D = 0.001) is comparable to that of conspecific populations of other passerine birds. I found no fixed alleles that could serve as genetic markers for studies of the evolutionary genetics of these warblers.</t>
  </si>
  <si>
    <t>10.2307/4087543</t>
  </si>
  <si>
    <t>WOS:A1987J266100010</t>
  </si>
  <si>
    <t>Sánchez-Guillén, RA; Martínez-Zamilpa, SMJ; Jiménez-Cortés, JG; Forbes, MRL; Córdoba-Aguilar, A</t>
  </si>
  <si>
    <t>Sanchez-Guillen, R. A.; Martinez-Zamilpa, S. M. J.; Jimenez-Cortes, J. G.; Forbes, M. R. L.; Cordoba-Aguilar, A.</t>
  </si>
  <si>
    <t>Maintenance of polymorphic females: do parasites play a role?</t>
  </si>
  <si>
    <t>The role of parasites in explaining maintenance of polymorphism is an unexplored research avenue. In odonates, female-limited color polymorphism (one female morph mimicking the conspecific male and one or more gynochromatic morphs) is widespread. Here we investigated whether parasitism contributes to color polymorphism maintenance by studying six species of female dimorphic damselflies using large databases of field-collected animals. We predicted that androchrome females (male mimics) would be more intensively parasitized than gynochrome females which is, according to previous studies, counterbalanced by the advantages of the former when evading male harassment compared to gynochrome females. Here we show that in Ischnura denticollis and Enallagma novahispaniae, androchrome females suffer from a higher degree of parasitism than gynochromatic females, and contrary to prediction, than males. Thus, our study has detected a correlation between color polymorphism and parasitic burden in odonates. This leads us to hypothesize that natural selection, via parasite pressure, can explain in part how androchrome and gynochrome female color morphs can be maintained. Both morphs may cope with parasites in a different way: given that androchrome females are more heavily parasitized, they may pay a higher fecundity costs, in comparison to gynochrome females.</t>
  </si>
  <si>
    <t>Forbes, Mark R/B-3575-2013; Cordero-Rivera, Adolfo/K-4182-2014; Jiménez-Cortés, J. Guillermo/AAS-3309-2020; Sanchez Guillen, Rosa Ana/Q-5714-2018</t>
  </si>
  <si>
    <t>Jiménez-Cortés, J. Guillermo/0000-0003-1783-5971; Forbes, Mark/0000-0002-2288-3209; Sanchez Guillen, Rosa Ana/0000-0001-6024-8321</t>
  </si>
  <si>
    <t>10.1007/s00442-012-2388-7</t>
  </si>
  <si>
    <t>WOS:000313079100010</t>
  </si>
  <si>
    <t>BRADSHAW, RH</t>
  </si>
  <si>
    <t>INDIVIDUAL ATTRIBUTES AS PREDICTORS OF SOCIAL-STATUS IN SMALL-GROUPS OF LAYING HENS</t>
  </si>
  <si>
    <t>Physical characters (weight, feather co]our, comb size and comb colour) were investigated as predictors of social status (dominance, aggression and social interactiveness) in four groups of laying hens. In one group there was a significant positive correlation between comb colour and dominance. In a second group there were significant positive correlations comb size and aggression and comb size and interactiveness. In a third group there was a significant positive correlation between body weight and interactiveness. No significant correlations between any measured physical characters and social status were found in the fourth group. The lack of correlational evidence across all groups suggests that social status is not determined by simple morphological characteristics but that the mechanisms involved are more complex.</t>
  </si>
  <si>
    <t>10.1016/S0168-1591(05)80095-4</t>
  </si>
  <si>
    <t>WOS:A1992JL53300007</t>
  </si>
  <si>
    <t>Pruett, JA; Zúñiga-Vega, JJ; Campos, SM; Soini, HA; Novotny, MV; Vital-García, C; Martins, EP; Hews, DK</t>
  </si>
  <si>
    <t>Pruett, Jake A.; Zuniga-Vega, J. Jaime; Campos, Stephanie M.; Soini, Helena A.; Novotny, Milos V.; Vital-Garcia, Cuauhcihuatl; Martins, Emilia P.; Hews, Diana K.</t>
  </si>
  <si>
    <t>Evolutionary Interactions Between Visual and Chemical Signals: Chemosignals Compensate for the Loss of a Visual Signal in Male Sceloporus Lizards</t>
  </si>
  <si>
    <t>JOURNAL OF CHEMICAL ECOLOGY</t>
  </si>
  <si>
    <t>Animals rely on multimodal signals to obtain information from conspecifics through alternative sensory systems, and the evolutionary loss of a signal in one modality may lead to compensation through increased use of signals in an alternative modality. We investigated associations between chemical signaling and evolutionary loss of abdominal color patches in males of four species (two plain-bellied and two colorful-bellied) of Sceloporus lizards. We conducted field trials to compare behavioral responses of male lizards to swabs with femoral gland (FG) secretions from conspecific males and control swabs (clean paper). We also analyzed the volatile organic compound (VOC) composition of male FG secretions by stir bar extraction and gas chromatography-mass spectrometry (GC-MS) to test the hypothesis that loss of the visual signal is associated with elaboration of the chemical signal. Males of plain-bellied, but not colorful-bellied species exhibited different rates of visual displays when exposed to swabs of conspecific FG secretions relative to control swabs. The VOC composition of male Sceloporus FG secretions was similar across all four species, and no clear association between relative abundances of VOCs and evolutionary loss of abdominal color patches was observed. The emerging pattern is that behavioral responses to conspecific chemical signals are species-and context-specific in male Sceloporus, and compensatory changes in receivers, but not signalers may be involved in mediating increased responsiveness to chemical signals in males of plain-bellied species.</t>
  </si>
  <si>
    <t>Vital, Cuau/AAQ-8145-2020; Zúñiga-Vega, J. Jaime/B-9423-2013</t>
  </si>
  <si>
    <t>Zúñiga-Vega, J. Jaime/0000-0002-9661-1521; Martins, Emilia/0000-0002-8952-3240; Vital Garcia, Cuauhcihuatl/0000-0002-3634-2964; Pruett, Jake/0000-0002-6421-0715</t>
  </si>
  <si>
    <t>0098-0331</t>
  </si>
  <si>
    <t>1573-1561</t>
  </si>
  <si>
    <t>10.1007/s10886-016-0778-8</t>
  </si>
  <si>
    <t>WOS:000388808300007</t>
  </si>
  <si>
    <t>Barreto, RE; Carvalho, GGA; Volpato, GL</t>
  </si>
  <si>
    <t>Barreto, Rodrigo E.; Arantes Carvalho, Graziele G.; Volpato, Gilson L.</t>
  </si>
  <si>
    <t>The aggressive behavior of Nile tilapia introduced into novel environments with variation in enrichment</t>
  </si>
  <si>
    <t>Many studies show environmental enrichment is correlated with benefits to captive animals; however, one should not always assume this positive relationship given that enrichment increases the amount of resources that a territorial animal must defend and possibly affects its aggressive dynamics. In this study, we tested if environmental enrichment affects aggressive interactions in the aggressive fish Nile tilapia (Oreochromis niloticus). We compared fights staged between pairs of male tilapia of similar size (= matched in resource holding potential) in a novel arena that was either barren or enriched, to examine whether enrichment enhances territory value in line with theoretical predictions, with the potential for compromised welfare. We evaluated time elapsed until the first attack (latency), frequency of aggressive interactions and fight duration. We detected fight dynamic differences at the pair level. Higher resource value generated increased aggression but had no effect on fight duration or latency. This conclusion is in line with game theory predictions concerning resource value and contradicts the theory that enrichment of the environment will serve welfare purposes. (C) 2010 Elsevier GmbH. All rights reserved.</t>
  </si>
  <si>
    <t>Volpato, Gilson L/B-2304-2008; Barreto, Rodrigo Egydio/A-3440-2013</t>
  </si>
  <si>
    <t>Barreto, Rodrigo Egydio/0000-0002-4611-0059</t>
  </si>
  <si>
    <t>10.1016/j.zool.2010.09.001</t>
  </si>
  <si>
    <t>WOS:000289139000007</t>
  </si>
  <si>
    <t>Marchand, D; McNeil, JN</t>
  </si>
  <si>
    <t>Avoidance of intraspecific competition via host modification in a grazing, fruit-eating insect</t>
  </si>
  <si>
    <t>Insects feeding on plants may induce chemical and physical changes in the host plants. Here, we present evidence of host plant modification following an insect attack that may be associated with a reduction in intraspecific competition for food. We demonstrate that feeding by larvae of the cranberry fruitworm, Acrobasis vaccinii, induces a change in fruit colour (from green to red) of cranberry fruits, Vaccinium oxycoccos, that is associated with a significant increase in the concentration of anthocyanin. Host fruit colour affected larval foraging behaviour and food acceptance: significantly more cranberry fruitworm larvae were attracted to, and accepted, green rather than red fruits. Our experiments suggest that fruit reddening also prevents exploitation by conspecific larvae of other green fruits adjacent to the attacked fruit. (C) 2004 The Association for the Study of Animal Behaviour. Published by Elsevier Ltd. All rights reserved.</t>
  </si>
  <si>
    <t>10.1016/j.anbehav.2003.03.017</t>
  </si>
  <si>
    <t>WOS:000220540800003</t>
  </si>
  <si>
    <t>Heyes, C; Saggerson, A</t>
  </si>
  <si>
    <t>Testing for imitative and nonimitative social learning in the budgerigar using a two-object/two-action test</t>
  </si>
  <si>
    <t>Male and female juvenile budgerigars, Melopsittacus undulatus, were allowed to observe a conspecific demonstrator using its beak to remove one of two distinctively coloured objects (i.e. a blue and a black stopper) from a hole in the lid of a box and eating seed from within. Both objects could be removed by either pulling up or pushing down. When subsequently allowed access to both stoppers, and rewarded with food for all removal responses, regardless of the object to which they were made and their direction, observer birds removed both stoppers in the same direction as their demonstrator. This effect was present on the first occasion when observers removed a stopper, and persisted over at least 24 trials. Female observers made more removal responses than males, but conspecific observation had equivalent effects on direction of responding in males and females. All observers tended to approach the same object as their demonstrator when the objects were discriminable using both spatial and colour cues, but not when they differed in colour alone. Contrary to previous findings, these results suggest that robust behavioural matching effects can be obtained in budgerigars, and that these birds are capable of motor imitation or emulation. (C) 2002 The Association for the Study of Animal Behaviour. Published by Elsevier Science Ltd. All rights reserved.</t>
  </si>
  <si>
    <t>10.1006/anbe.2003.2002</t>
  </si>
  <si>
    <t>WOS:000180910400003</t>
  </si>
  <si>
    <t>Ciccotto, PJ; Gumm, JM; Mendelson, TC</t>
  </si>
  <si>
    <t>Ciccotto, Patrick J.; Gumm, Jennifer M.; Mendelson, Tamra C.</t>
  </si>
  <si>
    <t>Male Association Preference for Conspecifics in the Redband Darter, Etheostoma luteovinctum (Teleostei: Percidae) Based on Visual Cues</t>
  </si>
  <si>
    <t>Divergent visual signals and associated mate preferences are frequently hypothesized to result in behavioral isolation between species lineages. Females are traditionally predicted to be the choosier sex, using visual cues such as male color to facilitate mate recognition and assessment. However, a number of authors have hypothesized that males also are selective in choosing mates and that male preferences can be important in maintaining behavioral isolation. Darters of the genus Etheostoma (Percidae) are a diverse group of sexually dimorphic fishes in which males of most species exhibit elaborate nuptial coloration during spawning seasons. Male coloration is hypothesized to play a role in maintaining behavioral isolation between darter species, and females show association preferences for conspecific male coloration. However, the degree to which males exhibit preferences for conspecific female visual cues is less clear. We examined conspecific association preferences based only on visual signals in male Redband Darter, Etheostoma luteovinctum. We presented individuals with a choice of a conspecific female or a female E. hopkinsi, a heterospecific that is almost completely behaviorally isolated from E. luteovinctum and differs in coloration and body shape. Males exhibited a statistically significant association preference for conspecifics in dichotomous choice trials where only visual cues were available. This is the first study to document a significant conspecific association preference in males of a darter species, providing evidence that males may contribute to behavioral isolation from E. hopkinsi. Differences in female coloration, body shape, or behavior appear to serve as important signals that would help maintain behavioral isolation between E. luteovinctum and E. hopkinsi upon secondary contact.</t>
  </si>
  <si>
    <t>10.1643/CE-12-056</t>
  </si>
  <si>
    <t>WOS:000411881100019</t>
  </si>
  <si>
    <t>Hoefler, CD; Morris, MR</t>
  </si>
  <si>
    <t>A technique for the temporary application and augmentation of pigment patterns in fish</t>
  </si>
  <si>
    <t>Secondary sexual characteristics, such as pigment patterns in male fish, have significant roles in female mating preferences. Vertical body-bar pigmentation, one such characteristic, is found in a variety of Xiphophorus species. Prior investigations have revealed that these bars function as a signal attracting females and deterring rival males in at least two species. Furthermore, it has been shown that X. cortezi females prefer vertical bar symmetry as well as more bars in conspecific males. Because of the shortcomings of prior techniques used for pigment elimination and permanent color marking, a temporary method for augmenting pigment patterns with an artificial dye was developed. This technique was tested using the known preference that female X. cortezi have for more bars in conspecific males. The results corroborate previous findings as female X. cortezi preferred males with more artificial vertical bars in comparison with males with fewer. Therefore, the method of applying temporary, artificial pigment patterns using an antiseptic dye would appear to be an effective way to control and manipulate secondary sexual pigmentation for behavioral investigations in fish.</t>
  </si>
  <si>
    <t>10.1046/j.1439-0310.1999.00400.x</t>
  </si>
  <si>
    <t>WOS:000080438000006</t>
  </si>
  <si>
    <t>Rossi, N; Chiaraviglio, M; Cardozo, G</t>
  </si>
  <si>
    <t>Rossi, N.; Chiaraviglio, M.; Cardozo, G.</t>
  </si>
  <si>
    <t>Relationships among Behavior, Chromatism, and Morphology in Male Aggressive Encounters in Tropidurus spinulosus</t>
  </si>
  <si>
    <t>ICHTHYOLOGY AND HERPETOLOGY</t>
  </si>
  <si>
    <t>Male-male aggressive encounters in lizards may involve physical confrontation or the use of multiple cues to signal fighting ability. Behavioral, chromatic, and morphological traits may be associated to reinforce gradual messages to escalate or deescalate interactions during encounters. Our first aim was to provide a detailed ethogram of male-male aggressive encounters in the social lizard Tropidurus spinulosus. Then, we aimed to elucidate the association among behaviors and morphological and chromatic characters. Our results showed several behavioral displays organized in sequential phases, with two displays being characteristic of this species; furthermore, increasingly threatening displays may be repeated several times before reaching physical aggression. Males that dominated the encounters usually had more extended color bands in the most visible body parts, lower body condition, and preferentially had performed push-up early in the bout, whereas males that were ultimately chased had high color band extension in the chest and high testicular volume and performed more lateral compression and head-swipe escalating readily to physical aggression by biting the opponent. In conclusion, the behavioral displays employed by different males were associated with their morphological and chromatic characters, highlighting the existence of signaling strategies among individuals.</t>
  </si>
  <si>
    <t>Rossi, Nicola/0000-0003-0780-7117</t>
  </si>
  <si>
    <t>2766-1512</t>
  </si>
  <si>
    <t>2766-1520</t>
  </si>
  <si>
    <t>10.1643/h2021025</t>
  </si>
  <si>
    <t>WOS:000836735000011</t>
  </si>
  <si>
    <t>Tkaczyk, SP; Chivers, DP; Wiebe, KL</t>
  </si>
  <si>
    <t>Tkaczyk, Simon P.; Chivers, Douglas P.; Wiebe, Karen L.</t>
  </si>
  <si>
    <t>Nest defense by Mountain Bluebirds (Sialia currucoides) is related to their sex and brood characteristics but not attributes br</t>
  </si>
  <si>
    <t>Within species, bird parents defend their nests with different levels of intensity. Previous studies have examined several hypotheses for this variation by looking at factors such as morphological characteristics of the parents and the characteristics of the brood, but few have controlled for multiple factors simultaneously. Here we examined a broad range of factors that may influence the nest defense behaviour of Mountain Bluebirds (Sialia currucoides (Bechstein, 1798)), including the adult's morphology (sex, age, plumage colour, body size, and body condition) and characteristics of their brood (size, hatch date, and stage of nestling development). Parental aggression was triggered using a taxidermy mount of an American red squirrel (Tamiasciurus hudsonicus (Erxleben, 1777)). We found no relationship between nest defense and any morphological characteristic of adults, but the intensity of nest defense was positively correlated with the stage of offspring development, clutch size, and hatch date consistent with parental investment theory. Males also defended nests more strongly than females, consistent with the premise of the renesting hypothesis that males have fewer future opportunities to breed and, therefore, are more invested in the current brood. Our results provide strong support for parental investment theory and renesting as the primary drivers of nest defense intensity in breeding birds.</t>
  </si>
  <si>
    <t>10.1139/cjz-2022-0064747</t>
  </si>
  <si>
    <t>WOS:000879975200002</t>
  </si>
  <si>
    <t>BARLOW, GW; ROGERS, W; BOND, AB</t>
  </si>
  <si>
    <t>DUMMY-ELICITED AGGRESSIVE-BEHAVIOR IN THE POLYCHROMATIC MIDAS CICHLID</t>
  </si>
  <si>
    <t>BIOLOGY OF BEHAVIOUR</t>
  </si>
  <si>
    <t>Aggressive responses of 12 individuals of the polychromatic Midas cichlid C. citrinellum were tested with 5 different sizes of neutrally colored (spot pattern) life-like dummies. The dummies were presented daily over 6 days, for 1 min in a balanced design. Color (gold or normal morph) and sex of the subjects were varied independently. The attacks and threats on the dummies were positively correlated in their occurrence and they were combined to yield an aggregate measure of aggression. Attacks on blinded juveniles, 5 min before and 5 min after viewing a dummy, were analyzed to test for the occurrence of residual effects of exposure to the dummies. Sex of the subject had no significant effect. Whether the subject was a gold or normal morph also had no effect. There was no difference in attacks on blinded gold or normal juveniles. Residual aggression increased linearly with size of dummy. Aggression that was directly evoked increased with size but decreased at the largest dummy. The direct method proved superior to the residual one: the data were less variable and more consistent in revealing a pattern and the same pattern was verified using only the most aggressive subjects. The 2 smallest dummies appeared to cause residual aggression to fall below the baseline level. A model for this depression is presented and compared with the data.</t>
  </si>
  <si>
    <t>0397-7153</t>
  </si>
  <si>
    <t>WOS:A1984SS90700002</t>
  </si>
  <si>
    <t>Nest defense by Mountain Bluebirds (Sialia currucoides) is related to their sex and brood characteristics but not morphological attributes</t>
  </si>
  <si>
    <t>2022 SEP 22</t>
  </si>
  <si>
    <t>10.1139/cjz-2022-0064</t>
  </si>
  <si>
    <t>WOS:000857570800001</t>
  </si>
  <si>
    <t>Measey, GJ; Hopkins, K; Tolley, KA</t>
  </si>
  <si>
    <t>Measey, G. John; Hopkins, Kevin; Tolley, Krystal A.</t>
  </si>
  <si>
    <t>Morphology, ornaments and performance in two chameleon ecomorphs: is the casque bigger than the bite?</t>
  </si>
  <si>
    <t>The evolution of ecomorphs within a species may represent either unique evolutionary events or multiple convergent events in similar environments. Functional studies of differing morphological traits of ecomorphs have been important to elucidate their role in adaptive radiations. The Cape dwarf chameleon, Bradypodion pumilum, has two ecomorphs: a large, brightly colored, ornate form found in closed habitats, and a small, dull form with reduced ornamentation found in open vegetation. The typical form is known to use casque size to communicate fighting ability, but it is unknown whether this is an honest signal and whether casque size is related to bite force. We show through a population genetic analysis that these ecomorphs are not separate genetic lineages but the result of multiple transitions between closed and open habitats. From measurements of ornamental and non-ornamental morphological characters and bite force in 105 chameleons, we find that bite force is significantly related to head size and is best predicted by head width. Bite force was reasonably predicted by casque height in ecomorphs from closed habitats, but not in those from open habitats. For size-adjusted data, open habitat males had wider heads, biting harder than closed habitat males. Our data suggest honesty in signaling for closed habitat ecomorphs, but for open habitat ecomorphs communication is different, a finding commensurate with the common framework for species radiations. (c) 2009 Elsevier GmbH. All rights reserved.</t>
  </si>
  <si>
    <t>Hopkins, Kevin Peter/IUN-4450-2023; Measey, John/F-2028-2010; Tolley, Krystal A/D-9738-2011</t>
  </si>
  <si>
    <t>Hopkins, Kevin Peter/0000-0002-3251-7093; Measey, John/0000-0001-9939-7615; Tolley, Krystal/0000-0002-7778-1963</t>
  </si>
  <si>
    <t>10.1016/j.zool.2008.09.005</t>
  </si>
  <si>
    <t>WOS:000265663200006</t>
  </si>
  <si>
    <t>NAVARRETEHEREDIA, JL</t>
  </si>
  <si>
    <t>DESCRIPTION OF THE MALE OF OXYPOROUS-BALLI CAMPBELL, WITH NOTES ON DISTRIBUTION OF OXYPOROUS IN MEXICO (COLEOPTERA, STAPHYLINIDAE)</t>
  </si>
  <si>
    <t>JOURNAL OF THE NEW YORK ENTOMOLOGICAL SOCIETY</t>
  </si>
  <si>
    <t>The male of Oxyporus balli Campbell is described for the first time, based on specimens collected in Morelos, Mexico. Conspecific females collected in the same locality differed in color. The host mushrooms for O. balli are recorded for the first time: Amanita caesarea and A. rubescens. New records and host mushroom for O. mexicanus Fauvel and O. lawrencei Campbell are included.</t>
  </si>
  <si>
    <t>Navarrete-Heredia, José/T-8250-2019; Navarrete-Heredia, José L/R-3624-2019</t>
  </si>
  <si>
    <t>0028-7199</t>
  </si>
  <si>
    <t>WOS:A1992HD98800004</t>
  </si>
  <si>
    <t>COOPER, WE; VITT, LJ</t>
  </si>
  <si>
    <t>ORANGE HEAD COLORATION OF THE MALE BROAD-HEADED SKINK (EUMECES-LATICEPS), A SEXUALLY SELECTED SOCIAL CUE</t>
  </si>
  <si>
    <t>Orange head coloration occurs in breeding males of numerous species of Eumeces. Its possible role in sex identification and/or elicitation of aggressive behavior by conspecific males was studied in Eumeces laticeps by observing responses of males to females having modified head coloration. Three experimental stimulus conditions were presented to males: females with heads painted orange, females with heads painted the normal female color, and females with unpainted heads. Males were significantly more likely to perform species-typical agonistic behaviors (P &lt; 0.01) to orange-headed females (6 of 13) than to other females (0 of 12). These results indicate that the orange head coloration identifies the bearer as male. They are consistent with the hypothesis that the color evolved by sexual selection. Despite the importance of the orange head in sex-identification, chemical cues may prove to be more important in the final determination of a conspecific skink''s sex. This is suggested by a significant decrease (P &lt; 0.01) in the likelihood of aggressive behavior toward orange-headed females following tongue-flicking by a male of the female''s body or the substrate where the female had walked.</t>
  </si>
  <si>
    <t>FEB 5</t>
  </si>
  <si>
    <t>WOS:A1988M131600001</t>
  </si>
  <si>
    <t>Galván, I; Sanz, JJ</t>
  </si>
  <si>
    <t>Galvan, Ismael; Jose Sanz, Juan</t>
  </si>
  <si>
    <t>Cheek plumage uniformity as a social status signal in great tits</t>
  </si>
  <si>
    <t>ANNALES ZOOLOGICI FENNICI</t>
  </si>
  <si>
    <t>Some plumage patterns in birds, such as irregularities of feathers, are potential amplifiers because they can reveal damage by conspecifics and therefore social status. We experimentally manipulated the pattern of the white cheeks of male great tits (Parus major) in order to simulate the effects of peckings by others and thus investigate possible changes in dominance during agonistic encounters at artificial feeders exposed to different risks of predation during winter. As predicted, manipulated birds were displaced by controls from safe feeders, and performed a lower number of aggressions and with lower success, although they did not receive more aggressions as expected from the fact that efficient agonistic displays can avoid the occurrence of overt aggressions. Thus, our manipulation changed the social status of birds by converting individuals with manipulated cheeks into subordinates. We propose that cheek colour uniformity acts as an amplifier of the outcomes of aggressions in great tits.</t>
  </si>
  <si>
    <t>Sanz, Juan José/B-8441-2011; Galvan, Ismael/H-8602-2015</t>
  </si>
  <si>
    <t>Sanz, Juan José/0000-0003-2576-4050; Galvan, Ismael/0000-0002-6523-8592</t>
  </si>
  <si>
    <t>0003-455X</t>
  </si>
  <si>
    <t>1797-2450</t>
  </si>
  <si>
    <t>AUG 31</t>
  </si>
  <si>
    <t>10.5735/086.046.0404</t>
  </si>
  <si>
    <t>WOS:000269935900004</t>
  </si>
  <si>
    <t>Chaine, AS; Tjernell, KA; Shizuka, D; Lyon, BE</t>
  </si>
  <si>
    <t>Chaine, Alexis S.; Tjernell, Kris A.; Shizuka, Dai; Lyon, Bruce E.</t>
  </si>
  <si>
    <t>Sparrows use multiple status signals in winter social flocks</t>
  </si>
  <si>
    <t>Status signals are thought to reduce the potential costs of social conflict over resources by advertising social status to other group members and reducing unnecessary contests between individuals of differing abilities. Nearly all studies of status signals to date have focused on single signalling traits, and most studies that have investigated multiple traits did not examine whether different traits are used in different contexts, as is required for them to function as multiple signals. We examined the role of gold and black crown patches of wintering golden-crowned sparrows, Zonotrichia atricapilla, in determining social dominance during experimentally staged encounters between unfamiliar individuals. Specifically, we determined whether variation in weakly correlated or uncorrelated traits (crown patch size and colour, body size) differentially affected the outcome of interactions involving avoidance versus aggression. Overall, crown patch size and colour were better predictors of dominance than were body size or sex. Several traits, including both crown features and morphological traits, predicted which individual avoided the other in dyadic interactions that did not escalate beyond avoidance. However, when dyads had similar gold crown patch sizes, the interaction was more likely to escalate, leading to aggression. In contrast to avoidance interactions, the outcomes of aggressive contests were largely predicted by variation in the colour of black crown patches. Taken together, our results show that gold and black crown features operate as multiple status signals that accommodate an escalated gradient of interactions and suggest that social status involves more complexity than can be accommodated by a single signal. (C) 2010 The Association for the Study of Animal Behaviour. Published by Elsevier Ltd. All rights reserved.</t>
  </si>
  <si>
    <t>10.1016/j.anbehav.2010.11.016</t>
  </si>
  <si>
    <t>WOS:000286455400012</t>
  </si>
  <si>
    <t>Day, LB; McBroom, JT; Schlinger, BA</t>
  </si>
  <si>
    <t>Testosterone increases display behaviors but does not stimulate growth of adult plumage in male golden-collared manakins (Manacus vitellinus)</t>
  </si>
  <si>
    <t>In order to attract females, male golden-collared manakins gather in leks and perform a complex display consisting of acrobatics accompanied by loud wingsnapping. During this display, males show off their yellow beard and yellow, black, and green Plumage that is striking in comparison to the dull green plumage of young males and females. We investigated the role of testosterone (T) in activating the display of manakins and in stimulating the growth of the adult male plumage. T regulates song, copulation, and territorial aggression in temperate species. In tropical species, however, T levels can be relatively low year round, which has raised questions about the involvement of T in courtship display and male aggression in these species. In neither temperate nor tropical species has the role of hormones in the shift from juvenile to adult plumage been well studied. Therefore, we implanted green-plumaged birds and adult males with either a T pellet or an inert pellet (controls) and observed the display behaviors of these birds in the field and in captivity. In captive birds, we also plucked feathers from sexually dimorphic regions and observed color and regeneration rate of new feathers. We found that birds implanted with T increased several display behaviors compared to controls. All plucked feathers grew back the same color as prior to treatment; however, we observed some differences in feather growth rate between T-treated birds and controls. (c) 2005 Elsevier Inc. All rights reserved.</t>
  </si>
  <si>
    <t>Day, Lainy/KIB-8668-2024</t>
  </si>
  <si>
    <t>Day, Lainy/0000-0002-9122-3044</t>
  </si>
  <si>
    <t>10.1016/j.yhbeh.2005.07.006</t>
  </si>
  <si>
    <t>WOS:000235502600013</t>
  </si>
  <si>
    <t>Baird, TA; Fox, SF; McCoy, JK</t>
  </si>
  <si>
    <t>Population differences in the roles of size and coloration in intra- and intersexual selection in the collared lizard, Crotaphytus collaris: influence of habitat and social organization</t>
  </si>
  <si>
    <t>Previous studies have shown that in three Oklahoma populations of collared lizards, Wichita Mountains (WM), class Mountains (GM), and Arcadia Lake (AL), sexual dimorphism in body size varies as WM&gt;AL&gt;GM, whereas dorsal color dimorphism varies as GM&gt;WM&gt;AL. Social organization at these sites also differs such that the environmental potential for sexual selection varies as AL&gt;WM&gt;GM, We conducted female choice and male competition laboratory trials to assess whether advantages to large or bright males correlate best with the interpopulation pattern of sexual dimorphism or with that of the environmental potential for sexual selection. Between-population trials involved bright-colored WM males and dull-colored AL males that were matched for size. AL females preferred bright WM males, but WM females did not. WM males had higher agonistic scores in intrasexual contests when aggression was low, but AL males consistently had higher scores when aggression escalated. Within-population trials involved males that were disparate in color but size matched and disparate in size but color matched. Size was important in male contests in all populations. Color brightness was a factor in male trials only at AL. Also, only AL females preferred brighter males, and larger males were not preferred in any population. The importance of intra- and intersexual selection in these populations cannot be inferred from the observed pattern of size and color dimorphism. Rather, interpopulation differences in the environmental potential for females to assess and choose from among multiple males, and for males to interact, are most consistent with the observed outcomes.</t>
  </si>
  <si>
    <t>10.1093/beheco/8.5.506</t>
  </si>
  <si>
    <t>WOS:A1997XX33800006</t>
  </si>
  <si>
    <t>LOONEY, TA; COHEN, PS; YOBURN, BC</t>
  </si>
  <si>
    <t>VARIABLES AFFECTING ESTABLISHMENT OF SCHEDULE-INDUCED ATTACK ON PICTORIAL TARGETS IN WHITE KING PIGEONS</t>
  </si>
  <si>
    <t>White king pigeons exposed to food schedules before introduction of a colored photograph of a pigeon showed sustained schedule-induced attack on that image; additional birds given an early introduction to both the photograph and the schedule subsequently attacked the image at lower rates. Other pigeons attacked a 2nd photograph of a pigeon regardless of whether it was introduced early or late. The late-introduction procedure was also effective in establishing attack on a projected image of a conspecific. The combined results showed that 14 of 17 white king pigeons given a late introduction to a pictorial target exhibited sustained attack against it and that a pigeon''s initial reaction to a photograph of a conspecific when introduced early was a good predictor of subsequent schedule-induced attack on it.</t>
  </si>
  <si>
    <t>10.1901/jeab.1976.26-349</t>
  </si>
  <si>
    <t>WOS:A1976CN54900004</t>
  </si>
  <si>
    <t>Rush, VN; McKinnon, JS; Abney, MA; Sargent, RC</t>
  </si>
  <si>
    <t>Reflectance spectra from free-swimming sticklebacks (gasterosteus): Social context and eye-jaw contrast</t>
  </si>
  <si>
    <t>The color patterns of many organisms change rapidly with social context but such dynamic signals have been little studied with current methods. In this study we applied objective spectrophotometry techniques to the color displays of unrestrained male threespine sticklebacks, to assess the influence of social context on coloration. Analyzing our data with a color space model based on stickleback visual physiology, we found that unrestrained males enhanced saturation of both their blue eye and red jaw color in response to the presence of a mature male or female conspecific. Divergence between the eye and the jaw lead to enhanced contrast, likely increasing conspicuousness. We found little relationship between measures of color saturation and condition, but the color of males in better condition varied more with social context. This study is the first to evaluate contrast between stickleback color pattern elements quantitatively and the first in which reflectance spectra were collected from free-swimming fish. The methods presented here could be used in future studies of sticklebacks and could potentially be adapted to other animals.</t>
  </si>
  <si>
    <t>AUG-SEP</t>
  </si>
  <si>
    <t>8-9</t>
  </si>
  <si>
    <t>10.1163/156853903322589614</t>
  </si>
  <si>
    <t>WOS:000187638300003</t>
  </si>
  <si>
    <t>DAFNI, J</t>
  </si>
  <si>
    <t>A NEW SUBSPECIES OF TRIPNEUSTES-GRATILLA FROM THE NORTHERN RED-SEA (ECHINODERMATA, ECHINOIDEA, TOXOPNEUSTIDAE)</t>
  </si>
  <si>
    <t>T. g. elatensis ssp. nov. from the northern Red Sea, is significantly different from the Indo-Pacific T. g. gratilla. It is more compressed, and has a larger peristome aperture, fewer interambulacral plates, lesser spine tuberculation, and more vivid colors than its Indo-Pacific conspecific. The typical habitats of T. g. elatensis and the Indo-Pacific T. g. gratilla occur together in the southern Red Sea.</t>
  </si>
  <si>
    <t>WOS:A1983RJ22700001</t>
  </si>
  <si>
    <t>Mäthger, LM; Hanlon, RT</t>
  </si>
  <si>
    <t>Mathger, Lydia M.; Hanlon, Roger T.</t>
  </si>
  <si>
    <t>Anatomical basis for camouflaged polarized light communication in squid</t>
  </si>
  <si>
    <t>Camouflage is a means to defeat visual detection by predators, whereas visual communication involves a signal that is conspicuous to a receiver ( usually a conspecific). However, most intraspecific visual signals are also conspicuous to predators, so that signalling can lead to the serious consequence of predation. Could an animal achieve visual camouflage and simultaneously send a hidden visual message to a conspecific? Here, we present evidence that the polarized aspect of iridescent colour in squid skin is maintained after it passes through the overlying pigmented chromatophores, which produce the highly evolved - and dynamically changeable camouflaged patterns in cephalopods. Since cephalopods are polarization sensitive, and can regulate polarization via skin iridescence, it is conceivable that they could send polarized signals to conspecifics while staying camouflaged to fish or mammalian predators, most of which are not polarization sensitive.</t>
  </si>
  <si>
    <t>Hanlon, Roger T/Q-8687-2016</t>
  </si>
  <si>
    <t>10.1098/rsbl.2006.0542</t>
  </si>
  <si>
    <t>WOS:000242686500005</t>
  </si>
  <si>
    <t>Takau, A; Matsuo, T</t>
  </si>
  <si>
    <t>Takau, Ayumi; Matsuo, Takashi</t>
  </si>
  <si>
    <t>Contribution of visual stimuli to mating and fighting behaviors of Drosophila prolongata</t>
  </si>
  <si>
    <t>ENTOMOLOGICAL SCIENCE</t>
  </si>
  <si>
    <t>The importance of visual stimuli in a given behavior is often different, even between closely related species. Species of the genus Drosophila have been categorized into three classes according to their reproductive dependency on vision. Class I and II species reproduce in the darkness, whereas class III species never reproduce without vision. Therefore, in class III species, mutants at the white locus that are deprived of normal visual function are not able to be established as homozygous stocks. Drosophila prolongata is a species with a conspicuous body color pattern, suggesting that an increased importance of visual stimuli underlies the evolution of this species. In this study, to examine the behavioral dependency on visual stimuli in D. prolongata, we generated white gene-knockout (w(-)) mutants using the CRISPR/Cas9 system and examined their mating and fighting behaviors in light and dark conditions. The courtship and fighting activities of w(-) males were extremely reduced regardless of the light condition. Furthermore, wildtype males did not perform any courtship or fighting behaviors in dark conditions. Our results showed that D. prolongata is a class III species that strongly relies on visual stimuli in both behaviors.</t>
  </si>
  <si>
    <t>Matsuo, Takashi/AAR-8291-2021</t>
  </si>
  <si>
    <t>Matsuo, Takashi/0000-0002-4185-6740</t>
  </si>
  <si>
    <t>1343-8786</t>
  </si>
  <si>
    <t>1479-8298</t>
  </si>
  <si>
    <t>e12529</t>
  </si>
  <si>
    <t>10.1111/ens.12529</t>
  </si>
  <si>
    <t>WOS:000888062100001</t>
  </si>
  <si>
    <t>Miller, SM; Schoen, J; Reudink, MW; Mahoney, SM</t>
  </si>
  <si>
    <t>Miller, Sydney M.; Schoen, Jacqueline; Reudink, Matthew W.; Mahoney, Sean M.</t>
  </si>
  <si>
    <t>Disentangling the mechanisms of signal evolution in Tyrannidae flycatchers, part II: plumage elaboration evolved with migration behavior, but is also affected by diet, climate, and drift</t>
  </si>
  <si>
    <t>Animal coloration is an important communication signal that varies among taxa and affects survival and reproduction. Species-specific color is influenced by a variety of factors including phylogeny, predation, sexual selection, light and resource availability, ecological context, and/or species recognition. Tyrant flycatchers are useful to study color evolution because they are the largest family of birds, occur across broad environmental gradients, and although many genera are monomorphic with drab plumage, some are very colorful. Given the complexity of factors involved, the mechanisms influencing plumage color evolution in Tyrant flycatchers likely involve multiple drivers. In the second of our two-part paper on signal evolution in this avian family, we harnessed a large plumage color database of female and male Tyrannidae species (n = 399) to test the relative importance of geography (climate, latitude), ecology (migration behavior, forest cover, diet), and heterospecific proximity on plumage color evolution. From phylogenetically controlled analyses, we found that female color was largely driven by climate and male color was more exaggerated in migratory species. Sexual dichromatism was also affected by climate and diet, and was more pronounced in migratory species, possibly as a result of color loss in females. Pairwise comparisons between heterospecific color differences and geographic distance were generally weak and consistent with expectations under drift, which contrasted our song results (presented in Part I), but analyses at finer taxonomic scales revealed color may be used for conspecific recognition in some genera. Together with our paper on Tyrannidae song evolution, the color results reflect the importance of testing multiple drivers of signal evolution at different taxonomic scales because flycatcher color variation may have arisen through genetic drift, from a loss of female color in migratory species, and for species recognition in some genera. Future work could formally test the correlation between song and color variation, and use stochastic character mapping to confirm if Tyrannidae dichromatism resulted from female color loss in migratory species.</t>
  </si>
  <si>
    <t>10.5751/JFO-00288-940307</t>
  </si>
  <si>
    <t>WOS:001041634300001</t>
  </si>
  <si>
    <t>De Meulemeester, T; Aytekin, AM; Cameron, S; Rasmont, P</t>
  </si>
  <si>
    <t>De Meulemeester, Thibaut; Aytekin, A. Murat; Cameron, Sydney; Rasmont, Pierre</t>
  </si>
  <si>
    <t>Nest architecture and species status of the bumble bee Bombus (Mendacibombus) shaposhnikovi (Hymenoptera: Apidae: Bombini)</t>
  </si>
  <si>
    <t>The nesting behaviour of the subgenus Mendacibombus is known only from Bombus mendax. Here, we describe the nest of a second species of Mendacibombus, that of Bombus shaposhnikovi. The nest was discovered in an abandoned rodent nest at 2,295 m near Artvin (Turkey) on August 12, 2007. Except for the absence of a canopy and the non-hexagonal shape of the honey and pollen pots, the architecture of the B. shaposhnikovi nest is consistent with that of the previously described B. mendax: eggs are oviposited individually in independent egg cell, post-emergence pupal cells are not reused for food storage and males return to the parental colony overnight. Observation of intranidal colour polymorphism provides evidence that the yellowish B. shaposhnikovi and the greyish Bombus handlirschianus might be conspecific. This conspecific status had been suggested by a recent comprehensive molecular study.</t>
  </si>
  <si>
    <t>Aytekin, Ahmet Murat/G-9210-2013; aytekin, ahmet murat/AAA-2523-2020</t>
  </si>
  <si>
    <t>Aytekin, Ahmet Murat/0000-0002-5204-8626; aytekin, ahmet murat/0000-0002-5204-8626</t>
  </si>
  <si>
    <t>10.1007/s13592-011-0022-z</t>
  </si>
  <si>
    <t>WOS:000292612900006</t>
  </si>
  <si>
    <t>VOS, DR</t>
  </si>
  <si>
    <t>THE ROLE OF SEXUAL IMPRINTING FOR SEX RECOGNITION IN ZEBRA FINCHES - A DIFFERENCE BETWEEN MALES AND FEMALES</t>
  </si>
  <si>
    <t>In sexually dimorphic birds, morphological characteristics are assumed to play an important role in conspecific sex recognition. In spite of the limited evidence, most studies done so far support this assumption. Less attention has been given to the question of how adult birds may have acquired the ability to discriminate between the sexes. This study investigates the relationship between the early experience of young birds and their later competence in differentiating between male and female conspecifics. Young white zebra finches, Taeniopygia guttata, were reared by white parents. The white morph of this species lacks all sexually dimorphic markings, except for a difference in the intensity of the red coloration of the bill. Bill colour of the parents was manipulated by applying nail polish. As adults, males and females were tested for their preference in a series of two-choice tests. Males showed a clear preference for birds with the same bill colour as their mother, irrespective of the sex of the stimulus birds. Females, on the other hand, preferred males to females, but did not differentiate on bill colour. It can be concluded that in zebra finch males sex recognition is guided by morphological characteristics that have acquired their signal value during rearing. For females, other factors, such as behavioural cues, appear to be most important for sex recognition. (C) 1995 The Association for the Study of Animal Behaviour</t>
  </si>
  <si>
    <t>10.1016/0003-3472(95)80126-X</t>
  </si>
  <si>
    <t>WOS:A1995RV28100007</t>
  </si>
  <si>
    <t>Ossip-Klein, AG; Fuentes, JA; Hews, DK; Martins, EP</t>
  </si>
  <si>
    <t>Ossip-Klein, Alison G.; Fuentes, Jesualdo A.; Hews, Diana K.; Martins, Emilia P.</t>
  </si>
  <si>
    <t>Information content is more important than sensory system or physical distance in guiding the long-term evolutionary relationships between signaling modalities in Sceloporus lizards</t>
  </si>
  <si>
    <t>Long-term signal evolution is shaped by a variety of selective pressures including the need to convey additional information or to improve message transfer to specific receivers or through multiple environments. Here, we test the relative importance of information and sensory modality in shaping the long-term evolution of multimodal signals in Sceloporus lizards. To broadcast identity at territorial boundaries, male Sceloporus use both visual motion (headbob) and chemical signals, whereas they use color (blue belly patches) to signal aggression. Using modern phylogenetic comparative methods, we found a negative correlation between evolutionary changes in visual motion (headbobs) and chemical (femoral pore) signals, but only indirect ties between the evolution of color and motion signals (both of which are perceived visually) through viviparity, and no evidence of an evolutionary link between color and chemical signals. We also find a negative correlation between arboreality and chemical signals. Thus, information content (in this case, broadcasting individual identity versus signaling aggression) appears to play a more important role than sensory modality or physical distance in guiding long-term signal evolution. Additional insights into the underlying evolutionary processes are described, illustrating the utility of a phylogenetic approach.</t>
  </si>
  <si>
    <t>Fuentes, Jesualdo/KIA-8653-2024</t>
  </si>
  <si>
    <t>Hews, Diana/0000-0002-2252-6711; Martins, Emilia/0000-0002-8952-3240</t>
  </si>
  <si>
    <t>10.1007/s00265-013-1535-4</t>
  </si>
  <si>
    <t>WOS:000323103400013</t>
  </si>
  <si>
    <t>Dantas-Divers, LMS; Crowell-Davis, SL; Alford, K; Genaro, G; D'Almeida, JM; Paixao, RL</t>
  </si>
  <si>
    <t>Dantas-Divers, Leticia M. S.; Crowell-Davis, Sharon L.; Alford, Kelly; Genaro, Gelson; D'Almeida, Jose Mario; Paixao, Rita L.</t>
  </si>
  <si>
    <t>Agonistic behavior and environmental enrichment of cats communally housed in a shelter</t>
  </si>
  <si>
    <t>JAVMA-JOURNAL OF THE AMERICAN VETERINARY MEDICAL ASSOCIATION</t>
  </si>
  <si>
    <t>Objective-To evaluate the presence of a dominance rank in a group of cats and the relation between agonistic behavior and the use of resources, including environmental enrichment, in these cats. Design-Observational analytic study. Animals-27 neutered cats in a shelter in Sao Paulo, Brazil. Procedures-The cats were video recorded for 4 consecutive days to obtain baseline data. Subsequently, a puzzle feeder was added as an enrichment device every other day over 8 days, for a total of 4 days with enrichment. Cats were also video recorded on these days. All pretreatment and posttreatment agonistic behaviors and interactions with the puzzle feeder were recorded by reviewing the videotapes. Results-143 agonistic encounters were recorded, of which 44 were related to resources and 99 were not. There were insufficient agonistic interactions to determine a dominance rank. Presence or absence of the puzzle feeder did not affect the rate of aggression. There was no significant effect of weight, sex, or coat color on the rate of aggression, and aggressive behavior did not correlate with time spent with the puzzle feeder. Twenty-three of the 27 cats interacted with the puzzle feeder. Conclusions and Clinical Relevance-In a stable group of communally housed cats, environmental enrichment did not cause increased aggression as a result of competition for the source of enrichment. Because environmental enrichment increases the opportunity to perform exploratory behaviors, it may improve the welfare of groups of cats maintained long-term in shelters, sanctuaries, or multicat households. (J Am Vet Med Assoc 2011239:796-802)</t>
  </si>
  <si>
    <t>Paixao, Rita/KLE-0209-2024</t>
  </si>
  <si>
    <t>Crowell-Davis, Sharon/0000-0001-7006-653X</t>
  </si>
  <si>
    <t>0003-1488</t>
  </si>
  <si>
    <t>1943-569X</t>
  </si>
  <si>
    <t>WOS:000294792100008</t>
  </si>
  <si>
    <t>Driessens, T; Huyghe, K; Vanhooydonck, B; Van Damme, R</t>
  </si>
  <si>
    <t>Driessens, Tess; Huyghe, Katleen; Vanhooydonck, Bieke; Van Damme, Raoul</t>
  </si>
  <si>
    <t>Messages conveyed by assorted facets of the dewlap, in both sexes of Anolis sagrei</t>
  </si>
  <si>
    <t>Dewlaps of Anolis lizards are complex multicomponent signaling devices that have been intensively studied. Yet, the functions and multiple messages conveyed by the dewlap remain largely unknown. Here, we assess some aspects of sexual identity, individual quality, and social status that may be signaled by the dewlap in both sexes of Anolis sagrei. In addition, we investigate whether diverse facets of dewlap signaling provide additive information (redundant message hypothesis) or highlight different characteristics of the sender (multiple-message hypothesis). To do so, components of dewlap design (area, color, and pattern ratio) and use (dewlap extension frequency during intersexual context) were quantified and investigated for relationships with sexual identity (sex), individual quality (performance and health state measurements), and social status (mirror-motivated aggression). First, we found that body size together with relative dewlap area and color act as redundant messages in the advertisement of sexual identity. Second, we found that dewlap coloration in the center and edge region signals aspects of individual quality, specifically health state, but only in males. The dewlap center and edge acts primarily as redundant signals, at least for body condition and immune response. However, different color components irrespective of dewlap region convey nonredundant information about aspects of health state in males, supporting the multiple-message hypothesis. Surprisingly, dewlap use in A. sagrei males conveyed no information about the tested quality measurements nor about mirror-motivated aggression. Neither dewlap design nor use in females was related to any of these parameters. In contrast to males, correlations between components of dewlap design and use during intersexual interactions were found for females, suggesting important signaling functions of the female dewlap in a courtship context.</t>
  </si>
  <si>
    <t>Van Damme, Raoul/AFQ-1065-2022</t>
  </si>
  <si>
    <t>Van Damme, Raoul/0000-0002-4585-6940</t>
  </si>
  <si>
    <t>10.1007/s00265-015-1938-5</t>
  </si>
  <si>
    <t>WOS:000358734700002</t>
  </si>
  <si>
    <t>Schwabl, H</t>
  </si>
  <si>
    <t>Individual variation of the acute adrenocortical response to stress in the white-throated sparrow</t>
  </si>
  <si>
    <t>ZOOLOGY-ANALYSIS OF COMPLEX SYSTEMS</t>
  </si>
  <si>
    <t>The secretion of corticosterone during stress was studied in white-throated sparrows (Zonotrichia albicollis) with regard to their sex, age, color morph, and body condition. All birds responded to capture and restraint with rapid increases of their circulating corticosterone levels. This rise was similar in both sexes of adult birds during the first 20 min after capture in fall. However, levels increased further in females while they remained stable in males resulting in different corticosterone levels after 60 min. Young females showed a greater initial increase than young males. However, their levels started to decline after 20 minutes while they remained elevated in young males which resulted in similar levels after 60 min. Males of the two color morphs showed also different stress responses. In spring adult white-morph males had a stronger and more prolonged secretion of corticosterone than adult tan-morph males. In winter young tan-morph males showed a greater secretion than young white-morph males. These stress-induced increases in corticosterone levels were negatively correlated with body mass. These observations show that the adrenocortical stress response varies with intrinsic factors such as sex, age, and genetically defined morphs (identified by color) and is modified by body condition. These modifications may allow the adjustment of physiological and behavioral responses to adverse environmental episodes and help explain individual differences in responses.</t>
  </si>
  <si>
    <t>WOS:A1995UA71800003</t>
  </si>
  <si>
    <t>MALE MATE CHOICE-BASED UPON FEMALE NUPTIAL COLORATION IN THE BROOK STICKLEBACK, CULAEA INCONSTANS (KIRTLAND)</t>
  </si>
  <si>
    <t>Female brook sticklebacks develop distinct nuptial coloration following ovulation. When given a choice between a gravid, uncoloured, inter-spawning interval female and a gravid, nuptially coloured female, male brook sticklebacks from two Ontario populations (1) approached the nuptially coloured female first, (2) directed their first courtship pummel towards her, and (3) spent significantly more time with her than with the inter-spawning interval female. Males from Tooley Creek spent more of their time near the nuptially coloured female engaged in courtship behaviour and more of their time near the inter-spawning interval female engaged in aggressive behaviour. Males from Algonquin Park showed no difference in the intensity of courtship or aggression directed towards the two females. These results corroborate the hypothesis that female nuptial coloration plays a role in signalling courtship readiness in at least some gasterosteids. The hypothesis that males should become more discriminating in their choice of spawning partners as they increase their parental investment was tested by comparing male mate choice based upon female colour for males with no eggs, one clutch and two clutches. The results corroborated the hypothesis: compared to when they were eggless, males with two clutches (1) spent less time with the inter-spawning interval female, (2) spent more time with the nuptially coloured female, (3) spent a greater proportion of the time near the nuptially coloured female engaged in courtship behaviour, and (4) displayed a trend towards increasing levels of aggression directed towards the inter-spawning interval female with increasing parental investment. (C) 1995 The Association for the Study of Animal Behaviour</t>
  </si>
  <si>
    <t>10.1006/anbe.1995.0233</t>
  </si>
  <si>
    <t>WOS:A1995RM19000020</t>
  </si>
  <si>
    <t>Nasri, I; Hamza, F; Belliure, J; Selmi, S</t>
  </si>
  <si>
    <t>Nasri, Intissar; Hamza, Foued; Belliure, Josabel; Selmi, Slaheddine</t>
  </si>
  <si>
    <t>Tail conspicuousness and antipredatory behaviour in Bosk's fringe-toed lizard (Acanthodactylus boskianus)</t>
  </si>
  <si>
    <t>Many lizard species show ontogenetic changes in tail colour that are coupled with changes in the antipredatory strategy. However, the ecological factors that influence the relationships between age, tail colour and antipredatory strategy remain poorly understood. In this work, we investigated how antipredatory behaviours vary according to age in Bosk's fringe-toed lizard (Acanthodactylus boskianus), a species that shows ontogenetic changes in tail colour. First, we verified whether tail conspicuousness increases the probability of predatory attacks, by using two types of plasticine models made to mimic juveniles (red-tailed models) and adults (beige-tailed models) and distributed in a study plot where an avian predator is abundant. We found that juvenile-like red tails were more frequently attacked by predators than the less conspicuous adult-like ones. We also conducted predation simulation experiments on active lizards of different ages and compared their risk-taking and escape behaviours. Adults occurred close to potential refuges (i.e. bushes), while juveniles were more commonly observed in open microhabitats. When approached by the observer, adults rarely conducted tail displays and usually fled in a non-stop way to penetrate inside the nearest bush. However, juveniles conducted tail displays and never fled directly inside a bush. They usually stopped near the target bush and tolerated a closer approach from the observer before making the decision to take refuge inside the bush. It seems that juveniles feared the attacks of adults and avoided entering bushes occupied by adults. Repeated observations of adults acting aggressively towards juveniles provide support for this hypothesis. Overall, our findings highlight the role of tail conspicuousness in the diversion of predatory attacks from the vital parts of the body in the juveniles of Bosk's fringe-toed lizard. They also suggest that agonistic interactions between adults and juveniles play important roles in shaping their antipredatory behaviour.</t>
  </si>
  <si>
    <t>Belliure, Josabel/R-8513-2018; Slaheddine, Selmi/AAD-1495-2021</t>
  </si>
  <si>
    <t>Belliure, Josabel/0000-0001-7697-3616; Slaheddine, Selmi/0000-0002-7204-9159; Hamza, Foued/0000-0002-7577-4487</t>
  </si>
  <si>
    <t>10.1080/03949370.2017.1402091</t>
  </si>
  <si>
    <t>WOS:000435677500003</t>
  </si>
  <si>
    <t>Prayitno, DS; Phillips, CJC; Stokes, DK</t>
  </si>
  <si>
    <t>The effects of color and intensity of light on behavior and leg disorders in broiler chickens</t>
  </si>
  <si>
    <t>Two experiments were conducted to investigate whether manipulating the wavelength and intensity of Light could be used to increase activity and reduce locomotion disorders in meat chickens. The first experiment examined the effects of wavelength and intensity of light on bird activity. Male (n = 60) and female (n = 48) chicks were reared from Day 1 to 35 in red or blue Light at three intensities. Walking, standing, drinking, aggression, and wing stretching increased with intensity in red but not blue light. Ln the second experiment, the effects of stimulating bird activity with bright red light in the early or late part of the rearing period on locomotion and leg disorders were examined. Male (n = 24) and female (n = 24) chicks were reared from Day 7 in either dim blue light to Day 55 (Treatment All Blue), or bright red Light to Day 22, followed by dim blue Light to Day 55 (Treatment Early Red), or dim blue light to Day 22, bright red light to Day 38, and dim blue light to Day 55 (Treatment Late Red). Bright red light considerably increased walking, feeding and stretching, particularly when applied early in the growth period. There were residual effects on activity after the birds had returned to dim blue light. Red light increased growth when provided at the beginning of the rearing period, but decreased it when provided later. Bone strength was reduced in treatment Late Red, which appeared to be related to die lower body weights of birds in this treatment. Bone length, weight, and torsion were not affected by treatment, but the tibia plateau angle was reduced by Early Red light in female birds. In Treatment All Blue, there was a high incidence of gait abnormalities, which was reduced by Early and Late Red light. It is concluded that rearing meat chickens in bright red Light increases activity, which reduces locomotion disorders in the late rearing period. It is preferable to provide the stimulatory light early in the rearing period.</t>
  </si>
  <si>
    <t>10.1093/ps/76.12.1674</t>
  </si>
  <si>
    <t>WOS:000071132300009</t>
  </si>
  <si>
    <t>LANGANCRANFORD, KM; PEARSE, JS</t>
  </si>
  <si>
    <t>BREEDING EXPERIMENTS CONFIRM SPECIES STATUS OF 2 MORPHOLOGICALLY SIMILAR GASTROPODS (LACUNA SPP) IN CENTRAL CALIFORNIA</t>
  </si>
  <si>
    <t>Two species of gastropods, Lacuna marmorata Dall, 1919, and L. unifasciata Carpenter, 1857, commonly co-occur on surfgrass in central California. They are very similar in color, shell shape, and radular form; morphometric analyses demonstrate about 10% overlap in shell shape, and both color and radular form are ambiguous characters. Egg-laying and breeding experiments revealed differences between the two species in fecundity and length of viable sperm storage. Once stored sperms are exhausted, pairing with conspecifics results in the resumption of production of fertilized eggs, while non-conspecific pairings never result in fertile eggs. We conclude that prezygotic barriers prevent hybridization between these two morphologically nearly identical species.</t>
  </si>
  <si>
    <t>MAR 20</t>
  </si>
  <si>
    <t>10.1016/0022-0981(94)00147-6</t>
  </si>
  <si>
    <t>WOS:A1995QN80300003</t>
  </si>
  <si>
    <t>Camacho-Alpízar, A; Eckersley, T; Lambert, CT; Balasubramanian, G; Guillette, LM</t>
  </si>
  <si>
    <t>Camacho-Alpizar, Andres; Eckersley, Tristan; Lambert, Connor T.; Balasubramanian, Gopika; Guillette, Lauren M.</t>
  </si>
  <si>
    <t>Learning about construction behaviour from observing an artefact: can experience with conspecifics aid in artefact recognition?</t>
  </si>
  <si>
    <t>Observation of or interaction with the enduring products of behaviour, called 'social artefacts' (e.g. an abandoned nest) is a potential source of social information. To learn from an artefact, that artefact needs to be recognized as the product of a behaviour that can provide relevant information (i.e. the artefact should be recognized as a nest). We used zebra finches (Taeniopygia guttata) to experimentally test whether observing a conspecific using a nest facilitates recognition of a future artefact as a source of social information. We manipulated the opportunity to form an association between a conspecific and their nest: half the subjects observed a pair of birds incubating eggs in a nest, the control subjects did not get this opportunity. Then, subjects observed an artefact made of their non-preferred colour and finally were allowed to build a nest. We predicted that the subjects given the opportunity to associate a nest with conspecifics would copy the colour of the artefact (i.e. use social information). We found that subjects who had the opportunity to learn what a nest is used social information obtained from the artefact by increasing their use of the artefact-material colour after artefact observation, while control birds did not. These data suggest that forming an association between conspecifics and their nest facilitates recognition of an artefact as a nest affecting how first-time builders use social information. This finding is important because it demonstrates that social learning is not limited to observing behaviour, but rather inferring behaviour from an artefact.</t>
  </si>
  <si>
    <t>Camacho-Alpizar, Andres/HNS-5231-2023; Guillette, Lauren M/AFZ-0823-2022</t>
  </si>
  <si>
    <t>Guillette, Lauren M/0000-0002-8777-6543; Eckersley, Tristan/0000-0002-2193-9047; Balasubramanian, Gopika/0000-0003-2671-9331; Lambert, Connor/0000-0002-3568-1868; Camacho-Alpizar, Andres/0000-0001-8896-3319</t>
  </si>
  <si>
    <t>10.1007/s10071-021-01519-y</t>
  </si>
  <si>
    <t>WOS:000647849200001</t>
  </si>
  <si>
    <t>Witte, K; Klink, KB</t>
  </si>
  <si>
    <t>No pre-existing bias in sailfin molly females, Poecilia latipinna, for a sword in males</t>
  </si>
  <si>
    <t>The origination of female mate preference is still not well known and may depend on genetic predispositions, social environment and sensory stimuli in the environment. Females of different populations, which live in different environments, may therefore differ in a preexisting bias for male traits. Previous studies within the genus Xiphophorus and Priapella (Poeciliidae) have indicated that females have a latent preference for a sword in males, even though conspecific males do not express a sword. In a recent study Basolo (2002a) found such a pre-existing bias for artificially sworded males in sailfin molly females from a Louisiana population. To investigate whether Poecilia latipinna females exhibit in general a pre-existing bias for sworded males or whether populations differ in a pre-existing female preference for sworded males, we tested R latipinna females from a Texas population for a latent preference for sworded males. We tested in video playback experiments whether sailfin molly females P latipinna have a latent preference for males with an artificial coloured plastic sword on TV monitors. Using video playbacks we first showed in a conditioning experiment that females perceived yellow plastic swords. Females preferred to associate with conspecific males to conspecific females on TV monitors. Females, however, did not exhibit a preference for males with a coloured sword over males with a transparent sword. Our result contradicts results of a previous study showing that sailfin molly females from a different population exhibited a preference for live males with an artificial sword. Pre-existing biases for novel male traits in females may differ between populations within a species. Thus, environmental factors may influence the development of pre-existing biases and might, therefore, drive the evolution of latent preferences in different populations differently.</t>
  </si>
  <si>
    <t>10.1163/1568539053778292</t>
  </si>
  <si>
    <t>WOS:000230357500002</t>
  </si>
  <si>
    <t>Li, MT; Liu, J; Chen, SN; Yao, J; Shi, L; Chen, H; Chen, XM</t>
  </si>
  <si>
    <t>Li, Mingtao; Liu, Jie; Chen, Shunan; Yao, Jun; Shi, Lei; Chen, Hang; Chen, Xiaoming</t>
  </si>
  <si>
    <t>VOC Characterization of Byasa hedistus (Lepidoptera: Papilionidae) and Its Visual and Olfactory Responses during Foraging and Courtship</t>
  </si>
  <si>
    <t>Color and odor are crucial cues for butterflies during foraging and courtship. While most sexual dimorphic butterflies rely more on vision, our understanding of how butterflies with similar coloration use different signals remains limited. This study investigated the visual and olfactory behavioral responses of the similarly colored butterfly Byasa hedistus during foraging and courtship. While visiting artificial flowers of different colors, we found that B. hedistus exhibits an innate color preference, with a sequence of preferences for red, purple, and blue. The frequency of flower visits by B. hedistus significantly increased when honey water was sprayed on the artificial flowers, but it hardly visited apetalous branches with honey water. This proves that locating nectar sources by odor alone is difficult in the absence of floral color guides. During courtship, males are active while females hardly chase; only two models were observed: males chasing males and males chasing females. The courtship process includes four behaviors: slowing approach, straight chasing, hovering, and spinning. B. hedistus cannot distinguish between sexes based on color, as there is no significant difference in color and shape between them. Twenty-three VOCs (&gt;1%) were identified in B. hedistus, with 21 shared by both sexes, while ketones are specific to males. These VOCs are principally represented by cineole, beta-pinene, and linalool. When cineole was added to butterfly mimics, many butterflies were attracted to them, but the butterflies did not seem to distinguish between males and females. This suggests that cineole may be the feature VOC for identifying conspecific groups. Adding beta-pinene and linalool to mimics induced numerous butterflies to chase, hover, spin around, and attempt to mate with them. This suggests that beta-pinene and linalool are crucial cues indicating the presence of females.</t>
  </si>
  <si>
    <t>Chen, Hang/0000-0002-8690-4099</t>
  </si>
  <si>
    <t>10.3390/insects15070548</t>
  </si>
  <si>
    <t>WOS:001278556300001</t>
  </si>
  <si>
    <t>Williams, PH; Sung, IH; Lin, YJ; Lu, SS</t>
  </si>
  <si>
    <t>Williams, Paul H.; Sung, I-Hsin; Lin, Yi-Jing; Lu, Sheng-Shan</t>
  </si>
  <si>
    <t>Discovering endemic species among the bumblebees of Taiwan (Apidae, genus Bombus)</t>
  </si>
  <si>
    <t>JOURNAL OF NATURAL HISTORY</t>
  </si>
  <si>
    <t>It is well established that there are nine species of bumblebees indigenous to Taiwan, but what has been unclear is how many of them are endemic. We examine minimum divergence in COI barcodes and morphology between Taiwanese samples and some of the nearest mainland populations and compare the results with more detailed global coalescent analyses available for some of these species. Our results support separate status for four of the species, including the two species inferred to be endemic from coalescent and morphological evidence. We support the other five species as conspecific with mainland species, four of which are also inferred to be conspecific from coalescent and morphological evidence. This conclusion requires the description of one new endemic species, Bombus taiwanensis sp. nov., which can be diagnosed by integrated evidence from its COI (cytochrome c oxidase subunit I) barcodes, its colour pattern and its morphology.</t>
  </si>
  <si>
    <t>lu, kai/KBB-4008-2024</t>
  </si>
  <si>
    <t>Sung, I-Hsin/0000-0002-2874-9940</t>
  </si>
  <si>
    <t>0022-2933</t>
  </si>
  <si>
    <t>1464-5262</t>
  </si>
  <si>
    <t>FEB 16</t>
  </si>
  <si>
    <t>5-8</t>
  </si>
  <si>
    <t>10.1080/00222933.2022.2052991</t>
  </si>
  <si>
    <t>WOS:000819303900001</t>
  </si>
  <si>
    <t>COOPER, WE; CREWS, D</t>
  </si>
  <si>
    <t>HORMONAL INDUCTION OF SECONDARY SEXUAL COLORATION AND REJECTION BEHAVIOR IN FEMALE KEELED EARLESS LIZARDS, HOLBROOKIA-PROPINQUA</t>
  </si>
  <si>
    <t>Hormonal bases of chromatic and behavioural changes in female Holbrookia propinqua were studied. Bright orange and yellow pigmentation were induced by progesterone or testosterone. Oestrogen treatment induced significant deposition only of the organic pigment, which did not attain full brightness. Progesterone and testosterone induced agonistic behaviour by females towards males: oestrogen did not. However, frequency of aggression was lower for females treated simultaneously with oestrogen and progesterone. Induction of bright reproductive coloration and activation of agonistic responses towards males by the same hormones suggests a close correlation between the signal value of the colour pattern and female aggression towards males.</t>
  </si>
  <si>
    <t>10.1016/S0003-3472(87)80174-4</t>
  </si>
  <si>
    <t>WOS:A1987J540600022</t>
  </si>
  <si>
    <t>Steinitz, H; Sadeh, A; Tremmel, M; Harari, AR</t>
  </si>
  <si>
    <t>Steinitz, Hadass; Sadeh, Adi; Tremmel, Martin; Harari, Ally R.</t>
  </si>
  <si>
    <t>Methods to separate Lobesia botrana (Lepidoptera: Tortricidae) males from females for the implementation of sterile insect-inherited sterility technique control tactics</t>
  </si>
  <si>
    <t>FLORIDA ENTOMOLOGIST</t>
  </si>
  <si>
    <t>The sterile insect technique (SIT) requires the release of a large number of irradiated moths in the infested crop area targeted for suppression or eradication. Irradiated males must compete strongly with wild males for mating with conspecific wild females. Irradiated female moths are fully sterile and therefore when released do not pose a potential risk to the crop. However the close proximity of the released males and females may result in assortative mating among the irradiated moths, thereby undermining the competitive ability of the irradiated males. Furthermore, released females have partially depleted the reproductive potential of the colony, and will not contribute to further increases in the size of the colony in a mass-rearing facility. We tested 4 methods to separate European grapevine moth, Lobesia botrana (Dennis &amp; Schiffermuller) (Lepidoptera: Tortricidae) males from females based on differences between males and females with respect to: (i) the number of abdominal segments of the pupae, (ii) the colors of wandering larvae, (iii) speed of maturation of larvae (protandry), and (iv) the lengths of the pupae. The sexing of 500 moths by the number of abdominal segments in the pupae was accomplished without any errors, but it was time consuming, tedious and required skill and experience. However, it should be possible to develop an automated apparatus to sort pupae by gender. Sexing by color differences did not provide clean separation because of large overlaps between the sexes in the green, blue and red spectra. Although male larvae entered the wandering phase significantly earlier than female larvae, in a large portion of the population the time of departure, some males and females departed simultaneously so that clean separation was possible for only about 1/4 of the males or about 1/4 of the females. A similar situation prevailed for emergence of adult males and females from pupae. On average, male pupae were significantly shorter than female pupae, and pupal length was found to be the most practical method for separating L. botrana males from females. For example, if all pupae &lt; 5.4 mm were irradiated and released, they would include about 86% of all males and about 22% of all females-all of which would be the smallest and least fecund ones. This would allow about 78% of the females-including the largest and most fecund ones-to be retained for mass-rearing. At this time separation of the sexes based on pupal length is the most practical method.</t>
  </si>
  <si>
    <t>harari, ally R/C-6566-2011</t>
  </si>
  <si>
    <t>harari, ally R/0000-0003-2287-7113</t>
  </si>
  <si>
    <t>0015-4040</t>
  </si>
  <si>
    <t>1938-5102</t>
  </si>
  <si>
    <t>10.1653/024.099.sp123</t>
  </si>
  <si>
    <t>WOS:000382249300022</t>
  </si>
  <si>
    <t>Malawa, S; Nuntapong, N; Waeowannajit, S; Thongprajukaew, K</t>
  </si>
  <si>
    <t>Malawa, Saowalak; Nuntapong, Nutt; Waeowannajit, Sugree; Thongprajukaew, Karun</t>
  </si>
  <si>
    <t>Fermented water of Thai herbs effectively enhanced amputated fin regeneration in Siamese fighting fish (Betta splendens)</t>
  </si>
  <si>
    <t>AQUACULTURE</t>
  </si>
  <si>
    <t>The aggression of Siamese fighting fish (Betta splendens) during courtship and reproductive behaviors can result in torn fins. However, the natural regeneration of torn fins has been significantly improved by treating fish with fermented water of plants. We amputated half of the caudal fin of male Siamese fighting fish (1.29 +/- 0.01 g body weight) in the vertical plane. The amputated fish were individually reared in fermented water containing eight combinations of herbs that included dried Indian almond (Terminalia catappa) leaf (IAL, 0.25 g L (-1)), dried banana (Musa sapientum) leaf (BL, 1.5 g L (-1)), and dried papaya (Carica papaya) leaf (PL, 2.5 g L (-1)) as major ingredients. Other ingredients included dried lemongrass (Cymbopogon citratus) leaf (LL, 1 g L (-1)), dried clay (50 g L-1), and salt (5 g L (-1)). For comparison, other fish were reared in non-fermented water. The experiment was conducted in a completely randomized design for five weeks, comprising fifteen fish per treatment. Individual fish served as experimental units. Fin regeneration was monitored weekly while growth performance was recorded at the end of the trial. The herbal treatments had no effects on growth, body morphometrics, and feed utilization (P &gt; 0.05). However, fin regeneration was statistically improved for the fish reared in combinations of IAL, BL, and PL (P &lt; 0.05). Among these alternative treatments, red color intensity was fully redeveloped in fish reared in three herbal treatments (P &lt; 0.05) that all contained dried papaya leaf (BL + PL, IAL + PL, and IAL + BL + PL). Therefore, those three treatments effectively enhanced fin regeneration.</t>
  </si>
  <si>
    <t>Waeowannajit, Sugree/KMY-4666-2024</t>
  </si>
  <si>
    <t>Waeowannajit, Sugree/0009-0004-5057-3154; Malawa, Saowalak/0009-0003-1119-9772</t>
  </si>
  <si>
    <t>0044-8486</t>
  </si>
  <si>
    <t>1873-5622</t>
  </si>
  <si>
    <t>DEC 15</t>
  </si>
  <si>
    <t>10.1016/j.aquaculture.2023.739980</t>
  </si>
  <si>
    <t>AUG 2023</t>
  </si>
  <si>
    <t>WOS:001065191600001</t>
  </si>
  <si>
    <t>Andersson, M</t>
  </si>
  <si>
    <t>Andersson, Malte</t>
  </si>
  <si>
    <t>Aposematism and crypsis in a rodent: antipredator defence of the Norwegian lemming</t>
  </si>
  <si>
    <t>Aposematism is unusual in herbivorous mammals, and exceptions help clarify its ecology and evolution. The Norwegian lemming differs from other rodents in colouration and behaviour. One hypothesis is that its black, yellow and white colours, loud calls and ferocious defence reduce predation by conspicuous aposematism. Another hypothesis is that the colouration is cryptic. These alternatives are tested in a detectability experiment comparing lemmings and sympatric grey-sided voles. All 18 observers detected a higher proportion of the lemmings, corroborating conspicuousness. Unlike smaller rodents, Norwegian lemmings often call from a distance at predators. The aposematism hypothesis predicts that cryptically coloured Alaskan brown lemmings will not call. In the field, Norwegian lemmings gave antipredator calls at a human observer in 36 of 110 encounters, but brown lemmings did so in only 1 of 39 cases. Most Norwegian lemmings called if surprised within a few metres but froze or fled silently farther away, relying on crypsis against distant predators. Small juveniles called as often as adults, a possible case of auto-mimicry. In an earlier experiment, Norwegian lemmings, in contrast with grey-sided voles, aggressively resisted attacks by a major avian predator of rodents. The tests corroborate the hypotheses that (1) distinctive, contrast-rich colouration, antipredator calls and threat postures of the Norwegian lemming form a multimodal suit of aposematic traits, warning predators that this is a more dangerous prey than the smaller sympatric voles, and (2) discriminability from undefended species is an important adaptive reason for conspicuous distinctness of many aposematic signals.</t>
  </si>
  <si>
    <t>10.1007/s00265-014-1868-7</t>
  </si>
  <si>
    <t>WOS:000351235100007</t>
  </si>
  <si>
    <t>Hews, DK; Benard, MF</t>
  </si>
  <si>
    <t>Negative association between conspicuous visual display and chemosensory behavior in two phrynosomatid lizards</t>
  </si>
  <si>
    <t>Communication in one sensory modality can influence communication in others. Lizards in many phrynosomatid species use primarily visual but also chemical signals. The striped plateau lizard, Sceloporus virgatus, exhibits evolutionary loss of a male color signal that in many species is used during aggressive postural displays towards conspecific males. These patches are used similarly in Urosaurus, the sister genus to Sceloporus. We compared a species in which a color signal has been lost, S. virgatus, to a species retaining the ancestral character state of blue abdominal display patches, Urosaurus ornatus, the common tree lizard, to test two hypotheses: (i) conspicuous postural displays that reveal the abdominal patch location are used less in the species that has lost the color patches; and (ii) potential chemical signals are used more in the species with the color loss. We analyzed both visual display behavior (push-up, full-show) and chemosensory behavior (tongue flick and nose tap) of male lizards following their introduction to a resident conspecific male in his home terrarium. Resident males performed very low rates of all behaviors, but intruders exhibited sufficient behavior for analysis. Supporting the first hypothesis, S. virgatus were less likely than U. ornatus to perform full-show, a display that reveals abdominal skin. Male S. virgatus were more likely to perform push-up than U. ornatus, although S. virgatus performed push-up infrequently. Push-up is a postural display that does not specifically reveal the abdominal patch location. Supporting the second hypothesis, S. virgatus were more likely to perform chemosensory behaviors and performed them at a greater rate than did U. ornatus. Work comparing more closely related species is warranted to determine whether a negative association between conspicuous visual displays and chemosensory behavior is a general pattern.</t>
  </si>
  <si>
    <t>Benard, Michael/0000-0002-8585-3816; Hews, Diana/0000-0002-2252-6711</t>
  </si>
  <si>
    <t>10.1046/j.1439-0310.2001.00712.x</t>
  </si>
  <si>
    <t>WOS:000171378500006</t>
  </si>
  <si>
    <t>KLINT, T</t>
  </si>
  <si>
    <t>INFLUENCE OF MALE NUPTIAL PLUMAGE ON MATE SELECTION IN THE FEMALE MALLARD (ANAS-PLATYRHYNCHOS)</t>
  </si>
  <si>
    <t>The basis of mate selection in the mallard was investigated, with special reference to the role of the female. Females were reared under more or less restricted social conditions during ontogeny. When sexually mature they were offered a choice between males of different color categories. The females used were raised under 3 conditions: with natural mother and siblings (control females), with experience of other conspecific females but no males, or with no experience of ducks at all (Kaspar Hauser). The total number of females used was 227. The females could discriminate between normal mallards and differently colored mallards to a large extent, irrespective of their own early experience. The females'' initial mate selection is dependent on male plumage characteristics.</t>
  </si>
  <si>
    <t>10.1016/S0003-3472(80)80111-4</t>
  </si>
  <si>
    <t>WOS:A1980KT55300026</t>
  </si>
  <si>
    <t>Tinghitella, RM; Lehto, WR; Minter, R</t>
  </si>
  <si>
    <t>Tinghitella, Robin M.; Lehto, Whitley R.; Minter, Ross</t>
  </si>
  <si>
    <t>The evolutionary loss of a badge of status alters male competition in three-spine stickleback</t>
  </si>
  <si>
    <t>The evolutionary loss of sexual signals is taxonomically widespread and quite common. These signals are often important not only in mate choice but also in male competition for territories and females; yet, male competition has rarely been investigated in the context of signal loss. We asked whether the loss of red throat color in three-spine stickleback (Gasterosteus aculeatus), an ancestral signal important in both male competition and mate choice, is accompanied by changes to intrasexual selection. Several freshwater stickleback populations have lost the red throat, and instead develop black breeding coloration. Previous work demonstrated that sensory drive is likely responsible. We conducted trials that mimic contact between ancestral (red) and derived (black) types during territory and nest establishment under conditions mimicking the 2 water color environments (clear and red-shifted, respectively) where they are found. We found that the allocation of competition behaviors depends on male breeding color, but not water color or the interaction of the 2. Although the total number of aggressive behaviors did not vary between color types, black males directed more aggression toward red males. Assessing each male competition behavior separately revealed that this pattern was largely driven by black fish biasing charges toward opposite type males. Agonistic behavior between types may strengthen divergence in resource or habitat use between populations of males with and without the ancestral sexual signal.</t>
  </si>
  <si>
    <t>Minter, Ross/0000-0002-5437-5911; Tinghitella, Robin/0000-0002-0049-5539; Lehto, Whitley/0000-0003-4210-6578</t>
  </si>
  <si>
    <t>10.1093/beheco/aru242</t>
  </si>
  <si>
    <t>WOS:000352271800043</t>
  </si>
  <si>
    <t>Knief, U; Bossu, CM; Wolf, JBW</t>
  </si>
  <si>
    <t>Knief, Ulrich; Bossu, Christen M.; Wolf, Jochen B. W.</t>
  </si>
  <si>
    <t>Extra-pair paternity as a strategy to reduce the costs of heterospecific reproduction? Insights from the crow hybrid zone</t>
  </si>
  <si>
    <t>Within hybrid zones of socially monogamous species, the number of mating opportunities with a conspecific can be limited. As a consequence, individuals may mate with a heterospecific (social) partner despite possible fitness costs to their hybrid offspring. Extra-pair copulations with a conspecific may thus arise as a possible post hoc strategy to reduce the costs of hybridization. We here assessed the rate of extra-pair paternity in the hybrid zone between all-black carrion crows (Corvus (corone) corone) and grey hooded crows (C. (c.) cornix) and tested whether extra-pair paternity (EPP) was more likely in broods where parents differed in plumage colour. The proportion of broods with at least one extra-pair offspring and the proportion of extra-pair offspring were low overall (6.98% and 2.90%, respectively) with no evidence of hybrid broods having higher EPP rates than purebred nests.</t>
  </si>
  <si>
    <t>Knief, Ulrich/GLU-6092-2022; Wolf, Jochen B. W./U-2243-2017; Knief, Ulrich/H-6162-2019</t>
  </si>
  <si>
    <t>Knief, Ulrich/0000-0001-6959-3033; Wolf, Jochen B. W./0000-0002-2958-5183; Knief, Ulrich/0000-0001-6959-3033; Bossu, Christen/0000-0002-0458-9305</t>
  </si>
  <si>
    <t>10.1111/jeb.13607</t>
  </si>
  <si>
    <t>WOS:000531419500014</t>
  </si>
  <si>
    <t>Bangura, PB; Tiira, K; Niemelä, PT; Erkinaro, J; Liljeström, P; Toikkanen, A; Primmer, CR</t>
  </si>
  <si>
    <t>Bangura, Paul Bai; Tiira, Katriina; Niemela, Petri T.; Erkinaro, Jaakko; Liljestrom, Petra; Toikkanen, Anna; Primmer, Craig R.</t>
  </si>
  <si>
    <t>Linking vgll3 genotype and aggressive behaviour in juvenile Atlantic salmon (Salmo salar)</t>
  </si>
  <si>
    <t>We tested the possibility that vgll3, a gene linked with maturation age in Atlantic salmon (Salmo salar), may be associated with behaviour by measuring aggressiveness and feeding activity in 380 juveniles with different vgll3 genotypes. Contrary to our prediction, individuals with the genotype associated with later maturation (vgll3*LL) were significantly more aggressive than individuals with the genotype associated with earlier maturation (vgll3*EE). Individuals with higher aggression were also significantly lighter in colour and had higher feeding activity. Although higher aggression was associated with higher feeding activity, there was no association between feeding activity and vgll3 genotype. Increased aggression of vgll3*LL individuals was independent of their sex and size, and genotypes did not differ in their condition factor. These results imply that aggressive behaviour may have an energetic cost impairing growth and condition, especially when food cannot be monopolized. This may have implications for individual fitness and aquaculture practices.</t>
  </si>
  <si>
    <t>; Primmer, Craig/B-8179-2008</t>
  </si>
  <si>
    <t>Niemela, Petri/0000-0002-7518-4057; Primmer, Craig/0000-0002-3687-8435; Bangura, Paul Bai/0000-0002-2162-8708</t>
  </si>
  <si>
    <t>10.1111/jfb.15040</t>
  </si>
  <si>
    <t>WOS:000774829300001</t>
  </si>
  <si>
    <t>Wüster, W; Yrausquin, JL; Mijares-Urrutia, A</t>
  </si>
  <si>
    <t>A new species of indigo snake from north-western Venezuela (Serpentes: Colubridae: Drymarchon)</t>
  </si>
  <si>
    <t>HERPETOLOGICAL JOURNAL</t>
  </si>
  <si>
    <t>We describe a new species of snake of the genus Drymarchon from Falcon State, north-western Venezuela. The distinctive nature of this species, compared to the two other South American mainland taxa of Drymarchon, is supported by principal components analysis of scalation and colour pattern characters. The taxa corais and melanurus, hitherto considered conspecific, are found to be highly distinct, but homogeneous throughout their considerable ranges; consequently, we consider melanurus to be a full species, separate from Drymarchon corais.</t>
  </si>
  <si>
    <t>Wuster, Wolfgang/B-2879-2008</t>
  </si>
  <si>
    <t>Wuster, Wolfgang/0000-0002-4890-4311</t>
  </si>
  <si>
    <t>0268-0130</t>
  </si>
  <si>
    <t>WOS:000174693400004</t>
  </si>
  <si>
    <t>Merrill, RM; Chia, A; Nadeau, NJ</t>
  </si>
  <si>
    <t>Merrill, Richard M.; Chia, Audrey; Nadeau, Nicola J.</t>
  </si>
  <si>
    <t>Divergent warning patterns contribute to assortative mating between incipient Heliconius species</t>
  </si>
  <si>
    <t>Theoretical models suggest that traits under divergent ecological selection, which also contribute to assortative mating, will facilitate speciation with gene flow. Evidence for these so-called magic traits now exists across a range of taxa. However, their importance during speciation will depend on the extent to which they contribute to reproductive isolation. Addressing this requires experiments to determine the exact cues involved as well as estimates of assortative mating in the wild. Heliconius butterflies are well known for their diversity of bright warning color patterns, and their amenability to experimental manipulation has provided an excellent opportunity to test their role in reproductive isolation. Here, we reveal that divergent color patterns contribute to mate recognition between the incipient species Heliconius himera and H.erato, a taxon pair for which assortative mating by color pattern has been demonstrated among wild individuals: First, we demonstrate that males are more likely to attempt to mate conspecific females; second, we show that males are more likely to approach pinned females that share their own warning pattern. These data are valuable as these taxa likely represent the early stages of speciation, but unusually also allow comparisons with rates of interbreeding between divergent ecologically relevant phenotypes measured in the wild.</t>
  </si>
  <si>
    <t>Merrill, Richard/T-9978-2019; Nadeau, Nicola J./E-1149-2011</t>
  </si>
  <si>
    <t>Merrill, Richard/0000-0003-4527-9298; Nadeau, Nicola J./0000-0002-9319-921X</t>
  </si>
  <si>
    <t>10.1002/ece3.996</t>
  </si>
  <si>
    <t>WOS:000333809000004</t>
  </si>
  <si>
    <t>Kärcher, MH; Ratnieks, FLW</t>
  </si>
  <si>
    <t>Kaercher, Martin H.; Ratnieks, Francis L. W.</t>
  </si>
  <si>
    <t>Standing and hovering guards of the stingless bee Tetragonisca angustula complement each other in entrance guarding and intruder recognition</t>
  </si>
  <si>
    <t>JOURNAL OF APICULTURAL RESEARCH</t>
  </si>
  <si>
    <t>Previous research has shown that colonies of the stingless bee Tetragonisca angustula have hovering guards that can detect allospecific intruder bees with volatile odours or different body colour, but conspecific intruders were not detected. Here we show that T. angustula colony entrances are also defended by guards standing on the entrance tube. These standing guards made very few errors in recognition, accepting 100% of the nestmates and rejecting 92% of the conspecific non-nestmates presented to them at the nest entrance. In addition, 87% of the nestmates contaminated with odours from the stingless bee Scaptotrigona bipunctata were rejected. Standing guards also reacted to volatile odours from the stingless bees S. bipunctata and Melipona rufiventris by switching to hovering. The defence reaction, i.e. the increase in the number of hovering guards, was not, however, comparable to the reaction previously reported to citral, the propaganda chemical used by the obligate robber bee Lestrimelitta limao when attacking other bee colonies.</t>
  </si>
  <si>
    <t>Kärcher, Martin H/H-5579-2013</t>
  </si>
  <si>
    <t>0021-8839</t>
  </si>
  <si>
    <t>10.3896/IBRA.1.48.3.10</t>
  </si>
  <si>
    <t>WOS:000267851900010</t>
  </si>
  <si>
    <t>Battocchio, D; Iacolina, L; Canu, A; Mori, E</t>
  </si>
  <si>
    <t>Battocchio, Daniele; Iacolina, Laura; Canu, Antonio; Mori, Emiliano</t>
  </si>
  <si>
    <t>How much does it cost to look like a pig in a wild boar group?</t>
  </si>
  <si>
    <t>Hybridization between domestic and wild species is known to widely occur and it is reported to be one of the major causes of the current biodiversity crisis. Despite this, poor attention has been deserved to the behavioural ecology of hybrids, in particular in relation to their social behaviour. We carried out a camera trap study to assess whether phenotypically anomalous colouration in wild boar, i.e. potentially introgressed with domestic pigs, affected the hierarchical structure of wild boar social groups. Chromatically anomalous wild boars (CAWs) were detected in 32 out of 531 wild boar videos. In most videos (75%) CAWs were the latest of the group, independently from their age class and group composition. Aggressions by their wild type fellows were recorded in 31.25% videos; by contrast, no aggression among wild type individuals was observed. The lack of camouflage may expose CAWs, and thus their group, to a higher predation risk, compared to wild type groups. This individual loss of local adaptation may increase predation risk by the wolf or detection by hunters, being maladaptive for the whole social group. (C) 2017 Elsevier B.V. All rights reserved.</t>
  </si>
  <si>
    <t>Iacolina, Laura/P-8530-2016; Mori, Emiliano/AAA-8803-2022</t>
  </si>
  <si>
    <t>Iacolina, Laura/0000-0001-5504-6549; Mori, Emiliano/0000-0001-8108-7950; CANU, Antonio/0000-0002-1942-9793</t>
  </si>
  <si>
    <t>10.1016/j.beproc.2017.03.001</t>
  </si>
  <si>
    <t>WOS:000400878800016</t>
  </si>
  <si>
    <t>McDonald, DB; Clay, RP; Brumfield, RT; Braun, MJ</t>
  </si>
  <si>
    <t>Sexual selection on plumage and behavior in an avian hybrid zone: Experimental tests of male-male interactions</t>
  </si>
  <si>
    <t>In western Panama, an unusual hybrid zone exists between white-collared manakins, Manacus candei, and golden-collared manakins, M. vitellinus. Unidirectional introgression of plumage traits from vitellinus into candei has created a region in which all definitively plumaged males have a collar that is lemon-colored. These males are nearly indistinguishable from white-collared candei genetically and morphometrically, but strongly resemble golden-collared vitellinus due to the introgression of secondary sexual plumage, traits, particularly the lemon-colored collar. The introgression could be explained by sexual selection for golden-collared traits or by a series of mechanisms that do not invoke sexual selection (e.g., neutral diffusion, dominant allele). Sexual selection on male-male interactions implies behavioral differences among the plumage forms-specifically that golden- and lemon-collared males should be more aggressive than white-collared males. In contrast, the nonsexual hypotheses predict behavioral similarity between lemon- and white-collared males, based on their nearly identical genetics. We tested the sexual selection hypothesis experimentally, by presenting males with taxidermic mounts of the three forms. As response variables, we monitored vocalizations and attacks on the mounts by replicate subject males. Both golden-collared and lemon-collared males were more likely to attack than were white-collared males, as predicted under sexual selection but not by the nonsexual hypotheses. Lemon-collared males were more vocally reactive than either parental form, contrary to the prediction of the nonsexual hypotheses. Our study demonstrates that sexual selection on male-male interactions may play an important role in the dynamics of character evolution and hybrid zones.</t>
  </si>
  <si>
    <t>McDonald, David Bartelle/C-3195-2008; Brumfield, Robb/K-6108-2015</t>
  </si>
  <si>
    <t>McDonald, David Bartelle/0000-0001-8582-3775; Brumfield, Robb/0000-0003-2307-0688</t>
  </si>
  <si>
    <t>WOS:000170699300015</t>
  </si>
  <si>
    <t>Campbell, FM; Heyes, CM; Goldsmith, AR</t>
  </si>
  <si>
    <t>Stimulus learning and response learning by observation in the European starling, in a two-object/two-action test</t>
  </si>
  <si>
    <t>Juvenile European starlings, Sturnus vulgaris, were allowed to observe a conspecific demonstrator using its beak to remove one of two distinctively coloured objects (i.e. a red or a black plug) from a hole in the lid of a plastic box. Both plugs could be removed by either pulling up on a loop of string inserted through the centre of the plug, or pushing down on the plug. When subsequently allowed access to the plugs, and rewarded with food for all removal responses, regardless of the object to which they were made and their direction, observer birds removed the same plug in the same direction as their demonstrator. These results suggest that the two-object/two-action paradigm is a valuable procedure for testing for the simultaneous effects of learning about a stimulus and a response, an object and an action, through conspecific observation. (C) 1999 The Association for the Study of Animal Behaviour.</t>
  </si>
  <si>
    <t>Heyes, Cecilia/F-8262-2014</t>
  </si>
  <si>
    <t>10.1006/anbe.1999.1121</t>
  </si>
  <si>
    <t>WOS:000081982700017</t>
  </si>
  <si>
    <t>BELTHOFF, JR; DUFTY, AM; GAUTHREAUX, SA</t>
  </si>
  <si>
    <t>PLUMAGE VARIATION, PLASMA STEROIDS AND SOCIAL-DOMINANCE IN MALE HOUSE FINCHES</t>
  </si>
  <si>
    <t>In male House Finches (Carpodacus mexicanus), the extent and color of plumage varies depending on access to carotenoid pigments. ''Colorful'' males exhibit extensive red pigmentation, while less colorful (i.e., ''drab'') males exhibit carotenoid pigmentation over a smaller percentage of their plumage, pigmentation of a color besides red (e.g., yellow, gold, orange, or pink), or both. One explanation for maintenance of plumage variation is that it reliably reflects social status, allowing males to correctly assess their status in relation to others and avoid or minimize costly fights. Social relationships may also be related to endogenous factors, such as circulating levels of the hormones testosterone and corticosterone. High levels of testosterone may promote or facilitate increased aggression, and stress associated with receiving aggression from individuals of higher status may increase adrenal activity and secretion of corticosterone. We examined the relationship between plumage variability, steroid hormones, and social status in captive male House Finches during the non-breeding period in: (1) groups of males in which individuals varied by age, size, and plumage, and (2) pairs (dyads) of males matched for several measurable parameters except plumage. Testosterone and social status were not related in males competing in either groups or dyads, and levels of testosterone were routinely low. Corticosterone and status were not related in groups but, in dyads where subordinate individuals had little chance of escaping aggression from more dominant birds, subordinates exhibited significantly greater levels of corticosterone. Although drab males tended to achieve higher status than colorful males in both experiments, which is consistent with previous studies on free-living individuals, we could not reject the null hypothesis that plumage and status were unrelated. We conclude that dominance relationships among male House Finches during the non-breeding season may not be related to testosterone, but they are reflected by levels of corticosterone in some circumstances. Additionally, colorful plumage appears to be a poor predictor of high social status among male House Finches during the non-breeding season.</t>
  </si>
  <si>
    <t>Gauthreaux, Sidney/Q-3930-2019; Belthoff, Jim/JGM-1488-2023</t>
  </si>
  <si>
    <t>Belthoff, Jim/0000-0002-6051-2353</t>
  </si>
  <si>
    <t>10.2307/1369464</t>
  </si>
  <si>
    <t>WOS:A1994PE53800005</t>
  </si>
  <si>
    <t>ALDRIDGE, BM</t>
  </si>
  <si>
    <t>SYMPATRY IN 2 SPECIES OF MOCKINGBIRDS ON PROVIDENCIALES ISLAND, WEST-INDIES</t>
  </si>
  <si>
    <t>WILSON BULLETIN</t>
  </si>
  <si>
    <t>In the winter months of 1977-1978 and 1979-1980, the behavior of the northern (Mimus polyglottos) and the Bahama (M. gundlachii) mockingbirds on the island of Providenciales in the West Indies was studied. This study was undertaken to help identify the factors that permit sympatry between these congeners. Censuses in 2 study areas were conducted and data collected on territoriality, song, food requirements, habitat preference and nidification. Song recordings were made for use in playback experiments and for capture and banding. Because of differences in habitat choice and use, co-occupancy of habitat by the 2 spp. occurs with minimal aggression. Interspecific-aggression is rare when food is abundant but common when food is less abundant. Here, after initial aggression, food sites are shared. Interspecific territorial disputes were common and there is evidence that M. gundlachii uses song to avoid aggression. Territorial boundaries were estimated by plotting positions of color-banded individuals. As the breeding season approached, M. gundlachii gradually displaced M. polyglottos from the highest song perches, often by vigorous song. Generally the breeding season for both species was the same. However, peaks of breeding in the 2 spp. occurred at different times.</t>
  </si>
  <si>
    <t>0043-5643</t>
  </si>
  <si>
    <t>WOS:A1984ACX3700007</t>
  </si>
  <si>
    <t>Getty, RM; Coyle, FA</t>
  </si>
  <si>
    <t>Observations on prey capture and anti-predator behaviors of ogre-faced spiders (Deinopis) in southern Costa Rica (Araneae, Deinopidae)</t>
  </si>
  <si>
    <t>JOURNAL OF ARACHNOLOGY</t>
  </si>
  <si>
    <t>Members of two apparently conspecific Deinopis populations from southern Costa Rica perform backward (aerial) strikes (in response to vocalizations and vibrating tuning forks) and forward strikes (to capture ambulatory prey). At daybreak these spiders quickly shift from foraging to cryptic behavior. This cryptic behavior, which is described and illustrated in detail, involves camouflage on a linear plant structure and/or stick mimicry. Body form, fringes of setae, palpal tarsus and claw shape, and color pattern all enhance the effectiveness of these cryptic behaviors.</t>
  </si>
  <si>
    <t>0161-8202</t>
  </si>
  <si>
    <t>WOS:A1996VW78600003</t>
  </si>
  <si>
    <t>Zinzow-Kramer, WM; Horton, BM; McKee, CD; Michaud, JM; Tharp, GK; Thomas, JW; Tuttle, EM; Yi, S; Maney, DL</t>
  </si>
  <si>
    <t>Zinzow-Kramer, W. M.; Horton, B. M.; McKee, C. D.; Michaud, J. M.; Tharp, G. K.; Thomas, J. W.; Tuttle, E. M.; Yi, S.; Maney, D. L.</t>
  </si>
  <si>
    <t>Genes located in a chromosomal inversion are correlated with territorial song in white-throated sparrows</t>
  </si>
  <si>
    <t>The genome of the white-throated sparrow (Zonotrichia albicollis) contains an inversion polymorphism on chromosome 2 that is linked to predictable variation in a suite of phenotypic traits including plumage color, aggression and parental behavior. Differences in gene expression between the two color morphs, which represent the two common inversion genotypes (ZAL2/ZAL2 and ZAL2/ZAL2(m)), may therefore advance our understanding of the molecular underpinnings of these phenotypes. To identify genes that are differentially expressed between the two morphs and correlated with behavior, we quantified gene expression and terrirorial aggression, including song, in a population of free-living white-throated sparrows. We analyzed gene expression in two brain regions, the medial amygdala (MeA) and hypothalamus. Both regions are part of a 'social behavior network', which is rich in steroid hormone receptors and previously linked with territorial behavior. Using weighted gene co-expression network analyses, we identified modules of genes that were correlated with both morph and singing behavior. The majority of these genes were located within the inversion, showing the profound effect of the inversion on the expression of genes captured by the rearrangement. These modules were enriched with genes related to retinoic acid signaling and basic cellular functioning. In the MeA, the most prominent pathways were those related to steroid hormone receptor activity. Within these pathways, the only gene encoding such a receptor was ESR1 (estrogen receptor 1), a gene previously shown to predict song rate in this species. The set of candidate genes we identified may mediate the effects of a chromosomal inversion on territorial behavior.</t>
  </si>
  <si>
    <t>McKee, Clifton/I-4603-2019; Maney, Donna L/G-3706-2011; Tuttle, Elaina/A-1485-2016</t>
  </si>
  <si>
    <t>McKee, Clifton/0000-0002-6149-0598; Maney, Donna L/0000-0002-1006-2358; Zinzow-Kramer, Wendy/0000-0003-1469-5803; Tuttle, Elaina/0000-0002-2465-918X</t>
  </si>
  <si>
    <t>10.1111/gbb.12252</t>
  </si>
  <si>
    <t>WOS:000368248600008</t>
  </si>
  <si>
    <t>Miller, MN; Fincke, OM</t>
  </si>
  <si>
    <t>Cues for mate recognition and the effect of prior experience on mate recognition in Enallagma damselflies</t>
  </si>
  <si>
    <t>In many coenagrionid damselflies, sexually mature females exhibit color polymorphisms, with some females resembling conspecific males. Although it has been suggested that the latter function as male mimics, this does not appear to be the case for those in the genus Enallagma. We found that sexually dimorphic coloration of the female abdomen and thorax are important cues for sexual recognition by males. We demonstrate for the first time in the Odonata, that males learn to recognize andromorphs as potential mates. After 2 days in an enclosure, sexually mature males exposed to only andromorphic females initiated more sexual interactions with tethered andromorphs than with heteromorphs, the majority morph in the natural population. Exposure to only heteromorphic females tended to decrease males' sexual responses to andromorphs, but not significantly so. Because the frequency of female morphs often varies within a population, learned mate recognition would be advantageous for males that search for mates. Our results lead to a novel, frequency-dependent hypothesis for the occurrence and maintenance of female-limited color polymorphisms.</t>
  </si>
  <si>
    <t>10.1023/A:1020957110842</t>
  </si>
  <si>
    <t>WOS:000087352400006</t>
  </si>
  <si>
    <t>Dijkstra, PD; Wiegertjes, GF; Forlenza, M; van der Sluijs, I; Hofmann, HA; Metcalfe, NB; Groothuis, TGG</t>
  </si>
  <si>
    <t>Dijkstra, P. D.; Wiegertjes, G. F.; Forlenza, M.; van der Sluijs, I.; Hofmann, H. A.; Metcalfe, N. B.; Groothuis, T. G. G.</t>
  </si>
  <si>
    <t>The role of physiology in the divergence of two incipient cichlid species</t>
  </si>
  <si>
    <t>Sexual selection on male coloration has been implicated in the evolution of colourful species flocks of East African cichlid fish. During adaptive radiations, animals diverge in multiple phenotypic traits, but the role of physiology has received limited attention. Here, we report how divergence in physiology may contribute to the stable coexistence of two hybridizing incipient species of cichlid fish from Lake Victoria. Males of Pundamilia nyererei (males are red) tend to defeat those of Pundamilia pundamilia (males are blue), yet the two sibling species coexist in nature. It has been suggested that red males bear a physiological cost that might offset their dominance advantage. We tested the hypothesis that the two species differ in oxidative stress levels and immune function and that this difference is correlated with differences in circulating steroid levels. We manipulated the social context and found red males experienced significantly higher oxidative stress levels than blue males, but only in a territorial context when colour and aggression are maximally expressed. Red males exhibited greater aggression levels and lower humoral immune response than blue males, but no detectable difference in steroid levels. Red males appear to trade off increased aggressiveness with physiological costs, contributing to the coexistence of the two species. Correlated divergence in colour, behaviour and physiology might be widespread in the dramatically diverse cichlid radiations in East African lakes and may play a crucial role in the remarkably rapid speciation of these fish.</t>
  </si>
  <si>
    <t>Forlenza, Maria/O-2683-2014; Wiegertjes, Geert F/E-3330-2012; Metcalfe, Neil B./C-5997-2009; Hofmann, Hans/E-4538-2016</t>
  </si>
  <si>
    <t>Forlenza, Maria/0000-0001-9026-7320; Metcalfe, Neil B./0000-0002-1970-9349; wiegertjes, geert/0000-0001-9265-3436; Hofmann, Hans/0000-0002-3335-330X; Dijkstra, Peter/0000-0001-5382-225X</t>
  </si>
  <si>
    <t>10.1111/j.1420-9101.2011.02389.x</t>
  </si>
  <si>
    <t>WOS:000297639600010</t>
  </si>
  <si>
    <t>Olsen, BJ; Greenberg, R; Liu, IA; Felch, JM; Walters, JR</t>
  </si>
  <si>
    <t>Olsen, Brian J.; Greenberg, Russell; Liu, Irene A.; Felch, Joshua M.; Walters, Jeffrey R.</t>
  </si>
  <si>
    <t>Interactions between sexual and natural selection on the evolution of a plumage badge</t>
  </si>
  <si>
    <t>The evolutionary stability of signals varies due to interactions between sexual and natural selection. A tidal-marsh sparrow, Melospiza georgiana nigrescens, possesses darker pigmentation than an inland-marsh sparrow, M. g. georgiana. Studies of feather-degrading bacteria and convergent evolution among salt-marsh vertebrates suggest this dark coloration is due to environmental selection. Sexually dichromatic swamp sparrow crowns, however, may be additionally under sexual selection. We investigated ties between two plumage patches (rusty cap and black forehead) and two behaviors (male-male aggression and parental care) in the coastal and inland subspecies to test the effect of sexual versus natural selection on badge evolution. Across both subspecies the extent of rusty feathers in the cap patch was correlated positively with parental care and negatively with aggression, and the extent of black feathers in the forehead patch was correlated positively with aggression. Males with larger forehead patches produced more offspring along the coast, while males with larger cap patches did so inland. The date of the first nesting attempt for both subspecies correlated with cap patch extent, suggesting a similar role for female choice. Natural selection likely accounts for darker coastal females. Coastal male head color, however, is darker due to increased selection for larger forehead patches via intrasexual competition, yet it remains largely rusty due to female choice for larger cap patches. Increased sexual dichromatism among coastal plain swamp sparrows thus provides a clear example of the interplay between sexual and natural selection in subspecies divergence.</t>
  </si>
  <si>
    <t>Olsen, Brian/0000-0001-5608-2779</t>
  </si>
  <si>
    <t>10.1007/s10682-009-9330-4</t>
  </si>
  <si>
    <t>WOS:000278833400007</t>
  </si>
  <si>
    <t>Kim, SY; Velando, A</t>
  </si>
  <si>
    <t>Kim, Sin-Yeon; Velando, Alberto</t>
  </si>
  <si>
    <t>Stickleback Males Increase Red Coloration and Courtship Behaviours in the Presence of a Competitive Rival</t>
  </si>
  <si>
    <t>In species where females preferentially select the most colourful males, males may strategically invest in courtship and nuptial colour according to the presence of rivals. In this experimental study, we tested this in the three-spined stickleback (Gasterosteus aculeatus) in which mature males exhibit carotenoid-based red coloration to attract mates and defend their territories against male competitors. We challenged experimental males with either a red-ornamented dummy male or a non-ornamented dummy for five min per day in six-d experimental trial, which was repeated twice during the breeding season. We found that the males presented with a coloured rival exhibited more frequent courtship behaviours (i.e. fanning and gluing) to females than those presented with a non-coloured intruder during the second experimental trial. At the end of each trial, the experimental males also showed a significantly larger area of red coloration in the presence of a coloured intruder. Our findings suggest that male sticklebacks regulate mating effort according to the presence of competitive rivals by increasing their investment in costly signals when successful mating and territory defence is at risk.</t>
  </si>
  <si>
    <t>Kim, Sin-Yeon/K-2770-2014; Velando, Alberto/B-1701-2009</t>
  </si>
  <si>
    <t>Kim, Sin-Yeon/0000-0002-5170-8477; Velando, Alberto/0000-0001-8909-0724</t>
  </si>
  <si>
    <t>10.1111/eth.12224</t>
  </si>
  <si>
    <t>WOS:000333696100008</t>
  </si>
  <si>
    <t>Lafooraki, EY; Hajizadeh, J; Shayanmehr, M; Hosseini, R</t>
  </si>
  <si>
    <t>Lafooraki, Elham Yoosefi; Hajizadeh, Jalil; Shayanmehr, Masoumeh; Hosseini, Reza</t>
  </si>
  <si>
    <t>A revision of the genus Isotomurus (Collembola: Isotomidae) in northern Iran using molecular evidence</t>
  </si>
  <si>
    <t>Three new species of Isotomurus Borner are described from northern Iran. Status of studied populations is confirmed as new species by using COI and 28SrRNA markers. The new species belong to species-group characterized by 3,3,1 trichobothria on Abd. II-IV, 3+3 laterodistal setae on ventral tube, and no seta on mucro. Isotomurus hyrcanicus sp. nov. is similar to I. palustris Muller in color pattern, but has two lateral bands on last abdominal segments and 10-13 setae on retinaculum. Results of COI analyses shows that all color forms in population of the new species are conspecific. Isotomurus potapovi sp. nov. has a dorsomedial band from Th. II to Abd. V and 6-7 setae on retinaculm, and Isotomurus katule sp. nov. has a uniform body color and 5-8 setae on retinaculum. An identification key for recorded species of genus Isotomurus in Iran is provided. Color pattern as a common character used to identify Isotomurus species is not always reliable and its efficiency needs to be verified for each species.</t>
  </si>
  <si>
    <t>Hajizadeh, Jalil/AAX-9481-2020; Shayanmehr, Masoumeh/AGO-2734-2022</t>
  </si>
  <si>
    <t>Hajizadeh, Jalil/0000-0001-9507-1220; Shayanmehr, Masoumeh/0000-0002-5024-1182; Yoosefi Lafooraki, Elham/0000-0002-6394-6130</t>
  </si>
  <si>
    <t>JAN 19</t>
  </si>
  <si>
    <t>10.11646/zootaxa.5230.1.3</t>
  </si>
  <si>
    <t>WOS:000927998600003</t>
  </si>
  <si>
    <t>O'Connor, EA; Saunders, JE; Grist, H; McLeman, MA; Wathes, CM; Abeyesinghe, SM</t>
  </si>
  <si>
    <t>O'Connor, Emily A.; Saunders, John E.; Grist, Hannah; McLeman, Morven A.; Wathes, Christopher M.; Abeyesinghe, Siobhan M.</t>
  </si>
  <si>
    <t>The relationship between the comb and social behaviour in laying hens</t>
  </si>
  <si>
    <t>The question of whether attributes of the combs of laying hens have any consistent relationship with dominance behaviour has yet to be answered unequivocally. This study sought to address this by investigating whether a relationship existed between the competitive ability of hens within stable groups and the size or colour of their combs. Pullets (n = 120, Hy-line (R) Variety Brown) were allocated randomly to eight groups of 15 hens for 32 weeks. Over this period the length and height of each hen's comb was measured regularly to estimate the total comb area and hens were weighed. In weeks 3-10 the aggressive interactions between hens in each group were observed to calculate a behavioural dominance score (David's score) for each hen. This score was based on the outcome of agonistic interactions with other group members; and accounts for the relative strengths of all opponents. Thus dominance scores reflected the competitive ability of hens from their overall within-group fighting success. The luminance, purity and dominant wavelength of the colour of each hen's comb was measured in week 27 using a telespectroradiometer. Hens with higher dominance scores had larger combs than those with lower dominance scores (gradient of slope = 0.008 +/- 0.002, P &lt; 0.001); this relationship was consistent across the experiment. There was no association between body weight and dominance score but there was a significant inverse relationship between dominance score and the dominant wavelength of the comb (gradient of slope = -0.067 +/- 0.023, P &lt; 0.01). This indicated that hens with combs perceived by humans as more yellow-red than pure red were generally more successful competitors. Further research is required to ascertain whether or not hens utilise this information on comb size and the underexplored area of comb colour to assess the competitive ability of their opponents. (C) 2011 Elsevier B.V. All rights reserved.</t>
  </si>
  <si>
    <t>Abeyesinghe, Siobhan M/G-4423-2011</t>
  </si>
  <si>
    <t>Grist, Hannah/0000-0001-7299-1868; Abeyesinghe, Siobhan/0000-0002-9977-7949</t>
  </si>
  <si>
    <t>DEC 31</t>
  </si>
  <si>
    <t>10.1016/j.applanim.2011.09.011</t>
  </si>
  <si>
    <t>WOS:000298775100005</t>
  </si>
  <si>
    <t>Senar, JC; Domenech, J; Camerino, M</t>
  </si>
  <si>
    <t>Female siskins choose mates by the size of the yellow wing stripe</t>
  </si>
  <si>
    <t>Commonly, female birds use the brightly coloured patches on males to choose the best-quality mates. Coloured wing patches, however, have received little attention or have been previously related to social behaviour (as a signal to recruit conspecific individuals at feeding patches) or foraging (to flush prey) contexts, rather than to sexual selection. Here we provide evidence that in siskins (Carduelis spinus), wing patches function in mate choice. Mate-choice experiments showed that females were attracted by the size of the yellow wing stripe of the male, but not by the size of its black bib, body size, general plumage brightness or age. Experiments on birds with manipulated yellow wing stripes showed that females were sensitive to the size of this colour patch, irrespective of other male qualities. The preference of female siskins for males with larger wing patches when searching for a mate may be explained by the relationship of this trait to foraging ability, which would ensure females good parental investment from the chosen male.</t>
  </si>
  <si>
    <t>Senar, Joan Carles/V-2371-2018</t>
  </si>
  <si>
    <t>Senar, Joan Carles/0000-0001-9955-3892</t>
  </si>
  <si>
    <t>10.1007/s00265-004-0873-7</t>
  </si>
  <si>
    <t>WOS:000227366700008</t>
  </si>
  <si>
    <t>Morph Composition Matters in the Gouldian Finch (Chloebia gouldiae): Involvement of Red-Headed Birds Increases Vigilance</t>
  </si>
  <si>
    <t>BIRDS</t>
  </si>
  <si>
    <t>Animals invest in costly vigilance to detect threats. Joining groups reduces these costs, which can be further reduced in mixed-species assemblages. In colour-polymorphic species, morphs often experience different predation pressure and vary in a variety of traits. However, little is known about differences in vigilance or how group composition affects vigilance. The aim was to investigate whether higher conspicuousness increased vigilance and whether vigilance was reduced in mixed-morph groups like in mixed-species assemblages. I tested vigilance in the colour-polymorphic Gouldian Finch (Chloebia gouldiae). Same sex pairs of different age and of either pure (red-red or black-black) or mixed head colour were exposed to three contexts (familiar, changed and novel environment) and head movements were recorded. All birds reduced the frequency of head movements with increasing novelty, indicating different vigilance strategies (switching from a searching to a tracking strategy) depending on the situation. While vigilance did not differ between morphs, morph composition mattered. Black-headed pairs made fewer head movements than mixed-head colour pairs. Results indicated that conspicuousness did not affect vigilance, possibly due to existing adaptations to reduce predation risk. However, whenever red-headed birds were involved, vigilance increased either because of higher group conspicuousness or prevalence of aggression.</t>
  </si>
  <si>
    <t>Mettke-Hofmann, Claudia/0000-0003-3874-5035</t>
  </si>
  <si>
    <t>2673-6004</t>
  </si>
  <si>
    <t>10.3390/birds2040030</t>
  </si>
  <si>
    <t>WOS:001123340900001</t>
  </si>
  <si>
    <t>Wilczynski, W; Black, MP; Salem, SJ; Ezeoke, CB</t>
  </si>
  <si>
    <t>Wilczynski, Walter; Black, Michael P.; Salem, Scarlett J.; Ezeoke, Chisom B.</t>
  </si>
  <si>
    <t>Behavioural persistence during an agonistic encounter differentiates winners from losers in green anole lizards</t>
  </si>
  <si>
    <t>Agonistic encounters featuring ritualized displays precede the establishment of dominance relationships in many animals. We investigated the predictive value of the amount of display behaviour (number and duration of displays) vs. quickness to display (latency to express a display behaviour) in determining the outcome of aggressive interactions and establishment of dominant vs. subordinate status in male green anole lizards, Anolis carolinensis. Similar-sized males were paired and observed for ninety minutes as they established social status. We recorded the number, duration (where appropriate) and latencies to first expression for multiple behavioural display components (head bob A, B and C, dewlap displays, open mouth displays, pushups, lateral displays) and colour changes (eyespot presence and body colour changes). Males that eventually won and became the dominant male had significantly higher counts and durations with the exception of Bob C counts, pushup counts and open mouth duration. Future dominants also maintained a green body colour longer than future subordinates, which had brown shades more often and for longer durations. Latency to first express a display component was shorter in future dominants for head bobs A and C, dewlap and open mouth displays when all data were considered. However, all significant latency differences disappeared when data only from pairs in which both males displayed a behaviour were included in the analysis. Counts, durations, and latencies were highly correlated with each other within individuals. The results indicate that behavioural display patterns during an initial display contest predict the outcome of the interaction, with the amount of display behaviour being the best predictor of whether a male will win or lose the contest and hence become dominant or subordinate. These results are consistent with the idea that displays are honest signals of a male's physiological capacity or stamina, and hence fighting and resource holding ability.</t>
  </si>
  <si>
    <t>Black, Michael/KFS-2769-2024</t>
  </si>
  <si>
    <t>10.1163/1568539X-00003243</t>
  </si>
  <si>
    <t>WOS:000351364600001</t>
  </si>
  <si>
    <t>Seddon, RJ; Hews, DK</t>
  </si>
  <si>
    <t>Seddon, Ryan J.; Hews, Diana K.</t>
  </si>
  <si>
    <t>Phenotypic correlates of melanization in two Sceloporus occidentalis (Phrynosomatidae) populations: Behavior, androgens, stress reactivity, and ectoparasites</t>
  </si>
  <si>
    <t>Mechanisms underlying production of animal coloration can affect key traits besides coloration. Melanin, and molecules regulating melanin, can directly and indirectly affect other phenotypic traits including aggression, stress-reactivity, and immune function. We studied correlation of melanization with these other traits, comparing within-and between-population differences of adult male western fence lizards, Sceloporus occidentalis. We compared one high-and one low-elevation population in California where individuals are increasingly darker at higher elevations, working during comparable periods of the breeding season at each site (first egg clutch). We measured agonistic behaviors of free-ranging males in response to staged territorial intrusions (STIs). In other sets of males we measured baseline testosterone and corticosterone levels, and hormonal-reactivity to a stress handling paradigm. We counted ectoparasite loads for all males. There were no significant associations between individual variation in melanization and individual variation in any of the variables measured. However, analysis of behavior from the STIs revealed that males in the darker high-elevation population responded with more aggressive behavior compared to males in the lighter low-elevation population. Males in the low-elevation population had significantly higher mean baseline testosterone, but the two populations did not differ in adrenal function (baseline corticosterone or corticosterone after 1-h confinement stress). Males in the darker high-elevation population had higher mean mite loads compared to males in the lighter population. This array of phenotypic differences between the two populations, and the absence of trait associations when assessing individual variation, do not parallel the patterns in other vertebrates. We describe potential differences in selective regimes that could produce these different patterns across vertebrates. These data suggest that hormonal pleiotropy does not constrain phenotypic variation. (C) 2016 Elsevier Inc All rights reserved.</t>
  </si>
  <si>
    <t>SEP 1</t>
  </si>
  <si>
    <t>10.1016/j.physbeh.2016.04.039</t>
  </si>
  <si>
    <t>WOS:000380597400010</t>
  </si>
  <si>
    <t>Stieb, SM; Cortesi, F; de Queiroz, LJ; Carleton, KL; Seehausen, O; Marshall, NJ</t>
  </si>
  <si>
    <t>Stieb, Sara. M.; Cortesi, Fabio; de Queiroz, Luiz Jardim; Carleton, Karen. L.; Seehausen, Ole; Marshall, N. Justin</t>
  </si>
  <si>
    <t>Long-wavelength-sensitive (lws) opsin gene expression, foraging and visual communication in coral reef fishes</t>
  </si>
  <si>
    <t>Coral reef fishes are diverse in ecology and behaviour and show remarkable colour variability. Investigating the visual pigment gene (opsin) expression in these fishes makes it possible to associate their visual genotype and phenotype (spectral sensitivities) to visual tasks, such as feeding strategy or conspecific detection. By studying all major damselfish clades (Pomacentridae) and representatives from five other coral reef fish families, we show that the long-wavelength-sensitive (lws) opsin is highly expressed in algivorous and less or not expressed in zooplanktivorous species. Lws is also upregulated in species with orange/red colours (reflectance &gt;520 nm) and expression is highest in orange/red-coloured algivores. Visual models from the perspective of a typical damselfish indicate that sensitivity to longer wavelengths does enhance the ability to detect the red to far-red component of algae and orange/red-coloured conspecifics, possibly enabling social signalling. Character state reconstructions indicate that in the early evolutionary history of damselfishes, there was no lws expression and no orange/red coloration. Omnivory was most often the dominant state. Although herbivory was sometimes dominant, zooplanktivory was never dominant. Sensitivity to long wavelength (increased lws expression) only emerged in association with algivory but never with zooplanktivory. Higher lws expression is also exploited by social signalling in orange/red, which emerged after the transition to algivory. Although the relative timing of traits may deviate by different reconstructions and alternative explanations are possible, our results are consistent with sensory bias whereby social signals evolve as a correlated response to natural selection on sensory system properties in other contexts.</t>
  </si>
  <si>
    <t>Cortesi, Fabio/A-5688-2017; Seehausen, Ole/C-8272-2011</t>
  </si>
  <si>
    <t>Cortesi, Fabio/0000-0002-7518-6159; Seehausen, Ole/0000-0001-6598-1434; Carleton, Karen/0000-0001-6306-5643; Sueess (formerly Stieb), Sara/0000-0001-7158-3934; Marshall, Justin/0000-0001-9006-6713</t>
  </si>
  <si>
    <t>10.1111/mec.16831</t>
  </si>
  <si>
    <t>WOS:000913280100001</t>
  </si>
  <si>
    <t>Korzan, WJ; Summers, TR; Summers, CH</t>
  </si>
  <si>
    <t>Korzan, Wayne J.; Summers, Tangi R.; Summers, Cliff H.</t>
  </si>
  <si>
    <t>Neural and endocrine responses to social stress differ during actual and virtual aggressive interactions or physiological sign stimuli</t>
  </si>
  <si>
    <t>Neural and endocrine responses provide quantitative measures that can be used for discriminating behavioral output analyses. Experimental design differences often make it difficult to compare results with respect to the mechanisms producing behavioral actions. We hypothesize that comparisons of distinctive behavioral paradigms or modification of social signals can aid in teasing apart the subtle differences in animal responses to social stress. Eyespots are a unique sympathetically activated sign stimulus of the lizard Anolis carolinensis that influence aggression and social dominance. Eyespot formation along with measurements of central and plasma mono amines enable comparison of paired male aggressive interactions with those provoked by a mirror image. The results suggest that experiments employing artificial application of sign stimuli in dyadic interactions amplify behavioral, neural and endocrine responses, and foreshorten behavioral interactions compared to those that develop among pairs naturally. While the use of mirrors to induce aggressive behavior produces simulated interactions that appear normal, some behavioral, neural, and endocrine responses are amplified in these experiments as well. In contrast, mirror image interactions also limit the level of certain behavioral and neuroendocrine responses. As true social communication does not occur during interaction with mirror images, rank relationships can never be established. Multiple experimental approaches, such as combining naturalistic social interactions with virtual exchanges and/or manipulation of sign stimuli, can often provide added depth to understanding the motivation, context, and mechanisms that produce specific behaviors. The addition of endocrine and neural measurements helps identify the contributions of specific behavioral elements to the social processes proceeding.</t>
  </si>
  <si>
    <t>10.1016/j.beproc.2020.104294</t>
  </si>
  <si>
    <t>WOS:000608124600001</t>
  </si>
  <si>
    <t>Ng, HH</t>
  </si>
  <si>
    <t>Ng, Heok Hee</t>
  </si>
  <si>
    <t>Tachysurus spilotus, a new species of catfish from central Vietnam (Teleostei: Bagridae)</t>
  </si>
  <si>
    <t>Tachysurus spilotus, a new species of catfish from central Vietnam, is described. It can be distinguished from congeners except T. argentivittatus, T. longispinalis, and T. virgatus in having a color pattern consisting of black longitudinal stripes on a pale body (vs. with a uniform-colored body with pale patches or transverse bands on a dark body, or with dark rectangular patches on a pale body). It differs from both T. argentivittatus and T. virgatus in snout shape and having gently convex (vs. straight) posterior edges of the caudal-fin lobes; and from T. longispinalis in having a shorter dorsal-fin spine (ca. 27% SL vs. 15.1-19.0) and maxillary barbels (shorter, vs. longer than head). Tachysurus mica is shown here to be conspecific with-and a junior synonym of-T. argentivittatus.</t>
  </si>
  <si>
    <t>Ng, Heok Hee/T-5686-2019</t>
  </si>
  <si>
    <t>Ng, Heok Hee/0000-0002-4366-2624</t>
  </si>
  <si>
    <t>10.11646/zootaxa.2283.1.2</t>
  </si>
  <si>
    <t>WOS:000271469200002</t>
  </si>
  <si>
    <t>Carlile, AL; Cho, TO; Waaland, JR</t>
  </si>
  <si>
    <t>Carlile, Amy Lynn; Cho, Tae Oh; Waaland, J. Robert</t>
  </si>
  <si>
    <t>The conspecificity of Ceramium pacificum and Ceramium washingtoniense (Ceramiaceae, Rhodophyta)</t>
  </si>
  <si>
    <t>PHYCOLOGIA</t>
  </si>
  <si>
    <t>Ceramium pacificum and Ceramium washingtoniense are two corticated Ceramium species recognized by their prolific side branches. Molecular analysis of specimens, including those from the type localities and the type specimens, indicates that these two species are conspecific. Two of the characters used to distinguish these species, colour and size, are plastic features that do not define these as separate species. The other character, degree of cortication in younger branches, is shared by both species. This study also shows the value of historic herbarium specimens and why they continue to be a vital resource for taxonomists.</t>
  </si>
  <si>
    <t>0031-8884</t>
  </si>
  <si>
    <t>10.2216/09-19.1</t>
  </si>
  <si>
    <t>WOS:000280232300004</t>
  </si>
  <si>
    <t>Mendelson, TC; Gumm, JM; Martin, MD; Ciccotto, PJ</t>
  </si>
  <si>
    <t>Mendelson, Tamra C.; Gumm, Jennifer M.; Martin, Michael D.; Ciccotto, Patrick J.</t>
  </si>
  <si>
    <t>Preference for conspecifics evolves earlier in males than females in a sexually dimorphic radiation of fishes</t>
  </si>
  <si>
    <t>Speciation by sexual selection is generally modeled as the coevolution of female preferences and elaborate male ornaments leading to behavioral (sexual) reproductive isolation. One prediction of these models is that female preference for conspecific males should evolve earlier than male preference for conspecific females in sexually dimorphic species with male ornaments. We tested that prediction in darters, a diverse group of freshwater fishes with sexually dimorphic ornamentation. Focusing on the earliest stages of divergence, we tested preference for conspecific mates in males and females of seven closely related species pairs. Contrary to expectation, male preference for conspecific females was significantly greater than female preference for conspecific males. Males in four of the 14 species significantly preferred conspecific females; whereas, females in no species significantly preferred conspecific males. Relationships between the strength of preference for conspecifics and genetic distance revealed no difference in slope between males and females, but a significant difference in intercept, also suggesting that male preference evolves earlier than females'. Our results are consistent with other recent studies in darters and suggest that the coevolution of female preferences and male ornaments may not best explain the earliest stages of behavioral isolation in this lineage.</t>
  </si>
  <si>
    <t>10.1111/evo.13406</t>
  </si>
  <si>
    <t>WOS:000424131100009</t>
  </si>
  <si>
    <t>Schätti, B</t>
  </si>
  <si>
    <t>Schatti, Beat</t>
  </si>
  <si>
    <t>Racer populations from the Levant to the Caspian region referred to Platyceps ventromaculatus (Gray, 1834) (Reptilia: Squamata: Colubrinae).</t>
  </si>
  <si>
    <t>Populations of Gray's racer from southeastern Anatolia and Syria to western Iran (Platyceps cf. ventromaculatus) show considerable variability in a number of scale characters, dorsal colour pattern, dentition, and hemipenis length. Zamenis rogersi Anderson is conspecific with R cf. ventromaculatus (Gray). This taxon is recorded from the Cyrenaica (eastern Libya) to at least as far east as the Kopet Dag area (Golestan). Its distribution in eastern Iran and the systematic status of northern African and Middle East populations vis-A-vis Sindian P ventromaculatus (sensu stricto) are in need of further investigations.</t>
  </si>
  <si>
    <t>10.5962/bhl.part.80367</t>
  </si>
  <si>
    <t>WOS:000241077500009</t>
  </si>
  <si>
    <t>Deckel, AW; Jevitts, E</t>
  </si>
  <si>
    <t>Left vs. right-hemisphere regulation of aggressive behaviors in Anolis carolinensis: Effects of eye-patching and fluoxetine administration</t>
  </si>
  <si>
    <t>JOURNAL OF EXPERIMENTAL ZOOLOGY</t>
  </si>
  <si>
    <t>Two experiments examined aggressive responding in Anolis carolinensis. In experiment one, ten adult male anoles had either their left (LEP) or right (REP) eye patched and were then subjected to ten behavioral trials during which a second male was introduced into the cage. Greater numbers of headbobs, or bites, were observed during the LEP condition, while greater numbers of dewlaps and head bobs were observed during the REP condition. In addition, while baseline skin color showed no difference between groups, by the completion of the trials LEP greened, while REP browned. Changes in skin color were correlated with aggressive responding, with a ''greening effect'' showing high correlation with increased aggression, while browning was associated with decreased responding. In experiment two, 15 unpatched A. carolinensis males served as subjects and were subjected to 19 5 min trials during which an antagonistic male was placed into the cage. In these subjects, a preference for left-eye aggression was found to develop over the course of the first 6 days of training, while a decrease in use of the right eye simultaneously occurred. Following injection with fluoxetine, a decrease in aggressive responding in both the right and left eyes was found in comparison to the control group. Collectively, these results suggest that the lateralized control of aggression in A. carolinensis is more complicated than suggested by observation of unpatched subjects, although in both conditions the social assertation response (i.e., dewlaps plus headbobbing) is predominantly under the control of the left eye/right hemisphere. (C) 1997 Wiley-Liss, Inc.</t>
  </si>
  <si>
    <t>0022-104X</t>
  </si>
  <si>
    <t>10.1002/(SICI)1097-010X(19970501)278:1&lt;9::AID-JEZ2&gt;3.0.CO;2-T</t>
  </si>
  <si>
    <t>WOS:A1997WW30700002</t>
  </si>
  <si>
    <t>GVARYAHU, G; ARARAT, E; ASAF, FE; LEV, SM; WELLER, JI; ROBINZON, B; SNAPIR, N</t>
  </si>
  <si>
    <t>AN ENRICHMENT OBJECT THAT REDUCES AGGRESSIVENESS AND MORTALITY IN CAGED LAYING HENS</t>
  </si>
  <si>
    <t>The effect on aggressive pecking activity and mortality by an environmental enrichment device was examined. In this study, 2955 White Leghorn chickens from three different lines were used in six separate experiments. Experiments were conducted with chickens during their first or second laying period. Half the cages in each experiment were equipped with colored key rings or an enrichment object manufactured by Gallus Ltd. (Israel). Experimental and control groups of cages were distributed in an alternate serial order for each experiment which lasted for 3, 4, 5, 8, 9, and 10 months. The enrichment devices significantly reduced aggressive head-pecking behavior and significantly decreased the mortality rate from 1.06% per month among the controls to 0.57% among the experimental groups.</t>
  </si>
  <si>
    <t>Weller, Joel Ira/H-3862-2019</t>
  </si>
  <si>
    <t>Weller, Joel Ira/0000-0002-0668-1594</t>
  </si>
  <si>
    <t>10.1016/0031-9384(94)90139-2</t>
  </si>
  <si>
    <t>WOS:A1994MV64200016</t>
  </si>
  <si>
    <t>Schuett, W; Dall, SRX</t>
  </si>
  <si>
    <t>Schuett, Wiebke; Dall, Sasha R. X.</t>
  </si>
  <si>
    <t>Appearance, state, and behavior in male zebra finches, Taeniopygia guttata</t>
  </si>
  <si>
    <t>Secondary sexual traits are often costly to produce and therefore an individual's appearance can signal its quality. As the quality of an individual influences the payoffs associated with the actions it can perform, its appearance should also influence its behavior. Here we investigate whether male zebra finches, Taeniopygia guttata, change their behavior (and their energetic states) after artificial manipulations of their appearance, using different colored leg bands, and if such effects carry over after the end of the manipulation, as might be expected if appearance-mediated social dynamics lock individuals into different states. During three experimental phases, in which all males in a group wore neutral colored leg bands at the beginning (phase I), then wore attractive, unattractive, and neutral colored bands, respectively (phase II), before wearing the neutral color again (phase III), we found no evidence of an effect of the appearance manipulation on state, weight or any behavioral traits we measured. Nevertheless, we found that individuals that stored more fat were more likely to initiate and win aggressive interactions but were less likely to be recipients of aggression. This association between energetic state and aggressive behavior is discussed from both strategic body mass regulation and sexual selection perspectives.</t>
  </si>
  <si>
    <t>Dall, Sasha/B-2642-2010</t>
  </si>
  <si>
    <t>Dall, Sasha/0000-0001-9873-6507; Schuett, Wiebke/0000-0002-4149-6095</t>
  </si>
  <si>
    <t>10.1007/s10164-009-0181-9</t>
  </si>
  <si>
    <t>WOS:000277469300009</t>
  </si>
  <si>
    <t>Mesarcova, L; Skurkova, L; Leskova, L; Dillingerova, S; Kottferova, J; Kottferova, L</t>
  </si>
  <si>
    <t>Mesarcova, L.; Skurkova, L.; Leskova, L.; Dillingerova, S.; Kottferova, J.; Kottferova, L.</t>
  </si>
  <si>
    <t>Good-looking vs. Obedient, Which Would You Rather Take Home? Appearance and Behavioral Predictors Affecting the Adoption of Shelter Dogs in Slovakia</t>
  </si>
  <si>
    <t>The aim of the study was to investigate the key factors influencing the successful adoption of dogs from dog shelters in Slovakia. The study covered the following factors in relation to individual dogs: time spent at the shelter, age, body weight, sex, coat color, length of the coat, and behavior (specifically intraspecific aggression, aggression toward humans, activity, and fear-related behavior). The survey was conducted in three shelters in the territory of the Slovak Republic. The online and on-site questionnaires of about 162 successfully adopted dogs were collected and were filled in by the shelter staff, those who accepted dogs into the shelter. Non-parametric statistics (Mann-Whitney U test and Kruskal-Wallis H test followed by Dunn's multiple comparisons test with correction) confirmed that the most important factors influencing the decision-making process of potential adopters were the age of the dog and its weight. However, we found that the length or color of the coat and sex had no effect on early adoption. While behavior is important during the prospective adopter/owner's interaction with the dog, it is still not the most important criterion in making a decision.</t>
  </si>
  <si>
    <t>Kottferova, Jana/AAT-6557-2020</t>
  </si>
  <si>
    <t>Kottferova, Jana/0000-0002-4039-4660; Mesarcova, Lydia/0000-0002-1104-3685; Kottferova, Lucia/0000-0003-3786-3814</t>
  </si>
  <si>
    <t>APR 3</t>
  </si>
  <si>
    <t>10.1080/10888705.2021.1872026</t>
  </si>
  <si>
    <t>WOS:000612753900001</t>
  </si>
  <si>
    <t>WILLSON, MF; COMET, TA</t>
  </si>
  <si>
    <t>FOOD CHOICES BY NORTHWESTERN CROWS - EXPERIMENTS WITH CAPTIVE, FREE-RANGING AND HAND-RAISED BIRDS</t>
  </si>
  <si>
    <t>Captive adult Northwestern Crows (Corvus caurinus), foraging individually, were selective of native Alaskan fruits. Most individuals had color preferences, commonly preferring red, blue, or green over yellow. They often favored high-lipid artificial fruits over low-lipid, but only sometimes favored artificial fruits with high levels of com syrup or sucrose over those with low sugar levels. However, decreased accessibility of the favored fruits generally eliminated the preference for high lipid or high sugar, although accessibility did not alter preferences in parallel experiments with domestic cherries. Artificial fruits with high seed loads were not avoided. In all of the above experiments, individual variation was conspicuous. Crows showed no evidence of learning foliar cues for fruit selection. Hand-raised crows did not prefer the color of the food upon which they were raised. They exhibited extensive individual variation in preferences for color, lipid and sugar content. Free-ranging crows often foraged in groups, lacked the experience of the captive crows with the visual cues available to identify nutrient levels in the experimental fruits, and commonly did not make the same choices collectively as the captive crows. We interpret the extensive variation among individuals, the flexibility of choice, and the difficulty of assessing nutrient levels in conspecific natural fruits as evidence that selection by Northwestern Crows on the fruit traits examined is probably weak and variable.</t>
  </si>
  <si>
    <t>10.2307/1369604</t>
  </si>
  <si>
    <t>WOS:A1993LU78000012</t>
  </si>
  <si>
    <t>Jordan, R; Kellogg, K; Juanes, F; Stauffer, J</t>
  </si>
  <si>
    <t>Evaluation of female mate choice cues in a group of Lake Malawi mbuna (Cichlidae)</t>
  </si>
  <si>
    <t>The mechanisms that underlie the diversity of cichlids in the East African Great Lakes are poorly understood. Sexual selection through female choice based on male body coloration has often been suggested as a driving force behind the speciation of these fishes. The objectives of this study were to investigate, through mate choice trials, the cues that guide species-isolating female choice. In a group of sympatric Lake Malawi mbuna (rock-dwelling fish), we investigated both visual and chemical cues that might guide female choice by giving gravid females a choice between a heterospecific and a conspecific male. Visual cues, in contrast to olfactory cues, were sufficient to stimulate courtship and thus guide female choice of males. Furthermore, in contrast to other studies on related species, we found that females courted only with conspecifics even if color was not a cue. Species-isolating female choice is likely based primarily on visual information.</t>
  </si>
  <si>
    <t>Stauffer, Jay/D-7318-2018</t>
  </si>
  <si>
    <t>Stauffer, Jay/0000-0001-9653-942X</t>
  </si>
  <si>
    <t>FEB 26</t>
  </si>
  <si>
    <t>10.1643/0045-8511(2003)003[0181:EOFMCC]2.0.CO;2</t>
  </si>
  <si>
    <t>WOS:000181477800020</t>
  </si>
  <si>
    <t>Narayanan, S; Das, S; Anvar, YM; Tillack, F; Mohapatra, PP; Gower, DJ; Rajkumar, KP; Deepak, V</t>
  </si>
  <si>
    <t>Narayanan, Surya; Das, Sandeep; Anvar, Y. Muhammed; Tillack, Frank; Mohapatra, Pratyush P.; Gower, David J.; Rajkumar, K. P.; Deepak, V.</t>
  </si>
  <si>
    <t>On the taxonomic validity of Boiga whitakeri Ganesh et al., 2021 with new insights on Boiga dightoni (Boulenger, 1894) (Reptilia: Squamata: Colubridae)</t>
  </si>
  <si>
    <t>VERTEBRATE ZOOLOGY</t>
  </si>
  <si>
    <t>Colour polymorphism has been previously reported in several colubrid snakes including Boiga spp. In this paper, we report colour variations within the poorly known southern Indian Boiga dightoni, provide the first molecular data for this species, from two lo- calities (including the type locality) and compare them with data from other congeners. Additionally, we provide detailed dentition and hemipenis descriptions for B. dightoni. Molecular data for B. dightoni show very little difference (0.2-0.4% 16S; 0.9-1.2% cyt b) to the recently described Boiga whitakeri, also from southern India. We have re-examined and present new information on the pholidosis of the type specimens of B. whitakeri and reconsider its taxonomic status. On the basis of molecular data and overlapping morphological characteristics, we argue that Boiga whitakeri and Boiga dightoni are conspecific, and place B. whitakeri under the subjective synonymy of the latter. Furthermore, we show that colour polymorphism in B. dightoni is a gender-independent character and that both colour morphs are found in high as well as low elevations and partly in sympatry. A revised key to the Boiga ceylonensis complex is provided.</t>
  </si>
  <si>
    <t>Das, Sandeep/GWZ-1926-2022; Veerappan, Deepak/N-1910-2016; Mohapatra, Pratyush/GLT-6984-2022; Mohapatra, Pratyush/IYS-3049-2023</t>
  </si>
  <si>
    <t>Das, Sandeep/0000-0003-1536-5793; Veerappan, Deepak/0000-0002-8826-9367; Mohapatra, Pratyush/0000-0002-8966-297X; K.P., Rajkumar/0000-0003-3241-0170; Narayanan, Surya/0000-0001-9359-2815; Tillack, Frank/0000-0003-1418-6531</t>
  </si>
  <si>
    <t>1864-5755</t>
  </si>
  <si>
    <t>JAN 18</t>
  </si>
  <si>
    <t>10.3897/vz.73.e97002</t>
  </si>
  <si>
    <t>WOS:000960500300001</t>
  </si>
  <si>
    <t>HUHTA, E; ALATALO, RV</t>
  </si>
  <si>
    <t>PLUMAGE COLOR AND MALE MALE INTERACTIONS IN THE PIED FLYCATCHER</t>
  </si>
  <si>
    <t>10.1006/anbe.1993.1062</t>
  </si>
  <si>
    <t>WOS:A1993KW24700009</t>
  </si>
  <si>
    <t>Calsbeek, R; Sinervo, B</t>
  </si>
  <si>
    <t>The ontogeny of territoriality during maturation</t>
  </si>
  <si>
    <t>Territoriality drives the evolution of many mating systems, yet has remained an extremely difficult trait to measure in the wild. Classic studies rely on the theoretical framework of resource holding potential (RHP) as a predictor of success in territory acquisition. However, mounting, evidence suggests that an individual's RHP may change over short time scales. Previous studies suggest that RHP is best understood by considering two categories of territoriality, resource defending and resource usurping potential (RDP and RUP. respectively). In a population of the side-blotched lizard, Uta stansburiana, blue-throated males defend territories near their natal site (RDP) while mature orange-throated males use their RUP to sequester high quality territories from defending territorial males. We tested differences in territoriality by releasing pairs of maturing male lizards onto experimentally altered territories that had improved thermal qualities owing to the addition of rock piles. Dyads of males competed for these thermal resources and the females that were released on rock piles. Early in the season, when throat colors were not yet fully expressed, large male body size predicted contest victories irrespective of throat color. This pattern changed however, with the onset of the breeding season and maturation of throat color. Orange males tended to usurp territories from blue males within 2 weeks of contest initiation. Large male body size still influenced these contests, but after one more week, throat color was the sole factor explaining variance in territory ownership. We demonstrate the ontogeny of territoriality relating to body size and throat color during maturation, and suggest a novel approach to assessing territoriality and aggression in the wild.</t>
  </si>
  <si>
    <t>Calsbeek, Ryan/0000-0002-9236-4092</t>
  </si>
  <si>
    <t>10.1007/s00442-002-0975-8</t>
  </si>
  <si>
    <t>WOS:000177752500018</t>
  </si>
  <si>
    <t>Papadakis, VM; Glaropoulos, A; Alvanopoulou, M; Kentouri, M</t>
  </si>
  <si>
    <t>Papadakis, Vassilis M.; Glaropoulos, Alexis; Alvanopoulou, Marsela; Kentouri, Maroudio</t>
  </si>
  <si>
    <t>A behavioural approach of dominance establishment in tank-held sea bream (Sparus aurata L.) under different feeding conditions</t>
  </si>
  <si>
    <t>Dominance is a strong behaviour exhibited by farmed species that very often impinges on fish growth and welfare. This study presents a behavioural approach of dominance, where colour pattern differentiation was tested as a signal of dominance presence in small sea bream population. The phenotype of dominance was first described in detail, referring to vertical dark stripes and splayed fins. Fish were kept in triplicate tanks for 21 days, during which they were exposed to three feeding conditions (well fed, limited fed and no-fed) and continuous video recordings. Each tank was stocked with 15 individuals (similar to 30.34 +/- 1.70 g), and they were confined to the half volume of the tank via a removable net pen. Percentage of dominants per population was found up to 40%, while duration was calculated to 53.52 +/- 7.44 s. Dominance behaviour was further quantified via colour pattern differentiation on sea bream body (CDA, contrast of dominance appearance). The results demonstrated that the body colour of sea bream is directly linked to species social hierarchies and such variations are visual signal of dominance rank inside the population. The fish feeding conditions had an influence on the dominance presence, but not on the dominance rank (as measured by the CDA) between fish groups. The described study provides state-of-the-art knowledge on sea bream dominance. In relevance to aquaculture, dominance quantification would be a reliable tool to evaluate non-equal food distribution in tank-held populations, thus, avoid non-regulate growth performance of fish before transfer to sea-cage installations.</t>
  </si>
  <si>
    <t>Papadakis, Vassilis M/A-2899-2014; Papadakis, Vassilis M/GXM-3430-2022</t>
  </si>
  <si>
    <t>Papadakis, Vassilis M/0000-0003-3188-4577; Papadakis, Vassilis M/0000-0003-3188-4577; Alvanopoulou, Marsela/0000-0002-6802-2236</t>
  </si>
  <si>
    <t>10.1111/are.12854</t>
  </si>
  <si>
    <t>WOS:000387663000031</t>
  </si>
  <si>
    <t>Campbell, DLM; Shaw, RC; Hauber, ME</t>
  </si>
  <si>
    <t>Campbell, Dana L. M.; Shaw, Rachael C.; Hauber, Mark E.</t>
  </si>
  <si>
    <t>The Strength of Species Recognition in Captive Female Zebra Finches (Taeniopygia guttata): A Comparison Across Estrildid Heterospecifics</t>
  </si>
  <si>
    <t>Conspecific recognition is essential for sexually reproducing species. Captive zebra finches (Taeniopygia guttata) are a model system in which the behavioural, ontogenetic and neurobiological bases of own-species (conspecific) recognition have been studied in detail. To assess the potential role of phylogeographic effects on species recognition, we examined the spatial preferences of unmated captive-bred female zebra finches between unfamiliar captive males of conspecific and estrildid heterospecific male stimuli. In accordance with prior studies using domesticated Bengalese finches (Lonchura striata vars. domestica), we found significant spatial and behavioural preference for conspecific males by female zebra finches, irrespective of heterospecific male phylogeographic origin mating status, or individual behaviour. This result has ramifications for the interpretation of social and mate preferences in this model species as it implies a consistency of species discrimination by captive female zebra finches.</t>
  </si>
  <si>
    <t>Shaw, Rachael/N-1608-2019; Campbell, Dana/S-6777-2017</t>
  </si>
  <si>
    <t>Shaw, Rachael/0000-0002-4831-8283; Campbell, Dana/0000-0003-4028-8347</t>
  </si>
  <si>
    <t>10.1111/j.1439-0310.2008.01584.x</t>
  </si>
  <si>
    <t>WOS:000261836000004</t>
  </si>
  <si>
    <t>Tedore, C; Johnsen, S</t>
  </si>
  <si>
    <t>Tedore, Cynthia; Johnsen, Soenke</t>
  </si>
  <si>
    <t>Pheromones exert top-down effects on visual recognition in the jumping spider Lyssomanes viridis</t>
  </si>
  <si>
    <t>In diverse and productive habitats, predaceous arthropods are expected to frequently encounter dangerous conspecifics and heterospecifics. This should make quick and accurate discriminations between species and sexes adaptive. By simultaneously sampling both visual cues and pheromones, and by utilizing stringent species- and sex-specific visual recognition templates, an individual should be able to increase both its speed and accuracy in making such discriminations. We tested for the use and stringency of visual recognition templates in the jumping spider Lyssomanes viridis by presenting males with animated images of conspecifics, heterospecifics and composite images that combined the facial coloration and morphology of one sex or species with the leg coloration of another. Males' courtship versus threat displays indicated whether a stimulus was perceived as a potential mate or a threat. By comparing males' visual inspection times of, and display types towards, the various images in the presence versus absence of female pheromones, we were able to deduce whether males tend to inspect a subset of the color pattern and morphological features that make up their conspecific recognition templates (i.e. those on just the face or just the legs), or all features, and whether this changes in the presence of pheromones. We found that the male recognition template for conspecific female was surprisingly coarse, whereas the recognition template for conspecific male, and especially the male face, was more specific. Pheromones hastened the recognition of images with coloration and morphology closely matching those of conspecifics, presumably by activating conspecific visual recognition templates. When males were presented with an image that was, overall, a poor match to a conspecific female, but that contained a subset of female or female-like features, female pheromones usually did not hasten recognition, but did increase the likelihood that the image would be identified as a female. Taken together, our data suggest that males examined features on both the face and the legs in both the presence and absence of pheromones, and that female pheromones tipped the balance in favor of a female identification when a male was unsure how to categorize an incongruous set of visual features.</t>
  </si>
  <si>
    <t>Tedore, Cynthia/KXQ-5391-2024</t>
  </si>
  <si>
    <t>Tedore, Cynthia/0000-0002-3731-9037</t>
  </si>
  <si>
    <t>10.1242/jeb.071118</t>
  </si>
  <si>
    <t>WOS:000317722700033</t>
  </si>
  <si>
    <t>Yeager, J; Barnett, JB</t>
  </si>
  <si>
    <t>Yeager, Justin; Barnett, James B.</t>
  </si>
  <si>
    <t>Continuous Variation in an Aposematic Pattern Affects Background Contrast, but Is Not Associated With Differences in Microhabitat Use</t>
  </si>
  <si>
    <t>Variation in aposematic signals was once predicted to be rare, yet in recent years it has become increasingly well documented. Despite increases in the frequency with which polytypism and polymorphism have been suggested to occur, population-wide variance is rarely quantified. We comprehensively sampled a subpopulation of the poison frog Oophaga sylvatica, a species which is polytypic across its distribution and also shows considerable within-population polymorphism. On one hand, color pattern polymorphism could be the result of multifarious selection acting to balance different signaling functions and leading to the evolution of discrete sub-morphs which occupy different fitness peaks. Alternatively, variance could simply be due to relaxed selection, where variation would be predicted to be continuous. We used visual modeling of conspecific and heterospecific observers to quantify the extent of within population phenotypic variation and assess whether this variation produced distinct signals. We found that, despite considerable color pattern variation, variance could not be partitioned into distinct groups, but rather all viewers would be likely to perceive variation as continuous. Similarly, we found no evidence that frog color pattern contrast was either enhanced or diminished in the frogs' chosen microhabitats compared to alternative patches in which conspecifics were observed. Within population phenotypic variance therefore does not seem to be indicative of strong selection toward multiple signaling strategies, but rather pattern divergence has likely arisen due to weak purifying selection, or neutral processes, on a signal that is highly salient to both conspecifics and predators.</t>
  </si>
  <si>
    <t>Barnett, James B/AFW-3209-2022</t>
  </si>
  <si>
    <t>Barnett, James B/0000-0001-9789-4132</t>
  </si>
  <si>
    <t>10.3389/fevo.2022.803996</t>
  </si>
  <si>
    <t>WOS:000775231200001</t>
  </si>
  <si>
    <t>KNAPP, R; MOORE, MC</t>
  </si>
  <si>
    <t>HORMONAL RESPONSES TO AGGRESSION VARY IN DIFFERENT TYPES OF AGONISTIC ENCOUNTERS IN MALE TREE LIZARDS, UROSAURUS-ORNATUS</t>
  </si>
  <si>
    <t>Hormonal responses to male-male interactions have been detected in some studies of vertebrates but not others. One hypothesis that may partially explain these discrepancies is that differences in the duration of male-male interactions cause different hormonal responses. In social systems based on dominance-subordinance hierarchies interactions often last longer than if exclusive territories are maintained. Tests of the hypothesis that encounter duration explains discrepancies in hormonal responses would be facilitated by a species that shows elements of both types of social systems, such as species in which males practice alternative reproductive tactics. We compared plasma levels of corticosterone and testosterone in males of the territorial morph of the tree lizard (Urosaurus ornatus) subjected either to short (15 min) male-male encounters or to long (7 days) dominance interactions. In the long interactions, dominant males had lower levels of corticosterone than did subordinate males over the first day, but this difference subsequently disappeared. In sharp contrast, winners of short-term encounters had elevated plasma corticosterone levels which peaked the day after the encounter. Thus, males isolated after a short encounter experienced an increase in corticosterone that was apparently inhibited in males who continued interacting with other males. The delayed increase in corticosterone after a short encounter may facilitate metabolic recovery from the encounter, mobilize metabolic substrates useful in subsequent encounters, or may alter subsequent behavior. The response does not appear to be simply recovery from exercise because in a second experiment males exercised for 15 min did not show a similar delayed increase in corticosterone the following day, Testosterone levels were also monitored and did not change in any of these treatments. These results demonstrate that the duration and the outcome of male-male interactions may each independently influence hormone levels. (C) 1995 Academic Press, Inc.</t>
  </si>
  <si>
    <t>Knapp, Rosemary/0000-0001-6923-8410</t>
  </si>
  <si>
    <t>10.1006/hbeh.1995.1007</t>
  </si>
  <si>
    <t>WOS:A1995QN96000007</t>
  </si>
  <si>
    <t>Ye, XE; Bai, L; Ye, YS; Xia, NH; Leong-Skornicková, J</t>
  </si>
  <si>
    <t>Ye, Xing-Er; Bai, Lin; Ye, Yu-Shi; Xia, Nian-He; Leong-Skornickova, Jana</t>
  </si>
  <si>
    <t>Taxonomic studies of Amomum (Zingiberaceae) in China II: transfer of Hornstedtia tibetica to Amomum and supplementary description of H-hainanensis</t>
  </si>
  <si>
    <t>PLANT SYSTEMATICS AND EVOLUTION</t>
  </si>
  <si>
    <t>Hornstedtia tibetica was originally described only from fruiting material. On the basis of morphological study of flowering material originating at the type locality, the species is a member of Amomum. This was also confirmed by palynological evidence and a molecular analysis based on ITS region. A new combination Amomum tibeticum is therefore established here, together with a detailed description and colour plate of this species. As previously suspected from the similarity of the original description and type, Hornstedtia arunachalensis is conspecific with A. tibeticum and is therefore synonymised here. The only remaining species of Hornstedtia in China is therefore H. hainanensis, which was also described only from fruiting material. To aid unambiguous understanding of this taxon, we provide a detailed description and colour plate based on recent collections of flowering material near the type locality in Hainan Province, China.</t>
  </si>
  <si>
    <t>叶, 裕诗/HJI-4098-2023</t>
  </si>
  <si>
    <t>Bai, Lin/0000-0001-8464-8688; Leong-Skornickova, Jana/0000-0003-4490-3490</t>
  </si>
  <si>
    <t>0378-2697</t>
  </si>
  <si>
    <t>1615-6110</t>
  </si>
  <si>
    <t>10.1007/s00606-018-1539-7</t>
  </si>
  <si>
    <t>WOS:000447531400008</t>
  </si>
  <si>
    <t>Webster, MS; Ligon, RA; Leighton, GM</t>
  </si>
  <si>
    <t>Webster, Michael S.; Ligon, Russell A.; Leighton, Gavin M.</t>
  </si>
  <si>
    <t>Social costs are an underappreciated force for honest signalling in animal aggregations</t>
  </si>
  <si>
    <t>Animals in social aggregations use signals of quality or motivation to attract mates and intimidate rivals. Theory indicates that honesty can be maintained in these signals if the costs of signalling affect low-quality individuals more than they affect high-quality individuals. Considerable research has focused on identifying the nature of those costs and their ability to maintain honest signals. Much of this research, particularly in recent years, has focused on receiver-independent physiological costs of signal production. Less research attention has been paid to receiver-dependent costs that might arise from conspecific responses to signals. Here we survey the literature on these different types of costs, focusing in particular on case studies from a diversity of taxa. We find that signals often do carry significant physiological production costs, but this is not universal, as many signals appear to be physiologically inexpensive to produce. More importantly, very few studies have tested the key prediction that physiological production costs differentially affect low-quality individuals over high-quality individuals. In contrast, research from a diversity of taxa indicates that signals such as coloration and vocalizations often affect agonistic interactions, which in turn affect the production of signals, and that deceptive signallers receive more aggression than do honest signallers in at least some systems. Social costs are a plausible but understudied mechanism for maintaining honest signalling. (C) 2017 Published by Elsevier Ltd on behalf of The Association for the Study of Animal Behaviour.</t>
  </si>
  <si>
    <t>10.1016/j.anbehav.2017.12.006</t>
  </si>
  <si>
    <t>WOS:000443386600017</t>
  </si>
  <si>
    <t>Mitsuhashi, M; Takeda, M</t>
  </si>
  <si>
    <t>Mitsuhashi, Masako; Takeda, Masatsune</t>
  </si>
  <si>
    <t>Identity of the coral-associated pontoniine shrimp species, Coralliocaris nudirostris (Heller, 1861) and C. venusta Kemp, 1922 (Crustacea: Decapoda: Palaemonidae), with descriptions of two new species</t>
  </si>
  <si>
    <t>Two species of the pontoniine shrimp genus Coralliocaris, C. venusta Kemp, 1922 and C. nudirostris (Heller, 1861), are reviewed based on the type specimens and additional material from the Indo-West Pacific. Two colour morphs previously recognized in C. venusta can be separated into two species on the basis of presence or absence of a concavity on the medial surface of the first pereiopod fingers. The presence of a concavity on the first pereiopod fingers indicates that the 'white patched morph' of C. venusta is referable to C. venusta sensu stricto, and that this species is conspecific with C. nudirostris, whereas the colour morph ('black striated morph') characterised by the absence of the concavity, belongs to a new species, C. sandyi sp. nov. A further new species named C. labyrintha sp. nov. can be separated from the former by the colour pattern in life, a moderately angled supraorbital eave, usually more numerous rostral teeth, and proportionally slenderer fingers of the first pereiopod. Colour photographs and drawings of fresh specimens of C. nudirostris and the two new species are provided, and an updated key to the genus is given to facilitate identification.</t>
  </si>
  <si>
    <t>FEB 13</t>
  </si>
  <si>
    <t>WOS:000253163600001</t>
  </si>
  <si>
    <t>Williams, PH; Byvaltsev, A; Sheffield, C; Rasmont, P</t>
  </si>
  <si>
    <t>Williams, Paul H.; Byvaltsev, Alexandr; Sheffield, Cory; Rasmont, Pierre</t>
  </si>
  <si>
    <t>Bombus cullumanus-an extinct European bumblebee species?</t>
  </si>
  <si>
    <t>Bombus cullumanus s. str. has attracted some of the greatest conservation concerns among bumblebees in Europe because it might now be extinct. However, there has been long-standing disagreement about whether it is conspecific with other eastern pale-banded bumblebees. We investigate these relationships using new data from DNA (COI) barcodes. The results support a Nearctic rufocinctus-group (Bombus rufocinctus) and a Palaearctic cullumanus-group, the latter with just three species: Bombus semenoviellus, Bombus unicus and B. cullumanus s. l. (including several differently coloured taxa). We conclude that, although any persisting B. cullumanus cullumanus s. str. might be a regional conservation priority within Europe, nevertheless, because the species remains common elsewhere within its range in Asia, globally a higher conservation priority should be given to B. unicus, which is genetically more distinct and appears to have a much smaller population in the Russian Far East.</t>
  </si>
  <si>
    <t>Byvaltsev, Alexandr/Q-4549-2019; Sheffield, Cory/I-4812-2019; Byvaltsev, Alexandr M/B-9961-2017</t>
  </si>
  <si>
    <t>Byvaltsev, Alexandr/0000-0001-6555-5646; Sheffield, Cory/0000-0003-0603-7333;</t>
  </si>
  <si>
    <t>10.1007/s13592-012-0161-x</t>
  </si>
  <si>
    <t>WOS:000314882300001</t>
  </si>
  <si>
    <t>Reproductive signals of female lizards: Pattern of trait expression and male response</t>
  </si>
  <si>
    <t>Relative to the volume of studies concerning the function and evolution of male-biased sexually dimorphic traits, instances of female-biased sexual dimorphisms remain largely unstudied, especially in species with conventional sex roles. I investigated the signal function of a female-specific ornamental trait using the striped plateau lizard (Sceloporus virgatus , Phrynosomatidae) as a model system. During the reproductive season, female S. virgatus develop orange color on their throats that is absent in conspecific males. I established the relationship between color expression and female reproductive state, and determined male response to female color. I show that dynamic changes occurring within the color patch can potentially identify each stage of the female reproductive cycle, largely because of a lag in patch growth relative to color intensification. Sexual receptivity is associated with intense patches rapidly growing in size; ovulation occurs near peak color expression; and the unreceptive period is associated with large patches fading in intensity. Because females express orange color during both the receptive and unreceptive periods, the pattern of color expression is consistent with the courtship-stimulation and courtship-rejection hypotheses of signal function. Males may preferentially associate with females that have more highly developed color patches during the courtship season, and/or ignore such females when they are unreceptive. An examination of male behavior towards unfamiliar females indicates that female color has a role in courtship stimulation but has little, if any, role in courtship rejection. During the pre-mating season, males maintained significantly closer affiliation with, and tended to perform more social behavior towards females with more intense color. During the post-mating season, female color had no apparent effect on male behavior. The evolution and current function of female ornaments may vary among taxonomically-related species as a result of differences in ecology, social system, and life-history.</t>
  </si>
  <si>
    <t>10.1046/j.1439-0310.2002.00819.x</t>
  </si>
  <si>
    <t>WOS:000177775300004</t>
  </si>
  <si>
    <t>SILVERMAN, HI</t>
  </si>
  <si>
    <t>EFFECTS OF VISUAL SOCIAL STIMULATION UPON AGE AT 1ST SPAWNING IN THE MOUTH-BROODING CICHLID FISH SAROTHERODON-(TILAPIA)-MOSSAMBICUS (PETERS)</t>
  </si>
  <si>
    <t>The effect of visual social stimulation upon age at 1st spawning of S. (Tilapia) mossambicus was studied by rearing newly-released young in 1 of 2 conditions: isolated, or in visual contact with a conspecific of the same age in an adjacent aquarium. Isolation delayed 1st spawning by about 10 days for isolated females as compared to socially stimulated females. The rate of color development was the same for all males suggesting that testicular maturation was not greatly affected by visual social stimulation. Growth of social females lagged behind that of isolates. Some mechanisms and biological effects are discussed.</t>
  </si>
  <si>
    <t>10.1016/0003-3472(78)90101-X</t>
  </si>
  <si>
    <t>WOS:A1978GD83400017</t>
  </si>
  <si>
    <t>SCHOLL, A; THORP, RW; BISHOP, JA; OBRECHT, E</t>
  </si>
  <si>
    <t>THE TAXONOMIC STATUS OF BOMBUS-ALBOANALIS FRANKLIN AND ITS RELATIONSHIP WITH OTHER TAXA OF THE SUBGENUS PYROBOMBUS FROM NORTH-AMERICA AND EUROPE (HYMENOPTERA, APIDAE)</t>
  </si>
  <si>
    <t>PAN-PACIFIC ENTOMOLOGIST</t>
  </si>
  <si>
    <t>Bombus alboanalis Franklin, 1913, has either been regarded as a distinct species or has been synonymized with B. frigidus Smith 1854, from which it differs in coat color of the abdomen. However, both taxa are sympatric in Alaska and there is no evidence for intergradation from coat color variation. We surveyed 18 enzymes by vertical starch-gel electrophoresis and compared B. alboanalis with B. frigidus and other species of the subgenus Pyrobombus. We found that B. alboanalis differs from B. frigidus at two enzyme loci suggesting that these taxa are genetically separated. According to the enzyme survey B. alboanalis belongs to a group of very closely related Pyrobombus species that includes B. frigidus, B. cingulatus Wahlberg and B. jonellus (Kirby), and more distant B. sitkensis Nylander, B. mixtus Cresson, B. pratorum (L.), and B, pyrenaeus (Perez). We present evidence that B. alboanalis may be conspecific with B. jonellus.</t>
  </si>
  <si>
    <t>0031-0603</t>
  </si>
  <si>
    <t>WOS:A1995TA18200008</t>
  </si>
  <si>
    <t>WIRMINGHAUS, JO</t>
  </si>
  <si>
    <t>OBSERVATIONS ON THE BEHAVIOR OF THE CAPE GIRDLED LIZARD CORDYLUS-CORDYLUS (REPTILIA, CORDYLIDAE)</t>
  </si>
  <si>
    <t>Cape girdled lizards Cordylus cordylus are social and territorial. Behaviour observed in captivity revealed at least 24 distinct postures and displays. Thermoregulatory behaviour was the most frequent of all behaviours observed (66.7%). Of the social behaviours, aggression was observed most frequently (72.1%). Six behavioural postures are not know to have been described before. This species has no bright colours or contrasting marketings to use in displays to conspecifics.</t>
  </si>
  <si>
    <t>10.1080/00222939000770931</t>
  </si>
  <si>
    <t>WOS:A1990EH88300013</t>
  </si>
  <si>
    <t>Ting, JJ; Bots, J; Jvostov, FP; van Gossum, H; Sherratt, TN</t>
  </si>
  <si>
    <t>Ting, Janice J.; Bots, Jessica; Jvostov, Felipe Perez; van Gossum, Hans; Sherratt, Thomas N.</t>
  </si>
  <si>
    <t>Effects of extreme variation in female morph frequencies on the mating behaviour of male damselflies</t>
  </si>
  <si>
    <t>Female-limited polymorphism is often attributed to selection to avoid excessive male mating attempts. It is encountered in various taxonomic groups, but is particularly common in damselflies, where one female morph (andromorph) typically resembles the conspecific male in colour pattern, while the other(s) (gynomorph(s)) do not. Two sets of theories have been proposed to explain the phenomenon in damselflies, which can be classified as the learned mate recognition (LMR) and male mimicry (MM) hypotheses. To test predictions of these hypotheses, we evaluated the rate of male sexual response towards female morphs and conspecific males in the damselfly Nehalennia irene. The LMR hypothesis predicts that males should respond sexually to andromorphs at greater rates in populations containing a higher relative frequency of andromorphs. The MM hypothesis predicts that males respond more often sexually to both andromorphs and males as the ratio of andromorphs to males increases. While LMR predicts that the rate of mating attempts towards gynomorphs should vary, the MM predicts that it should be relatively fixed. On experimentally presenting live specimens to focal males in five different populations with extreme variation in female morph frequencies, we observed that as the andromorph frequency and ratio of andromorphs to males increased, the proportion of male mating attempts increased on both andromorphs and males, whereas it decreased on gynomorphs. While the simplest form of the MM hypothesis is rejected, the results support specific predictions of both hypotheses and suggest that future studies should not treat these hypotheses as mutually exclusive.</t>
  </si>
  <si>
    <t>10.1007/s00265-009-0839-x</t>
  </si>
  <si>
    <t>WOS:000271978300008</t>
  </si>
  <si>
    <t>Renn, SCP; Fraser, EJ; Aubin-Horth, N; Trainor, BC; Hofmann, HA</t>
  </si>
  <si>
    <t>Renn, Suzy C. P.; Fraser, Eleanor J.; Aubin-Horth, Nadia; Trainor, Brian C.; Hofmann, Hans A.</t>
  </si>
  <si>
    <t>Females of an African cichlid fish display male-typical social dominance behavior and elevated androgens in the absence of males</t>
  </si>
  <si>
    <t>Social environment can affect the expression of sex-typical behavior in both males and females. Males of the African cichlid species Astatotilapia burtoni have long served as a model system to study the neural, endocrine, and molecular basis of socially plastic dominance behavior. Here we show that in all-female communities of A. burtoni, some individuals acquire a male-typical dominance phenotype, including aggressive territorial defense, distinctive color patterns, and courtship behavior. Furthermore, dominant females have higher levels of circulating androgens than either subordinate females or females in mixed-sex communities. These male-typical traits do not involve sex change, nor do the social phenotypes in all-female communities differ in relative ovarian size, suggesting that factors other than gonadal physiology underlie much of the observed variation. In contrast to the well-studied situation in males, dominant and subordinate females do not differ in the rate of somatic growth. Dominant females are not any more likely than subordinates to spawn with an introduced male, although they do so sooner. These results extend the well known extraordinary behavioral plasticity of A. burtoni to the females of this species and provide a foundation for uncovering the neural and molecular basis of social dominance behavior while controlling for factors such as sex, gonadal state and growth. (C) 2012 Elsevier Inc. All rights reserved.</t>
  </si>
  <si>
    <t>Aubin-Horth, Nadia/F-3857-2011; Trainor, Brian C./L-3618-2016; Hofmann, Hans/E-4538-2016</t>
  </si>
  <si>
    <t>Trainor, Brian C./0000-0002-4627-5478; Aubin-Horth, Nadia/0000-0002-9030-634X; Hofmann, Hans/0000-0002-3335-330X</t>
  </si>
  <si>
    <t>10.1016/j.yhbeh.2012.01.006</t>
  </si>
  <si>
    <t>WOS:000302763700005</t>
  </si>
  <si>
    <t>Miller, R; Schwab, C; Bugnyar, T</t>
  </si>
  <si>
    <t>Miller, Rachael; Schwab, Christine; Bugnyar, Thomas</t>
  </si>
  <si>
    <t>Explorative Innovators and Flexible Use of Social Information in Common Ravens (Corvus corax) and Carrion Crows (Corvus corone)</t>
  </si>
  <si>
    <t>Innovation and social information use are influenced by individual characteristics, and are important for the creation and transmission of novel behavioral patterns. Here, we investigated which individual factors predict innovation rates and social transmission of information in a comparative study with identically reared common ravens (Corvus corax) and carrion crows (Corvus corone corone; Corvus corone cornix). In the innovation experiment (1), we presented the birds with a novel problem-solving task while alone, to determine which individuals would quickly solve (innovators) or not solve (noninnovators) this task. We then related these findings to sex, object exploration (frequency of novel item manipulation), object neophobia (latency to novel item interaction), and social rank position. We found that innovators were more explorative than noninnovators, although they did not differ significantly in social rank, object neophobia or sex. In the social information use experiments (2 &amp; 3), subjects first observed a model (Exp. 2: conspecific, heterospecific; Exp. 3: conspecific innovator &amp; noninnovator) demonstrate a specific color selection in a 2-choice cup task, before being allowed to make their own cup selection. Innovator and noninnovator observers did not significantly differ in their tendency to use social information, that is, to select the demonstrated cup first, from a conspecific or heterospecific model. Furthermore, observers did not preferentially use social information from an innovator over a noninnovator model. We discuss our findings in relation to the likely benefits of flexible information use, and the role of other model characteristics, such as relationships, on the use of social information.</t>
  </si>
  <si>
    <t>Bugnyar, Thomas/0000-0002-6072-9667; Miller (Harrison), Rachael/0000-0003-2996-9571</t>
  </si>
  <si>
    <t>10.1037/com0000039</t>
  </si>
  <si>
    <t>WOS:000388497000004</t>
  </si>
  <si>
    <t>Pöysä, H</t>
  </si>
  <si>
    <t>Low host recognition tendency revealed by experimentally induced parasitic egg laying in the common goldeneye (Bucephala clangula)</t>
  </si>
  <si>
    <t>Host-parasite relatedness has been suggested to promote the evolution of conspecific brood parasitism, an alternative reproductive tactic pursued by females in several animal taxa. An essential prerequisite for relatedness to promote brood parasitism is accurate kin recognition, including the recognition of related hosts by parasites. I performed a field experiment to address the accuracy of host recognition by parasites in the common goldeneye (Bucephala clangula), a cavity-nesting duck. I studied whether parasites discriminate between experimental nests that did not have a host (i.e., new nest boxes that contained chicken eggs dyed to mimic the colour of common goldeneye eggs) and real nests that did have a host (i.e., active nests that progressed to incubation). Parasitic egg laying in the experimental nests was not constrained by the lack of contemporarily available nests that had a host; it was also not constrained by the lack of suitable and empty nest sites. There was no difference in the start of parasitic laying between the experimental and real nests. The experimental nests and real nests were equally parasitized. The findings suggest that host recognition by parasites is not sophisticated in the common goldeneye, questioning the possible function of accurate kin recognition in brood parasitism in this species.</t>
  </si>
  <si>
    <t>Pöysä, Hannu/JBS-4832-2023; Pöysä, Hannu/C-2601-2014</t>
  </si>
  <si>
    <t>10.1139/Z03-147</t>
  </si>
  <si>
    <t>WOS:000186325200009</t>
  </si>
  <si>
    <t>Hodgson, ZG; Healy, SD</t>
  </si>
  <si>
    <t>Preference for spatial cues in a non-storing songbird species</t>
  </si>
  <si>
    <t>Male mammals typically outperforrn their conspecific females on spatial tasks. A sex difference in cues used to solve the task could underlie this performance difference as spatial ability is reliant on appropriate cue use. Although comparative studies of memory in food-storing and non-storing birds have examined species differences in cue preference, few studies have investigated differences in cue use within a species. In this study, we used a one-trial associative food-finding task to test for sex differences in cue use in the great tit, Parus major. Birds were trained to locate a food reward hidden in a well covered by a coloured cloth. To determine whether the colour of the cloth or the location of the well was learned during training, the birds were presented with three wells in the test phase: one in the original location, but covered by a cloth of a novel colour, a second in a new location covered with the original cloth and a third in a new location covered by a differently coloured cloth. Both sexes preferentially visited the well in the training location rather than either alternative. As great tits prefer colour cues over spatial cues in one-trial associative conditioning tasks, cue preference appears to be related to the task type rather than being species dependent.</t>
  </si>
  <si>
    <t>Healy, Susan/0000-0002-8059-4480</t>
  </si>
  <si>
    <t>10.1007/s10071-004-0249-4</t>
  </si>
  <si>
    <t>WOS:000231236200007</t>
  </si>
  <si>
    <t>Barreira, AS; Eaton, MD; Vilacoba, E; Tubaro, PL; Kopuchian, C</t>
  </si>
  <si>
    <t>Barreira, Ana S.; Eaton, Muir D.; Vilacoba, Elisabet; Tubaro, Pablo L.; Kopuchian, Cecilia</t>
  </si>
  <si>
    <t>Short-wavelength visual sensitivity and sexual differences in plumage colouration of ovenbirds (Aves: Furnariinae)</t>
  </si>
  <si>
    <t>Ovenbirds represent a clade of exclusively Neotropical birds that are exceptionally diverse, despite their rather dull, melanin-based plumage. In general, sexes are considered monomorphic in size and colour, but several authors have reported females of some species within this family as being slightly paler than their conspecific counterparts. Our aim was to assess levels of sexual dichromatism in a set of ovenbird species representing a diversity of genera and plumage patterns; Furnarius rufus, Phleocryptes melanops, Synallaxis spixi and Schoeniophylax phryganophilus. For each species, we quantified sexual differences in brightness and colouration among 8-10 different plumage regions through modelling avian perceptual colour-space distances. To best inform our visual modelling parameters, we successfully sequenced the SWS1 gene fragment (associated with short-wavelength, including ultraviolet, visual sensitivity in birds) for one species, P. melanops, and found it possessed an amino acid sequence consistent with the VS-type SWS1 visual system. This provides further evidence supporting the presence of VS-sensitive opsin in ovenbirds. Among all four species, females were consistently brighter than males in at least one plumage patch, but chromatic colour differences between sexes were significant only for the throat patches of Schoeniophylax phryganophilus. Overall, we interpret ovenbirds to exhibit very low levels of sexual dichromatism, manifest mainly by achromatic colour differences.</t>
  </si>
  <si>
    <t>Vilacoba, Elisabet/0000-0002-3528-6497; Barreira, Ana S./0000-0001-7568-488X; Kopuchian, Cecilia/0000-0001-7689-3341; Tubaro, Pablo/0000-0002-6460-0844</t>
  </si>
  <si>
    <t>10.1007/s10336-021-01864-2</t>
  </si>
  <si>
    <t>WOS:000619907200001</t>
  </si>
  <si>
    <t>Laakso, LK; Ilvonen, JJ; Suhonen, J</t>
  </si>
  <si>
    <t>Laakso, Linda K.; Ilvonen, Jaakko J.; Suhonen, Jukka</t>
  </si>
  <si>
    <t>Phenotypic variation in male Calopteryx splendens damselflies: the role of wing pigmentation and body size in thermoregulation</t>
  </si>
  <si>
    <t>For ectothermic insects, their colour and size are important determinants of body temperature: larger bodies require more heat to reach a certain temperature, and dark colours absorb heat more efficiently. These dark colours are expressed using melanin, which has been intimately linked with the thermoregulatory capabilities of insects. Melanin is also linked with immune defence and is often used as a secondary sexual character in insects. There is a potential trade-off situation between thermoregulatory capabilities, immune defence and secondary sexual characters, all of which use melanin. Some Calopteryx damselflies, such as Calopteryx splendens, have melanin-based wing pigmentation that is sexually selected and drives intra- and interspecific territorial aggression. Our goal was to study experimentally how the wing pigmentation and body size of C. splendens males affect their thermoregulation and, especially, their ability to become active (hereafter, 'activate') after being cooled down. Our results were in line with our hypotheses, showing that individuals with larger wing spots had significantly faster activation times than those with smaller wing spots, and that individuals with larger body size had significantly slower activation times than those with smaller body size. Both variables showed an interaction and are therefore important in damselfly warm-up and activation. We discuss the role of wing pigmentation and thermoregulation in the behavioural patterns observed in Calopteryx species.</t>
  </si>
  <si>
    <t>Ilvonen, Jaakko J/AAG-4842-2019</t>
  </si>
  <si>
    <t>Ilvonen, Jaakko J/0000-0002-2311-7039</t>
  </si>
  <si>
    <t>10.1093/biolinnean/blab102</t>
  </si>
  <si>
    <t>AUG 2021</t>
  </si>
  <si>
    <t>WOS:000715341100013</t>
  </si>
  <si>
    <t>Bloch, NI</t>
  </si>
  <si>
    <t>Bloch, Natasha I.</t>
  </si>
  <si>
    <t>Evolution of opsin expression in birds driven by sexual selection and habitat</t>
  </si>
  <si>
    <t>Theories of sexual and natural selection predict coevolution of visual perception with conspecific colour and/or the light environment animals occupy. One way to test these theories is to focus on the visual system, which can be achieved by studying the opsin-based visual pigments that mediate vision. Birds vary greatly in colour, but opsin gene coding sequences and associated visual pigment spectral sensitivities are known to be rather invariant across birds. Here, I studied expression of the four cone opsin genes (Lws, Rh2, Sws2 and Sws1) in 16 species of New World warblers (Parulidae). I found levels of opsin expression vary both across species and between the sexes. Across species, female, but not male Sws2 expression is associated with an index of sexual selection, plumage dichromatism. This fits predictions of classic sexual selection models, in which the sensory system changes in females, presumably impacting female preference, and co-evolves with male plumage. Expression of the opsins at the extremes of the light spectrum, Lws and Uvs, correlates with the inferred light environment occupied by the different species. Unlike opsin spectral tuning, regulation of opsin gene expression allows for fast adaptive evolution of the visual system in response to natural and sexual selection, and in particular, sex-specific selection pressures.</t>
  </si>
  <si>
    <t>Bloch, Natasha I/HTR-4737-2023; Bloch, Natasha/A-8857-2014</t>
  </si>
  <si>
    <t>Bloch, Natasha/0000-0002-4769-1027</t>
  </si>
  <si>
    <t>JAN 7</t>
  </si>
  <si>
    <t>10.1098/rspb.2014.2321</t>
  </si>
  <si>
    <t>WOS:000347160800015</t>
  </si>
  <si>
    <t>Baird, TA; Vitt, LJ; Baird, TD; Cooper, WE; Caldwell, JP; Pérez-Mellado, V</t>
  </si>
  <si>
    <t>Social behavior and sexual dimorphism in the Bonaire whiptail, Cnemidophorus murinus (Squamata: Teiidae):: the role of sexual selection</t>
  </si>
  <si>
    <t>We measured body dimensions and coloration and quantified the behavior of females and males of two color phases in the Bonaire whiptail, Cnemidophorus murinus, to begin addressing the ultimate causation for sexual dimorphism in this species. Examination of size-adjusted body dimensions revealed that males have wider, longer, and deeper heads as well as somewhat longer forelegs and hind legs. Males were characterized by two distinct coloration patterns. Blue males displayed purple-blue dewlaps, blue-gray background coloration on the head and anterior torso, numerous light blue spots on the flanks, brown-orange coloration on the posterior torso, and a turquoise section on the proximal portion of the tail. By contrast, brown males were uniform olive-green to yellow-brown, with the exception of light blue spots on the lateral torso. Females were colored like brown males but lacked the blue spots. Testis length scaled with body size. Testes of only 26% of brown males were active, whereas all blue males had active testes. Blue males initiated aggressive encounters involving chases and displays directed toward other males much more frequently than females were aggressive with consexuals or with either type of male. Brown males were not observed to initiate aggression. Most blue male aggression was directed toward other blue males (70.6% of encounters), whereas 29.4% of encounters were with brown males. Blue males initiated 85.7% of the courtship encounters observed compared with only 7.1% initiated by brown males and 7.2% by females. Male-biased dimorphism in head and leg dimensions as well as coloration, together with higher rates of intrasexual aggression and courtship activity by blue males, are consistent with the hypothesis that sexual selection explains the evolution of sexual dimorphism in C. murinus.</t>
  </si>
  <si>
    <t>Perez-Mellado, Valentin/G-3476-2015</t>
  </si>
  <si>
    <t>Perez-Mellado, Valentin/0000-0002-7137-4945</t>
  </si>
  <si>
    <t>10.1139/Z03-178</t>
  </si>
  <si>
    <t>WOS:000188730300001</t>
  </si>
  <si>
    <t>García-Rosales, A; Ramírez-Bautista, A; Stephenson, BP; Meza-Lázaro, RN; de Oca, ANM</t>
  </si>
  <si>
    <t>Garcia-Rosales, A.; Ramirez-Bautista, A.; Stephenson, B. P.; Meza-Lazaro, R. N.; Nieto-Montes de Oca, A.</t>
  </si>
  <si>
    <t>Comparative morphology and genetics of two populations of spiny lizards (genus Sceloporus) from Central Mexico</t>
  </si>
  <si>
    <t>The spiny lizard Sceloporus minor exhibits substantial variation in a variety of life history traits, but the factors promoting this variation remain unclear. We analyzed within- and between-population variation in morphological traits in two populations (El.Enzuelado and La Manzana, Hidalgo, Central Mexico), and estimated the genetic distance between populations on the basis of sequence variation of the mitochondria) genes encoding a fragment of the ND4 gene, all of tRNA-His and tRNA-Ser, and a fragment of tRNA-Leu. Consistent with earlier reports, males and females exhibited marked sexual dimorphism in body size and coloration. The genetic distance between the two populations was 0.024, slightly greater than the distance measured within each population (0.015 for La Manzana and 0.003 for El Enzuelado). Maximum likelihood analysis indicated that these populations were indeed conspecific, along with other studied populations of S. minor. The morphological differences and the previously described variation in reproductive traits contrast with the limited genetic variation between populations reported herein. This suggests that a combination of both phenotypic plasticity and genes of large effect may be contributing to variation in anatomical and physiological traits in Sceloporus minor. (C) 2017 Elsevier GmbH. All rights reserved.</t>
  </si>
  <si>
    <t>NIETO-MONTES DE OCA, ADRIAN/GQP-4296-2022; Stephenson, Barry P./P-5076-2019</t>
  </si>
  <si>
    <t>Stephenson, Barry P./0000-0001-5468-2439; Garcia Rosales, Aaron/0000-0001-5671-9186</t>
  </si>
  <si>
    <t>10.1016/j.jcz.2017.01.002</t>
  </si>
  <si>
    <t>WOS:000403123700004</t>
  </si>
  <si>
    <t>Kano, F; Furuichi, T; Hashimoto, C; Krupenye, C; Leinwand, JG; Hopper, LM; Martin, CF; Otsuka, R; Tajima, T</t>
  </si>
  <si>
    <t>Kano, Fumihiro; Furuichi, Takeshi; Hashimoto, Chie; Krupenye, Christopher; Leinwand, Jesse G.; Hopper, Lydia M.; Martin, Christopher F.; Otsuka, Ryoma; Tajima, Tomoyuki</t>
  </si>
  <si>
    <t>What is unique about the human eye? Comparative image analysis on the external eye morphology of human and nonhuman great apes</t>
  </si>
  <si>
    <t>The gaze-signaling hypothesis and the related cooperative-eye hypothesis posit that humans have evolved special external eye morphology, including exposed white sclera (the white of the eye), to enhance the visibility of eye gaze direction and thereby facilitate conspecific communication through joint-attentional interaction and ostensive communication. However, recent quantitative studies questioned these hypotheses based on new findings that certain features of human eyes are not necessarily unique among great ape species. Accordingly, there is currently a heated debate over whether external eye features of humans are distinct from those of other apes and how such distinguishable features contribute to the visibility of eye-gaze direction. The present study leveraged updated image analysis techniques to test the uniqueness of human eye features in facial images of great apes. Although many eye features were similar between humans and other great apes, a key difference was that humans have uniformly white sclera which creates clear visibility of both the eye outline and iris-the two essential features contributing to the visibility of eye-gaze direction. We then tested the robustness of the visibility of these features against visual noise, such as shading and distancing, and found that both eye features remain detectable in the human eye, while eye outline becomes barely detectable in other species under these visually challenging conditions. Overall, we identified that humans have unique external eye morphology among other great apes, which ensures the robustness of eye-gaze signals in various visual conditions. Our results support and also critically update the central premises of the gaze-signaling hypothesis.</t>
  </si>
  <si>
    <t>Otsuka, Ryoma/GWV-3258-2022</t>
  </si>
  <si>
    <t>Tajima, Tomoyuki/0000-0002-5034-2047; Leinwand, Jesse/0009-0002-8119-0119</t>
  </si>
  <si>
    <t>10.1016/j.evolhumbehav.2021.12.004</t>
  </si>
  <si>
    <t>WOS:000797243400001</t>
  </si>
  <si>
    <t>Freeland, LV; Emmerson, MG; Vasas, V; Gomes, J; Versace, E</t>
  </si>
  <si>
    <t>Freeland, Laura V.; Emmerson, Michael G.; Vasas, Vera; Gomes, Josephine; Versace, Elisabetta</t>
  </si>
  <si>
    <t>Assessing preferences for adult versus juvenile features in young animals: Newly hatched chicks spontaneously approach red and large stimuli</t>
  </si>
  <si>
    <t>Young precocial birds benefit from staying close to both their mother and their siblings, while prioritising adults, which provide better care. Which features of the stimuli are used by young birds to prioritise approach and eventually attachment to adults over siblings is unknown. We started to address this question in newly hatched domestic chicks (Gallus gallus), focusing on their spontaneous preferences for visual features that systematically vary between adult and juvenile chickens, and that had previously been identified as attractive: size (larger in adults than in juveniles) and colour (darker and redder in adults than in juveniles). Overall, chicks at their first visual experience, that had never seen a conspecific beforehand, were most attracted to the red and large stimuli (two adult features) and spent more time in close proximity with red stimuli than with yellow stimuli. When tested with red large versus small objects (Exp. 1), chicks preferred the large shape. When tested with yellow large and small objects (Exp. 2), chicks did not show a preference. Chicks had a stronger preference for large red stimuli (vs. small yellow objects) than for small red stimuli (vs. a large yellow object) (Exp. 3). These results suggest that the combination of size and colour form the predisposition that helps chicks to spontaneously discriminate between adult and juvenile features from the first stages of life, in the absence of previous experience, exhibiting a preference to approach stimuli with features associated with the presence of adult conspecifics.</t>
  </si>
  <si>
    <t>2024 AUG 16</t>
  </si>
  <si>
    <t>10.3758/s13420-024-00638-z</t>
  </si>
  <si>
    <t>AUG 2024</t>
  </si>
  <si>
    <t>WOS:001291940700001</t>
  </si>
  <si>
    <t>Grismer, LL</t>
  </si>
  <si>
    <t>Grismer, L. Lee</t>
  </si>
  <si>
    <t>A new species of Ansonia Stoliczka 1872 (Anura: Bufonidae) from Central Peninsular Malaysia and a revised taxonomy for Ansonia from the Malay Peninsula</t>
  </si>
  <si>
    <t>A new, montane species of Ansonia is described from the state of Pahang in central, peninsular Malaysia on the basis of having a unique combination of head, body, digit, and color pattern characteristics. This new species is similar to A. malayana, to which it is closest geographically, but differs greatly in aspects of head morphology and body tuberculation. A review of Ansonia from the Malay Peninsula demonstrates that the population of A. malayana from Tasan, Chumphon Province, Thailand is A. kraensis and A. penangensis from Ulu Tahan, Pahang in peninsular Malaysia is not conspecific with A. penangensis from Pulau Penang but an additional, undescribed species ranging throughout northwestern, peninsular Malaysia.</t>
  </si>
  <si>
    <t>OCT 2</t>
  </si>
  <si>
    <t>WOS:000240866100001</t>
  </si>
  <si>
    <t>Caves, EM; Stevens, M; Spottiswoode, CN</t>
  </si>
  <si>
    <t>Caves, Eleanor M.; Stevens, Martin; Spottiswoode, Claire N.</t>
  </si>
  <si>
    <t>Does coevolution with a shared parasite drive hosts to partition their defences among species?</t>
  </si>
  <si>
    <t>When mimicry imposes costs on models, selection may drive the model's phenotype to evolve away from its mimic. For example, brood parasitism often drives hosts to diversify in egg appearance among females within a species, making mimetic parasitic eggs easier to detect. However, when a single parasite species exploits multiple host species, parasitism could also drive host egg evolution away from other co-occurring hosts, to escape susceptibility to their respective mimics. This hypothesis predicts that sympatric hosts of the same parasite should partition egg phenotypic space (defined by egg colour, luminance and pattern) among species to avoid one another. We show that eggs of warbler species parasitized by the cuckoo finch Anomalospiza imberbis in Zambia partition phenotypic space much more distinctly than do eggs of sympatric but unparasitized warblers. Correspondingly, cuckoo finch host-races better match their own specialist host than other local host species. In the weaver family, parasitized by the diederik cuckoo Chrysococcyx caprius, by contrast, parasitized species were more closely related and overlapped extensively in phenotypic space; correspondingly, cuckoos did not match their own host better than others. These results suggest that coevolutionary arms races between hosts and parasites may be shaped by the wider community context in which they unfold.</t>
  </si>
  <si>
    <t>Caves, Eleanor/G-9958-2015</t>
  </si>
  <si>
    <t>Caves, Eleanor/0000-0003-3497-5925; Stevens, Martin/0000-0001-7768-3426</t>
  </si>
  <si>
    <t>MAY 17</t>
  </si>
  <si>
    <t>10.1098/rspb.2017.0272</t>
  </si>
  <si>
    <t>WOS:000404425100019</t>
  </si>
  <si>
    <t>Martin, AR; da Silva, VMF</t>
  </si>
  <si>
    <t>Sexual dimorphism and body scarring in the boto (Amazon River dolphin) Inia geoffrensis</t>
  </si>
  <si>
    <t>MARINE MAMMAL SCIENCE</t>
  </si>
  <si>
    <t>Measurements and quantitative descriptions of a large sample of live adult botos (Inia geoffrensis) were obtained from the Mamiraua Reserve in the central Amazon. Males were on average 16% longer and weighed 55% more than females, demonstrating that this species is one of the most sexually dimorphic of all cetaceans for size. Males were also pinker than females, more heavily scarred by intraspecific tooth rakes, and had more life-threatening injuries. Some larger males had areas of modified skin that may simply be scar tissue, but may also be a heritable characteristic used as a shield or weapon. As in sperm whales, sexual size dimorphism and rnale-male aggression appear to be linked in botos, Suggesting fierce competition for a resource-probably mating opportunities. The boto is unique among river dolphins in that males are larger than females. This distinction implies long evolutionary separation and fundamental differences in social behavior.</t>
  </si>
  <si>
    <t>da Silva, Vera Maria Ferreira/AAE-8126-2021</t>
  </si>
  <si>
    <t>da Silva, Vera Maria Ferreira/0000-0002-1774-0393</t>
  </si>
  <si>
    <t>0824-0469</t>
  </si>
  <si>
    <t>10.1111/j.1748-7692.2006.00003.x</t>
  </si>
  <si>
    <t>WOS:000234942300003</t>
  </si>
  <si>
    <t>Barreira, AS; García, NC; Lougheed, SC; Tubaro, PL</t>
  </si>
  <si>
    <t>Barreira, Ana S.; Garcia, Natalia C.; Lougheed, Stephen C.; Tubaro, Pablo L.</t>
  </si>
  <si>
    <t>Viewing geometry affects sexual dichromatism and conspicuousness of noniridescent plumage of Swallow Tanagers (Tersina viridis)</t>
  </si>
  <si>
    <t>Some types of plumage color are difficult to characterize spectrophotometrically because the properties of the reflected light change with viewing geometry (i.e. the relative positions of the light source and the observer, and the orientation of the feather). This is the case for the noniridescent plumage coloration of the Swallow Tanager (Tersina viridis), which seems to change from a human perspective as the angle between the light source and the observer varies. In this study, we measured plumage reflectance with different angles of illumination and/or observation, and used avian visual models to evaluate the change in sexual dichromatism and conspicuousness with viewing geometry from a bird's perspective. We also calculated different color parameters to assess how these changed with viewing conditions. Sexual dichromatism showed large changes, with its maximum coinciding with the angle combination between illuminant and observer that produced both the highest conspicuousness for males and the highest crypsis for females. The conspicuousness of males also varied with viewing geometry, and was consistently less when viewed by the visual system of a potential avian predator (VS) than by that of a conspecific (UVS). The change in perceived coloration was mainly related to large variation in hue and chroma in the plumage of males as the relative angle between the illumination and observation probes changed. Our results show that viewing geometry can alter color perception, even for noniridescent plumage coloration. Therefore, the relative position of the light source and the observer should be considered in studies of avian visual communication, particularly for species with plumage coloration similar to that of Swallow Tanagers.</t>
  </si>
  <si>
    <t>Barreira, Ana S./0000-0001-7568-488X</t>
  </si>
  <si>
    <t>10.1642/AUK-15-170.1</t>
  </si>
  <si>
    <t>WOS:000379663400017</t>
  </si>
  <si>
    <t>THRESHER, RE</t>
  </si>
  <si>
    <t>ROLE OF INDIVIDUAL RECOGNITION IN THE TERRITORIAL BEHAVIOR OF THE THREESPOT DAMSELFISH, EUPOMACENTRUS-PLANIFRONS</t>
  </si>
  <si>
    <t>MARINE BEHAVIOUR AND PHYSIOLOGY</t>
  </si>
  <si>
    <t>Based on model-bottle experiments conducted on the shallow reef off the eastern coast of Panama, adult threespot damselfish, E. planifrons, discriminate between neighboring and more distant conspecific individuals, consistently attacking the latter more vigorously than the former. They do not discriminate between neighboring and strange individuals of the congener, E. dorsopunicans, or of the surgeonfish, Acanthurus coeruleus. Individual recognition of conspecifics may be based on location and color pattern of the individuals. Its size and behavior seem less critical. These results are compared to the similar behavior of songbirds and discussed in relation to the mechanisms that allocate time and energy of the damselfish''s territorial defense.</t>
  </si>
  <si>
    <t>Thresher, Ronald/C-7442-2009</t>
  </si>
  <si>
    <t>0091-181X</t>
  </si>
  <si>
    <t>10.1080/10236247909378556</t>
  </si>
  <si>
    <t>WOS:A1979HB35100001</t>
  </si>
  <si>
    <t>Setchell, JM; Wickings, EJ</t>
  </si>
  <si>
    <t>Dominance, status signals and coloration in male mandrills (Mandrillus sphinx)</t>
  </si>
  <si>
    <t>18th Congress of the International-Primatological-Society</t>
  </si>
  <si>
    <t>JAN 07-12, 2001</t>
  </si>
  <si>
    <t>ADELAIDE, AUSTRALIA</t>
  </si>
  <si>
    <t>Int Primatol Soc</t>
  </si>
  <si>
    <t>Where individuals contest access to a resource, escalated physical fighting presents a risk to all involved. The requirement for mechanisms of conflict management has led to the evolution of a variety of decision rules and signals that act to reduce the frequency of aggression during competitive encounters. We examined strategies of conflict management in male mandrills (Mandrillus sphinx) living in two semi-free-ranging groups in Gabon. Adult male mandrills are large (31 kg), with long canines, making the costs of conflict potentially very high. We found that males formed dominance hierarchies, but that male-male relationships were characterized by avoidance, appeasement and ignoring. Fights were rare, but could result in death. Examination of the relationship between dominance and signaling showed that males use facial and gestural signals to communicate dominance and subordinance, avoiding escalated conflict. Male mandrills also possess rank-dependent red coloration on the face, rump and genitalia, and we examined the hypothesis that this coloration acts as a 'badge of status', communicating male fighting ability to other males. If this is the case, then similarity in color should lead to higher dyadic rates of aggression, while males that differ markedly should resolve encounters quickly, with the paler individual retreating. Indeed, appeasement (the 'grin' display), threats, fights and tense 'stand-off' encounters were significantly more frequent between similarly colored males, while clear submission was more frequent where color differences were large. We conclude that male mandrills employ both formal behavioral indicators of dominance and of subordination, and may also use relative brightness of red coloration to facilitate the assessment of individual differences in fighting ability, thereby regulating the degree of costly, escalated conflict between well-armed males.</t>
  </si>
  <si>
    <t>10.1111/j.1439-0310.2004.01054.x</t>
  </si>
  <si>
    <t>WOS:000226377200002</t>
  </si>
  <si>
    <t>Wacker, S; Östlund-Nilsson, S; Forsgren, E; Newport, C; Amundsen, T</t>
  </si>
  <si>
    <t>Wacker, Sebastian; Ostlund-Nilsson, Sara; Forsgren, Elisabet; Newport, Cait; Amundsen, Trond</t>
  </si>
  <si>
    <t>Mate choice plasticity in a coral reef fish</t>
  </si>
  <si>
    <t>Mate choice and intrasexual mating competition are the processes that drive sexual selection and can be interrelated in multiple ways. Female preference may be altered by exposure to male-male interactions. This could happen because of a reduced ability of females to evaluate males in the presence of male-male competition or because females use information from male interactions to form mating preferences. In this study, female preference for a male tail ornament was measured in the presence and absence of male-male competition in a coral reef fish, the damselfish Chrysiptera cyanea. Despite the striking colors of coral reef fishes, few studies have investigated the role of their coloration in the context of sexual selection. When male-male interactions were prevented, females showed a temporal change in preference with respect to male tail coloration, preferring brightly colored males early in the study period and dull males later on. Thus, females did not become less selective but reversed their preference function within the breeding season. When males were allowed to interact, male-male agonistic interactions were extremely frequent and male courtship activity was strongly reduced. In this situation, females still displayed a sexual interest in males but were indiscriminate with regard to male tail coloration. Taken together, these results provide compelling evidence for plasticity of female mating preference, related to the social context and time in the breeding season.</t>
  </si>
  <si>
    <t>Forsgren, Elisabet/KVB-7700-2024</t>
  </si>
  <si>
    <t>Forsgren, Elisabet/0000-0001-5795-3820; Amundsen, Trond/0000-0003-4261-0555</t>
  </si>
  <si>
    <t>10.1093/beheco/arw050</t>
  </si>
  <si>
    <t>WOS:000384650600013</t>
  </si>
  <si>
    <t>Caro, T</t>
  </si>
  <si>
    <t>Caro, Tim</t>
  </si>
  <si>
    <t>Contrasting coloration in terrestrial mammals</t>
  </si>
  <si>
    <t>Here I survey, collate and synthesize contrasting coloration in 5000 species of terrestrial mammals focusing on black and white pelage. After briefly reviewing alternative functional hypotheses for coloration in mammals, I examine nine colour patterns and combinations on different areas of the body and for each mammalian taxon to try to identify the most likely evolutionary drivers of contrasting coloration. Aposematism and perhaps conspecific signalling are the most consistent explanations for black and white pelage in mammals; background matching may explain white pelage. Evidence for contrasting coloration is being involved in crypsis through pattern blending, disruptive coloration or serving other functions, such as signalling dominance, lures, reducing eye glare or in temperature regulation has barely moved beyond anecdotal stages of investigation. Sexual dichromatism is limited in this taxon and its basis is unclear. Astonishingly, the functional significance of pelage coloration in most large charismatic black and white mammals that were new to science 150 years ago still remains a mystery.</t>
  </si>
  <si>
    <t>FEB 27</t>
  </si>
  <si>
    <t>10.1098/rstb.2008.0221</t>
  </si>
  <si>
    <t>WOS:000262353500014</t>
  </si>
  <si>
    <t>George, EM; Wolf, SE; Bentz, AB; Rosvall, KA</t>
  </si>
  <si>
    <t>George, Elizabeth M.; Wolf, Sarah E.; Bentz, Alexandra B.; Rosvall, Kimberly A.</t>
  </si>
  <si>
    <t>Testing hormonal responses to real and simulated social challenges in a competitive female bird</t>
  </si>
  <si>
    <t>When female animals fight, does their testosterone elevate? We used two approaches to explore this question in tree swallows, a cavity-nesting territorial songbird. First, we simulated intrusions with taxidermic models, and second, we reduced territory availability to increase actual competition. T levels were not higher in experimental birds compared to controls, and in fact were sometimes lower and negatively correlated with the degree of aggression. Testosterone may therefore be depleted to promote adaptive aggression. Competitive interactions often occur in series; therefore animals may respond to social challenges in ways that prepare them for success in future conflict. Changes in the production of the steroid hormone testosterone (T) are thought to mediate phenotypic responses to competition, but research over the past few decades has yielded mixed results, leading to several potential explanations as to why T does not always elevate following a social challenge. Here, we measured T levels in tree swallows (Tachycineta bicolor), a system in which females compete for limited nesting cavities and female aggression is at least partially mediated by T. We experimentally induced social challenges in two ways: (1) using decoys to simulate territorial intrusions and (2) removing subsets of nesting cavities to increase competition among displaced and territory-holding females. Critically, these experiments occurred pre-laying, when females are physiologically capable of rapidly increasing circulating T levels. However, despite marked aggression in both experiments, T did not elevate following real or simulated social challenges, and in some cases, socially challenged females had lower T levels than controls. Likewise, the degree of aggression was negatively correlated with T levels following a simulated territorial intrusion. Though not in line with the idea that social challenges prompt T elevation in preparation for future challenges, these patterns nevertheless connect T to territorial aggression in females. Coupled with past work showing that T promotes aggression, these results suggest that T may act rapidly to allow animals to adaptively respond to the urgent demands of a competitive event.</t>
  </si>
  <si>
    <t>Rosvall, Kimberly A/0000-0003-3766-9624; Wolf, Sarah/0000-0002-2620-8999; George, Elizabeth/0000-0002-1223-5857; Bentz, Alexandra/0000-0003-2445-4886</t>
  </si>
  <si>
    <t>FEB 19</t>
  </si>
  <si>
    <t>arab129</t>
  </si>
  <si>
    <t>10.1093/beheco/arab129</t>
  </si>
  <si>
    <t>NOV 2021</t>
  </si>
  <si>
    <t>WOS:000757960400024</t>
  </si>
  <si>
    <t>Weber, CA; Smilanick, JM; Ehler, LE; Zalom, FG</t>
  </si>
  <si>
    <t>Ovipositional behavior and host discrimination in three scelionid egg parasitoids of stink bugs</t>
  </si>
  <si>
    <t>BIOLOGICAL CONTROL</t>
  </si>
  <si>
    <t>Ovipositional behavior of the scelionid egg parasitoids Trissolcus basalis (Wollaston), Psix tunetanus (Mineo &amp; Szabo), and two color forms of Trissolcus utahensis (Ashmead) was observed in laboratory experiments that employed a common host, the pentatomid Euschistus conspersus Uhler. Brood sex ratios were female biased and less than 0.20; P. tunetanus deposited a precise sequence of male and female offspring compared to the other species. In host discrimination experiments in which individual females were presented with an egg mass partially parasitized by a conspecific female, T. utahensis showed considerable ovipositional restraint toward parasitized eggs. When presented with an egg mass partially parasitized by a female of another species-either T. basalis or P. tunetanus-T. utahensis displayed little discrimination and oviposited in most of the parasitized eggs that it contacted. When the experiment was reversed-T. basalis and P. tunetanus females presented individually with an egg mass partially parasitized by T. utahensis-both species showed little discrimination and oviposited in most of the parasitized eggs that they contacted. For eggs in which multiparasitism involved the combination of T. utahensis and P. tunetanus, the latter emerged from over 70%, regardless of whether it was the first or second ovipositing female. When super- or multiparasitism involved the combination of the two T. utahensis color forms or the combination of T. utahensis and T. basalis, offspring of the first ovipositing female emerged from over 70% of the eggs. These results are consistent with the view that interspecific host discrimination in parasitoids is less common than conspecific host discrimination and provide some support for the hypothesis that brood sex ratio and competitive ability are inversely related in guilds of quasi-gregarious egg parasitoids. Implications for the selection of parasitoid species for classical and augmentative biological control are discussed. (C) 1996 academic Press, Inc.</t>
  </si>
  <si>
    <t>1049-9644</t>
  </si>
  <si>
    <t>1090-2112</t>
  </si>
  <si>
    <t>10.1006/bcon.1996.0031</t>
  </si>
  <si>
    <t>WOS:A1996UC68700014</t>
  </si>
  <si>
    <t>Prikrylová, K; Kovácsová, D; Lindová, J</t>
  </si>
  <si>
    <t>Prikrylova, Katarina; Kovacsova, Denisa; Lindova, Jitka</t>
  </si>
  <si>
    <t>The Role of Head and Body Cues in Visual Individual Recognition in Grey Parrots (Psittacus erithacus)</t>
  </si>
  <si>
    <t>Individual recognition underlies social behaviors in many species and is essential for complex social interactions commonly occurring between conspecifics. Focusing on visual perception, we explored this process in African grey parrots (Psittacus erithacus) using the matching-to-sample (MTS) method commonly used in primate research. We used cards made from photographs of familiar conspecific in four consecutive experiments, first testing the ability of our subjects (two male and one female adult) to match the photographs of familiar individuals and then creating modified stimuli cards to determine which visual aspects and features were crucial for successful recognition of a familiar conspecific. All three subjects were able to successfully match different photographs of familiar conspecifics in Experiment 1. Experiments 2-4 showed that modification of the facial area in the photograph had only a weak effect on subjects' success rates in MTS tasks. On the other hand, changes in the plumage color or obscuring of abdominal cues impaired their ability to successfully match conspecifics' photographs in some tasks. This study implies that African grey parrots process visual information holistically. Moreover, the process of individual recognition in this species differs from what we find in primates, including humans, where faces play a crucial role.</t>
  </si>
  <si>
    <t>Lindová, Jitka/AAL-6658-2021; Lindová, Jitka/T-3756-2017</t>
  </si>
  <si>
    <t>Lindová, Jitka/0000-0001-8846-4552; Lindová, Jitka/0000-0001-8846-4552; Prikrylova, Katari-na/0000-0003-0659-0956</t>
  </si>
  <si>
    <t>10.1037/com0000347</t>
  </si>
  <si>
    <t>JUN 2023</t>
  </si>
  <si>
    <t>WOS:001005612800001</t>
  </si>
  <si>
    <t>Saetre, GP; Kral, M; Bures, S</t>
  </si>
  <si>
    <t>Differential species recognition abilities of males and females in a flycatcher hybrid zone</t>
  </si>
  <si>
    <t>When mating between members of differentiated populations results in the production of unfit hybrids, selection may favour mechanisms that reduce the probability of interbreeding. One such mechanism is a mate preference for own type. Hybridisation between sympatric Pied Flycatchers Ficedula hypoleuca and Collared Flycatchers Ficedula albicollis, occurs less frequently than expected from random mating and hybrids have very low fertility. In two aviary experiments we tested the hypothesis that males and females prefer to mate conspecifically. First, females had a simultaneous choice between one male of each species. The female showed the strongest sexual response to the conspecific male. Second, males had a simultaneous choice between a conspecific and a heterospecific female. The males showed no preference for conspecific or heterospecific female flycatchers. We discuss possible factors behind this sexual difference in species recognition.</t>
  </si>
  <si>
    <t>10.2307/3676978</t>
  </si>
  <si>
    <t>WOS:A1997XX48100010</t>
  </si>
  <si>
    <t>SLAGSVOLD, T</t>
  </si>
  <si>
    <t>SEX RECOGNITION AND BREAST STRIPE SIZE IN GREAT TITS</t>
  </si>
  <si>
    <t>ARDEA</t>
  </si>
  <si>
    <t>Great Tits Parus major have a conspicuous, black, central breast stripe which is larger in males than in females. I manipulated stripe size in females to make them resemble males. The response of resident pairs was tested by presenting a caged, dyed female on territories during the breeding season, and using caged, unmanipulated males and females as controls. Resident females responded aggressively towards control females and similarly towards dyed females, but not towards males. Thus, females appeared to be able to recognize the sex of a dyed female, even when its lower belly between the legs was dyed black. In contrast, males were significantly more aggressive towards dyed than control females, though less aggressive than towards control males. In comparison, both sexes of Pied Flycatchers Ficedula hypoleuca have difficulty identifying the true sex of conspecific dull-coloured males (female-like) and black dyed females (male-like). I suggest that the female mimicry hypothesis for the evolution of delayed plumage maturation in passerine birds is most relevant for migratory, solitary-living species which have pair bonds of short duration, allowing little sexual experience.</t>
  </si>
  <si>
    <t>0373-2266</t>
  </si>
  <si>
    <t>2213-1175</t>
  </si>
  <si>
    <t>WOS:A1993LV04800007</t>
  </si>
  <si>
    <t>Risi, MM; Macdonald, AHH</t>
  </si>
  <si>
    <t>Risi, Michelle M.; Macdonald, Angus H. H.</t>
  </si>
  <si>
    <t>Possible synonymies of Zoanthus (Anthozoa: Hexacorallia) species on the east coast of South Africa with Pacific congeners</t>
  </si>
  <si>
    <t>Zoanthids cover large patches on the rocky shores of KwaZulu-Natal and northern parts of the Eastern Cape, South Africa. No molecular identification has been carried out on these organisms on the South African shoreline. Zoanthus sansibaricus Carlgren, 1900 has a global distribution and has been reported having numerous morphotypes in terms of polyp shape, size, colour and oral disk colour. The molecular characteristics of three Zoanthus species, Z. sansibaricus, Zoanthus durbanensis Carlgren, 1938 and Zoanthus natalensis Carlgren, 1938, were investigated to determine whether they are three separate species or merely morphotypes of one another. Samples were collected between May 2012 and July 2013, ranging from Umgazana (31.7024 degrees S, 29.4175 degrees E) to Ballito (29.5451 degrees S, 31.2160 degrees E) on the east coast of South Africa and at one site in Libanona, Madagascar (25.0421 degrees S, 46.9952 degrees E). Cytochrome oxidase subunit one (COI), mitochondrial 16S ribosomal DNA (mt 16S rDNA) and the nuclear internal transcribed spacer region of ribosomal DNA (ITS rDNA) were used in this study. The COI sequences had little variation between species groups, while the mt 16S rDNA tree showed that Z. sansibaricus matched with sequences of Z. sansibaricus from the Pacific. Zoanthus natalensis formed a haplotype with Zoanthus kuroshio Reimer &amp; Ono, 2006 and Z. durbanensis formed a haplotype with Zoanthus vietnamensis Pax &amp; Muller, 1957. The ITS rDNA sequences were very similar for these four species: Z. natalensis, Z. kuroshio, Z. durbanensis and Z. vietnamensis. The results of this study indicate that Z. natalensis is likely conspecific to Z. kuroshio and Z. durbanensis is likely conspecific to Z. vietnamensis. This is only a tentative hypothesis as no formal morphological analyses were done on proposed conspecifics. This work highlights the potential of synonymies that can be found globally when investigating new areas.</t>
  </si>
  <si>
    <t>JAN 2</t>
  </si>
  <si>
    <t>10.1080/14772000.2014.968233</t>
  </si>
  <si>
    <t>WOS:000345618000007</t>
  </si>
  <si>
    <t>Kabir, MS; Venkatesan, R; Thaker, M</t>
  </si>
  <si>
    <t>Kabir, M. S.; Venkatesan, R.; Thaker, M.</t>
  </si>
  <si>
    <t>Multiple Sensory Modalities in Diurnal Geckos Is Associated with the Signaling Environment and Evolutionary Constraints</t>
  </si>
  <si>
    <t>INTEGRATIVE ORGANISMAL BIOLOGY</t>
  </si>
  <si>
    <t>To be effective, animal signals need to be detectable in the environment, but their development and expression require resources. For multimodal communication, investment in elaborating traits in one modality could reduce the elaboration of traits in other modalities. In Cnemaspis geckos, chemical signals for conspecific communication predated the evolution of visual signals, allowing us to examine the potential trade-off in signal elaboration and the current habitat associations with signal use. We studied five species of Cnemaspis and quantified visual (patch size, color characteristics) and chemical (secretory composition) traits in males, as well as key environmental parameters (temperature, humidity, light) in each of their habitats. Within species, we found some trade-off in the elaboration of signals, as the strength of several components in the visual and chemical modalities were negatively associated. Strength of some signal components in each modality was also independently associated with specific environmental parameters that affect their detection (visual traits) and persistence (chemical traits). Specifically, species with larger, brighter, and more saturated color patches were found in habitats where the brightness and chroma of light were lower. Furthermore, environments with higher substrate temperature and higher relative humidity harbored species that produced secretions with a higher percentage of saturated and aromatic compounds. Thus, the elaboration of multimodal signals in this group of Cnemaspis geckos seems to increase the efficiency of communication in the signaling-environment, but the strength of signals in different modalities is constrained by trade-offs in signal expression.</t>
  </si>
  <si>
    <t>Thaker, Maria/0000-0001-6019-2639</t>
  </si>
  <si>
    <t>2517-4843</t>
  </si>
  <si>
    <t>obaa027</t>
  </si>
  <si>
    <t>10.1093/iob/obaa027</t>
  </si>
  <si>
    <t>WOS:000613108900027</t>
  </si>
  <si>
    <t>Halliday, WD; Paterson, JE; Patterson, LD; Cooke, SJ; Blouin-Demers, G</t>
  </si>
  <si>
    <t>Halliday, W. D.; Paterson, J. E.; Patterson, L. D.; Cooke, S. J.; Blouin-Demers, G.</t>
  </si>
  <si>
    <t>Testosterone, body size, and sexual signals predict parasite load in Yarrow's Spiny Lizards (Sceloporus jarrovii)</t>
  </si>
  <si>
    <t>Parasite load significantly impacts host health and fitness and may vary substantially among individuals within a population. The immunocompetence handicap hypothesis posits that sexual signals are honest indicators of male quality because they are maintained by testosterone, an immunosuppressant that yields higher parasite loads. Additionally, testosterone may influence parasite load by increasing activity levels. We examined these two hypotheses in a wild population of Yarrow's Spiny Lizards (Sceloporus jarrovii Cope, 1875) in Arizona. We (i) compared fecal testosterone levels to ectoparasite and haemoparasite loads, (ii) tested if sexual signals (total coloured area, aggression, and head size), locomotor activity, and body size correlated with testosterone levels, and (iii) compared sexual signals, locomotor activity, and body size to parasite load. Ectoparasite loads increased with total coloured area and tended to increase with testosterone, but this latter relationship was only nearly significant. Parasite loads increased with body size. Thus, we found some support for the immunocompetence handicap hypothesis and none for the activity hypothesis. Our results are consistent with an alternative hypothesis that larger individuals have more parasites because they have more surface area and (or) have had longer to accumulate parasites. Future studies should examine the relative contributions of testosterone and glucocorticoids in driving variation in parasite loads.</t>
  </si>
  <si>
    <t>Blouin-Demers, Gabriel/GRS-0626-2022; Cooke, Steven J/F-4193-2010</t>
  </si>
  <si>
    <t>Cooke, Steven J/0000-0002-5407-0659; Paterson, James/0000-0001-9518-7426; Halliday, William/0000-0001-7135-076X</t>
  </si>
  <si>
    <t>10.1139/cjz-2014-0256</t>
  </si>
  <si>
    <t>WOS:000345617300010</t>
  </si>
  <si>
    <t>RASMUSSEN, PC</t>
  </si>
  <si>
    <t>RELATIONSHIPS BETWEEN COASTAL SOUTH-AMERICAN KING AND BLUE-EYED SHAGS</t>
  </si>
  <si>
    <t>The distributions of King and Blue-eyed Shags (Phalacrocorax albiventer and P. atriceps) were reevaluated, incorporating new data. The differential distributions of the phenotypes do not correlate significantly with austral summer water temperatures. In areas where the forms occur together, hybridization is frequent and plumage-based disassortative mating occurs. At localities of overlap, King and Blue-eyed Shags are virtually identical in skeletal size and shape. Heterozygosity is very similar for both forms over all populations and at Puerto Deseado, but not for the Monte Leon and Ushuaia populations. Genetic distances between the two forms are very low, King and Blue-eyed Shags should be considered conspecific color morphs of a single widespread species, Phalacrocorax atriceps.</t>
  </si>
  <si>
    <t>10.2307/3247717</t>
  </si>
  <si>
    <t>WOS:A1991GW79100005</t>
  </si>
  <si>
    <t>GREENBERG, N; CHEN, T; CREWS, D</t>
  </si>
  <si>
    <t>SOCIAL-STATUS, GONADAL STATE, AND THE ADRENAL STRESS RESPONSE IN THE LIZARD, ANOLIS-CAROLINENSIS</t>
  </si>
  <si>
    <t>Adult males of the small arboreal iguanid lizard, A. carolinensis, form social dominance hierarchies when placed in habitats with limited resources. Skin color changes occur during hierarchy formation, most conspicuously in subordinates, who appear darker (more brown) than dominants (more green). Because skin color in this species is under the control of hormones frequently associated with physiological stress, radioimmunoassay of plasma levels of the principal reptilian adrenal steroid, corticosterone, was performed. To examine the influence of gonadal androgen, known to influence the aggression that attends hierarchy formation, lizard pairs were constituted in which 1 or both members were castrated. Corticosterone levels of intact subordinates were significantly elevated while those of castrated subordinates or dominants showed levels comparable to those of isolates. No significant differences in spermatogenic stage could be detected between intact dominants or subordinates.</t>
  </si>
  <si>
    <t>10.1016/0018-506X(84)90045-X</t>
  </si>
  <si>
    <t>WOS:A1984SG50600001</t>
  </si>
  <si>
    <t>Vedder, O; Schut, E; Magrath, MJL; Komdeur, J</t>
  </si>
  <si>
    <t>Vedder, Oscar; Schut, Elske; Magrath, Michael J. L.; Komdeur, Jan</t>
  </si>
  <si>
    <t>Ultraviolet crown colouration affects contest outcomes among male blue tits, but only in the absence of prior encounters</t>
  </si>
  <si>
    <t>P&gt;1. Static animal colour patches may function among competitors to minimize conflict escalation over resources, by serving as a signal of resource holding potential or aggressiveness. Empirical evidence for the use of colour patches in conflict resolution is largely restricted to pigment-based colours (melanins and carotenoids) and rarely defines the context in which the signals are used. 2. Here we test whether structural-based ultraviolet (UV) crown colouration functions in conflict resolution among dyads of first-year male blue tits Cyanistes caeruleus in captivity, in a context that is known to favour aggressive individuals. 3. We found that on first encounter in a pairwise context, experimentally UV-reduced males were significantly more likely to lose to control-treated opponents than expected by chance. However, this disparity was less pronounced when conflicts were settled with physical fighting or when the opponent was considerably smaller in size. 4. When the same dyads were tested again several weeks later, but with the UV treatment reversed among opponents, none of the effects remained significant, but instead the winner was most likely to be the individual that won at their first encounter. 5. Our results suggest that structural-based UV colouration can affect the outcome of an interaction, but that size differences and the outcome of initial interactions between opponents can override the influence of this signal in conflict resolution. Whether there is a functional basis to maintain a link between aggressiveness and colouration may thus be highly dependent on the general context under which individuals compete in the wild.</t>
  </si>
  <si>
    <t>Vedder, Oscar/A-9350-2012; Komdeur, Jan/X-1261-2019</t>
  </si>
  <si>
    <t>Vedder, Oscar/0000-0003-4689-8568; Komdeur, Jan/0000-0002-9241-0124; Magrath, Michael/0000-0002-8022-9627</t>
  </si>
  <si>
    <t>10.1111/j.1365-2435.2009.01660.x</t>
  </si>
  <si>
    <t>WOS:000274952600020</t>
  </si>
  <si>
    <t>Okamoto, T; Kuriyama, T; Eto, K; Hasegawa, M</t>
  </si>
  <si>
    <t>Okamoto, Taku; Kuriyama, Takeo; Eto, Koshiro; Hasegawa, Masami</t>
  </si>
  <si>
    <t>A Preliminary Study of the Morphological and Ecological Characteristics of Plestiodon japonicus (Scincidae, Squamata) on the Danjo Islands, Western Japan</t>
  </si>
  <si>
    <t>CURRENT HERPETOLOGY</t>
  </si>
  <si>
    <t>The morphological and ecological characteristics are studied for the population of Plestiodon japonicus of the Danjo Islands, a group of small islands in the East China Sea, on the basis of field observations and data from museum specimens. The population density of the lizards in this island group was estimated to be higher than those in conspecific mainland populations. Also, P. japonicus of the Danjo islands were differentiated from the latter by the following combination of characters: larger number of mid-body scale rows and subdigital scales, blackish juvenile coloration with different stripe pattern, faded tail color, and delayed sexual maturity in males. The evolutionary implications of these findings are briefly discussed.</t>
  </si>
  <si>
    <t>Kuriyama, Takeo/C-2948-2012</t>
  </si>
  <si>
    <t>Okamoto, Taku/0000-0002-9380-3587</t>
  </si>
  <si>
    <t>1345-5834</t>
  </si>
  <si>
    <t>1881-1019</t>
  </si>
  <si>
    <t>10.5358/hsj.40.182</t>
  </si>
  <si>
    <t>WOS:000697316900008</t>
  </si>
  <si>
    <t>MASON, JR; REIDINGER, RF</t>
  </si>
  <si>
    <t>OBSERVATIONAL-LEARNING OF FOOD AVERSIONS IN RED-WINGED BLACKBIRDS (AGELAIUS-PHOENICEUS)</t>
  </si>
  <si>
    <t>Recent work has demonstrated that red-winged blackbirds (A. phoeniceus) display food prefernces as a result of observational learning. Also, individual birds learn to avoid food whose ingestion has been paired with sickness. Such perferences or aversions depend on visual cues associated with the food. A related but unanswered question is whether observational learning is sufficient for birds to associate visual cues with sickness. Red-wings observed a conspecific consume a food paired with a color cue (CS) and toxin-induced illness (UCS). The observers were subsequently given 2-choice preference tests between a food (either the food consumed by the gavaged bird or another food) paired with the CS or with another color. The birds avoided consumption of any food paired with the CS (but not of the other color) during all tests. Such results are consistent with the notion that opportunistic foragers, such as red-wings, readily learn to avoid conspicuous foods paired with aversive consequences. The notion that Batesian model-mimic systems could be maintained, at least in part, by observational learning of models and subsequent generalization of that learning to mimics is supported. Observational learning could provide an efficient strategy to protect against the ingestion of potentially dangerous food.</t>
  </si>
  <si>
    <t>WOS:A1982NY39800015</t>
  </si>
  <si>
    <t>HENLE, K</t>
  </si>
  <si>
    <t>THE STATUS OF BUFO-POEPPIGII TSCHUDI 1845 (ANURA, BUFONIDAE)</t>
  </si>
  <si>
    <t>STUDIES ON NEOTROPICAL FAUNA AND ENVIRONMENT</t>
  </si>
  <si>
    <t>An analysis of the variation in ventral and dorsal colour pattern, relative width of the parotoids and size of the tympanum of Peruvian Bufo marinus (sensu lato) reveals that strongly patterned specimens (usually attributed to poeppigii) do not differ from weakly patterned ones (usually attributed to marinus) in these characters. An examination of the holotype of B. poeppigii together with ecological observations on both forms show that poeppigii is conspecific with marinus. In the characters analysed, a considerable geographic variation exists over the range of B. marinus. The Peruvian populations are characterized by a high percentage of strongly patterned specimens and by a very small tympanum and are regarded as a valid subspecies, B. m. poeppigii.</t>
  </si>
  <si>
    <t>Henle, Klaus/I-6837-2013</t>
  </si>
  <si>
    <t>Henle, Klaus/0000-0002-6647-5362</t>
  </si>
  <si>
    <t>0165-0521</t>
  </si>
  <si>
    <t>1744-5140</t>
  </si>
  <si>
    <t>10.1080/01650528509360685</t>
  </si>
  <si>
    <t>WOS:A1985C168200004</t>
  </si>
  <si>
    <t>González-Rojas, MF; Darragh, K; Robles, J; Linares, M; Schulz, S; McMillan, WO; Jiggins, CD; Pardo-Diaz, C; Salazar, C</t>
  </si>
  <si>
    <t>Gonzalez-Rojas, M. F.; Darragh, K.; Robles, J.; Linares, M.; Schulz, S.; McMillan, W. O.; Jiggins, C. D.; Pardo-Diaz, C.; Salazar, C.</t>
  </si>
  <si>
    <t>Chemical signals act as the main reproductive barrier between sister and mimetic Heliconius butterflies</t>
  </si>
  <si>
    <t>Colour pattern is the main trait that drives mate recognition between Heliconius species that are phylogenetically close. However, when this cue is compromised such as in cases of mimetic, sympatric and closely related species, alternative mating signals must evolve to ensure reproductive isolation and species integrity. The closely related species Heliconius melpomene malleti and H. timareta florencia occur in the same geographical region, and despite being co-mimics, they display strong reproductive isolation. In order to test which cues differ between species, and potentially contribute to reproductive isolation, we quantified differences in the wing phenotype and the male chemical profile. As expected, the wing colour pattern was indistinguishable between the two species, while the chemical profile of the androconial and genital males' extracts showed marked differences. We then conducted behavioural experiments to study the importance of these signals in mate recognition by females. In agreement with our previous results, we found that chemical blends and not wing colour pattern drive the preference of females for conspecific males. Also, experiments with hybrid males and females suggested an important genetic component for both chemical production and preference. Altogether, these results suggest that chemicals are the major reproductive barrier opposing gene flow between these two sister and co-mimic species.</t>
  </si>
  <si>
    <t>Jiggins, Chris/T-4296-2019; Chiu, Serena/JMC-3005-2023; Pardo-Diaz, Carolina/C-7936-2016; Darragh, Kathy/KMY-7331-2024; Salazar, Camilo/A-1647-2010</t>
  </si>
  <si>
    <t>Jiggins, Chris/0000-0002-7809-062X; Darragh, Kathy/0000-0002-9215-014X; Salazar, Camilo/0000-0001-9217-6588; Schulz, Stefan/0000-0002-4810-324X; Robles, Jorge/0000-0002-6782-5619</t>
  </si>
  <si>
    <t>MAY 13</t>
  </si>
  <si>
    <t>10.1098/rspb.2020.0587</t>
  </si>
  <si>
    <t>WOS:000540446700001</t>
  </si>
  <si>
    <t>Flockhart, DTT; Wiebe, KL</t>
  </si>
  <si>
    <t>Flockhart, D. T. Tyler; Wiebe, Karen L.</t>
  </si>
  <si>
    <t>ABSENCE OF REPRODUCTIVE CONSEQUENCES OF HYBRIDIZATION IN THE NORTHERN FLICKER (COLAPTES AURATUS) HYBRID ZONE</t>
  </si>
  <si>
    <t>Two subspecies of Northern Flicker (Colaptes auratus), Yellow-shafted Flicker (C. a. auratus) and Red-shafted Flicker (C. a. cafer), form a hybrid zone that stretches the length of North America and is apparently stable. The most widely accepted hypothesis for the zone, the bounded-hybrid superiority hypothesis, predicts that the fitness of hybrids should be equal to or higher than that of parental types within the hybrid zone. We compared the reproductive performance at various stages of the reproductive cycle among Northern Flickers of different phenotypes at a location in the hybrid zone in which individuals are predominantly reddish. Individuals with red and yellow coloring showed similar levels of aggression toward taxidermy models of pure Red-shafted and Yellow-shafted flickers, and there was no association between phenotype (color class) and the likelihood of winning agonistic contests. In addition, the color of the male and female parents was not related to nest initiation date, Clutch size, hatching Success, risk of predation, or number of fledglings. These results do not support the tension-zone model, which predicts lower fitness of hybrids, but neither do they, strongly support the concept of hybrid superiority, because all phenotypes had equivalent reproductive success. Annual changes ill Selection pressure, Such as those caused by weather, Could mask fitness differences between red and yellow individuals Measured at a single geographic location and result in a hybrid zone that is variable in location and width over time. Received 11 May 2008, accepted 8 December 2008.</t>
  </si>
  <si>
    <t>Flockhart, D. T. Tyler/C-3132-2018</t>
  </si>
  <si>
    <t>Flockhart, D. T. Tyler/0000-0002-5832-8610</t>
  </si>
  <si>
    <t>10.1525/auk.2009.08086</t>
  </si>
  <si>
    <t>WOS:000265754300013</t>
  </si>
  <si>
    <t>Greenberg, D; Snyder, KP; Filazzola, A; Mastromonaco, GF; Schoof, VAM</t>
  </si>
  <si>
    <t>Greenberg, D.; Snyder, K. P.; Filazzola, A.; Mastromonaco, G. F.; Schoof, V. A. M.</t>
  </si>
  <si>
    <t>Hormonal correlates of male dominance rank, age, and genital colouration in vervet monkey (Chlorocebus pygerythrus)</t>
  </si>
  <si>
    <t>Primates are the most colourful members of the Mammalian clade. In vervet monkeys (Chlorocebus pygerythrus), males are characterized by their red penis and blue scrotum. Such colour signals are often used in conspecific communication, and thus could be used to convey signaller condition. We quantified scrotal and penile colour characteristics using digital photographs between May-June 2016 from males in two neighboring groups along the shores of Lake Nabugabo, Uganda. We examined the relationship between fecal hormones, male dominance rank, age (adult vs. immature), and colour. Adult males were higher ranking than immatures, but there were no rank or age differences in fecal hormone levels. Glucocorticoids and androgens were positively correlated in immature, but not adult males. All scrotal characteristics were predicted by age, with adult males having more teal (i.e., less blue, more green) and more luminant scrota. Within adult males, those with higher androgens levels had more saturated blue scrotal colouration and higher-ranking males were more luminant. Penile colouration was also associated with age and rank. High-ranking males had a more saturated red penis, and adult male penile colour was more luminant and bluer than in immature males. Our findings are consistent with previous reports that scrotal colouration advertises sexual or reproductive maturity (i.e., age), but we also find that within adult males, colour also advertises dominance rank and may be mediated by androgen levels. Penile colouration also appears to signal information about male age and dominance rank but does not appear to be mediated by hormones.</t>
  </si>
  <si>
    <t>Greenberg, Dina/0000-0002-5784-4074</t>
  </si>
  <si>
    <t>10.1016/j.ygcen.2021.113948</t>
  </si>
  <si>
    <t>WOS:000784337800003</t>
  </si>
  <si>
    <t>Beránková, J; Vesely, P; Fuchs, R</t>
  </si>
  <si>
    <t>Berankova, Jana; Vesely, Petr; Fuchs, Roman</t>
  </si>
  <si>
    <t>The role of body size in predator recognition by untrained birds</t>
  </si>
  <si>
    <t>It is supposed that body size serves as an important cue in the recognition of relevant stimuli in nature. As predators of varying body size pose differing levels of threat, their potential prey should be able to discriminate between them. We tested the reaction of great tits (Parus major) to the dummies of their common predator (the European sparrowhawk-Accipiter nisus) in natural and reduced body sizes under laboratory conditions. All of the tested dummies possessed local raptor-specific features (hooked beak, claws with talons, and conspicuous eyes), but differed in global species-specific features: body size (large - the size of a sparrowhawk, small - the size of a great tit) and colouration (sparrowhawk, great tit, robin, and pigeon). The sparrowhawk-coloured dummies evoked fear regardless of their size while both great tit- and pigeon-coloured dummies evoked no fear reaction. The body size was used as the cue only for the discrimination of the robin-coloured dummies. The differences in reactions to the dummies with robin colouration (species unimportant to the great tits) could be explained as that the tits are able to recognize these birds in nature, but not so undoubtedly as the predator or the conspecific. (C) 2015 Elsevier B.V. All rights reserved.</t>
  </si>
  <si>
    <t>Veselý, Petr/HKN-7056-2023; vesely, petr/AAL-2517-2020; Fuchs, Roman/AFT-2379-2022</t>
  </si>
  <si>
    <t>Veselý, Petr/0000-0001-9935-2150; vesely, petr/0000-0001-9935-2150; Fuchs, Roman/0000-0001-6511-3207</t>
  </si>
  <si>
    <t>10.1016/j.beproc.2015.09.015</t>
  </si>
  <si>
    <t>WOS:000364503300018</t>
  </si>
  <si>
    <t>SAETRE, GP; SLAGSVOLD, T</t>
  </si>
  <si>
    <t>EVIDENCE FOR SEX RECOGNITION FROM PLUMAGE COLOR BY THE PIED FLYCATCHER, FICEDULA-HYPOLEUCA</t>
  </si>
  <si>
    <t>10.1016/0003-3472(92)90035-8</t>
  </si>
  <si>
    <t>WOS:A1992JK06900011</t>
  </si>
  <si>
    <t>Chapman, DS; Cornell, SJ; Kunin, WE</t>
  </si>
  <si>
    <t>Chapman, Daniel S.; Cornell, Stephen J.; Kunin, William E.</t>
  </si>
  <si>
    <t>Interactions between harvesting, noise and territoriality in a model of red grouse population cycles</t>
  </si>
  <si>
    <t>Population cycles are mostly thought to arise through extrinsic rather than intrinsic processes. However, in red grouse (Lagopus lagopus scoticus), intrinsic male territoriality has been proposed as a driver of the cycles, possibly in conjunction with an extrinsic interaction with specialist parasitic worms. Here we examine how harvesting and environmental noise may also interact with territoriality to determine how grouse populations cycle. A stochastic model of grouse dynamics based on the territoriality hypothesis is developed, including harvesting and the effects of nonterritorial birds on aggressiveness. Cycles are detected in 97% of populations simulated over realistic parameter ranges, and these exhibit similar statistical properties to those reported in studies of multiple grouse populations. As observed, cycle periods are shorter at higher breeding productivities. The model demonstrates the destabilizing influence of delayed density-dependent territorial aggressiveness. Cycle amplitudes are higher when annual changes in aggression are larger and when nonterritorial males provoke greater aggression. Intriguingly, the model suggests how an interaction between aggressiveness and parasites may operate. It is known that males with high worm burdens show dramatic decreases in aggressiveness in the year following a peak in territoriality. When this is included in the model, via larger crashes in aggression, amplitudes are higher, despite a reduction in overall aggressiveness. Environmental stochasticity interacts with territoriality to determine the form of the cycles, but this is mediated through its 'colour' or temporal autocorrelation. For example, uncorrelated white noise increases amplitudes, while autocorrelated red noise has the opposite effect. However, noise increases cycle periods whatever the colour. Harvesting occurs before territorial competition. This reduces the pool of males competing for territories and so increases recruitment and population densities. However, crashes can then be more extreme so cycle amplitudes are higher. With harvesting at 150% of current typical levels, which is within observed variation, the dynamics exhibit a sharp transition to a state where cyclicity is reduced, periods are shorter and amplitudes lower. The model suggests that to understand regional variation in red grouse cycles, interactions between territoriality, productivity, harvesting and noise must be considered.</t>
  </si>
  <si>
    <t>Chapman, Daniel/O-5100-2019; Cornell, Stephen J/D-3955-2009</t>
  </si>
  <si>
    <t>Chapman, Daniel/0000-0003-1836-4112;</t>
  </si>
  <si>
    <t>10.1111/j.1365-2656.2008.01496.x</t>
  </si>
  <si>
    <t>WOS:000263038800020</t>
  </si>
  <si>
    <t>Nice, CC; Shapiro, AM</t>
  </si>
  <si>
    <t>Molecular and morphological divergence in the butterfly genus Lycaeides (Lepidoptera: Lycaenidae) in North America:: evidence of recent speciation</t>
  </si>
  <si>
    <t>Male genital morphology, allozyme allele frequencies and mtDNA sequence variation were surveyed in the butterfly species Lycaeides inas and L. melissa from across much of their range in North America. Despite clear differences in male genital morphology, wing colour patterns and habitat characteristics, genetic variation was not taxonomically or geographically structured and the species were not identifiable by either genetic data set. Genetic distances (Nei's D=0.002-0.078, calculated from allozyme data) between all populations of both species were within the range commonly observed for conspecific populations of other butterflies. The most frequent mtDNA haplotype was present in individuals of both species in populations from southern California to Wisconsin. We conclude that speciation has probably happened recently and the lack of genetic differentiation between the species is the product of either (1) recent or ongoing gene flow at neutral loci, and/or (2) an insufficiency of time for lineage sorting. The evolution of male genital morphology, wing colour patterns and ecological characteristics has proceeded more rapidly than allozyme or mtDNA evolution.</t>
  </si>
  <si>
    <t>10.1046/j.1420-9101.1999.00111.x</t>
  </si>
  <si>
    <t>WOS:000082609500011</t>
  </si>
  <si>
    <t>Uy, JAC; Safran, RJ</t>
  </si>
  <si>
    <t>Uy, J. Albert C.; Safran, Rebecca J.</t>
  </si>
  <si>
    <t>Variation in the temporal and spatial use of signals and its implications for multimodal communication</t>
  </si>
  <si>
    <t>The use of signals across multiple sensory modalities in communication is common in animals and plants. Determining the information that each signal component conveys has provided unique insights into why multimodal signals evolve. However, how these complex signals are assessed by receivers will also influence their evolution, a hypothesis that has received less attention. Here, we explore multimodal signal assessment in a closely related complex of island flycatchers that have diverged in visual and acoustic signals. Using field experiments that manipulated song and plumage colour, we tested if song, a possible long-range signal, is assessed before plumage colour in conspecific recognition. We find that divergent song and colour are assessed in sequence, and this pattern of sequential assessment is likely mediated by habitat structure and the extent of differences in signal characteristics. A broad survey of the literature suggests that many organisms from a wide range of taxa sequentially assess multimodal signals, with long-range signals attracting conspecifics for further assessment of close-range signals. Our results highlight the need to consider how signals are assessed when understanding multimodal signal evolution. Finally, given the results of our field experiments indicating sequential assessment of divergent song and colour in the recognition of conspecifics, we discuss the consequences of multimodal signal divergence for the origin of species, as changes in signals across different sensory modalities may influence the evolution of premating reproductive isolation.</t>
  </si>
  <si>
    <t>10.1007/s00265-013-1492-y</t>
  </si>
  <si>
    <t>WOS:000323103400012</t>
  </si>
  <si>
    <t>MARSH, AC; RIBBINK, AJ; MARSH, BA</t>
  </si>
  <si>
    <t>SIBLING SPECIES COMPLEXES IN SYMPATRIC POPULATIONS OF PETROTILAPIA TREWAVAS (CICHLIDAE, LAKE MALAWI)</t>
  </si>
  <si>
    <t>The endemic Lake Malawi cichlid, P. tridentiger Trewavas, is a complex of sibling species. The various sympatric species show considerable homogeneity in body form and dentition but are separable on the basis of differences in adult coloration, size at maturity, depth distribution, size and degree of overlap of territories, aggression and courtship. Color is considered to be important for specific mate recognition in this genus. Examination of wild populations is a valuable, perhaps essential, adjunct to classical taxonomy when dealing with the systematics of sibling species in Lake Malawi.</t>
  </si>
  <si>
    <t>10.1111/j.1096-3642.1981.tb01132.x</t>
  </si>
  <si>
    <t>WOS:A1981LF81100001</t>
  </si>
  <si>
    <t>Uiblein, F; Hoang, TA; Alama, U; Causse, R; Chacate, OE; Fahmi; Garibay, S; Matiku, P</t>
  </si>
  <si>
    <t>Uiblein, Franz; Tuan Anh Hoang; Alama, Ulysses; Causse, Romain; Chacate, Osvaldo E.; Fahmi; Garibay, Soledad; Matiku, Patroba</t>
  </si>
  <si>
    <t>A new species and new records of goatfishes of the genus Parupeneus (Mullidae) from the Indian Ocean, with updated occurrence information for P-jansenii in the Western Pacific</t>
  </si>
  <si>
    <t>CYBIUM</t>
  </si>
  <si>
    <t>Goatfishes of the genus Parupeneus (Mullidae), from several areas and countries of the lndo-West Pacific, were studied, focusing on species characterized by a symmetrically rounded rear end of the maxilla, which belong to the so-called heptacanthus group. We examined 62 meristic and morphometric characters and colour patterns from 180 specimens from 11 Parupeneus species, using a comprehensive alpha-taxonomy approach. When possible, the data for species represented by wider size ranges were split into two size classes (small-sized fish, &lt; 110 mm SL, vs. large-sized fish &gt;= 110 mm SL) to account for allometric changes in body form. A new species, P. inayatae Uiblein &amp; Fahmi, is described, based on a specimen collected in SW Lombok, Indonesia, and new records for four species are reported from the Indian Ocean: Parupeneus fraserorum new for Mozambique, P. jansenii new for Myanmar and the NE Indian Ocean, P. nansen new for Tanzania, and P. procerigena new for the Nazareth Bank and Mauritus (Cargados Carajos Bank), Western Indian Ocean (WIO). The record of P. jansenii for Myanmar was compared in detail to 37 conspecific specimens from the entire distribution range (western Indonesia to Japan and Vietnam to NE Australia). The latter revealed two new Pacific records for the Central Philippines and for Shikoku Island, Japan (northernmost record of the species). For each of the eight heptacanthus-group species, diagnoses are provided along with remarks on intraspecific size- and/or population-related variation and/or other noteworthy observations. The new species can be distinguished from all other 32 congeners as follows: dorsal head margin in front of eyes concave shaped; posterior maxilla margin evenly, symmetrically rounded; body, head, and caudal peduncle moderately deep; pectoral and pelvic fins subequal in length; and caudal peduncle clearly deeper than 9.5 % SL; in life a dusky spot on lateral line below interdorsal space, followed posteriorly by a bright orange blotch. Detailed comparisons among all eight heptacanthus-group species and with three other similar and/or co-occurring congeners revealed considerable similarity between two species pairs, P. jansenii (Eastern Indian Ocean and Western Pacific) and P. nansen (WIO), and P. fraserorum and P. procerigena (both from the WIO). The need to further intensify taxonomic studies and accompanying fisheries-biology and ecological studies of goatfishes in the large realm of the Indo-West Pacific is emphasized.</t>
  </si>
  <si>
    <t>; Fahmi, Fahmi/C-6046-2017</t>
  </si>
  <si>
    <t>Uiblein, Franz/0000-0002-5642-0384; Fahmi, Fahmi/0000-0003-3199-7467</t>
  </si>
  <si>
    <t>0399-0974</t>
  </si>
  <si>
    <t>OCT 31</t>
  </si>
  <si>
    <t>WOS:000449238000002</t>
  </si>
  <si>
    <t>Loredo, AI; Wood, PL; Quah, ESH; Anuar, S; Greer, LF; Ahmad, N; Grismer, LL</t>
  </si>
  <si>
    <t>Loredo, Ariel I.; Wood, Perry L., Jr.; Quah, Evan S. H.; Anuar, Shahrul; Greer, Lee F.; Ahmad, Norhayati; Grismer, L. Lee</t>
  </si>
  <si>
    <t>Cryptic speciation within Asthenodipsas vertebralis (Boulenger, 1900) (Squamata: Pareatidae), the description of a new species from Peninsular Malaysia, and the resurrection of A. tropidonotus (Lidth de Jude, 1923) from Sumatra: an integrative taxonomic analysis</t>
  </si>
  <si>
    <t>A review of the taxonomic status of the Asian Slug Snake, Asthenodipsas vertebralis (Boulenger, 1900) based on an integrative taxonomic approach using molecular, morphological, color pattern, and ecological data indicate it is composed of three well supported monophyletic lineages: (1) Pulau Tioman and Fraser's Hill, Pahang and Bukit Larut, Perak; Peninsular Malaysia; (2) its sister lineage from Northern Sumatra; and (3) the remaining basal lineage from Peninsular Malaysia. Furthermore, we consider the high sequence divergence (6.3%-10.2%) between these lineages (especially in areas of sympatry) and discrete differences in their morphology, color pattern, and microhabitat preference as evidence they are not conspecific. As such, we resurrect the name A. tropidonotus (Lidth de Jeude, 1923) for the Sumatra populations, restrict the name A. vertebralis to the populations from Pulau Tioman, Genting Highlands, Fraser's Hill, Gunung Benom, and Bukit Larut that contain terrestrial, banded adults; and consider A. lasgalenensis sp. nov. to be restricted to the populations from Fraser's Hill, Cameron Highlands, and Bukit Larut that contain arboreal, unbanded adults.</t>
  </si>
  <si>
    <t>Quah, Evan/Z-4053-2019; SAH, SHAHRUL ANUAR MOHD/S-1244-2018; SAH, SHAHRUL ANUAR MOHD/B-9370-2011; Wood, Perry/ABA-3954-2020; Ahmad, Norhayati/Q-2806-2019</t>
  </si>
  <si>
    <t>Quah, Evan/0000-0002-5357-1953; SAH, SHAHRUL ANUAR MOHD/0000-0003-0648-7318; Wood, Perry/0000-0003-3767-5274; Ahmad, Norhayati/0000-0003-3215-2968</t>
  </si>
  <si>
    <t>MAY 28</t>
  </si>
  <si>
    <t>10.11646/zootaxa.3664.4.5</t>
  </si>
  <si>
    <t>WOS:000319727800005</t>
  </si>
  <si>
    <t>Sheehan, MJ; Tibbetts, EA</t>
  </si>
  <si>
    <t>Sheehan, Michael J.; Tibbetts, Elizabeth A.</t>
  </si>
  <si>
    <t>EVOLUTION OF IDENTITY SIGNALS: FREQUENCY-DEPENDENT BENEFITS OF DISTINCTIVE PHENOTYPES USED FOR INDIVIDUAL RECOGNITION</t>
  </si>
  <si>
    <t>Identifying broad-scale evolutionary processes that maintain phenotypic polymorphisms has been a major goal of modern evolutionary biology. There are numerous mechanisms, such as negative frequency-dependent selection, that may maintain polymorphisms, although it is unknown which mechanisms are prominent in nature. Traits used for individual recognition are strikingly variable and have evolved independently in numerous lineages, providing an excellent model to investigate which factors maintain ecologically relevant phenotypic polymorphisms. Theoretical models suggest that individuals may benefit by advertising their identities with distinctive, recognizable phenotypes. Here, we test the benefits of advertising one's identity with a distinctive phenotype. We manipulated the appearance of Polistes fuscatus paper wasp groups so that three individuals had the same appearance and one individual had a unique, easily recognizable appearance. We found that individuals with distinctive appearances received less aggression than individuals with nondistinctive appearances. Therefore, individuals benefit by advertising their identity with a unique phenotype. Our results provide a potential mechanism through which negative frequency-dependent selection may maintain the polymorphic identity signals in P. fuscatus. Given that recognition is important for many social interactions, selection for distinctive identity signals may be an underappreciated and widespread mechanism underlying the evolution of phenotypic polymorphisms in social taxa.</t>
  </si>
  <si>
    <t>Sheehan, Michael Robert/IQU-4449-2023; Sheehan, Michael J/F-5612-2012</t>
  </si>
  <si>
    <t>Sheehan, Michael/0000-0002-3949-7873; Tibbetts, Elizabeth/0000-0002-5625-892X</t>
  </si>
  <si>
    <t>10.1111/j.1558-5646.2009.00833.x</t>
  </si>
  <si>
    <t>WOS:000271973600007</t>
  </si>
  <si>
    <t>Cothran, RD; Stiff, AR; Chapman, K; Wellborn, GA; Relyea, RA</t>
  </si>
  <si>
    <t>Cothran, Rickey D.; Stiff, Andy R.; Chapman, Kristopher; Wellborn, Gary A.; Relyea, Rick A.</t>
  </si>
  <si>
    <t>Reproductive interference via interspecific pairing in an amphipod species complex</t>
  </si>
  <si>
    <t>Many species experience reproductive interference defined as interspecific mating interactions that reduce the fitness of individuals in at least one of the species. We examined reproductive interference among three cryptic amphipod species that co-occur in the vegetated zone of lakes. Because these animals form precopulatory pairs and males commonly have indiscriminant mating behavior, we predicted that (1) there would be interspecific pairing, (2) interspecific pairing would be more common when conspecifics were rare, and (3) interspecific pairing would be more common in species combinations where males are larger than females. Using color phenotypes to distinguish species, a novel discovery reported here, we conducted experiments to evaluate patterns of interspecific pairing. In a no-choice experiment (i.e., amphipods had access to mates of only one species), we observed a low rate (5 %) of interspecific pairing and 80 % of these cases involved males that were larger than females. In a second experiment where individuals had access to conspecific mates at varying relative abundance, only 0.04 % of the pairs observed were between heterospecifics, suggesting that the interspecific pairing observed in the no-choice experiment was an artifact of not having access to conspecific mates. Our results suggest that at least one sex has sufficient species-recognition abilities to circumvent the formation of interspecific pairs; therefore, reproductive interference may be minimal in these species.</t>
  </si>
  <si>
    <t>10.1007/s00265-013-1564-z</t>
  </si>
  <si>
    <t>WOS:000321964800016</t>
  </si>
  <si>
    <t>Romero, LM; Soma, KK; OReilly, KM; Suydam, R; Wingfield, JC</t>
  </si>
  <si>
    <t>Territorial behavior, hormonal changes, and body condition in an arctic-breeding song bird, the redpoll (Carduelis flammea)</t>
  </si>
  <si>
    <t>The redpoll is a small, wide-spread arctic-breeding song bird. Despite previous publications suggesting that breeding redpolls are not territorial, simulated intrusions (placing a decoy male near the nest) elicited aggressive territorial-like behavior from many male and female redpolls, and often simultaneous territorial responses from multiple males. Thus, even though redpolls are gregarious throughout the breeding season, they will respond vigorously to a territorial intrusion and may cooperate in territorial defense. In males, testosterone and luteinizing hormone (LH) levels peaked as they reached the breeding grounds and gradually decreased throughout the breeding season, consistent with hormonal patterns shown in males of other arctic-breeding passerines. Fat stores also decreased soon after arrival and recovered as males began feeding young. In females, neither testosterone nor estradiol were detectable, nor did LH titers vary, at any time during the season. Fat stores and body weight of both sexes gradually increased from 09:00 to 24:00 despite constant sunlight, whereas hormonal titers did not show this rhythm. Finally, a wide range of male plumage variations (red color of the throat and breast), possibly affecting mate choice, did not correlate with physiological measures such as testosterone and body condition.</t>
  </si>
  <si>
    <t>Soma, Kiran K/B-9772-2012</t>
  </si>
  <si>
    <t>Soma, Kiran K/0000-0003-2169-8092</t>
  </si>
  <si>
    <t>9-10</t>
  </si>
  <si>
    <t>10.1163/156853997X00043</t>
  </si>
  <si>
    <t>WOS:A1997XY18500004</t>
  </si>
  <si>
    <t>SUNDBERG, J</t>
  </si>
  <si>
    <t>FEMALE YELLOWHAMMERS (EMBERIZA-CITRINELLA) PREFER YELLOWER MALES - A LABORATORY EXPERIMENT</t>
  </si>
  <si>
    <t>The importance of male plumage coloration as a signal of male dominance and a cue for female choice in the monogamous yellowhammer, Emberiza citrinella, was tested in two sets of experiments in an indoor aviary. Dominance was tested by introducing two individuals, with no previous experience of each other, in an aviary with food and water. Aggression occurred more often between two males than between a male and a female and more frequently between pairs of males including at least one old male than between two young males. Dominance was not related to male colour in trials between males of the same age class, but it was in trials between an old and a young male, often differing in colour. Thus, age may be a more important determinant of dominance than colour. Female preference for more colourful males was tested by allowing hormone-induced females to choose between a more and a less colourful dummy male. Females spent more time in front of more colourful than drabber males and also more often perched beside colourful males than duller individuals. Although male colour cannot be ruled out as a dominance signal, the results suggest that male colour is primarily used as a signal in mate choice. Female choice may hence be responsible for maintenance of bright plumage in the male yellowhammer.</t>
  </si>
  <si>
    <t>10.1007/BF00177407</t>
  </si>
  <si>
    <t>WOS:A1995TC81600008</t>
  </si>
  <si>
    <t>Cleveland-Roberts, A; Itzkowitz, M</t>
  </si>
  <si>
    <t>Cleveland-Roberts, A.; Itzkowitz, M.</t>
  </si>
  <si>
    <t>The role of sex ratios and resource availability on the pre-mating behavior of a monogamous fish</t>
  </si>
  <si>
    <t>Convict cichlid fish (Archocentrus nigrofasciatus) are one of the few monogamous species where the female appears more colorful than the male. We examined whether this sexual dimorphism was reflected in a female-biased actual sex ratio (ASR) and whether convict cichlid females would exhibit behavioral traits typified in monogamous males when they possessed the extravagant colors and/or morphology. Our field observations revealed that females are marginally, but not significantly. more abundant than males but they did initiate more intersexual social interactions (i.e. approach behavior) than males. They also showed more intrasexual aggression. Furthermore, males more commonly chased females rather than vice versa. Our laboratory experiment also indicated that differences in intrasexual aggression were not related to differences in the ASR but did appear with the addition of a breeding site. Thus, while intrasexual competition was more frequently observed between females in the field it was probably related to the availability of breeding sites rather than our estimates of the ASR. (C) 2008 Published by Elsevier B.V.</t>
  </si>
  <si>
    <t>10.1016/j.beproc.2008.09.007</t>
  </si>
  <si>
    <t>WOS:000262546900008</t>
  </si>
  <si>
    <t>ALATALO, RV; GUSTAFSSON, L; LUNDBERG, A</t>
  </si>
  <si>
    <t>MALE COLORATION AND SPECIES RECOGNITION IN SYMPATRIC FLYCATCHERS</t>
  </si>
  <si>
    <t>Currently favoured views for explaining ornaments in males emphasize female preference such that females benefit from increased offspring production, good genes of the offspring, or the attractiveness of sons. Results from long-term studies in the pied flycatcher Ficedula hypoleuca suggest that factors associated with species recognition may also be important for male coloration. In sympatry the collared flycatcher F. albicollis is dominant in competition for nesting sites over the pied flycatcher. Bright pied flycatcher males resemble collared flycatcher males and suffer from interspecific interference, whereas dull. and female-like males can acquire nesting sites close to those of the collared flycatcher. (A similar aggression release mechanism had previously been suggested to influence the evolution of colour differences in coral reef fishes.) Additionally, the risk of hybridization was low for the dullest pied flycatcher males, resurrecting the idea that avoiding mating with wrong species might currently be under selection. Thus interspecific effects related to species recognition can probably explain the dull plumage colour of pied flycatcher males in sympatry. In allopatry, intraspecific sexual selection for bright coloration in males seems to be weak, and even a low level of gene flow between sympatric and allopatric populations may maintain the high variation in this highly heritable trait.</t>
  </si>
  <si>
    <t>Gustafsson, Lars/A-7634-2012; Gustafsson, Lars/O-8056-2019</t>
  </si>
  <si>
    <t>Gustafsson, Lars/0000-0001-6566-2863</t>
  </si>
  <si>
    <t>MAY 23</t>
  </si>
  <si>
    <t>10.1098/rspb.1994.0057</t>
  </si>
  <si>
    <t>WOS:A1994NN67200002</t>
  </si>
  <si>
    <t>Grismer, LL; Wood, PL; Anuar, S; Grismer, MS; Quah, ESH; Murdoch, ML; Muin, MA; Davis, HR; Aguilar, C; Klabacka, R; Cobos, AJ; Aowphol, A; Sites, JW</t>
  </si>
  <si>
    <t>Grismer, L. Lee; Wood, Perry L., Jr.; Anuar, Shahrul; Grismer, Marta S.; Quah, Evan S. H.; Murdoch, Matthew L.; Muin, Mohd Abdul; Davis, Hayden R.; Aguilar, Cesar; Klabacka, Randy; Cobos, Anthony J.; Aowphol, Anchalee; Sites, Jack W., Jr.</t>
  </si>
  <si>
    <t>Two new Bent-toed Geckos of the Cyrtodactylus pulchellus complex from Peninsular Malaysia and multiple instances of convergent adaptation to limestone forest ecosystems</t>
  </si>
  <si>
    <t>A new species of limestone cave-adapted gecko of the Cyrtodactylus pulchellus complex, C. hidupselamanya sp. nov., is described from an isolated karst formation at Felda Chiku 7, Kelantan, Peninsular Malaysia. This formation is scheduled to be completely quarried for its mineral content. From what we know about the life history of C. hidupselamanya sp. nov., this will result in its extinction. A new limestone forest-adapted species, C. lenggongensis sp. nov., from the Leng-gong Valley, Perak was previously considered to be conspecific with C. bintangrendah but a re-evaluation of morphological, color pattern, molecular, and habitat preference indicates that it too is a unique lineage worthy of specific recognition. Fortunately C. lenggongensis sp. nov. is not facing extinction because its habitat is protected by the UNESCO Archaeological Heritage of the Lenggong Valley due to the archaeological significance of that region. Both new species can be distinguished from all other species of Cyrtodactylus based on molecular evidence from the mitochondrial gene ND2 and its flanking tRNAs as well as having unique combinations of morphological and color pattern characteristics. Using a time-calibrated BEAST analysis we inferred that the evolution of a limestone habitat preference and its apparently attendant morphological and color pattern adaptations evolved independently at least four times in the C. pulchellus complex between 26.1 and 0.78 mya.</t>
  </si>
  <si>
    <t>Davis, Hayden/ABI-2672-2020; Wood, Perry/ABA-3954-2020; SAH, SHAHRUL ANUAR MOHD/S-1244-2018; aowphol, anchalee/AAE-9042-2019; Quah, Evan/Z-4053-2019; Akil, Mohd Abdul Muin Md./C-6886-2009; Aguilar, Cesar/Q-6148-2018</t>
  </si>
  <si>
    <t>Davis, Hayden/0000-0003-1401-1221; Wood, Perry/0000-0003-3767-5274; SAH, SHAHRUL ANUAR MOHD/0000-0003-0648-7318; Quah, Evan/0000-0002-5357-1953; Aguilar, Cesar/0000-0001-6372-7926; Aowphol, Anchalee/0000-0001-9504-4601</t>
  </si>
  <si>
    <t>APR 26</t>
  </si>
  <si>
    <t>10.11646/zootaxa.4105.5.1</t>
  </si>
  <si>
    <t>WOS:000375273900001</t>
  </si>
  <si>
    <t>DOLAN, PG; YATES, TL</t>
  </si>
  <si>
    <t>INTERSPECIFIC VARIATION IN APODEMUS FROM THE NORTHERN ADRIATIC ISLANDS OF YUGOSLAVIA</t>
  </si>
  <si>
    <t>ZEITSCHRIFT FUR SAUGETIERKUNDE-INTERNATIONAL JOURNAL OF MAMMALIAN BIOLOGY</t>
  </si>
  <si>
    <t>The systematic position of the endemic species A. krkensis from the island Krk in Croatia, Yugoslavia, is discussed. Museum specimens (332) of A. sylvaticus (wood mouse) and A. flavicollis (yellow-necked mouse) from 10 insular, coastal and inland localities in northwestern Yugoslavia were compared to 7 specimens of the nominal species A. krkensis collected in 1975 near the type locality of Baska on the island of Krk. Results of a multivariate analysis using 11 cranial characters showed A. sylvaticus could be distinguished with ease from A. flavicollis but that it was inseparable morphologically from A. krkensis. The only demonstrable difference between A. sylvaticus and A. krkensis was the gray pelage possessed by the latter. Microscopic examination of hairs from the dorsal pelage suggested that this variation in color centers around a reduction in pigment deposition and the number of melanosomes (pigment granules) synthesized by hairs of the underfur in A. krkensis. The paling effect is attributed to introduction of a mutant allele at the C (albino) locus) Inasmuch as additional collecting on northern Adriatic islands and the adjacent mainland has shown the gray form to be more widespread than previously thought, and because it occurs sympatrically with normally colored A. sylvaticus, there is no evidence that the 2 are reproductively isolated. A. krkensis is a color morph of, and conspecific with, A. sylvaticus.</t>
  </si>
  <si>
    <t>0044-3468</t>
  </si>
  <si>
    <t>WOS:A1981LX86400004</t>
  </si>
  <si>
    <t>FLOOD, NJ</t>
  </si>
  <si>
    <t>COLORATION IN NEW WORLD ORIOLES .1. TESTS OF PREDATION-RELATED HYPOTHESES</t>
  </si>
  <si>
    <t>Although sexual dichromatism in birds is usually ascribed to sexual selection, some workers argue that avian coloration is better explained by predation-related selection pressures. Supporting evidence for these latter hypotheses comes primarily from broad interspecific comparisons, which can be biased by a variety of factors. This study examines the predation-based hypotheses of Baker and Parker (1979), particularly the Predator Deflection Hypothesis, with reference to two closely-related oriole species: Icterus parisorum, which is dichromatic, and I. gularis, in which both sexes are brightly coloured. To test the prediction that bright coloration serves to divert the attention of predators away from cryptic young, rates of predation on nests of conspicuous (2 years of age or older) and dull-coloured (first-year) I. parisorum males were compared. The results showed equal predation on the young of males in both age/plumage classes. The Predator Deflection Hypothesis also predicts that, once a predator has been detected, brightly-coloured birds should attempt to distract it, whereas cryptic individuals should not. Tests using models of avian predators showed that this was not the case: cryptic I. parisorum females responded as aggressively toward the model as did conspicuous conspecific males. The same was true for I. gularis. Overall, the results did not support the idea that bright coloration has evolved in response to predation pressure in these species.</t>
  </si>
  <si>
    <t>10.1007/BF00299710</t>
  </si>
  <si>
    <t>WOS:A1989AJ00400006</t>
  </si>
  <si>
    <t>Craig, RJ</t>
  </si>
  <si>
    <t>Aspects of flocking behavior in an endemic Pacific island white-eye</t>
  </si>
  <si>
    <t>The Bridled White-eve is a little known species endemic to the Mariana Islands in die tropical Pacific. Based on observations of social behavior and on movements of color-banded individuals, I evaluated which of four flocking strategies the Bridled White-eye appeared to use: (1) group territoriality, (2) permanent membership flocks. (3) site-dependent flocks, and (4) temporary flocks. Banded birds declined in frequency of occurrence from a single banding site and exhibited no clear defense of territorial boundaries. Many banded birds remained in the study area for up to 14.5 mo. Small groups of at least three birds were family groups, although larger groups of ca. 50 birds also foraged together and then dispersed into smaller flocks. Plotted resightings of individual banded birds suggested that home ranges of individuals were overlapping. These observations led to the conclusion that the Bridled White-eye exhibited flocking characteristics intermediate between permanent membership and site-dependent flocks.</t>
  </si>
  <si>
    <t>WIN</t>
  </si>
  <si>
    <t>10.1648/0273-8570-73.1.70</t>
  </si>
  <si>
    <t>WOS:000174001500012</t>
  </si>
  <si>
    <t>Siefferman, L; Navara, KJ; Hill, GE</t>
  </si>
  <si>
    <t>Egg coloration is correlated with female condition in eastern bluebirds (Sialia sialis)</t>
  </si>
  <si>
    <t>Egg coloration has been hypothesized to reflect female condition. Because of the proposed physiological costs associated with deposition of biliverdin pigments and because of their conspicuousness, eggs with blue-green coloration may reliably convey information about female or brood quality. We tested the hypothesis that expression of blue-green coloration of eastern bluebird (Sialia sialis) eggs positively correlates to female condition. First, we documented the incidence of egg color polymorphism within the population. We observed that 98% of females laid blue-green eggs while less than 2% laid white eggs and less than 1% laid pink eggs. In a subset of clutches, we used full spectrum reflectance spectrometry (300-700 nm) to compare eggshell coloration to measures of female condition. We found that the color of eggs within clutches was more similar than the color of eggs from different clutches, and that the blue-green eggs have spectral peaks that are consistent with the characteristic absorbance spectra of biliverdin pigmentation. Females in better body condition and older females laid more colorful eggs. Moreover, individual females laid more colorful eggs later in the laying sequence. Overall, these data indicate that egg coloration covaries with female condition, suggesting that egg coloration could function as a reliable signal of female quality or that egg coloration may allow females to recognize eggs laid by conspecific brood parasites.</t>
  </si>
  <si>
    <t>Hill, Geoffrey Edward/R-7354-2019</t>
  </si>
  <si>
    <t>Hill, Geoffrey Edward/0000-0001-8864-6495; Siefferman, Lynn/0000-0002-9600-2902</t>
  </si>
  <si>
    <t>10.1007/s00265-005-0092-x</t>
  </si>
  <si>
    <t>WOS:000235219700008</t>
  </si>
  <si>
    <t>Minton, RL; Gundersen, RW</t>
  </si>
  <si>
    <t>Puperita tristis (d'Orbigny, 1842) (Gastropoda: Neritidae) is an ecotype of Puperita pupa (Linnaeus, 1767)</t>
  </si>
  <si>
    <t>AMERICAN MALACOLOGICAL BULLETIN</t>
  </si>
  <si>
    <t>Puperita pupa and P. tristis occur sympatrically in the West Indies. In his 1941 review of western Atlantic Neritidae, Russell kept the two species separate based on shell color differences: P. pupa is characterized by a white shell with black lines, P. tristis by a black shell with small white spots. Russell also included radula differences, but noted that both species exhibit plasticity for both characters. Authors have suggested that P. tristis is a variety or color form of P. pupa. We tested the relationship of P. pupa and P. tristis through examinations of shell and radular characters, reciprocal translocations, and random amplified polymorphic DNA (RAPD). P. pupa and P. tristis do not differ significantly in shell shape and proportion, as measured by principal component analysis. Translocations showed that the pupa and tristis phenotypes could be expressed by either nominal species. No radular differences were seen between the two putative species. Statistical analysis of RAPD band sharing indicated that interspecific variation did not differ significantly from intraspecific variation, and that Puperita is separate from Neritina. Considering our findings, we believe P. pupa and P. tristis to be conspecific, with P. tristis an ecotype of P. pupa. Shell color pattern appears to be responding to environmental conditions. An unusual feature of this plasticity is the sudden and dramatic change in shell phenotypes in response to a change in habitat.</t>
  </si>
  <si>
    <t>0740-2783</t>
  </si>
  <si>
    <t>2162-2698</t>
  </si>
  <si>
    <t>WOS:000180542900002</t>
  </si>
  <si>
    <t>Mougeot, F; Arroyo, BE; Bretagnolle, V</t>
  </si>
  <si>
    <t>Paternity assurance responses to first-year and adult male territorial intrusions in a courtship-feeding raptor</t>
  </si>
  <si>
    <t>Extrapair paternity occurs in many bird species and males use mate guarding, aggression or frequent copulations to reduce the risk of losing paternity. Because paternity assurance behaviour is likely to be costly, it should be adjusted to varying levels of perceived risk. We evaluated experimentally the adjustment of paternity assurance behaviour to risk in a raptor in which courtship feeding occurs: the Montagu's harrier, Circus pygargus. We used decoys with or without prey to simulate territorial intrusions by adult or first-year males. Inexperienced first-year males should represent a lesser risk than adult males and decoys with prey should represent a greater risk than those without prey, because courtship food could be traded for extrapair copulations. Aggression was less intense towards first-year than adult males during the female's fertile period. However, when decoys were presented with prey, aggression was similar towards first-years and adults. Males increased their short-term copulation rate in response to male decoys, particularly those presented with prey. Males also increased copulation duration, but only in response to adult male decoys. Our results show that male Montagu's harriers can fine-tune their paternity assurance behaviour to varying levels of risk, in this case the type of territorial intrusion. We also discuss the implications of our findings for the adaptive significance of delayed maturation in plumage colour in this species. (c) 2005 The Association for the Study of Animal Behaviour. Published by Elsevier Ltd. All rights reserved.</t>
  </si>
  <si>
    <t>Mougeot, Francois/B-1894-2009; arroyo, beatriz/KBB-3063-2024; Arroyo, Beatriz/A-3504-2013; Mougeot, Francois/Y-9569-2019</t>
  </si>
  <si>
    <t>Mougeot, Francois/0000-0002-5819-6275; Arroyo, Beatriz/0000-0002-4657-6609; Mougeot, Francois/0000-0002-5819-6275</t>
  </si>
  <si>
    <t>10.1016/j.anbehav.2005.03.036</t>
  </si>
  <si>
    <t>WOS:000234764500010</t>
  </si>
  <si>
    <t>Beltrao, P; Silva, PA; Soares, MC; Cardoso, GC; Trigo, S</t>
  </si>
  <si>
    <t>Beltrao, Patricia; Silva, Paulo A.; Soares, Marta C.; Cardoso, Goncalo C.; Trigo, Sandra</t>
  </si>
  <si>
    <t>Testosterone treatment produces sex-dependent effects in social dominance</t>
  </si>
  <si>
    <t>Dominance hierarchies reduce the costs of competitive aggression in social animals, and testosterone is a proposed mediator of aggressive behaviour and social dominance. While the effects of testosterone on male behaviour are well studied, effects on female aggression and dominance within mixed-sex groups are less clear. We tested how short-term testosterone treatment influences aggressive behaviour and dominance hierarchies in the common waxbill, Estrilda astrild, a bird with mild social hierarchies. In captive mixed-sex groups, we administered intramuscular testosterone to either males or females and, using a test of competition for food, compared aggressive behaviour and social dominance to those of a control treatment (saline) with no testosterone administered. Testosterone treatment to males increased their social dominance, without increasing aggression. We observed a decrease in female aggression towards treated males, suggesting that females were reacting to subtle cues of male dominance (e.g. vocal cues). In contrast, female treatment with testosterone did not increase their dominance, which could either be due to a lack of effect on females, or because males reacted to and opposed cues of female dominance. Together, our results indicate a sex-dependent role of testosterone on social hierarchies. (c) 2021 The Association for the Study of Animal Behaviour. Published by Elsevier Ltd. All rights reserved.</t>
  </si>
  <si>
    <t>Soares, Marta/GSM-7143-2022; Soares, Marta/HJH-3434-2023; Trigo, Sandra/I-8160-2014; Cardoso, Goncalo/A-1290-2007</t>
  </si>
  <si>
    <t>Soares, Marta/0000-0002-5213-2377; Trigo, Sandra/0000-0002-9938-6606; Beltrao, Patricia/0000-0002-5987-4672; Cardoso, Goncalo/0000-0001-6258-1881</t>
  </si>
  <si>
    <t>10.1016/j.anbehav.2021.07.016</t>
  </si>
  <si>
    <t>WOS:000693411000026</t>
  </si>
  <si>
    <t>Cooper, EA; Uy, JAC</t>
  </si>
  <si>
    <t>Cooper, Elizabeth A.; Uy, J. Albert C.</t>
  </si>
  <si>
    <t>Genomic evidence for convergent evolution of a key trait underlying divergence in island birds</t>
  </si>
  <si>
    <t>Reproductive isolation can be initiated by changes in one or a few key traits that prevent random mating among individuals in a population. During the early stages of speciation, when isolation is often incomplete, there will be a heterogeneous pattern of differentiation across regions of the genome between diverging populations, with loci controlling these key traits appearing the most distinct as a result of strong diversifying selection. In this study, we used Illumina-sequenced ddRAD tags to identify genomewide patterns of differentiation in three recently diverged island populations of the Monarcha castaneiventris flycatcher of the Solomon Islands. Populations of this species have diverged in plumage colour, and these differences in plumage colour, in turn, are used in conspecific recognition and likely important in reproductive isolation. Previous candidate gene sequencing identified point mutations in MC1R and ASIP, both known pigmentation genes, to be associated with the difference in plumage colour between islands. Here, we show that background levels of genomic differentiation based on over 70,000 SNPs are extremely low between populations of distinct plumage colour, with no loci reaching the level of differentiation found in either candidate gene. Further, we found that a phylogenetic analysis based on these SNPs produced a taxonomy wherein the two melanic populations appear to have evolved convergently, rather than from a single common ancestor, in contrast to their original classification as a single subspecies. Finally, we found evidence that the pattern of low genomic differentiation is the result of both incomplete lineage sorting and gene flow between populations.</t>
  </si>
  <si>
    <t>10.1111/mec.14116</t>
  </si>
  <si>
    <t>WOS:000404618000015</t>
  </si>
  <si>
    <t>FALNIOWSKI, A; KOZIK, A; SZAROWSKA, M; RAPALAKOZIK, M; TURYNA, I</t>
  </si>
  <si>
    <t>MORPHOLOGICAL AND ALLOZYMIC POLYMORPHISM AND DIFFERENCES AMONG LOCAL-POPULATIONS IN BRADYBAENA-FRUTICUM (MULLER,O.F., 1777) (GASTROPODA, STYLOMMATOPHORA, HELOCOIDEA)</t>
  </si>
  <si>
    <t>MALACOLOGIA</t>
  </si>
  <si>
    <t>Morphological variation (shell colour and banding, mantle pigmentation, colour and pigmentation of reproductive organs, external form of the mucous gland) and allozymic polymorphism at 13 loci (by means of vertical slab polyacrylamide gel electrophoresis) were studied in Bradybaena fruticum (O. F. Muller, 1777) from 11 localities in southern Poland and Slovakia. Descriptions and illustrations of variation in all the morphological characters, and frequencies at every locality are given. Of the 13 loci studied, six were polymorphic. The proportion of polymorphic loci (15.5-46.1%, mean 36%) was relatively low for a morphologically polymorphic species. Heterozygote frequencies were as expected from Hardy-Weinberg equilibrium, with the exception of the CAP(1) locus, at which a significant heterozygote excess was found. The values of Nei's distances between populations (0.017-0.282) were relatively high for geographically close conspecific populations, and often a higher Value of genetic distance did not correspond with a greater geographic distance. For morphological characters and for allozyme frequencies (directly and after computing Cavalli-Sforza and Edwards's are distances) similarity trees were computed for all populations by means of the maximum likelihood and additive tree techniques.</t>
  </si>
  <si>
    <t>0076-2997</t>
  </si>
  <si>
    <t>WOS:A1993MK18700007</t>
  </si>
  <si>
    <t>Kabir, MS; Radhika, V; Thaker, M</t>
  </si>
  <si>
    <t>Kabir, Md Shakilur; Radhika, Venkatesan; Thaker, Maria</t>
  </si>
  <si>
    <t>Mismatch in receiver responses to multimodal signals in a diurnal gecko</t>
  </si>
  <si>
    <t>Multimodal signals are used by many animals for intraspecific communication and can provide information about sex identity as well as quality of the signaller. In diurnal geckos of the genus Cnemaspis, chromatic colour patches in males evolved after chemical secretions, providing us with an opportunity to examine the utility of evolving multimodality. We quantified signal components and receiver responses in Cnemaspis mysoriensis to determine the relative importance of chemical and visual traits for intraspecific communication. Digital imagery and spectrophotometry of lizards revealed the presence of two distinct male morphs (yellow-gular and white-gular) and one female form (white-gular). All males, but no females, had yellow eye rims. Characterization of chemical secretions from the ventral precloacal and femoral glands of all lizard forms revealed no differences between male morphs. However, all males differed from females in a few key compounds. We then exposed lizards to only chemical stimuli, only visual stimuli, or both chemical and visual stimuli of conspecific males and females. We found that females were responsive to the chemical stimuli alone as well as the multimodal stimuli of males, whereas males were only responsive to the multimodal stimuli of other males. Neither chemical or visual components of females elicited a response from conspecifics. Thus, while the chemical secretions of males are sufficient for females to elicit a response, multimodal stimuli are necessary for males to respond. Based on variation in signalling traits and receiver responses, we conclude that: (1) chemical secretions signal both sex identity and male quality; (2) eye rim colour encodes information about sex identity; and (3) gular colour in males is probably not a redundant trait, providing some information to males, but not females. We conclude that the secondary evolution of visual signals in C. mysoriensis therefore enhances male-male social interactions and not communication in general. (C) 2018 The Association for the Study of Animal Behaviour. Published by Elsevier Ltd. All rights reserved.</t>
  </si>
  <si>
    <t>10.1016/j.anbehav.2018.11.011</t>
  </si>
  <si>
    <t>WOS:000455323900014</t>
  </si>
  <si>
    <t>Martín-Vega, D</t>
  </si>
  <si>
    <t>Martin-Vega, Daniel</t>
  </si>
  <si>
    <t>On the identity of Prochyliza nigrimana (Meigen) and Prochyliza nigricornis (Meigen) (Diptera: Piophilidae), with a synopsis of Prochyliza Walker and description of a new species</t>
  </si>
  <si>
    <t>With representatives distributed throughout the Holarctic and Neotropical regions, the genus Prochyliza Walker (Diptera: Piophilidae) is known from eight species. There has been, however, considerable controversy over the identity of two of them: the common, synanthropic species Prochyliza nigrimana (Meigen), and the rarely collected Prochyliza nigricornis (Meigen). The described differences between both species were only based on body colouration but, since a wide colour variation has been documented among P. nigrimana individuals, several authors had suggested that both taxa might be just extreme colour variants of the same species. Recent collections from central Spain showed that the colouration characters described for P. nigricornis certainly apply to dark P. nigrimana individuals, but also to other Prochyliza specimens showing distinct morphological characters and genitalia. In order to solve this controversy, the holotypes of both P. nigrimana and P. nigricornis were studied, concluding that both specimens are conspecific and instating P. nigricornis as a subjective junior synonym (syn. nov.). A new species, Prochyliza georgekaplani sp. nov., is described from specimens collected in central Spain. A synopsis and an updated identification key to the known species of the genus Prochyliza are also provided.</t>
  </si>
  <si>
    <t>Martín-Vega, Daniel/A-8365-2017</t>
  </si>
  <si>
    <t>Martín-Vega, Daniel/0000-0002-5626-5441</t>
  </si>
  <si>
    <t>DEC 8</t>
  </si>
  <si>
    <t>10.11646/zootaxa.3893.2.7</t>
  </si>
  <si>
    <t>WOS:000346874900007</t>
  </si>
  <si>
    <t>Young, CM; Cain, KE; Svedin, N; Backwell, PRY; Pryke, SR</t>
  </si>
  <si>
    <t>Young, Catherine Mary; Cain, Kristal Elaine; Svedin, Nina; Backwell, Patricia Ruth Yvonne; Pryke, Sarah Rosalind</t>
  </si>
  <si>
    <t>The role of pigment based plumage traits in resolving conflicts</t>
  </si>
  <si>
    <t>The role of melanin badges of status', in male-male competition has been well-studied, in contrast, carotenoid based plumage has largely been examined in the context of female mate choice. Recent work has shown that carotenoid signals can also function in male-male competition, although the functions of the two types of signals is currently unclear. Here, we examine the relationships between colouration, dominance and aggression in the crimson finch Neochmia phaeton, a species where males have both conspicuous red carotenoid plumage and a black melanin patch. We examined the importance of carotenoid and melanin based signals in three contexts: 1) among free-living birds interacting at a feeding station: we found that neither colour signal influenced the outcome of interactions; 2) in staged dyadic contest in captivity: we found that coloration from carotenoid pigments was positively related to the probability of winning a contest, while the size of the melanin plumage patch was not related to winning; and 3) in staged dyadic contests where male plumage colour had been masked: we found that the number of interactions required to determine dominance increased. While the underlying natural plumage colour was still important in these contests, birds with more intense carotenoid colouration were now more likely to lose. These results confirm carotenoid-based signalling in male-male contests. However this signal is used in conjunction with other factors such as self-assessment and body condition. Contrary to traditional expectations, the black melanin patch was not found to be important in this context.</t>
  </si>
  <si>
    <t>Cain, Kristal/0000-0002-6908-7015</t>
  </si>
  <si>
    <t>10.1111/jav.00742</t>
  </si>
  <si>
    <t>WOS:000373014800005</t>
  </si>
  <si>
    <t>JOHNSON, C</t>
  </si>
  <si>
    <t>EVOLUTION OF TERRITORIALITY IN ODONATA</t>
  </si>
  <si>
    <t>The evolutionary sequence of odonate territoriality may have been as follows: 1. Frequent and violent approach flights motivated by the sex drive toward other similar dragon-flies irrespective of species or sex, producing many non-productive mating efforts. 2. An increase in approach flights toward females of the proper species through development of sexually dimorphic color patterns and flight styles. 3. An increase in aggressiveness among numerous correctly oriented males converging on each conspecific female, with consequent disturbance of breeding behavior, and need for reduced interference to mating. 4. Intermale aggressive behavior maintained regardless of the female''s presence with resulting spacing of males. Such behavior is expressed on sites which coincide with habitat selection of the female for oviposition and results in a defended area of reduced interference to mating and oviposition.</t>
  </si>
  <si>
    <t>10.2307/2406422</t>
  </si>
  <si>
    <t>WOS:A1964AV73200005</t>
  </si>
  <si>
    <t>Levin, BA; Golubtsov, AS</t>
  </si>
  <si>
    <t>Levin, Boris A.; Golubtsov, Alexander S.</t>
  </si>
  <si>
    <t>New insights into the molecular phylogeny and taxonomy of mormyrids (Osteoglossiformes, Actinopterygii) in northern East Africa</t>
  </si>
  <si>
    <t>Based on morphological data and analysis of mitochondrial cytochrome b gene and nuclear (S7 intron 1) DNA sequences, the phylogenetic relationships of all Pollimyrus species known from the Omo-Turkana enclosed basin and Nile system below the Murchison Falls were solved. A mormyrid Pollimyrus petherici is distantly related to all other studied Pollimyrus species and clusters together with Cyphomyrus species forming with the later a monophyletic group. Moreover, the West African (but not the Congo River) populations of Cyphomyrus psittacus, the type species of the genus, seem to be conspecific to C.petherici. That is, the range of the genus Cyphomyrus is extended toward the Nile and Omo-Turkana basins. This genus belongs to the large clade widely distributed in sub-Saharian Africa and characterized by the presence of a chin appendage. Significance of this character for mormyrid phylogeny is discussed. Two distinct lineages of Pollimyrus occurring sympatrically in the White Nile tributaries and previously reported as the light and dark forms of Pollimyrus isidori together with five other congeneric species studied form a monophyletic group. The light form apparently represents P.isidori distributed in the Nile system downstream of the Murchison Falls and West Africa; the dark-colored form (designated as Pollimyrus D) represents a distinct phylogenetic lineage inhabiting both the Omo-Turkana and the White Nile basin. Morphological and ecological data suggest that this form may be conspecific to East African Pollimyrus nigricans or most probably represents a new species.</t>
  </si>
  <si>
    <t>Levin, Boris/IVU-7907-2023; Golubtsov, Alexander/K-8612-2018</t>
  </si>
  <si>
    <t>Levin, Boris/0000-0002-4044-2036; Golubtsov, Alexander/0000-0002-8317-7527</t>
  </si>
  <si>
    <t>1439-0469</t>
  </si>
  <si>
    <t>10.1111/jzs.12186</t>
  </si>
  <si>
    <t>WOS:000419657600005</t>
  </si>
  <si>
    <t>Stauffer, JR; McKaye, KR; Konings, AF</t>
  </si>
  <si>
    <t>Stauffer, Jay R., Jr.; McKaye, Kenneth R.; Konings, Ad F.</t>
  </si>
  <si>
    <t>Behaviour: an important diagnostic tool for Lake Malawi cichlids</t>
  </si>
  <si>
    <t>FISH AND FISHERIES</t>
  </si>
  <si>
    <t>Historically, the cichlid fishes of Lake Malawi, which probably represent one of the best examples of rapid radiation of vertebrates, have been diagnosed with morphological and genetic data. Many of the populations once thought to be conspecific have been hypothesized to be separate species based on behavioural data. The use of behavioural data, as expressed in mate choice based on colour patterns or bower shapes, has been successfully used to diagnose both rock-dwelling and sand-dwelling cichlid species. Additionally, a combination of bower shapes and courtship patterns have been used as synapomorphies to diagnose genera within the Lake Malawi cichlid flock. It is concluded that taxonomists need to include behavioural data with morphological and genetic databases to diagnose species and to determine the phylogenetic relationships within this diverse assemblage of fishes.</t>
  </si>
  <si>
    <t>1467-2960</t>
  </si>
  <si>
    <t>1467-2979</t>
  </si>
  <si>
    <t>10.1046/j.1467-2979.2002.00088.x</t>
  </si>
  <si>
    <t>WOS:000208993800007</t>
  </si>
  <si>
    <t>Euler, F; Sterzer, P; Stadler, C</t>
  </si>
  <si>
    <t>Euler, Felix; Sterzer, Philipp; Stadler, Christina</t>
  </si>
  <si>
    <t>Cognitive Control Under Distressing Emotional Stimulation in Adolescents with Conduct Disorder</t>
  </si>
  <si>
    <t>Aggressive behavior has been linked to deficient processing of emotional stimulation and recent studies indicate that in aggressive juveniles executive functions are impaired when distressing emotional stimulation is being processed. This study examines the interrelation of distressing emotional stimulation and cognitive control in aggressive adolescents and healthy controls. We combined a color-word Stroop test with pictures from the International Affective Picture System with either neutral or distressing emotional content to assess Stroop interference under neutral and distressing emotional stimulation in 20 male reactive aggressive patients with conduct disorder (CD) and 20 age-matched male control participants. We found impaired Stroop performance under distressing emotional stimulation in patients compared to healthy controls. No difference was present under neutral emotional stimulation. Our results indicate that cognitive control under distressing emotional stimulation was affected in adolescents with CD but not in healthy controls. We conclude that executive functions in reactive aggressive CD patients are more susceptible to the deleterious effects of distressing emotional stimulation. The results provide a possible explanation for pathologic impulsive-aggressive behavior under emotional distress in CD patients. Aggr. Behav. 40:109-119, 2014. (c) 2013 Wiley Periodicals, Inc.</t>
  </si>
  <si>
    <t>Stadler, Christina/H-3971-2014</t>
  </si>
  <si>
    <t>Stadler, Christina/0000-0003-2178-0635; Sterzer, Philipp/0000-0003-4687-2317</t>
  </si>
  <si>
    <t>10.1002/ab.21508</t>
  </si>
  <si>
    <t>WOS:000331255700002</t>
  </si>
  <si>
    <t>Truskanov, N; Shy, R; Lotem, A</t>
  </si>
  <si>
    <t>Truskanov, Noa; Shy, Rimon; Lotem, Arnon</t>
  </si>
  <si>
    <t>Context-specific learning and its implications for social learning</t>
  </si>
  <si>
    <t>Social learning is widespread but the causes for variation in the use of social versus private information are not always clear. Alongside adaptive explanations, suggesting that animals learn socially only when it is indeed adaptive to do so, it is also possible that the use of social learning is limited by mechanistic constraints. A common, but frequently overlooked challenge for social learning mechanisms is the need to allow learners to solve a problem through watching it being solved by others. This requires animals to be able to shift between contexts: from the context of the observed solution, to the context of the unsolved problem. For instance, for the social learning of cues associated with hidden food, an individual that merely sees a conspecific exploiting the food must, in the later absence of demonstrators or visible rewards, also learn to explore the cue for itself. Here, we show that this shift in context can indeed be difficult. In 2 experiments involving sand colors, house sparrows trained with hidden seeds learned to search for hidden seeds (based on food-color association) better than sparrows trained with exposed seeds. However, the latter showed color preference when tested with seeds exposed on both sand colors. These results demonstrate that context-specific learning makes it difficult to generalize reward-cue association from exposed to hidden conditions, which may explain why social learning is often more effective when it is based on socially facilitated active search (for hidden food), similar to that used in the context of independent foraging.</t>
  </si>
  <si>
    <t>10.1093/beheco/ary078</t>
  </si>
  <si>
    <t>WOS:000444301900012</t>
  </si>
  <si>
    <t>KATANO, O</t>
  </si>
  <si>
    <t>SEASONAL, SEXUAL AND INDIVIDUAL VARIATIONS IN GONAD WEIGHT AND SECONDARY SEXUAL CHARACTERS OF THE DARK CHUB, ZACCO-TEMMINCKI</t>
  </si>
  <si>
    <t>The relationships among body length, gonad and body weights and secondary sexual characters of the dark chub, Zacco temmincki, were analyzed with reference to their variations. Both condition factor and gonosomatic index (GSI) greatly increased in the pre-mating season. Body size was positively correlated with GSI value for females, except in post-spawning periods, but negatively correlated or uncorrelated for males. Individual variation (CV) of both condition factor and GSI value also increased in the pre-mating and mating seasons. Breeding color and pearl organs on the head developed in both sexes all the year round, and most conspicuously in males in the mating season. Pearl organs on the analfin only developed in males in the mating season. The development of these secondary sexual characters neither necessarily indicated sexual maturation nor a high potential for reproduction, but was greatly associated with large body size. Breeding color was believed to function as a signal showing the development of pearl organs and body size, pearl organs on the head as a weapon in conspecific aggressive encounters and pearl organs on the anal fin as a tool for burying eggs in spawning behavior.</t>
  </si>
  <si>
    <t>WOS:A1990EP23300007</t>
  </si>
  <si>
    <t>ARON, S; SOLECAVA, A</t>
  </si>
  <si>
    <t>GENETIC EVALUATION OF THE TAXONOMIC STATUS OF 2 VARIETIES OF THE COSMOPOLITAN ASCIDIAN BOTRYLLUS-NIGER (ASCIDIACEA, BOTRYLLIDAE)</t>
  </si>
  <si>
    <t>BIOCHEMICAL SYSTEMATICS AND ECOLOGY</t>
  </si>
  <si>
    <t>Populations of two varieties of Botryllus niger from three points along the southeastern coast of Brazil were compared genetically, in order to evaluate their taxonomic status. Variety giganteum, (two colour morphs, orange and grey) and var. niger were analysed for 25 enzyme systems by starch gel electrophoresis, of which nine gave reproducible results. The levels of gene variation observed were high in all populations of var. niger analysed (H = 0.239), but only moderate (H = 0.112) in the populations of var. giganteum. This may reflect observed differences in the population sizes of the two varieties. The gene identity obtained for pairwise comparisons between populations or colour morphs of the same variety was at the lower end of the range normally associated with conspecific populations (I = 0.76-0.98). In contrast, a high level of gene differentiation was observed between the two varieties (I = 0.404), with five out of 12 loci being diagnostic of each one. Since the two supposed varieties live sympatrically, this indicates that they are reproductively isolated, and therefore deserve specific status. The varietal names are thus raised here to specific level, as Botryllus niger and Botryllus giganteum.</t>
  </si>
  <si>
    <t>Sole-Cava, Antonio/G-4209-2011</t>
  </si>
  <si>
    <t>Sole-Cava, Antonio/0000-0003-0363-5821</t>
  </si>
  <si>
    <t>0305-1978</t>
  </si>
  <si>
    <t>10.1016/0305-1978(91)90014-Q</t>
  </si>
  <si>
    <t>WOS:A1991HA68300002</t>
  </si>
  <si>
    <t>JOHNSON, MS; CUMMING, RL</t>
  </si>
  <si>
    <t>GENETIC DISTINCTNESS OF 3 WIDESPREAD AND MORPHOLOGICALLY VARIABLE SPECIES OF DRUPELLA (GASTROPODA, MURICIDAE)</t>
  </si>
  <si>
    <t>Corallivorous gastropods of the genus Drupella have caused considerable damage to corals at widely separated reefs in the Indo-Pacific. Morphological variability of Drupella species within and between areas has caused taxonomic confusion. To clarify the relationships, we examined allozyme variation at 16 gene loci in samples from Western Australia, Queensland and Japan. Within sites, the species D. cornus, D. rugosa and D. fragum were distinguishable individually by each of 9 to 11 loci, with average genetic identities of about 0.25. The differences extended across sites, whereas the conspecific genetic identities over distances up to 6000 km were 0.86 to 1.00, supporting the view that there are three widespread species of Drupella. Nevertheless, there is much variation within species for allozymes, size, shape and colour.</t>
  </si>
  <si>
    <t>Johnson, Michael S/F-3262-2013</t>
  </si>
  <si>
    <t>10.1007/BF00303426</t>
  </si>
  <si>
    <t>WOS:A1995RD44200003</t>
  </si>
  <si>
    <t>Spatial and behavioural measures of social discrimination by captive male zebra finches: Implications of sexual and species differences for recognition research</t>
  </si>
  <si>
    <t>All bird species reproduce sexually and individuals need to correctly identify conspecifics for successful breeding. Captive zebra finches are a model system for studying the factors involved in species recognition and mate choice. However, male zebra finches' behavioural responses in a spatial preference paradigm to a range of estrildid finch species, other than domesticated Bengalese finches, remain unknown. We investigated spatial and display responses of male zebra finch subjects to stimulus females between conspecific and four phylogeographically relevant finch species. in addition to female Bengalese finches. Surprisingly. male subjects did not show consistent spatial association with conspecific over heterospecific females. Overall, as predicted by sexual selection theory, the spatial proximity responses of males were less discriminatory compared to female zebra finches' responses tested previously using the same paradigm. However, male subjects showed consistently more behavioural displays towards female conspecifics than heterospecifics which were positively related to the behavioural display rates of the respective female stimuli. Some male behavioural responses, other than song, also showed significant differences between the different stimulus species and consistently differed across individual test subjects, with the most individual subject variation seen in choice trials between female conspecific and Bengalese finch stimuli. The results are important for the design and interpretation of future behavioural and neurobiological experiments on species recognition systems using the zebra finch as a model species. (C) 2008 Elsevier B.V. All rights reserved.</t>
  </si>
  <si>
    <t>10.1016/j.beproc.2008.10.007</t>
  </si>
  <si>
    <t>WOS:000262546900014</t>
  </si>
  <si>
    <t>Stöhr, S; Weber, AAT; Boissin, E; Chenuil, A</t>
  </si>
  <si>
    <t>Stohr, Sabine; Weber, Alexandra Anh-Thu; Boissin, Emilie; Chenuil, Anne</t>
  </si>
  <si>
    <t>Resolving the Ophioderma longicauda (Echinodermata: Ophiuroidea) cryptic species complex: five sisters, three of them new</t>
  </si>
  <si>
    <t>EUROPEAN JOURNAL OF TAXONOMY</t>
  </si>
  <si>
    <t>The conspicuous Mediterranean brittle star Ophioderma longicauda (Bruzelius, 1805) has been discovered to represent a cryptic species complex, consisting of six nuclear clusters with contrasting reproductive modes (broadcast spawners and brooders). Here, O. longicauda is re-described. It is distinguished by a dark reddish-brown colouration both dorsally and on the ventral disc, and multiple tumid dorsal arm plates. One eastern Mediterranean brooding cluster is described as O. zibrowii sp. nov., characterized by a dark olive-green colour both dorsally and on the ventral disc, and single dorsal arm plates. Another brooder is described from Tunisia as O. hybrida sp. nov., with a highly variable morphology that reflects its origin by hybridization of O. longicauda and a brooder (possibly O. zibrowii sp. nov.), leaving the third brooding cluster as morphologically indistinguishable at this point and possibly conspecific with one of the others. The West-African O. guineense Greef, 1882 is resurrected as a valid species, differing morphologically from O. longicauda by predominantly single dorsal arm plates and light green or creamy white ventral side. Also from West Africa, O. africana sp. nov. is described, characterized by a dark brown colour, dorsally and ventrally, and single dorsal arm plates.</t>
  </si>
  <si>
    <t>Stöhr, Sabine/B-8629-2011; BOISSIN, Emilie/F-2750-2011; CHENUIL, Anne/E-3902-2012</t>
  </si>
  <si>
    <t>Stöhr, Sabine/0000-0002-2586-7239; Weber, Alexandra/0000-0002-7980-388X; BOISSIN, Emilie/0000-0002-4110-790X; CHENUIL, Anne/0000-0001-8141-7147</t>
  </si>
  <si>
    <t>2118-9773</t>
  </si>
  <si>
    <t>FEB 4</t>
  </si>
  <si>
    <t>10.5852/ejt.2020.600</t>
  </si>
  <si>
    <t>WOS:000512655700001</t>
  </si>
  <si>
    <t>Bruinjé, AC; Paiva, TMD; Costa, GC</t>
  </si>
  <si>
    <t>Carreira Bruinje, Andre; de Alencar Paiva, Tales Martins; Costa, Gabriel Correa</t>
  </si>
  <si>
    <t>Multimodal female mate choice in a polymorphic flat rock lizard</t>
  </si>
  <si>
    <t>Sexual selection is a driver of morphological and behavioral diversity. It may also play a role in the maintenance of behavioral and morphological polymorphisms. Adaptive theory predicts that males advertise individual quality through one or more signal paths and that females choose better quality mates based on those signals. Here, we use mate choice experiments in two different signaling modes (chemical and visual), to test whether females of a color cryptic-polymorphic lizard have a preference between two co-occurring male morphs (black and yellow) with alternative behavioral types. We test whether females use visual (males' coloration) and/or chemical cues to choose male morphs. Furthermore, we assess whether continuous costly color expression influences female choice and whether male conspicuousness in their natural background predicts female mate choice. We show that females prefer the aggressive black-morph males based on chemical cues. Females prefer more conspicuous males as mates, and coloration at polymorphic ventral part of the body also contributes to higher conspicuousness of these males. Our study adds to the knowledge of intersexual selection for multi-component signals and opens possibilities for future research to explore the roles of complementary signal modes. Significance statement Sexual selection can drive the evolution of a great diversity of behavioral and morphological features and has puzzled naturalists ever since Darwin. We studied sexual selection in the striped lava lizard (Tropidurus semitaeniatus), a species endemic to Northeast Brazil. This species is known to have two different types of males (yellow or black). In our study, we conducted mate choice experiments to test whether females prefer males based on chemical and/or visual cues. Black males tend to be more aggressive and dominant, and we showed that females prefer these males based on their scent. We show that females prefer males that are more conspicuous within their natural habitat, and that ventral polymorphic coloration is related to female preference. Our study highlights the complexity of animal signals and contributes to our understanding of sexual selection and the role of complementary signal modes.</t>
  </si>
  <si>
    <t>Costa, Gabriel C/A-4147-2008; Bruinjé, Andre/F-4011-2014</t>
  </si>
  <si>
    <t>Costa, Gabriel C/0000-0002-6777-6706; Bruinjé, Andre/0000-0003-1997-8247</t>
  </si>
  <si>
    <t>10.1007/s00265-022-03181-x</t>
  </si>
  <si>
    <t>WOS:000804747400001</t>
  </si>
  <si>
    <t>Olsson, KH; Sköld, HN; Merilaita, S; Kvarnemo, C</t>
  </si>
  <si>
    <t>Olsson, Karin H.; Skold, Helen Nilsson; Merilaita, Sami; Kvarnemo, Charlotta</t>
  </si>
  <si>
    <t>Dark-eyed females: sexually dimorphic prespawning coloration results from sex-specific physiological response to hormone exposure in the sand goby Pomatoschistus minutus (Gobiiformes: Gobiidae)</t>
  </si>
  <si>
    <t>The function and regulation of female nuptial colour signals are poorly understood. In fish, colour is often mediated by chromatophores, allowing for rapid and versatile signalling. Here, we examine a distinct but temporary black line around the eyes and snout ('dark eyes') displayed by female sand gobies before spawning and never observed in males. We investigate the regulatory mechanism of the display by analysing the number of melanophores in both sexes in vitro and their response to hormonal exposure. We also test the hypothesis that dark eyes serve an anti-glare function and focus the line of sight, by analysing the frequency, intensity and duration of the display in bright and dim light, with and without males present. We show that the sexes do not differ in terms of the number of melanophores, but that males and females respond in different ways to exposure to melanocyte-stimulating hormone, which has a stronger dilatory effect in females and results in a darker line. However, the darkness of the iris is not affected. Neither light levels nor the presence of potential mates affect the frequency of the dark eye display, but the display is longer lasting and more intense in the presence of smaller nest-holding males.</t>
  </si>
  <si>
    <t>Kvarnemo, Charlotta/0000-0001-8983-2900; Olsson, Karin/0000-0002-1695-0989</t>
  </si>
  <si>
    <t>FEB 14</t>
  </si>
  <si>
    <t>10.1093/biolinnean/blab166</t>
  </si>
  <si>
    <t>JAN 2022</t>
  </si>
  <si>
    <t>WOS:000754842400003</t>
  </si>
  <si>
    <t>Losey, GS</t>
  </si>
  <si>
    <t>Crypsis and communication functions of UV-visible coloration in two coral reef damselfish, Dascyllus aruanus and D-reticulatus</t>
  </si>
  <si>
    <t>The bold colours of reef fish probably serve various functions ranging from crypsis to advertisement. The presence of UV-sensitive vision in many reef fish demands that we explore these functions beyond the range of human vision. Current knowledge of the transmission of UV and visible radiation through clear ocean water, and knowledge of the likely spectral sensitivity of predatory and prey fish suggest that contrasting UV signals should be selected for social communication. For many juvenile reef fish, close-range detection and being noticed by predators may be much more important than long-range detection. Dascyllus aruanus (three-bar damsel) and D. reticulatus (two-bar damsel) juveniles are boldly coloured white fish with black bars that shelter in mixed-species groups in finely branched corals. Predators on the reef are probably well schooled in the location of their residence coral heads and the major threat is being noticed by a predator when making a defensive error. I took video images of the fish in the field through a series of narrow-band-pass filters from 340 to 600 nm, which spans the probable range for visual sensitivity in fish. With the help of colour reference standards and spectral irradiance data, I applied video pixel intensity measures to a model of colour vision to quantify luminance contrast when viewed by both conspecific fish and various predators. The two-bar damsel had a highly UV-reflective colour patch on its flag-like dorsal fin that was lacking in the three-bar. This result, taken together with their longer wavelength coloration, indicates that the two-bar is better adapted for short-range social communication, which would be difficult for predators to detect. (C) 2003 Published by Elsevier Ltd on behalf of The Association for the Study of Animal Behaviour.</t>
  </si>
  <si>
    <t>10.1006/anbe.2003.2214</t>
  </si>
  <si>
    <t>WOS:000184899600013</t>
  </si>
  <si>
    <t>Gonnet, V; Bidegaray-Batista, L; Aisenberg, A; Laborda, A; Hagopián, D; Izquierdo, MA; Piacentini, LN; Simó, M</t>
  </si>
  <si>
    <t>Gonnet, Veronica; Bidegaray-Batista, Leticia; Aisenberg, Anita; Laborda, Alvaro; Hagopian, Damian; Izquierdo, Matias A.; Piacentini, Luis N.; Simo, Miguel</t>
  </si>
  <si>
    <t>A wolf spider from South American grasslands: phylogenetic placement and redescription of Paratrochosina amica (Mello-Leitao 1941)</t>
  </si>
  <si>
    <t>The male of the wolf spider Paratrochosina arnica (Mello-Leitao 1941) is redescribed, and the female of this species is described for the first time. Additionally, we evaluate the phylogenetic position of P. arnica using the mitochondrial genes cytochrome c oxidase subunit I (cox1), the 12S rRNA (12S) and 16S rRNA (16S), NADH deshydrogenase subunit I (nad1) and the complete tRNA leu (L1). In live specimens we recognized three different morphotypes based on colour patterns. There were no differences in genitalic features of males and females among the three morphotypes. Molecular results through GMYC analyses did not identify independent evolutionary lineages. Genetic and taxonomic results support that the three morphotypes are conspecific. Phylogenetic analysis confirms the position of P. arnica in the subfamily Allocosinae. (C) 2021 Elsevier GmbH. All rights reserved.</t>
  </si>
  <si>
    <t>Batista, Leticia Bidegaray/I-3674-2015; Piacentini, Luis/ACX-2449-2022</t>
  </si>
  <si>
    <t>Batista, Leticia Bidegaray/0000-0001-6408-3800; Piacentini, Luis Norberto/0000-0003-1246-0699</t>
  </si>
  <si>
    <t>10.1016/j.jcz.2021.08.009</t>
  </si>
  <si>
    <t>WOS:000697574600001</t>
  </si>
  <si>
    <t>Vidal, M; Mills, SC; Gairin, E; Bertucci, F; Lecchini, D</t>
  </si>
  <si>
    <t>Vidal, Manuel; Mills, Suzanne C.; Gairin, Emma; Bertucci, Frederic; Lecchini, David</t>
  </si>
  <si>
    <t>Validation of a novel immersive virtual reality set-up with responses of wild-caught freely moving coral reef fish</t>
  </si>
  <si>
    <t>Virtual reality (VR) enables standardized stimuli to provoke behavioural responses in animals; however, in fish studies VR has been limited to either basic virtual simulation projected below the bowl for freely swimming individuals or a simple virtual arena rendered over a large field of view for head-restrained individuals. We developed a novel immersive VR set-up with real-time rendering of animated 3D scenarios, validated in a proof-of-concept study on the behaviour of coral reef postlarval fish. Fish use a variety of cues to select a habitat during the recruitment stage, and to recognize conspecifics and predators, but which visual cues are used remains unknown. We measured behavioural responses of groups of five convict postlarval surgeonfish, Acanthurus triostegus, to simulations of habitats, static or moving shoals of conspecifics, predators and nonaggressive heterospecifics. Postlarval fish were consistently attracted to virtual corals and conspecifics presented statically, but repulsed by their predators (bluefin jacks, Caranx melampygus). When simulated shoals repeatedly passed nearby, they were again attracted by conspecifics, showing a tendency to follow the shoal, whereas they moved repeatedly to the back of the passing predator shoal. They also discriminated between species of similar sizes: they were attracted more to conspecifics than butterflyfish, Forcipiger longirostris, and repulsed more by predators than parrotfish, Scarus psittacus. The quality of visual simulations was high enough to identify visual cues (size, body shape, colour pattern) used by postlarval fish in species recognition. Despite a tracking technology limited to fish 2D positions in the aquarium, preventing the real-time updating of the rendered viewpoint, we could show that VR and modern tracking technologies offer new possibilities to investigate fish behaviour through the quantitative analysis of their physical reactions to highly controlled scenarios.(c) 2023 The Author(s). Published by Elsevier Ltd on behalf of The Association for the Study of Animal Behaviour. This is an open access article under the CC BY-NC-ND license (http://creativecommons.org/ licenses/by-nc-nd/4.0/).</t>
  </si>
  <si>
    <t>Gairin, Emma/CAH-9091-2022; Mills, Suzanne/K-5538-2012</t>
  </si>
  <si>
    <t>Gairin, Emma/0000-0001-6898-8084; Mills, Suzanne/0000-0001-8948-3384; Bertucci, Frederic/0000-0002-2425-9362; Vidal, Manuel/0000-0002-8504-1500</t>
  </si>
  <si>
    <t>10.1016/j.anbehav.2023.09.013</t>
  </si>
  <si>
    <t>NOV 2023</t>
  </si>
  <si>
    <t>WOS:001113029100001</t>
  </si>
  <si>
    <t>Alonso-Alvarez, C; Pérez-Rodríguez, L; Mateo, R; Chastel, O; Viñuela, J</t>
  </si>
  <si>
    <t>Alonso-Alvarez, C.; Perez-Rodriguez, L.; Mateo, R.; Chastel, O.; Vinuela, J.</t>
  </si>
  <si>
    <t>The oxidation handicap hypothesis and the carotenoid allocation trade-off</t>
  </si>
  <si>
    <t>The oxidation handicap hypothesis proposes that testosterone mediates the trade-off between the expression of secondary sexual traits and the fight against free radicals. Coloured traits controlled by testosterone can be produced by carotenoid pigments (yellow-orange-red traits), but carotenoids also help to quench free radicals. Recently, it has been shown that testosterone increases the amount of circulating carotenoids in birds. Here, a testosterone-mediated trade-off in the carotenoid allocation between colour expression and the fight against oxidative stress is proposed. Male red-legged partridges were treated with testosterone, anti-androgens or manipulated as controls. Testosterone-treated males maintained the highest circulating carotenoid levels, but showed the palest red traits and no evidence of oxidative damage. Increased levels of a key intracellular antioxidant (i.e. glutathione) indicated that an oxidative challenge was in fact induced but controlled. The trade-off was apparently solved by reducing redness, allowing increased carotenoid availability, which could have contributed to buffer oxidative stress.</t>
  </si>
  <si>
    <t>Mateo, Rafael/A-3117-2011; Alonso-Alvarez, Carlos/M-6804-2014; Pérez-Rodríguez, Lorenzo/G-1811-2011</t>
  </si>
  <si>
    <t>Mateo, Rafael/0000-0003-1307-9152; Alonso-Alvarez, Carlos/0000-0002-4765-551X; Pérez-Rodríguez, Lorenzo/0000-0002-5926-1438; Vinuela, Javier/0000-0002-8916-0398</t>
  </si>
  <si>
    <t>10.1111/j.1420-9101.2008.01591.x</t>
  </si>
  <si>
    <t>WOS:000260108900032</t>
  </si>
  <si>
    <t>Stephenson, BP; Ramírez-Bautista, A</t>
  </si>
  <si>
    <t>Stephenson, Barry P.; Ramirez-Bautista, Aurelio</t>
  </si>
  <si>
    <t>Did sexually dimorphic dorsal coloration evolve by a pre-existing bias in males in the lizard Sceloporus minor?</t>
  </si>
  <si>
    <t>Theory and empirical evidence indicate that male secondary sex traits can evolve by co-option of pre-existing biases in females. However, relatively few studies have explored whether male pre-existing biases could drive the evolution of traits important in male contests. Male spiny lizards (Sceloporus) are characterized by the expression of sexually dimorphic blue throat and abdominal patches. These features are revealed to conspecifics during social interactions, and variation in ventral color can predict the outcome of male contests in some species of spiny lizards. In Sceloporus minor, males in some populations also express bright blue color on the dorsal surfaces. Given the significance of blue color in intrasexual signaling in other species of Sceloporus, blue dorsal color may have evolved in S. minor by co-option of a male sensory bias for the color blue. We tested this hypothesis in a population that exhibits an ancestral phenotype for male dorsal color (brown/orange), and lacks males with bright blue dorsal coloration. Resident territorial males were presented with one of three types of intruder males manipulated in dorsal color by painting. Orange males mimicked the ancestral dorsal phenotype found at the study site; blue males resembled those from a population with the derived (blue) form of this trait; and green males represented a novel stimulus control. If blue dorsal color evolved in S. minor in part due to co-option of a male sensory bias, we predicted that resident males would exhibit either increased or decreased levels of aggression to blue intruders relative to controls. We found no difference in resident aggressive behavior across all treatments, thus failing to support the predictions of a pre-existing bias. We discuss these findings in the context of social behavior in Sceloporus, and propose directions for further study in this species.</t>
  </si>
  <si>
    <t>Stephenson, Barry P./P-5076-2019</t>
  </si>
  <si>
    <t>Stephenson, Barry P./0000-0001-5468-2439</t>
  </si>
  <si>
    <t>10.1007/s10682-011-9551-1</t>
  </si>
  <si>
    <t>WOS:000309869600001</t>
  </si>
  <si>
    <t>Crouch, CG; Benson, RH; Brennan, LA</t>
  </si>
  <si>
    <t>Crouch, Carter G.; Benson, Robert H.; Brennan, Leonard A.</t>
  </si>
  <si>
    <t>AMERICAN KESTREL NONBREEDING ROOST USE AND BEHAVIOR IN SOUTH TEXAS</t>
  </si>
  <si>
    <t>Roost sites are likely an important component of the American Kestrel's (Falco sparverius); kestrel(s) hereafter, nonbreeding habitat, as quality roost structures can provide thermal cover and protection from predators. We studied winter roost-site use by kestrels in an agricultural landscape in South Texas, where the population is composed of a combination of territorial wintering birds and migrating individuals passing through. Through observations of color-marked and unmarked birds, we identified 50 roost sites during September March, 2014-2017. Kestrels utilized foliated shrubs and trees as roosting sites (n = 24), as well as various human-made structures (n = 26) including buildings, petroleum and farm equipment, and electrical structures for roost sites. Roost sites varied greatly in the level of concealment and exposure, with seven kestrels roosting on electric structures that allowed high levels of exposure to weather and potential avian predators. We observed aggression between kestrels around roost sites, and we documented small communal kestrel roosts. Because we observed roosting in sites exposed to weather and predators, aggression around roost sites, and communal roosting, we speculate that roosting sites suitable for kestrels may be limited or poorly dispersed in this agricultural landscape.</t>
  </si>
  <si>
    <t>Crouch, Carter/CAA-2341-2022</t>
  </si>
  <si>
    <t>10.3356/JRR-17-66.1</t>
  </si>
  <si>
    <t>WOS:000441062500010</t>
  </si>
  <si>
    <t>Jawor, JM; Gray, N; Beall, SM; Breitwisch, R</t>
  </si>
  <si>
    <t>Multiple ornaments correlate with aspects of condition and behaviour in female northern cardinals, Cardinalis cardinalis</t>
  </si>
  <si>
    <t>Male ornamentation in socially monogamous birds has been shown to provide information to potential mates on aspects of condition and behaviour. We studied female ornamentation in the socially monogamous, biparental northern cardinal to determine whether expressions of multiple ornaments correlate with aspects of female condition and behaviour. Expressions of the ornamental red-orange bill, red underwing feathers, head crest and blackish face mask were compared to several measures of condition, parental behaviour and intrasexual aggression. Red-orange bill colour of females was correlated with both body size and an index of body condition. Redness of the underwing feathers was correlated with body size, body condition, date of first nest produced and reproductive success. Face mask expression was correlated with both nestling feeding rate and level of intrasexual aggression. The length of head crest feathers did not correlate with any measured aspect of condition or behaviour. These results are consistent with the hypothesis that ornaments in female cardinals provide redundant information to prospective mates on aspects of female condition and behaviour. (C) 2004 The Association for the Study of Animal Behaviour. Published by Elsevier Ltd. All rights reserved.</t>
  </si>
  <si>
    <t>10.1016/j.anbehav.2003.05.015</t>
  </si>
  <si>
    <t>WOS:000221541600007</t>
  </si>
  <si>
    <t>Reiter, MK; Anthony, CD; Hickerson, CAM</t>
  </si>
  <si>
    <t>Reiter, Marcie K.; Anthony, Carl D.; Hickerson, Cari-Ann M.</t>
  </si>
  <si>
    <t>Territorial Behavior and Ecological Divergence in a Polymorphic Salamander</t>
  </si>
  <si>
    <t>Polymorphic species provide an opportunity to examine the process of sympatric divergence as it occurs. The Eastern Red-backed Salamander, Plethodon cinereus, is a polymorphic species that has served as a model organism in behavioral and ecological studies. Recent work suggests that the two most common color phenotypes (striped and unstriped) exhibit weak assortative mating and are diverging along a number of niche dimensions including temperature optima, diet, and response to predators. Males and females of P. cinereus are territorial and this behavior is thought to function in the context of prey and mate acquisition. Striped males have been shown to gain access to larger, and presumably more fecund, females. We posited that this pattern emerges through differential territorial behavior between the two phenotypes. We predicted that striped and unstriped salamanders would differ in their use of cover objects in the field, and in their aggressive responses to intruders in the laboratory. We examined salamander cover use and movement by placing artificial cover objects (ACOs) on the forest floor and monitoring them for 3.5 years. We compared residency time, number of recaptures, and number of ACOs occupied between the two phenotypes. The proportion of striped salamanders that were territorial residents was significantly greater than the proportion of unstriped salamanders that were territorial residents. Striped salamanders also exhibited significantly longer territorial residency, were recaptured more often, and were more often found under multiple, adjacent cover objects than unstriped salamanders. In the laboratory, we examined territorial behavior of the two morphs. As residents, striped salamanders were more aggressive and less submissive than were unstriped residents. When compared to intruders, resident salamanders of both morphs behaved more aggressively, but significant differences between resident and intruder behavior were only detected for the striped phenotype. These differences in aggression and cover object use may help to explain how striped males gain access to larger females and may be important in the interpretation of sympatric niche divergence and assortative mating by color in this species.</t>
  </si>
  <si>
    <t>10.1643/CE-13-154</t>
  </si>
  <si>
    <t>WOS:000348516300003</t>
  </si>
  <si>
    <t>Stang, AT; McRae, SB</t>
  </si>
  <si>
    <t>Stang, Alexandra T.; McRae, Susan B.</t>
  </si>
  <si>
    <t>Why some rails have white tails: the evolution of white undertail plumage and anti-predator signaling</t>
  </si>
  <si>
    <t>Conspicuous plumage patches have evolved in birds as conspecific signals for mate attraction and assessment, intersexual competition or to signal alarm. Signals may alternatively be directed at potential predators to discourage pursuit. Rails (Family Rallidae) are ground-dwelling birds, many of which inhabit wetlands, while others occur in forests and grasslands. They are renown for their secretive nature and the tendency to flick their tails when observed. This behavior is more conspicuous in species with white undertail coverts that contrast sharply with darker body plumage. Using species comparisons and controlling for phylogeny, we investigated four hypotheses for the evolution of white undertail coverts in rails. We found little support for the hypothesis that white tails are sexually selected: white tails were not more common in species with polygamous as opposed to monogamous mating systems, species with sexual dimorphism, nor species that display their tails in courtship. Nor did our results support the hypothesis that white tail plumage evolved for intersexual competition during territorial interactions. Instead, we found that species that flock for at least part of the year and species found in open as opposed to concealing habitats were significantly more likely to have white undertail coverts. Rail species inhabiting concealing habitats are less commonly gregarious and more likely selected for crypsis. Using phylogenetically-controlled statistical inference we found that adaptation to open wetland habitats significantly precedes the evolution of white undertails, whereas gregariousness likely evolved later in some lineages. The inferred order of trait evolution suggests that this plumage characteristic could have been selected primarily for enhancement of an anti-predator signal rather than a social signal for conspecifics.</t>
  </si>
  <si>
    <t>McRae, Susan/L-7273-2019</t>
  </si>
  <si>
    <t>McRae, Susan/0000-0003-3209-4710</t>
  </si>
  <si>
    <t>10.1007/s10682-008-9283-z</t>
  </si>
  <si>
    <t>WOS:000271949700009</t>
  </si>
  <si>
    <t>WINEGARNER, MS</t>
  </si>
  <si>
    <t>PUGMARKS AND THE BIOLOGY OF THE BOBCAT, LYNX-RUFUS</t>
  </si>
  <si>
    <t>The maternal behavior, dispersal of cubs and associations with an adult, male consort of a 7-yr-old female bobcat (L. r. floridanus) are described. Data are based on foot tracking and direct observations from June 1980 to Aug. 1981. Pugmarks were used to identify movements of individuals who were identified by facial patterns, size and color patterns. Cubs born in May 1980 (1 male, 1 female) received solid food at 8 wk nursed for 4 mo., and at 9 mo. dispersed to opposite ends of the home range. They left the area at 14 mo. when their mother traveled with another litter. Consorts shared a home range, and sometimes rested together away from cubs. The male traveled widely in the range and occasionally left it; the female moved within the boundaries. Methods of conspecific identification and communication included olfaction and vocalization.</t>
  </si>
  <si>
    <t>WOS:A1985ALJ2100004</t>
  </si>
  <si>
    <t>Preston, AC; Taylor, JF; Adams, CE; Migaud, H</t>
  </si>
  <si>
    <t>Preston, A. C.; Taylor, J. F.; Adams, C. E.; Migaud, H.</t>
  </si>
  <si>
    <t>Surface feeding and aggressive behaviour of diploid and triploid brown trout Salmo trutta during allopatric pair-wise matchings</t>
  </si>
  <si>
    <t>Diploid and triploid brown trout Salmo trutta were acclimated for 6 weeks on two feeding regimes (floating and sinking). Thereafter, aggression and surface feeding response were compared between pairs of all diploid, all triploid and diploid and triploid S. trutta in an experimental stream. In each pair-wise matching, fish of similar size were placed in allopatry and rank was determined by the total number of aggressive interactions recorded. Dominant individuals initiated more aggression than subordinates, spent more time defending a territory and positioned themselves closer to the surface food source (Gammarus pulex), whereas subordinates occupied the peripheries. In cross ploidy trials, diploid S. trutta were more aggressive than triploid, and dominated their sibling when placed in pair-wise matchings. Surface feeding, however, did not differ statistically between ploidy irrespective of feeding regime. Triploids adopted a sneak feeding strategy while diploids expended more time defending a territory. In addition, we also tested whether triploids exhibit a similar social dominance to diploids when placed in allopatry. Although aggression was lower in triploid pairs than in the diploid and triploid pairs, a dominance hierarchy was also observed between individuals of the same ploidy. Dominant triploid fish were more aggressive and consumed more feed items than subordinate individuals. Subordinate fish displayed a darker colour index than dominant fish suggesting increased stress levels. Dominant triploid fish, however, appeared to be more tolerant of subordinate individuals and did not display the same degree of invasive aggression as seen in the diploid and diploid or diploid and triploid matchings. These novel findings suggest that sterile triploid S. trutta feed similarly but are less aggressive than diploid trout. Future studies should determine the habitat choice of triploid S. trutta after release and the interaction between wild fish and triploids during the breeding season prior to utilization of triploids as an alternative management strategy within freshwater fisheries. (C) 2014 The Fisheries Society of the British Isles</t>
  </si>
  <si>
    <t>Taylor, John F/B-4643-2009; Migaud, Herve/C-5647-2009</t>
  </si>
  <si>
    <t>Taylor, John/0000-0003-4370-7922; Migaud, Herve/0000-0002-5404-7512</t>
  </si>
  <si>
    <t>10.1111/jfb.12478</t>
  </si>
  <si>
    <t>WOS:000340845500018</t>
  </si>
  <si>
    <t>GAUZER, ME</t>
  </si>
  <si>
    <t>GELOCHELIDON-NILOTICA (LARIDAE) ON THE ISLANDS OF THE KRASNOVODSK GULF .2. THE MECHANISMS OF EMBRYONAL AND JUVENILE MORTALITY</t>
  </si>
  <si>
    <t>ZOOLOGICHESKY ZHURNAL</t>
  </si>
  <si>
    <t>It has been found the embryonal mortality depends first of all on the behavioral stereotype of parents that discontinue hatching the last egg in the clutch and start nurturing their chicks. Mortality is higher in junior chicks than in elder ones. The prevailing causes of death are: traumas in exhausted chicks, aggressive actions of conspecific birds in relation to the normally developing chicks and exhaustion without traumas. The paper assumes that one of the mortality reasons is cannibalism. Seven possible mechanisms of the juvenile mortality are discussed: artificial restriction of distribution of broods, insufficient food basis, malnourishment chicks from their birth, asynchronous hatching, different coloring of chicks inside the brood, brood in the nest left parents, chicks leaving their nests. It has been proved that the last two mechanisms are the most probable causing death of chicks of exhaustion and traumas.</t>
  </si>
  <si>
    <t>0044-5134</t>
  </si>
  <si>
    <t>WOS:A1989U136200008</t>
  </si>
  <si>
    <t>Pike, TW</t>
  </si>
  <si>
    <t>Pike, Thomas W.</t>
  </si>
  <si>
    <t>Egg recognition in Japanese quail</t>
  </si>
  <si>
    <t>Egg recognition allows birds to reduce the costs of heterospecific or conspecific nest parasitism, by allowing them to reject foreign eggs or abandon parasitised clutches. However, the precise phenotypic characteristics of eggs that are recognised and compared are not well understood. Using Japanese quail (Coturnix japonica), which exhibit extremely high between-female and low within-female variation in egg colour, maculation patterns and shape, I show that females can learn to recognise the salient characteristics of eggs from a given clutch (not necessarily their own) and can use this learned template to discriminate against foreign eggs with a high probability when the eggs are phenotypically distinct. Specifically, female quail appear to use both maculation pattern and, to a lesser extent, egg shape to make these decisions. These findings are discussed with respect to cognitive mechanisms of egg recognition.</t>
  </si>
  <si>
    <t>10.3184/175815511X13228268534598</t>
  </si>
  <si>
    <t>WOS:000299488300008</t>
  </si>
  <si>
    <t>Michopoulos, V; Maney, DL; Morehouse, CB; Thomas, JW</t>
  </si>
  <si>
    <t>Michopoulos, Vasiliki; Maney, Donna L.; Morehouse, Caroline B.; Thomas, James W.</t>
  </si>
  <si>
    <t>A genotyping assay to determine plumage morph in the White-throated Sparrow (Zonotrichia albicollis)</t>
  </si>
  <si>
    <t>In alternate plumage, the White-throated Sparrow (Zonotrichia albicollis) is polymorphic, such that individuals exhibit a median crown stripe that is either white or tan in color. This plumage polymorphism is believed to be caused by a chromosomal inversion and predicts many aspects of an individual's aggressive and parental behavior, which makes this species an interesting and valuable subject for the study of the genetic basis of social behavior. Although the plumage polymorphism is well described, in practice the determination of morph for individual birds is not perfectly straightforward. Whereas morph can be assessed relatively easily in alternate plumage, birds in basic plumage tend to show coloration characteristic of both morphs. During the winter and fall, therefore, plumage morph cannot be determined with 100% accuracy by visual inspection alone. Here, we describe a genotyping assay that reliably predicts morph in alternate plumage. DNA from one drop of blood is amplified by PCR, digested and run on an agarose gel. The resulting banding patterns are used to distinguish white-striped from tan-striped birds with 100% accuracy. This method is fast and economical compared with karyotyping, is far less subjective than assessment of morph by plumage characteristics, and can be performed using any kind of sample from which DNA can be extracted.</t>
  </si>
  <si>
    <t>Maney, Donna L/G-3706-2011; Michopoulos, Vasiliki/C-7342-2014</t>
  </si>
  <si>
    <t>Maney, Donna L/0000-0002-1006-2358; Michopoulos, Vasiliki/0000-0003-2531-923X</t>
  </si>
  <si>
    <t>10.1642/0004-8038(2007)124[1330:AGATDP]2.0.CO;2</t>
  </si>
  <si>
    <t>WOS:000251446100017</t>
  </si>
  <si>
    <t>Sander, SE; Hall, DW</t>
  </si>
  <si>
    <t>Sander, S. E.; Hall, D. W.</t>
  </si>
  <si>
    <t>Variation in opsin genes correlates with signalling ecology in North American fireflies</t>
  </si>
  <si>
    <t>Genes underlying signal reception should evolve to maximize signal detection in a particular environment. In animals, opsins, the protein component of visual pigments, are predicted to evolve according to this expectation. Fireflies are known for their bioluminescent mating signals. The eyes of nocturnal species are expected to maximize the detection of conspecific signal colours emitted in the typical low-light environment. This is not expected for species that have transitioned to diurnal activity in bright daytime environments. Here, we test the hypothesis that opsin gene sequence plays a role in modifying firefly eye spectral sensitivity. We use genome and transcriptome sequencing in four firefly species, transcriptome sequencing in six additional species and targeted gene sequencing in 28 other species to identify all opsin genes present in North American fireflies and to elucidate amino acid sites under positive selection. We also determine whether amino acid substitutions in opsins are linked to evolutionary changes in signal mode, signal colour and light environment. We find only two opsins, one long wavelength and one ultraviolet, in all firefly species and identify 25 candidate sites that may be involved in determining spectral sensitivity. In addition, we find elevated rates of evolution at transitions to diurnal activity, and changes in selective constraint on long wavelength opsin associated with changes in light environment. Our results suggest that changes in eye spectral sensitivity are at least partially due to opsin sequence. Fireflies continue to be a promising system in which to investigate the evolution of signals, receptors and signalling environments.</t>
  </si>
  <si>
    <t>Lower, Sarah/IAQ-7395-2023</t>
  </si>
  <si>
    <t>Hall, David/0000-0001-7708-6656</t>
  </si>
  <si>
    <t>10.1111/mec.13346</t>
  </si>
  <si>
    <t>WOS:000361555900008</t>
  </si>
  <si>
    <t>Chemosensory cues allow male lizards Psammodromus algirus to override visual concealment of sexual identity by satellite males</t>
  </si>
  <si>
    <t>Males of many species of lizards show conspicuous breeding colors but, in some species, young competitively inferior males conceal their sexual identity by a female-like dull coloration that allows them to evade aggression from dominant males and to adopt an alternative satellite-sneaking mating tactic. However, large males of the lizard Psammodromus algirus reacted aggressively to young intruder males despite their female-like coloration, suggesting that they might have the ability to recognize competitor males by chemosensory cues. We experimentally manipulated the head coloration (brown vs orange) and scents (male vs female) of small young males. For staged agonistic encounters, we compared the response of resident unmanipulated large males to the different manipulated small males. When we manipulated only the color of small males, the response of resident large males was independent of the paint manipulation; brown and orange males elicited a similar aggressive response. However, when we also manipulated the scent, small males painted orange or brown, but bearing the scent of males, received a significantly higher number of aggressive responses than small males painted orange or brown, but bearing the scent of females. The results showed that, at close range, the reaction of large males to manipulated individuals was dependent on the scent, whereas color seemed to be less important. Coloration may be, however, more important in long-distance communication as shown by the outcome of the first encounters. Also, orange coloration may increase the intensity of the aggressive response. Effective sex recognition by territorial large males is important in natural situations to avoid sneak matings by young male competitors. Thus, even if small males visually conceal their sexual identity, chemosensory cues allow large males to identify them at close range.</t>
  </si>
  <si>
    <t>10.1007/s00265-003-0623-2</t>
  </si>
  <si>
    <t>WOS:000184754900003</t>
  </si>
  <si>
    <t>Meneses-Giorgi, MA; Cadena, CD</t>
  </si>
  <si>
    <t>Alejandra Meneses-Giorgi, Maria; Daniel Cadena, Carlos</t>
  </si>
  <si>
    <t>Plumage convergence resulting from social mimicry in birds? A tetrachromatic view</t>
  </si>
  <si>
    <t>Social mimicry may lead to convergent evolution when interactions with conspecific and heterospecific individuals drive evolution towards similar phenotypes in different species. Several social mimicry hypotheses accounting for convergence in communication signals exist. However, assessments of how similar species are given the visual system of signal receptors have been ostensibly missing from tests of such hypotheses. We used plumage reflectance measurements and models of avian colour discrimination to evaluate the efficacy of visual deception and the plausibility of mimicry hypotheses accounting for plumage convergence among six species of passerine birds in the flycatcher family (Tyrannidae) with strikingly similar plumage. We rejected the interspecific social dominance mimicry hypothesis as an explanation for the similarity between one putative model species and putative mimics because deception seems unlikely given their visual system. However, plumage similarity was consistent with a role for selective pressures exerted by predators because dorsal coloration of putative model and mimic species was indistinguishable by visually oriented raptors. Experiments and behavioural observations are necessary to better characterize social interactions and to test predictions of alternative mimicry hypotheses proposed to account for convergence. (c) 2021 The Association for the Study of Animal Behaviour. Published by Elsevier Ltd. All rights reserved.</t>
  </si>
  <si>
    <t>Cadena, Carlos Daniel/0000-0003-4530-2478</t>
  </si>
  <si>
    <t>10.1016/j.anbehav.2021.08.018</t>
  </si>
  <si>
    <t>WOS:000707744600009</t>
  </si>
  <si>
    <t>MUELLER, KW; DENNIS, GD; EGGLESTON, DB; WICKLUND, RI</t>
  </si>
  <si>
    <t>SIZE-SPECIFIC SOCIAL INTERACTIONS AND FORAGING STYLES IN A SHALLOW-WATER POPULATION OF MUTTON SNAPPER, LUTJANUS-ANALIS (PISCES, LUTJANIDAE), IN THE CENTRAL BAHAMAS</t>
  </si>
  <si>
    <t>Field observations quantified the effects of fish size and time of day on activity patterns, intraspecific encounters, and foraging styles in mutton snapper, Lutjanus analis, during the spring and winter of 1991. Fish ranged in size from 15 to 65 cm fork length (FL), and were associated with an artificial patch reef system located on a shallow seagrass meadow in the Exuma Cays, Bahamas. The most common, non-resting diurnal activities were intraspecific chasing and displacing, and feeding. Intraspecific displacing was significantly higher during midday compared to morning or evening. The highest proportion of intraspecific encounters (combined chasing and displacing events) occurred among medium (25-35 cm FL) and large (&gt; 35 cm FL) fish. The few large fish observed (13% of population) initiated the same proportion of encounters as the predominant (50%) medium fish. The remaining (37%) small fish (&gt; 25 cm FL) were the least aggressive. Dark barred and dark nape color patterns were associated with displacing and chasing, respectively. Fish exhibited considerable variability in feeding behavior. Proportionally fewer fish fed during midday compared to morning or evening, although small fish fed proportionally more often than medium or large fish despite time of day. Picking was the primary feeding mode and was observed during all times of day. Winnowing was observed during midday and evening, whereas midwater strikes were confined to morning and evening. Small fish displayed proportionally higher picking and midwater strikes during morning and evening, respectively, compared to medium or large fish. However, large fish winnowed proportionally more often than small or medium fish during evening. Dark barred color patterns were associated with feeding on the substrate, whereas no color changes occurred during midwater strikes. Our results indicate that L. analis forms dominance hierarchies and that high variability in foraging styles, according to fish size and time of day, may be a means to reduce intraspecific competition.</t>
  </si>
  <si>
    <t>10.1007/BF00002544</t>
  </si>
  <si>
    <t>WOS:A1994NN69200007</t>
  </si>
  <si>
    <t>Mather, JA; Mather, DL</t>
  </si>
  <si>
    <t>Apparent movement in a visual display: the 'passing cloud' of Octopus cyanea (Mollusca: Cephalopoda)</t>
  </si>
  <si>
    <t>The tremendous capacity of the chromatophore system in cephalopod skin to change its colour across space and time has allowed these animals to produce complex visual displays to conspecific and heterospecific targets, including the aptly-named 'passing cloud'. This display has been suggested as an interspecies communication, but it has not been investigated in detail. Octopus cyanea produced dark passing clouds during hunting of crab prey, typically after a web-over capture attempt. Clouds moved not randomly but forward along the mantle, over the head and down the outstretched arm web, and were often accompanied by white margins that enhanced their appearance by intensity contrast. This visual display is presumed to be a startle attempt, producing apparent movement by selective sequential chromatophore expansion to induce a crab to move without the drawback of motion by the octopus itself.</t>
  </si>
  <si>
    <t>10.1017/S0952836904004911</t>
  </si>
  <si>
    <t>WOS:000221567900009</t>
  </si>
  <si>
    <t>Trapp, R; Fernandez-Juricic, E</t>
  </si>
  <si>
    <t>Trapp, Rebecca; Fernandez-Juricic, Esteban</t>
  </si>
  <si>
    <t>How visual system configuration can play a role in individual recognition: a visual modeling study</t>
  </si>
  <si>
    <t>Many species rely on individual recognition (i.e., the use of individual signals to identify and remember a conspecific) to tune their social interactions. However, little is known about how the configuration of the sensory system may affect the perception of individual recognition signals over space. Utilizing a visual modeling approach, we quantified (1) the threshold distance between the receiver and the signaler at which individual recognition can no longer accurately occur, and (2) the regions of the head most likely to contain the individual recognition signals. We used chickens (Gallus gallus) as our study species, as they use visual individual recognition and additionally have a well-studied visual system. We took pictures of different individuals and followed a visual modeling approach considering color vision, visual acuity, and pattern processing of the receiver. We found that distance degrades the quality of information in potential individual recognition signals. We estimated that the neighbor distance at which a receiver may have difficulty recognizing a conspecific was between 0.25 and 0.30 m in chickens, which may be related to a decrease in available features of the potential signal. This signal perception threshold closely matches the recognition distance predicted by previous behavioral approaches. Additionally, we found that certain regions of the head (beak, cheek, comb, eye) may be good candidates for individual recognition signals. Overall, our findings support that recognition in chickens occurs at short distances due to constraints imposed by their visual system, which can affect the costs and benefits associated with social spacing in groups.</t>
  </si>
  <si>
    <t>Trapp, Rebecca/0000-0002-7052-0058</t>
  </si>
  <si>
    <t>10.1007/s10071-021-01548-7</t>
  </si>
  <si>
    <t>WOS:000684460500001</t>
  </si>
  <si>
    <t>Maeno, K; Tanaka, S</t>
  </si>
  <si>
    <t>Maeno, Koutaro; Tanaka, Seiji</t>
  </si>
  <si>
    <t>Adult female desert locusts require contact chemicals and light for progeny gregarization</t>
  </si>
  <si>
    <t>Crowding causes many organisms to express phenotypic plasticity in various traits. Phase polyphenism in desert locusts represents one extreme example in which a solitary form (solitarious phase) turns into a gregarious form (gregarious phase) in response to crowding. Conspicuous differences in body size and colour occur even in hatchlings. The phase-specific differences in hatchling characteristics are caused by the tactile stimuli perceived by the antennae of their mother. However, the nature of the tactile stimuli and the mechanism by which the perceived stimuli are processed as a gregarizing signal remain unknown. To explore this problem, the antennae of solitarious adult females of the desert locust Schistocerca gregaria are touched with the bodies of conspecific locusts at different physiological stages and those of other species. The results suggest that a cuticular chemical factor at a specific developmental stage of conspecific locusts causes the solitarious females to produce large eggs that give rise to black hatchlings characteristic of gregarious forms (progeny gregarization), and that this or a similar compound occurs in other acridids, crickets and cockroaches but not in beetles. The involvement of a chemical substance is also supported by hexane extracts of cuticular surfaces of locusts that induce the same effects. Interestingly, crowding induces such gregarizing effects only when the female receives the appropriate stimulus in the presence of light. Solitarious female S. gregaria with their head capsule coated with phosphorescent paint exhibit progeny gregarization in response to crowding and light pulses in darkness, whereas those treated in the same way without light pulses fail to do so.</t>
  </si>
  <si>
    <t>Maeno, Koutaro Ould/0000-0001-8869-9642</t>
  </si>
  <si>
    <t>10.1111/j.1365-3032.2011.00812.x</t>
  </si>
  <si>
    <t>WOS:000304091500002</t>
  </si>
  <si>
    <t>Martin, M; Meylan, S; Gomez, D; Le Galliard, JF</t>
  </si>
  <si>
    <t>Martin, Melissa; Meylan, Sandrine; Gomez, Doris; Le Galliard, Jean-Francois</t>
  </si>
  <si>
    <t>Ultraviolet and carotenoid-based coloration in the viviparous lizard Zootoca vivipara (Squamata: Lacertidae) in relation to age, sex, and morphology</t>
  </si>
  <si>
    <t>Lizards display structural and pigment-based colorations, and their visual system is sensitive to wavelengths of 300-700nm. However, few studies in squamate reptiles have quantified interindividual colour variation that includes the structural ultraviolet (UV) component (300-400nm). In the present study, we investigated variability of a ventral UV/yellow-red ornamentation in the common lizard Zootoca vivipara, including an analysis of spatial distribution, as well as sex and age differences. We also investigated whether the expression of coloration is related to body size and condition. Our analyses revealed two distinct patches: a gular patch with a strong UV reflectance and a belly patch with a dominant yellow-red reflectance. Males displayed a less saturated throat coloration with higher UV chroma and UV hue, and had a redder but duller belly coloration than females. Yearlings had less elaborate ornaments than adults, although they already displayed a yellow-red sexual dichromatism on the belly. UV sexual dichromatism was only apparent in adults as a result of a weaker UV reflectance in females, suggesting potential fitness costs of a bright UV coloration in that sex. Different colour traits were related to body size in both sexes, as well as to body condition in males. We discuss the potential evolutionary scenarios leading to the maintenance of this ornament in common lizards.(c) 2013 The Linnean Society of London, Biological Journal of the Linnean Society, 2013, 110, 128-141.</t>
  </si>
  <si>
    <t>Le Galliard, Jean-François/E-8702-2011; sandrine, MEYLAN/AAD-3073-2020; Gomez, Doris/ABA-6361-2021; meylan, sandrine/JSL-2480-2023</t>
  </si>
  <si>
    <t>Le Galliard, Jean-François/0000-0002-5965-9868; sandrine, MEYLAN/0000-0002-0865-3335; Gomez, Doris/0000-0002-9144-3426;</t>
  </si>
  <si>
    <t>10.1111/bij.12104</t>
  </si>
  <si>
    <t>WOS:000323040200010</t>
  </si>
  <si>
    <t>Kaarthigeyan, J; Dharmaretnam, M</t>
  </si>
  <si>
    <t>Relative levels of motivation and asymmetries of viewing and detour task in guppies (Poecilia reticulata)</t>
  </si>
  <si>
    <t>Cerebral lateralisation once thought to be confined to humans has been reported for a range of vertebrate species now. We report here biases in visual perceptual processing in a teleost fish. Female guppy fish used the right eye preferentially to view a familiar stimulus. This bias reversed on being presented with a strange female guppy, the left eye being used more to view it. This pattern of viewing is probably associated with the right eye system. which is used to view a Stimulus with an intention to approach it. The increase in the left eye use, to view a stranger may be associated with the role of the left eye in comparing the features of a strange conspecific. In the second experiment, lateralisation of viewing Visual stimuli that could evoke different levels of motivation to biologically relevant stimuli was tested. It is known that female guppies prefer to approach orange Coloured males. Lateralisation of detour response as well as eye use after detour to view a dull or an orange male stimulus was recorded in deprived female fish. There was a bias to detour to the left side; which was more significant for the orange than the dull male. Once the female guppies detoured the cage they preferentially used the left eye to view the male conspecific; this being significant for the deeply orange male. Thus, colouration of males evoking different levels motivation can be used to measure lateralisation guppies. (c) 2004 Elsevier B.V. All rights reserved.</t>
  </si>
  <si>
    <t>Dharmaretnam, Meena/0000-0002-0268-6064</t>
  </si>
  <si>
    <t>10.1016/j.bbr.2004.09.024</t>
  </si>
  <si>
    <t>WOS:000228509700005</t>
  </si>
  <si>
    <t>Bano, F; Kashyap, A; Serajuddin, M</t>
  </si>
  <si>
    <t>Bano, F.; Kashyap, A.; Serajuddin, M.</t>
  </si>
  <si>
    <t>Effects of different dietary supplementation of plant carotenoids on growth, coloration and behaviour of giant gourami, Trichogaster fasciata (Bloch and Schneider, 1801)</t>
  </si>
  <si>
    <t>IRANIAN JOURNAL OF FISHERIES SCIENCES</t>
  </si>
  <si>
    <t>Effects of different dietary supplements of plant carotenoid sources on growth, coloration and behavioural activities of Trichogaster fasciata were carried out. Three groups of fish were fed with petal powder of rose (Rosa chinensis), China rose (Hibiscus rosasinensis) and marigold (Tagetes erecta) separately as carotenoid source along with the same basic ingredients for 90 days. The mean final weight of marigold petal powder fed group was significantly different (p&lt;0.05) from other groups after 90 days of the experiment. The absolute growth rate, relative growth rate, weight gain percent and specific growth rate were highest in the group of fish fed with marigold petal powder while feed conversion ratio was lowest in this group. Carotenoid content in the tissue of different groups of the fish was found to be significantly different (p&lt;0.0001). Marigold petal powder was most effective to enhance the pigmentation and coloration in the different color zones (color of eye and opercular ocellus, jugular darkening, anal, ventral and dorsal fin color etc.) of the skin of T. fasciata. Pigmentation affected the behavioural activities of the fish where male aggression and selection of males by females was high in the group fed with marigold petal powder. No significant difference was observed in the social interactions and habitat preference.</t>
  </si>
  <si>
    <t>1562-2916</t>
  </si>
  <si>
    <t>10.22092/ijfs.2020.122739</t>
  </si>
  <si>
    <t>WOS:000600344000002</t>
  </si>
  <si>
    <t>Latham, ADM; Poulin, R</t>
  </si>
  <si>
    <t>Effect of acanthocephalan parasites on the behaviour and coloration of the mud crab Macrophthalmus hirtipes (Brachyura: Ocypodidae)</t>
  </si>
  <si>
    <t>In the field, the numbers of cystacanths of the parasitic acanthocephalan Profilicollis spp. harboured by crabs are relatively high and correlate with carapace width. In a field experiment, the responses of crabs to the simulated approach of a bird predator (the parasite's definitive host) was not influenced by the number of acanthocephalans they harboured. Crabs that were exposed at the surface of the sediments during receding high tide, however, tended to harbour more parasites than nearby crabs hidden in burrows. An analysis of colour patterns on the carapace of crabs showed that infection levels did not influence carapace pigmentation, and thus did not affect the conspicuousness of a crab relative to the background environment. However, the likelihood of a mate crab winning a ritualized fight against a conspecific in the field was associated with its infection level, but in a way that suggests that this finding is a consequence of pathology rather than an adaptation of the parasite to increase its transmission rate. Although only weak evidence was found indicating that Profilicollis manipulates the behaviour or colour of its host to its own benefit, the high infection levels observed suggest that the crab population acts as a major reservoir for larval stages of this parasite that are infective to birds.</t>
  </si>
  <si>
    <t>Poulin, Robert/GQO-8936-2022; Poulin, Robert/C-3117-2008</t>
  </si>
  <si>
    <t>Poulin, Robert/0000-0003-1390-1206; Poulin, Robert/0000-0003-1390-1206</t>
  </si>
  <si>
    <t>WOS:000173168700014</t>
  </si>
  <si>
    <t>Moura, PA; Cardoso, MZ; Montgomery, SH</t>
  </si>
  <si>
    <t>Moura, Priscila A.; Cardoso, Marcio Z.; Montgomery, Stephen H.</t>
  </si>
  <si>
    <t>No evidence of social learning in a socially roosting butterfly in an associative learning task</t>
  </si>
  <si>
    <t>Insects may acquire social information by active communication and through inadvertent social cues. In a foraging setting, the latter may indicate the presence and quality of resources. Although social learning in foraging contexts is prevalent in eusocial species, this behaviour has been hypothesized to also exist between conspecifics in non-social species with sophisticated behaviours, including Heliconius butterflies. Heliconius are the only butterfly genus with active pollen feeding, a dietary innovation associated with a specialized, spatially faithful foraging behaviour known as trap-lining. Long-standing hypotheses suggest that Heliconius may acquire trap-line information by following experienced individuals. Indeed, Heliconius often aggregate in social roosts, which could act as 'information centres', and present conspecific following behaviour, enhancing opportunities for social learning. Here, we provide a direct test of social learning ability in Heliconius using an associative learning task in which naive individuals completed a colour preference test in the presence of demonstrators trained to feed randomly or with a strong colour preference. We found no evidence that Heliconius erato, which roost socially, used social information in this task. Combined with existing field studies, our results add to data which contradict the hypothesized role of social learning in Heliconius foraging behaviour.</t>
  </si>
  <si>
    <t>Albuquerque de Moura, Priscila/0000-0002-3338-515X</t>
  </si>
  <si>
    <t>10.1098/rsbl.2022.0490</t>
  </si>
  <si>
    <t>WOS:000988392000001</t>
  </si>
  <si>
    <t>Martins, EP; Ossip-Drahos, AG; García, CV; Zúñiga-Vega, JJ; Campos, SM; Hews, DK</t>
  </si>
  <si>
    <t>Martins, Emilia P.; Ossip-Drahos, Alison G.; Vital Garcia, Cuauhcihuatl; Jaime Zuniga-Vega, J.; Campos, Stephanie M.; Hews, Diana K.</t>
  </si>
  <si>
    <t>Trade-offs between visual and chemical behavioral responses</t>
  </si>
  <si>
    <t>Multiple and multimodal signals can evolve because they convey different information to different receivers or in different contexts. From the perspective of display receivers, however, multimodal signals may pose a challenge since evolutionary changes in any one aspect of the signal may require shifts in other aspects of receiver physiology and behavior. Here, we use field experiments with four species of Sceloporus lizards to test whether evolutionary loss of one element of a complex signal (a colorful belly patch) has led to a change in the behavioral response to a live conspecific. Instead, we found that males of three species (S. merriami, cozumelae, and siniferus) responded to the live conspecific with increased visual and decreased chemical behavior, supporting a Sensory Isolation hypothesis in which animals minimize interference by isolating a single sensory modality, for example, closing eyes to pay closer attention to a sound or smell. In an exception that offers additional support, males of the fourth species, S. parvus, also showed a trade-off in their response, but responded to the live stimulus with more chemical and less visual behavior. We found little evidence that lizards that have lost production of one signal element (belly color) have also altered their response behavior as a consequence. These results emphasize the potentially important role of receiver response in maintaining complex and multimodal signals.Significance statementAnimals use all of their sensory systems to communicate with each other, but using more than one sense at a time can be a challenge. Here, we presented male lizards in the field to a tethered intruder to ask whether lizards that have lost one element of the signal (a color patch) over evolutionary time have also evolved their response to communicative signals. Instead, we found that males of three species responded primarily with visual behavior and decreased their use of chemical behavior, as if focusing their attention entirely on the visual sensory modality. Males of the fourth species responded primarily with chemical behavior, and decreased their use of visual behavior. These results suggest that there may be mechanical constraints limiting communication signals that make use of more than one sensory system.</t>
  </si>
  <si>
    <t>Zúñiga-Vega, J. Jaime/B-9423-2013; Vital, Cuau/AAQ-8145-2020</t>
  </si>
  <si>
    <t>Zúñiga-Vega, J. Jaime/0000-0002-9661-1521; Hews, Diana/0000-0002-2252-6711; Martins, Emilia/0000-0002-8952-3240</t>
  </si>
  <si>
    <t>10.1007/s00265-018-2617-0</t>
  </si>
  <si>
    <t>WOS:000451753200001</t>
  </si>
  <si>
    <t>Kanapeckas, KL; Tseng, TM; Vigueira, CC; Ortiz, A; Bridges, WC; Burgos, NR; Fischer, AJ; Lawton-Rauh, A</t>
  </si>
  <si>
    <t>Kanapeckas, Kimberly L.; Tseng, Te-Ming; Vigueira, Cynthia C.; Ortiz, Aida; Bridges, William C.; Burgos, Nilda R.; Fischer, Albert J.; Lawton-Rauh, Amy</t>
  </si>
  <si>
    <t>Contrasting patterns of variation in weedy traits and unique crop features in divergent populations of US weedy rice (Oryza sativa sp.) in Arkansas and California</t>
  </si>
  <si>
    <t>PEST MANAGEMENT SCIENCE</t>
  </si>
  <si>
    <t>BACKGROUNDWeed evolution from crops involves changes in key traits, but it is unclear how genetic and phenotypic variation contribute to weed diversification and productivity. Weedy rice is a conspecific weed of rice (Oryza sativa) worldwide. We used principal component analysis and hierarchical clustering to understand how morphologically and evolutionarily distinct US weedy rice populations persist in rice fields in different locations under contrasting management regimes. Further, we used a representative subset of 15 sequence-tagged site fragments of expressed genes from global Oryza to assess genome-wide sequence variation among populations. RESULTSCrop hull color and crop-overlapping maturity dates plus awns, seed (panicle) shattering (&gt; 50%), pigmented pericarp and stature variation (30.2% of total phenotypic variance) characterize genetically less diverse California weedy rice. By contrast, wild-like hull color, seed shattering (&gt; 50%) and stature differences (55.8% of total phenotypic variance) typify genetically diverse weedy rice ecotypes in Arkansas. CONCLUSIONRecent de-domestication of weedy species-such as in California weedy rice-can involve trait combinations indistinguishable from the crop. This underscores the need for strict seed certification with genetic monitoring and proactive field inspection to prevent proliferation of weedy plant types. In established populations, tillage practice may affect weed diversity and persistence over time. (c) 2017 Society of Chemical Industry</t>
  </si>
  <si>
    <t>Tseng, Te-Ming/AAJ-5860-2021; Métris, Kimberly/HZJ-0644-2023</t>
  </si>
  <si>
    <t>Métris, Kimberly/0000-0002-8336-5827; Lawton-Rauh, Amy/0000-0003-4610-7367; Tseng, Te-Ming Paul/0000-0002-8102-8149</t>
  </si>
  <si>
    <t>1526-498X</t>
  </si>
  <si>
    <t>1526-4998</t>
  </si>
  <si>
    <t>10.1002/ps.4820</t>
  </si>
  <si>
    <t>WOS:000431670200022</t>
  </si>
  <si>
    <t>Ramanzini, GC; Volpato, GL; Visconti, MA</t>
  </si>
  <si>
    <t>Ramanzini, Guilherme Correa; Volpato, Gilson Luiz; Visconti, Maria Aparecida</t>
  </si>
  <si>
    <t>Does MCH play a role on establishment or maintenance of social hierarchy in Nile tilapia?</t>
  </si>
  <si>
    <t>Body coloration has a fundamental role in animal communication by signaling sex, age, reproductive behavior, aggression, etc. Nile-tilapia exhibits dominance hierarchy and the dominants are paler than subordinates. During social interactions in these animals, these color changes occur rapidly, and normally the subordinates become dark. In teleosteans, from the great number of hormones and neurotransmitters involved in color changes, melanocyte hormone stimulates (alpha-MSH) and melanin concentrates hormone (MCH) are the most remarkable. The aim of this project was to investigate the role of MCH in the establishment of hierarchical dominance of the Nile-tilapia. We analyzed the effect of background coloration in the dominance hierarchy. It was then compared to the melanophore sensibility of dominants and subordinates' fishes to MCH; finally, it was checked if the social rank affects the number of these pigment cells in dominants and subordinated fishes. Fishes which have a social hierarchy established and adjusted individually to the background exhibits paler body coloration when a visual contact was possible, independently of previous social rank and background color. Probably, even recognizing each other, fishes could be defending their new territory. Melanophores of the subordinate fishes were more sensible to MCH than dominants. It suggests that dominants fishes, which are paler than subordinates, could be under a chronic effect of MCH, which could be due a desensitization of melanophores to this hormone. The opposite effect seems to be occurring on subordinate fishes. It was not observed a significant change in the number of melanophores when the fishes were exposed to a prolonged period of agonistic interaction. It is possible that the exposure time for this interaction might not have been sufficient to have any change in the number of these cells of dominants and subordinate fishes.</t>
  </si>
  <si>
    <t>Volpato, Gilson L/B-2304-2008; MA, Visconti/H-7123-2013</t>
  </si>
  <si>
    <t>MA, Visconti/0000-0001-8703-5238</t>
  </si>
  <si>
    <t>10.1016/j.physbeh.2017.10.016</t>
  </si>
  <si>
    <t>WOS:000417009800005</t>
  </si>
  <si>
    <t>Kidd, MR; Danley, PD; Kocher, TD</t>
  </si>
  <si>
    <t>A direct assay of female choice in cichlids: all the eggs in one basket</t>
  </si>
  <si>
    <t>A novel testing apparatus is presented which affords the researcher maximum control over the testing environment, but allows for the scoring of actual spawning events. Female Metriaclima zebra and Metriaclima benetos chose the appropriate conspecific mate in every mating trial performed. This apparatus provides support for a critical assumption of many cichlid speciation models: that female cichlids use visual cues to recognize conspecifics. These results demonstrate that females are able to identify conspecific mates using only visual cues, and provide further support for the importance of sexual selection in the speciation of these fishes.</t>
  </si>
  <si>
    <t>Kocher, Thomas D/B-3089-2013</t>
  </si>
  <si>
    <t>Danley, Patrick/0000-0001-8782-5045</t>
  </si>
  <si>
    <t>10.1111/j.0022-1112.2006.00896.x</t>
  </si>
  <si>
    <t>WOS:000235469400003</t>
  </si>
  <si>
    <t>Bezdek, J</t>
  </si>
  <si>
    <t>Bezdek, Jan</t>
  </si>
  <si>
    <t>A REVIEW OF PALAEARCTIC SCELOLYPERUS (COLEOPTERA: CBRYSOMELIDAE: GALERUCINAE), WITH DESCRIPTION OF S-PERREUS SP NOV FROM TURKEY</t>
  </si>
  <si>
    <t>ANNALES ZOOLOGICI</t>
  </si>
  <si>
    <t>Palaearctic species of the genus Scelolyperus Crotch, 1974 (Coleoptera: Chrysomelidae) are reviewed. Scelolyperus perreus sp. nov. from Turkey is described, illustrated and compared with Palaearctic species. Scelolyperus altaicus ssp. eous (Ogloblin, 1936) is elevated to species rank. Four taxa classified or associated with Scelolyperus are transferred elsewhere: Luperus pseudoaltaicus Medvedev, 1975 and Scelolyperus napolovi Medvedev, 2012 are transferred to Euluperus Weise, 1886; Adimonia glabra Fischer von Waldheim, 1842 is not conspecific with Scelolyperus sericeus (Jacobson, 1894) but belongs to the genus Agelastica Chevrolat, 1836 and A. alni orientalis Baly, 1878 is proposed as its new synonym; forgotten Eugalera seminigra Pic, 1903 is tentatively transferred to Luperus Geoffroy, 1762. The lectotypes are designated for Luperus altaicus ssp. eous and Adimonia glabra. Colour photo of habitus and both male and female genitalia are provided for all Palaearctic Scelolyperus species. Preliminary diagnostic table for Palaearctic Luperus-like genera is presented.</t>
  </si>
  <si>
    <t>Bezdek, Jan/J-3548-2018</t>
  </si>
  <si>
    <t>Bezdek, Jan/0000-0003-4358-7211</t>
  </si>
  <si>
    <t>0003-4541</t>
  </si>
  <si>
    <t>1734-1833</t>
  </si>
  <si>
    <t>10.3161/00034541ANZ2015.65.1.003</t>
  </si>
  <si>
    <t>WOS:000353527500003</t>
  </si>
  <si>
    <t>Tisdale, AC; Jones, JA; Aldinger, KR; Bakermans, MH; Larkin, JL; McNeil, DJ; Smalling, CG; Siefferman, L</t>
  </si>
  <si>
    <t>Tisdale, Anna C.; Jones, John Anthony; Aldinger, Kyle R.; Bakermans, Marja H.; Larkin, Jeffery L.; McNeil, D. J., Jr.; Smalling, Curtis G.; Siefferman, Lynn</t>
  </si>
  <si>
    <t>Geography and age are related to plumage coloration of male Golden-winged Warblers (Vermivora chrysoptera)</t>
  </si>
  <si>
    <t>Although plumage displays often reliably signal individual condition and age, how these sexually selected traits vary with geographic region is not well understood. Golden-winged Warbler (Vermivora chrysoptera) populations are fragmented and declining precipitously in the Appalachian Mountains. Limited research suggests that Golden-winged Warbler facial plumage ornaments may be under sexual selection; black throat (melanin-based) coloration is associated with mate acquisition while yellow crown (carotenoid-based) coloration is associated with aggression and habitat quality. We tested whether multiple plumage traits (crown, throat, and tail coloration) (1) varied across the Appalachian breeding range, (2) varied with age class or body condition, and (3) covaried with each other and whether the covariance differed with geographic region. We found that crown and throat coloration followed a latitudinal gradient, with the more southern birds showing lower ornamentation. Moreover, after-second-year birds had tails with a greater extent of white than second-year, suggesting tail color may reliably signal age that conspecifics could assess. Males with more-ornamented crown color had more-ornamented throat coloration, suggesting that this species demonstrates some potential for both redundant (facial coloration) and independent (tail white) signaling. We found no evidence, however, that covariation between traits differed across the breeding range or that the plumage traits varied with body condition. Additional research investigating the signaling function of multiple plumage ornaments in Golden-winged Warblers across their breeding range could shed light on habitat preferences and communication.</t>
  </si>
  <si>
    <t>Jones, John Anthony/0000-0003-2615-1248; Bakermans, Marja/0000-0002-4879-7771</t>
  </si>
  <si>
    <t>WOS:000430954100023</t>
  </si>
  <si>
    <t>Hefetz, A; Errard, C; Chambris, A; LeNegrate, A</t>
  </si>
  <si>
    <t>Postpharyngeal gland secretion as a modifier of aggressive behavior in the myrmicine ant Manica rubida</t>
  </si>
  <si>
    <t>The role of postpharyngeal gland secretion in nestmate recognition was tested in Manica rubida. Behavioral tests comprised two consecutive encounters between five ants and their color-marked nestmate. The first encounter utilized an untreated ant constituting a control, whereas in the second encounter the marked ant was treated with postpharyngeal gland exudate. Scoring was done using an aggression index obtained by direct observation and an agitation index deduced from a frame-by-frame analysis of videotapes of the various tests. When the glandular secretion originated from an alien ant, the ants became very agitated and were aggressive toward their nestmate. When the exudate originated from a nestmate, the ants generally remained calm, although their rates of self-grooming increased.</t>
  </si>
  <si>
    <t>Hefetz, Abraham/I-3853-2015</t>
  </si>
  <si>
    <t>10.1007/BF02213551</t>
  </si>
  <si>
    <t>WOS:A1996VX87000005</t>
  </si>
  <si>
    <t>Chung, KC; Woo, NYS</t>
  </si>
  <si>
    <t>Phylogenetic relationships of the Pomacanthidae (Pisces: Teleostei) inferred from allozyme variation</t>
  </si>
  <si>
    <t>Phylogenetic relationships of 31 pomacanthid species representing all genera were investigated by horizontal starch gel electrophoresis. Nei's genetic distances (D) were calculated and dendrograms constructed from allozyme variation in 23 loci. The average D value was 0.03 between conspecific colour variants, 0.40 between congeneric subgenera, and 1.27 between confamilial genera. From the dendrograms the following were revealed: (1) the generic status of Apolemichthys arcuatus and Holacanthus venustus, as well as the generic and subgeneric status of Centropyge multifasciata were confirmed; (2) the subgeneric status of Xiphypops was confirmed; (3) Pygoplites diacanthus was found to be closely related to members of the subgenus Pomacanthus; (4) Pomacanthus zonipectus was found to be biochemically distinct from its con-subgeners; (5) the genera Pomacanthus and Holacanthus are more closely related than currently thought; (6) the Genicanthus species might warrant a subfamily of their own.</t>
  </si>
  <si>
    <t>10.1111/j.1469-7998.1998.tb00150.x</t>
  </si>
  <si>
    <t>WOS:000077191700010</t>
  </si>
  <si>
    <t>Bertani, R; Leal, F</t>
  </si>
  <si>
    <t>Bertani, Rogerio; Leal, Fernando</t>
  </si>
  <si>
    <t>A new species of Pterinopelma (Araneae: Theraphosidae) from the highlands of the state of Minas Gerais, Brazil and description of the male of P. sazimai</t>
  </si>
  <si>
    <t>ZOOLOGIA</t>
  </si>
  <si>
    <t>We describe a new species of tarantula from the highlands of the state of Minas Gerais, Brazil. Males of the new species can be distinguished from congeners by having palpal bulb keels weakly developed, and metatarsus I strongly curved, touching apex of retrolateral spur when folded. Females can be distinguished by the color pattern, carapace and legs black with conspicuous white rings on distal femora, patellae, tibiae, and metatarsi. The male of Pterinopelma felipeleitei sp. nov. was previously misidentified and described under the name Pterinopelma sazimai Bertani, Nagahama &amp; Fukushima, 2011. The true male of P. sazimai is herein described from a specimen collected near the type locality. Similar to the conspecific female, this male has characteristic blue iridescent setae covering the carapace, chelicerae, legs, and palps. The new species is sympatric with P. sazimai. Both species inhabit a habitat locally known as 'campos rupestres'.</t>
  </si>
  <si>
    <t>1984-4670</t>
  </si>
  <si>
    <t>e20150190</t>
  </si>
  <si>
    <t>10.1590/S1984-4689zool-20150190</t>
  </si>
  <si>
    <t>WOS:000376449900006</t>
  </si>
  <si>
    <t>White, WT; Last, PR; Baje, L</t>
  </si>
  <si>
    <t>White, William T.; Last, Peter R.; Baje, Leontine</t>
  </si>
  <si>
    <t>Aetomylaeus caeruleofasciatus, a new species of eagle ray (Myliobatiformes: Myliobatidae) from northern Australia and New Guinea</t>
  </si>
  <si>
    <t>A new species of eagle ray, Aetomylaeus caeruleofasciatus sp. nov., is described based on specimens collected in northern Australia and southern Papua New Guinea. The new species is very closely related to Aetomylaeus nichofii and was previously considered to be conspecific with this species. The new species and A. nichofii differ from their congeners in having a dorsal pattern of seven or eight transverse pale blue bands. As with other eagle ray species, morphological characteristics which distinguish the closely related species were largely obscured by intraspecific variation. The clearest morphological differences were apparent when comparing adult males to adult males and adult females to adult females, e.g. disc longer in adult female A. caeruleofasciatus compared to adult female A. nichofii. The two species also differ in the number of pelvic radials in both females and males and show subtle colour differences. A neotype is also allocated for A. nichofii.</t>
  </si>
  <si>
    <t>Last, Peter R/B-9740-2009; White, William/B-9748-2009</t>
  </si>
  <si>
    <t>White, William/0000-0001-9705-2453</t>
  </si>
  <si>
    <t>10.1007/s10228-015-0480-9</t>
  </si>
  <si>
    <t>WOS:000367602100010</t>
  </si>
  <si>
    <t>Oldfield, RG; Mandrekar, K; Nieves, MX; Hendrickson, DA; Chakrabarty, P; Swanson, BO; Hofmann, HA</t>
  </si>
  <si>
    <t>Oldfield, Ronald G.; Mandrekar, Kapil; Nieves, M. Xavier; Hendrickson, Dean A.; Chakrabarty, Prosanta; Swanson, Brook O.; Hofmann, Hans A.</t>
  </si>
  <si>
    <t>Parental care in the Cuatro Cienegas cichlid, Herichthys minckleyi (Teleostei: Cichlidae)</t>
  </si>
  <si>
    <t>Behavioral studies have often examined parental care by measuring phenotypic plasticity of behavior within a species. Phylogenetic studies have compared parental care among species, but only at broad categories (e.g., care vs. no care). Here we provide a detailed account that integrates phylogenetic analysis with quantitative behavioral data to better understand parental care behavior in the Cuatro Cienegas cichlid, Herichthys minckleyi. We found that H. minckleyi occurs in a clade of sexually monochromatic or weakly dichromatic monogamous species, but that male and female H. minckleyi have dramatically different reproductive coloration patterns, likely as a result of sexual selection. Furthermore, we found that males are polygynous; large males guard large territories, and smaller males may attempt alternative mating tactics (sneaking). Finally, compared to the closely related monogamous Rio Grande cichlid, H. cyanoguttatus, males of H. minckleyi were present at their nests less often and performed lower rates of aggressive offspring defense, and females compensated for the absence of their mates by performing higher levels of offspring defense. Body color, mating system, and parental care in H. minckleyi appear to have evolved after it colonized Cuatro Cienegas, and are likely a result of evolution in an isolated, stable environment.</t>
  </si>
  <si>
    <t>Chakrabarty, Prosanta/E-3307-2010; Hofmann, Hans A/E-4538-2016; Hendrickson, Dean A./G-9451-2018</t>
  </si>
  <si>
    <t>Hendrickson, Dean A./0000-0001-7835-0295</t>
  </si>
  <si>
    <t>10.1007/s10750-014-2081-4</t>
  </si>
  <si>
    <t>WOS:000349968000016</t>
  </si>
  <si>
    <t>SIEGELCAUSEY, D</t>
  </si>
  <si>
    <t>THE COURTSHIP BEHAVIOR AND MIXED-SPECIES PAIRING OF KING AND IMPERIAL BLUE-EYED SHAGS (PHALACROCORAX-ALBIVENTER AND PHALACROCORAX-ATRICEPS)</t>
  </si>
  <si>
    <t>I compared the courtship behavior of King and Imperial Blue-eyed shags (Phalacrocorax albiventer and P. atriceps) for similarity and assessed their potential as a behavioral isolating mechanism between the two species. I could detect no differences in form or sequence of behavioral patterns, although there were some minor distinctions between forms. Observations were made near the end of the breeding season and may represent only the postbreeding behavior. I describe several new displays for King and Imperial shags, and contrast them with those known for the closely-related Antarctic Blue-eyed Shags (P. atriceps bransfieldensis). The courtship behavior of mixed-species pairs was nearly identical to conspecific pairs, and was difficult to distinguish. The observations do not support the existence of behavioral isolation between King and Imperial shags, but do support the contention that King Shags in Patagonia are color morphs of Imperial Blue-eyed Shags.</t>
  </si>
  <si>
    <t>WOS:A1986F283900007</t>
  </si>
  <si>
    <t>White, TE; Locke, A; Latty, T</t>
  </si>
  <si>
    <t>White, Thomas E.; Locke, Amy; Latty, Tanya</t>
  </si>
  <si>
    <t>Heightened condition dependent expression of structural coloration in the faces, but not wings, of male and female flies</t>
  </si>
  <si>
    <t>Structurally colored sexual signals are a conspicuous and widespread class of ornament used in mate choice, though the extent to which they encode information on the quality of their bearers is not fully resolved. Theory predicts that signaling traits under strong sexual selection as honest indicators should evolve to be more developmentally integrated and exaggerated than nonsexual traits, thereby leading to heightened condition dependence. Here, we test this prediction through examination of the sexually dimorphic faces and wings of the cursorial fly Lispe cana. Males and females possess structural UV-white and golden faces, respectively, and males present their faces and wings to females during close-range, ground-based courtship displays, thereby creating the opportunity for mutual inspection. Across a field-collected sample of individuals, we found that the appearance of the faces of both sexes scaled positively with individual condition, though along separate axes. Males in better condition expressed brighter faces as modeled according to conspecific flies, whereas condition scaled with facial saturation in females. We found no such relationships for their wing interference pattern nor abdomens, with the latter included as a nonsexual control. Our results suggest that the structurally colored faces, but not the iridescent wings, of male and female L. cana are reliable guides to individual quality and support the broader potential for structural colors as honest signals. They also highlight the potential for mutual mate choice in this system, while arguing for 1 of several alternate signaling roles for wing interferences patterns among the myriad taxa which bear them.</t>
  </si>
  <si>
    <t>OCT 28</t>
  </si>
  <si>
    <t>10.1093/cz/zoab087</t>
  </si>
  <si>
    <t>WOS:000789358100001</t>
  </si>
  <si>
    <t>Cleaver, RM; Konings, AE; Stauffer, JR</t>
  </si>
  <si>
    <t>Cleaver, Rachel M.; Konings, Adrianus E.; Stauffer, Jay R., Jr.</t>
  </si>
  <si>
    <t>Two new cave-dwelling cichlids of Lake Malawi, Africa</t>
  </si>
  <si>
    <t>ICHTHYOLOGICAL EXPLORATION OF FRESHWATERS</t>
  </si>
  <si>
    <t>Six different populations of the Lake Mala vi cave-dweller Otopharynx lithobates, each of them distinguished by differences in the male breeding coloration, were examined. We found that morphometric and meristic data of all Populations overlap, and that no significant differences could be found to distinguish them. Morphological data of Otopharynx walteri were completely within the range of O. lithobates and we regard them as conspecific. Two other cave-dwelling cichlids are described: Otopharynx spelaeotes, new species, and Otopharynx antron, new species. No geographical variation in the males' breeding colors of these species was observed. Otopharynx antron is described from a 20 kin stretch of the eastern shore of the lake. It is sympatric with O. spelaeotes, but seems to have a more predatory feeding regime. Stigmatochromis modestus, another cave-dwelling species, and Stigmatochromis pleurospilus are compared to the three cave-dwelling members of Otopharynx.</t>
  </si>
  <si>
    <t>0936-9902</t>
  </si>
  <si>
    <t>WOS:000269324600006</t>
  </si>
  <si>
    <t>Johnson, CB; Quah, SHE; Anuar, S; Muin, MA; Wood, PL; Grismer, JL; Greer, LF; Onn, CK; Ahmad, N; Bauer, AM; Grismer, LL</t>
  </si>
  <si>
    <t>Johnson, Chelsea B.; Quah, Evan S. H.; Anuar, Shahrul; Muin, M. A.; Wood, Perry L., Jr.; Grismer, Jesse L.; Greer, Lee F.; Onn, Chan Kin; Ahmad, Norhayati; Bauer, Aaron M.; Grismer, L. Lee</t>
  </si>
  <si>
    <t>Phylogeography, geographic variation, and taxonomy of the Bent-toed Gecko Cyrtodactylus quadrivirgatus Taylor, 1962 from Peninsular Malaysia with the description of a new swamp dwelling species</t>
  </si>
  <si>
    <t>A review of the taxonomic status of the Bent-toed Gecko Cyrtodactylus quadrivirgatus Taylor, 1962 based on a molecular phylogeny, scalation, and color pattern analyses indicate that it is composed of a single, recently expanding, widespread population with weakly supported phylogeographic substructuring with no discrete morphological differentiation between populations. However, based on sampling, significant mean differences in selected scale counts occur between some populations. The molecular phylogeny and morphological analysis strongly indicate lineage independence between a subset of individuals from the Bukit Panchor, Penang population and their closest relative C. pantiensis Grismer, Chan, Grismer, Wood &amp; Belabut, 2008 from southern Peninsular Malaysia. Furthermore, the analyses indicate that the individuals of this subset are conspecific and not part of C. quadrivirgatus as previously suggested. Additionally, this subset is morphologically distinct from all other Sundaland species of Cyrtodactylus, and as such is described herein as Cyrtodactylus payacola sp. nov.</t>
  </si>
  <si>
    <t>SAH, SHAHRUL ANUAR MOHD/S-1244-2018; Akil, Mohd Abdul Muin Md./C-6886-2009; Onn, Chan Kin/AAH-1021-2020; SAH, SHAHRUL ANUAR MOHD/B-9370-2011; Quah, Evan/Z-4053-2019; Wood, Perry/ABA-3954-2020; Ahmad, Norhayati/Q-2806-2019</t>
  </si>
  <si>
    <t>SAH, SHAHRUL ANUAR MOHD/0000-0003-0648-7318; Onn, Chan Kin/0000-0001-6270-0983; Quah, Evan/0000-0002-5357-1953; Wood, Perry/0000-0003-3767-5274; Ahmad, Norhayati/0000-0003-3215-2968</t>
  </si>
  <si>
    <t>WOS:000306952500003</t>
  </si>
  <si>
    <t>Dale, S; Slagsvold, T</t>
  </si>
  <si>
    <t>Plumage coloration and conspicuousness in birds: Experiments with the pied flycatcher</t>
  </si>
  <si>
    <t>Hypotheses concerning predation, sexual selection, and communication in birds often assume that individuals differ in conspicuousness. However, few studies have tested this by measuring the response of individuals that receive the signals. We investigated the effect of plumage coloration on conspicuousness by presenting caged Pied Flycatchers (Ficedula hypoleuca) to unmated territorial males and measuring the time until a response (either courtship or aggression) from the territorial male was observed. In the first experiment, we presented caged males and females at various distances and degrees of habitat openness. Caged birds elicited responses more rapidly in open than in closed habitats, and response time increased with distance. Black-and-white-colored males seemed to trigger a response more rapidly than brown-colored females, at least in open habitats. In the second experiment, we presented bright-colored males, dull males, and bright-painted dull males. All trials were made at the same distance. Caged birds again elicited more rapid responses in open than in closed habitats. Bright-colored males seemed to trigger a response more quickly than dull-colored males, but only in closed habitats. Painted birds elicited response times intermediate to those of bright and dull males. The difference in interaction between color and habitat in the two experiments is difficult to explain but may have been caused by differences in background related to seasonal development of vegetation. One possible problem with experiments on conspicuousness is that the response may be delayed after the receiver has detected the signal. Field observations of the behavior of territorial birds suggested that this probably did not confound the results of our study. Thus, the results support the intuitive but previously untested hypothesis that a bright and contrasting coloration makes birds more conspicuous to conspecifics.</t>
  </si>
  <si>
    <t>10.2307/4088863</t>
  </si>
  <si>
    <t>WOS:A1996VN96300011</t>
  </si>
  <si>
    <t>Lois-Milevicich, J; Kacelnik, A; Reboreda, JC</t>
  </si>
  <si>
    <t>Lois-Milevicich, Jimena; Kacelnik, Alex; Reboreda, Juan Carlos</t>
  </si>
  <si>
    <t>Sex differences in the use of spatial cues in two avian brood parasites</t>
  </si>
  <si>
    <t>Shiny and screaming cowbirds are avian interspecific brood parasites that locate and prospect host nests in daylight and return from one to several days later to lay an egg during the pre-dawn twilight. Thus, during nest location and prospecting, both location information and visual features are available, but the latter become less salient in the low-light conditions when the nests are visited for laying. This raises the question of how these different sources of information interact, and whether this reflects different behavioural specializations across sexes. Differences are expected, because in shiny cowbirds, females act alone, but in screaming cowbirds, both sexes make exploratory and laying nest visits together. We trained females and males of shiny and screaming cowbird to locate a food source signalled by both colour and position (cues associated), and evaluated performance after displacing the colour cue to make it misleading (cues dissociated). There were no sex or species differences in acquisition performance while the cues were associated. When the colour cue was relocated, individuals of both sexes and species located the food source making fewer visits to non-baited wells than expected by chance, indicating that they all retained the position as an informative cue. In this phase, however, shiny cowbird females, but not screaming, outperformed conspecific males, visiting fewer non-baited wells before finding the food location and making straighter paths in the search. These results are consistent with a greater reliance on spatial memory, as expected from the shiny cowbird female's specialization on nest location behaviour.</t>
  </si>
  <si>
    <t>Reboreda, Juan Carlos/HZI-8689-2023; Reboreda, Juan C/E-5548-2012</t>
  </si>
  <si>
    <t>Lois-Milevicich, Jimena/0000-0003-0558-4415; Reboreda, Juan Carlos/0000-0001-5136-4574</t>
  </si>
  <si>
    <t>10.1007/s10071-020-01434-8</t>
  </si>
  <si>
    <t>WOS:000573200000001</t>
  </si>
  <si>
    <t>Agrawal, S; Dickinson, MH</t>
  </si>
  <si>
    <t>Agrawal, Sweta; Dickinson, Michael H.</t>
  </si>
  <si>
    <t>The effects of target contrast on Drosophila courtship</t>
  </si>
  <si>
    <t>Many animals use visual cues such as object shape, color and motion to detect and pursue conspecific mates. Contrast is another possibly informative visual cue, but has not been studied in great detail. In this study, we presented male Drosophila melanogaster with small, flysized, moving objects painted either black, white or gray to test whether they use contrast cues to identify mates. We found that males frequently chased gray objects and rarely chased white or black objects. Although males started chasing black objects as often as gray objects, the resulting chases were much shorter. To test whether the attraction to gray objects was mediated via contrast, we fabricated black and gray behavioral chambers. However, wild-type males almost never chased any objects in these darkly colored chambers. To circumvent this limitation, we increased baseline levels of chasing by thermogenetically activating P1 neurons to promote courtship. Males with thermogenetically activated P1 neurons maintained a similar preference for gray objects despite elevated levels of courtship behavior. When placed in a black chamber, males with activated P1 neurons switched their preference and chased black objects more than gray objects. We also tested whether males use contrast cues to orient to particular parts of the female's body during courtship. When presented with moving objects painted two colors, males positioned themselves next to the gray half regardless of whether the other half was painted black or white. These results suggest that males can use contrast to recognize potential mates and to position themselves during courtship.</t>
  </si>
  <si>
    <t>Agrawal, Sweta/0000-0003-0547-4099</t>
  </si>
  <si>
    <t>jeb203414</t>
  </si>
  <si>
    <t>10.1242/jeb.203414</t>
  </si>
  <si>
    <t>WOS:000484368200006</t>
  </si>
  <si>
    <t>EISERER, LA</t>
  </si>
  <si>
    <t>LONG-TERM POTENTIAL FOR IMPRINTING IN DUCKS AND CHICKENS</t>
  </si>
  <si>
    <t>In the first of 5 experiments, 3 of 4 adult ducks who were reared in visual isolation gradually developed strong approach responses towards a moving panel of colored lights. Experiment 2 provided evidence that the ducks'' approach response reflected the same sort of social attachment that is typically formed to moving objects by newly hatched ducklings. Experiment 3 revealed that the 4th duck would not approach the moving stimulus even after additional exposure to it, but would approach a conspecific after group housing was enforced for 7 days. In experiment 4, none of 5 adult chickens who were reared in visual isolation developed approach responses towards the moving stimulus even though in experiment 5, newly hatched chicks approached the stimulus quite readily. Ducks probably retain the ability to form filial-type attachment to novel objects throughout their lives, and chickens probably do not retain this ability into adulthood.</t>
  </si>
  <si>
    <t>10.1901/jeab.1980.33-383</t>
  </si>
  <si>
    <t>WOS:A1980JR70200008</t>
  </si>
  <si>
    <t>Toshova, TB; Subchev, MA; Tóth, M</t>
  </si>
  <si>
    <t>Toshova, Teodora Borislavova; Subchev, Mitko Angelov; Toth, Miklos</t>
  </si>
  <si>
    <t>Role of olfactory and visual stimuli in the mating behaviour of male vine bud moths, Theresimima ampellophaga (Lepidoptera: Zygaenidae)</t>
  </si>
  <si>
    <t>EUROPEAN JOURNAL OF ENTOMOLOGY</t>
  </si>
  <si>
    <t>The influence of olfactory and visual stimuli on the mating behaviour of Theresimima ampellophaga males was investigated in the field. A female model attached to a pheromone source significantly increased the number of males contacting and showing copulatory responses compared to their reaction to a pheromone stimulus alone. The pheromone stimulus was the primary factor releasing male copulatory behaviour, independent of the spatial arrangement of olfactory and visual cues. The role of the visual cues decreased with increasing distance between visual and olfactory cues. The reaction of males to pairs of models with different characteristics of conspecific females, in combination with a pheromone source placed 2 cm upwind from the center of the line between each pair of models, was compared. The size and shape of the female seemed not to be important, while the colour, posture, sex and species belongings significantly influenced the male's mating reaction.</t>
  </si>
  <si>
    <t>Toshova, Teodora/GOK-2147-2022</t>
  </si>
  <si>
    <t>Toshova, Teodora/0000-0001-8743-9216</t>
  </si>
  <si>
    <t>1802-8829</t>
  </si>
  <si>
    <t>JAN 3</t>
  </si>
  <si>
    <t>10.14411/eje.2007.009</t>
  </si>
  <si>
    <t>WOS:000243077100009</t>
  </si>
  <si>
    <t>DECKEL, AW</t>
  </si>
  <si>
    <t>LATERALITY OF AGGRESSIVE RESPONSES IN ANOLIS</t>
  </si>
  <si>
    <t>This experiment examined whether or not aggression in the Lizard Anolis (suborder Lacertilia, family Iguanidae) is lateralized. Five pair of adult Anolis were subjected to several 20 min behavioral trials, during which one animal was placed in the cage of the other. Behaviors were captured on video and coded according to eye preference, motor activity, posture, and color. Analysis of the data found that the most aggressive behaviors, including biting, threatened biting, and aggressive movements, were done under the guidance of the left eye. Both left and right eyes were used with equal frequency during non-aggressive movements. Most of these aggressive episodes were done while the animals were ''lightly'' colored. Because of an almost complete crossing-over of the optic tract in Anolis, along with the absence of a corpus callosum, it is likely that most, if not all, of the information in the left eye was processed by the right hemisphere. These results suggest that the lizard Anolis, like humans, rats, and chicks, may mediate aggressive responses predominantly through right-hemispheric brain mechanisms. (C) 1995 Wiley-Liss, Inc.</t>
  </si>
  <si>
    <t>10.1002/jez.1402720304</t>
  </si>
  <si>
    <t>WOS:A1995RG10200003</t>
  </si>
  <si>
    <t>Brooks, R; Caithness, N</t>
  </si>
  <si>
    <t>Intersexual and intrasexual selection, sneak copulation and male ornamentation in guppies (Poecilia reticulata)</t>
  </si>
  <si>
    <t>SOUTH AFRICAN JOURNAL OF ZOOLOGY</t>
  </si>
  <si>
    <t>To test the relative importance of female choice, sneak copulation and male dominance as determinants of male mating success in a feral guppy population, we conducted a paired-male mating experiment using the colour patterns of male progeny to score paternity. Sneak copulation and male-male aggression had no noticeable effect on male mating success. Mating success was strongly related to the frequency of female behavioural responses to both displaying and non-displaying males. Relative area of orange colouration and complexity of male colour patterns were positively related to mating success. This substantiates the observed behavioural preference for orange, and strengthens claims that female choice is integral to male mating success. Males in trials in which both females failed to produce offspring showed lower levels of black pigmentation, suggesting a threshold mating preference for this ornament despite it not being correlated with variation in male mating success or attractiveness measures. The implications of these findings for the evolution of multiple secondary sex traits in male guppies are discussed.</t>
  </si>
  <si>
    <t>Brooks, Robert/A-1251-2008</t>
  </si>
  <si>
    <t>Brooks, Robert/0000-0001-6926-0781; Caithness, Neil/0000-0002-6234-4285</t>
  </si>
  <si>
    <t>0254-1858</t>
  </si>
  <si>
    <t>WOS:000080718600002</t>
  </si>
  <si>
    <t>Côte, IM; Cheney, KL</t>
  </si>
  <si>
    <t>Cote, Isabelle M.; Cheney, Karen L.</t>
  </si>
  <si>
    <t>A protective function for aggressive mimicry?</t>
  </si>
  <si>
    <t>Mimicry often involves a protective element, whereby the risk of predation on mimics is reduced owing to their resemblance to unpalatable models. However, protection from predation has so far seemed unimportant in aggressive mimicry, where mimics are usually predators rather than prey. Here, we demonstrate that bluestriped fangblennies (Plagiotremus rhinorhynchos), which are aggressive mimics of juvenile bluestreak cleaner wrasse (Labroides dimidiatus), derive significant protection benefits from their resemblance to cleaner fish. Field observations revealed that mimetic fangblennies were chased by potential victims less often than individuals of a closely related, ecologically and behaviourally similar but non- mimetic species (Plagiotremus tapeinosoma). After attacks, proximity to models protected mimics from retaliation by victims, but the effect of colour similarity was less clear. Both colour resemblance and physical proximity to models thus appear to protect cleaner- fish mimics from aggression by potential and actual victims of their attacks. Our results suggest that the mimicry types observed in nature, which are usually distinguished on the basis of the benefits accrued to mimics, may in fact overlap greatly in the benefits provided.</t>
  </si>
  <si>
    <t>Cheney, Karen L/A-6827-2013; Cote, Isabelle/ABD-5898-2021; Cheney, Karen/L-3427-2018</t>
  </si>
  <si>
    <t>Cheney, Karen L/0000-0001-5622-9494; Cheney, Karen/0000-0001-5622-9494</t>
  </si>
  <si>
    <t>10.1098/rspb.2007.0797</t>
  </si>
  <si>
    <t>WOS:000248887800011</t>
  </si>
  <si>
    <t>Huang, CK; Lee, YF; Kuo, YM</t>
  </si>
  <si>
    <t>Huang, Chih-Kai; Lee, Ya-Fu; Kuo, Yen-Min</t>
  </si>
  <si>
    <t>Neighborhood effects in mixed-species flocks affect foraging efficiency of intermediate and little egrets</t>
  </si>
  <si>
    <t>Birds aggregate for various survival needs, and ardeids form both conspecific and mixed-species flocks. However, it remains unclear whether and how ardeids' foraging while joining a flock is affected differently in conspecific versus mixed-species flocks. We studied egret flocks in southwestern Taiwan to assess the flock size and neighborhood effects on flock formation and foraging performance of egrets by examining landing tendencies and expelling behaviors of Little (Egretta garzetta) and Intermediate (E. intermedia) egrets, and assessing strike rates, strike efficiency, and intake rates of singles and egrets in conspecific and mixed-species flocks. We found no evidence of non-random landings to mixed-species flocks by either species, but egrets showed a trend of landing closer to conspecifics when conspecifics represented lower proportions in flocks. Intermediate Egrets displayed expelling behavior more frequently. Expelling by earlier arrived egrets interrupted subsequent flock formation on 45.2 % occasions, but was not affected by egrets' foraging performance. Solitary Little Egrets had higher strike and fish intake rates, but lower strike efficiency, than solitary Intermediate Egrets, whereas their biomass intake rates were similar. Strike and fish intake rates increased in flocks compared to singles in both species, but declined for Little Egrets as flocks increased from medium (11-30 birds) to large sizes (&gt; 30). Intermediate Egrets had higher strike, fish intake, and biomass intake rates, but Little Egrets had lowered strike efficiency and fish-and biomass-intake rates, when near each other than when near conspecifics. Overall, Intermediate Egrets in mixed-species flocks improved foraging efficiency and food intakes by neighborhood effects at costs of reduced foraging efficiency to Little Egrets. The variation in landing tendency over flock compositions suggests potential interactions of the neighborhood effect with egrets' conspecific attraction.</t>
  </si>
  <si>
    <t>10.1016/j.zool.2020.125874</t>
  </si>
  <si>
    <t>WOS:000618276500003</t>
  </si>
  <si>
    <t>Clark, DL; Macedonia, JM; Rowe, JW; Stuart, MA; Kemp, DJ; Ord, TJ</t>
  </si>
  <si>
    <t>Clark, David L.; Macedonia, Joseph M.; Rowe, John W.; Stuart, Mark A.; Kemp, Darrell J.; Ord, Terry J.</t>
  </si>
  <si>
    <t>Evolution of displays in Galapagos lava lizards: comparative analyses of signallers and robot playbacks to receivers</t>
  </si>
  <si>
    <t>Differentiation in the structure of animal signals and displays among closely related species has intrigued biologists for centuries. Such divergence is often attributed to behavioural premating isolation, where sexual selection has favoured species recognition in environments containing sympatric congeners. However, in some cases closely related taxa have undergone speciation and display differentiation in isolation, in the apparent absence of benefits afforded by species recognition. Such is the case for the lava lizards (Microlophus spp.) endemic to the Galapagos Islands, where no two species overlap in distribution and all are thought to have evolved in allopatry from congeners. To test alternative evolutionary models, we used several phylogenetic comparative methods to assess how Microlophus displays have evolved. Results showed some potential for the influence of genetic drift, but little evidence of sexual selection (via male-male competition) or colonization history on the way displays have diverged among taxa. We then used lizard robots to test whether two representative Galapagos lava lizard species, Microlophus grayii and Microlophus indefatigabilis, would respond preferentially to a robot performing conspecific displays over those of the congener. We predicted that, in the absence of reinforcing selection, neither species would show a preference for conspecific displays. Results were mixed: whereas M. grayii showed no discrimination of conspecific over heterospecific displays, male M. indefatigabilis showed significantly stronger responses to their own displays than to those of the heterospecific. We then conducted the same experiment with a mainland congener, Microlophus occipitalis, to provide a broader view of potential responses across the group. Results revealed significant discrimination against heterospecific displays. We discuss our findings in light of hypotheses of signal differentiation, and suggest alternative interpretations for recognition of conspecific displays in species that are thought to have evolved in isolation. (C) 2015 The Association for the Study of Animal Behaviour. Published by Elsevier Ltd. All rights reserved.</t>
  </si>
  <si>
    <t>Kemp, Darrell/ABC-9638-2021; Ord, Terry J/C-6870-2009</t>
  </si>
  <si>
    <t>Kemp, Darrell/0000-0002-5845-5513; Ord, Terry J/0000-0002-2608-2150</t>
  </si>
  <si>
    <t>10.1016/j.anbehav.2015.08.002</t>
  </si>
  <si>
    <t>WOS:000363268300007</t>
  </si>
  <si>
    <t>Sköld, HN; Amundsen, T; Svensson, PA; Mayer, I; Bjelvenmark, J; Forsgren, E</t>
  </si>
  <si>
    <t>Skold, Helen Nilsson; Amundsen, Trond; Svensson, Per Andreas; Mayer, Ian; Bjelvenmark, Jens; Forsgren, Elisabet</t>
  </si>
  <si>
    <t>Hormonal regulation of female nuptial coloration in a fish</t>
  </si>
  <si>
    <t>Physiological color change in camouflage and mating is widespread among fishes, but little is known about the regulation of such temporal changes in nuptial coloration and particularly concerning female coloration. To better understand regulation of nuptial coloration we investigated physiological color change in female two-spotted gobies (Gobiusculus flavescens). Females of this species develop an orange belly that acts as an ornament. The orange color is caused by the color of the gonads combined with the chromathophore based pigmentation and transparency of the skin. Often during courtship and female-female competition, a rapid increase in orange coloration, in combination with lighter sides and back that increases skin and body transparency, gives the belly an intense 'glowing' appearance. To understand how this increased orange coloration can be regulated we analysed chromatic and transparency effects of neurohumoral agents on abdominal skin biopsies in vitro. We found prolactin and alpha-melanocyte stimulating hormone (MSH) to increase orange coloration of the skin. By contrast, melatonin and noradrenaline increased skin transparency, but had a negative effect on orange coloration. However, mixtures of melatonin and MSH, or melatonin and prolactin, increased both orange coloration and transparency. This effect mimics the chromatic 'glow' effect that commonly takes place during courtship and intra sexual aggression. Notably, not only epidermal chromatophores but also internal chromatophores lining the peritoneum responded to hormone treatments. There were no chromatic effects of the sex steroids 17 beta-estradiol, testosterone or 11-ketotestosterone. We hypothesize that similar modulation of nuptial coloration by multiple hormones may be widespread in nature. (C) 2008 Elsevier Inc. All rights reserved.</t>
  </si>
  <si>
    <t>Svensson, P/D-3987-2011; Forsgren, Elisabet/KVB-7700-2024; Svensson, P Andreas/D-2517-2015</t>
  </si>
  <si>
    <t>Forsgren, Elisabet/0000-0001-5795-3820; Svensson, P Andreas/0000-0002-1426-0036; Amundsen, Trond/0000-0003-4261-0555</t>
  </si>
  <si>
    <t>10.1016/j.yhbeh.2008.05.018</t>
  </si>
  <si>
    <t>WOS:000259159200011</t>
  </si>
  <si>
    <t>CHARDINE, JW</t>
  </si>
  <si>
    <t>INTERFERENCE OF COPULATION IN A COLONY OF MARKED BLACK-LEGGED KITTIWAKES</t>
  </si>
  <si>
    <t>During behavioural observations (1979-1981) at a colony of black-legged kittiwakes (Rissa tridactyla) nesting on the window ledges of a warehouse, some breeding and nonbreeding males interfered with the copulations of conspecific colony members. The proportion of copulations interferred with varied from 15 to 27% depending upon year. Four types of interference were identified. Interference stopped 51% of copulations and temporarily halted another 37%. Some interfering birds were individually identified by colour bands or other unique features. Identified males seen to interfere at least once did not differ significantly with respect to breeding experience from those never seen to interfere, but the former group had paired with their mates for significantly fewer years than the latter. The majority of interferences by breeding males were performed during the 2-week period before their mates laid eggs: a period coincident with peak rates of copulation for these pairs. The results are used in an evaluation of hypotheses for the adaptive function of interference behaviour.</t>
  </si>
  <si>
    <t>10.1139/z86-211</t>
  </si>
  <si>
    <t>WOS:A1986D643700006</t>
  </si>
  <si>
    <t>Guillette, LM; Scott, ACY; Healy, SD</t>
  </si>
  <si>
    <t>Guillette, Lauren M.; Scott, Alice C. Y.; Healy, Susan D.</t>
  </si>
  <si>
    <t>Social learning in nest-building birds: a role for familiarity</t>
  </si>
  <si>
    <t>It is becoming apparent that birds learn from their own experiences of nest building. What is not clear is whether birds can learn from watching conspecifics build. As social learning allows an animal to gain information without engaging in costly trial-and-error learning, first-time builders should exploit the successful habits of experienced builders. We presented first-time nest building male zebra finches with either a familiar or an unfamiliar conspecific male building with material of a colour the observer did not like. When given the opportunity to build, males that had watched a familiar male build switched their material preference to that used by the familiar male. Males that observed unfamiliar birds did not. Thus, first-time nest builders use social information and copy the nest material choices when demonstrators are familiar but not when they are strangers. The relationships between individuals therefore influence how nest-building expertise is socially transmitted in zebra finches.</t>
  </si>
  <si>
    <t>Guillette, Lauren M/0000-0002-8777-6543; Healy, Susan/0000-0002-8059-4480</t>
  </si>
  <si>
    <t>MAR 30</t>
  </si>
  <si>
    <t>10.1098/rspb.2015.2685</t>
  </si>
  <si>
    <t>WOS:000375732500019</t>
  </si>
  <si>
    <t>Modica, MV</t>
  </si>
  <si>
    <t>Modica, M. V.</t>
  </si>
  <si>
    <t>The first anatomical description of two trigonostomatine Cancellariidae, Scalptia androyensis and Scalptia foveolata (Mollusca: Gastropoda: Neogastropoda: Cancellarioidea)</t>
  </si>
  <si>
    <t>ITALIAN JOURNAL OF ZOOLOGY</t>
  </si>
  <si>
    <t>Cancellariidae is a poorly known family of Neogastropods, including about 300 soft-bottom dwelling species, with a cosmopolitan distribution. As cancellariids are seldom found alive, anatomical data on this family are limited. In particular, no anatomical descriptions have been available thus far for the trigonostomatine group, a conchologically well-defined monophyletic lineage of Cancellariidae that was given a subfamilial rank in former classifications. This is the first description of the anatomy of two closely related and conchologically very similar trigonostomatine Cancellariidae: Scalptia androyensis and S. foveolata. Evident differences were detected in these two species, including the shape and arrangement of the salivary glands, the relative size of the mid and posterior oesophagous, and the structure of the pallial oviduct. Such an unexpected degree of anatomical differentiation, if more widespread in cancellariids, may prove useful in species identification of conchologically similar taxa. Instead, different shell colour morphs of S. androyensis did not display anatomical differences, corroborating the hypothesis that they are conspecific.</t>
  </si>
  <si>
    <t>Modica, Maria Vittoria/P-8407-2018</t>
  </si>
  <si>
    <t>Modica, Maria Vittoria/0000-0003-2532-6763</t>
  </si>
  <si>
    <t>1125-0003</t>
  </si>
  <si>
    <t>1748-5851</t>
  </si>
  <si>
    <t>JUL 3</t>
  </si>
  <si>
    <t>10.1080/11250003.2015.1021391</t>
  </si>
  <si>
    <t>WOS:000359742100011</t>
  </si>
  <si>
    <t>Drea, CM</t>
  </si>
  <si>
    <t>Status, age, and sex effects on performance of discrimination tasks in group-tested rhesus monkeys (Macaca mulatta)</t>
  </si>
  <si>
    <t>To assess the relation between performance and social or demographic variables, this study group tested a captive monkey colony on visual and manual discrimination problems. Animals could choose between differently colored, sand-filled boxes, where hue signaled the initial probability of finding buried food items. Dominant animals and subadults were most successful in locating and retrieving incentives, but sex did not affect performance. Rank effects occurred without overt aggression, suggesting deference by subordinates as a mediating mechanism. Age effects may reflect changing attention patterns only evident in complex arenas where cue salience becomes diluted. Because these findings differ from studies of singly tested animals, they show that, in a social context, an individual's rank and age may define opportunities to gain or efficiently use information.</t>
  </si>
  <si>
    <t>10.1037/0735-7036.112.2.170</t>
  </si>
  <si>
    <t>WOS:000074164800007</t>
  </si>
  <si>
    <t>TENGO, J; ERIKSSON, J; BORGKARLSON, AK; SMITH, BH; DOBSON, H</t>
  </si>
  <si>
    <t>MATE-LOCATING STRATEGIES AND MULTIMODAL COMMUNICATION IN MALE MATING-BEHAVIOR OF PANURGUS-BANKSIANUS AND PANURGUS-CALCARATUS (APOIDEA, ANDRENIDAE)</t>
  </si>
  <si>
    <t>JOURNAL OF THE KANSAS ENTOMOLOGICAL SOCIETY</t>
  </si>
  <si>
    <t>The mating behavior in males of the solitary bee species Panurgus banksianus and P. calcaratus was investigated for two sympatrically nesting populations on Oland, Sweden. Males search for mates by patrolling flowers of Hypochoeris radicata, the exclusive host plant species from which females of each bee species collect pollen. Field experiments with artificial flowers confirm earlier reports that males are attracted to the color yellow and that this attractiveness is enhanced when a strip of black cloth mimicking a female bee is placed on top. Black strips impregnated with female cephalic odors are significantly more attractive to males than are unscented samples and elicit longer inspections of the artificial flowers. The species- and sex-specific cephalic odors therefore seem to serve as close range identity signals. When on flowers, males perform a rejection display towards approaching conspecific males, which may reduce interactions between males. Males in copula vibrate their wings, possibly as a display to females.</t>
  </si>
  <si>
    <t>0022-8567</t>
  </si>
  <si>
    <t>1937-2353</t>
  </si>
  <si>
    <t>WOS:A1988T891300004</t>
  </si>
  <si>
    <t>Culbert, BM; Barnett, JB; Ligocki, IY; Salena, MG; Wong, MYL; Hamilton, IM; Balshine, S</t>
  </si>
  <si>
    <t>Culbert, Brett M.; Barnett, James B.; Ligocki, Isaac Y.; Salena, Matthew G.; Wong, Marian Y. L.; Hamilton, Ian M.; Balshine, Sigal</t>
  </si>
  <si>
    <t>Colorful facial markings are associated with foraging rates and affiliative relationships in a wild group-living cichlid fish</t>
  </si>
  <si>
    <t>Many animals use color to signal their quality and/or behavioral motivations. Colorful signals have been well studied in the contexts of competition and mate choice; however, the role of these signals in nonsexual, affiliative relationships is not as well understood. Here, we used wild social groups of the cichlid fish Neolamprologus pulcher to investigate whether the size of a brightly colored facial patch was related to 1) individual quality, 2) social dominance, and/or 3) affiliative relationships. Individuals with larger patches spent more time foraging and tended to perform more aggressive acts against conspecific territory intruders. We did not find any evidence that the size of these yellow patches was related to social rank or body size, but dominant males tended to have larger patches than dominant females. Additionally, patch size had a rank-specific relationship with the number of affiliative interactions that individuals engaged in. Dominant males with large patches received fewer affiliative acts from their groupmates compared to dominant males with small patches. However, subordinates with large patches tended to receive more affiliative acts from their groupmates while performing fewer affiliative acts themselves. Taken together, our results suggest that patch size reflects interindividual variation in foraging effort in this cichlid fish and offer some of the first evidence that colorful signals may shape affiliative relationships within wild social groups.</t>
  </si>
  <si>
    <t>Culbert, Brett/AAI-6090-2020; Wong, Marian YL/H-1871-2013; Hamilton, Ian Michael/A-4949-2012; Barnett, James B/AFW-3209-2022</t>
  </si>
  <si>
    <t>Culbert, Brett/0000-0002-2830-9590; Barnett, James B/0000-0001-9789-4132; Balshine, Sigal/0000-0003-3671-0517</t>
  </si>
  <si>
    <t>10.1093/cz/zoac100</t>
  </si>
  <si>
    <t>DEC 2022</t>
  </si>
  <si>
    <t>WOS:000941795100001</t>
  </si>
  <si>
    <t>Ikenaga, J; Kajihara, H; Yoshida, M</t>
  </si>
  <si>
    <t>Ikenaga, Jumpei; Kajihara, Hiroshi; Yoshida, Manabu</t>
  </si>
  <si>
    <t>Kulikovia alborostrata and Kulikovia fulva comb. nov. (Nemertea: Heteronemertea) Are Sister Species with Prezygotic Isolating Barriers</t>
  </si>
  <si>
    <t>The heteronemertean Kulikovia alborostrata (Takakura, 1898) was originally described as Lineus alborostratus based on material from Misaki, Japan. Although this species was regarded as consisting of two color variants, purple and brown-yellow, the identity of these variants has never been examined based on topotypes. In this study, we performed a multi- locus phylogeny reconstruction, species delimitation analyses, and cross-fertilization experiments to examine the species status of Takakura's original taxon concept consisting of these color variants. Our results suggest that the purple type is identical to Lineus alborostratus Takakura, 1898 auct. (currently Kulikovia alborostrata), whereas the brown-yellow type is conspecific with Lineus fulvus Iwata, 1954, originally established from Hokkaido. These two species appear to have a sister-taxon relationship and are reproductively isolated from each other by prezygotic mechanisms involving gamete incompatibility, minimally separated with 2.8% (16S rRNA) and 14.4% (COI) uncorrected p-distances. We propose that the purple type be considered as representing the true identity of the nominal species Lineus alborostratus (currently assigned to the genus Kulikovia) to maintain the common usage of the name. Although Takakura's type material is not extant, we consider that neotypification is unnecessary in this case because no taxonomic/nomenclatural confusion persists. We also propose to transfer Lineus fulvus to yield Kulikovia fulva comb. nov.</t>
  </si>
  <si>
    <t>Yoshida, Manabu/G-4918-2014; Kajihara, Hiroshi/HHC-4886-2022</t>
  </si>
  <si>
    <t>Yoshida, Manabu/0000-0003-4927-868X; Kajihara, Hiroshi/0000-0001-6510-9355</t>
  </si>
  <si>
    <t>10.2108/zs200112</t>
  </si>
  <si>
    <t>WOS:000635436200010</t>
  </si>
  <si>
    <t>Yang, CC; Wang, LW; Liang, W; Moller, AP</t>
  </si>
  <si>
    <t>Yang, Canchao; Wang, Longwu; Liang, Wei; Moller, Anders P.</t>
  </si>
  <si>
    <t>Contrasting egg recognition between European and Asian populations of tree sparrows (Passer montanus)</t>
  </si>
  <si>
    <t>Although many biological phenotypes are generally regarded as consistent across the distributional range of a species, some traits such as egg discrimination behavior have been shown to display extensive intraspecific variation as a response to selection from brood parasitism. We investigated the egg recognition ability in an Asian population of tree sparrows (Passer montanus), and we compared that with the ability to recognize and reject intraspecific foreign eggs in a population in Europe. Extensive artificial parasitism with model eggs and real eggs of eight sympatric birds that vary in background color and markings revealed that egg recognition capacity is completely absent in this Asian population of tree sparrows. This result contrasts with previous studies in European populations showing extensive ability for discriminating between own and foreign eggs. Different evolutionary equilibria or differences in the risk of conspecific parasitism may account for differences in egg discrimination ability between European and Asian populations of tree sparrows. (C) 2016 Elsevier B.V. All rights reserved.</t>
  </si>
  <si>
    <t>Moller, Anders/O-6665-2016; zhang, ling/JXW-6931-2024</t>
  </si>
  <si>
    <t>10.1016/j.beproc.2016.02.010</t>
  </si>
  <si>
    <t>WOS:000373542900012</t>
  </si>
  <si>
    <t>Watz, J; Bergman, E; Calles, O; Enefalk, Å; Gustafsson, S; Hagelin, A; Nilsson, PA; Norrgård, JR; Nyqvist, D; Österling, EM; Piccolo, JJ; Schneider, LD; Greenberg, L; Jonsson, B</t>
  </si>
  <si>
    <t>Watz, Johan; Bergman, Eva; Calles, Olle; Enefalk, Asa; Gustafsson, Stina; Hagelin, Anna; Nilsson, P. Anders; Norrgard, Johnny R.; Nyqvist, Daniel; Osterling, E. Martin; Piccolo, John J.; Schneider, Lea D.; Greenberg, Larry; Jonsson, Bror</t>
  </si>
  <si>
    <t>Ice cover alters the behavior and stress level of brown trout Salmo trutta</t>
  </si>
  <si>
    <t>Surface ice in rivers and lakes buffers the thermal environment and provides overhead cover, protecting aquatic animals from terrestrial predators. We tested if surface ice influenced the behavior (swimming activity, aggressive encounters, and number of food items eaten) and stress level (coloration of eyes and body) of stream-living brown trout Salmo trutta at temperatures of 3-4 degrees C in indoor experimental flumes. We hypothesized that an individual's resting metabolic rate (RMR, as measured by resting ventilation rate) would affect winter behavior. Therefore, groups of 4 trout, consisting of individuals with high, low, or mixed (2 individuals each) RMR, were exposed to experimental conditions with or without ice cover. Ice cover reduced stress responses, as evaluated by body coloration. Also, trout in low RMR groups had a paler body color than those in both mixed and high RMR groups. Trout increased their swimming activity under ice cover, with the highest activity found in high RMR groups. Ice cover increased the number of aggressive encounters but did not influence the number of drifting food items taken by each group. In mixed RMR groups, however, single individuals were better able to monopolize food than in the other groups. As the presence of surface ice increases the activity level and reduces stress in stream-living trout, ice cover should influence their energy budgets and production. The results should be viewed in light of ongoing global warming that reduces the duration of ice cover, especially at high latitudes and altitudes.</t>
  </si>
  <si>
    <t>Nilsson, Anders/H-6836-2014; Bergman, Eva/AAR-8368-2021; Calles, Olle/O-6403-2014</t>
  </si>
  <si>
    <t>Nilsson, Anders/0000-0002-3541-9835; Bergman, Eva/0000-0003-2220-1615; Schneider, Lea D./0000-0003-3524-0883; Calles, Olle/0000-0002-8738-8815; Nyqvist, Daniel/0000-0002-3098-0594; Osterling, Martin/0000-0001-6758-5857</t>
  </si>
  <si>
    <t>10.1093/beheco/arv019</t>
  </si>
  <si>
    <t>WOS:000356585100024</t>
  </si>
  <si>
    <t>Poma-Soto, F; Narváez, AE; Romero-Carvajal, A</t>
  </si>
  <si>
    <t>Poma-Soto, Franco; Narvaez, Andrea E.; Romero-Carvajal, Andres</t>
  </si>
  <si>
    <t>Visual Signaling in the Semi-Fossorial Lizard Pholidobolus montium (Gymnophthalmidae)</t>
  </si>
  <si>
    <t>ANIMALS</t>
  </si>
  <si>
    <t>It has been suggested that gymnophthalmids, like most semi-fossorial lacertoids, rely more in chemical cues to communicate, in comparison to other groups, like Iguanids, on which communication is mostly based on visual signaling. We present the first description of visual signaling in the Andean lizard Pholidobolusmontium (Gymnophthalmidae) and a complete ethogram based on ex situ observations (34 different types of behaviors including positions and simple movements). Through the design of conspecific stimulus experiments, we were able to recognize leg-waving as a visual signal, as it is only displayed in presence of conspecifics or in presence of a mirror and was one of first and most frequent displays in this context. We also detected other visual displays like neck-arching and tail-undulation which may also be relevant as visual signals. Based on our results, we propose that visual signaling is also possible in semi-fossorial lizards; however, further studies regarding chemical signal recognition and color detection are required to confirm our hypothesis.</t>
  </si>
  <si>
    <t>; Romero-Carvajal, Andres/P-9630-2018</t>
  </si>
  <si>
    <t>Poma-Soto, Franco Alexander/0000-0001-9885-4431; Romero-Carvajal, Andres/0000-0002-2570-1749</t>
  </si>
  <si>
    <t>2076-2615</t>
  </si>
  <si>
    <t>10.3390/ani11113022</t>
  </si>
  <si>
    <t>WOS:000758187200001</t>
  </si>
  <si>
    <t>Behavioral Isolation Based on Visual Signals in a Sympatric Pair of Darter Species</t>
  </si>
  <si>
    <t>Elaborate visual communication signals characterize many animal lineages. Often sex-limited, these signals are generally assumed to result from sexual selection, and in many cases, their evolution is thought to play a central role in speciation. The co-evolution of male visual signals and female preferences is hypothesized to result in behavioral isolation between divergent lineages; however, for many lineages characterized by elaborate visual signals, the importance of visual differences in behavioral isolation is not well established. Darters (fish genus Etheostoma) are particularly appropriate for examining the role of visual signals in behavioral isolation. They comprise one of the most diverse groups of North American freshwater fish, and nearly every species is characterized by unique nuptial coloration. Multiple darter species co-exist in sympatric populations, indicating that reproductive barriers are central to maintaining these extraordinarily diverse color patterns. This study demonstrates the presence of behavioral isolation between a pair of distinctly colored sympatric darter species, Etheostoma barrenense and Etheostoma zonale, through experimental observations using an artificial stream. In addition, a series of dichotomous mate-choice trials indicate that females prefer conspecific males over heterospecifics based on visual differences alone. We therefore provide the first evidence that visual signals are a critical trait maintaining behavioral isolation in darters, a lineage of fishes with spectacular diversification in visual communication.</t>
  </si>
  <si>
    <t>10.1111/j.1439-0310.2010.01816.x</t>
  </si>
  <si>
    <t>WOS:000282821900005</t>
  </si>
  <si>
    <t>Raposeiro, PMVM; Azevedo, JMN</t>
  </si>
  <si>
    <t>Raposeiro, Pedro M. V. M.; Azevedo, Jose Manuel N.</t>
  </si>
  <si>
    <t>Reproductive biology of Symphodus mediterraneus (Teleostei, Labridae) in the Azores</t>
  </si>
  <si>
    <t>MARINE ECOLOGY-AN EVOLUTIONARY PERSPECTIVE</t>
  </si>
  <si>
    <t>A description of the colour patterns, reproductive behaviour, spawning season and size at first maturity is given for an Atlantic population of Symphodus mediterraneus, based on underwater observations and animals collected by spear-fishing and photographed. Gonad histology was used to determine the sex and maturity stages. Size at first maturation was estimated as the length at which 50% of the individuals are mature. General appearance was a brown or brownish-red body, with a series of large brown transverse stripes, a conspicuous yellow-ringed black spot on the base of the pectoral fins and a black spot on the caudal peduncle. Terminal males could be distinguished from females by the blue tones on the extremities of the median fins and on the throat. Differences from the colour pattern of the Mediterranean population are noted. This is probably a gonochoric species: the larger males are territorial, building algal nests and defending them from conspecific males and from other microbenthic carnivorous fishes; the smaller mature males did not show sneaking or satellite behaviour. Reproduction takes place in late spring and summer, after the spring productivity peak, suggesting that the feeding biology of the adults may be the main determinant factor of the timing of spawning. Total length at first maturity is 12.1 cm for males and 9.6 cm for females.</t>
  </si>
  <si>
    <t>Raposeiro, Pedro/A-2657-2010; Azevedo, José Manuel Neto/C-1504-2010</t>
  </si>
  <si>
    <t>Raposeiro, Pedro/0000-0002-7461-0851; Azevedo, José Manuel Neto/0000-0003-2573-1371</t>
  </si>
  <si>
    <t>0173-9565</t>
  </si>
  <si>
    <t>10.1111/j.1439-0485.2009.00309.x</t>
  </si>
  <si>
    <t>WOS:000270237100018</t>
  </si>
  <si>
    <t>Lecocq, T; Brasero, N; Martinet, B; Valterovà, I; Rasmont, P</t>
  </si>
  <si>
    <t>Lecocq, Thomas; Brasero, Nicolas; Martinet, Baptiste; Valterova, Irena; Rasmont, Pierre</t>
  </si>
  <si>
    <t>Highly polytypic taxon complex: interspecific and intraspecific integrative taxonomic assessment of the widespread pollinator Bombus pascuorum Scopoli 1763 (Hymenoptera: Apidae)</t>
  </si>
  <si>
    <t>SYSTEMATIC ENTOMOLOGY</t>
  </si>
  <si>
    <t>The recent development of the integrative taxonomic approach in bumblebees has led to unexpected merging or splitting of several taxa. Here we investigate the taxonomic statuses of one of the most abundant, widespread and polytypic Palearctic bumblebees, Bombus pascuorum. The latest review of this species includes 24 subspecies. We used an integrative approach based on genetic markers and male chemical reproductive traits and compared our results with the former classifications. Our results show that all B. pascuorum taxa are conspecific and share the same male chemical reproductive traits. The genetic structure observed in one mitochondrial and two nuclear markers poorly reflects the current subspecific classification. Indeed, the concordance of population genetic differentiation, population geographic distribution, and population colour pattern similarity suggests a different meaningful prospective classification with four taxon complexes: (i) the B. pascuorum dusmeti group, including all taxa from the Iberian Peninsula and south-west France; (ii) B. pascuorum rehbinderi; (iii) B. pascuorum siciliensis; and (iv) B. pascuorum floralis groups (including all other taxa studied here).</t>
  </si>
  <si>
    <t>Valterova, Irena/H-1823-2012</t>
  </si>
  <si>
    <t>Valterova, Irena/0000-0001-5723-6143; Martinet, Baptiste/0000-0003-4369-8552; Lecocq, Thomas/0000-0002-4947-0332</t>
  </si>
  <si>
    <t>0307-6970</t>
  </si>
  <si>
    <t>1365-3113</t>
  </si>
  <si>
    <t>10.1111/syen.12137</t>
  </si>
  <si>
    <t>WOS:000360760000010</t>
  </si>
  <si>
    <t>Minton, RL; Harris, PM; North, E; Tu, DV</t>
  </si>
  <si>
    <t>Minton, Russell L.; Harris, Phillip M.; North, Ernest; Do Van Tu</t>
  </si>
  <si>
    <t>Diversity and taxonomy of Vietnamese Pollicaria (Gastropoda, Pupinidae)</t>
  </si>
  <si>
    <t>ZOOSYSTEMATICS AND EVOLUTION</t>
  </si>
  <si>
    <t>Species in the genus Pollicaria (Gastropoda: Pupinidae) are conspicuous members of the southeast Asian land snail fauna. Originally erected in 1856, both the genus and its constituent species have been reorganized multiple times with the most recent treatment published in 2013. Collections of Vietnamese Pollicaria during 2014 and 2015 raised questions of the utility of currently used diagnostic shell characters and identification keys in species identification. An examination of the authors' collections, combined with museum specimens, suggested that at least three species of Pollicaria occur or have historically occurred in Vietnam. It is suggested that P. rochebruni is a senior synonym of P. crossei and treat both taxa as conspecific. A second species, P. mouhoti, was believed to only occur in Cambodia, Laos, and Thailand. A possible third species, based only on previous karyotypic work, is discussed. Our data further suggest that shell features such as color and size lack consistent utility in species-level identifications in Pollicaria.</t>
  </si>
  <si>
    <t>Harris, Phillip/0000-0003-3215-2167</t>
  </si>
  <si>
    <t>1860-0743</t>
  </si>
  <si>
    <t>10.3897/zse.93.10794</t>
  </si>
  <si>
    <t>WOS:000393302300005</t>
  </si>
  <si>
    <t>Selz, OM; Thommen, R; Pierotti, MER; Anaya-Rojas, JM; Seehausen, O</t>
  </si>
  <si>
    <t>Selz, O. M.; Thommen, R.; Pierotti, M. E. R.; Anaya-Rojas, J. M.; Seehausen, O.</t>
  </si>
  <si>
    <t>Differences in male coloration are predicted by divergent sexual selection between populations of a cichlid fish</t>
  </si>
  <si>
    <t>Female mating preferences can influence both intraspecific sexual selection and interspecific reproductive isolation, and have therefore been proposed to play a central role in speciation. Here, we investigate experimentally in the African cichlid fish Pundamilia nyererei if differences in male coloration between three para-allopatric populations (i.e. island populations with gene flow) of P. nyererei are predicted by differences in sexual selection by female mate choice between populations. Second, we investigate if female mating preferences are based on the same components of male coloration and go in the same direction when females choose among males of their own population, their own and other conspecific populations and a closely related para-allopatric sister-species, P. igneopinnis. Mate-choice experiments revealed that females of the three populations mated species-assortatively, that populations varied in their extent of population-assortative mating and that females chose among males of their own population based on different male colours. Females of different populations exerted directional intrapopulation sexual selection on different male colours, and these differences corresponded in two of the populations to the observed differences in male coloration between the populations. Our results suggest that differences in male coloration between populations of P. nyererei can be explained by divergent sexual selection and that population-assortative mating may directly result from intrapopulation sexual selection.</t>
  </si>
  <si>
    <t>Selz, Oliver Martin/AAH-7732-2020; Seehausen, Ole/C-8272-2011; Pierotti, Michele E R/E-7563-2011</t>
  </si>
  <si>
    <t>Selz, Oliver Martin/0000-0002-2210-5909; Seehausen, Ole/0000-0001-6598-1434; Pierotti, Michele E R/0000-0003-2837-6192</t>
  </si>
  <si>
    <t>MAY 11</t>
  </si>
  <si>
    <t>10.1098/rspb.2016.0172</t>
  </si>
  <si>
    <t>WOS:000376158800013</t>
  </si>
  <si>
    <t>LANDMANN, A; KOLLINSKY, C</t>
  </si>
  <si>
    <t>TERRITORY DEFENSE IN BLACK REDSTARTS, PHOENICURUS-OCHRUROS - EFFECTS OF INTRUDER AND OWNER AGE</t>
  </si>
  <si>
    <t>European black redstarts, Phoenicurus ochruros, vigorously defend all-purpose territories and exhibit delayed plumage maturation, most subadult males looking exactly female-like in their first breeding season. We tested the hypotheses that such dull subadult male plumages are beneficial in order to reduce aggression of adult males either by deception or by honest signalling of subordinance status, and that, in turn, conspicuous (adult) plumage colorations are able to intimidate contenders because they act as a signal of fighting ability and aggressive motivation. Adult and dull yearling black redstart territory owners were confronted with intruders mimicked by stuffed mounts of either a conspicuous adult or a dull subadult male. Our results do not support the hypotheses tested: dull plumages of young intruders did not reduce aggression from adult territory owners and aggressiveness towards intruders was significantly higher in yearling territory owners as compared with adult owners. Conspicuous intruders did not deter dull territory owners and we found no indications that conspicuous male coloration is a signal of fighting ability or aggressive motivation in this species. Instead, the amount of aggressive response to intruders showed considerable individual variance within age classes regardless of the plumage of the intruder and the status of the owner.</t>
  </si>
  <si>
    <t>WOS:A1995RW16700004</t>
  </si>
  <si>
    <t>Baird, P</t>
  </si>
  <si>
    <t>Baird, Patricia</t>
  </si>
  <si>
    <t>Group Adherence in Endangered California Least Terns (Sternula antillarum browni)</t>
  </si>
  <si>
    <t>WATERBIRDS</t>
  </si>
  <si>
    <t>Colonial nesting in seabirds is advantageous for protection from predators-spotting a predator, mobbing, and predator swamping. Familiarity with nesting areas gives knowledge of protected sites and may promote site fidelity. Familiarity with nearest neighbors helps nesting success by lessening intraspecific aggression and increasing social facilitation, and may promote group adherence. Group adherence has been proposed as more important than site tenacity for some species where nesting areas are frequently disturbed. Ground-nesting terns often nest at disturbed sites, and their colonies are accessible to predators. Serendipitously, I was able to test the concept of group adherence in individually color-marked California Least Terns Sternula antillarum browni during early egg-laying when some nests in a colony in southern California were depredated, and the adults deserted. A week later, I found the majority of those birds nesting at the edge of a small Least Tern colony 28 km distant, where they laid a second clutch and remained at the site the rest of the breeding season. The following breeding season, no color-marked terns nested again at the small colony where they had moved after disturbance.</t>
  </si>
  <si>
    <t>1524-4695</t>
  </si>
  <si>
    <t>1938-5390</t>
  </si>
  <si>
    <t>10.1675/063.045.0410</t>
  </si>
  <si>
    <t>WOS:001075551200010</t>
  </si>
  <si>
    <t>Liu, PF; Lloyd, H; Lou, YQ; Sun, YH</t>
  </si>
  <si>
    <t>Liu, Pengfei; Lloyd, Huw; Lou, Yingqiang; Sun, Yuehua</t>
  </si>
  <si>
    <t>Soft song provokes stronger aggressive responses than broadcast song in the Plain Laughingthrush (Pterorhinus davidi)</t>
  </si>
  <si>
    <t>Many bird species produce low-amplitude acoustic signals, known as soft songs, which are widely believed to function primarily in aggressive interactions. However, there are surprisingly few experimental studies that have examined whether soft songs are reliable signalling strategies for escalating aggressive interactions. Here, we investigate the functions of soft song in a colour-marked population of the Plain Laughingthrush Pterorhinus davidi, using playback experiments combined with specimen-based simulated territory intrusions. We found that playback of male soft song provoked quicker response and stronger aggressive intent by territorial pairs compared with playback of male broadcast song. Responses by territorial pairs to male soft song playback were significantly stronger compared with responses to broadcast song playback, with a greater number of flights over the speaker, more time spent within 1 m of the speaker and closer approaches to the speaker. Furthermore, closer approach with the production of soft song by focal males was the best predictor of aggressive intent in combined playback and specimen intrusion experiments. Our results suggest that male soft song is used as an aggressive signal in the Plain Laughingthrush, and represents the first evidence of such for a monogamous temperate duetting species.</t>
  </si>
  <si>
    <t>Liu, Pengfei/0000-0001-8627-6320</t>
  </si>
  <si>
    <t>10.1111/ibi.13141</t>
  </si>
  <si>
    <t>OCT 2022</t>
  </si>
  <si>
    <t>WOS:000864028600001</t>
  </si>
  <si>
    <t>Mateos, C; Carranza, J</t>
  </si>
  <si>
    <t>The role of bright plumage in male-male interactions in the ring-necked pheasant</t>
  </si>
  <si>
    <t>The brightness and colour of birds' plumages have been considered sexually selected traits, indicating health, condition or parasite resistance. However, recent studies with pheasants, Phasianus colchicus, suggest they are not signals used by females in mate choice. Instead, males might rely on plumage when assessing the quality of competitors. In this study, bright and experimentally dulled males were presented to a group of captive male pheasants to determine the response to differences in plumage brightness of the intruder. Males in the group directed more aggression to the experimentally dulled males than they did to any other males. This may be partly because they considered the dull males as novel males. When the bright and the dull males were both unknown, both still received more aggression than the average for any individual in the group, but dull males were attacked by more males. Bright males were attacked more by the dominants and dull males by the subordinates. The results show that plumage brightness may affect individual recognition, but also that it is used by males to assess the quality of competitors. Male-male interactions, therefore, may have played a role in the evolution of plumage brightness, either in the context of competition for mates or for resources when males gather into unisexual groups. (C) 1997 The Association for the Study of Animal Behaviour.</t>
  </si>
  <si>
    <t>Carranza, Juan/KHT-8663-2024; Carranza, Juan/E-4472-2010</t>
  </si>
  <si>
    <t>Carranza, Juan/0000-0002-0368-7173</t>
  </si>
  <si>
    <t>10.1006/anbe.1997.0516</t>
  </si>
  <si>
    <t>WOS:A1997YJ17400014</t>
  </si>
  <si>
    <t>SECUNDA, RC; SHERRY, TW</t>
  </si>
  <si>
    <t>POLYTERRITORIAL POLYGYNY IN THE AMERICAN REDSTART</t>
  </si>
  <si>
    <t>The first six cases of bona fide polygyny are described in American Redstarts (Setophaga ruticilla), along with associated male song behavior, nesting and parental care, and a case of female-female aggression. Typically, older (than yearling) males sought secondary reproductive opportunities by traveling 100-400 m through continuous forest to advertise new territories using repeat-mode song, typical of genuinely unmated males; and fed primary nestlings and fledglings more than secondary ones. Estimated frequencies of polygynous mating were 15.8%, 5.3%, and 8.0%, respectively, in 1988, 1989, and 1990 (N = 63 color-banded males under close observation), but additional cases of polyterritorial advertisement behavior were noted. Polygyny appears to be a facultative strategy by which males obtain extra reproductive opportunities deceptively, on secondary territories far removed from sites of primary territories and nests. However, we have not ruled out the possibility that secondary females could compensate for reduced parental care by mating with higher quality mates or on better territories than otherwise available. Polygyny may have been facilitated in our study population by a relatively low abundance of males and an unusual abundance of yearlings.</t>
  </si>
  <si>
    <t>WOS:A1991FP90500003</t>
  </si>
  <si>
    <t>Lietzenmayer, LB; Clark, DL; Taylor, LA</t>
  </si>
  <si>
    <t>Lietzenmayer, Laurel B.; Clark, David L.; Taylor, Lisa A.</t>
  </si>
  <si>
    <t>The role of male coloration and ornamentation in potential alternative mating strategies of the dimorphic jumping spider, Maevia inclemens</t>
  </si>
  <si>
    <t>Polymorphism can arise across taxa due to various selection pressures and potentially lead to alternative mating or antipredator strategies. For male jumping spiders, sexual selection and predation risk are often intertwined when courting cannibalistic females and may be a driving factor in the polymorphism of the jumping spider, Maevia inclemens. The dimorphic males of M. inclemens differ dramatically in their complex courtship behavior and display traits that may function as alternative mating strategies to reduce female aggression and maximize mating success. We hypothesized that males of the tufted morph honestly communicate condition or body size to females with three conspicuous tufts of setae on their head and males of the striped morph reduce female aggression with coloration commonly found in aposematic animals (here, yellow-orange pedipalps and striped legs). We examined correlations between tuft length and symmetry and metrics of body size and condition in field-collected spiders and conducted prey color choice tests (with live color-manipulated prey) to determine if yellow-orange and striped prey are avoided. Tuft length was variable and correlated with male size (but not condition). All prey color types were attacked at equal rates, but spiders oriented to striped prey more often, suggesting that male stripes may attract female attention without increasing predation. This study provides insight into the potential functions of the different courtship and visual displays of M. inclemens males. Using jumping spiders to study polymorphism can provide new insight into how multiple morphs can evolve, as males use mating strategies not only to impress females but also avoid getting eaten by their potential mates.Significance statementUnderstanding the selection pressures that shape and maintain polymorphisms in natural populations is an active area of inquiry, yet most of what we know comes from a small handful of well-studied vertebrate taxa. The unique biology of jumping spiders and the fact that males have to avoid cannibalism during courtship, makes them well-suited to provide novel insights into the functions and maintenance of dimorphic male traits. The unusual male dimorphism of M. inclemens captured the attention of naturalists as early as the 1800s, yet we still do not understand why the two male morphs differ so dramatically in morphology and courtship behavior. Here, we propose and test a novel hypothesis that provides insight into the long-studied but still largely unexplained phenomenon of male dimorphism in this species.</t>
  </si>
  <si>
    <t>10.1007/s00265-019-2691-y</t>
  </si>
  <si>
    <t>WOS:000469197100001</t>
  </si>
  <si>
    <t>Harvey, TC; Gabriel, PO; Black, JM</t>
  </si>
  <si>
    <t>Harvey, Trinity C.; Gabriel, Pia O.; Black, Jeffrey M.</t>
  </si>
  <si>
    <t>Propensity of Predator Mimicry in Steller's Jays</t>
  </si>
  <si>
    <t>Simple Summary Several species of birds are known to imitate or mimic the calls of other birds in a variety of contexts, but for many species, it is poorly understood why or how often this behavior occurs. We examined the occurrence and context of Steller's Jays mimicking the calls of Red-shouldered Hawks over a 12-month period. In a population of 49 individually color-marked jays, we documented the mimicry of Red-shouldered Hawk calls in 28.6% of the population (14 individuals). We also reviewed the occurrence of the behavior in historic observation data. Jays imitated hawk calls more often during the early breeding season when jays were within their home territories, while their mates were present, and while aggression towards other birds was absent. Younger, larger, and bolder jays were most likely to perform imitations. These results suggest jays individually vary in their likelihood to imitate hawk calls, and different individual jays may be more likely to perform imitations based on social and ecological contexts, physical characteristics, and personality traits.Abstract Avian vocal mimicry has been described in a variety of contexts, suggesting its function is multifaceted within and across species; however, basic empirical data describing mimetic signal prevalence and context are lacking for numerous species. We examined the occurrence and context of mimicked Red-shouldered Hawk (Buteo lineatus) calls over a 12-month period in a population of 49 individually color-marked Steller's Jays (Cyanocitta stelleri). We documented mimicry of Red-shouldered Hawk calls in 14 of 49 (28.6%) jays during this 12-month period. We also reviewed the occurrence of the behavior in historic observation data. Hawk mimicry occurred more often during the early breeding season when jays were within home territories, their mates were present, and aggression was absent. Younger, larger, and bolder jays were most likely to perform imitations. These results suggest jays individually vary in mimetic propensity, and individuals' proclivity for mimicry may be influenced by social and ecological contexts, physical characteristics, and personality traits.</t>
  </si>
  <si>
    <t>Gabriel, Pia/0000-0002-5677-9661</t>
  </si>
  <si>
    <t>10.3390/birds5010012</t>
  </si>
  <si>
    <t>WOS:001191523100001</t>
  </si>
  <si>
    <t>PAJARES, JA; LANIER, GN</t>
  </si>
  <si>
    <t>BIOSYSTEMATICS OF THE TURPENTINE BEETLES DENDROCTONUS-TEREBRANS AND D-VALENS (COLEOPTERA, SCOLYTIDAE)</t>
  </si>
  <si>
    <t>Controlled experiments and diagnostic differences in previously unreported morphological characters confirm that Dendroctonus valens LeConte and D. terebrans (Olivier) are valid species rather than color morphs of a single biological species. D.terebrans from distant localities (Florida [USA] and Massuchusetts) produced fertile hybrids. D.valens females from the western part of its range (Arizona, California) paired with eastern (New York) males laid eggs which developed into advanced embryos but did not hatch. In the laboratory, males did not discriminate in entering galleries of conspecific and heterospecific females, but 2 d after males of either species were given access to females, conspecific pairs were significantly more frequent than heterospecific pairs. Observations of beetle interactions in bark-glass sandwiches indicated that males readily attempt to copulate with females, regardless of species, but females consistently reject or ignore heterospecific males. Both species had male meiotic cells with 13 autosomal bivalents and sex chromosomes in a parachuate configuration to give the formula 13AA + Xyp. However, a D. terebrans from east Texas displayed an autosomal fusion and the formula 12AA +Xyp. Two of five D.terebrans specimens from Florida were heterozygous for a fusion chromosome. Individuals of the two species differed diagnostically by the configuration of spurs on the metatibia, the density of striations on the pars stridens of the terminal abdominal sternum, the shape of the seminal rod of the male genitalia, and by the relative lengths of abdominal sterna 5 plus 6 versus sternum 7. We postulate that D. valens and D. terebrans have strong negative interactions in the Appalachian Mountains and Atlantic coastal areas where ranges of the two species meet. Females compete for the same host material, and males will readily join a female of either species. Rejection of the heterospecific male and failure of eggs to hatch (should interspecific insemination occur) with prevent gene flow between species.</t>
  </si>
  <si>
    <t>Pajares, Juan Alberto/D-5215-2014</t>
  </si>
  <si>
    <t>Pajares, Juan Alberto/0000-0002-4682-8984</t>
  </si>
  <si>
    <t>10.1093/aesa/83.2.171</t>
  </si>
  <si>
    <t>WOS:A1990CQ89800007</t>
  </si>
  <si>
    <t>Cox, RM; Zilberman, V; John-Alder, HB</t>
  </si>
  <si>
    <t>Cox, Robert M.; Zilberman, Viktoriya; John-Alder, Henry B.</t>
  </si>
  <si>
    <t>Testosterone Stimulates the Expression of a Social Color Signal in Yarrow's Spiny Lizard, Sceloporus jarrovii</t>
  </si>
  <si>
    <t>JOURNAL OF EXPERIMENTAL ZOOLOGY PART A-ECOLOGICAL AND INTEGRATIVE PHYSIOLOGY</t>
  </si>
  <si>
    <t>The sex steroid testosterone has been shown to regulate the development of male-specific coloration in many organisms that exhibit sexual dichromatism, but the role of testosterone is less certain for species in which both sexes express bright coloration. Lizards in the genus Sceloporus possess bright blue patches on their throats and abdomens. These patches, which are used in social signaling, are often regulated by testosterone and are consequently expressed only in males of most species. However, Yarrow's Spiny Lizard (Sceloporus jarrovii, Cope 1875) exhibits a derived condition in which both sexes express bright blue ventral patches despite dramatic sexual differences in circulating testosterone levels throughout postnatal ontogeny. In this study, we used surgical castration and hormone replacement in juvenile males to test the hypothesis that testosterone stimulates the expression of blue ventral coloration in S. jarrovii. In two separate experiments conducted in captivity and the natural field environment, we found that surgical castration decreased the hue and saturation while increasing the brightness of blue throat and abdominal patches. Castration also decreased the amount of black pigment bordering the blue throat patch. Treatment of castrated males with exogenous testosterone restored all aspects of ventral coloration to values similar to those of intact control males. Early organizational effects of testosterone during prenatal development may lead to the expression of blue coloration in both sexes, but the results of our present experiments indicate that subsequent effects of testosterone during sexual maturation further enhance the coloration of males. J. Exp. Zool. 309A:505-514, 2008. (C) 2008 Wiley-Liss, Inc.</t>
  </si>
  <si>
    <t>2471-5638</t>
  </si>
  <si>
    <t>2471-5646</t>
  </si>
  <si>
    <t>309A</t>
  </si>
  <si>
    <t>10.1002/jez.481</t>
  </si>
  <si>
    <t>WOS:000260626200001</t>
  </si>
  <si>
    <t>Wiens, JJ; Reeder, TW; De Oca, ANM</t>
  </si>
  <si>
    <t>Molecular phylogenetics and evolution of sexual dichromatism among populations of the Yarrow's spiny lizard (Sceloporus jarrovii)</t>
  </si>
  <si>
    <t>Understanding evolution of geographic variation in sexually dimorphic traits is critical for understanding the role that sexual selection may play in speciation. We performed a phylogenetic analysis of geographic variation in sexual dichromatism in the Yarrow's spiny lizard (Sceloporus jarrovii), a taxon that exhibits remarkable diversity in male coloration among populations (e.g., black, red, green, yellow, blue, brown). An mtDNA phylogeny based on approximately 880 bp from the 12S ribosomal RNA gene and 890 bp from the ND4 gene was reconstructed for 30 populations of S. jarrovii and eight other species of the torquatus species group using maximum-likelihood and parsimony methods. The phylogeny suggests that S. jarrovii consists of at least five evolutionary species, none of which are sister taxa. Although intraspecific diversity in male coloration is less than indicated by previous taxonomy, two species formerly referred to as S. jarrovii exhibit impressive geographic variation in sexual dichromatism. In one of these species, the phylogeny shows the independent evolution of a distinctive blue color morph in different parts of the species range. This pattern suggests that sexual selection may lead to striking phenotypic divergence among conspecific populations and striking convergence. Results also demonstrate the importance of a phylogenetic perspective in studies of evolutionary processes within nominal species and the problematic nature of polytypic species recognized under the biological species concept.</t>
  </si>
  <si>
    <t>Wiens, John/0000-0003-4243-1127</t>
  </si>
  <si>
    <t>10.2307/2640448</t>
  </si>
  <si>
    <t>WOS:000084703100021</t>
  </si>
  <si>
    <t>Johnson, AM; Fuller, RC</t>
  </si>
  <si>
    <t>Johnson, Ashley M.; Fuller, Rebecca C.</t>
  </si>
  <si>
    <t>The meaning of melanin, carotenoid, and pterin pigments in the bluefin killifish, Lucania goodei</t>
  </si>
  <si>
    <t>Male bluefin killifish (Lucania goodei) exhibit extensive color variation in their fins, but the utility of this variation has not yet been determined. We collected males from multiple populations and spectrophotometrically determined the pigment types responsible for fin coloration. We determined that the orange coloration in the caudal fin is caused by carotenoid pigmentation. In contrast, color in the anal fin is either pterin based (yellow and red) or structural (blue) with a melanic fin border. As these colors have different developmental origins, the potential for complex signaling is high. Therefore, we sought to determine whether behavior, reproductive success, or health correlated with pigmentation. Males with more melanin on the anal fin were more dominant and had higher spawning success. Male-male aggression was greater between males with similar-sized melanic borders, indicating that melanic markings function as badges of status between males. Caudal carotenoid pigmentation did not correlate with dominance, but this highly labile ornament was correlated with body condition, parasite infection, and spawning success, suggesting a role in intersexual selection by signaling health to potential mates. Similar results were found for caudal fin coloration using digital photography. Pterin pigmentation in the anal fin was not related to dominance but was related to overall spawning levels and parasite infection, suggesting that pterin pigmentation may also signal immune status. Thus, the coloration of male bluefin killifish provides multiple messages to multiple receivers through these 3 pigments (melanin, pterin, and carotenoid) that have distinct developmental origins.</t>
  </si>
  <si>
    <t>10.1093/beheco/aru164</t>
  </si>
  <si>
    <t>WOS:000351929300022</t>
  </si>
  <si>
    <t>Secondi, J; Rodgers, G; Bayle, F; Sourice, S; Théry, M</t>
  </si>
  <si>
    <t>Secondi, Jean; Rodgers, Gwendolen; Bayle, Florence; Sourice, Stephane; Thery, Marc</t>
  </si>
  <si>
    <t>Mate preference, species recognition and multimodal communication in heterogeneous environments</t>
  </si>
  <si>
    <t>Mate selection in heterogeneous sensory environments may be challenging. Assessing the suitability of potential partners may be compromised if individual characteristics cannot be assessed reliably across all encountered conditions. The problem is particularly acute in a species recognition context if matings with heterospecific partners yield lower fitness than matings with conspecific partners of low quality. Multimodal communication may circumvent this problem by transmitting redundant information on several channels that are not affected by the same degradation processes (Backup hypothesis). We addressed this issue in two hybridizing newts (Lissotriton helveticus and L. vulgaris) for which visual species recognition is disrupted in water stained by humic acids, a common family of compounds produced by decaying vegetation. Because these species also use olfaction for sexual communication, we predicted that species recognition was maintained in stained water when olfactory information was available. Results did not support the prediction of the backup hypothesis. Species recognition was observed in the clear water treatment only, and the olfactory channel seemed to carry only limited additional information. Two mechanisms may account for the small contribution of olfaction to species recognition. (1) Females may have a lower sensory capacity to discriminate between olfactory than between visual signals. (2) Divergence between olfactory signals may be lower than divergence between visual signals. Resorting to multimodal communication does not seem to allow efficient discrimination across all environmental conditions. Therefore, we predict that hybridization rate would vary between habitats depending on water color.</t>
  </si>
  <si>
    <t>Secondi, Jean/0000-0001-8130-1195</t>
  </si>
  <si>
    <t>10.1007/s10682-014-9744-5</t>
  </si>
  <si>
    <t>WOS:000349964700002</t>
  </si>
  <si>
    <t>Manipulation of visual sympathetic sign stimulus modifies social status and plasma catecholamines</t>
  </si>
  <si>
    <t>Darkening of postorbital skin (eyespots) in Anolis carolinensis occurs during stressful situations via adrenal catecholaminergic activation Of beta(2)-adrenergic receptors. The eyespots form more rapidly in dominant males during social interaction. It was hypothesized that eyespot darkening from green to black is a social signal that communicates disposition, resulting from sympathetic activation and determines social hierarchy. To assess the value of the eyespot as a signal influencing social dominance, males were paired according to size and weight, and painted postorbitally; one with green and the other with black paint. Painted pairs interacted with aggressive displays, approaches, and bites. Dominant status was determined by continued displacement of an opponent, superior perching position, and lighter color. Males with eyespots darkened by black paint were dominant in 100% of interactions and more aggressive. Males viewing an opponent with eyespots painted black exhibited higher plasma epinephrine (Epi), norepinephrine (NE), and dopamine (DA) levels than males with eyespots hidden with green paint and isolated controls. Results for behavior were similar, but those for plasma catecholamines contrast with those from recent experiments in which interactions occurred vs. a mirrored reflection. The eyespot is a potent stimulus, acting as a social signal that confers dominant status to its bearer, and activates the sympathetic nervous system in opponents that observe it during aggressive interactions. (C) 2002 Elsevier Science (USA). All rights reserved.</t>
  </si>
  <si>
    <t>PII S0016-6480(02)00073-4</t>
  </si>
  <si>
    <t>10.1016/S0016-6480(02)00077-1</t>
  </si>
  <si>
    <t>WOS:000178785900008</t>
  </si>
  <si>
    <t>Raveh, S; Langen, K; Bakker, TCM; Josephs, C; Frommen, JG</t>
  </si>
  <si>
    <t>Raveh, Shirley; Langen, Kathrin; Bakker, Theo C. M.; Josephs, Christian; Frommen, Joachim G.</t>
  </si>
  <si>
    <t>Oddity, predation risk and social decisions in aquatic invertebrates</t>
  </si>
  <si>
    <t>Group living is widespread across animal taxa, incurring benefits such as increased foraging efficiency or an enhanced chance of surviving a predator's attack. The chances of escaping a predator are often lower for odd-looking individuals, as these are detected at a higher rate than uniform looking group members. While this oddity effect shall operate in animals differing in any given phenotype, including colour, size or species identity, it has been experimentally tested mainly for odd-coloured individuals. We examined the oddity effect and swarming preferences in two differently sized species of freshwater planktonic crustaceans (large Daphnia magna and small Daphnia pulex). We experimentally investigated whether odd individuals in a swarm of heterospecific Daphnia were more vulnerable to predation by a common predator, the three-spined stickleback (Gasterosteus aculeatus). Furthermore, Daphnia's swarming preference was tested by giving individuals the opportunity to choose between conspecific/heterospecific odour and a neutral control. In contrast to the predictions of the oddity effect, odd individuals were not always preyed on earlier; instead three-spined stickleback preferentially predated large, more nutritious individuals. Daphnia of both species reacted towards the perception of con- and heterospecifics odours. While D. pulex generally avoided the smell of other daphnids, D. magna avoided conspecifics but tended to prefer heterospecifics over the neutral control. These findings provide new insights into swarming strategies and social preference of an invertebrate and how this behaviour can influence predation risk.</t>
  </si>
  <si>
    <t>Bakker, Theo/AAI-3587-2020; Frommen, Joachim/D-6802-2013</t>
  </si>
  <si>
    <t>Frommen, Joachim/0000-0002-1752-6944</t>
  </si>
  <si>
    <t>10.1111/eth.12835</t>
  </si>
  <si>
    <t>WOS:000455963400005</t>
  </si>
  <si>
    <t>Winfrey, C; Fincke, OM</t>
  </si>
  <si>
    <t>Winfrey, Claire; Fincke, Ola M.</t>
  </si>
  <si>
    <t>Role of visual and non-visual cues in damselfly mate recognition</t>
  </si>
  <si>
    <t>INTERNATIONAL JOURNAL OF ODONATOLOGY</t>
  </si>
  <si>
    <t>In many species of damselflies, sexual conflict in the form of male harassment is thought to explain the widespread existence of female-limited color polymorphisms. With a few exceptions, the majority of investigations into these mating systems have assumed that male damselflies primarily use visual cues to detect and recognize their mates. Recently, laboratory studies have demonstrated that damselflies orient to olfactory signals from prey and that males orient to chemical cues from conspecific females. However, to date there are no field experiments which explicitly test the role that chemical cues play in sex recognition. Here we used a field experiment on Enallagma civile damselflies to test if free flying males detect and recognize females in the absence of visual cues through the use of non-visual signals. In the absence of visual cues males did not exhibit positive responses toward female conspecifics, whereas when both visual and non-visual cues were present, males readily detected females and often tried to mate with them. Although it is possible that non-visual cues may be involved during close contact, our results emphasized that visual cues take center stage in damselfly mate recognition in the field environment. Because the field environment is the context in which selection acts on natural populations, results of this study have implications for our understanding of how selection on visual cues acts to maintain female-limited color polymorphism in damselflies whose males must search for potential mates.</t>
  </si>
  <si>
    <t>Fincke, Ola/0000-0002-4456-0136; Winfrey, Claire C./0000-0003-4628-8049</t>
  </si>
  <si>
    <t>1388-7890</t>
  </si>
  <si>
    <t>2159-6719</t>
  </si>
  <si>
    <t>10.1080/13887890.2017.1297259</t>
  </si>
  <si>
    <t>WOS:000398096300004</t>
  </si>
  <si>
    <t>Dunlap, AS; Nielsen, ME; Dornhaus, A; Papaj, DR</t>
  </si>
  <si>
    <t>Dunlap, Aimee S.; Nielsen, Matthew E.; Dornhaus, Anna; Papaj, Daniel R.</t>
  </si>
  <si>
    <t>Foraging Bumble Bees Weigh the Reliability of Personal and Social Information</t>
  </si>
  <si>
    <t>Many animals, including insects, make decisions using both personally gathered information and social information derived from the behavior of other, usually conspecific, individuals [1]. Moreover, animals adjust use of social versus personal information appropriately under a variety of experimental conditions [2-5]. An important factor in how information is used is the information's reliability, that is, how consistently the information is correlated with something of relevance in the environment [6]. The reliability of information determines which signals should be attended to during communication [6-9], which types of stimuli animals should learn about, and even whether learning should evolve [10, 11]. Here, we show that bumble bees (Bombus impatiens) account for the reliability of personally acquired information (which flower color was previously associated with reward) and social information (which flowers are chosen by other bees) in making foraging decisions; however, the two types of information are not treated equally. Bees prefer to use social information if it predicts a reward at all, but if social information becomes entirely unreliable, flower color will be used instead. This greater sensitivity to the reliability of social information, and avoidance of conspecifics in some cases, may reflect the specific ecological circumstances of bee foraging. Overall, the bees' ability to make decisions based on both personally acquired and socially derived information, and the relative reliability of both, demonstrates a new level of sophistication and flexibility in animal, particularly insect, decision-making.</t>
  </si>
  <si>
    <t>Nielsen, Matthew/0000-0002-0388-1187; Dunlap, Aimee/0000-0003-2429-5758</t>
  </si>
  <si>
    <t>MAY 9</t>
  </si>
  <si>
    <t>10.1016/j.cub.2016.03.009</t>
  </si>
  <si>
    <t>WOS:000375413700026</t>
  </si>
  <si>
    <t>Hasegawa, M; Ligon, RA; Giraudeau, M; Watanabe, M; McGraw, KJ</t>
  </si>
  <si>
    <t>Hasegawa, Masaru; Ligon, Russell A.; Giraudeau, Mathieu; Watanabe, Mamoru; McGraw, Kevin J.</t>
  </si>
  <si>
    <t>Urban and colorful male house finches are less aggressive</t>
  </si>
  <si>
    <t>Rapid human urbanization can have strong and varied impacts on the behavior and fitness of wild animals. The credit-card hypothesis predicts that low predation and high food predictability in cities lead to the presence of many weak competitors in urban populations. However, no experimental studies to date have found support for this hypothesis. Here, we studied the relationship between urbanization and aggressiveness in males of a widespread North American songbird (the house finch, Haemorhous mexicanus) while taking into account the degree of sexual signal elaboration (plumage coloration), which is known to impact competitive outcomes. In paired laboratory experiments, we found that colorful urban males were less aggressive than drab urban males, whereas there was no significant difference in aggressiveness between colorful and drab rural males. Moreover, we found that colorful urban males were less aggressive than colorful rural males, whereas there was no significant difference in aggressiveness between drab urban and drab rural males. In 4-bird trials (i.e., trials with colorful and drab males from both urban and rural environments), we found that colorful urban males were consistently less aggressive than all others. Taken together, these results support the credit-card hypothesis and the idea that plumage color is an important predictor of social status in urban environments. Finally, in a model-presentation study, we found that urban males with lower body condition avoided drab male models. Urban settings, along with the social and foraging conditions they create, may exert novel selection pressures that shape the competitiveness and status signaling systems of animals.</t>
  </si>
  <si>
    <t>Watanabe, Mamoru/AHE-0489-2022; Ligon, Russell/M-1233-2013</t>
  </si>
  <si>
    <t>10.1093/beheco/aru034</t>
  </si>
  <si>
    <t>WOS:000336486100029</t>
  </si>
  <si>
    <t>McGraw, KJ; Hill, GE</t>
  </si>
  <si>
    <t>Carotenoid-based ornamentation and status signaling in the house finch</t>
  </si>
  <si>
    <t>The status signaling hypothesis (SSH) was devised primarily to explain the adaptive significance of avian ornamental coloration during the nonbreeding season. It proposes that conspicuous male plumage serves as an honest signal of social status within a population of birds. However, to date this hypothesis has been well tested and supported for only one type of plumage coloration, melanin-based coloration. Carotenoid-based pigmentation is known to positively reveal male health and condition during molt in a variety of species, but it is poorly understood whether this ornament type can also function as a status signal during the winter. We tested the SSH in male house finches (Carpodacus mexicanus) by manipulating the carotenoid-based plumage brightness of first-year males and then pairing unfamiliar birds of differing coloration in a series of dominance trials in captivity. Manipulated plumage color was unrelated to win/loss outcome in these trials, similarly, the natural pigmentation of males was a poor predictor of winter dominance; as in other studies with this species, we found only a weak tendency for naturally drab males to dominate naturally bright males. These results suggest that carotenoid-based coloration is not a reliable indicator of social status in male house finches during the nonbreeding season. In fact, carotenoid-based coloration may function only in mate choice in this species, and it may be retained throughout the year either because time constraints preclude a second plumage molt or because it aids in pair formation that begins in late winter.</t>
  </si>
  <si>
    <t>Hill, Geoffrey Edward/0000-0001-8864-6495</t>
  </si>
  <si>
    <t>10.1093/beheco/11.5.520</t>
  </si>
  <si>
    <t>WOS:000089580100008</t>
  </si>
  <si>
    <t>Cadena, CD; Londoño, GA; Parra, JL</t>
  </si>
  <si>
    <t>Nesting records of five antbird species from the Colombian Amazon</t>
  </si>
  <si>
    <t>Few nests of Amazonian antbirds (Thamnophilidae and Formicariidae) have been described. Here we present nesting records for five species of antbirds found in Tinigua National Park, Colombia. A pouch-shaped pensile nest of the Warbling Antbird (Hypocnemis cantator) in a treefall gap within seasonally flooded forest contained two eggs colored like those found in French Guiana but different from those in Amazonian Brazil and Peru. The Black-spotted Bare-eye (Phlegopsis nigromaculata) also nested in seasonally flooded forest; it constructed a cup-shaped nest inside a hollow rotten stump and laid two eggs. Two naked nestlings with bright yellow bills disappeared soon after hatching. Two cup-shaped nests of the Scale-backed Antbird (Hylophylax poecilinota) were in mature terra firme forest. Both contained two eggs similar in color to those of other subspecies; nestlings were naked and had conspicuous yellow bills. Those found in one nest disappeared 11 days after hatching. A nest of the Amazonian Streaked-Antwren (Myrmotherula multostriata) containing one egg was in seasonally flooded forest close to the river bank. This egg differed in coloration from others found in Brazil and from those of other members of the M. surinamensis complex, with which it was formerly considered conspecific. A Striated Antthrush (Chamaeza nobilis) nested in an unlined natural cavity some 3 m above the ground. The nestling closely resembled the adult but was smaller, had yellow bill commissures, and a shorter tail.</t>
  </si>
  <si>
    <t>10.1676/0043-5643(2000)112[0313:NROFAS]2.0.CO;2</t>
  </si>
  <si>
    <t>WOS:000089097200002</t>
  </si>
  <si>
    <t>STUTCHBURY, BJ; ROBERTSON, RJ</t>
  </si>
  <si>
    <t>SIGNALING SUBORDINATE AND FEMALE STATUS - 2 HYPOTHESES FOR THE ADAPTIVE SIGNIFICANCE OF SUBADULT PLUMAGE IN FEMALE TREE SWALLOWS</t>
  </si>
  <si>
    <t>Delayed plumage muturation in males is relatively common among North American passerines, but the Tree Swallow (Tachycineta bicolor) is one of few species in which 1-yr-old females have a distinct subadult plumage. Although they are preproductively mature, most subadult females do not breed in their first year because of intense intrasexual competition for nesting sites. Early in the season, subadult female floaters explore for recently vacated nest sites. The subadult plumage of young females could be adaptive by communicating their low threat to residents, thereby decreasing the cost of this exploration. To determine whether resident aggression depends on intruder color, we observed live intrusions and conducted model presentations. When the resident female was out of sight or did not respond to intruders, resident males were significantly less aggressive toward subadult females than toward adult intruders in both the nest-building/egg-laying and incubation stages. Early in the season, resident females were equally aggressive toward subadult female and adult intruders. When presented simultaneously with adult and subadult female models, resident males were always more aggressive toward the adult model, whereas females were aggressive toward either model. We propose two hypotheses for the adaptive significance of subadult plumage in female Tree Swallows: subordinance signaling and sex signaling. Our results suggest that subadult females may reduce resident aggression by signaling their female status to resident males, rather than by signaling their subordinate status to resident females.</t>
  </si>
  <si>
    <t>10.1093/auk/104.4.717</t>
  </si>
  <si>
    <t>WOS:A1987K764400015</t>
  </si>
  <si>
    <t>MCCOURT, RM; THOMSON, DA</t>
  </si>
  <si>
    <t>CLEANING BEHAVIOR OF THE JUVENILE PANAMIC SERGEANT MAJOR, ABUDEFDUF-TROSCHELII (GILL), WITH A RESUME OF CLEANING ASSOCIATIONS IN THE GULF OF CALIFORNIA AND ADJACENT WATERS</t>
  </si>
  <si>
    <t>CALIFORNIA FISH AND GAME</t>
  </si>
  <si>
    <t>Cleaning behavior is described for the juvenile Panamic sergeant major, A. troschelii (Gill), in association with larger conspecific hosts and with members of schools of 4 pelagic host species in the Gulf of California and adjacent waters. Sergeant majors behaved similarly toward the 4 pelagic host species: halfbeak, Hyporhamphus sp.; striped mullet, Mugil cephalus Linnaeus; needlefish, Strongylura sp.; and wavyline grunt, Microlepidotus inornatus Gill. Individual cleaning sequences usually lasted only a few seconds and ended with the host fish darting away after a few nips by the cleaner. Cleaners often ascended a meter or more into the water column to meet hosts that had dropped out of the swimming pattern of their schools. Posing by hosts, if it occurred, was brief and without color change; poses consisted of simple changes in position of the host''s body. Generalist midwater picker-type fishes such as A. troschelii may be particularly suited for cleaning hosts in schools that are transient components of reef communities. A summary of published and unpublished reports of cleaning activity in the Gulf of California is provided.</t>
  </si>
  <si>
    <t>0008-1078</t>
  </si>
  <si>
    <t>2331-0405</t>
  </si>
  <si>
    <t>WOS:A1984TV59800004</t>
  </si>
  <si>
    <t>BARLOW, GW; ROGERS, W; FRALEY, N</t>
  </si>
  <si>
    <t>DO MIDAS CICHLIDS WIN THROUGH PROWESS OR DARING - IT DEPENDS</t>
  </si>
  <si>
    <t>Individual Midas cichlids (Cichlasoma citrinellum) show persistent differences in aggressive behavior toward dummy fish. The starting question was whether the level of such behavior can be used to predict the winner of a fight. In the first (long-term) experiment two fish were matched for size, color, and sex. After 24 h the opaque barrier separating the 2 fish was removed; they immediately behaved aggressively. Scores for aggression toward dummies did not predict the winners, nor did taking the initiative in escalation. But weight did foretell the winners, who averaged only 2% heavier than their opponents. The conventional display phase of such fights was brief (20% of total duration), and escalation was rapid. Both winners and losers sustained damage, but losers accumulated damage faster than winners. In the subsequent (short-term) experiment the fish were separated only 1-2 h. Now aggression scores perdicted winners, and winners were the fish who escalated. Weight of fish had no effect. The conventional phase was relatively much longer, about half the length of the fight. Losers accumulated damage at the same rate as the losers in the long-term experiment, but the fights were shorter; winners suffered little damage. The fish had difficulty assessing one another. Fighting prowess was remarkably uniform when weight was factored out. Daring to escalate, in contrast, varied among individuals and correlated with aggression scores. Prowess (= weight) determined the outcome in the long-term experiment, which may find its parallel in nature in intraterritorial disputes. Daring to escalate determined the winner in the short-term experiment; this may be comparable to establishing a territory in nature. Prowess probably results from strong directional selection because it has low costs and high benefits. In contrast, daring is subject to bi-directional selection because both costs and benefits are high. Resource holding potential is conventionally viewed as deriving from prowess of self and opponent and value of resource; to that one must add the individual''s inherent aggressiveness.</t>
  </si>
  <si>
    <t>10.1007/BF00303836</t>
  </si>
  <si>
    <t>WOS:A1986C822500001</t>
  </si>
  <si>
    <t>Lee, YL; Glasby, CJ</t>
  </si>
  <si>
    <t>Lee, Yen-Ling; Glasby, Christopher J.</t>
  </si>
  <si>
    <t>A new cryptic species of Neanthes (Annelida: Phyllodocida: Nereididae) from Singapore confused with Neanthes glandicincta Southern, 1921 and Ceratonereis (Composetia) burmensis (Monro, 1937)</t>
  </si>
  <si>
    <t>RAFFLES BULLETIN OF ZOOLOGY</t>
  </si>
  <si>
    <t>A new cryptic species of Neanthes (Nereididae), N. wilsonchani, new species, is described from intertidal mudflats of eastern Singapore. The new species was confused with both Ceratonereis (Composetia) burmensis (Monro, 1937) and Neanthes glandicincta Southern, 1921, which were found to be conspecific with the latter name having priority. Neanthes glandicincta is newly recorded from Singapore, its reproductive forms (epitokes) are redescribed, and Singapore specimens are compared with topotype material from India. The new species can be distinguished from N. glandicincta by slight body colour differences and by having fewer pharyngeal paragnaths in Areas II (4-8 vs 7-21), III (11-28 vs 30-63) and IV (1-9 vs 7-20), and in the total number of paragnaths for all Areas (16-41 vs 70-113). No significant differences were found in the morphology of the epitokes between the two species. The two species have largely non-overlapping distributions in Singapore; the new species is restricted to Pleistocene coastal alluvium in eastern Singapore, while N. glandicinta occurs in western Singapore as well as in Malaysia and westward to India.</t>
  </si>
  <si>
    <t>Glasby, Chris/R-8382-2016</t>
  </si>
  <si>
    <t>0217-2445</t>
  </si>
  <si>
    <t>2345-7600</t>
  </si>
  <si>
    <t>JUL 10</t>
  </si>
  <si>
    <t>WOS:000360400000009</t>
  </si>
  <si>
    <t>Jones, SL; Dieni, JS; Green, MT; Gouse, PJ</t>
  </si>
  <si>
    <t>Jones, Stephanie L.; Dieni, J. Scott; Green, Michael T.; Gouse, Paula J.</t>
  </si>
  <si>
    <t>Annual return rates of breeding grassland songbirds</t>
  </si>
  <si>
    <t>We used reobservation of color-banded birds to index annual breeding site fidelity of four species of songbirds that nest in the northern mixed-grass prairie of northcentral Montana (1996-2005). Territorial males of Sprague's Pipits (Anthus spragueii), and Savannah (Passerculus sandwichensis), Grasshopper (Ammodramus savannarum), and Baird's (A. bairdii) sparrows were located on five permanent study sites (19982004) and lured into mist-nets using tape broadcasts of conspecific songs and calls. The proportion reobserved was 5.3% (n = 247) across all banded adult males. Grasshopper Sparrows had the highest proportion of returns (8.9%), followed by Savannah Sparrows (5.4%), Baird's Sparrows (5.1%), and Sprague's Pipits (2.1%). Three nestling Savannah Sparrows were reobserved in subsequent years (n = 193), while no nestlings of the other species were reobserved (n = 401). Our return rates were low for all adults in comparison with typical reports of return rates for songbird species of woodland and shrubland habitats. Migratory nomadism may explain this phenomenon, where grassland migrants are opportunistic in site selection, rather than faithfully returning to potentially uninhabitable former breeding sites.</t>
  </si>
  <si>
    <t>10.1676/05-158.1</t>
  </si>
  <si>
    <t>WOS:000245113700010</t>
  </si>
  <si>
    <t>LIEBHOLD, AM; VOLNEY, WJA; WATERS, WE</t>
  </si>
  <si>
    <t>EVALUATION OF CROSS-ATTRACTION BETWEEN SYMPATRIC CHORISTONEURA-OCCIDENTALIS AND CHORISTONEURA-RETINIANA (LEPIDOPTERA, TORTRICIDAE) POPULATIONS IN SOUTH-CENTRAL OREGON</t>
  </si>
  <si>
    <t>CANADIAN ENTOMOLOGIST</t>
  </si>
  <si>
    <t>The pheromone specificity of female C. occidentalis Freeman and C. retiniana (Walsingham) from several locales, laboratory colonies, and interspecific matings was determined by observing the numbers and wing maculations of males attracted at several sites in southern Oregon. Pheromone specificity of females reared from field-collected brown (typical of C. occidentalis) and green (typical of C. retiniana) larval morphs differed considerably but differed little among sites of origin. Field-collected females attracted more males than conspecific individuals from laboratory colonies. F1 and F2 interspecific hybrids most closely resembled C. occidentalis in the numbers and types of males attracted. As a group, progeny of backcrosses to C. retiniana appeared intermediate between pure lines of the species in their pheromone specificity. Females reared from intermediate-colored field-collected larvae varied considerably in attractiveness. Most attracted groups of males similar to those attracted to female C. retiniana, but others attracted males most similar to those attracted to female progeny of C. retiniana hybrid backcrosses. Hybrid matings probably occur between these species at a low frequency in nature.</t>
  </si>
  <si>
    <t>Liebhold, Andrew M./C-1423-2008</t>
  </si>
  <si>
    <t>Liebhold, Andrew M./0000-0001-7427-6534</t>
  </si>
  <si>
    <t>0008-347X</t>
  </si>
  <si>
    <t>1918-3240</t>
  </si>
  <si>
    <t>10.4039/Ent116827-6</t>
  </si>
  <si>
    <t>WOS:A1984SW69600006</t>
  </si>
  <si>
    <t>Scherrer, MV; Agudelo, AA</t>
  </si>
  <si>
    <t>Scherrer, Marcus, V; Agudelo, Antonio A.</t>
  </si>
  <si>
    <t>A new species of Miobantia Giglio-Tos, 1917 with a novel morphological feature (Mantodea: Thespidae: Miobantiinae)</t>
  </si>
  <si>
    <t>Thespidae is the most diverse family among the Neotropical Mantodea, currently containing 33 genera and 146 species of praying mantises (Wieland &amp; Svenson, 2018). Miobantia Giglio-Tos, 1917 are small, dark coloured mantids, often found in low vegetation of humid forests near the South American Atlantic coast, from the Brazilian Northeast to the Argentine Patagonia (Scherrer, 2014). Males are active fliers, while females, apterous, are often found in leaf litter or in plants close to the ground (Scherrer, 2014; Santos et al., 2018). Despite their commonness in the Brazilian Atlantic Forest the genus received little taxonomic attention, yet had a complicated nomenclatural history. Scherrer (2014) provided a comprehensive taxonomic and nomenclatural revision of Miobantia after incorporating both molecular and morphological data to reorganize the group, resulting in the description of four new species, detailed identification keys, illustrations, association of conspecific sexes, and maps for all known species. The most recent contribution to the taxonomy of the genus was the addition of Metathespis precaria Piza, 1968 as a junior synonym of Miobantia rustica (Fabricius, 1781) (Agudelo &amp; Rivera, 2015).</t>
  </si>
  <si>
    <t>Agudelo, Antonio A./K-6311-2015</t>
  </si>
  <si>
    <t>Agudelo, Antonio A./0000-0001-6272-2146</t>
  </si>
  <si>
    <t>10.11646/zootaxa.4555.2.10</t>
  </si>
  <si>
    <t>WOS:000458428100010</t>
  </si>
  <si>
    <t>Heubel, KU; Schlupp, I</t>
  </si>
  <si>
    <t>Turbidity affects association behaviour in male Poecilia latipinna</t>
  </si>
  <si>
    <t>Male association preferences in a bisexual-unisexual species complex were studied in clear and turbid environments. In south and central Texas, where the gynogenetic sexual-parasite Poecilia formosa lives syntopically with Poecilia latipinna as its sexual host species, association times of P. latipinna males with conspecific sexual and heterospecific asexual females in clear and turbid water were measured sequentially. Turbidity had an influence on male mate association behaviour. Males spent less time with any kind of female stimulus in turbid water. There was no preference for conspecific sexual females, either in turbid water or under clear conditions. Also, origin of males and acclimatization to turbid water had no effect. How turbidity as a source of visual noise might affect communication among individuals and how this environmental factor might contribute to the stability of this sexual-asexual mating complex in nature are discussed.</t>
  </si>
  <si>
    <t>Heubel, Katja/J-4060-2012; Schlupp, Ingo/C-3913-2012</t>
  </si>
  <si>
    <t>Heubel, Katja/0000-0002-7946-5542; Schlupp, Ingo/0000-0002-2460-5667</t>
  </si>
  <si>
    <t>10.1111/j.0022-1112.2006.00941.x</t>
  </si>
  <si>
    <t>WOS:000235469400016</t>
  </si>
  <si>
    <t>Obozova, TA; Smirnova, AA; Zorina, ZA</t>
  </si>
  <si>
    <t>Obozova, T. A.; Smirnova, A. A.; Zorina, Z. A.</t>
  </si>
  <si>
    <t>THE EARLY ONTOGENY OF THE BEHAVIOUR OF THE YOUNG IN LARGE-BILLED CROWS (CORVUS MACRORHYNCHOS) IN THEIR NATURAL ENVIRONMENT</t>
  </si>
  <si>
    <t>The early ontogeny of corvid behaviour was studied in a natural environment, the large-billed crow (Corvus macrorhynchos) taken as an example. Research was carried out from May to October, 2012 in a wildlife area (Small Kuriles, part of the Kurilsky State Nature Biosphere Reserve, Shikotan Island) on a free-living population of these birds. Observations were made of 25 crow chicks marked with colour rings from ten nests since the moment of their hatching (early June) to the beginning of September (the time when fledges became independent). The results obtained allowed us to reveal not only individual forms of chick and fledge behaviour, but also the process of incorporation of the young into the population's social structure. The development of a behavioural repertoire in large-billed crows in their natural habitat is shown to be about the same as in hooded crows. The difference is that large-billed crow parents go on looking after their young even after the latter leave their nest territory. This may expand the capacities of social learning and skill transfer. Unlike large-billed crow adults of the Shikotan population, whose aggression to their kin is very high, the young show no aggression to other young. Moreover, we observed the formation of positive contacts between fledges from different families during their games. This feature of fledge behaviour probably plays important roles in the incorporation of the young into the social structure of the population.</t>
  </si>
  <si>
    <t>Smirnova, Anna/C-9962-2015</t>
  </si>
  <si>
    <t>Smirnova, Anna/0000-0002-4446-2990</t>
  </si>
  <si>
    <t>10.7868/S0044513418010051</t>
  </si>
  <si>
    <t>WOS:000429884500005</t>
  </si>
  <si>
    <t>ACTIVATION OF CENTRAL BIOGENIC-AMINES FOLLOWING AGGRESSIVE INTERACTION IN MALE LIZARDS, ANOLIS-CAROLINENSIS</t>
  </si>
  <si>
    <t>Many stimuli, including social aggression, activate endocrine stress mechanisms, presumably mediated or modulated by central neurotransmitters. To determine the effects of aggression on central neurochemistry, reproductively active male Anolis carolinensis were paired and allowed to establish social dominance relationships. While combatants cohabited, the fight losers invariably became socially subordinate and displayed darker color, selection of lower perch sites, and lower body posture than the winners. After one hour, one day, one week, or one month of cohabitation animals were sacrificed. Each member of a pair was killed at approximately the same time, along with animals kept isolated as controls. Diencephalon, non-optic lobe midbrain and hindbrain were analyzed for indoleamines, catecholamines and metabolites by coulochem electrode array HPLC. Early activation (by one hour) of the serotonergic system in subordinate male lizards was indicated by decreased serotonin (5-HT), increased 5-hydroxyindoleacetic acid (5-HIAA) levels and 5-HIAA/5-HT ratio. Substrate 5-hydroxytryptophan (5-HTP) also increased in losing males, suggesting enhanced production as well as turnover. Significant 5-HTP and 5-HIAA/5-HT increases for subordinate males, compared with levels in control and dominant males, were greatest at one hour and diminished thereafter. This pattern of indoleamine system activation is consistent with stress-induced stimulation of the serotonergic system and prolonged activation of the stress response in subordinate animals, as well as serotonergic inhibition of aggression. In contrast with serotonin, subordinate males did not have increased catecholamine system activation following one hour of interaction. The ratio of DOPAC/dopamine was lower following one hour of interaction in subordinate males. Adrenergic system activation, indicated by metanephrine/epinephrine ratio, increased with time in losing males, except that after one month of cohabitation, turnover returned to levels that equaled those of control animals. Noradrenergic metabolite MHPG, as well as MHPG/NE ratio, were significantly reduced in dominant males at one hour and one week. Changes in adrenergic system activation, not seen in or registered by noradrenergic systems, indicate a possible role for central epinephrine in social stress accommodation.</t>
  </si>
  <si>
    <t>10.1159/000113561</t>
  </si>
  <si>
    <t>WOS:A1995RE13000004</t>
  </si>
  <si>
    <t>Williams, KA; Bartholomay, PR; Cambra, RA; Pitts, JP; Oliveira, ML</t>
  </si>
  <si>
    <t>Williams, Kevin A.; Bartholomay, Pedro R.; Cambra, Roberto A.; Pitts, James P.; Oliveira, Marcio L.</t>
  </si>
  <si>
    <t>Revision of Cephalomutilla Andre (Hymenoptera: Mutillidae) including one new species, three new sex associations, and nine new synonymies</t>
  </si>
  <si>
    <t>AUSTRAL ENTOMOLOGY</t>
  </si>
  <si>
    <t>Cephalomutilla Andre, 1908, a genus of velvet ants (Mutillidae), currently composed of 11 species previously recognized from females only, is here revised. A new species from Colombia, C. cabezona Williams, sp. nov., is recognized from both sexes and newly described. The previously unknown male of C. zelichi Casal, 1963 is associated and described. Mutilla vulnerifera Andre, 1908, syn. nov., is recognized as the male of C. haematodes (Gerstaecker, 1874), and the following species are recognized as synonymous colour variants of C. haematodes: C. albicalcaris Mickel, 1960, syn. nov.; C. argyrosticta (Burmeister, 1875), syn. nov.; and C. flavigastra Mickel, 1960, syn. nov. Cephalomutilla proxima (Smith, 1879), comb. nov., is transferred to Cephalomutilla, and the following species previously recognized from females only were recognized as conspecific with C. proxima: C. confluenta Mickel, 1960, syn. nov.; C. distincta Mickel, 1960, syn. nov.; C. fasciata Mickel, 1960, syn. nov.; C. transversa Mickel, 1960, syn. nov.; and C. vivata (Cresson, 1902), syn. nov. Keys and illustrations are provided for all five currently valid species of Cephalomutilla.</t>
  </si>
  <si>
    <t>Bartholomay, Pedro/AGI-5160-2022; Oliveira, Marcio/KIC-9104-2024</t>
  </si>
  <si>
    <t>Reck Bartholomay, Pedro/0000-0003-3429-6455</t>
  </si>
  <si>
    <t>2052-1758</t>
  </si>
  <si>
    <t>2052-174X</t>
  </si>
  <si>
    <t>10.1111/aen.12596</t>
  </si>
  <si>
    <t>WOS:000805597200003</t>
  </si>
  <si>
    <t>Gosliner, TM; Schaefer, MC; Millen, SV</t>
  </si>
  <si>
    <t>A new species of Doriopsilla (Nudibranchia: Dendrodorididae) from the Pacific coast of North America, including a comparison with Doriopsilla albopunctata (Cooper, 1863)</t>
  </si>
  <si>
    <t>VELIGER</t>
  </si>
  <si>
    <t>Much confusion has surrounded the systematics of the yellow species of Dendrodorididae inhabiting the Pacific coast of North America. Re-examination of Doris albopunctata Cooper, 1863, indicates that it is properly placed in Doriopsilla. Examination of specimens from different localities throughout California, the Pacific coast of Baja California, and within the Gulf of California, indicates that ail white-gilled specimens are conspecific with D. albopunctata, and that D. fulva (MacFarland, 1905) and D. reticulata (Cockerell &amp; Eliot, 1905) are regarded as junior synonyms. A second species with yellow gills is here described as Doriopsilla gemela, It differs from D. albopunctata in aspects of its color pattern, external morphology, digestive system, reproductive anatomy, and developmental biology. The two species also differ in allozyme allelic frequencies. Doriopsilla gemela and D. albopunctata are also compared to other members of the genus present in the eastern Pacific. These comparisons show that, while D. gemela and D. albopunctata are externally similar to each other, their internal anatomy is more similar to other species than to each other.</t>
  </si>
  <si>
    <t>0042-3211</t>
  </si>
  <si>
    <t>WOS:000081353100001</t>
  </si>
  <si>
    <t>Hegedus, M; DeVries, P; Penz, CM</t>
  </si>
  <si>
    <t>Hegedus, Miles; DeVries, Phil; Penz, Carla M.</t>
  </si>
  <si>
    <t>The Influence of Mimicry on Wing Shape Evolution in the Butterfly Papilio dardanus (Lepidoptera: Papilionidae)</t>
  </si>
  <si>
    <t>Throughout its range in Africa, Papilio dardanus Brown, 1776 (Lepidoptera: Papilionidae) displays female-limited mimicry of multiple model species, and the absence of hind wing tails is an important component of their mimetic convergence. Nonmimetic P. dardanus females have a narrow, disjunct distribution (Ethiopia, Madagascar, Comoros), and resemble males in color and by possessing hind wing tails. We used elliptical Fourier analysis to investigate whether mimetic P. dardanus female forms converged on the wing shape of their unpalatable models in the tribes Acraeini and Danaini (Lepidoptera: Nymphalidae). Models varied in forewing and hind wing shapes, and separated in shape space according to phylogenetic affinities. Forewing and hind wing shapes of mimics did not closely match those of models. Nonetheless, we found that mimetic P. dardanus female hind wings differed from conspecific males that had their tails photographically removed to allow standardized comparisons. Four nonmimetic Papilio Linnaeus, 1758 (Lepidoptera: Papilionidae) species did not show significant wing shape dimorphism between sexes, supporting the idea that in P. dardanus females, the evolution of mimicry led to changes in hind wing shape beyond the loss of tails.</t>
  </si>
  <si>
    <t>10.1093/aesa/say045</t>
  </si>
  <si>
    <t>WOS:000467951400004</t>
  </si>
  <si>
    <t>Takano, T; Hirano, YM; Trowbridge, CD; Hirano, YJ; Watano, Y</t>
  </si>
  <si>
    <t>Takano, Tsuyoshi; Hirano, Yayoi M.; Trowbridge, Cynthia D.; Hirano, Yoshiaki J.; Watano, Yasuyuki</t>
  </si>
  <si>
    <t>Taxonomic clarification in the genus Elysia (Gastropoda: Sacoglossa): E. atroviridis and E. setoensis</t>
  </si>
  <si>
    <t>Species of the genus Elysia Risso, 1818 have relatively few external characters useful for species identification, and features such as papillae and/or color markings on the body surface are often used to classify and identify species. Elysia atroviridis Baba, 1955 and E. setoensis Hamatani, 1968, for example, have been described as distinct based mainly on such characters. Close examinations of 46 specimens identifiable as either species collected from nine localities in Japan revealed that many specimens exhibited mixed features of the two species. Detailed comparisons of radular morphology could also not differentiate the two species. With phylogenetic analyses based on COI and 16S rRNA (1072 bp in total), all of the examined specimens formed a single clade with very little variation among specimens. The AMOVA of the specimen haplotypes showed there was no significant genetic differentiation in relation to differences in external morphology, geographic region, or algal host. Our results indicate that E. atroviridis and E. setoensis are conspecific. In contrast, cryptic species were found in two other clades of congeners, indicating that further taxonomic scrutiny is needed within the genus.</t>
  </si>
  <si>
    <t>Watano, Yasuyuki/0000-0001-5814-9658</t>
  </si>
  <si>
    <t>10.4003/006.031.0114</t>
  </si>
  <si>
    <t>WOS:000338769900003</t>
  </si>
  <si>
    <t>Dale, J; Lank, DB; Reeve, HK</t>
  </si>
  <si>
    <t>Signaling individual identity versus quality: A model and case studies with ruffs, queleas, and house finches</t>
  </si>
  <si>
    <t>We develop an evolutionary model that predicts that characters selected to signal individual identity will have properties differing from those expected for indicator signals of quality. Traits signaling identity should be highly variable, often display polymodal distributions, not be condition dependent (i.e., be cheap to produce and/or maintain), not be associated with fitness differences, exhibit independent assortment of component characters, and often occur as fixed phenotypes with a high degree of genetic determination. We illustrate the existence of traits with precisely these attributes in the ornamental, conspicuously variable, and sexually dimorphic breeding plumages of ruff sandpipers Philomachus pugnax and red-billed queleas Quelea quelea. Although ruffs lek and queleas are monogamous, both species breed in high-density aggregations with high rates of social interactions (e.g., aggression and territory defense). Under these socioecological conditions, individual recognition based on visual cues may be unusually important. In contrast to these species, we also review plumage characteristics in house finches Carpodacus mexicanus, a nonterritorial, dispersed-breeding species in which plumage ornamentation is thought to signal quality. In keeping with expectations for quality signals, house finch plumage is relatively less variable, unimodally distributed, condition dependent, correlated with fitness measures, has positively correlated component characters, and is a plastic, environmentally determined trait. We briefly discuss signals of identity in other animals.</t>
  </si>
  <si>
    <t>Dale, James/E-7203-2011</t>
  </si>
  <si>
    <t>Dale, James/0000-0001-5950-5829</t>
  </si>
  <si>
    <t>10.1086/320861</t>
  </si>
  <si>
    <t>WOS:000169198200006</t>
  </si>
  <si>
    <t>Hsu, YF; Tsukiyama, H; Chiba, H</t>
  </si>
  <si>
    <t>Hasora anura de Niceville from Taiwan (Lepidoptera: Hesperiidae: Coeliadinae) representing a new subspecies endemic to the island</t>
  </si>
  <si>
    <t>ZOOLOGICAL STUDIES</t>
  </si>
  <si>
    <t>Hasora anura de Niceville from Taiwan (Lepidoptera: Hesperiidae: Coeliadinae) representing a new subspecies endemic to the island. Zoological Studies 44(2): 200-209. Populations of Hasora anura of Taiwan possess morphological characters and larval host usage which differ from those of conspecific populations in continental Asia. They are considered to represent a new subspecies endemic to Taiwan. This new subspecies is characterized by 1) an ocherous ground color on the wing undersides; 2) creamy-yellow markings on the hindwing undersides; 3) a valva rapidly narrowing distally; and 4) arms of the uncus close at the base. it is monophagous as a larva, feeding on Ormosia formosana (Fabaceae), in contrast to the broader host range of the continental populations, which utilize both Ormosia and Milletia (Fabaceae) as larval hosts. Year-round observations of the occurrence of immatures of this new subspecies and documentation in literature records suggest that it is a univoltine species, in which the occurrence of immatures is synchronized with the annual budding of its host; it probably overwinters as an adult.</t>
  </si>
  <si>
    <t>1021-5506</t>
  </si>
  <si>
    <t>1810-522X</t>
  </si>
  <si>
    <t>WOS:000229810000003</t>
  </si>
  <si>
    <t>Mullen, SP; Andrés, JA</t>
  </si>
  <si>
    <t>Mullen, S. P.; Andres, J. A.</t>
  </si>
  <si>
    <t>Rapid evolution of sexual signals in sympatric Calopteryx damselflies:: reinforcement or 'noisy-neighbour' ecological character displacement?</t>
  </si>
  <si>
    <t>Enhanced prezygotic isolation in sympatry is one of the most intriguing patterns in evolutionary biology and has frequently been interpreted as evidence for reinforcement. However, the frequency with which reinforcement actually completes speciation remains unclear. The Jewelwing damsel-flies (Calopteryx acquabilis and C. maculata) have served as one of the few classic examples of speciation via reinforcement outside of Drosophila. Although evidence for wing pattern displacement and increased mate discrimination in this system have been demonstrated, the degree of hybridization and gene flow in nature are unknown. Here, we show that sympatric populations of these two species are the result of recent secondary contact, as predicted under a model of speciation via reinforcement. However, we found no phenotypic evidence of hybridization in natural populations and a complete association between species-specific haplotypes at two different loci (mitochondrial CO I and nuclear EF1-alpha), suggesting little or no contemporary gene flow. Moreover, genealogical and coalescent-based estimates of divergence times and migration rates indicate that, speciation occurred in the distant past. The rapid evolution of wing colour in sympatry is recent, therefore, relative to speciation and seems to be better explained by selection against wasting mating effort and/or interspecific aggression resulting from a 'noisy neighbour' signalling environment.</t>
  </si>
  <si>
    <t>Tatsuta, Haruki/F-2997-2010</t>
  </si>
  <si>
    <t>10.1111/j.1420-9101.2007.01297.x</t>
  </si>
  <si>
    <t>WOS:000248177600037</t>
  </si>
  <si>
    <t>KNOWLTON, N; KELLER, BD</t>
  </si>
  <si>
    <t>A NEW, SIBLING SPECIES OF SNAPPING SHRIMP ASSOCIATED WITH THE CARIBBEAN SEA-ANEMONE BARTHOLOMEA-ANNULATA</t>
  </si>
  <si>
    <t>BULLETIN OF MARINE SCIENCE</t>
  </si>
  <si>
    <t>Alpheus immaculatus, a new species of snapping shrimp associated with the Caribbean sea anemone Bartholomea annulata, is described and figured. This new species, together with the well known Alpheus armatus, and a much rarer, as yet undescribed, 3rd species, make up a complex of sibling species that share the same host and are extremely similar morphologically. A small set of distinctive color pattern differences unambiguously distinguishes these species when alive and 1 morphological character can also be used to distinguish the 2 species in most preserved specimens. No reproductive pairings between species have been observed in the field. In the laboratory, adult males and females of different species behave very aggressively towards each other, in contrast to the placid interactions between conspecific, adult, male-female pairs. The distribution of A. immaculatus is wider with respect to depth than that of A. armatus. Deeper than 15 m, including all collections from anemones seaward of the reef crest, only A. immaculatus has been found. In many shallower backreef areas, A. armatus and A. immaculatus occur microsympatrically, although in some locations only A. armatus is found.</t>
  </si>
  <si>
    <t>0007-4977</t>
  </si>
  <si>
    <t>1553-6955</t>
  </si>
  <si>
    <t>WOS:A1983QR68900012</t>
  </si>
  <si>
    <t>McLean, S; Morrell, LJ</t>
  </si>
  <si>
    <t>McLean, Stephanie; Morrell, Lesley J.</t>
  </si>
  <si>
    <t>Consistency in the strength of laterality in male, but not female, guppies across different behavioural contexts</t>
  </si>
  <si>
    <t>Laterality, the division of brain functions into separate hemispheres, is widespread across animal taxa. Lateralized individuals exhibit cognitive advantages yet substantial variation in laterality exists, particularly between the sexes. Why variation is maintained is unknown as few studies consider differences in lateralized behaviours between the sexes, and their underlying selection pressures, across different contexts. We investigated if Poecilia reticulata exhibited sex differences in the direction, strength and consistency of lateralization. We assessed the turning preferences of individuals detouring around a barrier to view visual stimuli representative of different behavioural contexts: an artificial object of familiar colour, an opposite sex conspecific and a no stimulus control. While no sex differences were evident in the direction or strength of laterality, consistency in the strength of laterality varied between the sexes. Individuals of both sexes consistently detoured in one direction, but the strength of laterality exhibited by males was more predictable than females across contexts. This suggests that predictability of lateralization across ecologically relevant scenarios represents a key, but previously unexplored, source of variation between the sexes.</t>
  </si>
  <si>
    <t>Morrell, Lesley J/A-4311-2008; McLean, Stephanie/AAU-4892-2020</t>
  </si>
  <si>
    <t>McLean, Stephanie/0000-0002-1853-7573</t>
  </si>
  <si>
    <t>MAY 27</t>
  </si>
  <si>
    <t>10.1098/rsbl.2019.0870</t>
  </si>
  <si>
    <t>WOS:000535684800001</t>
  </si>
  <si>
    <t>RAITT, RJ</t>
  </si>
  <si>
    <t>RELATIONSHIPS BETWEEN BLACK-EARED AND PLAIN-EARED FORMS OF BUSHTITS (PSALTRIPARUS)</t>
  </si>
  <si>
    <t>The longstanding problem of relationships among populations of bushtits in the southwestern United States and northern Mexico was pursued through field work and examination of specimens. Results for the Chisos Mountains of west Texas and other critical areas indicate a situation of polymorphism in head coloration, rather than 1 of 2 sympatric spp.; Psaltriparus melanotis and P. minimus are, therefore, conspecific. Black-eared individuals occur among juvenile and adult males and among juvenile females in various populations; the percentages of such individuals and the extent of black coloration in the individual increase from north to south in 2 clines, 1 centering in west Texas, the other in northeastern Sonora. Other color characteristics vary more or less concordantly. Ecology and behavior of black-eared and plain-eared forms appear identical. Patterns of variation suggest that clines are due to secondary inter gradation between 2 weakly differentiated groups, following a period of geographic isolation. Support for this interpretation is found in distributions of closely related forms in other genera of birds occupying similar habitats in the same region.</t>
  </si>
  <si>
    <t>10.2307/4083332</t>
  </si>
  <si>
    <t>WOS:A1967A201400003</t>
  </si>
  <si>
    <t>Dale, S; Steifetten, O; Osiejuk, TS; Losak, K; Cygan, JP</t>
  </si>
  <si>
    <t>Dale, Svein; Steifetten, Oyvind; Osiejuk, Tomasz S.; Losak, Katarzyna; Cygan, Jakub P.</t>
  </si>
  <si>
    <t>How do birds search for breeding areas at the landscape level? Interpatch movements of male ortolan buntings</t>
  </si>
  <si>
    <t>ECOGRAPHY</t>
  </si>
  <si>
    <t>Animal movements at large spatial scales are of great importance in population ecology, yet little is known due to practical problems following individuals across landscapes. We studied the whole Norwegian population of a small songbird (ortolan bunting, Emberiza hortulana) occupying habitat patches dispersed over nearly 500 km(2). Movements of colour-ringed males were monitored during ten years, and extensive long-distance dispersal was recorded. More than half of all cases of breeding dispersal took place within one breeding season, and males moved up to 43 km between singing territories, using 1-22 d. Natal dispersal was usually to a habitat patch close to the natal patch, or within the natal patch if it was large. Breeding dispersal movements were often long-distance, beyond neighbouring patches, and up to 11-19 patches were overflown. Movements of at least 6-9 km across areas of unsuitable habitat occurred regularly. The number of patches visited was low (1-4) even though search costs in terms of time spent moving from one site to another were relatively low (often only a few days even for distances &gt; 10 km). Most males seemed to use a threshold tactic when choosing a patch, but returns to previously visited patches were recorded, including some cases of commuting. In conclusion, male ortolan buntings have a surprising ability to move quickly at the landscape level, and this resulted in a high connectivity of patches. We discuss our results in relation to optimal searching strategies, in particular the use of within-breeding season versus post-breeding season search, conspecific attraction and adaptive late arrival of young birds.</t>
  </si>
  <si>
    <t>Losak, Katarzyna/KFB-6230-2024; Osiejuk, Tomasz S/A-1230-2008</t>
  </si>
  <si>
    <t>Losak, Katarzyna/0000-0002-3398-9092; Osiejuk, Tomasz/0000-0001-5980-7421</t>
  </si>
  <si>
    <t>0906-7590</t>
  </si>
  <si>
    <t>10.1111/j.2006.0906-7590.04816.x</t>
  </si>
  <si>
    <t>WOS:000243634500010</t>
  </si>
  <si>
    <t>Kroken, KK; Sæthre, AA; Nicolaisen, O; Egeland, TB; Nordeide, JT</t>
  </si>
  <si>
    <t>Kroken, Karl Kristian; Saethre, Axel Aas; Nicolaisen, Ove; Egeland, Torvald Blikra; Nordeide, Jarle Tryti</t>
  </si>
  <si>
    <t>Carotenoids-based reddish pelvic spines in nonreproducing female and male sticklebacks (Gasterosteus aculeatus) - Signalling social dominance?</t>
  </si>
  <si>
    <t>Conspicuous ornaments are often considered a result of evolution by sexual selection. According to the social selection hypothesis, such conspicuous traits may also evolve as badges of status associated with increased boldness or aggression toward conspecifics in conflicts about ecological resources. This study tested predictions from the social selection hypothesis to explain evolution of conspicuous red color of the pelvic spines of the three-spine stickleback (Gasterosteus aculeatus). Wild nonreproducing sticklebacks were presented to pairs of dummies which differed at their pelvic spines, having either (i) normal-sized gray or red pelvic spines or (ii) normal-sized gray or large red pelvic spines. The experimental tank was illuminated by white or green light, since green light impedes the sticklebacks' ability to detect red color. The dummies moved slowly around in circles at each end of the experimental tank. We quantified the parameters (i) which of the two dummies was visited first, (ii) time taken before the first visit to a dummy, (iii) distribution of the focal sticklebacks in the two zones close to each of the two dummies and in the neutral zone of the tank, (iv) close to which of the two dummies did the focal fish eat its first food-piece, and (v) time spent until the first piece of food was eaten. This was carried out for 22 females and 29 males sticklebacks. The results suggested no effect of the color or size of the dummies' pelvic spines, on none of the five behavioral parameters. Moreover, neither the color of the pelvic spines of the focal sticklebacks themselves (as opposed to redness of the dummies' spines) nor their body length was associated with behavior toward the dummies. Thus, this study did not support predictions from the social selection hypothesis to explain evolution of red pelvic spines in sticklebacks.</t>
  </si>
  <si>
    <t>Egeland, Torvald B./0000-0003-4768-1678</t>
  </si>
  <si>
    <t>10.1002/ece3.7892</t>
  </si>
  <si>
    <t>WOS:000670837800001</t>
  </si>
  <si>
    <t>SWAIN, DP; HOLTBY, LB</t>
  </si>
  <si>
    <t>DIFFERENCES IN MORPHOLOGY AND BEHAVIOR BETWEEN JUVENILE COHO SALMON (ONCORHYNCHUS-KISUTCH) REARING IN A LAKE AND IN ITS TRIBUTARY STREAM</t>
  </si>
  <si>
    <t>CANADIAN JOURNAL OF FISHERIES AND AQUATIC SCIENCES</t>
  </si>
  <si>
    <t>Juvenile coho salmon (Oncorhynchus kisutch) rear both in Mesachie Lake, B.C., [Canada] and in its inlet stream. The duration and frequency of aggressive behavior were greater among stream-rearing than lake-rearing juveniles in mirror image stimulation and stream tank tests of agonistic behavior. Lateral displays made up a higher proportion of total behavior among the stream-rearing fish compared with the lake-rearing fish. Lake-type fish had more posteriorly placed pectoral fins, shallower bodies and smaller, less brightly colored dorsal and anal fins than did stream-type fish, even after 2 mo of laboratory rearing in a common environment. Diminished aggression, a shift in aggressive behavior away from lateral displays, a more streamlined shape, and reduced coloration, all appear to be adaptations to a schooling lifestyle in the open waters of the lake.</t>
  </si>
  <si>
    <t>0706-652X</t>
  </si>
  <si>
    <t>1205-7533</t>
  </si>
  <si>
    <t>10.1139/f89-180</t>
  </si>
  <si>
    <t>WOS:A1989AJ57000018</t>
  </si>
  <si>
    <t>Sandberger, L; Hillers, A; Doumbia, J; Loua, NS; Brede, C; Rödel, MO</t>
  </si>
  <si>
    <t>Sandberger, Laura; Hillers, Annika; Doumbia, Joseph; Loua, Nema-Soua; Brede, Christian; Roedel, Mark-Oliver</t>
  </si>
  <si>
    <t>Rediscovery of the Liberian Nimba toad, Nimbaphrynoides liberiensis (Xavier, 1978) (Amphibia: Anura: Bufonidae), and reassessment of its taxonomic status</t>
  </si>
  <si>
    <t>We report on the search and rediscovery of the Liberian Nimba toad, Nimbaphrynoides liberiensis, 30 years after its original description. A small surviving population could be traced in the surroundings of the type locality Mount Alpha, Liberia. The type locality was meanwhile destroyed by open cast mining. Similar to the Guinean Nimba toad, Nimbaphrynoides occidentalis, the Liberian toad lives exclusively in open, savanna like habitats above 1200 m a.s.l. The presumably few surviving individuals and the small and patchy distribution classify the Liberian toads as Critically Endangered (Stuart et al. 2008). A morphological, acoustical and genetic comparison of Liberian and Guinean populations revealed only minor, but distinct morphological (size, colour) differences. Genetically and acoustically the two taxa were indistinguishable. We therefore propose to consider the two populations as conspecific and to consider Nimbaphrynoides liberiensis (Xavier, 1978) as junior synonym of Nimbaphrynoides occidentalis (Angel, 1943). Because of the morphological differences we propose to treat the Liberian population as a subspecies of the Guinean toad and herein introduce the new name: Nimbaphrynoides occidentalis liberiensis.</t>
  </si>
  <si>
    <t>FEB 10</t>
  </si>
  <si>
    <t>WOS:000274639400003</t>
  </si>
  <si>
    <t>CHAUVINMUCKENSTURM, B</t>
  </si>
  <si>
    <t>REACTIONS TO MODELS IN 3 SPINED STICKLEBACKS LIVING IN GROUP</t>
  </si>
  <si>
    <t>Previous experiments studying the effect of the nuptial coloration of male sticklebacks were done with isolated males presented with different inanimate models. In nature, male sticklebacks are rarely far from their congeners. In such subsocial conditions, models of various colors and shapes usually do not influence the stickleback''s behavior. They are rarely approached. Males may attack nests of other males which diverted their attention to the models. If the artificial model is close to a nest in the position of a normal male guarding its nest, it elicits practically no reaction from living males and the eggs in the nest are picked up almost immediately. Attacks on models as observed in the laboratory may be caused by the increased aggression of isolated males, but models are almost inefficient in normal social conditions. Models and living congeners are seldom confused.</t>
  </si>
  <si>
    <t>WOS:A1978FR83100004</t>
  </si>
  <si>
    <t>Young, DK</t>
  </si>
  <si>
    <t>Young, Daniel K.</t>
  </si>
  <si>
    <t>NOMENCLATURAL CHANGES IN PYROCHROINAE: THREE MAURICE PIC TYPES OF PSEUDODENDROIDES BLAIR (COLEOPTERA: PYROCHROIDAE)</t>
  </si>
  <si>
    <t>COLEOPTERISTS BULLETIN</t>
  </si>
  <si>
    <t>An examination of three Maurice Pic types of Pseudodendroides Blair requires as many nomenclatural actions. Pseudodendroides nitidicollis Pic, 1955 is transferred to Himalapyrochroa Young: Himalapyrochroa nitidicollis (Pic), new combination. Pseudodendroides distinctipennis Pic, 1938 is transferred to Sinodendroides Young: Sinodendroides distinctipennis (Pic), new combination. Pseudodendroides nitidicollis sulcatithorax 1955, Pic is congeneric with Pseudodendroides and not conspecific with Himalapyrochroa nitidicollis, hence it is elevated to specific rank: Pseudodendroides sulcatithorax Pic, new status. A lectotype is also proposed for P. distinctipennis.</t>
  </si>
  <si>
    <t>Young, Daniel/HKW-1747-2023</t>
  </si>
  <si>
    <t>0010-065X</t>
  </si>
  <si>
    <t>1938-4394</t>
  </si>
  <si>
    <t>10.1649/0010-065X-69.mo4.191</t>
  </si>
  <si>
    <t>WOS:000370895200020</t>
  </si>
  <si>
    <t>Piersanti, S; Salerno, G; Di Pietro, V; Giontella, L; Rebora, M; Jones, A; Fincke, OM</t>
  </si>
  <si>
    <t>Piersanti, Silvana; Salerno, Gianandrea; Di Pietro, Viviana; Giontella, Leonardo; Rebora, Manuela; Jones, Albyn; Fincke, Ola M.</t>
  </si>
  <si>
    <t>Tests of search image and learning in the wild: Insights from sexual conflict in damselflies</t>
  </si>
  <si>
    <t>Search image formation, a proximal mechanism to maintain genetic polymorphisms by negative frequency-dependent selection, has rarely been tested under natural conditions. Females of many nonterritorial damselflies resemble either conspecific males or background vegetation. Mate-searching males are assumed to form search images of the majority female type, sexually harassing it at rates higher than expected from its frequency, thus selectively favoring the less common morph. We tested this and how morph coloration and behavior influenced male perception and intersexual encounters by following marked Ischnura elegans and noting their reactions to conspecifics. Contrary to search image formation and associative learning hypotheses, although males encountered the minority, male-like morph more often, sexual harassment and clutch size were similar for both morphs. Prior mating attempts or copula with morphs did not affect a male's subsequent reaction to them; males rarely attempted matings with immature females or males. Females mated early in the day, reducing the opportunity for males to learn their identity beforehand. Once encountered, the male-like morph was more readily noticed by males than the alternative morph, which once noticed was more likely to receive mating attempts. Flexible behavior gave morphs considerable control over their apparency to males, influencing intersexual encounters. Results suggested a more subtle proximal mechanism than male learning maintains these color polymorphisms and call for inferences of learning to be validated by behavior of wild receivers and their signalers.</t>
  </si>
  <si>
    <t>Piersanti, Silvana/AAC-8109-2022; Di Pietro, Viviana/ISS-4833-2023; Rebora, Manuela/AAB-7848-2019; Salerno, Gianandrea/G-9296-2011</t>
  </si>
  <si>
    <t>Di Pietro, Viviana/0000-0003-1116-9795; Rebora, Manuela/0000-0002-4271-6336; Salerno, Gianandrea/0000-0002-8357-7598</t>
  </si>
  <si>
    <t>10.1002/ece3.7335</t>
  </si>
  <si>
    <t>WOS:000629779400001</t>
  </si>
  <si>
    <t>Kraft, B; Lemakos, VA; Travis, J; Hughes, KA</t>
  </si>
  <si>
    <t>Kraft, Brittany; Lemakos, Valerie A.; Travis, Joseph; Hughes, Kimberly A.</t>
  </si>
  <si>
    <t>Pervasive indirect genetic effects on behavioral development in polymorphic eastern mosquitofish</t>
  </si>
  <si>
    <t>Nurture depends on the nature of social partners. The behavior of a young male mosquitofish depends on genetic differences in his social partners and on his own genes. Social partners that are genetically dark or light colored affect the behavior differently. But, dark-colored males respond less to social differences than light males, and receive different behaviors from social partners. So, even apparently innate differences related to color can be caused by differences in the behavior of social partners.The social environment can dramatically influence the development and expression of individual behavior. Indirect genetic effects (IGE) arise when variation in the social environment depends on genotypic differences among social partners. Their role in generating variation and influencing evolutionary dynamics has become increasingly recognized in recent years, but less attention has been paid to how IGE arise during development. We measured the development of IGE using a discrete natural polymorphism in male coloration and associated behaviors in eastern mosquitofish (Gambusia holbrooki). We observed substantial IGE and direct genetic effects on behavior. For some behaviors, IGE changed and even reversed direction over the 16 weeks of the experiment, indicating important developmental dynamics. Interaction between IGE and direct genetic effects for some behaviors suggests that melanistic males were less responsive to a genetic change in their social environment than nonmelanistic males were. Alternately, social partners might vary less in the behavior they direct toward melanistic males. Color morphs differed in mating behavior and in aggressive behavior they received from social partners, but not in direct measures of aggression. Therefore, even apparently innate differences in behavior between morphs could arise as indirect effects of differences in behavior directed toward them by social partners. These results indicate that some differences attributed to melanism in this and other species might result from color morphs experiencing different social environments. Deducing the developmental and social origins of these indirect effects is therefore critical for understanding melanism-associated behavioral variation in the many species in which it occurs.</t>
  </si>
  <si>
    <t>10.1093/beheco/arx180</t>
  </si>
  <si>
    <t>WOS:000427885600008</t>
  </si>
  <si>
    <t>Morales-Betancourt, JA; Castaño-Villa, GJ</t>
  </si>
  <si>
    <t>Alejandro Morales-Betancourt, Juan; Castano-Villa, Gabriel J.</t>
  </si>
  <si>
    <t>Males in seemingly female-like plumage do not mimic females: UV reflectance reveals temporal cryptic dimorphism in a manakin species exhibiting delayed plumage maturation</t>
  </si>
  <si>
    <t>Manakins (Pipridae) are neotropical birds that usually exhibit delayed plumage maturation (DPM). Thus, while plumage of most adult male manakins is brightly conspicuous, subadult males and females are basically dull-olive green. Although sexual dichromatism in some bird species may be evident only through UV reflectance, this phenomenon, known as hidden sexual dichromatism, has not been previously studied in manakins to compare subadult males and females. Within this framework, we carried out spectrophotometric analyses in searching for hidden sexual dichromatism in the white-bearded manakin Manacus manacus, through comparison of UV spectra in females and subadult males in green plumage. Our results revealed UV reflectance in both sexes in green plumage. Moreover, we found UV spectral differences in homologous color patches between sexes, particularly at belly. Since the observed differences may allow intraspecific sex recognition of individuals in green plumage, our results do not support the female-mimicry hypothesis to explain delayed plumage maturation in the white-bearded manakin. Although our findings dismiss the female mimicry hypothesis, we cannot state whether these results support the non-mutually exclusive cryptic and status signaling hypotheses. We propose then, that dull coloration of subadult males may serve both as a cryptic trait and to limit the energetic costs of acquiring the adult plumage before sexual maturity. Meanwhile, differential UV color traits between sexes in green plumage may allow adult males to avoid unnecessary energy expenditures in courtship displays in the presence of males near leks, and to selectively focus their the courtship displays on females. In accordance with the status signaling hypothesis, subadult males can be recognized both as males and subordinates and consequently may practice courtship displays without suffering aggressions by adult males. Our results highlight the importance to include a wider range of spectrophotometric information analyses for testing hypotheses regarding delayed plumage maturation.</t>
  </si>
  <si>
    <t>Morales-Betancourt, Juan Alexandro/S-4816-2019</t>
  </si>
  <si>
    <t>Castano-Villa, Gabriel Jaime/0000-0001-5327-8063; Morales-Betancourt, Juan Alejandro/0000-0001-5311-3269</t>
  </si>
  <si>
    <t>e01467</t>
  </si>
  <si>
    <t>10.1111/jav.01467</t>
  </si>
  <si>
    <t>WOS:000425085000003</t>
  </si>
  <si>
    <t>Honza, M; Polaciková, L</t>
  </si>
  <si>
    <t>Honza, Marcel; Polacikova, Lenka</t>
  </si>
  <si>
    <t>Experimental reduction of ultraviolet wavelengths reflected from parasitic eggs affects rejection behaviour in the blackcap Sylvia atricapilla</t>
  </si>
  <si>
    <t>Hosts of brood parasites use a variety of cues relating to eggshell appearance of parasitic eggs, which facilitate their recognition and rejection. It has been documented that host visual perception of different colours including UV wavelengths plays an important role in this respect. In the study reported here, we aimed to test whether artificial reduction of the UV wavelengths reflected from parasitic eggshell affects rejection behaviour in the blackcap Sylvia atricapilla. To achieve this goal, we experimentally manipulated, with UV, part of spectra reflected from conspecific eggs and reduced it into the range of 320-350nm. We used an ultraviolet light blocker, which did not influence the reflectance shape of other spectrum parts. We also used a group of experimental eggs coated in Vaseline, which had no effect on the spectral shape in the UV or visible ranges of the light spectrum. Additionally, we used a third experimental group of unmanipulated eggs as a control. The experimental eggs coated in the UV blocker were rejected at a higher rate than those coated in the Vaseline. Moreover, a binary logistic regression revealed that an artificial reduction of the UV wavelengths reflected from the parasitic egg significantly affected the probability of being rejected by the hosts. To our knowledge, this is the first experimental study to reveal that manipulation with UV wavelengths affects the recognition of parasitic eggs, indicating that the UV part of the spectrum has an important role in host recognition behaviour.</t>
  </si>
  <si>
    <t>Honza, Marcel/A-1123-2011; Polacikova, Lenka/G-1109-2014</t>
  </si>
  <si>
    <t>10.1242/jeb.017327</t>
  </si>
  <si>
    <t>WOS:000257620300027</t>
  </si>
  <si>
    <t>Fox, SF; Rodriguez-Romero, FD; Crosby, AA</t>
  </si>
  <si>
    <t>Fox, Stanley F.; De Jesus Rodriguez-Romero, Felipe; Acevedo Crosby, Andrea</t>
  </si>
  <si>
    <t>Juvenile-juvenile social signalling: a case for precocial sexual selection in the collared lizard, Crotaphytus collaris (Squamata: Crotaphytidae)?</t>
  </si>
  <si>
    <t>Sexual selection is widespread in animals, but quite naturally studied in adults. Juvenile males in most animals are not differentiated from females and coloration is usually drab. However, there is no reason to suspect that sexual differences cannot develop before puberty, influence social interactions, and then have fitness pay-offs later in life. Juvenile collared lizards (Crotaphytus collaris (Say, 1822)) show marked dichromatism: males develop bright dorsolateral orange bars whereas females do not. These juvenile orange bars (JOB) disappear at sexual maturity, when males develop different colour traits maintained by sexual selection. We conducted field experiments with juvenile males on their developing territories in which we utilized staged intruders of juvenile males (with JOB) and juvenile females (lacking JOB) and also juvenile male intruders whose JOB were manipulated. Residents reacted significantly more aggressively toward males vs. females, and also toward males whose JOB were emphasized with paint than those whose JOB were masked by paint. These JOB are used in signalling among juveniles and we suggest the social relations established then are retained until sexual maturation the next spring (after the JOB are lost) to benefit males that previously displayed strong JOB by increased matings in the spring as sexually mature yearlings as per a phenomenon we call precocial sexual selection.</t>
  </si>
  <si>
    <t>10.1093/biolinnean/blaa045</t>
  </si>
  <si>
    <t>WOS:000562378200007</t>
  </si>
  <si>
    <t>SEX RECOGNITION IN ZEBRA FINCH MALES RESULTS FROM EARLY EXPERIENCE</t>
  </si>
  <si>
    <t>This study investigated whether sexual imprinting plays a role in the recognition of the sex of conspecifics. Subjects were zebra finch males that had been raised with either normal pairs, white pairs or pairs of both morphs. They were tested for their preferences in six two-stimuli tests covering all combinations of both morphs of either sex. Males of all groups showed a clear preference for females of their mother's morph over males of their father's morph. Moreover, a majority of the males from mixed parentage preferred a male of their mother's morph over a female of their father's morph, indicating that morphological characteristics are more important than behavioural differences for discrimination between the sexes. This was confirmed in a subsequent series of tests in which males raised by parents of the white morph, which are sexually dimorphic only in respect to the intensity of the red colour of the bill, were given a choice between a white male with his bill painted orange and a white female with her bill painted red. All males of this group preferred to court the male in this test. In addition to differential responses in a sexual context, males showed discrimination in an aggressive context; that is, most aggression was directed towards stimulus birds resembling the father. The implications of these results for the evolution of sexual dimorphism and sexual selection are considered.</t>
  </si>
  <si>
    <t>10.1163/156853994X00019</t>
  </si>
  <si>
    <t>WOS:A1994NV35400001</t>
  </si>
  <si>
    <t>Leitao, AV; Ferreira, AC; Funghi, C; Trigo, S; Mota, PG</t>
  </si>
  <si>
    <t>Leitao, Ana V.; Ferreira, Andre C.; Funghi, Caterina; Trigo, Sandra; Mota, Paulo G.</t>
  </si>
  <si>
    <t>Evidence for multiple functions in a sexually selected ornament</t>
  </si>
  <si>
    <t>In gregarious animals, social interactions frequently take the form of dominance hierarchies that maintain stable relationships between individuals, and settle disputes without extra costs. Traits that function as signals of status can play an important role in mediating interactions among individuals, both in social and in sexual contexts. Carotenoid ornaments are more generally assumed to be sexually selected and not so relevant to general social contexts. However, it is possible for them to function in social contexts if they signal socially relevant aspects. Here we experimentally analysed social dominance and resource control in male groups of a gregarious species, the European serin, Serinus serinus, in relation to a sexual ornament. We tested whether yellow carotenoid-based plumage coloration, age, body size and testosterone were predictors of social dominance over a nonsexual resource (i.e. feeding context). We showed that dominance hierarchies were steep and were related to testosterone levels and ornamental coloration, particularly the male yellow carotenoid-based crown patch. Our results suggest that carotenoid-based colour and testosterone levels can be reliable predictors of social status in agonistic encounters in groups of male serins. Moreover, together with previous work on the sexual function of male coloration, this study provides evidence that male serin yellow coloration has a dual function in both sexual and nonsexual contexts. These results raise the possibility that this ornament may have evolved and be maintained via social selection over social competition/cooperation for reproductive opportunities and ecological resources. (C) 2015 The Association for the Study of Animal Behaviour. Published by Elsevier Ltd. All rights reserved.</t>
  </si>
  <si>
    <t>Trigo, Sandra/I-8160-2014; Mota, Paulo/F-8068-2012; Leitao, Ana/I-5863-2014</t>
  </si>
  <si>
    <t>Trigo, Sandra/0000-0002-9938-6606; Mota, Paulo/0000-0002-1880-5574; Leitao, Ana/0000-0001-5367-9158; Funghi, Caterina/0000-0002-8965-3176</t>
  </si>
  <si>
    <t>10.1016/j.anbehav.2015.09.025</t>
  </si>
  <si>
    <t>WOS:000366731500022</t>
  </si>
  <si>
    <t>Blackmer, JL; Cañas, LA</t>
  </si>
  <si>
    <t>Visual cues enhance the response of Lygus hesperus (Heteroptera: Miridae) to volatiles from host plants</t>
  </si>
  <si>
    <t>Studies were conducted to examine the behavioral response of fifth-instar and adult Lygus hesperus Knight (Heteroptera: Miridae) to odors associated with a host plant (alfalfa) when presented singly or in combination with a visual plant cue (530nm,green light-emitting diode [LED]). Bioassays were conducted in a modified Y-tube olfactometer, where incoming air was filtered and humidified before passing through chambers that held plant/conspecific treatments. A LED, placed behind an organdy screen at the end of one arm of the Y-tube, simulated a visual plant cue. In agreement with our previous findings, fifth-instar and adult female L. herperus were attracted to plant/conspecific odor combinations, but adult males were not. Independently, the LED also was attractive to immature and adult female L. hesperus, and for all life stages, a much larger percentage of the bugs walked to the extreme end of the Y-tube when the visual cue was present. When visual and volatile cues were presented simultaneously, responses by both immature and adult (male and female) L. hesperus were significantly enhanced. Plant/conspecific treatments that had been marginally acceptable when only volatile stimuli were available showed the greatest enhancement in response with the addition of the visual cue. Presentation of visual and volatile cues together led to a mean increase in the percentage of bugs that walked to the extreme end of the Y-tube (nymphs, 36.6%; females, 23.4%; males, 26.1%). Results are discussed in terms of stage-specific responses and how these behavioral differences will likely play a role in developing effective trapping and monitoring systems for this important pest.</t>
  </si>
  <si>
    <t>10.1603/0046-225X-34.6.1524</t>
  </si>
  <si>
    <t>WOS:000234031400020</t>
  </si>
  <si>
    <t>Li, DL; Wei, HW; Zhang, ZW; Liang, W; Stokke, BG</t>
  </si>
  <si>
    <t>Li, Donglai; Wei, Hongwei; Zhang, Zhengwang; Liang, Wei; Stokke, Bard G.</t>
  </si>
  <si>
    <t>Oriental reed warbler (Acrocephalus orientalis) nest defence behaviour towards brood parasites and nest predators</t>
  </si>
  <si>
    <t>Brood parasites and predators pose different threats to passerines that may favour the evolution of enemy-specific defence strategies. Furthermore, potential sex-specific variation in parental investment may be manifested in differences between male and female nest defence behaviour. We investigated these hypotheses in Oriental reed warblers (Acrocephalus orientalis), by recording sex-and stage-specific (nests with eggs or nestlings) responses to stuffed dummies placed at their nests. Warblers showed the highest level of aggression to the co-occurring parasite, the common cuckoo (Cuculus canorus), colour morph (grey), but showed reluctance to mob or attack the co-occurring nest predator, the magpie (Pica pica). There was a sex difference in rate of body attacks towards rufous morph common cuckoo, sparrowhawk (Accipiter nisus) (locally absent parasite and predator, respectively) and the spotted dove (Streptopelia chinensis) (locally present, harmless species), with females showing better ability to distinguish between these species than males.</t>
  </si>
  <si>
    <t>Zhang, Zhengwang/0000-0003-1063-7198</t>
  </si>
  <si>
    <t>12-13</t>
  </si>
  <si>
    <t>10.1163/1568539X-00003295</t>
  </si>
  <si>
    <t>WOS:000362911000001</t>
  </si>
  <si>
    <t>Hammers, M; Van Gossum, H</t>
  </si>
  <si>
    <t>Hammers, Martijn; Van Gossum, Hans</t>
  </si>
  <si>
    <t>Variation in female morph frequencies and mating frequencies: random, frequency-dependent harassment or male mimicry?</t>
  </si>
  <si>
    <t>Female-limited colour polymorphisms occur in a variety of species, where often one female morph (androchrome) resembles the body coloration of the conspecific male, whereas the other (gynochrome) does not. We tested predictions of two frequency-dependent hypotheses that are commonly invoked to explain the maintenance of these polymorphisms for multiple populations of the damselfly Ischnura elegans: (1) that males prefer mating with the most abundant female morph (LMR) or (2) that androchromes are functional male mimics (MM). We also asked whether variation in social and abiotic environments account for interpopulation variation in female morph frequencies. Contrary to predictions of the LMR hypothesis, morph mating frequency was not lower than expected based on morph frequency when a morph was uncommon or higher when a morph was most common. In support of the MM hypothesis, androchrome mating frequency was lower than predicted based on population morph frequency. In addition, as predicted, androchrome mating frequency increased with increasing ratio of androchromes to males, but we could not disentangle whether this was a consequence of the changing mimic/model ratio or because of rising androchrome frequency. Although variation in female morph frequencies between populations was not random across our study area, this could not be explained by geographical variation in frequencies and densities of males and females. Androchrome frequencies were higher in populations to the north and west where ambient temperatures were lower. Abiotic conditions such as temperature may need to be considered for understanding the maintenance of female-limited polymorphisms.</t>
  </si>
  <si>
    <t>10.1016/j.anbehav.2008.06.021</t>
  </si>
  <si>
    <t>WOS:000260118000031</t>
  </si>
  <si>
    <t>Hollmann, P</t>
  </si>
  <si>
    <t>Behavioural disorders in psittacines .1. Signs and causes</t>
  </si>
  <si>
    <t>TIERARZTLICHE PRAXIS</t>
  </si>
  <si>
    <t>8th Seminar of Pet Veterinarians</t>
  </si>
  <si>
    <t>MAR 21-29, 1996</t>
  </si>
  <si>
    <t>BADEN BADEN, GERMANY</t>
  </si>
  <si>
    <t>Psittacines embody in an ideal fashion the child-like characteristics that humans adore. Animal lovers are unable to resist their expressive eyes, brightly coloured plumage, tameness and mimicry of human speech. The desire of pet-owners to have a tame, speaking bird with a very strong bond to its owner is achieved through hand-rearing, but this results in psychoreactive behavioural abnormalities in these highly social birds due to abnormal fixation. The signs and causes of these behavioural abnormalities, also called cage neuroses, are explained. The complex of feather-plucking, feather-ingestion and self-mutilation is considered in depth, and there are numerous illustrations.</t>
  </si>
  <si>
    <t>0303-6286</t>
  </si>
  <si>
    <t>WOS:A1997XB94300007</t>
  </si>
  <si>
    <t>Rahman, MA; Arakaki, Y; Yusoff, FM; Lee, SG</t>
  </si>
  <si>
    <t>Rahman, M. Aminur; Arakaki, Y.; Yusoff, Fatimah Md; Lee, Sang-Go</t>
  </si>
  <si>
    <t>Gamete incompatibility is a prezygotic barrier: evidence from experimental hybridization between two recently diverged species of Pacific sea urchins</t>
  </si>
  <si>
    <t>Four recently diverged species of Indo Pacific sea urchins, belonging to the genus Echinometra, occur most abundantly and sympatrically along the coast of Okinawa Island, southern Japan. Among them, the two most distinct species- Echinometra sp. A (Ea) and Echinometra mathaei (Blainville, 1825) (Em)-were examined for potential hybridization through a series of cross-fertilization and hybrid raising experiments. Compared to conspecific crosses, fertilization rates in both heterospecific crosses were very low, even at a very high concentration of sperm. At limited sperm concentration, where conspecific crosses achieved near 100% fertilization, heterospecific crosses had &lt;3% fertilization success. This strong block to fertilization in either heterospecific cross indicates the presence of a protein-binding system for gamete recognition. A significantly lower survival rate in larvae, juveniles, and adults does indicate a postzygotic isolating mechanism that is strong enough to limit hybrid survival, but is not complete, and did in fact cause some amount of developmental incompatibility or hybrid inviability. In adults, Em (ova) x Ea (sperm) was largest in live weight, followed by Ea (ova) x Em (sperm), Ea x Ea, and Em x Em, in that order. Other growth performances, such as test sizes, gonad weight, and gonad index of hybrids and their conspecifics, also followed the same trend as live weight. Phenotypic color patterns of the hybrids were maternally inherited, while other characters (spine length, morphology of tubefoot and gonad spicules, pedicellaria valve length, and gamete sizes) were intermediate. Ova and sperm of the F, hybrids were fertile in backcrosses, minimizing the possibility that hybrid infertility is a postzygotic isolating mechanism. Nevertheless, intensive surveys failed to find individuals with such hybrid characteristics, suggesting a very low presence or complete absence of natural hybrids in the field. This strongly suggests that pre- and postzygotic isolating mechanism(s) are isolating these species. Among these mechanisms, strong gametic incompatibility and probably microhabitat separation, differences in spawning times, gamete competition, or other factors appear to be important for maintaining genetic integrity of these two species.</t>
  </si>
  <si>
    <t>Yusoff, Fatimah/N-7065-2018</t>
  </si>
  <si>
    <t>Yusoff, Fatimah/0000-0003-4438-9065</t>
  </si>
  <si>
    <t>10.5343/bms.2017.1054</t>
  </si>
  <si>
    <t>WOS:000456290000004</t>
  </si>
  <si>
    <t>LYON, BE; MONTGOMERIE, RD</t>
  </si>
  <si>
    <t>DELAYED PLUMAGE MATURATION IN PASSERINE BIRDS - RELIABLE SIGNALING BY SUBORDINATE MALES</t>
  </si>
  <si>
    <t>Three hypotheses (Cryptic, Female Mimicry, and Winter Adaptation) have been proposed to explain the occurrence of delayed plumage maturation (DPM) in passerine birds. We show that each of these hypotheses is really a composite of two different questions about: (1) the proximate function of dull plumage in second year (SY) males and (2) the selective mechanism that has favored that proximate function. We review the three hypotheses in the context of this distinction, and we find little evidence clearly supporting any of them. We propose a few Status Signaling Hypothesis (SSH) suggesting that dull SY male plumage is a reliable signal of subordinance. We suggest that female choice based on male plumage color (as an index of male quality) is the selective mechanism that has favored subordinate status signaling by SY males. If females prefer bright males, then dull plumage may be a reliable signal of subordinance and SY males may experience reduced levels of aggression from adult males. Male characters (like plumage color) are most likely to be the object of female choice when males defend simple nesting territories with little or no variation in territory quality. In such a system, SY males with low resource-holding potential would benefit (via matings or experience) by signaling subordinance and being allowed to settle among more brightly colored adults. Thus, DPM is expected to be more prevalent when males defend simple nesting territories. This prediction of the SSH is supported by data from the literature-a significantly higher proportion of species with DPM defend simple nesting territories (versus all-purpose territories) than do species without DPM.</t>
  </si>
  <si>
    <t>Montgomerie, Robert D/C-6516-2008; Lyon, Bruce E/E-8491-2011</t>
  </si>
  <si>
    <t>10.2307/2408581</t>
  </si>
  <si>
    <t>WOS:A1986C438800014</t>
  </si>
  <si>
    <t>FLORY, RK; BLOSSER, SL</t>
  </si>
  <si>
    <t>CONTROL OF THE TEMPORAL LOCATION OF SCHEDULE-INDUCED ATTACK IN PIGEONS</t>
  </si>
  <si>
    <t>Pigeons were exposed to complex fixed-ratio schedules to assess whether the temporal location of schedule-induced attack was controlled by the discriminative properties of food or by the aversive aftereffects of food withdrawal. When exposed to a multiple fixed-ratio 25 fixed-ratio N schedule in which either fixed-ratio component occurred with equal probability according to a quasi-random sequence and in which the value of N ranged from 115-150 across subjects, all pigeons exhibited post-food attack against a rear-projectd conspecific target predominantly at the signalled onset of the higher-valued ratio component. Exposure of subjects to amixed fixed-ratio 25 chained fixed-ratio 25 fixed-ratio N-25 schedule resulted resulted in a shift of attack to the signalled onset of the fixed-ratio N-25 component rather than following food. A chained fixed-ratio N-25 schedule induced attack predominantly after food delivery rather than at the onset of the fixed-ratio N-25 component. The temporal locus of schedule-induced attack is primarily controlled by a stimulus, whether food delivery or key color change, that reliably precedes a relatively long period of reinforcer unavailability.</t>
  </si>
  <si>
    <t>10.1016/0031-9384(85)90193-3</t>
  </si>
  <si>
    <t>WOS:A1985AFN3500003</t>
  </si>
  <si>
    <t>Batzina, A; Dalla, C; Papadopoulou-Daifoti, Z; Karakatsouli, N</t>
  </si>
  <si>
    <t>Batzina, Alkisti; Dalla, Christina; Papadopoulou-Daifoti, Zeta; Karakatsouli, Nafsika</t>
  </si>
  <si>
    <t>Effects of environmental enrichment on growth, aggressive behaviour and brain monoamines of gilthead seabream Sparus aurata reared under different social conditions</t>
  </si>
  <si>
    <t>COMPARATIVE BIOCHEMISTRY AND PHYSIOLOGY A-MOLECULAR &amp; INTEGRATIVE PHYSIOLOGY</t>
  </si>
  <si>
    <t>The presence of blue or red-brown substrate on the tank bottom has been previously reported as an efficient means of environmental enrichment for gilthead seabream. The present study aimed to investigate whether this enrichment is still beneficial when gilthead seabream is reared under different social conditions (i.e. a lower 4.9 kg m(-3) and a higher 9.7 kg m(-3) density). Water exchange was adjusted according to fish biomass to exclude density effects on water quality. In the enriched tanks single-colour glass gravel was used as substrate (blue and red-brown substrate, or BS and RBS respectively), while control tanks had no gravel. Growth, aggressive behaviour and size distribution results indicated that the lower density created a less favourable social environment. In both densities studied, BS enhanced growth, suppressed aggression and reduced brain serotonergic activity. In the condition of intense social interactions (i.e. the lower density) BS also reduced brain dopaminergic activity. These results along with the negative correlations observed between brain monoamines and fish body mass, indicated that substrate and density effects are socially-induced. However, there may be several biotic and/or abiotic factors interfering with substrate effects that should be investigated before the practical use of a substrate in land-based intensive aquaculture. (C) 2013 Elsevier Inc. All rights reserved.</t>
  </si>
  <si>
    <t>Dalla, Christina/H-3206-2019</t>
  </si>
  <si>
    <t>Dalla, Christina/0000-0002-7528-0487</t>
  </si>
  <si>
    <t>1095-6433</t>
  </si>
  <si>
    <t>1531-4332</t>
  </si>
  <si>
    <t>10.1016/j.cbpa.2013.12.001</t>
  </si>
  <si>
    <t>WOS:000331428700005</t>
  </si>
  <si>
    <t>Bonaldo, RM; Krajewski, JP; Sazima, C; Sazima, I</t>
  </si>
  <si>
    <t>Bonaldo, Roberta Martini; Krajewski, Joao Paulo; Sazima, Cristina; Sazima, Ivan</t>
  </si>
  <si>
    <t>Foraging activity and resource use by three parrotfish species at Fernando de Noronha Archipelago, tropical West Atlantic</t>
  </si>
  <si>
    <t>Parrotfishes are important components of the herbivore and detritivore guilds of tropical and subtropical reefs. Most of parrotfish species are protogynous hermaphrodites that change colour and sex, from initial phase females or males (IP) to terminal phase males (TP). We studied the foraging behaviour of Sparisoma amplum, S. axillare and S. frondosum, three syntopic scarids on the rocky reefs of Fernando de Noronha Archipelago, Tropical West Atlantic. The three parrotfish species differed in food selection and preference, but IP and TP individuals of the same species preferred the same food types, except for S. amplum. Feeding rates of IP individuals were higher than those of TP individuals, but the distribution of feeding frequencies throughout the day of IP and TP individuals of the same species was similar. IP individuals had higher feeding rates than TP ones, which seems related to the fact that TP individuals spend a large amount of time patrolling their territories and chasing away conspecific individuals at the study site. The general foraging pattern we found for S. amplum, S. axillare and S. frondosum is similar to patterns found for other parrotfish species in the Western Atlantic.</t>
  </si>
  <si>
    <t>10.1007/s00227-005-0233-9</t>
  </si>
  <si>
    <t>WOS:000238327200002</t>
  </si>
  <si>
    <t>Clemente-Carvalho, RBG; Perez, SI; Tonhatti, CH; Condez, TH; Sawaya, RJ; Haddad, CFB; dos Reis, SF</t>
  </si>
  <si>
    <t>Clemente-Carvalho, Rute B. G.; Perez, Sergio I.; Tonhatti, Carlos H.; Condez, Thais H.; Sawaya, Ricardo J.; Haddad, Celio F. B.; dos Reis, Sergio F.</t>
  </si>
  <si>
    <t>Boundaries of Morphological and Molecular Variation and the Distribution of a Miniaturized Froglet, Brachycephalus nodoterga (Anura: Brachycephalidae)</t>
  </si>
  <si>
    <t>Most miniaturized froglets of the genus Brachycephalus occur in isolation in slopes of mountain ranges at elevations varying from 600 to 1,800 m in the Atlantic Forest of eastern Brazil. For organisms such as Bracycephalus with spatially discontinuous distributions, a fundamental task is to determine whether observed patterns of variation are consistent with geographic differentiation among allopatric populations within a single species or are suggestive of a potential species boundary. We address this problem by focusing on continental and island population samples potentially assignable to Brachycephalus nodoterga (Anura: Brachycephalidae) from the perspective of variation in qualitative and quantitative morphological traits and DNA sequences. Population samples from continental and island populations share color characteristics, qualitative traits, and multivariate patterns of variation and covariation in cranial metric traits. Comparative analysis of DNA sequences showed the magnitude of molecular distances between B. nodoterga and Brachycephalus ephippium to be 1 order of magnitude larger than molecular distances within B. nodoterga and B. ephippium. We interpret the combined morphological and molecular evidence to indicate that continental and island population samples examined here are conspecific. Therefore, by defining species boundaries for B. nodoterga, we also established minimal estimates of its distribution.</t>
  </si>
  <si>
    <t>Clemente-Carvalho, Rute G/I-3318-2015; Condez, Thais/U-1772-2018; Fapesp, Biota/F-8655-2017; Sawaya, Ricardo J/F-9209-2012; dos Reis, Sergio/K-6725-2014; Haddad, Célio F. B./C-4267-2012</t>
  </si>
  <si>
    <t>Fapesp, Biota/0000-0002-9887-8449; Sawaya, Ricardo/0000-0003-1897-1836</t>
  </si>
  <si>
    <t>10.1670/14-119</t>
  </si>
  <si>
    <t>WOS:000371617900026</t>
  </si>
  <si>
    <t>Glaw, F; Köhler, J; Ratsoavina, FM; Raselimanana, AP; Crottini, A; Gehring, PS; Böhme, W; Scherz, MD; Vences, M</t>
  </si>
  <si>
    <t>Glaw, Frank; Koehler, Joern; Ratsoavina, Fanomezana M.; Raselimanana, Achille P.; Crottini, Angelica; Gehring, Philip-Sebastian; Boehme, Wolfgang; Scherz, Mark D.; Vences, Miguel</t>
  </si>
  <si>
    <t>A new large-sized species of leaf-tailed gecko (Uroplatus) from northern Madagascar</t>
  </si>
  <si>
    <t>SALAMANDRA</t>
  </si>
  <si>
    <t>We describe a large new species of leaf-tailed gecko endemic to northern Madagascar. Uroplatus garamaso sp. n. is the sister species of U. henkeli but differs by a genetic divergence &gt; 8% in the mitochondrial 16S rRNA gene, by the absence of haplotype sharing in four nuclear-encoded genes analyzed, a smaller body size, slightly narrower tail, a more pronounced yellowish/reddish iris colour in most individuals, and lack of black pigmentation on the tip of the tongue. The new species also appears to consistently differ from U. henkeli in genital morphology, with the apex of the hemipenis ending in two terminal elements consisting of 4-5 rotulae and longitudinal rows of calyces (versus an apex with irregularly distributed calyces and ending in two symmetrical structures consisting of two broader serrated fleshy elements in U. henkeli). We genetically confirm the occurrence of U. henkeli over a rather wide area, ranging from Tsingy de Bemaraha in the West to Nosy Be in the Sambirano region of northern Madagascar. Both, U. henkeli and the new species contain several deep mitochondrial lineages that are considered as conspecific due to extensive haplotype sharing and lack of obvious morphological differences among them.</t>
  </si>
  <si>
    <t>Vences, Miguel/E-5573-2010; Gehring, Philip-Sebastian/JQW-8048-2023; Scherz, Mark D./C-9870-2019; Crottini, Angelica/I-7680-2013</t>
  </si>
  <si>
    <t>Scherz, Mark D./0000-0002-4613-7761; Crottini, Angelica/0000-0002-8505-3050</t>
  </si>
  <si>
    <t>0036-3375</t>
  </si>
  <si>
    <t>WOS:001051428100001</t>
  </si>
  <si>
    <t>Lee, KK; Harrison, DK; Johnston, ME; Williams, RR</t>
  </si>
  <si>
    <t>Lee, Kok K.; Harrison, Dion K.; Johnston, Margaret E.; Williams, Richard R.</t>
  </si>
  <si>
    <t>Molecular taxonomic clarification of Ptilotus exaltatus and Ptilotus nobilis (Amaranthaceae)</t>
  </si>
  <si>
    <t>AUSTRALIAN SYSTEMATIC BOTANY</t>
  </si>
  <si>
    <t>A complete botanical key for the genus Ptilotus R. Brown ( family Amarathaceae) has not yet been published. Identifying the 100 or more Ptilotus species using morphological characters has been difficult because plants often exhibit slight morphological differences and intermediate characteristics common to several species, subspecies, varieties and forms. Ptilotus exaltatus Nees and P. nobilis ( Lindl) F. Muell share many morphological characteristics, but are classified as different species predominantly based on inflorescence colour. The current study involved a molecular phylogenetic analysis of 14 Ptilotus species using sequence data from the internal transcribed spacer ( ITS) regions ITS 1 and ITS 2 within the 18S-26S nuclear rDNA. Of the 39 accessions analysed, all except those identified as P. exaltatus and P. nobilis clustered according to their respective species based on their morphological taxonomy. In contrast, all 18 P. exaltatus and P. nobilis accessions formed a distinct monophyletic clade with 99% bootstrap values and a low level of sequence variation ( GD=0.002). Taking into account the lack of reliable morphological characters for separating P. exaltatus and P. nobilis, together with the ITS sequence data showing little genetic divergence or genetic structure, we propose that P. exaltatus and P. nobilis are conspecific.</t>
  </si>
  <si>
    <t>Harrison, Dion/F-7035-2010</t>
  </si>
  <si>
    <t>1030-1887</t>
  </si>
  <si>
    <t>10.1071/SB06010</t>
  </si>
  <si>
    <t>WOS:000244420200005</t>
  </si>
  <si>
    <t>Kasumyan, AO; Pavlov, DS</t>
  </si>
  <si>
    <t>Kasumyan, A. O.; Pavlov, D. S.</t>
  </si>
  <si>
    <t>Mechanisms of Schooling Behavior of Fish</t>
  </si>
  <si>
    <t>JOURNAL OF ICHTHYOLOGY</t>
  </si>
  <si>
    <t>The basic mechanisms of schooling behavior of fish, which is a genetically fixed species character, have been considered. The intention of schooling fish to unite with individuals of their own species or with fish that are similar in shape, color and motor activity pattern (schooling reaction) is an innate reflex that manifests itself in natural and artificial environments in individuals with different individual experiences. The intention to unite is expressed the stronger, the more schooling behavior is characteristic of fish. The larger the school, the more attractive it is for fish. To choose a school for association, it is enough that it be 2-3 times larger than the rest. This difference decreases with an increase in the number of fish in schools, with the threat of a predator attack and other stresses. In juveniles, the intention to unite with larger schools is more pronounced than in adult fish. Given a choice, fish prefer individuals of their own species and fish similar in size and color. Imitation is an unconditioned reflex, which is another important mechanism of school behavior. Imitative reactions are most pronounced in schooling fish, but their manifestation is possible if the imitated and imitating fish are conspecific and close in size. An innate optomotor reaction (following reflex) ensures that fish maintain a single school during movements and rapid maneuvering. Schooling coordination is achieved by focusing on the actions of one of the closest partners, and the parallel arrangement of fish is achieved by accurately following the leading partner. Recognition of individuals of their own species, mutual orientation and coordination of actions of fish is facilitated by schooling coloration-spots, stripes and patterns on the body, head and fins, differing in position, size, shape, color, brightness and other details. Important visual landmarks are the contrasting eyes of school partners. Schooling coloration is not present in all schooling fish. In many species, schooling coloration changes as the fish grow and develop.</t>
  </si>
  <si>
    <t>0032-9452</t>
  </si>
  <si>
    <t>1555-6425</t>
  </si>
  <si>
    <t>10.1134/S0032945223070081</t>
  </si>
  <si>
    <t>WOS:001125556700003</t>
  </si>
  <si>
    <t>Lenzi, C; Grasso, C; Nicoara, M; Savuca, A; Ciobica, A; Plavan, GI; Strungaru, SA</t>
  </si>
  <si>
    <t>Lenzi, Christian; Grasso, Chiara; Nicoara, Mircea; Savuca, Alexandra; Ciobica, Alin; Plavan, Gabriel Ionut; Strungaru, Stefan-Adrian</t>
  </si>
  <si>
    <t>Behavioral responses of zebrafish (Danio rerio) to different 2D non-moving stimuli</t>
  </si>
  <si>
    <t>ARCHIVES OF BIOLOGICAL SCIENCES</t>
  </si>
  <si>
    <t>Zebrafish (Danio rerio) is considered an experimental model organism with numerous applications in different fields. The mechanisms underlying social and reproductive preferences are complex. Most of the literature on conspecific interactions focus on the chemical communication mediated by scattered signals in the aquatic medium. The aim of this research was to evaluate the behavioral responses induced in the tested animals by artificial social stimuli. We used 20 sexually mature individuals that underwent several non-invasive behavioral tests in a cross-maze. Artificial non-moving 2D images were created for this study, using photoshop graphics software. Ethological measurements were conducted using video-tracking software (EthoVision XT). The findings showed significant sex-related differences in zebrafish responses to fixed artificial stimuli. In particular, females shoaled more with 2D non-moving images representing conspecifics phenotypically more distant (i.e. color) from them. Integrating dimension and number of individual, one large stimulus was preferred over three small stimuli in terms of cumulative and mean duration for males, and only in terms of cumulative duration for females. We concluded that 2D images representing conspecifics, even without movements, can induce a behavioral response in this species.</t>
  </si>
  <si>
    <t>Savuca, Alexandra/AAE-2056-2021; Ciobica, Alin/B-6073-2012; Plavan, Gabriel-Ionut/H-9147-2019</t>
  </si>
  <si>
    <t>Savuca, Alexandra/0000-0003-2030-1436; Nicoara, Mircea/0000-0002-9755-6771</t>
  </si>
  <si>
    <t>0354-4664</t>
  </si>
  <si>
    <t>1821-4339</t>
  </si>
  <si>
    <t>10.2298/ABS190823065L</t>
  </si>
  <si>
    <t>WOS:000524505000006</t>
  </si>
  <si>
    <t>De Grave, S; Chan, TY; Fujita, Y; Okuno, J</t>
  </si>
  <si>
    <t>De Grave, Sammy; Chan, Tin-Yam; Fujita, Y.; Okuno, Junji</t>
  </si>
  <si>
    <t>Hippolytidae and Barbouriidae (Decapoda: Caridea) collected during the Ryukyu KUMEJIMA 2009 expedition</t>
  </si>
  <si>
    <t>The present report deals with caridean shrimps from the families Hippolytidae (7 species) and Barbouriidae (1 species) collected during the KUMEJIMA 2009 expedition in the Ryukyu Islands. The deep-water hippolytid Gelastreutes crosnieri Bruce, 1990 is recorded from Kumejima based on a single female specimen, representing a considerable range extension of this species from New Caledonia to Japan. The opportunity is also taken to record and illustrate the first known male specimen of G. crosnieri, collected during the SANTO 2006 expedition off West Mavea Island, Vanuatu. The colour pattern of G. crosnieri is shown for the first time. The Kumejima and Vanuatu specimens present noticeable differences in both morphology and colouration, but appear to be conspecific based on comparison of the barcoding gene COI sequences. The recently described Lysmata lipkei Okuno &amp; Fielder, 2010 is recorded for the second time, however, not representing a significant range extension of this species. The other species reported are Saron marmoratus (Olivier, 1811), Saron neglectus De Man, 1902, Thinora maldivensis (Borradaile, 1915), Thor amboinensis (De Man, 1888), Tozeuma armatum Paul'son, 1875 (Hippolytidae), and Parhippolyte misticia (Clark, 1989) (Barbouriidae).</t>
  </si>
  <si>
    <t>De Grave, Sammy/0000-0002-2437-2445</t>
  </si>
  <si>
    <t>JUL 4</t>
  </si>
  <si>
    <t>10.11646/zootaxa.3367.1.9</t>
  </si>
  <si>
    <t>WOS:000305937000008</t>
  </si>
  <si>
    <t>FARR, JA</t>
  </si>
  <si>
    <t>SOCIAL-BEHAVIOR PATTERNS AS DETERMINANTS OF REPRODUCTIVE SUCCESS IN THE GUPPY, POECILIA-RETICULATA PETERS (PISCES, POECILIIDAE) - AN EXPERIMENTAL-STUDY OF THE EFFECTS OF INTERMALE COMPETITION, FEMALE CHOICE, AND SEXUAL SELECTION</t>
  </si>
  <si>
    <t>The reproductive success of competing male guppies P. reticulata was measured and compared to various features of social behavior and secondary sexual coloration. The most important determinant of reproductive success was the rate at which a male courted females relative to those of other males. Males with higher display rates have a greater chance of encountering a receptive female and are preferred by females. Sexual selection has resulted in the maximization of courtship activity in natural populations. If males court females with equal frequencies, those which also inseminate females through gonopodial thrusting without female cooperation have a selective advantage. A mixed strategy of displaying and gonopodial thrusting is more successful than either pure strategy. The result is a mating system which partially ignores female choice mechanisms. Intermale aggression was maladaptive. Males which displayed at higher rates than competitors were less successful if they were also more aggressive than the competitors, than when they were nonaggressive or the competitors were more aggressive. Males were not able to reduce a competitor''s courtship display rate through aggression. The low level of aggression in natural guppy populations is attributable to the fact that variance in size of males is low and fights would be lengthy before a winner could be determined. Dull males with high courtship display rates were significantly more successful than conspicuous males with low display rates. Females prefer conspicuous males only if all males exhibit equal courtship display rates. The frequency of male color patterns in a population did affect reproductive success. Courtship displays and conspicuous male coloration are probably sexually-selected characteristics which evolved in response to the occupation of invariable habitats or specialized ecological niches by a sexually monomorphic ancestor with only gonopodial thrusting as a means of inseminating females. A subsequent reinvasion of variable habitats resulted in female choice mechanisms which maximize the level of heterozygosity of their offspring, thus resulting in polymorphic populations. The coloration of male guppies is a phenotypic cue which influences female choice in such a manner that they mate with those males with whom they most probably have the fewest genes in common.</t>
  </si>
  <si>
    <t>Langerhans, R. Brian/A-7205-2009</t>
  </si>
  <si>
    <t>10.1163/156853980X00311</t>
  </si>
  <si>
    <t>WOS:A1980KK26100003</t>
  </si>
  <si>
    <t>Avarguès-Weber, A; Lachlan, R; Chittka, L</t>
  </si>
  <si>
    <t>Avargues-Weber, Aurore; Lachlan, Robert; Chittka, Lars</t>
  </si>
  <si>
    <t>Bumblebee social learning can lead to suboptimal foraging choices</t>
  </si>
  <si>
    <t>Bumblebees are influenced by socially acquired information when deciding on which flowers to forage. In some circumstances, however, this attraction towards conspecifics may lead to suboptimal foraging performance because the presence of multiple pollinators typically results in a faster rate of nectar depletion in the flower. We tested the capacity of bees to learn to avoid flowers occupied by conspecifics when they offered a lower reward than unoccupied similar flowers. Bumblebees were able to discriminate between poorly and highly rewarding flowers by using the presence of a nonsocial cue ( a wooden rectangular white block). When poorly rewarding flowers were indicated by social cues ( model bees), however, bees did not discriminate between the two flower types except when an additional cue was provided ( flower colour). These findings indicate that bumblebees attach particular meaning to conspecific presence on flowers, even when this could lead to suboptimal foraging performance. The relatively lower flexibility in the use of social than nonsocial cues suggests a biased positive value of conspecifics as indicators of rewarded flowers. (C) 2017 The Association for the Study of Animal Behaviour. Published by Elsevier Ltd. All rights reserved.</t>
  </si>
  <si>
    <t>Chittka, Lars/C-3110-2012; Avargues-Weber, Aurore/V-5795-2019</t>
  </si>
  <si>
    <t>Chittka, Lars/0000-0001-8153-1732; Lachlan, Robert/0000-0003-0946-1316</t>
  </si>
  <si>
    <t>10.1016/j.anbehav.2017.11.022</t>
  </si>
  <si>
    <t>WOS:000419600500022</t>
  </si>
  <si>
    <t>Barron, DG; Webster, MS; Schwabl, H</t>
  </si>
  <si>
    <t>Barron, Douglas G.; Webster, Michael S.; Schwabl, Hubert</t>
  </si>
  <si>
    <t>Do androgens link morphology and behaviour to produce phenotype-specific behavioural strategies?</t>
  </si>
  <si>
    <t>Morphological and behavioural traits often covary with each other, and the links between them may arise from shared physiological mechanisms. In particular, androgens such as testosterone have emerged as prime candidates for linking behaviour and morphology due to the environmental sensitivity and pleiotropic effects of these hormones. In this study we investigated the hypothesis that androgens simultaneously relate to morphological and behavioural variation, thereby producing the integrated reproductive phenotypes of male red-backed fairy-wrens, Malurus melanocephalus. Males of this species can adopt one of three discrete breeding phenotypes: breeding in red/black plumage, breeding in brown plumage, or remaining as nonbreeding brown natal auxiliaries. Although the expression of morphological traits in this species is regulated by androgens and phenotypes differ in baseline androgen levels (red/black breeder &gt; brown breeder &gt; auxiliary), injection with GnRH failed to expose phenotypespecific constraints on androgen production. Observations of territoriality, nestling feeding and extraterritorial forays revealed phenotype-specific patterns of mating and parental effort, yet these were largely related to age and were not correlated with baseline or GnRH-induced androgen levels, or the androgen change between these points. While these findings support the idea that morphological and behavioural traits are linked via phenotypic correlations, they do not support the hypothesis that behavioural differences arise from variation in circulating androgens or the capacity to produce them. (C) 2014 The Association for the Study of Animal Behaviour. Published by Elsevier Ltd. All rights reserved.</t>
  </si>
  <si>
    <t>Barron, Douglas G/GZL-8405-2022; Webster, Michael/AAB-7151-2020</t>
  </si>
  <si>
    <t>Barron, Douglas G/0000-0002-7648-8327; Webster, Michael/0000-0001-7585-4578</t>
  </si>
  <si>
    <t>10.1016/j.anbehav.2014.11.016</t>
  </si>
  <si>
    <t>WOS:000348449000017</t>
  </si>
  <si>
    <t>HANSEN, AJ; ROHWER, S</t>
  </si>
  <si>
    <t>COVERABLE BADGES AND RESOURCE DEFENSE IN BIRDS</t>
  </si>
  <si>
    <t>We propose a hypothesis to account for the evolution of coverable patches of conspicuous coloration in birds. According to the hypothesis: (1) resource of defenders use ''colour badges'' to thwart conspecific intrusions; (2) individuals not intent on challenging owners signal submissiveness with covered badges; and (3) because ownership status may change within seasons, individuals benefit from being able to produce both signals interchangeably. Coverable badges are believed to be reliable indicators of status because cheaters may pay the cost of escalated fighting with opponents. In tests with red-winged blackbirds (Agelaius phoeniceus) we found that territorial males discriminated between mounts of conspecifics with blackened epaulettes and mounts of male Brewer''s blackbirds (Euphagus cyanocephalus) and, thus, rejected the alternative species recognition hypothesis. The coverable badge hypothesis was supported by evidence that: territory owners were most aggressive toward redwing mounts showing the most red; males intruding into occupied territories covered their epaulettes; and floating males that took over experimentally vacated territories behaved as legitimate owners only minutes after entry. This hypothesis provides the first adequate explanation of the function of the coverable and conspicuous epaulettes of redwings.</t>
  </si>
  <si>
    <t>10.1016/0003-3472(86)90007-2</t>
  </si>
  <si>
    <t>WOS:A1986AZF6400007</t>
  </si>
  <si>
    <t>Romantsov, PV</t>
  </si>
  <si>
    <t>Romantsov, P. V.</t>
  </si>
  <si>
    <t>NEW DATA ON THE FAUNA OF LEAF-BEETLES (COLEOPTERA, CHRYSOMELIDAE) FROM THE SOUTH OF THE RUSSIAN FAR EAST</t>
  </si>
  <si>
    <t>Four species are recorded from Russia for the first time: Altica cirsicola Ohno 1960, Neocrepidodera recticollis (Jacoby 1885), Sphaeroderma tarsatum Baly 1874 and Cassida koreana Borowiec &amp; Cho 2011. A new colour form of Cryptocephalus flavoscutellaris Medvedev 1973 is described from Sakhalin. The variability of body coloration in Cryptocephalus nigrofasciatus Jacoby 1885 is discussed. The following synonymy is confirmed: Cryptocephalus nigrofasciatus Jacoby 1885 = Cryptocephalus turpis Chen 1942. Two taxa, Cryptocephalus sagamensis Tomov 1982 from South Korea and C. nigrofasciatus are probably conspecific. A new record of Altica caerulescens (Baly 1874) from Russia is provided and its differences from Altica viridicyanea (Baly 1874) are given. New data on the rare Aphthona ussuriensis Romantsov 2021 and Monolepta pallidula (Baly 1874) are presented. The status of three similar species of the genus Sphaeroderma Stephens 1831 (S. fuscicorne Baly 1864, S. akebiae Ohno 1964 and S. unicolor Kimoto 1965) is discussed.. new identification key to all species of this genus from the Russian Far East is compiled. Characters for distinguishing Cassida koreana Borowiec &amp; Cho 2011 from Cassida vespertina Boheman 1862 are given. Dorsal habitus photographs of adults and their genitalia are provided for all aforementioned species and their close allies.</t>
  </si>
  <si>
    <t>10.31857/S0044513423060120</t>
  </si>
  <si>
    <t>WOS:001044376400004</t>
  </si>
  <si>
    <t>Ron, SR; Coloma, LA; Cannatella, DC</t>
  </si>
  <si>
    <t>A new, cryptic species of Physalaemus (Anura: Leptodactylidae) from western Ecuador with comments on the call structure of the P-pustulosus species group</t>
  </si>
  <si>
    <t>We describe a new species of leptodactylid frog of the gemis Physalaemus from the lowlands of western Ecuador. It belongs to the P. pustulosus species group and differs from other group members in its smaller size, skin texture, tadpole characters, and advertisement call. The new species has wide variation in size and color pattern both at the intra- and inter-population levels. This variation matches that observed in P. montubio and P. randi, and render difficult its diagnosis on the basis of morphological features. A phylogenetic analysis of morphological characters shows that the new species belongs to a clade distributed west of the Andes in Ecuador and northern Peni, sister to (P. petersi + P. pustulosus). A phylogeny based on mtDNA shows that P. montubio and P. randi form a clade sister to (P. coloradorum + P. sp. nov.). The calls of these three species have two components with different acoustic features that arguably match the frequency sensitivity of the ear of conspecific females, in a manner similar to the complex calls of P. pustulosus. The new species occurs in two predominantly dry regions. the Lowland Deciduous Costa Forest, and the Lowland Semideciduous Costa Forest.</t>
  </si>
  <si>
    <t>Ron, Santiago R/J-4203-2019; Coloma, Luis/AAO-3956-2020</t>
  </si>
  <si>
    <t>Ron, Santiago R/0000-0001-6300-9350; Coloma, Luis/0000-0003-0158-2455</t>
  </si>
  <si>
    <t>10.1655/04-38</t>
  </si>
  <si>
    <t>WOS:000229100000010</t>
  </si>
  <si>
    <t>Li, X; Zhang, SL; Amaro-Blanco, I; Perera, S; Khandekar, NS; Lowey, D; Osuna, MD; Caicedo, AL</t>
  </si>
  <si>
    <t>Li, Xiang; Zhang, Shulin; Amaro-Blanco, Ignacio; Perera, Sherin; Khandekar, Nikhil Shirish; Lowey, Daniel; Osuna, Maria Dolores; Caicedo, Ana L.</t>
  </si>
  <si>
    <t>Multiple compensatory mutations contribute to the de-domestication of Iberian weedy rice</t>
  </si>
  <si>
    <t>PLANTS PEOPLE PLANET</t>
  </si>
  <si>
    <t>Societal Impact Statement Weedy plants are a major constraint on agricultural productivity. Weedy rice is a weed that invades rice fields worldwide and is responsible for reductions in rice yields. Studies to date have detected multiple independent weedy rice origins in different parts of the world. We investigated the origin of weedy rice in Spain and Portugal and found that it has evolved from a cultivated rice variety group grown locally. Iberian weeds carry mutations that reverse domesticated pericarp color to its ancestral red color. Our results imply that management strategies are needed to prevent the evolution of troublesome weeds from cultivated ancestors. Weedy rice, a damaging conspecific weed of cultivated rice, has arisen multiple times independently around the world. Understanding all weedy rice origins is necessary to create more effective weed management strategies. The origins of weedy rice in Spain and Portugal, where there are no native Oryza species, are unknown. In this study, we try to identify the likely ancestors of Iberian weedy rice and the mechanisms involved in the evolution of two weedy traits, seed shattering, and red pericarps. We used genotyping by sequencing to understand the origin of Iberian weedy rice and its relationship to other weedy, wild, and cultivated rice groups worldwide. We also genotyped candidate genes for shattering and pericarp color. We find that weedy rice in the Iberian Peninsula has primarily evolved through de-domestication of temperate japonica cultivars, with minor origins from exotic weedy rice. Iberian weeds have evolved the capacity to shatter seeds via novel loci and have acquired red pericarps via compensatory mutations in the Rc domestication gene. Our results suggest the Iberian weeds have experienced selection at multiple locations in the genome to establish as weeds, likely targeting male fertility genes among other functions. Our characterization of Iberian weedy rice adds to the growing evidence that de-domestication of cultivated rice varieties is the main source of weedy rice worldwide. Their evolutionary versatility explains why weedy rice continues to be one of the most problematic weeds of cultivated rice.</t>
  </si>
  <si>
    <t>Guo, Li/KCK-9540-2024; wang, yu/IUQ-6654-2023; wang, wei/JBS-7400-2023; LI, XIAO/JCE-6169-2023; Wang, Jing/IQW-3496-2023; LI, WEI/ISS-1208-2023; LI, XIAO/IQV-9318-2023; li, wei/IUQ-2973-2023; Tang, Wei/IZQ-1283-2023; Li, Jiaai/JCO-0168-2023; li, yang/IQV-3559-2023</t>
  </si>
  <si>
    <t>Wang, Jing/0000-0002-8296-2961; Lowey, Daniel/0000-0001-5290-1378; Caicedo, Ana/0000-0002-0378-6374; Amaro Blanco, Ignacio/0000-0002-5434-6854; Li, Xiang/0000-0003-0257-6110</t>
  </si>
  <si>
    <t>2572-2611</t>
  </si>
  <si>
    <t>10.1002/ppp3.10286</t>
  </si>
  <si>
    <t>WOS:000820245800001</t>
  </si>
  <si>
    <t>Gould, GM; Augustine, JK</t>
  </si>
  <si>
    <t>Gould, Geoffrey M.; Augustine, Jacqueline K.</t>
  </si>
  <si>
    <t>Multiple signals predict male mating success in the lek-mating lesser prairie-chicken (Tympanuchus pallidicinctus)</t>
  </si>
  <si>
    <t>Sexual selection theory maintains that traits under selection honestly advertise qualities of signaling individuals and that only individuals in the best condition can survive while displaying maximally elaborated secondary sexual ornaments. Recent trends in mate choice studies have favored the consideration of the effects of multiple traits on mating success, including suites of traits transmitted in different sensory modalities. Sexual selection is expected to be especially strong in lek-mating species. The lesser prairie-chicken (Tympanuchus pallidicinctus) is a grouse species which breeds on leks. Males of this species perform audio and locomotor displays and exhibit two pairs of brightly colored ornaments. We performed an observational study of mate choice in spring 2016-2018 and noted 40 copulations on seven leks. We quantified behavioral, territorial, and morphological characteristics of males along with ornament color properties. We found that variables from all categories considered predicted female choice. Age had the strongest effect, with adult males experiencing higher female choice relative to yearlings. Allocation of aggressive behavior and comb color properties were also strongly correlated with female choice. Our results show that modulating behavior depending on whether females are present contributes to male mating success and highlight the importance of the size and color properties of secondary ornaments. Further research is required to determine how the variables most strongly associated with mate choice relate to one another and which aspects of individual quality, if any, are signaled by color ornaments. Future studies could also incorporate variables related to females to determine if selection on females occurs. Significance statement The choice of a mate can help determine the survival and reproductive success of offspring. In species where males do not care for offspring, mate choice can be highly consistent among females, and mate choice decisions are often based on the evaluation of multiple traits such as vocalizations, behavior, and morphological trait size. Based on measurements of captured males and observations of breeding behavior, we demonstrate that mate choice in lesser prairie-chickens (Tympanuchus pallidicinctus) correlates with male behavior, morphology, skin patch color, and territorial characteristics. Our findings represent a rare demonstration of mating success being influenced by how male behavior (including aggression) changes when females are present or absent. Our results show how multiple traits can transmit information about individual quality and support theoretical links between mate choice and increased male age or male-male competition.</t>
  </si>
  <si>
    <t>Augustine, Jacqueline K/C-5703-2011</t>
  </si>
  <si>
    <t>Gould, Geoffrey/0000-0002-7521-5853</t>
  </si>
  <si>
    <t>OCT 25</t>
  </si>
  <si>
    <t>10.1007/s00265-020-02920-2</t>
  </si>
  <si>
    <t>WOS:000588357200001</t>
  </si>
  <si>
    <t>Drawert, HA</t>
  </si>
  <si>
    <t>Drawert, Heinz Arno</t>
  </si>
  <si>
    <t>A new species of the seasonal killifish genus Moema (Cyprinodontiformes: Rivulidae) from the Pirai watershed in the Southwest Amazon basin</t>
  </si>
  <si>
    <t>Moema, a genus of the Rivulidae family, currently comprises 20 valid species. Most of these species inhabit temporary pools in the Amazon basin and only one species is found in the upper Paraguay basin. A new member of this genus from the upper Rio Madeira drainage is here described. Males of the new species differ from all congeners by the combination of a color pattern consisting of oblique, sometimes chevron-like, irregular rows of red and light blue double -dots on body; dark yellowish to golden pectoral fins with no visible markings; and a stripe pattern on the ventral section of caudal fin with a very narrow black marginal line, intermittent or even absent. The existence of infrageneric species groups within Moema, the geographic distribution and taxonomic aspects of the species present in the Rios Mamor?? and It??nez/Guapor?? rivers drainages, and the observation of intraspecific aggression between males and amphibious lifestyle in the new species are discussed.</t>
  </si>
  <si>
    <t>Drawert, Heinz Arno/0000-0002-8351-2495</t>
  </si>
  <si>
    <t>e220067</t>
  </si>
  <si>
    <t>10.1590/1982-0224-2022-0067</t>
  </si>
  <si>
    <t>WOS:000889065500001</t>
  </si>
  <si>
    <t>STUTCHBURY, BJ</t>
  </si>
  <si>
    <t>EXPERIMENTAL-EVIDENCE THAT BRIGHT COLORATION IS NOT IMPORTANT FOR TERRITORY DEFENSE IN PURPLE MARTINS</t>
  </si>
  <si>
    <t>I tested the hypothesis that bright breeding plumage in territorial males acts as a badge of fighting ability or aggressive motivation to intimidate intruders. Territorial male purple martins (Progne subis) whose iridescent blue plumage was lightened to mimic the appearance of subadult males did not suffer an increase in intruder pressure or loss of territory compared with control males. Bright plumage color itself did not deter intruders and was not important for successful territory defense. Furthermore, a bright coloration of owners was not associated with an increased level of aggression toward intruders. Results from parallel studies on this species suggest that bright coloration is important in territory acquisition. The effectiveness of badges of fighting ability and aggressive motivation in territory defense is limited by whether intruders benefit from assessing these traits in owners. Differences in signaling systems between species are due in part to differences in floater tactics and the mode of territory acquisition.</t>
  </si>
  <si>
    <t>10.1007/BF00167813</t>
  </si>
  <si>
    <t>WOS:A1992JE29600004</t>
  </si>
  <si>
    <t>Buniyaadi, A; Taufique, SKT; Kumar, V</t>
  </si>
  <si>
    <t>Buniyaadi, Amaan; Taufique, S. K. Tahajjul; Kumar, Vinod</t>
  </si>
  <si>
    <t>Self-recognition in corvids: evidence from the mirror-mark test in Indian house crows (Corvus splendens)</t>
  </si>
  <si>
    <t>The ability to recognize oneself is separate from recognizing a conspecific. Self-recognition is a higher cognitive function and generally tested by a mirror-mark paradigm, in which the individual recognizes and responds to an inconspicuously placed mark on body from its mirror-reflected image. Although initially suggested to be associated with large-brained mammals, the ability of self-recognition has now been shown in non-mammals, including fish and birds. Hence, studies on many more species might be useful to understand general principles and underlying mechanisms of the evolution of social intelligence. Here, we examined self-recognition ability in Indian house crows (Corvus splendens), by testing them first for mirror-induced responses and then for the mark-directed responses. A circular coloured mark was inconspicuously placed on the throat under the bill where crows could see it only from its mirror-reflected image; a similar black mark placed at identical location which was difficult to be seen served as the control condition. We evaluated how closely crows viewed and inspected the object, and expressed social, contingent and self-directed responses to the mirror and cardboard. Crows exhibited greater preference in response to the mark when in front of the mirror, compared to they were in front of the non-reflective black cardboard. The majority (4/6) crows responded to the mirror-reflected self-image, as evidenced by attempts to remove the coloured mark by using beak or claws; no such response was found in control condition. These results suggest self-recognition by Indian house crows, and support the growing evidence that the ability of self-recognition is more widely present among animals.</t>
  </si>
  <si>
    <t>Kumar, Vinod/HOF-0388-2023; Kumar, P.Vinod/HKP-1552-2023; Taufique, S K Tahajjul/AAJ-7914-2020</t>
  </si>
  <si>
    <t>Taufique, S K Tahajjul/0000-0001-8017-9159; Buniyaadi, Amaan/0000-0002-5623-2471</t>
  </si>
  <si>
    <t>10.1007/s10336-019-01730-2</t>
  </si>
  <si>
    <t>WOS:000493944300001</t>
  </si>
  <si>
    <t>Aqmal-Naser, M; Ahmad, AB</t>
  </si>
  <si>
    <t>Aqmal-Naser, Mohamad; Ahmad, Amirrudin B.</t>
  </si>
  <si>
    <t>Concerning Predation on Small Vertebrates by Alien Gold Morph Midas cichlid, Amphilophus citrinellus (Cichlidae)</t>
  </si>
  <si>
    <t>TROPICAL LIFE SCIENCES RESEARCH</t>
  </si>
  <si>
    <t>Neotropical cichlid possesses territorial aggression which explains their success as alien species that pose threats to local fauna. The feeding ecology of Midas cichlid, Amphilophus citrinellus species outside its native range had never been fully understood. We aim to determine the stomach content, length-weight relationship and condition factor of this non-native species in one of the agroecosystems in Malaysia. The fish was collected using a cast net, and the guts were dissected. The stomach content (n n = 35) revealed Midas cichlids feed on a wide array of preys including fish, amphibian and gastropod. The b-value is 2.60 (negative allometric growth) and the relative condition factor, Kn is 1.04. This result represents an initial study on the feeding aspect of this cichlid. Subsequent and continued researches are needed to evaluate the feeding behaviour and prey preferences of this species in its introduced range.</t>
  </si>
  <si>
    <t>1985-3718</t>
  </si>
  <si>
    <t>2180-4249</t>
  </si>
  <si>
    <t>10.21315/tlsr2024.35.2.15</t>
  </si>
  <si>
    <t>WOS:001292721100013</t>
  </si>
  <si>
    <t>NYFFELER, M; DONDALE, CD; REDNER, JH</t>
  </si>
  <si>
    <t>EVIDENCE FOR DISPLACEMENT OF A NORTH-AMERICAN SPIDER, STEATODA-BOREALIS (HENTZ), BY THE EUROPEAN SPECIES S-BIPUNCTATA (LINNAEUS) (ARANEAE, THERIDIIDAE)</t>
  </si>
  <si>
    <t>The European spider Steatoda bipunctata has apparently been introduced into North America through human transport. The earliest American collections were made in Nova Scotia in 1913. Until about 1933, specimens were known only on the coast of the Atlantic provinces, Maine [USA], and along the St. Lawrence River and Lake Ontario, but they are now found widely in the Atlantic Provinces, northernmost New England, and southern Quebec and Ontario. Habitats include buildings, bridges, piles of lumber and firewood, and crevices on tree trunks or among rocks. Evidence indicates that S. bipunctata, which closely resembles the native S. borealis in size, colour, microhabitat, diel activity, prey selection and utilization, life history, and sexual behaviour, can displace S. borealis. Displacement is, however, only partial, as S. borealis persists in forest habitats, where human influence is minimal. Laboratory tests on reproductive potential and interspecific aggression failed to demonstrate the method by which displacement takes place.</t>
  </si>
  <si>
    <t>10.1139/z86-130</t>
  </si>
  <si>
    <t>WOS:A1986C507200011</t>
  </si>
  <si>
    <t>Rowland, WJ</t>
  </si>
  <si>
    <t>Studying visual cues in fish behavior: a review of ethological techniques</t>
  </si>
  <si>
    <t>Symposium on Video and Animation Techniques to Study Fish Behavior at the 1996 Ecological and Evolutionary Ethology of Fishes Meeting</t>
  </si>
  <si>
    <t>ALBUQUERQUE, NM</t>
  </si>
  <si>
    <t>This paper reviews the variety of approaches available to fish ethologists to study the role of visual cues in fish behavior. Examples of studies that have used live fish, mirror images, dummies (i.e. models), or video playback as stimuli to investigate fish behavior are described and discussed. These examples represent a diversity of functional categories of behavior exhibited by fishes, including aggression, courtship, aggregation, or schooling behavior, parent-offspring, predator-prey, and cleaner-host interactions. The specific techniques that fish biologists have used to control or manipulate body shape, size, posture, morphological structures, color, marking patterns, or movement are systematically discussed, and the importance of each of these visual features to fish behavior is documented through examples. Studies that have used these techniques to investigate the interaction between visual and nonvisual cues are also considered. Each section encompassing a general experimental approach ends with a discussion of the advantages and disadvantages of that approach for studying fish behavior.</t>
  </si>
  <si>
    <t>1573-5133</t>
  </si>
  <si>
    <t>10.1023/A:1007517720723</t>
  </si>
  <si>
    <t>WOS:000083273300002</t>
  </si>
  <si>
    <t>de Boer, RA; Overduin-de Vries, AM; Louwerse, AL; Sterck, EHM</t>
  </si>
  <si>
    <t>de Boer, Raissa A.; Overduin-de Vries, Anne M.; Louwerse, Annet L.; Sterck, Elisabeth H. M.</t>
  </si>
  <si>
    <t>The Behavioral Context of Visual Displays in Common Marmosets (Callithrix jacchus)</t>
  </si>
  <si>
    <t>Communication is important in social species, and may occur with the use of visual, olfactory or auditory signals. However, visual communication may be hampered in species that are arboreal have elaborate facial coloring and live in small groups. The common marmoset fits these criteria and may have limited visual communication. Nonetheless, some (contradictive) propositions concerning visual displays in the common marmoset have been made, yet quantitative data are lacking. The aim of this study was to assign a behavioral context to different visual displays using pre-post-event-analyses. Focal observations were conducted on 16 captive adult and sub-adult marmosets in three different family groups. Based on behavioral elements with an unambiguous meaning, four different behavioral contexts were distinguished: aggression, fear, affiliation, and play behavior. Visual displays concerned behavior that included facial expressions, body postures, and pilo-erection of the fur. Visual displays related to aggression, fear, and play/affiliation were consistent with the literature. We propose that the visual display pilo-erection tip of tail is related to fear. Individuals receiving these fear signals showed a higher rate of affiliative behavior. This study indicates that several visual displays may provide cues or signals of particular social contexts. Since the three displays of fear elicited an affiliative response, they may communicate a request of anxiety reduction or signal an external referent. Concluding, common marmosets, despite being arboreal and living in small groups, use several visual displays to communicate with conspecifics and their facial coloration may not hamper, but actually promote the visibility of visual displays. Am. J. Primatol. 75:1084-1095, 2013. (c) 2013 Wiley Periodicals, Inc.</t>
  </si>
  <si>
    <t>Sterck, Elisabeth HM/C-1063-2011</t>
  </si>
  <si>
    <t>Overduin - de Vries, Anne/0000-0003-2370-7183; de Boer, Raissa/0000-0002-6064-6562</t>
  </si>
  <si>
    <t>10.1002/ajp.22167</t>
  </si>
  <si>
    <t>WOS:000324914600002</t>
  </si>
  <si>
    <t>SCHWABL, H; RAMENOFSKY, M; SCHWABLBENZINGER, I; FARNER, DS; WINGFIELD, JC</t>
  </si>
  <si>
    <t>SOCIAL-STATUS, CIRCULATING LEVELS OF HORMONES, AND COMPETITION FOR FOOD IN WINTER FLOCKS OF THE WHITE-THROATED SPARROW</t>
  </si>
  <si>
    <t>We measured plasma levels of luteinizing hormone (LH), testosterone (T), 5.alpha.-dihydrotestosterone (DHT) and corticosterone (B) in flocks of wintering white-throated sparrows. This species occurs in two colour morphs that are distinguishable by white or tan colour of the median crown stripe and differ in frequency of agonistic behaviour during the reproductive season. During winter, white-throated sparrows form flocks that are characterized by dominance hierarchies, in which social rank was correlated with sex and age, but not with crown colour. Plasma levels of LH and androgens (T and DHT) were basal in most free-living and captive birds and not correlated with sex, age, morph or social rank. Plasma levels of testosterone did not increase in captive groups, when aggressive interactions increased due to experimental manipulation of distribution and amount of food. These results suggest (1) that dominant-subordinate relationships during the wintering phase are not based on differential aggression of plumage types and (2) that they are not maintained by elevated plasma levels of androgens in high-ranking birds. Plasma concentrations of B increased rapidly with duration of capture stress in females and first-year males, but not in adult males. Since adult males were of highest rank it appears that high social status may restrain acute adrenal response to stress. Further, baseline levels of B were highest in low-ranking first-year females and lowest in high-ranking adult males. In captive groups, amount and distribution of food resources altered levels of B. Levels appeared to be most variable and very high in some birds of intermediate rank, when agonistic interactions in competition for food were most frequent. This suggests greater impact of change in food distribution on those birds, whose social status is less clear than the high or low ranking birds.</t>
  </si>
  <si>
    <t>10.1163/156853988X00223</t>
  </si>
  <si>
    <t>WOS:A1988R479600008</t>
  </si>
  <si>
    <t>Correlates of melanization in multiple high- and low-elevation populations of the lizard, Sceloporus occidentalis: Behavior, hormones, and parasites</t>
  </si>
  <si>
    <t>Hormones mediate the expression of suites of correlated traits and hence may act either to facilitate or constrain adaptive evolution. Selection on one trait within a hormone-mediated suite of traits may lead to a change in the strength of the hormone signal, causing changes in correlated traits. Growing evidence suggests that melanization, which is in part regulated by hormonal signals, is tightly linked to other traits, such as aggression and stress physiology. Here, we examine six populations of Sceloporus occidentalis lizards differing in degree of melanization (three dark higher-elevation populations and three less-melanized lower-elevation populations) to investigate potential correlations between behavior, hormones, and parasites. We measured aggression by recording behavioral responses of males to staged territorial intrusions; behavior was summarized by two principal components. Analysis revealed that males in the three darker populations signaled aggression less often and made more physical contact than males in the lighter populations. Analyses of plasma steroid hormones (corticosterone and testosterone) revealed significant population differences, but counter to expectation higher aggression was associated with lower testosterone compared across populations. Finally, the three darker populations had higher mean mite loads than the three lighter populations. Overall, this array of phenotypic correlations does not parallel patterns of within-population differences in melanization found in other vertebrates, suggesting that hormonal correlations do not constrain phenotype variation across populations in this species. Given this contradiction between population- and individual-level variation, we urge more study at both levels of variation in traits potentially associated with melanization in other vertebrates.</t>
  </si>
  <si>
    <t>10.1002/jez.2133</t>
  </si>
  <si>
    <t>WOS:000422728900001</t>
  </si>
  <si>
    <t>KYNARD, BE</t>
  </si>
  <si>
    <t>BREEDING-BEHAVIOR OF A LACUSTRINE POPULATION OF THREESPINE STICKLEBACKS (GASTEROSTEUS-ACULEATUS L)</t>
  </si>
  <si>
    <t>The breeding behavior of threespine sticklebacks from Wapato Lake, Washington, USA, was investigated using the ethological approach. Much of the breeding effort of males was synchronized and there were 3 peaks of abundance during the 100 day period of major breeding. In June, a male''s cycle lasted 13-14 days, during which an average male collected 1000 eggs from about 10 females. Superior reproductive success of males was associated with nesting early in the season, in vegetated littoral areas of the lake, in deep water, and in sheltered habitats. A male''s level of aggression, body color, boldness toward predators, nest concealment behavior and egg stealing behavior changed during his reproductive cycle. The changes in body color and behavior seemed related to a decreasing emphasis on stealing eggs from a rival''s nest and an increasing emphasis on parental care. Most nest offspring were cannibalized within 2 days after fertilization. Neighboring males in all stages of breeding used solitary sneaking behavior to steal eggs from a rival''s nest and most eggs were stolen by parental males. Raider packs, composed of hundreds of non-breeding male and female adults, also raided nests causing a total loss of the nest and its contents. Raiding of nests by breeding males seemed related to a shortage of food resources. Females often courted males prior to spawning. The incidence of this behavior seemed related to an excess of females.</t>
  </si>
  <si>
    <t>10.1163/156853978X00323</t>
  </si>
  <si>
    <t>WOS:A1978GF13900003</t>
  </si>
  <si>
    <t>Hurd, PL</t>
  </si>
  <si>
    <t>Cooperative signalling between opponents in fish fights</t>
  </si>
  <si>
    <t>Cichlids of the species Nannacara anomala employ several colour displays during fights which do not seem to signal either fighting ability or motivation. How should these colour displays be interpreted when winning is reliably predicted by weight asymmetries? Medial Line colour displays were associated with, and predicted, tail-beating, while Vertical Bar colour displays were associated with mouth-wrestling. I suggest that these colour displays are used to facilitate the transmission of assessment information within a fight, and that they are an example of cooperative signalling between opponents. The results support the idea that the structure of fights contains strong cooperative aspects. (C) 1997 The Association for the Study of Animal Behaviour.</t>
  </si>
  <si>
    <t>Hurd, Peter L/A-4342-2009</t>
  </si>
  <si>
    <t>10.1006/anbe.1997.0531</t>
  </si>
  <si>
    <t>WOS:A1997YJ17400025</t>
  </si>
  <si>
    <t>Greenberg, N</t>
  </si>
  <si>
    <t>Sociality, stress, and the corpus striatum of the green anolis lizard</t>
  </si>
  <si>
    <t>11th Annual Meeting of the International-Behavioral-Neuroscience-Society (IBNS)</t>
  </si>
  <si>
    <t>JUN 23, 2002</t>
  </si>
  <si>
    <t>CAPRI, ITALY</t>
  </si>
  <si>
    <t>Int Behav Neurosci Soc</t>
  </si>
  <si>
    <t>The green anolis lizard, Anolis carolinensis, is a uniquely convenient species with great potential for providing insights about the causes and consequences of social behavior from an evolutionary perspective. In this species, social interactions are mediated by visual displays in which specific units of behavior are combined in various ways to communicate several more-or-less specific messages. Two related research programs that utilize this species converge in provocative ways to provide insight into this phenomenon. The first program is centered on the basal ganglia, now known to be crucial to the expression of aggressive territoriality in this species, and the second research program examines the way the physiological stress response is involved in aggression and its subsequent adaptive outcomes. Both the neural and the neuroendocrine systems affect the progress of social interactions as well as the subsequent social dominance relationships when combatants subsequently live together. Further, because body color depends almost exclusively on the stress response, skin color provides a unique in situ bioassay of otherwise inaccessible information about the animal's internal state. The fullest understanding of the physiological ethology of this model species will depend on an interdisciplinary approach that considers both proximate (physiological) and ultimate (evolutionary) causes of displays. Questions thus arising include how the nervous system controls and assembles the specific units of behavior-motor patterns and autonomic reflexes-into displays that are adaptive in specific contexts. (C) 2003 Elsevier Inc. All rights reserved.</t>
  </si>
  <si>
    <t>10.1016/S0031-9384(03)00162-8</t>
  </si>
  <si>
    <t>WOS:000185291300010</t>
  </si>
  <si>
    <t>Yoshikawa, A; Nakazawa, S; Asakura, A</t>
  </si>
  <si>
    <t>Yoshikawa, Akihiro; Nakazawa, Shiori; Asakura, Akira</t>
  </si>
  <si>
    <t>A Brief Description of Surface Structure and Composition of the Pseudo-Snail Shell Formed by a Sea Anemone Stylobates sp. Symbiotic with Hermit Crabs from the Deep-Sea Floor</t>
  </si>
  <si>
    <t>Sea anemones belonging to the genera Adamsia and Stylobates have a remarkable symbiotic relationship with hermit crabs. These symbiotic sea anemones produce a shell-like structure, called a carcinoecium, that covers and extends over the gastropod shell of the host hermit crab as hermit crabs grow. This structure has been described as chitinous carcinoecium or chitinous coating. A previous study investigated carcinoecia of Stylobates aeneus, the results of which indicated that it contained at least 1.7% chitin, while the remaining components were unidentified. Moreover, the microscopic structure of a carcinoecium still remains to be detailed. We, therefore, conducted detailed observations using a stereoscopic microscope and scanning electron microscope (SEM) and the analyses of the chemical composition of carcinoecia produced by Stylobates sp. (apparently conspecific with Isadamsia sp. J reported in Uchida and Soyama, 2001) associated with a pagurid hermit crab Pagurodofleinia doederleini collected in the south of the Shima Peninsula, Mie, Honshu Island, Japan at a depth of 294-306 m. Our results indicate that carcinoecia of Stylobates sp. contain HCl-soluble components (13%), NaOH-soluble components (38%), chitin (11%) and unidentified remnants (39%). Additionally, our observations show that Stylobates sp. incorporates dark-and white-colored particles that could be sand and/or mud into the carcinoecium.</t>
  </si>
  <si>
    <t>Nakazawa, Shiori/0000-0001-8179-5420</t>
  </si>
  <si>
    <t>10.2108/zs180167</t>
  </si>
  <si>
    <t>WOS:000477900300003</t>
  </si>
  <si>
    <t>Stöhr, S; Boissin, E; Hoareau, TB</t>
  </si>
  <si>
    <t>Stohr, Sabine; Boissin, Emilie; Hoareau, Thierry B.</t>
  </si>
  <si>
    <t>Taxonomic revision and phylogeny of the Ophiocoma brevipes group (Echinodermata, Ophiuroidea), with description of a new subgenus (Breviturma) and a new species</t>
  </si>
  <si>
    <t>The taxonomy of the genus Ophiocoma was last revised by Devaney in 1970. Recent discoveries of new species and re-instatement of previously synonymized names suggest that we still do not fully understand the species limits in this genus. A recent biodiversity survey of the SW Indian Ocean shallow reefs strongly suggested an unrecognised species in the genus, closely related to O. brevipes/O. dentata. This study examined both the molecular phylogenetic relationships and the morphological characteristics of several species in the genus in order to characterise the unrecognised species. The focal species clusters with O. brevipes, O. dentata, O. doederleini within a monophyletic clade supported by molecular data for the first time. The name Breviturma subgen. nov. is proposed for this clade, previously known as brevipes group. Type material of nominal species that have been synonymized with O. dentata was examined and re-assessed. Ophiocoma marmorata proved not conspecific with O. dentata. A rarely used character, dorsal disc granule density, was tested and showed differences between the examined species at similar sizes. In combination with colour pattern, disc granule density, arm spine sequence and maximum disc size, the new species was delimited morphologically and described as Ophiocoma krohi sp. nov.</t>
  </si>
  <si>
    <t>Stöhr, Sabine/B-8629-2011; Hoareau, Thierry/AAW-7628-2020; Hoareau, Thierry/A-4144-2011; BOISSIN, Emilie/F-2750-2011</t>
  </si>
  <si>
    <t>Stöhr, Sabine/0000-0002-2586-7239; Hoareau, Thierry/0000-0003-1644-0775; BOISSIN, Emilie/0000-0002-4110-790X</t>
  </si>
  <si>
    <t>DEC 9</t>
  </si>
  <si>
    <t>10.5852/ejt.2013.68</t>
  </si>
  <si>
    <t>WOS:000333018600001</t>
  </si>
  <si>
    <t>Clouse, R; Janies, D; Kerr, AM</t>
  </si>
  <si>
    <t>Resurrection of Bohadschia bivittata from B-marmorata (Holothuroidea: Holothuriidae) based on behavioral, morphological, and mitochondrial DNA evidence</t>
  </si>
  <si>
    <t>Behavior, color, body size, spicules, and mitochondrial DNA were examined in two morphs from the Bohadschia marmorata (Jaeger, 1833) species complex in Micronesia to test whether they are conspecific. This complex consists of eight morphs that have been described as separate species and combined in various ways for over a century. We examined the classic B. marmorata type and the type originally described as the species B. bivittata (Mitsukuri, 1912); B. bivittata was combined with B. marmorata by Panning (1944). Several observations and a phylogenetic analysis led us to conclude that R marmorata and B. bivittata should return to their status as separate species. First, R marmorata lives in shallow areas with strong currents, and B. bivittata lives on open sand between corals in deeper water. Second, the coloration of B. bivittata is distinct from B. marmorata, and although specimens collected on Yap Island differed from Mitsukuri's original description of B. bivittata, no specimens were collected with coloration intermediate between B. bivittata and R marmorata. Third, spicules are more highly branched, perforated, and spiked in B. bivittata than in B. marmorata (and, in our study, spicule complexity did not correlate with body size). Finally, our phylogenetic analysis, based on partial nucleotide sequences of 16s, 12s, and COI mitochondrial genes, resulted in a tree(Pearsonothuria graeffei (Bohadschia marmorata) (B. argus (B. bivittata)))-which shows that B. marmorata and B. bivittata are not even sister species, with B. bivittata more closely related to B. argus. Support for the clades for each Bohadschia species was strong, but the clade containing B. argus and B. bivittata had weaker support. Color and spicule examinations made of preserved B. marmorata-complex specimens from the Indo-Pacific as well as behavioral observations in the field also support the resurrection of R bivittata. (c) 2004 Elsevier GmbH. All rights reserved.</t>
  </si>
  <si>
    <t>10.1016/j.zool.2004.07.007</t>
  </si>
  <si>
    <t>WOS:000228395300003</t>
  </si>
  <si>
    <t>Grether, GF</t>
  </si>
  <si>
    <t>Grether, Gregory F.</t>
  </si>
  <si>
    <t>The Neuroecology of Competitor Recognition</t>
  </si>
  <si>
    <t>INTEGRATIVE AND COMPARATIVE BIOLOGY</t>
  </si>
  <si>
    <t>Annual Meeting of the Society-for-Integrative-and-Comparative-Biology</t>
  </si>
  <si>
    <t>JAN 03-07, 2011</t>
  </si>
  <si>
    <t>Salt Lake City, UT</t>
  </si>
  <si>
    <t>Soc Integrat &amp; Comparat Biol (SICB)</t>
  </si>
  <si>
    <t>Territorial animals can be expected to distinguish among the types of competitors and noncompetitors that they encounter on a regular basis, including prospective mates and rivals of their own species, but they may not correctly classify individuals of other species. Closely related species often have similar phenotypes and this can cause confusion when formerly allopatric populations first come into contact. Errors in recognizing competitors can have important ecological and evolutionary effects. I review what is known about the mechanisms of competitor recognition in animals generally, focusing on cases in which the targets of recognition include other species. Case studies include damselflies, ants, skinks, salamanders, reef fishes, and birds. In general, recognition systems consist of a phenotypic cue (e.g., chemical, color, song), a neural template against which cues are compared, a motor response (e.g., aggression), and sensory integration circuits for context dependency of the response (if any). Little is known about how competitor recognition systems work at the neural level, but inferences about specificity of cues and about sensory integration can be drawn from the responses of territory residents to simulated intruders. Competitor recognition often involves multiple cues in the same, or different, sensory modalities. The same cues and templates are often, but not always, used for intraspecific and interspecific recognition. Experiments have shown that imprinting on local cues is common, which may enable templates to track evolved changes in cues automatically. The dependence of aggression and tolerance on context is important even in the simplest systems. Species in which mechanisms of competitor recognition are best known offer untapped opportunities to examine how competitor-recognition systems evolve (e.g., by comparing allopatric and sympatric populations). Cues that are gene products (peptides, proteins) may provide insights into rates of evolution. There are many avenues for further research on the important but understudied question of how animals recognize competitors.</t>
  </si>
  <si>
    <t>1540-7063</t>
  </si>
  <si>
    <t>1557-7023</t>
  </si>
  <si>
    <t>10.1093/icb/icr060</t>
  </si>
  <si>
    <t>WOS:000296101600014</t>
  </si>
  <si>
    <t>Dixit, T; Chen, KC; Stoddard, MC; Mahadevan, L; Town, CP; Spottiswoode, CN</t>
  </si>
  <si>
    <t>Dixit, Tanmay; Chen, Kuan-Chi; Stoddard, Mary Caswell; Mahadevan, Lakshminarayanan; Town, Christopher P.; Spottiswoode, Claire N.</t>
  </si>
  <si>
    <t>Repeatable randomness, invariant properties, and the design of biological signatures of identity</t>
  </si>
  <si>
    <t>What makes a perfect signature? Optimal signatures should be consistent within individuals and distinctive between individuals. In defense against avian brood parasitism, some host species have evolved signatures of identity on their eggs, comprising interindividual variation in color and pattern. Tawny-flanked prinia (Prinia subflava) egg signatures facilitate recognition and rejection of parasitic cuckoo finch (Anomalospiza imberbis) eggs. Here, we show that consistency and distinctiveness of patterns are negatively correlated in prinia eggs, perhaps because non-random, repeatable pattern generation mechanisms increase consistency but limit distinctiveness. We hypothesize that pattern properties which are repeatable within individuals but random between individuals (invariant properties) allow hosts to circumvent this trade-off. To find invariant properties, we develop a method to quantify entire egg phenotypes from images taken from different perspectives. We find that marking scale (a fine-grained measure of size), but not marking orientation or position, is an invariant property in prinias. Hosts should therefore use differences in marking scale in egg recognition, but instead field experiments show that these differences do not predict rejection of conspecific eggs by prinias. Overall, we show that invariant properties allow consistency and distinctiveness to coexist, yet receiver behavior is not optimally tuned to make use of this information.</t>
  </si>
  <si>
    <t>Dixit, Tanmay/0000-0001-5604-7965; Stoddard, Mary/0000-0001-8264-3170</t>
  </si>
  <si>
    <t>OCT 3</t>
  </si>
  <si>
    <t>10.1093/evolut/qpad134</t>
  </si>
  <si>
    <t>WOS:001050661400001</t>
  </si>
  <si>
    <t>Fan, M; Teunissen, N; Hall, ML; Aranzamendi, NH; Kingma, SA; Roast, M; Delhey, K; Peters, A</t>
  </si>
  <si>
    <t>Fan, Marie; Teunissen, Niki; Hall, Michelle L.; Aranzamendi, Nataly Hidalgo; Kingma, Sjouke A.; Roast, Michael; Delhey, Kaspar; Peters, Anne</t>
  </si>
  <si>
    <t>From ornament to armament or loss of function? Breeding plumage acquisition in a genetically monogamous bird</t>
  </si>
  <si>
    <t>The evolution of conspicuous male traits is thought to be driven by female mate choice or male-male competition. These two mechanisms are often viewed as distinct processes, with most studies focusing on female choice. However, both mechanisms of sexual selection can act simultaneously on the same trait (i.e., dual function) and/or interact in a synergistic or conflicting way. Dual-function traits are commonly assumed to originate through male-male competition before being used in female choice; yet, most studies focusing on such traits could not determine the direction of change, lacking phylogenetic information. We investigated the role of conspicuous male seasonal plumage in male-male competitive interactions in the purple-crowned fairy-wren Malurus coronatus, a cooperatively breeding bird. Male breeding plumage in most Malurus species is selected by female choice through extra-pair mate choice, but unlike its congeners, M.coronatus is genetically monogamous, and females do not seem to choose males based on breeding plumage acquisition. Our study shows that, within groups, subordinate males that were older, and therefore higher-ranked in the queue for breeder position inheritance, produced a more complete breeding plumage. In line with this, subordinate males that were older and/or displayed a more complete breeding plumage were more successful in competitively acquiring a breeder position. A role as a signal of competitive ability was experimentally confirmed by presenting models of males: in breeding colours, these received more aggression from resident breeder males than in nonbreeding colours, but elicited limited response from females, consistent with competitors in breeding plumage being perceived as a bigger threat to the breeder male. The role of the conspicuous breeding plumage in mediating male-male interactions might account for its presence in this genetically monogamous species. As phylogenetic reconstructions suggest a past female choice function in M.coronatus, this could represent a sexual trait that shifted functions, or a dual-function trait that lost one function. These evolutionary scenarios imply that intra- and intersexual functions of ornaments may be gained or lost independently and offer new perspectives in understanding the complex dynamics of sexual selection.</t>
  </si>
  <si>
    <t>Roast, Michael James/P-8138-2019; Delhey, Kaspar/AAZ-5362-2020; Aranzamendi, Nataly Hidalgo/K-5904-2019; Peters, Anne/A-1821-2010</t>
  </si>
  <si>
    <t>Roast, Michael James/0000-0002-9454-7562; Delhey, Kaspar/0000-0001-5190-5406; Aranzamendi, Nataly Hidalgo/0000-0001-6967-0780; Teunissen, Niki/0000-0001-7028-0034; Fan, Marie/0000-0002-9332-0227; Peters, Anne/0000-0001-8071-0560</t>
  </si>
  <si>
    <t>10.1111/1365-2656.12855</t>
  </si>
  <si>
    <t>WOS:000441246100008</t>
  </si>
  <si>
    <t>Whiting, MJ; Xu, F; Kar, F; Riley, JL; Byrne, RW; Noble, DWA</t>
  </si>
  <si>
    <t>Whiting, Martin J.; Xu, Feng; Kar, Fonti; Riley, Julia L.; Byrne, Richard W.; Noble, Daniel W. A.</t>
  </si>
  <si>
    <t>Evidence for Social Learning in a Family Living Lizard</t>
  </si>
  <si>
    <t>Social learning is widespread among family living species, particularly mammals and birds with relatively high levels of social complexity and overt social interaction. However, the occurrence of social learning has never been documented in lizards with kin-based sociality, which have less obvious social interactions. We tested for social learning in Australian tree skinks (Egernia striolata), a species that commonly lives in family groups in the wild, using a two-step foraging task. Lizards were randomly allocated to either a social learning treatment or a control group and presented first with an instrumental task requiring the displacement of a lid, followed by an association task, consisting of two dishes with different colored lids. Prior to each task, lizards in the social learning treatment observed a trained demonstrator extract a food reward while the control also viewed a conspecific, but in the absence of the foraging task. The social learning treatment and control group solved the instrumental task at similar rates, but in the association task lizards in the social learning treatment made fewer errors and reached our learning criterion sooner. To the best of our knowledge, we present the first evidence for social learning in a lizard with kin-based sociality.</t>
  </si>
  <si>
    <t>Riley, Julia/H-6756-2019; Kar, Fonti/H-7511-2019; Whiting, Martin J./E-2999-2010; Xu, Feng/A-8626-2011; Noble, Daniel WA/H-6214-2013</t>
  </si>
  <si>
    <t>Riley, Julia/0000-0001-7691-6910; Kar, Fonti/0000-0002-2760-3974; Whiting, Martin J./0000-0002-4662-0227; Xu, Feng/0000-0001-8925-977X; Noble, Daniel WA/0000-0001-9460-8743; Byrne, Richard/0000-0001-9862-9373</t>
  </si>
  <si>
    <t>MAY 29</t>
  </si>
  <si>
    <t>10.3389/fevo.2018.00070</t>
  </si>
  <si>
    <t>WOS:000451666100001</t>
  </si>
  <si>
    <t>Callander, S; Kahn, AT; Maricic, T; Jennions, MD; Backwell, PRY</t>
  </si>
  <si>
    <t>Callander, Sophia; Kahn, Andrew T.; Maricic, Tim; Jennions, Michael D.; Backwell, Patricia R. Y.</t>
  </si>
  <si>
    <t>Weapons or mating signals? Claw shape and mate choice in a fiddler crab</t>
  </si>
  <si>
    <t>Males often possess traits, such as horns, claws, and tusks, which are used during male-male combat. Studies suggest that selection has fine tuned these weapons to improve their effectiveness and that the shape of these weapons provides cues for males to assess the strength of rivals. Similarly, females might also assess a male's weaponry to determine his value as a mate. The largest weapon relative to body size is the major claw of male fiddler crabs (genus: Uca). Males use their claws both as a weapon and as a courtship signal, waving it to attract females. We used robotic crabs in two-choice experiments to test female mating preferences based on male claw shape in Uca mjoebergi. First, females did not prefer conspecific claws over any of three alternatively shaped stimuli matched for color and for the rate and pattern of waving. The alternative stimuli were two different heterospecific claws and a plain rectangular shape. Second, females significantly preferred the alternative stimuli when they were presented at a faster wave rate. We conclude that claw shape in U. mjoebergi has not evolved under sexual selection imposed by female mating preferences and is more likely to have evolved under selection for effectiveness during male-male competition.</t>
  </si>
  <si>
    <t>Jennions, Michael D/C-7560-2009; Backwell, Patricia RY/C-8883-2009</t>
  </si>
  <si>
    <t>Jennions, MIchael D/0000-0001-9221-2788</t>
  </si>
  <si>
    <t>10.1007/s00265-013-1541-6</t>
  </si>
  <si>
    <t>WOS:000320024200013</t>
  </si>
  <si>
    <t>Schweitzer, C; Motreuil, S; Dechaume-Moncharmont, FX</t>
  </si>
  <si>
    <t>Schweitzer, Cecile; Motreuil, Sebastien; Dechaume-Moncharmont, Francis-Xavier</t>
  </si>
  <si>
    <t>Coloration reflects behavioural types in the convict cichlid, Amatitlania siquia</t>
  </si>
  <si>
    <t>Interindividual behavioural differences, consistent over time and across situations, are frequently related to differences in reproductive success, susceptibility to disease and competitive ability. The behavioural phenotype of a conspecific is likely to affect the outcome of a social interaction, so an individual must be able to accurately assess behavioural phenotypes in order to optimize behavioural responses during mate choice, cooperative relationships and agonistic interactions. However, behavioural assessment based on dyadic interactions in different contexts can be costly because it may require significant time, increase the risk of predation and often necessitates special cognitive abilities. Different colour cues are associated with different life history strategies in many species, so coloration might also correlate with behavioural phenotype. Thus, conspecifics could use coloration as a single cue for the mediation of social interactions. We investigated the relationship between personality and coloration in the monogamous, biparental convict cichlid. This species has black melanin-based stripes with interindividual variation in the intensity of these stripes. In addition, females have bright orange spots on their abdomens. Using repeatable measures of boldness, exploration and aggressiveness, we were able to define a behavioural syndrome and quantified the behavioural type of each individual. Behavioural types were predicted by colour traits. In particular, proactive individuals (more aggressive, bolder and quicker to resume behaviour after being startled) were more likely to be dark and, among females, have smaller orange areas. Our results support the hypothesis that coloration in the convict cichlid is related to personality. Thus, coloration could play an important role in mediating social interactions, allowing a quick and reliable assessment of conspecifics' behavioural types. (C) 2015 The Association for the Study of Animal Behaviour. Published by Elsevier Ltd. All rights reserved.</t>
  </si>
  <si>
    <t>Dechaume-Moncharmont, François-Xavier/F-2394-2011</t>
  </si>
  <si>
    <t>Dechaume-Moncharmont, François-Xavier/0000-0001-7607-8224</t>
  </si>
  <si>
    <t>10.1016/j.anbehav.2015.04.024</t>
  </si>
  <si>
    <t>WOS:000356611200022</t>
  </si>
  <si>
    <t>S</t>
  </si>
  <si>
    <t>Bradshaw, CP; Garbarino, J</t>
  </si>
  <si>
    <t>Devine, J; Gilligan, J; Miczek, KA; Shaikh, R; Pfaff, D</t>
  </si>
  <si>
    <t>Social cognition as a mediator of the influence of family and community violence on adolescent development - Implications for intervention</t>
  </si>
  <si>
    <t>YOUTH VIOLENCE: SCIENTIFIC APPROACHES TO PREVENTION</t>
  </si>
  <si>
    <t>Annals of the New York Academy of Sciences</t>
  </si>
  <si>
    <t>Conference on Scientific Approaches to Youth Violence Prevention</t>
  </si>
  <si>
    <t>APR 24-26, 2004</t>
  </si>
  <si>
    <t>New York, NY</t>
  </si>
  <si>
    <t>New York Acad Sci,Mushett Family Fdn</t>
  </si>
  <si>
    <t>Several studies have shown that exposure to family and community violence during childhood and adolescence is associated with an increased risk for development of externalizing behavior problems, but less is known about specific mechanisms that mediate this relation. Variations in social cognition serve as one possible mechanism by which these environmental experiences influence aggressive behavior during adolescence. Children who have been maltreated tend to display negatively biased social-cognitive processing styles, which may in turn increase their likelihood of reacting aggressively in ambiguous social situations. Similarly, witnessing community violence is associated with aspects of social cognition, including beliefs that support aggressive responses to threat. Recent studies also suggest that exposure to extreme forms of stress and violence can produce changes in children's neurobiology that may increase their hypersensitivity and reactivity to interpersonal threat. Some of the strongest evidence of the role of social cognition as a mechanism in this association comes from intervention studies which reduced aggressive behavior by targeting negatively biased social-cognitive processing styles.</t>
  </si>
  <si>
    <t>0077-8923</t>
  </si>
  <si>
    <t>1-57331-525-7</t>
  </si>
  <si>
    <t>10.1196/annals.1330.005</t>
  </si>
  <si>
    <t>WOS:000229993700006</t>
  </si>
  <si>
    <t>Pesendorfer, MB; Sillett, TS; Morrison, SA; Kamil, AC</t>
  </si>
  <si>
    <t>Pesendorfer, Mario B.; Sillett, T. Scott; Morrison, Scott A.; Kamil, Alan C.</t>
  </si>
  <si>
    <t>Context-dependent seed dispersal by a scatter-hoarding corvid</t>
  </si>
  <si>
    <t>Corvids (crows, jays, magpies and nutcrackers) are important dispersers of large-seeded plants. Studies on captive or supplemented birds suggest that they flexibly adjust their scatter-hoarding behaviour to the context of social dynamics and relative seed availability. Because many corvid-dispersed trees show high annual variation in seed production, context-dependent foraging can have strong effects on natural corvid scatter-hoarding behaviour. We investigated how seed availability and social dynamics affected scatter-hoarding in the island scrub jays (Aphelocoma insularis). We quantified rates of scatter-hoarding behaviour and territorial defence of 26 colour-marked birds over a three-year period with variable acorn crops. We tested whether caching parameters were correlated with variation in annual seed production of oaks as predicted by the predator dispersal hypothesis, which states that caching rates and distances should vary with seed abundance in ways that benefit tree fitness. We also tested whether antagonistic interactions with conspecifics would affect scatter-hoarding adversely, as found in experimental studies. Caching behaviour varied with acorn availability. Caching distances correlated positively with annual acorn crop size, increasing by as much as 40% between years. Caching rates declined over time in years with small acorn crops, but increased when crops were large. Acorn foraging and caching rates were also negatively correlated with rates of territorial aggression. Overall foraging rates, however, were not associated with aggression, suggesting that reduced dispersal rates were not simply due to time constraints. Our field results support laboratory findings that caching rates and distances by scatter-hoarding corvids are context-dependent. Furthermore, our results are consistent with predictions of the predator dispersal hypothesis and suggest that large seed crops and social interactions among scatter-hoarders affect dispersal benefits for oaks and other masting tree species.</t>
  </si>
  <si>
    <t>Pesendorfer, Mario B/H-6636-2019; Pesendorfer, Mario/ABD-7365-2021; Sillett, Scott/N-2240-2017</t>
  </si>
  <si>
    <t>Pesendorfer, Mario B/0000-0002-7994-7090; Sillett, Scott/0000-0002-7486-0076</t>
  </si>
  <si>
    <t>10.1111/1365-2656.12501</t>
  </si>
  <si>
    <t>WOS:000375121400020</t>
  </si>
  <si>
    <t>Araújo-Silva, B; Barcellos, M; Duca, C; Diniz, P</t>
  </si>
  <si>
    <t>Araujo-Silva, Bruna; Barcellos, Marcello; Duca, Charles; Diniz, Pedro</t>
  </si>
  <si>
    <t>Delayed plumage signals social status in a mutually ornamented bird</t>
  </si>
  <si>
    <t>The status signaling hypothesis suggests that inconspicuous plumages are an honest signal of subordination in social animals, including those exhibiting delayed plumage maturation. In addition, body size may also determine the outcome of aggressive interactions and shape dominance relationships. We observed flocks of Saffron Finches (Sicalis flaveola brasiliensis) during the non-breeding season to investigate whether the probability of winning an aggressive interaction varies according to the plumage color class (yellow female, yellow male, and dull bird of both sexes), morphology (body mass, wing length, and tail length), and plumage color variation (reflectance of yellow breast feathers). In this subspecies, younger individuals of both sexes breed with duller plumage and present late maturation to yellow, definitive plumage. We found that, in general, yellow females were more likely to win aggressive interactions against conspecifics (of any plumage color class) than yellow males and dull birds, irrespective of plumage color variation or morphology. In contrast, yellow males were not more likely to win aggressive interactions against conspecifics than dull birds. When comparing yellow females to each other and yellow males to each other, in general, larger birds and birds with brighter plumages were more likely to win the aggressive interactions. Our results partially support the status signaling hypothesis, suggesting that plumage color class has a major influence on social dominance status, whereas gradual variation in morphology and plumage coloration signals fighting ability within plumage color classes.</t>
  </si>
  <si>
    <t>Duca, Charles/GQI-3950-2022; Diniz, Pedro/C-6994-2019</t>
  </si>
  <si>
    <t>Duca, Charles/0000-0003-3903-8260; Diniz, Pedro/0000-0002-3193-6376; Hygino Barcellos, Marcello Henrique/0000-0002-1909-8365</t>
  </si>
  <si>
    <t>10.1007/s10336-022-02035-7</t>
  </si>
  <si>
    <t>WOS:000890108600001</t>
  </si>
  <si>
    <t>FORBES, MRL; RICHARSON, JML; BAKER, RL</t>
  </si>
  <si>
    <t>FREQUENCY OF FEMALE MORPHS IS RELATED TO AN INDEX OF MALE DENSITY IN THE DAMSELFLY, NEHALENNIA IRENE (HAGEN)</t>
  </si>
  <si>
    <t>Researchers have questioned whether variation in population density influences the maintenance of two or more morphs within and between insect populations. Two distinct morphs of female Nehalennia irene (Hagen) (Odonata: Coenagrionidae) occurred at each of eight sites in eastern Ontario, Canada; one morph (i.e. andromorph) was coloured and patterned like the conspecific male. We found significant differences in relative frequencies of andromorphs and in male density between sites; frequency of andromorphs ranged from 2-28% and was positively correlated with male density. Sites with high densities of males were located closer to low-density sites than to other high-density sites, indicating that high-density sites were somewhat independent of one another. We also found spatial variation in density of males within sites; males were present almost exclusively at edges of ponds or marshes. Proportionally more andromorphs than heteromorphs were found at the edges of sites, where male-female interactions were likely frequent. Sex ratios at the edges of sites were most strongly male-biased at two of three high-density sites, indicating that males may force non-receptive females away from the edge of high-density sites. Spatial and temporal variation in male density of N. irene may be an important factor influencing morph coexistence.</t>
  </si>
  <si>
    <t>Forbes, Mark R/B-3575-2013</t>
  </si>
  <si>
    <t>Forbes, Mark/0000-0002-2288-3209</t>
  </si>
  <si>
    <t>2376-7626</t>
  </si>
  <si>
    <t>10.1080/11956860.1995.11682265</t>
  </si>
  <si>
    <t>WOS:A1995TF50700003</t>
  </si>
  <si>
    <t>Landstrom, MT; Heinsohn, R; Langmore, NE</t>
  </si>
  <si>
    <t>Landstrom, Michelle T.; Heinsohn, Robert; Langmore, Naomi E.</t>
  </si>
  <si>
    <t>Clutch variation and egg rejection in three hosts of the pallid cuckoo, Cuculus pallidus</t>
  </si>
  <si>
    <t>In theory, hosts of avian brood parasites would benefit by modifying their egg appearance in two ways to help identify mimetic foreign eggs: (i) by laying clutches that are more uniform in appearance and (ii) by laying clutches that differ from those of other females in the population. Support for these theories is inconsistent, and few studies have used objective measures of clutch variation. Here we used reflectance spectrophotometry to quantify within-clutch and between-clutch variation of three host species of an Australian brood parasite, the pallid cuckoo (Cuculus pallidus). We used egg-swapping experiments in which subjects were presented with either a conspecific egg or a heterospecific egg to compare the egg rejection responses of a frequently parasitised host, the white-plumed honeyeater (Lichenostomus penicillatus), with two less frequently parasitised hosts, dusky woodswallows (Artamus cyanopterus) and willie wagtails (Rhipidura leucophrys). As predicted, rejection rate increased as contrast between foreign egg and host clutch increased. Further, the major host showed greater between-clutch variation than the occasional hosts, and also rejected more similar-looking eggs. Contrary to predictions however, within-clutch variation was not lower in the major host, nor was it important in predicting the rejection rate of foreign eggs by the three host species.</t>
  </si>
  <si>
    <t>Langmore, Naomi E/C-9302-2009</t>
  </si>
  <si>
    <t>Coluzzi, Michelle/0000-0002-1707-3770; Heinsohn, Robert/0000-0002-2514-9448</t>
  </si>
  <si>
    <t>10.1163/000579509X12483520922043</t>
  </si>
  <si>
    <t>WOS:000275078900002</t>
  </si>
  <si>
    <t>Aguila, RN; Genaro, JA; Peréz-Asso, AR; Hausmann, A</t>
  </si>
  <si>
    <t>Aguila, Rayner Nunez; Genaro, Julio A.; Perez-Asso, Antonio R.; Hausmann, Axel</t>
  </si>
  <si>
    <t>A new species of the hysius species-group of Calisto Hubner (Lepidoptera, Nymphalidae, Satyrinae) and insights into the status of different populations currently attributed to C. grannus Bates</t>
  </si>
  <si>
    <t>A species belonging to the hysius group of Calisto is newly described. Calisto bahoruco new species inhabits the easternmost area of the southern Hispaniola Sierra de Bahoruco. The species is closely related to C. hysius Godart, another endemic from the southern mountains. The two species differ in average forewing length (larger in C. hysius), the relative size of ocelli (larger in C. bahoruco), and in the darker ground color with more contrasted paler edges of lines at underside of wings in C. bahoruco compared to C. hysius. Their male genitalia differ in the shape of the uncus and in the heavier sclerotization in C. bahoruco. COI barcodes bear a minimum of 15 differences between the two species. All species delimitation methods applied to the COI dataset, ABGD, BIN, bPTP, mPTP, and PTP yielded 8 species. The exception was the GMYC that failed to recognize the new taxon and oversplitted several other taxa. COI gene tree obtained by Maximum Likelihood and Bayesian have identical topologies agreeing with a multilocus phylogeny reconstructed in a previous work on Calisto and placing the new taxon as sister of C. hysius. Additionally, we provide new evidence of the conspecific nature of all named populations within Calisto grannus group.</t>
  </si>
  <si>
    <t>Genaro, Julio A./N-2321-2019</t>
  </si>
  <si>
    <t>Nunez, Rayner/0000-0001-7921-5028</t>
  </si>
  <si>
    <t>10.11646/zootaxa.4317.1.1</t>
  </si>
  <si>
    <t>WOS:000408796800001</t>
  </si>
  <si>
    <t>Gozlan, RE; Flower, CJ; Pinder, AC</t>
  </si>
  <si>
    <t>Reproductive success in male sunbleak, a recent invasive fish species in the UK</t>
  </si>
  <si>
    <t>Annual Symposium of the Fisheries-Society-of-the-British-Isles</t>
  </si>
  <si>
    <t>JUN 30-JUL 04, 2003</t>
  </si>
  <si>
    <t>NORWICH, ENGLAND</t>
  </si>
  <si>
    <t>Fisher Soc British Isles</t>
  </si>
  <si>
    <t>The spawning behaviour of male nest guarding sunbleak Leucaspius delineatus, a recent invasive species in southern England, was studied and quantified for the first time. In the absence of physical differences between territorial and non-territorial males (i.e. colour, size, etc.), the reproductive behaviour of territorial males was analysed and related to reproductive success. The results showed that females preferred high-courting and highly aggressive males. The initial Cue in female mate choice, however, was based on courtship, while aggression was the decisive behavioural trait in influencing mate choice, providing a direct signal of physical condition and 'paternal competence'. Sonic males picked nest sites which Were Subsequently preferred by other males taking over the nest of a previous male ('communal nest'), with the new territorial male adopting the eggs already present at the nest. It appears that either due to female preference for nests already containing eggs or lower rates of sired egg predation by dilution among unrelated eggs, sunbleak males have adopted the mating strategy of allopaternal care. (C) 2003 The Fisheries Society of the British Isles.</t>
  </si>
  <si>
    <t>Gozlan, Rodolphe E./B-3973-2009</t>
  </si>
  <si>
    <t>A</t>
  </si>
  <si>
    <t>10.1111/j.1095-8649.2003.00210.x</t>
  </si>
  <si>
    <t>WOS:000187879700008</t>
  </si>
  <si>
    <t>Clary, D; Stow, MK; Vernouillet, A; Kelly, DM</t>
  </si>
  <si>
    <t>Clary, Dawson; Stow, Meara K.; Vernouillet, Alizee; Kelly, Debbie M.</t>
  </si>
  <si>
    <t>Mirror-mediated responses of California scrub jays (Aphelocoma californica) during a caching task and the mark test</t>
  </si>
  <si>
    <t>Mirror self-recognition, as an index of self-awareness, has been proposed as a precursor for more complex social cognitive abilities, such as prosocial reasoning and cooperative decision-making. Indeed, evidence for mirror self-recognition has been shown for animals possessing complex social cognitive abilities such as great apes, dolphins, elephants and corvids. California scrub jays (Aphelocoma californica) have provided strong evidence that non-human animals are capable of mental state attribution. For instance, scrub jays are reported to use their experience stealing the food of others to infer that other birds may similarly intend to steal from them. If a concept of self is required for such complex social cognitive abilities, then scrub jays might be expected to show mirror self-recognition. Thus, we examined whether California scrub jays are capable of mirror self-recognition using two experimental contexts: a caching task and the mark test. During the caching task, we compared the extent to which scrub jays protected their food after caching alone, in the presence of a conspecific and in the presence of a mirror. The birds did not engage in more cache protection behaviours with a mirror present than when caching alone, suggesting scrub jays may have recognized their reflection and so did not expect cache theft. Alternative explanations for this behaviour are also discussed. During the mark test, the scrub jays were surreptitiously marked with a red or plumage-coloured control sticker. The scrub jays showed no evidence of mirror self-recognition during the mark test, as the birds did not preferentially attempt to remove the red mark in the presence of a mirror. Together, the results provide mixed evidence of the mirror self-recognition abilities of California scrub jays. We highlight the need to develop alternative approaches for evaluating mirror self-recognition in non-human animals to better understand its relationship with complex social cognition.</t>
  </si>
  <si>
    <t>Clary, Dawson/LBH-6170-2024; Vernouillet, Alizée/ABC-5045-2021</t>
  </si>
  <si>
    <t>Clary, Dawson/0000-0002-0152-0484; Vernouillet, Alizée/0000-0003-2525-2936</t>
  </si>
  <si>
    <t>10.1111/eth.12954</t>
  </si>
  <si>
    <t>OCT 2019</t>
  </si>
  <si>
    <t>WOS:000488374300001</t>
  </si>
  <si>
    <t>Campbell, DR; Waser, NM; Pederson, GT</t>
  </si>
  <si>
    <t>Predicting patterns of mating and potential hybridization from pollinator behavior</t>
  </si>
  <si>
    <t>Hybridization in flowering plants is determined in part by the rate at which animal pollinators move between species and by the effectiveness of such movements in transferring pollen. Pollinator behavior can also influence hybrid fitness by determining receipt and export of pollen. We incorporated information on pollinator effectiveness and visitation behavior into a simulation model that predicts pollen transfer between Ipomopsis aggregata, Ipomopsis tenuituba, and hybrids. These predictions were compared with estimates of pollen transfer derived from movement of fluorescent dyes in experimental plant arrays. Interspecific pollen transfer was relatively uncommon in these arrays, whereas transfer between hybrids and the parental species was at least as common as conspecific transfer. Backcrossing was asymmetrical; L aggregata flowers frequently received mixed loads of hybrid and conspecific pollen. The simulation suggests that these patterns of pollen transfer are largely explained by the visitation sequences of hummingbird and insect pollinators, with little contribution from mechanical isolation. Pollen receipt by hybrids exceeded that of both parental species in a year when pollinators preferred to visit F, and F, hybrids and was intermediate in another year when they preferred to visit I. aggregata. This suggests 0 that natural variation in pollination may produce spatiotemporal variation in hybridization and hybrid fitness.</t>
  </si>
  <si>
    <t>10.1086/339457</t>
  </si>
  <si>
    <t>WOS:000175302800002</t>
  </si>
  <si>
    <t>McGraw, KJ; Dale, J; Mackillop, EA</t>
  </si>
  <si>
    <t>Social environment during molt and the expression of melanin-based plumage pigmentation in male house sparrows (Passer domesticus)</t>
  </si>
  <si>
    <t>Evolutionary biologists have shown much recent interest in the costliness and signal content of colorful plumage displays in birds. Although many studies suggest that both carotenoid- and structurally-based plumage colors are condition-dependent indicators of health and nutritional state at the time ornamental feathers are grown, there is little experimental evidence supporting the idea that melanin pigmentation is a reliable signal of condition during molt. Instead, melanin-based ornamental coloration often reveals the competitive ability and dominance of individuals throughout the year. However, this work does not indicate which proximate environmental factors shape the expression of melanin pigmentation at the time of feather growth. Because of the link between melanin coloration and the social environment, it is possible that the development of brightly colored plumage may be associated with aggressive social interactions during feather molt. Here, we show that melanin-based ornamental coloration in male house sparrows (Passer domesticus) is correlated with the degree to which individuals interact aggressively with conspecifics during molt. Males that were dominant (beta, but not alpha) within captive social groups during molt grew larger badges than subordinates. Groups of males that had higher rates of aggression during molt grew larger badges than less aggressive triads. To our knowledge, this is the first demonstration that melanin pigmentation and plumage-based status badges are related to the competitive history of individuals during feather development. By coupling badge size directly with aggressive experiences during molt, birds can use their status signal to honestly indicate their likelihood of winning agonistic encounters throughout the year.</t>
  </si>
  <si>
    <t>10.1007/s00265-002-0558-z</t>
  </si>
  <si>
    <t>WOS:000180871900007</t>
  </si>
  <si>
    <t>Kohda, M; Sogawa, S; Jordan, A; Kubo, N; Awata, S; Satoh, S; Kobayashi, T; Fujita, A; Bshary, R</t>
  </si>
  <si>
    <t>Kohda, Masanori; Sogawa, Shumpei; Jordan, Alex; Kubo, Naoki; Awata, Satoshi; Satoh, Shun; Kobayashi, Taiga; Fujita, Akane; Bshary, Redouan</t>
  </si>
  <si>
    <t>Further evidence for the capacity of mirror self-recognition in cleaner fish and the significance of ecologically relevant marks</t>
  </si>
  <si>
    <t>PLOS BIOLOGY</t>
  </si>
  <si>
    <t>An animal that tries to remove a mark from its body that is only visible when looking into a mirror displays the capacity for mirror self-recognition (MSR), which has been interpreted as evidence for self-awareness. Conservative interpretations of existing data conclude that convincing evidence for MSR is currently restricted to great apes. Here, we address proposed shortcomings of a previous study on MSR in the cleaner wrasse Labroides dimidiatus, by varying preexposure to mirrors and by marking individuals with different colors. We found that (1) 14/14 new individuals scraped their throat when a brown mark had been provisioned, but only in the presence of a mirror; (2) blue and green color marks did not elicit scraping; (3) intentionally injecting the mark deeper beneath the skin reliably elicited spontaneous scraping in the absence of a mirror; (4) mirror-naive individuals injected with a brown mark scraped their throat with lower probability and/or lower frequency compared to mirror-experienced individuals; (5) in contrast to the mirror images, seeing another fish with the same marking did not induce throat scraping; and (6) moving the mirror to another location did not elicit renewed aggression in mirror-experienced individuals. Taken together, these results increase our confidence that cleaner fish indeed pass the mark test, although only if it is presented in ecologically relevant contexts. Therefore, we reiterate the conclusion of the previous study that either self-awareness in animals or the validity of the mirror test needs to be revised.</t>
  </si>
  <si>
    <t>Awata, Satoshi/GQR-0411-2022</t>
  </si>
  <si>
    <t>Awata, Satoshi/0000-0003-3254-7943; Kohda, Masanori/0000-0001-9598-0088; Kobayashi, Taiga/0000-0002-2892-5043</t>
  </si>
  <si>
    <t>1544-9173</t>
  </si>
  <si>
    <t>1545-7885</t>
  </si>
  <si>
    <t>e3001529</t>
  </si>
  <si>
    <t>10.1371/journal.pbio.3001529</t>
  </si>
  <si>
    <t>WOS:000759890300001</t>
  </si>
  <si>
    <t>Damon, F; Li, ZH; Yan, Y; Li, W; Guo, K; Quinn, PC; Pascalis, O; Méary, D</t>
  </si>
  <si>
    <t>Damon, Fabrice; Li, Zhihan; Yan, Yin; Li, Wu; Guo, Kun; Quinn, Paul C.; Pascalis, Olivier; Meary, David</t>
  </si>
  <si>
    <t>Preference for Attractive Faces Is Species-Specific</t>
  </si>
  <si>
    <t>Studies on facial attractiveness in human adults, infants, and newborns have consistently reported a visual preference for faces rated as attractive compared with faces rated as unattractive. Biological accounts of facial attractiveness have typically presented such preferences as arising from adaptations for mate choice or as by-products of general sensory bias. In this cross-species study, we examined whether explicit ratings of attractiveness made by human judges would predict implicit visual preferences in other humans and also in rhesus macaques and, if they do, whether such preferences would extend beyond conspecific faces. Results showed that human ratings of attractiveness can predict implicit preferences in nonhuman primates (macaque monkeys; Macaca mulatta). However, we also found a species-specific effect of face attractiveness in which humans showed a visual preference for human faces (but not macaque faces) rated as attractive, and macaques displayed a visual preference for macaque faces (but not human faces) rated as attractive. Overall, the findings suggest that attentional bias toward attractive faces arises neither from an exclusive operation of mate choice adaptation mechanisms nor from the sole influence of a general sensory bias, but rather reflects their interaction. The influence of a general sensory bias may be modulated by the categorization of a face as conspecific or heterospecific, leading to species-specific preference for attractive faces.</t>
  </si>
  <si>
    <t>Li, Wu/AHA-4320-2022; damon, fabrice/U-2647-2018; Li, Wu/G-9415-2011</t>
  </si>
  <si>
    <t>Guo, Kun/0000-0001-6765-1957</t>
  </si>
  <si>
    <t>10.1037/com0000148</t>
  </si>
  <si>
    <t>WOS:000467403500013</t>
  </si>
  <si>
    <t>Forstmeier, W</t>
  </si>
  <si>
    <t>Female resistance to male seduction in zebra finches</t>
  </si>
  <si>
    <t>A recent revival of the theory of sexual conflict leads to new interest in the question of how much females control copulation. Using the zebra finch, Taeniopygia guttata, as a model, I investigated the mechanisms with which males tried to persuade females to copulate with them. Analysing the outcome of a large number of experimental male-female encounters, I concluded that apart from some effect of male choosiness (preference for certain females), females were fully in control of copulation. Males did not differ in their abilities to overcome female resistance, either in terms of sensory exploitation (variation in ornamentation and display) or coercion (use of aggression). Variation in beak colour had no influence on male mating success, but male song rate may be a sexually selected trait: males that sang more frequently obtained more copulations, but this was because other males missed opportunities by not even attempting to display to females. Whenever a male started displaying, female responsiveness, and hence male copulatory success, was not influenced by how persistently he sang. These findings support a theory of chase-away sexual selection, rather than a good-genes theory, which has typically been invoked to explain variation in male song rate. Between-individual differences in male song rate may reflect alternative reproductive strategies (mating effort versus parental effort) rather than variation in male quality. Finally, I found marked differences in sexual responsiveness between females, which is not anticipated by current models of sexual selection and hence urges further investigation. (C) 2004 The Association for the Study of Animal Behaviour. Published by Elsevier Ltd. All rights reserved.</t>
  </si>
  <si>
    <t>10.1016/j.anbehav.2004.02.003</t>
  </si>
  <si>
    <t>WOS:000225064400004</t>
  </si>
  <si>
    <t>Van Gossum, H; Beirinckx, K; Forbes, MR; Sherratt, TN</t>
  </si>
  <si>
    <t>Van Gossum, Hans; Beirinckx, Kirsten; Forbes, Mark R.; Sherratt, Thomas N.</t>
  </si>
  <si>
    <t>Reproductive interference between Nehalennia damselfly species</t>
  </si>
  <si>
    <t>We tested the hypotheses that reproductive interference between 2 congeneric damselfly species influences their local population densities and the female morph ratios in one of the species. Nehalennia irene has 2 female types (andromorph and gynomorph), whereas N. gracilis exhibits only one female type. Andromorphic N. irene females not only resemble conspecific males in body coloration, but also resemble heterospecific females of N. gracilis. We predicted male N. irene to be most attracted to gynomorphs of N. irene and male N. gracilis to be least attracted to them. Further, if N. gracilis males harass andromorphic N. irene females excessively, then they may reduce andromorph frequencies of N. irene locally. Our results indicate hybridization to be prevented by a lock-and-key mechanism, but male N. irene often attempt mating with female N. gracilis. Contrary to prediction, andromorph frequency in N. irene did not depend on whether N. irene populations were in sympatry or allopatry with N. gracilis. As predicted, N. irene males attempted tandem formation most frequently with conspecific gynomorphs, while N. gracilis males made most heterospecific tandem attempts on N. irene andromorphs. Collectively, our results suggest that N. gracilis females may be frequently harassed by N. irene males, and that this may help explain the relative rarity of N. gracilis.</t>
  </si>
  <si>
    <t>10.2980/1195-6860(2007)14[1:RIBNDS]2.0.CO;2</t>
  </si>
  <si>
    <t>WOS:000245364700001</t>
  </si>
  <si>
    <t>Carlin, JL</t>
  </si>
  <si>
    <t>Genetic and morphological differentiation between Eurycea longicauda longicauda and E-guttolineata (Caudata: Plethodontidae)</t>
  </si>
  <si>
    <t>The plethodontid salamander Eurycea guttolineata has been considered to be conspecific with E. longicauda. However, specimens from the putative zone of intergradation could be unequivocally identified as one taxon or the other by the presence of five fixed allozyme differences (out of 21 loci examined). A sixth fixed difference exists between the southernmost locality of E. l. longicauda and the northernmost locality of E. guttolineata. No introgression was observed at any of these six loci. Morphometric variation in preserved specimens (n = 530) of these taxa was slight and not readily attributable to any geographic or genetic pattern. Allozyme genotype was most concordant with the length of the longest mid-dorsal stripe. Other color pattern characters previously used to identify supposedly intergrade populations were found to be uninformative about genotype, Twelve specimens previously reported as intergrades fell within the range of phenotypic variation of allozymically identified E. l. longicauda. Therefore, the status of these individuals as hybrids is considered doubtful. The distribution of specimens classified by relative mid-dorsal stripe length within the supposed zone of intergradation indicates parapatry rather than a broad zone of sympatry or intergradation. Without support for intergrade specimens or a zone of intermediacy, and with the presence of six fixed differences between the closest localities of alternate species, E. guttolineata is considered to be a distinct species.</t>
  </si>
  <si>
    <t>WOS:A1997XC82700006</t>
  </si>
  <si>
    <t>Reimer, JD; Ono, S; Iwama, A; Tsukahara, J; Maruyama, T</t>
  </si>
  <si>
    <t>Reimer, James Davis; Ono, Shusuke; Iwama, Atsushi; Tsukahara, Junzo; Maruyama, Tadashi</t>
  </si>
  <si>
    <t>High levels of morphological variation despite close genetic relatedness between Zoanthus aff. vietnamensis and Zoanthus kuroshio (Anthozoa: Hexacorallia)</t>
  </si>
  <si>
    <t>Recent investigations into the encrusting anemone genus Zoanthus using molecular and morphological techniques have begun to bring order to this taxonomically neglected group. Previous studies have confirmed the existence of three distinct species present in southern Japan: Z. sansibaricus, Z. kuroshio, and Z. gigantus. Results from such studies show species of Zoanthus to be highly morphologically plastic, often incorporating morphotypes with varying oral disk color and oral disk diameter. Literature lists the species Z. aff. vietnamensis as occurring in southern Japan and throughout the western Pacific Ocean, but due to the morphological plasticity of Zoanthus species, a re-examination of Z. aff. vietnamensis using molecular techniques was needed. Here, using mitochondrial 16S rDNA and the nuclear internal transcribed spacer of ribosomal DNA (ITS-rDNA) sequences, as well as morphological data, we have examined several nominal Z aff. vietnamensis samples collected from Kagoshima Bay and Yakushima Island, Japan. Based on polyp length and diameter, oral disk diameter, mesentery and tentacle numbers, and colony form, Z. aff. vietnamensis is easily distinguishable from Z. sansibaricus, Z. kuroshio, and Z. gigantus. However, despite these clear morphological differences, our mitochondrial and nuclear sequence-based phylogenies indicate that Z. aff. vietnamensis and Z. kuroshio are very closely related (perhaps conspecific), highlighting the morphological plasticity of this genus and the difficulty of species identification based on morphological data alone.</t>
  </si>
  <si>
    <t>Reimer, James Davis/AAP-1331-2020</t>
  </si>
  <si>
    <t>10.2108/zsj.23.755</t>
  </si>
  <si>
    <t>WOS:000243556800002</t>
  </si>
  <si>
    <t>Ghisbain, G; Martinet, B; Wood, TJ; Przybyla, K; Cejas, D; Gérard, M; Rasmont, P; Monfared, A; Valterova, I; Michez, D</t>
  </si>
  <si>
    <t>Ghisbain, Guillaume; Martinet, Baptiste; Wood, Thomas J.; Przybyla, Kimberly; Cejas, Diego; Gerard, Maxence; Rasmont, Pierre; Monfared, Alireza; Valterova, Irena; Michez, Denis</t>
  </si>
  <si>
    <t>A worthy conservation target? Revising the status of the rarest bumblebee of Europe</t>
  </si>
  <si>
    <t>INSECT CONSERVATION AND DIVERSITY</t>
  </si>
  <si>
    <t>Against the context of global wildlife declines, targeted mitigation strategies have become critical to preserve what remains of biodiversity. However, the effective development of conservation tools in order to counteract these changes relies on unambiguous taxonomic determination and delineation. In this study, we focus on an endemic bumblebee species recorded only from the highest altitudes of the Sierra Nevada (Spain), Bombus reinigiellus (Rasmont, 1983). The species has the smallest range of any European bumblebee, along with a restricted diet and an inability to disperse because of its isolated montane distribution, making it an appropriate conservation target. However, through an integrative taxonomic approach including genetics, morphometrics and semio-chemistry, we demonstrate the conspecificity of this taxon with one of the most common and widespread bumblebee species of Europe, Bombus hortorum (L. 1761). We assign a subspecies status to this endemic taxon (Bombus hortorum reinigiellus comb. nov.) shown to be different in colour and morphology but also in wing shape and relative wing size compared to the other conspecific subspecies. Following our taxonomic revision, we reassessed the IUCN conservation status of Bombus hortorum both at the continental and Spanish scale. We then propose how historic climatic oscillations of the last Ice age could explain such a phenotypic divergence in a post-glacial refugium and highlight the critical role of establishing unambiguous taxonomic revision prior to any conservation assessment.</t>
  </si>
  <si>
    <t>Valterova, Irena/H-1823-2012; Ghisbain, Guillaume/ABB-8131-2021; Wood, Thomas/I-7025-2019; Wood, Thomas/GWZ-2481-2022; Michez, Denis/L-1370-2019; Monfared, Alireza/H-7640-2013</t>
  </si>
  <si>
    <t>Wood, Thomas/0000-0001-5653-224X; Wood, Thomas/0000-0001-8962-8571; Michez, Denis/0000-0001-8880-1838; Monfared, Alireza/0000-0002-4465-3228; Martinet, Baptiste/0000-0003-4369-8552; Ghisbain, Guillaume/0000-0003-2032-8081; Przybyla, Kimberly/0000-0001-9663-4179; Cejas, Diego/0000-0002-9980-6199; Gerard, Maxence/0000-0002-2485-0662</t>
  </si>
  <si>
    <t>1752-458X</t>
  </si>
  <si>
    <t>1752-4598</t>
  </si>
  <si>
    <t>10.1111/icad.12500</t>
  </si>
  <si>
    <t>WOS:000653231000001</t>
  </si>
  <si>
    <t>FOTHERINGHAM, JR; RATCLIFFE, L</t>
  </si>
  <si>
    <t>SONG DEGRADATION AND ESTIMATION OF ACOUSTIC DISTANCE IN BLACK-CAPPED CHICKADEES (PARUS-ATRICAPILLUS)</t>
  </si>
  <si>
    <t>Black-capped Chickadees (Pants atricapillus) sing a two-note song termed fee bee. Frequency descends within the fee note and between the fee and bee notes. Within-song frequency ratios are highly invariant, while among songs, absolute frequency is variable. We conducted sound-transmission studies to analyze how Black-capped Chickadee songs degrade in different native habitats. We then subjected colour-banded territorial males to playback of undegraded and degraded songs to see if they could estimate the distance to a conspecific singer by means of degradation cues. In transmission studies conducted in an open field and a dense deciduous forest, significant effects of reverberation and amplitude modulation were measured for songs at three different frequencies. A new technique, cross-correlation of song spectrograms, allowed for a measure of holistic song degradation, which varied significantly over distance in open versus forested habitat. Polynomial regressions for the effects of reverberation, amplitude modulation, and cross-correlation measures of general degradation revealed different trends in open versus forested habitat, regardless of absolute frequency. Male Black-capped Chickadees did not differ in their response to playback of undegraded and degraded songs when the two types were broadcast from the same position in the territory at the same amplitude. We suggest that heterogeneity of Black-capped Chickadee native habitat may preclude the use of song degradation as a reliable distance cue.</t>
  </si>
  <si>
    <t>10.1139/z95-101</t>
  </si>
  <si>
    <t>WOS:A1995RR09100006</t>
  </si>
  <si>
    <t>Mayo, GM; Austin, AD; Adams, M</t>
  </si>
  <si>
    <t>Morphological and electrophoretic taxonomy of the Australian eucalypt leaf-blister sawfly genus Phylacteophaga (Hymenoptera: Pergidae): a potential major pest group of eucalypts worldwide</t>
  </si>
  <si>
    <t>BULLETIN OF ENTOMOLOGICAL RESEARCH</t>
  </si>
  <si>
    <t>The taxonomic status of Phylacteophaga Froggatt is re-evaluated using the independent techniques of allozyme electrophoresis and detailed morphological comparison. Analysis of 45 scorable loci showed highly significant fixed differences (46-51%) among two currently recognized subspecies, P. eucalypti eucalypti Froggatt P. e. froggatti Riek, and a previously unrecognized taxon from Tasmania, demonstrating that they are different species. In addition to colour, significant variation is revealed among P. e. occidens Benson, P. rubida Riek and the three electrophoretically defined species, in body size, structure of the antennae, the shape of the crest, dorsal spines and saw teeth of the ovipositor, and in male genitalia. Based on these results there is substantial justification in recognizing P. occidens and P. rubida as separate species, distinct from P. eucalypti, P. froggatti, and P. amygdalini sp. n. Further, comparison of the holotype of P. e. tasmanica Riek shows it to be conspecific with the lectotype of P. eucalypti (designated here) so that the former species is considered a junior synonym. The distribution of P. eucalypti and P. froggatti is extended to include Tasmania, and a key is presented to distinguish the males and females of all five species. The biology and host plant relations of the species concerned are discussed, along with their pest status and potential to spread to other regions of the world where eucalypts are grown.</t>
  </si>
  <si>
    <t>0007-4853</t>
  </si>
  <si>
    <t>1475-2670</t>
  </si>
  <si>
    <t>10.1017/S0007485300038694</t>
  </si>
  <si>
    <t>WOS:A1997YL39300006</t>
  </si>
  <si>
    <t>Moravec, J</t>
  </si>
  <si>
    <t>Moravec, Jiri</t>
  </si>
  <si>
    <t>Taxonomic and nomenclatorial revision within the Neotropical genera of the subtribe Odontocheilina W. Horn in a new sense-22. Genus Cheilonycha Lacordaire, 1842 (Coleoptera: Cicindelidae)</t>
  </si>
  <si>
    <t>Taxonomic and nomenclatorial revision of the genus Cheilonycha Lacordaire, 1842 with type species Cheilonycha chalybea (by original monotypy), based on Cicindela chalybea Dejean, 1825, is presented. It is concluded here that a subsequent type designation by Horn (1910), who without any explanation mentioned Ch. auripennis (Lucas, 1857) as the type species of the genus, was unjustified and must be considered invalid according to ICZN (1999). Examinations of type specimens have revealed that Cheilonycha auripennis sensu auctorum (sensu Horn 1922 and subsequent authors) is a complex of taxa. As a result, one new subspecies of Ch. auripennis (Lucas, 1857) and one new species of the genus are described and the following taxa of Cheilonycha are recognized and presented here: Ch. chalybea (Dejean, 1825), Ch. a. auripennis (Lucas, 1857), Ch. a. chiquitosiana ssp. nov. and Ch. bucephalauripennis sp. nov. Type specimens of Ch. a. angustedilatata (W. Horn, 1922) based on Odontochila (Chilonycha) auripennis angustedilatata W. Horn, 1922, proved to be fully conspecific with the type specimens of Ch. auripennis based on Cicindela auripennis Lucas, 1857. Consequently, Ch. a. angustedilatata syn. nov. is treated here as a junior synonym of Ch. a. auripennis. The history of the taxonomy of these taxa, their distribution and biology, including photographs of the termitophilous habitat, relevant lectotype designations, descriptions (redescriptions respectively) and illustrations in colour photographs of the habitus, diagnostic characters and variability are provided.</t>
  </si>
  <si>
    <t>Moravec, jiri/0000-0001-5294-6410</t>
  </si>
  <si>
    <t>NOV 26</t>
  </si>
  <si>
    <t>10.11646/zootaxa.4700.4.9</t>
  </si>
  <si>
    <t>WOS:000498944700009</t>
  </si>
  <si>
    <t>Zhang, QH; Ma, JH; Yang, QQ; Byers, JA; Klein, MG; Zhao, FY; Luo, YQ</t>
  </si>
  <si>
    <t>Zhang, Qing-He; Ma, Jian-Hai; Yang, Qi-Qing; Byers, John A.; Klein, Michael G.; Zhao, Feng-Yu; Luo, You-Qing</t>
  </si>
  <si>
    <t>Olfactory and visual responses of the long-legged chafer Hoplia spectabilis Medvedev (Coleoptera: Scarabaeidae) in Qinghai Province, China</t>
  </si>
  <si>
    <t>BACKGROUND: Monitoring traps and control methods are needed for the long-legged chafer, Hoplia spectabilis Medvedev, which has recently reached outbreak numbers in pastureland of Qinghai Province, China. RESULTS: Field trapping experiments, using cross-pane funnel (barrier) traps, showed that H. spectabilis adults were not significantly attracted to branches of the host plant Dasiphora fructicosa (L.) Rydb. However, beetles were slightly attracted to similar host plant branches infested by conspecific beetles, possibly owing to weakly attractive volatiles, primarily (Z)-3-hexenyl acetate, released from beetle-damaged host leaves. This compound was weakly attractive when released from traps. However, H. spectabilis beetles showed strong visual responses to yellow-or white-painted trap panes, with weaker responses to blue, red or green panes, and least response to black panes. Black traps at 0.2-1.5 m above ground intercepted significantly more beetles than traps at 2.5 m. The mean flight height based on trap catches was 0.88 m (SD = 0.76), yielding an effective flight layer of 1.9 m. Flight response of beetles to colored barrier traps occurred between 10 : 00 and 18 : 00, and peaked between 12 : 00-14 : 00, when daily temperatures reached their maximum. CONCLUSION: Unbaited yellow or white cross-pane funnel traps are recommended for both monitoring and mass-trapping programs against this economically and ecologically important scarab beetle. (C) 2010 Society of Chemical Industry</t>
  </si>
  <si>
    <t>10.1002/ps.2045</t>
  </si>
  <si>
    <t>WOS:000286071200005</t>
  </si>
  <si>
    <t>Dias, RI; Manica, LT; Gressler, D; Bell, JA; Fecchio, A</t>
  </si>
  <si>
    <t>Dias, R. I.; Manica, L. T.; Gressler, D.; Bell, J. A.; Fecchio, A.</t>
  </si>
  <si>
    <t>Plumage coloration, body condition and immunological status in Yellow-billed Cardinals (Paroaria capitata)</t>
  </si>
  <si>
    <t>Plumage coloration deriving from carotenoid and melanin pigments can be a quality signal in birds, and can be under conspecific inspection in social interactions. For example, parasite load and immune system status can be inferred through plumage color intensity, and can influence the choice of sexual partners. Here, we evaluated two plumage ornaments in the Yellow-billed Cardinal [Paroaria capitata (d'Orbigny &amp; Lafresnaye 1837)]: the carotenoid-based coloration of the cap and the melanin-based coloration of the bib. We evaluated whether these ornaments were related to blood parasite burden, immunological status and body condition, and whether they could reveal individual sex and age. Cardinals were mist-netted in a Brazilian wetland, and 12 individuals were infected with malaria parasites. Both carotenoid and melanin colorations were related to age, but only carotenoids reflected immunological status. Adult cardinals presented redder caps and darker bibs in comparison to juveniles, and redder caps were associated with low values of heterophil to lymphocyte ratio (H/L, indicating lower stress level). Plumage coloration did not indicate individual sex or parasite infection. Taken together, these results demonstrated that both melanin- and carotenoid-based coloration in cardinals can potentially reflect significant information for social interactions, such as individual age and experience, but apparently only carotenoid coloration is condition-dependent and could reliably indicate quality.</t>
  </si>
  <si>
    <t>Fecchio, Alan/S-5868-2016; Dias, Raphael Igor da Silva Correa/IWM-5960-2023; Manica, Lilian/M-6222-2016; Bell, Jeffrey Andrew/Q-5057-2019; Dias, Raphael Igor/C-3155-2018</t>
  </si>
  <si>
    <t>Fecchio, Alan/0000-0002-7319-0234; Manica, Lilian/0000-0001-6005-7103; Bell, Jeffrey Andrew/0000-0001-9146-4318; Dias, Raphael Igor/0000-0002-6804-7409</t>
  </si>
  <si>
    <t>10.1080/03949370.2015.1077892</t>
  </si>
  <si>
    <t>WOS:000384547700009</t>
  </si>
  <si>
    <t>PROCTERGRAY, E; HOLMES, RT</t>
  </si>
  <si>
    <t>ADAPTIVE SIGNIFICANCE OF DELAYED ATTAINMENT OF PLUMAGE IN MALE AMERICAN REDSTARTS - TESTS OF 2 HYPOTHESES</t>
  </si>
  <si>
    <t>Delayed attainment of full adult plumage in certain passerine birds has been explained as resulting from selection for delayed maturation (Ficken et Ficken, 1967) or as a form of female mimicry, in which the young males gain access to suitable habitat by deceiving older males (Rohwer, et al., 1980). Predictions of these 2 hypotheses were tested by comparing the agonistic behavior, mating success and territory qualities of 1st year male American redstarts (S. ruticilla) in female-like plumage with those of older males possessing the more brightly-colored adult plumage. No significant differences were found between the 2 types of males in the form and frequency of agonistic interactions. Some 1st year males remained unmated, but the young males as a group fledged slightly more offspring per male than did the older males. First year males, on average, occupied different sectors of the forest, which contained higher foliage densities in the shrub layer, fewer conspecific neighbors and higher densities of the least flycatcher (Empidonax minimus), a socially-dominant competitor (Sherry, 1979). These findings are not consistent with either the delayed maturation or the female mimicry hypotheses regarding the adaptive significance of delayed plumage attainment. Female-like plumage may give young males some protection from predation, while older males may gain greater benefit from the territory signaling function of bright plumage.</t>
  </si>
  <si>
    <t>Procter-Gray, Elizabeth/K-1947-2019</t>
  </si>
  <si>
    <t>Procter-Gray, Elizabeth/0000-0001-5615-8438</t>
  </si>
  <si>
    <t>10.2307/2408244</t>
  </si>
  <si>
    <t>WOS:A1981LZ39300011</t>
  </si>
  <si>
    <t>Wilding, CS; Fletcher, N; Smith, EK; Prentis, P; Weedall, GD; Stewart, Z</t>
  </si>
  <si>
    <t>Wilding, Craig S.; Fletcher, Nicola; Smith, Eleanor K.; Prentis, Peter; Weedall, Gareth D.; Stewart, Zac</t>
  </si>
  <si>
    <t>The genome of the sea anemone Actinia equina (L.): Meiotic toolkit genes and the question of sexual reproduction</t>
  </si>
  <si>
    <t>MARINE GENOMICS</t>
  </si>
  <si>
    <t>The beadlet anemone Actinia equina (L.) (Cnidaria: Anthozoa: Actiniaria: Actiniidae) is one of the most familiar organisms of the North European intertidal zone. Once considered a single, morphologically variable species across northern Europe, it is now recognised as one member of a variable species complex. Previous studies of distribution, aggression, allozymes and mitochondrial DNA suggest that the diversity in form and colour within A. equina may hide still unrecognised species diversity. To empower further study of A. equina population genetics and systematics, we sequenced (PacBio Sequel) the genome of a single A. equina individual to produce a high-quality genome assembly (contig N-50 = 492,607 bp, 1485 contigs, number of protein coding genes = 47,671, 97% BUSCO completeness). There is debate as to whether A. equina reproduces solely asexually, since no reliable, consistent evidence of sexual reproduction has been found. To gain further insight, we examined the genome for evidence of a 'meiotic toolkit' - genes believed to be found consistently in sexually reproducing organisms - and demonstrate that the A. equina genome appears not to have this full complement. Additionally, Smudgeplot analysis, coupled with high haplotype diversity, indicates this genome assembly to be of ambiguous ploidy, suggesting that A. equina may not be diploid. The suggested polyploid nature of this species coupled with the deficiency in meiotic toolkit genes, indicates that further field and laboratory studies of this species is warranted to understand how this species reproduces and what role ploidy may play in speciation within this speciose genus.</t>
  </si>
  <si>
    <t>Wilding, Craig/C-5500-2012</t>
  </si>
  <si>
    <t>Wilding, Craig/0000-0001-5818-2706</t>
  </si>
  <si>
    <t>1874-7787</t>
  </si>
  <si>
    <t>1876-7478</t>
  </si>
  <si>
    <t>10.1016/j.margen.2020.100753</t>
  </si>
  <si>
    <t>WOS:000567844300003</t>
  </si>
  <si>
    <t>Yang, F; Chang, WC; Hayashi, F; Gillung, J; Jiang, YL; Yang, D; Liu, XY</t>
  </si>
  <si>
    <t>Yang, Fan; Chang, Wencheng; Hayashi, Fumio; Gillung, Jessica; Jiang, Yunlan; Yang, Ding; Liu, Xingyue</t>
  </si>
  <si>
    <t>Evolutionary history of the complex polymorphic dobsonfly genus Neoneuromus (Megaloptera: Corydalidae)</t>
  </si>
  <si>
    <t>The dobsonfly genus Neoneuromus van der Weele is endemic to the Oriental region. Species possess highly variable body and wing colouration and markings, not only among species but also among conspecific individuals of certain species. This stark polymorphism hinders accurate species identification, and obscures an undocumented species diversity as well as our understanding of the evolutionary history of this genus. We used multiple methods of molecular identification combined with morphological evidence to delimitate species, circumscribing a total of 13 species in Neoneuromus. Five new species are herein described: Neoneuromus indistinctus Liu, Hayashi &amp; Yang, sp.n., Neoneuromus maculatus Liu, Hayashi &amp; Yang, sp.n., Neoneuromus niger Liu, Hayashi &amp; Yang, sp.n., Neoneuromus similis Liu, Hayashi &amp; Yang, sp.n. and Neoneuromus vanderweelei Liu, Hayashi &amp; Yang, sp.n. The dated phylogeny with reconstructed ancestral areas indicates an initial divergence of Neoneuromus during the mid-Eocene. A broad area including northeastern India and northern Indochina could be a centre for early divergence of the genus, while complex dispersal and vicariance events dating from the late Eocene to the Pliocene probably shaped the present diversity and distribution of the genus. Our ancestral character state reconstruction suggests that the pale and dark colour forms among different species, or conspecifics, could evolve rapidly and that changes in colouration could be driven by species-specific mate recognition.</t>
  </si>
  <si>
    <t>Liu, Xingyue/A-3019-2013; Yang, Fei/JLM-3367-2023</t>
  </si>
  <si>
    <t>Liu, Xingyue/0000-0002-9168-0659;</t>
  </si>
  <si>
    <t>10.1111/syen.12287</t>
  </si>
  <si>
    <t>WOS:000434280000009</t>
  </si>
  <si>
    <t>Guzmán, B; Vargas, P</t>
  </si>
  <si>
    <t>Systematics, character evolution, and biogeography of Cistus L. (Cistaceae) based on ITS, trnL-trnF, and matK sequences</t>
  </si>
  <si>
    <t>This paper presents the first phylogenctic hypotheses for the 20 species of Cistus based on plastid (trnL-trnF, matK) and nuclear (ITS) DNA sequence data. Phylogenetic relationships reveal that: (1) Halimium and Cistus form a cohesive, natural group; (2) two major lineages of purple-flowered and white-flowered species are defined, except for the purple-flowered C parviflorus; (3) monophyly of conspecific populations is congruent with the Circumscription of species. Topological congruence between nuclear and plastid phylogenies does not Support a predominant reticulate system of evolution in Cistus. Reconstruction of character evolution Suggests all increment of number of fruit valves in the Cistaceae from 3 to 12 in a unidirectional manner. In contrast, reproductive characters, such as sepal number, petal color, and style length, evolved multiple times in the Course of evolution. A single colonization of Cistus into the Canary Islands appears to be responsible for a lineage Of four species sharing a, purple flowers, styles as long as stamens. and five fruit valves. Species diversity in most recent common ancestor with five sepals. Cistus (14) and Halimium (8), coupled With sister-group relationships and molecular divergence, lead us to suggest the western Mediterranean as a major center of present-day differentiation, but paleobotanical data indicate an earlier formation of the Cistus-Halimium assemblage in different areas. (c) 2005 Elsevier Inc. All rights reserved.</t>
  </si>
  <si>
    <t>Vargas, Pablo/0000-0003-4502-0382</t>
  </si>
  <si>
    <t>10.1016/j.ympev.2005.04.026</t>
  </si>
  <si>
    <t>WOS:000233658100002</t>
  </si>
  <si>
    <t>Kingma, SA; Szentirmai, I; Szekely, T; Bokony, V; Bleeker, M; Liker, A; Komdeur, J</t>
  </si>
  <si>
    <t>Kingma, Sjouke A.; Szentirmai, Istvan; Szekely, Tamas; Bokony, Veronika; Bleeker, Maarten; Liker, Andras; Komdeur, Jan</t>
  </si>
  <si>
    <t>Sexual selection and the function of a melanin-based plumage ornament in polygamous penduline tits Remiz pendulinus</t>
  </si>
  <si>
    <t>Melanin-based ornaments are often involved in signaling aggression and dominance, and their role in sexual selection is increasingly recognized. We investigated the functions of a melanin-based plumage ornament (facial 'mask') in male Eurasian penduline tits Remiz pendulinus in the contexts of male-male aggression, mating success, and parental care. The penduline tit is a passerine bird with a unique mating system in which both sexes may mate with several mates in a breeding season, and one (or both) parent deserts the clutch. Our study revealed that mask size of males is more likely an honest signal used by females in their mate choice decisions than a trait involved in male-male competition. First, mask size increased with both age and body condition, indicating that the mask may signal male quality. Second, males with larger masks paired more quickly and had more mates over the breeding season than males with smaller masks. Third, we found no evidence that male mask size signals male-male aggression or dominance during competitive encounters. The increased mating success of large-masked males, however, did not translate into higher reproductive success, as nestling survival decreased with mask size. Therefore, we conclude that there is either no directional selection on male mask size or males with larger masks receive indirect, long-term benefits.</t>
  </si>
  <si>
    <t>Komdeur, Jan/X-1261-2019; Bókony, Veronika/AAH-7679-2020; Kingma, Sjouke Anne/B-3366-2011; Szekely, Tamas/I-7089-2016</t>
  </si>
  <si>
    <t>Komdeur, Jan/0000-0002-9241-0124; Bókony, Veronika/0000-0002-2136-5346; Kingma, Sjouke Anne/0000-0002-6737-7975; Szekely, Tamas/0000-0003-2093-0056</t>
  </si>
  <si>
    <t>10.1007/s00265-008-0556-x</t>
  </si>
  <si>
    <t>WOS:000255851400007</t>
  </si>
  <si>
    <t>Ruther, J; Thiemann, K</t>
  </si>
  <si>
    <t>Response of the pollen beetle Meligethes aeneus to volatiles emitted by intact plants and conspecifics</t>
  </si>
  <si>
    <t>ENTOMOLOGIA EXPERIMENTALIS ET APPLICATA</t>
  </si>
  <si>
    <t>The response of the pollen beetle Meligethes aeneus Fab. (Coleoptera, Nitidulidae) to the volatiles of undamaged plants and conspecifics was tested in a Y-tube-olfactometer-bioassay. Beetles that had hibernated preferred significantly the volatiles emitted by their most important host plant, oilseed-rape (Brassica napus L. 'Lorar') in the early bud-stage. However, the odour emitted by rye (Secale cereale L.), tomato plants (Solanum lycopersicum L.), and yarrow (Achillea millefolium L.) were also attractive when tested against the corresponding growing-medium. Dock plants (Rumex obtusifolius L.) and touch-me-not (Impatiens parviflora L.) possessed no attractive properties. When tested against each other, oilseed-rape was preferred significantly by M. aeneus above all other plants, with the exception of tomato. The results indicate that M. aeneus is able to locate its host plant by olfactory stimuli in the early bud-stage, i.e. in that stage in which the infestation begins in the field and when the typical yellow colour and floral scent of oilseed-rape are absent. Female pollen beetles avoided significantly the volatiles emitted by female conspecifics and an ether extract of conspecifics of mixed sex, while volatiles from males had no significant effect on females. Furthermore, males showed no preferences when responding to conspecific odour in the olfactometer. These results suggest the existence of an epideictic pheromone for M. aeneus.</t>
  </si>
  <si>
    <t>Ruther, Joachim/AAE-3568-2019</t>
  </si>
  <si>
    <t>Ruther, Joachim/0000-0002-1295-347X</t>
  </si>
  <si>
    <t>0013-8703</t>
  </si>
  <si>
    <t>10.1046/j.1570-7458.1997.00213.x</t>
  </si>
  <si>
    <t>WOS:A1997XW62800009</t>
  </si>
  <si>
    <t>Immler, S; Pryke, SR; Birkhead, TR; Griffith, SC</t>
  </si>
  <si>
    <t>Immler, Simone; Pryke, Sarah R.; Birkhead, Tim R.; Griffith, Simon C.</t>
  </si>
  <si>
    <t>PRONOUNCED WITHIN-INDIVIDUAL PLASTICITY IN SPERM MORPHOMETRY ACROSS SOCIAL ENVIRONMENTS</t>
  </si>
  <si>
    <t>Sperm morphometry (i.e., size and shape) and function are important determinants of male reproductive success and are thought to be under stabilizing selection. However, recent studies suggest that sperm morphometry can be a phenotypically plastic trait, which can be adjusted to varying conditions. We tested whether different behavioral strategies in aggression between aggressive red and nonaggressive black males of the color polymorphic Gouldian finch (Erythrura gouldiae) can influence sperm morphometry. We show pronounced within-individual phenotypic plasticity in sperm morphometry of male Gouldian finches in three different social environments. Both red and black males placed in intermediate to high competitive environments (high frequency of red males) increased the relative length of their sperm midpiece. By contrast, red males placed in low to intermediate competitive environments (higher frequency of black males) increased the length of the sperm flagellum. Significant changes in stress and sex steroid hormone levels (in response to the competitive environment) appear to influence sperm traits in red but not in black males, suggesting that changes in hormonal levels are not solely responsible for the observed changes in sperm morphometry. These findings imply that males can adjust sperm morphometry across social environments.</t>
  </si>
  <si>
    <t>Griffith, Simon/AAH-3706-2021; Immler, Simone/A-1707-2014; Pryke, Sarah/G-7484-2011; Immler, Simone/F-8708-2014</t>
  </si>
  <si>
    <t>10.1111/j.1558-5646.2009.00924.x</t>
  </si>
  <si>
    <t>WOS:000278343200009</t>
  </si>
  <si>
    <t>Greig, EI; Baldassarre, DT; Webster, MS</t>
  </si>
  <si>
    <t>Greig, Emma I.; Baldassarre, Daniel T.; Webster, Michael S.</t>
  </si>
  <si>
    <t>Differential rates of phenotypic introgression are associated with male behavioral responses to multiple signals</t>
  </si>
  <si>
    <t>Sexual selection on multiple signals may lead to differential rates of signal introgression across hybrid zones if some signals contribute to reproductive isolation but others facilitate gene flow. Competition among males is one powerful form of sexual selection, but male behavioral responses to multiple traits have not been considered in a system where traits have introgressed differentially. Using playbacks, mounts, and a reciprocal experimental design, we tested the hypothesis that male responses to song and plumage in two subspecies of red-backed fairy-wren (Malurus melanocephalus) explain patterns of differential signal introgression (song has not introgressed, whereas plumage color has introgressed asymmetrically). We found that males of both subspecies discriminated symmetrically between subspecies' songs at a long range, but at a close range, we found that aggression was equal for both subspecies' plumage and songs. Taken together, our results suggest that male behavioral responses hinder the introgression of song, but allow for the observed asymmetrical introgression of plumage. Our results highlight how behavioral responses are a key component of signal evolution when recently divergent taxa come together, and how differential responses to multiple signals may lead to differential signal introgression and novel trait combinations.</t>
  </si>
  <si>
    <t>10.1111/evo.12756</t>
  </si>
  <si>
    <t>WOS:000362970600006</t>
  </si>
  <si>
    <t>O'Connor, KI; Metcalfe, NB; Taylor, AC</t>
  </si>
  <si>
    <t>Does darkening signal submission in territorial contests between juvenile Atlantic salmon, Salmo salar?</t>
  </si>
  <si>
    <t>Communication by means of visual signals occurs during the competitive, aggressive and sexual interactions of many animals. Some animals such as fish are able to change their body coloration rapidly, and there is evidence that this is used as a means of signalling. However, the precise meaning of such signals is rarely understood. We examined whether (1) darkness in juvenile Atlantic salmon is associated with submission, and (2) changing to a darker colour could act as a signal to the opponent and hence induce a change in its behaviour. We found that both the sclera of the eye and the overall body coloration tended to darken in fish that were losing territorial encounters, while victors retained their original coloration. The darkening was rapid and usually occurred during a period of sustained attacks by the opponent; however, the aggression level decreased as soon as the losing fish had become darker. We suggest that the darkening of the losing fish was associated with submission and may result in a change in the behaviour of its opponent, so minimizing the potential risk of injury during unnecessarily prolonged fights. (C) 1999 The Association for the study of Animal Behaviour.</t>
  </si>
  <si>
    <t>Metcalfe, Neil B./0000-0002-1970-9349</t>
  </si>
  <si>
    <t>10.1006/anbe.1999.1260</t>
  </si>
  <si>
    <t>WOS:000085094300014</t>
  </si>
  <si>
    <t>Pusiak, RJP; Auld, HL; Godin, JGJ</t>
  </si>
  <si>
    <t>Pusiak, Ryan J. P.; Auld, Heather L.; Godin, Jean-Guy J.</t>
  </si>
  <si>
    <t>Relative sexual attractiveness does not influence mate-choice copying in male Trinidadian guppies, Poecilia reticulata</t>
  </si>
  <si>
    <t>Copying the mate choice of another conspecific by a bystanding observer is a socially mediated alternative mating strategy to independent mate choice. Because increased sperm competition is a potential cost of mate-choice copying, males should be prudent and less likely to copy the observed mate choice of other males when the latter are more sexually attractive than themselves. We tested this hypothesis using the Trinidadian guppy, Poecilia reticulata. Focal observer males were simultaneously presented with a large and a small female as potential mates, either in the presence or absence of a nearby model male. We varied the relative differences in the body length and colour ornamentation, traits that predict male sexual attractiveness and competitiveness in the guppy, of observer and model males in each of three experimental treatments: (1) observer and model males were matched for body length and colour ornamentation; (2) the model male was larger and more colourful than the observer male; (3) the model male was smaller and less colourful than the observer male. We compared the mating preferences of focal observer males in each of the latter treatments with that of focal males in a control treatment, wherein no model male (and thus no copying opportunity) was present. As predicted, focal males copied the staged apparent mate choice of a model male in all three experimental treatments, but not in the control treatment. However, contrary to our a priori hypothesis, there were no significant differences in the likelihood or strength of the copying response in observer males among the experimental treatments. Although male guppies are known to modify their mating tactics in the presence of sexual competitors, we found no evidence for an influence of the relative phenotypes of observer and model males on mate-choice copying behaviour in focal observer males. (C) 2020 The Association for the Study of Animal Behaviour. Published by Elsevier Ltd. All rights reserved.</t>
  </si>
  <si>
    <t>Godin, Jean-Guy/0000-0001-8465-1721</t>
  </si>
  <si>
    <t>10.1016/j.anbehav.2020.02.008</t>
  </si>
  <si>
    <t>WOS:000522974300013</t>
  </si>
  <si>
    <t>Gavriilidi, I; Baeckens, S; De Meester, G; Van Linden, L; Van Damme, R</t>
  </si>
  <si>
    <t>Gavriilidi, Ioanna; Baeckens, Simon; De Meester, Gilles; Van Linden, Lisa; Van Damme, Raoul</t>
  </si>
  <si>
    <t>The gullible genius: fast learners fall for fake news</t>
  </si>
  <si>
    <t>In many animals, decision-making is influenced by social learning, i.e. the acquisition of insights through the observation of other individuals' behaviours. In cases where such socially obtained information conflicts with personally acquired knowledge, animals must weigh up one form of information against the other. Previous studies have found that individual animals differ consistently in how they trade-off socially versus personally acquired knowledge, but why this is so remains poorly understood. Here, we investigate whether an animal's cognitive profile affects its decision to use either prior personal or new, conflicting social information, using the Italian wall lizard (Podarcis siculus) as our model species. We trained lizards to associate one of two colour cues with food, and subsequently allowed them to observe a conspecific trained for the opposite colour. After social demonstrations, lizards overall tended to use the 'fake', non-rewarding social information, but some individuals were more likely to do so than others. Lizards that showed faster spatial learning were more likely to copy social information even in the presence of reliable previous knowledge. Our study highlights the existence of significant inter-individual variation in social learning in a lizard, possibly mirroring variation in cognitive abilities. Significance statement Animals often use social information in daily decision-making. Whenever knowledge obtained through personal experience conflicts with observations of decisions made by conspecifics, individuals must weigh these two types of information against each other. Individuals tend to differ in whether they prioritize social versus private information, but why this is so, remains poorly understood. Using lizards, we tested whether an animal's cognitive profile affects its decision to use either prior personal or new, conflicting social information. We found considerable variation among individuals in social information use and tendency to rely on personal or public knowledge. Specifically, faster spatial learners inclined to copy social information, even in the presence of reliable previous knowledge, suggesting that intrinsic, cognitive aspects influence how individuals trade-off public and private information.</t>
  </si>
  <si>
    <t>Van Damme, Raoul/AFQ-1065-2022; Baeckens, Simon/F-2645-2016; De Meester, Gilles/GPT-4783-2022; De Meester, Gilles/AAB-4242-2020; De Meester, Gilles/GRR-6370-2022</t>
  </si>
  <si>
    <t>Baeckens, Simon/0000-0003-2189-9548; De Meester, Gilles/0000-0001-7051-9957; De Meester, Gilles/0000-0001-7051-9957; De Meester, Gilles/0000-0001-7051-9957; Gavriilidi, Ioanna/0000-0003-1035-1931; Van Linden, Lisa/0000-0002-8328-5130</t>
  </si>
  <si>
    <t>10.1007/s00265-021-03122-0</t>
  </si>
  <si>
    <t>WOS:000736712500001</t>
  </si>
  <si>
    <t>MUMA, KE; WEATHERHEAD, PJ</t>
  </si>
  <si>
    <t>MALE TRAITS EXPRESSED IN FEMALES - DIRECT OR INDIRECT SEXUAL SELECTION</t>
  </si>
  <si>
    <t>Colored epaulets in female red-winged blackbirds (Agelaius phoeniceus) could be due either to direct sexual selection favoring the maintenance of this trait in females due to intrasexual competition for breeding opportunities, or to sexual selection favoring bright epaulets in males indirectly causing expression of the trait in females by genetic correlation. Older females tend to be brighter than younger females. Also, brighter females tend to breed earlier in the season than dull females. These patterns are consistent with both of the hypotheses. In a series of experiments in which males and females were presented with taxidermic mounts of dull and bright females, the plumage of these mounts had no influence on the response of either males or females. Also, the response of females was independent of their own plumage. The results of all of the experiments consistently supported the interpretation that male plumage characteristics expressed in female redwinged blackbirds have no functional value and are a consequence of genetic correlation with males. Since recent studies have also indicated that female aggression has no functional value, we speculate that this too could be due to genetic correlation with a trait favored in males.</t>
  </si>
  <si>
    <t>10.1007/BF00299707</t>
  </si>
  <si>
    <t>WOS:A1989AJ00400003</t>
  </si>
  <si>
    <t>Colton, S; Fraley, GS</t>
  </si>
  <si>
    <t>Colton, S.; Fraley, G. S.</t>
  </si>
  <si>
    <t>The effects of environmental enrichment devices on feather picking in commercially housed Pekin ducks</t>
  </si>
  <si>
    <t>Like other poultry species, Pekin ducks occasionally show an auto-mutilation behavior referred to as feather picking. Self-picking can lead to further pecking by conspecifics and ultimately to reduced feather quality and poor overall health of the bird. Although the reasons underlying feather picking are not clear, it appears to occur when the ducks are transitioning between downy feathers and adult plumage, between 17 and 22 d of age. We hypothesized that giving Pekin ducks a substitute outlet for this behavior in the form of environmental enrichment devices (EED) would decrease feather picking and improve feather quality and duck health and welfare. The EED were plastic Wiffle-style balls, each threaded with 4 zip-ties. In the first experiment, we set out to determine that placement of EED would not induce fear or harmful behaviors. Five barns were each divided into 2 pens, holding an average combined total of approximately 4,500 ducks with one pen per barn used as control. Upon placement of the EED in one pen per barn, both pens were videotaped for a total of 2 h per day. The physical characteristics of 100 ducks per pen were scored at age 7, 21, 28, and 35. Results showed a decrease (P = 0.034) in both self-picking and conspecific-pecking in pens with EED compared with pens without EED. Although no differences in body condition scores were observed at 7 d of age, by d 21 ducks with EED showed better (P = 0.021) feather quality and cleanliness scores compared with ducks without EED. In a second experiment, we set out to determine if ducks had a color preference for blue/green, red, or white EED. Again, ducks with EED showed reduced (P = 0.038) feather picking compared with ducks without EED. Ducks interacted considerably more (P = 0.00089) frequently with blue/green EED then either red or white EED. These results suggest that providing environmental enrichment may minimize feather picking and improve feather quality and duck welfare.</t>
  </si>
  <si>
    <t>1525-3171</t>
  </si>
  <si>
    <t>10.3382/ps.2014-03885</t>
  </si>
  <si>
    <t>WOS:000341309600001</t>
  </si>
  <si>
    <t>Ballester-Torres, I; Ricarte, A; Nedeljkovic, Z; Marcos-Garcia, MA</t>
  </si>
  <si>
    <t>Ballester-Torres, Ivan; Ricarte, Antonio; Nedeljkovic, Zorica; Marcos-Garcia, M. Angeles</t>
  </si>
  <si>
    <t>High Phenotypic Diversity Does Not Always Hide Taxonomic Diversity: A Study Case with Cheilosia soror (Zetterstedt, 1843) (Diptera: Syrphidae) in the Iberian Peninsula</t>
  </si>
  <si>
    <t>Comprising nearly 500 species worldwide, Cheilosia Meigen is the largest genus of Syrphidae in the Palaearctic region. Within Cheilosia, phenotypic diversity has been assessed in different species groups, including the group of Cheilosia longula (Zetterstedt, 1838). However, the phenotypic variability of Cheilosia soror (Zetterstedt, 1843), a highly variable member of the C. longula group, has never been assessed in western Europe. In the present work, morphological and molecular analyses were conducted to assess the phenotypic variability found in 300+ specimens of C. soror from the Iberian Peninsula. A total of 16 variable characters were identified and defined for the C. soror morphology, with the highest variation found in the colour of the mesonotum pilosity and the metatibia colour. Morphological variation was assessed against molecular variation based on two molecular markers, one mitochondrial, the 5 &amp; PRIME; end of the cytochrome c oxidase subunit I (COI-5 ' ), and one nuclear, the large subunit ribosomal DNA (28S). Phylogenetic analyses rendered trees with topologies in disagreement with the defined morphological variation. Two haplotypes were identified amongst the analysed specimens of C. soror, together with a haplotypic variant exclusive to the Iberian region. Potential distributions were used to identify unexplored areas of occurrence of C. soror and other species of the C. longula group in the Iberian Peninsula. Unassessed areas of occurrence of C. soror should be surveyed in the future to confirm the absence of hidden taxonomic diversity within the range of phenotypic variation for this species. Phenotypic variation of the other two Iberian species of the C. longula group, C. longula and C. scutellata (Fallen, 1817), was also assessed to find that they are species with less-variable morphology than C. soror and with molecular characters in accordance with other conspecific populations in Europe. New distributional data are provided for C. soror and C. scutellata from Spain, and a leg abnormality is identified for the first time in C. soror.</t>
  </si>
  <si>
    <t>Ricarte, Antonio/S-4483-2016; Marcos-Garcia, M. Angeles/H-7925-2015</t>
  </si>
  <si>
    <t>Ricarte, Antonio/0000-0003-2298-981X; Ballester-Torres, Ivan/0000-0001-6820-2184; Marcos-Garcia, M. Angeles/0000-0002-2439-2630</t>
  </si>
  <si>
    <t>DEC 17</t>
  </si>
  <si>
    <t>10.1155/2022/8378483</t>
  </si>
  <si>
    <t>WOS:000903811100001</t>
  </si>
  <si>
    <t>BAEYENS, G</t>
  </si>
  <si>
    <t>DESCRIPTION OF THE SOCIAL-BEHAVIOR OF THE MAGPIE (PICA-PICA)</t>
  </si>
  <si>
    <t>A description of social behavior of magpies is presented based on a 5 yr study on a resident color marked population. An ethogram is presented, wherein postures, movements, vocalizations and feather positions are discerned and their combinations in different contexts are described. Aggression, escape and submission, pair-formation and pair-maintenance are discussed. The differences in behavior between adults and juveniles and between males and females are given and indicate that sex can be distinguished on behavioral criteria in spring. Outside the breeding season sex determination can only occur if certain behavior types are observed in adult birds. Since it is not always possible to distinguish adults from juveniles with certainty, some caution in assessing sex must be taken. The social interactions in ceremonial gatherings could be interpreted because the status of the birds taking part was known. Usually these gatherings originate as conflicts between territory owners and individuals attempting to establish a territory, or between the latter mutually. Although pair-formation behavior is often seen in the gatherings, only 1 of 65 observed gatherings resulted in the establishment of a new pair-bond.</t>
  </si>
  <si>
    <t>WOS:A1979JH79300004</t>
  </si>
  <si>
    <t>Kasparek, M</t>
  </si>
  <si>
    <t>Kasparek, Max</t>
  </si>
  <si>
    <t>So different but nonetheless the same species: multiple geographic clines explain the diverse forms of the anthidiine bee Rhodanthidium caturigense s.l. (Apoidea: Megachilidae: Anthidiini)</t>
  </si>
  <si>
    <t>ORGANISMS DIVERSITY &amp; EVOLUTION</t>
  </si>
  <si>
    <t>The name Rhodanthidium caturigense (s.l.) combines several similar taxa which have been described on the level of form, subspecies or species and which occur in an area which extends from Iran in the south-east, across the Alps in the north and to the Iberian Peninsula in the west. A detailed quantitative assessment of 17 parameters describing the colour pattern reveals that it follows a smooth geographical cline, with rich yellow coloration in the south being gradually replaced by more melanic colorations in the north. The correlation between geographic latitude and colour scores follows a linear pattern and is highly significant in both sexes (p &lt; 0.0001). In addition, the body size also increases with the geographic latitude, also following a linear trend (p &lt; 0.001). Females in the northernmost population are on average 7.0% and males 19.1% larger than those in the southernmost populations. Some morphological features such as the shape of the male clypeus and the form of the axillae are also subject to variation along a south-north cline. Finally, while there is no sexual size dimorphism in the southernmost populations (size difference, p &gt; 0.05), the males are on average 9.7% larger than the females in the northernmost populations (p &lt; 0.0001). These multiple clinal variations result in geographic forms which are often easily distinguishable from each other but need to be regarded as conspecific because of the gradual character change. Additional evidence that all these forms belong to the same species was obtained from sequencing the mitochondrial CO1 gene. The pairwise genetic distance between specimens from various populations is 1.42% with a maximum of 2.7%, and all specimens are allocated to the same Barcode Index Number (BIN) as established by the Barcode of Life Data System based on algorithms that do not use prior taxonomic knowledge. Rhodanthidium caturigense herewith turns out to be a species with high phenotypic plasticity and apparently a high epigenetic capacity to adapt to certain environmental conditions, not based on genotypic selection mechanisms.</t>
  </si>
  <si>
    <t>1439-6092</t>
  </si>
  <si>
    <t>1618-1077</t>
  </si>
  <si>
    <t>10.1007/s13127-021-00510-2</t>
  </si>
  <si>
    <t>WOS:000702265500001</t>
  </si>
  <si>
    <t>Popovic, M; Golubovic, A; Nowicki, P</t>
  </si>
  <si>
    <t>Popovic, Milos; Golubovic, Ana; Nowicki, Piotr</t>
  </si>
  <si>
    <t>Intersexual Differences in Behaviour and Resource Use of Specialist Phengaris teleius Butterflies</t>
  </si>
  <si>
    <t>Simple Summary In this study, we compared intersexual differences in behaviour and resource use of well-known Scarce Large Blue butterflies. The results indicated that females take short, but exceptionally regular flights, exploring available resources for oviposition. Males took longer, less regular flights, characterised by frequent interactions in search for receptive females. Interestingly, interactions between conspecific butterflies of the investigated species lasted significantly longer than with other species, especially when different sexes were involved. This suggests that individuals were able to quickly and efficiently recognise potential mating partners. Finally, the focal species showed strong association with its larval host plant while resting and nectaring, and less so with other plants with similarly coloured and shaped flowers. Females were particularly strongly restricted to the larval host plant, which provides some evidence that their sensory system shows neural limitation towards this valuable resource. Although the behaviour of the Large Blue butterflies of the genus Phengaris (= Maculinea) is relatively well studied, most empirical data come from investigations of their dispersal and oviposition. Here, we assessed overall intersexual differences in resource use by tracking Phengaris teleius (Bergstrasser, 1779) individuals and recording the duration of their behaviours. Females were characterised by frequent, short flights, and devoted more time to resting and oviposition. Males engaged in numerous, but usually short interactions, and spent most of the time in flight exploring their surroundings for receptive females. Their average flight time was significantly longer compared to females. Average feeding time did not differ between the sexes but was shorter when butterflies were feeding on Sanguisorba officinalis L. Intraspecific interactions within P. teleius were three times longer than those with other insect species, and interactions between sexes were particularly long lasting. Significantly shorter interspecific interactions imply that butterflies can easily recognise conspecifics and differentiate between sexes, which offers obvious fitness benefits. Both sexes, but especially females, showed strong association with their larval host plant, and less so with other flowers of similar colour and shape. Females predominantly used their host plant for feeding, which possibly indicates neuro-sensory constraints towards this resource.</t>
  </si>
  <si>
    <t>Nowicki, Piotr/AFP-2530-2022</t>
  </si>
  <si>
    <t>Golubovic, Ana/0000-0003-2155-5040; Popovic, Milos/0000-0003-0887-6683; Nowicki, Piotr/0000-0002-9797-886X</t>
  </si>
  <si>
    <t>10.3390/insects13030262</t>
  </si>
  <si>
    <t>WOS:000775202600001</t>
  </si>
  <si>
    <t>Cummings, ME; Jordao, JM; Cronin, TW; Oliveira, RF</t>
  </si>
  <si>
    <t>Cummings, Molly E.; Jordao, Joana M.; Cronin, Thomas W.; Oliveira, Rui F.</t>
  </si>
  <si>
    <t>Visual ecology of the fiddler crab, Uca tangeri:: effects of sex, viewer and background on conspicuousness</t>
  </si>
  <si>
    <t>We investigated the visual ecology of the coloration of the eastern Atlantic fiddler crab, Uca tangeri, with particular attention to predator (e.g. avian) and conspecific vision. Spectral reflectance measurements were made on different body parts used in possible intraspecific communication as well as background habitats including crab-made materials (e.g. mudballs). Avian-based and crab-based visual models were used to obtain different estimates of crab conspicuousness to potential predators and conspecifics. We found that male body parts (except for dorsal carapace) were significantly more conspicuous to conspecific viewers than female equivalent body parts, and showed greater within-body contrast estimates. Moreover, male major claw areas differed in reflectance properties, producing variation in conspicuousness that fit signalling predictions: areas visible during claw-waving events were most conspicuous against the background sky, whereas areas visible in nonwaving positions were more conspicuous against substrate backgrounds. For avian vision, sexually dimorphic coloration results in males being generally more conspicuous than females (in terms of brightness contrast) against all backgrounds, however, there was no sexual dimorphic conspicuousness of carapace coloration. Furthermore, one of the most conspicuous features of both male and female crabs is an area that is likely to be more visible to crabs (mouthparts) than to avian predators from above. While conspicuousness varies with background, the most conspicuous background for male signalling parts (major claw) is dark mudballs, suggesting that males may increase the conspicuousness of their signals by modifying their signalling environment. (C) 2007 The Association for the Study of Animal Behaviour. Published by Elsevier Ltd. All rights reserved.</t>
  </si>
  <si>
    <t>Oliveira, Rui/A-3581-2013</t>
  </si>
  <si>
    <t>Oliveira, Rui/0000-0003-1528-618X</t>
  </si>
  <si>
    <t>10.1016/j.anbehav.2007.04.016</t>
  </si>
  <si>
    <t>WOS:000252710000021</t>
  </si>
  <si>
    <t>Baird, TA</t>
  </si>
  <si>
    <t>Baird, Troy A.</t>
  </si>
  <si>
    <t>Male collared lizards, Crotaphytus collaris (Sauria: Crotaphytidae), signal females by broadcasting visual displays</t>
  </si>
  <si>
    <t>The signalling function of displays broadcast when animals are distant from conspecifics can be difficult to determine. I tested the extent to which visually transmitted broadcast displays given by free-ranging territorial male collared lizards signalled same-sex rivals or females. One test involved recording the frequency of broadcast displays, aggressive contests with rivals, and courtship encounters with females during ten reproductive seasons when local sex ratios varied markedly. The frequency of broadcast displays decreased as the ratio of male competitors to females increased. The frequency with which males initiated contests with rivals was not related to the ratio of competitors to females, whereas the frequency of courtship interactions decreased with sex ratio because there were fewer females to court. The behaviour of males that defended territories during two successive seasons showed a similar pattern. Broadcast display frequency was positively correlated with courtship frequency, but not with the frequency of contests with rivals. Lastly, individual males gave more broadcast displays during focal observations when they also engaged in courtship encounters with females than other observations when they engaged in aggressive conflicts with rival males. Although these results do not reject the possibility that broadcast displays may also signal male rivals, they support a major role of these displays in advertisement to females.(c) 2013 The Linnean Society of London, Biological Journal of the Linnean Society, 2013, 108, 636-646.</t>
  </si>
  <si>
    <t>10.1111/bij.12003</t>
  </si>
  <si>
    <t>WOS:000315120300013</t>
  </si>
  <si>
    <t>Cox, JA; Jones, CD</t>
  </si>
  <si>
    <t>Cox, James A.; Jones, Clark D.</t>
  </si>
  <si>
    <t>INFLUENCE OF PRESCRIBED FIRE ON WINTER ABUNDANCE OF BACHMAN'S SPARROW</t>
  </si>
  <si>
    <t>Prescribed fire is used extensively to manage breeding habitat for Bachman's Sparrow (Aimophila aestivalis), but little is known about the effects of prescribed fire on winter habitat requirements. We used conspecific recordings in conjunction with point counts to assess relationships between winter sparrow abundance and use of prescribed fire. Counts of sparrows conducted over three winters were higher (0.59 +/- 1.42) ((x) over bar +/- SD) when surrounding vegetation was burned the previous breeding season than in areas burned &gt;18 months earlier (0.27 +/- 0.38). Year-to-year abundance estimates for individual stations increased an average of 0.39 (+/- 0.54) individuals per count when surrounding vegetation was burned the previous breeding season and decreased 0.22 (+/- 0.59) individuals per count when vegetation was not burned. Sparrow counts were positively correlated with percent bare ground cover surrounding census stations and negatively correlated with increases in percent grass cover, grass standing crop, height of grass, and shrubs &lt;1 m in height. Prescribed tire may improve winter foraging conditions for this ground-dwelling species by reducing dense grass cover at ground level. Increased flowering responses that many dominant plants exhibit following burns also may improve winter food resources. We observed color-marked birds (n = 18) in the same areas used during the breeding season and confirmed the maintenance of year-round home ranges by some individuals. Received 22 September 2007. Accepted 30 September 2008.</t>
  </si>
  <si>
    <t>10.1676/07-138.1</t>
  </si>
  <si>
    <t>WOS:000276803600015</t>
  </si>
  <si>
    <t>Godin, JGJ; Herdman, EJE; Dugatkin, LA</t>
  </si>
  <si>
    <t>Social influences on female mate choice in the guppy, Poecilia reticulata:: generalized and repeatable trait-copying behaviour</t>
  </si>
  <si>
    <t>In vertebrates, the mating preferences of individual females can be flexible and the probability of a female mating with a particular male can be significantly increased by her having previously observed another conspecific female affiliate and mate with that same male. In theory, such mate-choice-copying behaviour has potentially important consequences for both the genetic and social ('cultural') transmission of female mating preferences. For copying to result in the 'cultural inheritance' of mating preferences, individual females must not only copy the mate choice decisions of other females but they also should tend to repeat this type of behaviour (i.e. make similar mating decisions) subsequently and to generalize their socially induced preference for a particular male to other males that share his distinctive characteristics. Here, we show experimentally that individual female guppies, Poecilia reticulata, not only copy the observed mating preferences of other females for particular males, but that the preference now assumed via copying is subsequently repeated and generalized to other males of a similar colour phenotype. These results provide empirical evidence for social enhancement of female preference for particular phenotypic traits of chosen males rather than for the particular males possessing those traits, and thus have important implications for our understanding of the role of social learning in the evolution of female mating preferences and of male epigamic traits. (c) 2005 The Association for the Study of Animal Behaviour. Published by Elsevier Ltd. All rights reserved.</t>
  </si>
  <si>
    <t>10.1016/j.anbehav.2004.07.016</t>
  </si>
  <si>
    <t>WOS:000228511900028</t>
  </si>
  <si>
    <t>Dion, P; de Reviers, B; Coat, G</t>
  </si>
  <si>
    <t>Ulva armoricana sp. nov. (Ulvales, Chlorophyta) from the coasts of Brittany (France). I. Morphological identification</t>
  </si>
  <si>
    <t>EUROPEAN JOURNAL OF PHYCOLOGY</t>
  </si>
  <si>
    <t>Ulva armoricana sp. nov. is described from the coast of Brittany, France, using the taxonomic criteria established by Bliding, Koeman and van den Hoek for the European species of Ulva. Morphological evidence strongly suggests that Ulva armoricana is conspecific with the free-living Ulva populations responsible for the 'green tide' phenomenon that occurs at some eutrophicated sites in North Brittany. Blades of U. armoricana are variable in shape, fragile, easily tom, and 30-55 mu m thick in middle and apical regions; they differ from those of U. olivascens by their pale green colour and from those of Ulva lactuca, U, rotundata, U. gigantea, U. pseudocurvata and U. curvata by their crumpled texture that creates an irregular light-reflecting surface, and by the presence of tooth-like protuberances at the margin of the blade. U. armoricana differs from U, scandinavica in having longitudinal ribs containing closely packed bundles of rhizoids, except in the youngest thalli. U. armoricana can be discriminated from U. rigida by the polygonal (never rounded) cells in the mid-thallus region, and quadrangular cells arranged in small longitudinal rows in rapidly growing parts-Pyrenoid number, 1-2 (3-4), overlaps with that of other species, and shape of non-rhizoidal cells of the basal region in transverse sections, either oval or with tapered ends, appears not to be a good taxonomic character. Herbarium data indicate that the species has been collected in northern France since at least 1869, but was previously unrecognized.</t>
  </si>
  <si>
    <t>0967-0262</t>
  </si>
  <si>
    <t>10.1017/S0967026298001607</t>
  </si>
  <si>
    <t>WOS:000073192900008</t>
  </si>
  <si>
    <t>MATSUOKA, N; HATANAKA, T</t>
  </si>
  <si>
    <t>MOLECULAR EVIDENCE FOR THE EXISTENCE OF 4 SIBLING SPECIES WITHIN THE SEA-URCHIN, ECHINOMETRA-MATHAEI IN JAPANESE WATERS AND THEIR EVOLUTIONARY RELATIONSHIPS</t>
  </si>
  <si>
    <t>Four different types of the sea-urchin, Echinometra mathaei (Blainville) which are distinguishable by several characters such as color pattern of spines are observed abundantly on Okinawan reef flats, southern Japan. Their taxonomic, genetic and evolutionary relationships were examined by enzyme electrophoresis. The allozyme studies demonstrated that the four types of sea-urchins designated as Types A, B, C and D do not share gene pools with each other in spite of their sympatric distribution. They were fixed for different alleles at 7 genetic loci in a total of 28 genetic loci scored. This clearly shows no gene flow between the four types, and is a strong evidence for that they are reproductively isolated and genetically distinct species. The Nei's genetic distances between the four types were significantly higher than those between conspecific local populations, and comparable to those between incipient species or very closely related species in many other animal groups. We therefore propose that these four types of sea-urchins should be classified as distinct and separate species of the genus Echinometra. The molecular phylogenetic tree constructed on the basis of the Nei's genetic distances revealed the close affinities between Types A and C and between Types B and D. It also showed a large genetic differentiation between Types A and B. The phylogenetic tree suggested that the four types speciated in relatively recent geological age of the middle Pleistocene. The speciation process of the four types is also discussed.</t>
  </si>
  <si>
    <t>WOS:A1991FG50700015</t>
  </si>
  <si>
    <t>Hazlett, BA; Bach, CE; McLay, C; Thacker, RW</t>
  </si>
  <si>
    <t>A comparative study of the defense syndromes of some New Zealand marine crustacea</t>
  </si>
  <si>
    <t>CRUSTACEANA</t>
  </si>
  <si>
    <t>Five sympatric species of intertidal decapod crustaceans were studied in the field and laboratory with regard to the mechanisms used for predator defense. The species are sympatric and represent a gradient from high intertidal (Cyclograpsus lavauxi) to subtidal (Notomithrax ursus) with Petrolisthes elongatus, Heterozius rotundifrons, and Halicarcinus innominatus intermediate in tidal distribution. We tested the hypothesis that the diversity of defensive features would increase along a tidal gradient from high to low tide. All species were scored in the field for degree of background matching in color and tendency to autotomize appendages. In the laboratory individuals were scored with regard to delay to first movement following disturbance, maximum speed of movement, maximum extent of cheliped extension, and responses to conspecific alarm odors. Maximum sizes for individuals of the different species were obtained from the published literature. The five species varied significantly in the scores recorded fur all of the different defensive features. Halicarcinus innominatus matched its background significantly better, Petrolisthes elongatus autotomized the most readily, Heterozius rotundifrons showed the longest periods of immobility following disturbance, Cyclograpsus lavauxi could move the fastest, and Notomithrax ursus reached the largest size. However, all species utilized multiple mechanisms related to predator avoidance. Summation of the rank scores for the seven different features revealed that the magnitude of the overall diversity of defensive features (1) did not vary along the tidal gradient and (2) showed surprisingly little variation among the different species.</t>
  </si>
  <si>
    <t>Thacker, Robert/0000-0002-9654-0073</t>
  </si>
  <si>
    <t>0011-216X</t>
  </si>
  <si>
    <t>10.1163/156854000504903</t>
  </si>
  <si>
    <t>WOS:000165977200001</t>
  </si>
  <si>
    <t>Freitas, RHA; Negrao, CA; Felício, AKC; Volpato, GL</t>
  </si>
  <si>
    <t>Freitas, Renato H. A.; Negrao, Carolina A.; Felicio, Ana Karina C.; Volpato, Gilson L.</t>
  </si>
  <si>
    <t>Eye darkening as a reliable, easy and inexpensive indicator of stress in fish</t>
  </si>
  <si>
    <t>We expand the use of eye darkening (ED) to indicate non-social stress in the fish Nile tilapia Oreochromis niloticus (L.). ED is easily estimated, not requiring any sophisticated equipment, and is non-invasive, facilitating the collection of several measures of stress over time. In the current study, we showed the following: (i) high- and low-ED occur spontaneously, indicating different fish reactions to adjustments to a novel environment; (ii) fish confinement or air exposure clearly increases ED (air exposure is a stronger stressor than confinement), and the time to restore basal values indicates the severity of the impact of the stressor on the fish (this response is not affected by period of the day, e.g., morning or afternoon); and (iii) in adults, females were more responsive (slower recovery) to 2-min air exposure than to 30-min confinement. (C) 2014 Elsevier GmbH. All rights reserved.</t>
  </si>
  <si>
    <t>Freitas, Renato H A/AEW-0928-2022; Volpato, Gilson L/B-2304-2008</t>
  </si>
  <si>
    <t>Freitas, Renato H A/0000-0002-9053-9186;</t>
  </si>
  <si>
    <t>10.1016/j.zool.2013.09.005</t>
  </si>
  <si>
    <t>WOS:000337884800004</t>
  </si>
  <si>
    <t>Krebs, EA; Putland, DA</t>
  </si>
  <si>
    <t>Chic chicks: the evolution of chick ornamentation in rails</t>
  </si>
  <si>
    <t>Competition over access to food has led to the evolution of a variety of exaggerated visual and vocal displays in altricial nestling birds. Precocial chicks that are fed by their parents also vary widely in appearance ranging from those with inconspicuous coloration to those with brightly colored bills, fleshy parts, and plumes. These ornaments are lost by the end of the period of parental dependence, suggesting they function in competition over parental care. We use a comparative approach to evaluate which ecological or life-history variables may have favored the evolution of conspicuous ornamentation in precocial chicks. We compiled data on chick morphology, ecology, and social organization of species in the Family Rallidae, a group with highly variable downy chicks. Chick ornamentation in the form of brightly colored bills, fleshy patches, or plumes is observed in 36 of 97 species for which downy chicks are described. Phylogenetic reconstructions suggest that nonornamentation is the ancestral state. Chick ornamentation has evolved multiple times within the Rallidae and is significantly associated with large clutch sizes and polygamous mating systems. Chick ornamentation was also weakly associated with adult ornamentation and adult dimorphism. We argue that these results support the hypothesis that lineages with higher levels of sibling competition are more likely to evolve ornamented chicks.</t>
  </si>
  <si>
    <t>10.1093/beheco/arh078</t>
  </si>
  <si>
    <t>WOS:000224482000008</t>
  </si>
  <si>
    <t>Names, G; Martin, M; Badiane, A; Le Galliard, JF</t>
  </si>
  <si>
    <t>Names, Gabrielle; Martin, Melissa; Badiane, Arnaud; Le Galliard, Jean-Francois</t>
  </si>
  <si>
    <t>The relative importance of body size and UV coloration in influencing male-male competition in a lacertid lizard</t>
  </si>
  <si>
    <t>Communication via color signals is common in natural systems. Ultraviolet (UV)-blue patches located on the outer-ventral scales of some lacertid lizards are thought to be involved in male-male competition. However, the mechanisms that maintain their honesty remain unknown. Here, we use the common wall lizard Podarcis muralis to test whether the lateral UV-blue spots are conventional signals, the honesty of which is guaranteed by receiver-dependent costs, and discuss their potential role as an amplifier of body size. We first described the morphology and reflectance properties of lateral UV-blue spots in common wall lizards and investigated how they influence male-male competition. Spot size and number, UV chroma, and conspicuousness (calculated using vision models) were significantly greater in adult males relative to adult females and adult males relative to juveniles. Total spot area (and not spot number) of adult males was positively correlated with body size. We conducted staged competition encounters between focal males and smaller or larger rivals with control or manipulated spots. Spots were enlarged in small rivals and reduced in large rivals to disrupt the phenotypic correlation between spot area and body size. Aggressiveness and dominance were positively influenced by body size in control encounters. Spot manipulations resulted in greater submission and less aggressiveness in focal males. These results contradict the predictions associated with conventional signals and amplifiers, but suggest that spots contributed to opponent evaluation during short-distance encounters between competing males.Significance statementMany animals use color to communicate. During intraspecific resource competition, some species use color signals as an assessment tool to determine if they should engage in or avoid conflicts. Studies have found that in non-mammalian vertebrates, UV coloration can be a good indicator of fighting ability or aggressiveness. We tested whether and how the UV-blue spots of common wall lizards play a role in male-male competition by studying the properties of their spots, and then used that information to design and conduct competition experiments between males involving spot manipulation. Both body size and spot manipulation influenced aggression and submission during encounters. In particular, results suggest that spot manipulation disrupted mutual assessment and thus that spots play a role in competition signaling in male common wall lizards.</t>
  </si>
  <si>
    <t>Le Galliard, Jean-François/E-8702-2011; Badiane, Arnaud/AAD-3605-2020</t>
  </si>
  <si>
    <t>Le Galliard, Jean-François/0000-0002-5965-9868; Badiane, Arnaud/0000-0002-5556-6613</t>
  </si>
  <si>
    <t>10.1007/s00265-019-2710-z</t>
  </si>
  <si>
    <t>WOS:000473131000001</t>
  </si>
  <si>
    <t>Lahti, DC</t>
  </si>
  <si>
    <t>Lahti, David C.</t>
  </si>
  <si>
    <t>Analysis of Egg Variation and Foreign Egg Rejection in Ruppell's Weaver (Ploceus galbula)</t>
  </si>
  <si>
    <t>Egg appearance is notable for its variation and as a source of recognition cues in bird species that are subject to egg-mimicking brood parasitism. Here I analyze the egg appearance of an East African weaverbird species that has variable eggs and is a host of brood parasitism by an egg-mimicking cuckoo, in order to (1) compare population variation to variation within a clutch as a measure of the distinctiveness of eggs; (2) assess modularity versus correlation among egg appearance traits as an indication of the complexity of egg signatures; and (3) address whether the eggs are discretely polymorphic or continuously variable in appearance. I also compare three methods of assessing egg coloration: reduction of spectral data to orthogonal components, targeted spectral shape variables, and avian visual modeling. Then I report the results of egg replacement experiments that assess the relationship between egg rejection behavior and the difference in appearance between own and foreign eggs. Ruppell's weaver (Ploceus galbula) eggs are variable in appearance between individuals and consistent within a clutch, but vary widely in the distinctiveness of particular traits. Most aspects of color and spotting are decoupled from each other, including coloration likely to derive from different pigments. Egg ground color is bimodal, with a broad continuous class of off-white/UV eggs and another broad class of blue-green eggs. Variation in all other traits is unimodal and usually normal in distribution. Females reject foreign eggs on the basis of the difference in brightness of the ground color and spotting of foreign eggs relative to their own, and the difference in degree to which spots are aggregated at the broad end of the egg. This aggregation is among the most distinctive features of their eggs, but the brightness of the ground color and spotting brightness are not; the birds' use of brightness rather than the more distinctive chromatic variation to recognize eggs might reflect the salience of achromatic contrast in a dim enclosed nest.</t>
  </si>
  <si>
    <t>OCT 11</t>
  </si>
  <si>
    <t>10.3389/fevo.2021.734126</t>
  </si>
  <si>
    <t>WOS:000712776000001</t>
  </si>
  <si>
    <t>Piraonapicha, K; Sangpradub, N</t>
  </si>
  <si>
    <t>Piraonapicha, Kanyakorn; Sangpradub, Narumon</t>
  </si>
  <si>
    <t>Description of nymphs and female subimago of Sparsorythus multilabeculatus Sroka &amp; Soldan, 2008 (Ephemeroptera: Tricorythidae) associated with male imago based on DNA sequence data</t>
  </si>
  <si>
    <t>Sparsorythus is a genus of Tricorythidae from the Oriental Region. Sparsorythus multilabeculatus Sroka &amp; Soldan, 2008 was described based on a male imago from Vietnam. Unknown nymphs and female subimagines of Sparsorythus and male imagines of S. multilabeculatus were collected from Thap Lan National Park, Khon Buri District, Nakhon Ratchasima Province, Thailand. Nymphs and female subimagines of Sparsorythus were associated with male imagines of S. multilabeculatus by analyzing sequences from the DNA barcoding region of the mitochrondrial gene cytochrome oxidase I. Phylogenetic analysis based on Maximum Likelihood indicated that all unknown specimens are conspecific with male imagines of S. multilabeculatus (bootstrap 100% and genetic distance 0-0.004). Male and female nymphs, female subimago and egg are described for the first time. Nymphs each bear a medial emargination on the hypopharynx, one bristle-like process at the base of the left prostheca, and a bifurcate rudimentary gill on abdominal segment VII. The male usually has smudges and light blotches on its forewings; the penis extends to the basal segment of the forceps and reaches to approximately 1/3 of the second segment of the forceps. Forewings of the female subimago have dark colour over more than half of the basal area, and the distal portion of each wing is translucent. The egg has a rounded pole; the polar cap covers approximately 1/4 of the surface; and the surface is covered with hexagonal structures.</t>
  </si>
  <si>
    <t>NOV 13</t>
  </si>
  <si>
    <t>10.11646/zootaxa.4695.6.1</t>
  </si>
  <si>
    <t>WOS:000497817600001</t>
  </si>
  <si>
    <t>Marra, PP; Studds, CE; Wilson, S; Sillett, TS; Sherry, TW; Holmes, RT</t>
  </si>
  <si>
    <t>Marra, Peter P.; Studds, Colin E.; Wilson, Scott; Sillett, T. Scott; Sherry, Thomas W.; Holmes, Richard T.</t>
  </si>
  <si>
    <t>Non-breeding season habitat quality mediates the strength of density-dependence for a migratory bird</t>
  </si>
  <si>
    <t>Our understanding of when natural populations are regulated during their annual cycle is limited, particularly for migratory species. This information is needed for parametrizing models that can inform management and conservation. Here, we use 14 years of data on colour-marked birds to investigate how conspecific density and habitat quality during the tropical non-breeding period interact to affect body condition and apparent annual survival of a long-distance migratory songbird, the American redstart (Setophaga ruticilla). Body condition and survival of birds in high-quality mangrove habitat declined as density increased. By contrast, body condition improved and survival did not vary as density increased in adjacent, lower quality scrub habitat, although mean condition and survival were almost always lower than in mangrove. High rainfall enhanced body condition in scrub but not in mangrove, suggesting factors such as food availability outweighed consequences of crowding in lower quality habitat. Thus, survival of overwintering redstarts in mangrove habitat, disproportionately males, appears to be regulated by a crowding mechanism based on density-dependent resource competition. Survival of individuals in scrub, mostly females, appears to be limited by density-independent environmental factors but not regulated by crowding. The contrasting effects of density and food limitation on individuals overwintering in adjacent habitats illustrate the complexity of processes operating during the non-breeding period for migratory animals, and emphasize the need for long-term studies of animals in multiple habitats and throughout their annual cycles.</t>
  </si>
  <si>
    <t>Wilson, Scott/AAC-7144-2021; Studds, Colin/C-3701-2012; Sillett, Scott/N-2240-2017</t>
  </si>
  <si>
    <t>Studds, Colin/0000-0001-5715-1692; Sillett, Scott/0000-0002-7486-0076; Marra, Peter/0000-0002-0508-7577</t>
  </si>
  <si>
    <t>10.1098/rspb.2015.0624</t>
  </si>
  <si>
    <t>WOS:000358735700011</t>
  </si>
  <si>
    <t>Macedonia, JM; Clark, DL; Fonley, MR; Rowe, JW; Neyer, EE; Mancero, EJ; Valle, CA</t>
  </si>
  <si>
    <t>Macedonia, Joseph M.; Clark, David L.; Fonley, Morgan R.; Rowe, John W.; Neyer, Emma E.; Mancero, Emilio J.; Valle, Carlos A.</t>
  </si>
  <si>
    <t>They Might Be Giants: Divergence in Display Structure Between Two Island Populations of Galapagos Lava Lizards (Microlophus bivittatus)</t>
  </si>
  <si>
    <t>The geographic isolation of conspecific populations can produce a diversification of signals through genetic drift, which may be reinforced by selection if populations (or sibling species) come into secondary contact. As conspicuous visual signals, bobbing displays of lizards have been described for numerous genera, and differences in display structure have been documented between some isolated conspecific populations. Although bobbing display structure has been detailed for several Galapagos Lava Lizard species (Microlophus sp.), intraspecific populations on different islands also exhibit various degrees of display structure divergence. In the present study, our goal was to determine if Microlophus bivittatus on San Cristobal Island and a population on its adjacent islet of Isla Lobos possess differences in bobbing display structure. Interestingly, adult males on Isla Lobos exhibit gigantism compared to those on San Cristobal, and the two populations have been isolated by the sea for several thousand years. We predicted that bobbing display speed would scale inversely with body size, such that displays would be detectably slower and longer in the supersized Isla Lobos males than those in the smaller San Cristobal males. To test this prediction, we elicited displays from subjects by using a conspecific-mimicking robot. We measured two displays from 16 subjects in each population by using conventional unit-based variables as well as Fourier transform-based variables. After determining correlations among display variables, we tested for differences in uncorrelated display unit durations between Isla Lobos and San Cristobal males. We then quantified within-subject, among-subject, and between-population variance for all variables by using nested ANOVAs and tested if variance differed between study populations at any level. Next, we used principal component analysis to create a small number of normally distributed variables (i.e., the principal components) from our original variables. These principal components then were used as inputs for discriminant function analysis to classify displays to populations. Comparisons of display unit durations supported our prediction only for the initial bob in displays, which was longer in Isla Lobos males than in San Cristobal males. Nevertheless, when we considered multiple variables collectively, discriminant function analyses classified displays to the correct population at a level significantly greater than chance in all four unit-based analyses and three of four discrete Fourier transform-based analyses. Finally, supported by data on sexual size dimorphism and genetic differences between pairs of M. bivittatus populations (FST), our results indicate that divergence in bobbing display structure can occur relatively quickly if populations are sufficiently isolated.</t>
  </si>
  <si>
    <t>10.1655/Herpetologica-D-23-00011.s1</t>
  </si>
  <si>
    <t>WOS:001208746500005</t>
  </si>
  <si>
    <t>Shatalkin, AI</t>
  </si>
  <si>
    <t>Palaearctic species of the genus Minertia (Diptera, Lauxaniidae)</t>
  </si>
  <si>
    <t>The following four species are described as new for science: Minettia caucasica sp. n., M. fuscescens sp. n., M. nigritarsis sp. n., and M. filippovi. Minettia caucasica sp. n. from the western Caucasus (Tuapse) differs by having 6-rowed ac and black hind legs. M.fuscescens sp. nl from Japan (Honshu) is related to M. helvola Beck. Both species have 2 pairs of long ac but the former in distinguished from the latter by two colored halteres as in M. longipennis group and by the structure of the terminalia. M. nigritarsis sp. n. from Primorye Territory is closely related to M. martineki Ceianu. It can be distinguished from the latter in having 6-rowed ac and by the structure of hypandrial lobi. M. filippovi sp. n. from the Crimea is similar to M. biseriata Lw. and M. palaestinensis Papp. It differs from both in having 6-rowed ac and by the structure of the terminalia. A key to identify 51 Palaearctic Minettia species (except for Minettiella Malloch with two Palaearctic species) is given. The following synonyms are recognized: M. gemina Shatalkin, 1992 = M. tarsata Sasakawa et Kozanek, 1995, syn. n.; M. gemmata Shatalkin, 1992 = M. kimi Sasakawa et Kozanek, 1995, syn. n. Two species described by Sasakawa and Kozanek (1995) are transferred from Calliopum to Minettiella: M. acrostichalis Sas. et Koz., comb. n. (it is possibly conspecific with M. coracina Shatalkin, 1992) and M. dolabriforme Sas. et Koz., comb, n.</t>
  </si>
  <si>
    <t>WOS:000075812800006</t>
  </si>
  <si>
    <t>Crothers, L; Gering, E; Cummings, M</t>
  </si>
  <si>
    <t>Crothers, Laura; Gering, Eben; Cummings, Molly</t>
  </si>
  <si>
    <t>APOSEMATIC SIGNAL VARIATION PREDICTS MALE-MALE INTERACTIONS IN A POLYMORPHIC POISON FROG</t>
  </si>
  <si>
    <t>Many species use conspicuous aposematic signals to communicate unpalatability/unprofitability to potential predators. Although aposematic traits are generally considered to be classic examples of evolution by natural selection, they can also function in the context of sexual selection, and therefore comprise exceptional systems for understanding how conspicuous signals evolve under multifarious selection. We used males from a highly territorial poison frog species in a dichotomous choice behavioral test to conduct the first examination of how aposematic signal variation influences male-male interactions. Our results reveal two behavioral patterns: (1) male dorsal brightness influences the behaviors of male conspecifics such that males approach and call to brighter males more frequently and (2) a male's dorsal brightness predicts his own behavior such that bright males approach stimulus frogs faster, direct more calls to bright stimulus frogs, and exhibit lower advertising call pulse rates (a fitness-related trait). These findings indicate the potential for sexual selection by male-male competition to impact aposematic signal evolution.</t>
  </si>
  <si>
    <t>10.1111/j.1558-5646.2010.01154.x</t>
  </si>
  <si>
    <t>WOS:000286629100024</t>
  </si>
  <si>
    <t>Bauer, AM; Murdoch, M; Childers, JL</t>
  </si>
  <si>
    <t>Bauer, Aaron M.; Murdoch, Matthew; Childers, Jackie L.</t>
  </si>
  <si>
    <t>A reevaluation of records of Sandveld lizards, Nucras Gray, 1838 (Squamata: Lacertidae), from northern Namibia</t>
  </si>
  <si>
    <t>AMPHIBIAN &amp; REPTILE CONSERVATION</t>
  </si>
  <si>
    <t>Data relating to the Sandveld lizards (Nucras) occurring in Namibia, southwest Africa are reviewed. In particular, we investigated records of N. holubi, a chiefly southeastern African species, and attempted to identify recently collected material that could not be assigned to any species currently recognized in Namibia. A phylogenetic analysis of Nucras based on three mitochondrial markers revealed a deep divergence between Namibian Nucras holubi and two presumably conspecific clades from Limpopo Province, South Africa. In addition, the coloration pattern and scalation of the Namibian material differ from those of the eastern forms, supporting its recognition as a separate species. The name Nucras damarana Parker, 1936, long relegated to the synonymy of N. holubi, is here resurrected for this apparently endemic northern Namibian species. Nucras damarana is restricted to the Kunene, Omusati, Oshikati, Kavango, and Otjozondjupa regions of north-central Namibia. A distinctive specimen of Nucras from near Ruacana in the Kunene Region was identified as allied to Nucras broadleyi, a species recently described from southwestern Angola, on the basis of genetic data, although it differs substantially in color pattern. With the addition of N. aff. broadleyi and the resurrected N. damarana to its fauna, as well as the removal of N. holubi from the nation's species list, four species of Nucras are confirmed to be present in Namibia. Although the conservation status of N. damarana, N. tessellata, and N. intertexta is Least Concern, the uncertain taxonomic status of N. aff. broadleyi precludes a meaningful threat assessment.</t>
  </si>
  <si>
    <t>1083-446X</t>
  </si>
  <si>
    <t>e271</t>
  </si>
  <si>
    <t>WOS:000620656500007</t>
  </si>
  <si>
    <t>PEARSON, OP</t>
  </si>
  <si>
    <t>SPACING AND ORIENTATION AMONG FEEDING GOLDEN-CROWNED SPARROWS</t>
  </si>
  <si>
    <t>A winter flock of color-marked golden-crowned sparrows was photographed repeatedly while feeding on a gridded 2.44 .times. 1.83 m feeding tray. Each bird tended to return to the same place on the tray, even when no other birds were nearby. Song sparrows and a fox sparrow also showed strong site-tenacity. Mean distance to nearest neighbor was random up to 13 birds on the tray. At higher densities the distance was greater than random (birds over-dispersed). Nearest-neighbor distance was unrelated to sex, conspicuousness of crown markings or size of wing. Each individual maintained a specific inter-bird distance. There was no tendency for the nearest neighbor to be of the opposite sex. Golden-crowned sparrows avoided California thrashers and brown towhees and maintained the same spacing between conspecifics as between themselves and fox sparrows, mourning doves and California quail, but allowed closer spacing with song sparrows. Fox sparrows permitted closer approach by golden-crowned sparrows than by other fox sparrows. Each bird within the flock tended to point in a particular direction and the flock itself was not oriented at random. Nearest neighbors tended to point in the same direction. Site-specificity within a flock may reduce intra-flock aggression.</t>
  </si>
  <si>
    <t>10.2307/1367633</t>
  </si>
  <si>
    <t>WOS:A1979HS58400009</t>
  </si>
  <si>
    <t>D'Ettorre, P; Heinze, J</t>
  </si>
  <si>
    <t>Individual recognition in ant queens</t>
  </si>
  <si>
    <t>Personal relationships are the cornerstone of vertebrate societies, but insect societies are either too large for individual recognition, or their members were assumed to lack the necessary cognitive abilities [1, 2]. This paradigm has been challenged by the recent discovery that paper wasps recognize each other's unique facial color patterns [3]. Individual recognition is advantageous when dominance hierarchies control the partitioning of work and reproduction [2, 4]. Here, we show that unrelated founding queens of the ant Pachycondyla villosa use chemical cues to recognize each other individually. Aggression was significantly lower in pairs of queens that had previously interacted than in pairs with similar social history but no experience with one another. Moreover, subordinates discriminated familiar and unfamiliar dominants in choice experiments in which physical contact, but not odor perception, was prevented and in tests with anaesthetized queens. The cuticular chemical profiles of queens were neither associated with dominance nor fertility and, therefore, do not represent status badges [5, 6], and nestmate queens did not share a common odor. Personal recognition facilitates the maintenance of stable dominance hierarchies in these small societies. This suggests that the ability to discriminate between individual traits is selected for when it incurs net benefits for the resolution of conflict.</t>
  </si>
  <si>
    <t>DEC 6</t>
  </si>
  <si>
    <t>10.1016/j.cub.2005.10.067</t>
  </si>
  <si>
    <t>WOS:000234013400033</t>
  </si>
  <si>
    <t>MATTHYSEN, E</t>
  </si>
  <si>
    <t>SOME OBSERVATIONS ON SEX-SPECIFIC TERRITORIALITY IN THE NUTHATCH</t>
  </si>
  <si>
    <t>A small population of colour-banded Nuthatches was observed continuously from August 1982 until June 1985. Confrontation experiments with a live decoy at artificial feeding sites showed that territorial birds reacted most strongly to the presence of intruders of their own sex. Intruders of the other sex were sometimes tolerated without aggressive behaviour. Males and females showed differences in behaviour towards intruders of their own sex. Reactions were also more aggressive in autumn than in spring. Trios are situations in which an individual bird shares the territories of two other birds and defends a ''double'' territory with a partner in each half of it. Most trios are formed when a territorial vacancy, caused by disappearance of a pair member, is invaded by a neighbouring bird which does not leave its former territory and partner. Sharing two territories at a time may bring short-term or long-term advantages in access to food or shelter, ensurance of a mate or improvement in territory and/or mate quality. About half of the disappearances of paired Nuthatches resulted in trios. Sex-specific aggression and the occurrence of trios both support the hypothesis that territorial behaviour of the Nuthatch is highly sex-specific, with territory boundaries of male and female coinciding in most, but not all cases.</t>
  </si>
  <si>
    <t>WOS:A1986D993200007</t>
  </si>
  <si>
    <t>Kanegae, MF; Telles, M; Lucena, SD; Motta, JC</t>
  </si>
  <si>
    <t>Kanegae, Mieko Ferreira; Telles, Marina; Lucena, Severino de Albuquerque; Motta-Junior, Jose Carlos</t>
  </si>
  <si>
    <t>Behavioural and morphological observations of the Collared Crescentchest (Melanopareia torquata) in a Cerrado area of south-eastern Brazil</t>
  </si>
  <si>
    <t>The Collared Crescentchest (Melanopareia torquata) is endemic to the Cerrado Biome, and distributed mainly in Brazil, but extending to Bolivia and Paraguay. Although considered of least concern globally, it is threatened in the state of Sao Paulo in south-eastern Brazil. In this study we examined the morphology and some aspects of behaviour of the Collared Crescentchest. Birds were captured with mist-nets using playback in September-December 2006 and October-November 2007. For each captured bird, we took a range of morphological measurements, looked for brood-patches and moult, and took a blood sample for genetic determination of sex. Of the 35 individuals captured, only five were female, probably as a result of behavioural differences between sexes, with males apparently responding more readily to the playback. Furthermore, birds with white dorsal patches exhibited more aggression or risk taking behaviour than birds without patches. However, there was no sexual dimorphism in any of the morphological or colour traits measured ( although the female sample was small). Brood-patches were present mainly in October and November, but we did not detect any cloacal protuberance. Among the four species that comprise the family Melanopareiidae, this is the first record of brood-patches in males.</t>
  </si>
  <si>
    <t>Telles, Marina/B-9551-2015; Motta-Junior, Jose Carlos/C-7096-2013</t>
  </si>
  <si>
    <t>Motta-Junior, Jose Carlos/0000-0001-5146-2430</t>
  </si>
  <si>
    <t>10.1071/MU09016</t>
  </si>
  <si>
    <t>WOS:000278020200006</t>
  </si>
  <si>
    <t>Diatroptov, ME; Opaev, AS</t>
  </si>
  <si>
    <t>Diatroptov, M. E.; Opaev, A. S.</t>
  </si>
  <si>
    <t>A MELANIN- AND CAROTENOID-BASED COLORATION AND AGGRESSIVENESS: RELATIONSHIPS BETWEEN THESE TRAITS IN THE GREENFINCH (CHLORIS CHLORIS, PASSERIFORMES, FRINGILLIDAE)</t>
  </si>
  <si>
    <t>In passerine birds, pigment-based feather coloration comes exclusively from carotenoids and melanins. Carotenoids and melanins are fundamentally different classes of biochromes because they are produced through different physiological mechanisms and have frequently been hypothesized to carry out different functions. The expression of melanin ornaments has been shown to be under genetic control, while carotenoid-based traits have traditionally been viewed as reliable indicators of actual body conditions and health. Therefore, melanin- and carotenoid-based traits should be generally unrelated to each other. Here, we considered the coloration of the 2nd rectrices (R2) of 109 Greenfinch males, both subadults and adults. We then linked this trait to aggressiveness studied in captivity. R2 have a melanin-based black tip and a carotenoid-based yellow proximal part. We found that the length of the black tip was related negatively to the saturation of the yellow color. Thus, contrary to expectations, melanin- and carotenoid-based traits were found related to each other. Therefore, melanin-based ornaments may be related to individual conditions and quality somewhat similar to carotenoid-based traits. However, the two differ, because a melanin-based black feather tip was linked to aggression and dominance in Greenfinch males, while the saturation of a carotenoid-based yellow coloration was not.</t>
  </si>
  <si>
    <t>10.31857/S0044513422010056</t>
  </si>
  <si>
    <t>WOS:000851044400007</t>
  </si>
  <si>
    <t>Lacerda, JVA; Montesinos, R; Zocca, C; Guimaraes, CS; Santana, DJ; Ferreira, RB</t>
  </si>
  <si>
    <t>Lacerda, Joao Victor A.; Montesinos, Rachel; Zocca, Cassio; Guimaraes, Carla S.; Santana, Diego J.; Ferreira, Rodrigo B.</t>
  </si>
  <si>
    <t>On the stream-dwelling Crossodactylus timbuhy (Anura, Hylodidae): taxonomy, natural history, and geographic distribution</t>
  </si>
  <si>
    <t>The genus Crossodactylus has taxonomic problems due to the difficulty in properly identifying some populations to the species level. The deficient species diagnosis rises mostly due to high intraspecific variation and lack of information on topotypes. Crossodactylus timbuhy was described based only on external morphology of preserved adult specimens. Based on topotypic specimens, we provide further information on C. timbuhy regarding color in life (both adult and larvae), tadpole external morphology, vocal repertoire, natural history, and geographic distribution. The species identification was confirmed through comparison to the type series, 16S rRNA analysis, and bioacoustics. Crossodactylus timbuhy vocalizes during daylight along shallow slow-flowing streams. The advertisement call has ascendant amplitude modulation, duration of 2.1???8.4 s, 23???75 pulsed notes, and peak frequency of 3.6???4.8 kHz. Our report on male unilateral sac inflation is the first within Crossodactylus. Although overall tadpole external morphology and coloration resemble other species of hylodids, we report ventral depression and golden iridophores also for the first time within Crossodactylus. Adult males display five antipredator mechanisms (interrupt calling, escape, aggression, posture, and aposematism). Finally, we restrict its geographic distribution to the Municipality of Santa Teresa, State of Espirito Santo, Southeastern Brazil.</t>
  </si>
  <si>
    <t>Montesinos, Rachel/S-6095-2017; Santana, Diego/G-5257-2012</t>
  </si>
  <si>
    <t>Santana, Diego/0000-0002-8789-3061; da Silva Guimaraes, Carla/0000-0001-6514-031X; Andrade Lacerda, Joao Victor/0000-0002-2996-6306</t>
  </si>
  <si>
    <t>JUN 23</t>
  </si>
  <si>
    <t>10.11646/zootaxa.5155.4.6</t>
  </si>
  <si>
    <t>WOS:000821618900003</t>
  </si>
  <si>
    <t>Falsarella, LD; Brandao, ML; Gonçalves-de-Freitas, E</t>
  </si>
  <si>
    <t>Falsarella, Ludmilla do Nascimento; Brandao, Manuela Lombardi; Goncalves-de-Freitas, Eliane</t>
  </si>
  <si>
    <t>Fish adjust aggressive behavior to audience size with limited information on bystanders' fighting ability</t>
  </si>
  <si>
    <t>In a social environment, individual behavior is modulated by surrounding observers (a phenomenon known as the audience effect). Here, we used mirrors to test the effect of two audience sizes (one virtual bystander vs. three virtual bystanders) on the aggressive behavior of a focal fish when bystander's fighting ability was not clear (i.e., information about the ability of virtual conspecifics limited by their mirror images). We found that the Nile tilapia, a cichlid fish, responds to its image as an audience by reducing overt aggression in the presence of larger audience.</t>
  </si>
  <si>
    <t>Lombardi Brandão, Manuela/G-2240-2016; Goncalves-de-Freitas, Eliane/C-4462-2012</t>
  </si>
  <si>
    <t>Lombardi Brandão, Manuela/0000-0002-8686-1076; Goncalves-de-Freitas, Eliane/0000-0003-1896-3035</t>
  </si>
  <si>
    <t>10.1016/j.beproc.2017.07.002</t>
  </si>
  <si>
    <t>WOS:000411539500017</t>
  </si>
  <si>
    <t>ADAPTIVE SIGNIFICANCE OF DELAYED PLUMAGE MATURATION IN MALE NORTHERN ORIOLES</t>
  </si>
  <si>
    <t>In 30 spp. of North American passerine birds, males do not attain fully adult breeding plumage until after their 1st potential breeding season. Female and 1st-year male Northern Orioles are variable with respect to plumage brightness, ranging from very drab to almost as bright as the brilliantly colored black and orange adult males. On average, young males are intermediate in brightness between females and adult males. Selander and Rohwer et al. have proposed conflicting hypotheses to account for this phenomenon, the Sexual Selection Hypothesis (SSH) and the Female Mimicry Hypothesis (FMH), respectively. Several of the assumptions underlying, and predictions arising from, these 2 hypotheses, are tested using data on Northern Orioles. In both years of study there are more females than adult males in the area, but more males in total than females. All females and adult males bred. First-year males did not reach the breeding grounds in spring until several days after the adult males, and .apprx. 1/3 of those yearlings obtained mates. Among young males, plumage brightness was not related to either mating success or the probability of returning to the area to breed as an adult (in the following year). Males that bred in their 1st year were just as likely to survive and return to the breeding grounds in the next summer as were adult males and non-breeding yearlings. No significant difference was found between the male age groups with respect to territory quality, breeding success or parental behavior, although the breeding activity of young males was generally delayed compared to that of adults. Tests of the agonistic response of nesting individuals to models of varying plumage brightness showed that the intermediate coloration characteristic of 1 yr old males is effective in reducing the amount of aggression elicited from adult males, and elicits less aggression from females than does the plumage of the dullest females. Although the 2 hypotheses are not in all instances mutually exclusive, the results of this study most frequently confirm predictions arising from the FMH and refute those consistent with the alternative SSH.</t>
  </si>
  <si>
    <t>10.2307/2408486</t>
  </si>
  <si>
    <t>WOS:A1984SL13500004</t>
  </si>
  <si>
    <t>Chagas, A; Costa, CS</t>
  </si>
  <si>
    <t>Chagas-Junior, Amazonas; Costa, Cristiano Sampaio</t>
  </si>
  <si>
    <t>Macroperipatus ohausi: redescription and taxonomic notes on its status (Onychophora: Peripatidae)</t>
  </si>
  <si>
    <t>REVISTA DE BIOLOGIA TROPICAL</t>
  </si>
  <si>
    <t>Onychophora have undergone a new wave of taxonomic revisions in the last three years. After a recent revision, only two species of Macroperipatus are registered from Brazil: Macroperipatus ohausi and Maciaperipatus geayi. The former was only the second species of Onychophora to be described from Brazil, and is herein redescribed, illustrated, and its taxonomic status revised. Macroperipatus ohausi had only been collected at the type locality, Petropolis, state of Rio de Janeiro, but has not been found there since its discovery. In 2009 we collected two specimens of this species in an Atlantic rain forest fragment in Nova Iguacu in RPPN dos Petroleiros (also state of Rio de Janeiro). The color of the new specimens was interpreted and described based on the NBS/ISCC System of Color Designation, and corresponds only weakly to that described in earlier publications on M ohausi. The identification of M ohausi was based solely on its morphology and compared with its original description. In addition, a female syntype of M ohausi deposited in the Zoologisches Museum (Hamburg) was examined. We reinvestigated its external morphology and concluded that the dorsal papillae have been misinterpreted in M ohausi in previous studies of its integument. The new specimens examined are conspecific with M ohausi mainly by having conical primary papillae, different sized accessory papillae, and by the number of legs. Our material resembles the original description of M ohausi, for example, in spinous pad and nephridial tubercles, even though these features are not represented in the original description and redescription of M ohausi; these features are further detailed here. We concluded that the dorsal papillae morphology of M ohausi, shares diagnostic characters, for example, with representatives of the genera Peripatus and Epiperipatus. The dorsal papillae are rounded and not square as in the original description and redescription. Another argument that supports our conclusion is that the RPPN dos Petroleiros, the locality where the new samples were collected, belongs to the same mountain chain and Atlantic mosaic as the original material of M ohausi. Furthermore, a male of M ohausi is described here for the first time. Based on our morphological data, we transfered this species to the genus Epiperipatzts, proposing a new combination, E. ohausi.</t>
  </si>
  <si>
    <t>Costa, Cristiano Sampaio/X-6310-2018; Chagas-Jr, Amazonas/H-9473-2015</t>
  </si>
  <si>
    <t>Costa, Cristiano Sampaio/0000-0002-0047-9328; Chagas-Jr, Amazonas/0000-0002-3827-378X</t>
  </si>
  <si>
    <t>0034-7744</t>
  </si>
  <si>
    <t>2215-2075</t>
  </si>
  <si>
    <t>10.15517/rbt.v62i3.11643</t>
  </si>
  <si>
    <t>WOS:000343187200014</t>
  </si>
  <si>
    <t>Moskát, C; Zölei, A; Bán, M; Elek, Z; Tong, LG; Geltsch, N; Hauber, ME</t>
  </si>
  <si>
    <t>Moskat, Csaba; Zoelei, Aniko; Ban, Miklos; Elek, Zoltan; Tong, Lainga; Geltsch, Nikoletta; Hauber, Mark E.</t>
  </si>
  <si>
    <t>How to Spot a Stranger's Egg? A Mimicry- Specific Discordancy Effect in the Recognition of Parasitic Eggs</t>
  </si>
  <si>
    <t>Egg discrimination by hosts is an antiparasitic defence to reject foreign eggs from the nest. Even when mimetic, the presence of brood parasitic egg(s) typically alters the overall similarity of all eggs in a clutch, producing a discordant clutch compared to more homogenous clutches of composed only of hosts' own eggs. In multiple parasitism, the more foreign eggs are laid in the nest, the more heterogeneous the overall clutch appears. Perceptual filters and recognition templates cannot explain the known pattern of lower rejection rates of foreign eggs in multiple vs. single parasitism. We therefore assessed the role of clutch homogeneity and manipulated the colour of one or more eggs in the clutches of great reed warbler (Acrocephalus arundinaceus) hosts of common cuckoos (Cuculus canorus). Varying the colours of both the majority and the minority eggs caused predictable shifts in the rejection of the focal egg(s), and ejection rates of the minority egg colour consistently increased but only when it belonged to a more mimetic egg colour, relative to the less mimetic colour of majority eggs. The results imply that in addition to sensory filters, and template-based cognitive decision rules, discordancy-based rejection is affected by the overall clutch appearance and interacts with specific colours varying in the extent of mimicry, to contribute to the recognition decisions of hosts to reject parasitic eggs.</t>
  </si>
  <si>
    <t>Elek, Zoltan/A-5899-2011</t>
  </si>
  <si>
    <t>Elek, Zoltan/0000-0001-6026-6300</t>
  </si>
  <si>
    <t>10.1111/eth.12234</t>
  </si>
  <si>
    <t>WOS:000334692600010</t>
  </si>
  <si>
    <t>Péron, F; John, M; Sapowicz, S; Bovet, D; Pepperberg, IM</t>
  </si>
  <si>
    <t>Peron, Franck; John, Maria; Sapowicz, Stephanie; Bovet, Dalila; Pepperberg, Irene M.</t>
  </si>
  <si>
    <t>A study of sharing and reciprocity in grey parrots (Psittacus erithacus)</t>
  </si>
  <si>
    <t>Demonstrations of nonhuman ability to share resources and reciprocate such sharing seem contingent upon the experimental paradigm used (note Horner et al. in PNAS 108:13847-13851, 2011). Here, such behaviour in Grey parrots (Psittacus erithacus) was tested in two experiments, both designed to avoid possible issues involving apparatus complexity, visible reward options, and physical competition and/or limited communication between subjects. In both studies, two birds, working in dyads, took turns in choosing one of four different coloured cups with differing outcomes: empty (null, nonrewarding), selfish (keeping reward for oneself), share (sharing a divisible reward), or giving (donating reward to other). In Experiment 1, each bird alternated choices with a conspecific; in Experiment 2, each bird alternated with the three humans with different specific intentions (selfish, giving, or copying bird's behaviour). In both experiments, birds could learn to cooperatively reward a partner at little cost to themselves-by sharing-and potentially maximize overall reward by reciprocating such sharing. Experiment 1 results differed depending upon which bird began a session: Only our dominant bird, as follower, was willing to share. In Experiment 2, birds' responses tended towards consistency with human behaviour. Our dominant bird was willing to share a reward with a human who was willing to give up her reward, was selfish with the selfish human, and tended towards sharing with the copycat human; our subordinate bird tended slightly towards increased sharing with the generous human and selfishness with the selfish human, but did not change behaviour with the copycat.</t>
  </si>
  <si>
    <t>Franck, Peron/0000-0001-8408-4691</t>
  </si>
  <si>
    <t>10.1007/s10071-012-0564-0</t>
  </si>
  <si>
    <t>WOS:000315035100005</t>
  </si>
  <si>
    <t>Henry, CS; Brooks, SJ; Duelli, P; Johnson, JB</t>
  </si>
  <si>
    <t>Discovering the true Chrysoperla carnea (Insecta: Neuroptera: Chrysopidae) using song analysis, morphology, and ecology</t>
  </si>
  <si>
    <t>What was once considered a single Holarctic species of green lacewing, Chrysoperla carnea (Stephens), has recently been shown to be a complex of many cryptic, sibling species, the carnea species group, whose members are reproductively isolated by their substrate-borne vibrational songs. Because species in the complex are diagnosed by their song phenotypes and not by morphology, the current systematic status of the type species has become a problem. Here, we attempt to determine which song species corresponds to Stephens' 1835 concept of C. carnea, originally based on a small series of specimens collected in or near London and currently housed in The Natural History Museum. With six European members of the complex from which to choose, we narrow the field to just three that have been collected in England: C. lucasina (Lacroix), Cc2 'slow-motorboat', and Cc4 'motorboat'. Ecophysiology eliminates C. lucasina, because that species remains green during adult winter diapause, while Cc2 and Cc4 share with Stephens' type a change to brownish or reddish color in winter. We then describe the songs, ecology, adult morphology, and larval morphology of Cc2 and Cc4, making statistical comparisons between the two species. Results strongly reinforce the conclusion that Cc2 and Cc4 deserve separate species status. In particular, adult morphology displays several subtle but useful differences between the species, including the shape of the basal dilation of the metatarsal claw and the genital 'lip' and 'chin' of the male abdomen, color and coarseness of the sternal setae at the tip of the abdomen and on the genital lip, and pigment distribution on the stipes of the maxilla. Furthermore, behavioral choice experiments involving playback of conspecific versus heterospecific songs to individuals of Cc2 and Cc4 demonstrate strong reproductive isolation between the two species. Comparison of the adult morphology of song-determined specimens to that of preserved specimens in the original type series and in other collections in The Natural History Museum, London, indicate that the 'true' Chrysoperla carnea (Stephens) is Cc4. Cc2 cannot be confidently associated with any previously described species and is therefore assigned a new name, Chrysoperla pallida sp. nov., and formally described.</t>
  </si>
  <si>
    <t>Duelli, Peter/0000-0001-8862-8262</t>
  </si>
  <si>
    <t>10.1603/0013-8746(2002)095[0172:DTTCCI]2.0.CO;2</t>
  </si>
  <si>
    <t>WOS:000178373100006</t>
  </si>
  <si>
    <t>Nagloo, N; Mountford, JK; Gundry, BJ; Hart, NS; Davies, WIL; Collin, SP; Hemmi, JM</t>
  </si>
  <si>
    <t>Nagloo, Nicolas; Mountford, Jessica K.; Gundry, Ben J.; Hart, Nathan S.; Davies, Wayne I. L.; Collin, Shaun P.; Hemmi, Jan M.</t>
  </si>
  <si>
    <t>Enhanced short-wavelength sensitivity in the blue-tongued skink Tiliqua rugosa</t>
  </si>
  <si>
    <t>Despite lizards using a wide range of colour signals, the limited variation in photoreceptor spectral sensitivities across lizards suggests only weak selection for species-specific, spectral tuning of photoreceptors. Some species, however, have enhanced short-wavelength sensitivity, which probably helps with the detection of signals rich in ultraviolet and short wavelengths. In this study, we examined the visual system of Tiliqua rugosa, which has an ultraviolet/blue tongue, to gain insight into this species' visual ecology. We used electroretinograms, opsin sequencing and immunohistochemical labelling to characterize whole-eye spectral sensitivity and the elements that shape it. Our findings reveal that T. rugosa expresses all five opsins typically found in lizards (SWS1, SWS2, RH1, RH2 and LWS) but possesses greatly enhanced short-wavelength sensitivity compared with other diurnal lizards. This enhanced short-wavelength sensitivity is characterized by a broadening of the spectral sensitivity curve of the eye towards shorter wavelengths while the peak sensitivity of the eye at longer wavelengths (560 nm) remains similar to that of other diurnal lizards. While an increased abundance of SWS1 photoreceptors is thought to mediate elevated ultraviolet sensitivity in a couple of other lizard species, SWS1 photoreceptor abundance remains low in this species. Instead, our findings suggest that short-wavelength sensitivity is driven by multiple factors which include a potentially red-shifted SWS1 photoreceptor and the absence of short-wavelength-absorbing oil droplets. Examining the coincidence of enhanced short-wavelength sensitivity with blue tongues among lizards of this genus will provide further insight into the co-evolution of conspecific signals and whole-eye spectral sensitivity.</t>
  </si>
  <si>
    <t>Hart, Nathan S/B-8564-2011; Hemmi, Jan M/B-6458-2008; Mountford, Jessica/IYT-2726-2023; Mountford, Jessica/H-5488-2014; Collin, Shaun/K-8827-2012; Davies, Wayne/I-1547-2014</t>
  </si>
  <si>
    <t>Hart, Nathan S/0000-0002-7289-9399; Hemmi, Jan M/0000-0003-4629-9362; Mountford, Jessica/0000-0002-3293-6327; Collin, Shaun/0000-0001-6236-0771; Davies, Wayne/0000-0003-0232-1812; Nagloo, Nicolas/0000-0002-6564-5737</t>
  </si>
  <si>
    <t>jeb244317</t>
  </si>
  <si>
    <t>10.1242/jeb.244317</t>
  </si>
  <si>
    <t>WOS:000811278900021</t>
  </si>
  <si>
    <t>Tanaka, S; Nishide, Y</t>
  </si>
  <si>
    <t>Tanaka, Seiji; Nishide, Yudai</t>
  </si>
  <si>
    <t>Do desert locust hoppers develop gregarious characteristics by watching a video?</t>
  </si>
  <si>
    <t>Various sensory stimuli have been suggested to induce gregarious body coloration in locusts, but most previous studies ignored the importance of substrate color. This study tested the effects of visual, olfactory and tactile stimuli from other locusts on the induction of gregarious body coloration in single (isolated-reared) Schistocerca gregaria nymphs housed in yellow-green cups. Odor from gregarious (crowd-reared) locusts, which is believed to induce black patterns in single locusts, had little effect when applied to visually isolated nymphs at the 2nd stadium onward, and all test nymphs remained green without black patterns at the last stadium, as in controls reared without odor and visual stimuli. Visual stimuli alone induced black patterns when a single solitarious nymph was allowed to see other locusts in another cup. The degree of black patterns increased as the number of locusts shown increased, and some test nymphs developed body coloration typically observed in gregarious forms. A classical morphometric ratio (hind femur length/head width) shifted toward the value typical of gregarious forms when the single nymphs were allowed to see 5 or 10 locusts. Single nymphs also developed black patterns when presented green conspecific nymphs and adults of two hemipteran species kept in another cup. No synergetic effects of visual and odor stimuli were detected. Movies of locusts, crickets and tadpoles were found effective in inducing black patterns in single locusts. Ontogenetic variation in the sensitivity to crowding and experimental methodology might be responsible for some discrepancies in the conclusions among different researchers. (C) 2012 Elsevier Ltd. All rights reserved.</t>
  </si>
  <si>
    <t>10.1016/j.jinsphys.2012.04.005</t>
  </si>
  <si>
    <t>WOS:000307154600004</t>
  </si>
  <si>
    <t>Barrantes, G; Eberhard, WG</t>
  </si>
  <si>
    <t>Barrantes, Gilbert; Eberhard, William G.</t>
  </si>
  <si>
    <t>Ontogeny repeats phylogeny in Steatoda and Latrodectus spiders</t>
  </si>
  <si>
    <t>Web designs of young spiders are often less derived than those of older conspecific individuals. This study tested whether this ontogeny repeats phylogeny pattern occurs in two species of Latrodectus and two species of the closely related genus Steatoda. This pattern was assumed to occur in a recent study of a third Latrodectus species, L. geometricus, which attempted to deduce a probable evolutionary derivation of gum-foot webs of theridiids on the basis of ontogenetic changes. We found the same basic ontogeny repeats phylogeny ontogenetic pattern in all four species, suggesting that the previous suppositions were justified. As expected, the webs of the young instars of the two Latrodectus species were more similar than those of the adults, and were more similar to those of young than to those of adults of L. geometricus. One apparently derived trait of L. mirabilis, attaching prey remains as camouflage for the spider in the central portion of the web, did not change during ontogeny, and was present in even the webs of first-instar spiderlings. Field observations of L. mirabilis suggest that the ontogenetic change from light to darker abdominal color patterns that occurs in many Latrodectus species may result from changes in selection for camouflage associated with ontogenetic changes in web designs and the spiders' resting sites. The webs of Steatoda also fit the ontogenetic pattern: at least some ontogenetic changes in both species involved younger spiders having less derived traits than those of adults. The webs of young Steatoda spiders were more derived in some respects than those of the early instars of Latrodectus.</t>
  </si>
  <si>
    <t>10.1636/B10-05.1</t>
  </si>
  <si>
    <t>WOS:000297386000013</t>
  </si>
  <si>
    <t>Yu, N; Hupe, G; Longtin, A; Lewis, JE</t>
  </si>
  <si>
    <t>Yu, Na; Hupe, Ginette; Longtin, Andre; Lewis, John E.</t>
  </si>
  <si>
    <t>Electrosensory Contrast Signals for Interacting Weakly Electric Fish</t>
  </si>
  <si>
    <t>FRONTIERS IN INTEGRATIVE NEUROSCIENCE</t>
  </si>
  <si>
    <t>Active sensory systems have evolved to properly encode natural stimuli including those created by conspecifics, yet little is known about the properties of such stimuli. We consider the electrosensory signal at the skin of a fixed weakly electric fish in the presence of a swimming conspecific. The dipole recordings are obtained in parallel with video tracking of the position of the animals. This enables the quantification of the relationships between the recording dipole and the positions of the head, midbody and tail of the freely swimming fish. The contrast of the signal at the skin is shown to be well-fitted by a decreasing exponential function of distance. It is thus anti-correlated with distance; it is also correlated with the second envelope (i.e., the envelope of the envelope) of the raw recorded signal. The variance of the contrast signal is highest at short range. However, the coefficient of variation (CV) of this signal increases with distance. We find a range of position and associated contrast patterns under quasi-2D swimming conditions. This is quantified using global measures of the visit times of the free fish within measurable range, with each visit causing a bump in contrast. The durations of these bumps as well as the times between these bumps are well reproduced by a doubly stochastic process formed by a dichotomous (two-state) noise with Poisson statistics multiplying a colored noise [Ornstein-Uhlenbeck (OU) process]. Certain rapid body movements such as bending or turning are seen to produce contrast drops that may be part of cloaking strategies.</t>
  </si>
  <si>
    <t>Yu, Na/0000-0003-0916-5808; Lewis, John/0000-0003-0830-7368</t>
  </si>
  <si>
    <t>1662-5145</t>
  </si>
  <si>
    <t>JUL 31</t>
  </si>
  <si>
    <t>10.3389/fnint.2019.00036</t>
  </si>
  <si>
    <t>WOS:000478020400001</t>
  </si>
  <si>
    <t>Gibson, R; Burns, JG; Rodd, FH</t>
  </si>
  <si>
    <t>Gibson, R.; Burns, J. G.; Rodd, F. H.</t>
  </si>
  <si>
    <t>Flexibility in the colouration of the meninx (brain covering) in the guppy (Poecilia reticulata): investigations of potential function</t>
  </si>
  <si>
    <t>Many organisms can change the apparent colour of their bodies by altering the aggregation of pigment in chromatophores in a process known as physiological colour change. In this study, we investigate a previously unstudied example of physiological colour change, from clear to black, of a brain covering, or meninx, in the guppy (Poecilia reticulata Peters, 1859). UV protection in bright light was our primary hypothesis for the function of the meningeal colour, with a cost of increased conspicuousness to avian predators selecting for plasticity in the trait. An alternate hypothesis was that this flexible trait could be a physiological by-product of stress. Thus, we investigated the response of meningeal colour to light, stress, and simulated predator attacks, and also whether the black meninx affected conspicuousness to potential predators. Meningeal response to higher light levels did not differ from baseline responses. However, we did find that stress induced a sex-biased, rapid darkening of the meninx; this darkening then declined over time. These results suggest that meningeal blackness could be used as a novel, noninvasive indicator of stress level in guppies. We found no evidence for a role of predation in meningeal colour: meninx colour did not respond to the presence of a predator model and human predators'' detected similar numbers of guppies with black meninges and guppies with clear meninges.</t>
  </si>
  <si>
    <t>10.1139/Z09-039</t>
  </si>
  <si>
    <t>WOS:000267075500008</t>
  </si>
  <si>
    <t>Sulc, M; Procházka, P; Capek, M; Honza, M</t>
  </si>
  <si>
    <t>Sulc, Michal; Prochazka, Petr; Capek, Miroslav; Honza, Marcel</t>
  </si>
  <si>
    <t>Birds use eggshell UV reflectance when recognizing non-mimetic parasitic eggs</t>
  </si>
  <si>
    <t>Brood parasitism generally has detrimental effect on host fitness. To avoid the negative consequences of brood parasitism, hosts have often evolved an effective counter-adaptation-recognition and rejection of parasitic eggs. Because eggshells of the Eurasian reed warbler (Acrocephalus scirpaceus) and its brood parasite, the common cuckoo (Cuculus canorus), differ significantly in their ultraviolet (UV) reflectance, one would expect that the ability of the hosts to see UV light will play an important role in recognition and rejection of parasitic eggs. To test this assumption, we performed 3 sets of experiments differing in the level of mimicry of the parasitic egg. In the first 2 experiments, we parasitized host nests by conspecific eggs (either own or from other females with perfect and good mimicry, respectively) coated either with a UV blocker (completely reducing UV reflectance of the eggshell) or with Vaseline as a control treatment. Although the UV blocker significantly decreased eggshell UV reflectance, hosts accepted most of these conspecific eggs and the type of coating did not significantly affect the probability of rejection. In the third experiment, we parasitized clutches with 2 types of non-mimetic eggs differing only in UV reflectance (UV- and UV+). We found that hosts rejected UV+ eggs at a significantly higher rate than UV-eggs, probably due to their lower mimicry in the UV spectrum. Here, we demonstrated that hosts use UV signals during egg recognition. Moreover, we suggest that such signals may play a more important role when the parasitic egg is non-mimetic rather than mimetic, when hosts can use additional cues, such as spotting pattern.</t>
  </si>
  <si>
    <t>Šulc, Michal/E-3257-2016; Capek, Miroslav/A-1125-2011; Procházka, Petr/A-9727-2008; Honza, Marcel/A-1123-2011</t>
  </si>
  <si>
    <t>Šulc, Michal/0000-0002-7866-1795; Capek, Miroslav/0000-0002-0189-1250; Procházka, Petr/0000-0001-9385-4547;</t>
  </si>
  <si>
    <t>10.1093/beheco/arv206</t>
  </si>
  <si>
    <t>WOS:000375398800043</t>
  </si>
  <si>
    <t>Mahecha-J, O; Florczyk, K; Willmott, K; Cerdeña, J; Zubek, A; Boyer, P; Farfán, J; Lachowska-Cierlik, D; Pyrcz, TW</t>
  </si>
  <si>
    <t>Mahecha-J, Oscar; Florczyk, Klaudia; Willmott, Keith; Cerdena, Jose; Zubek, Anna; Boyer, Pierre; Farfan, Jackie; Lachowska-Cierlik, Dorota; Pyrcz, Tomasz W.</t>
  </si>
  <si>
    <t>Solving the cryptic diversity of the genus Manerebia Staudinger in northern Peru: description of new species and considerations on the biogeographical role of the Huancabamba Deflection (Nymphalidae: Satyrinae: Pronophilina)</t>
  </si>
  <si>
    <t>The Huancabamba Deflection in the Andes of northern Peru and southern Ecuador is a pivotal area for Neotropical biogeography, where exceptional biodiversity coincides with high rates of endemism. These characteristics are well illustrated within the montane butterfly genus Manerebia Staudinger (Nymphalidae, Satyrinae). Here, six new, apparently endemic species, and two new subspecies, are described from this region: M. inducta Pyrcz &amp; Willmott n. sp., M. ronda Pyrcz &amp; Boyer, n. sp., M. ronda amplia Pyrcz &amp; Boyer, n. ssp., M. punku Pyrcz &amp; Farfan n. sp., M. huamanii Cerdena &amp; Pyrcz n. sp., M. placida Pyrcz &amp; Willmott n. sp., M. granatus Willmott, Radford &amp; Pyrcz n. sp. and M. prattorum udima Pyrcz &amp; Boyer, n. ssp. A total of 22 species of Manerebia is reported from the study region, as much as half the total number of species in this genus distributed throughout the tropical Andes. The alpha-taxonomy of Manerebia is particularly demanding, as colour patterns have apparently converged among different species making identification virtually impossible in some cases without comparison of their genitalia, which prove taxonomically and phylogenetically highly valuable. On the other hand, several species differ markedly in wing colour patterns and occur at different elevations but have identical genitalia. Furthermore, our data show that DNA barcoding is only partly viable as an alpha-taxonomic tool, as some markedly different species of Manerebia, in terms of external morphology and ecological preferences, are genetically not separable using only COI markers. On the other hand, several species barely differing morphologically are identified based on barcode. Barcodes of 26 species, including 18 from the northern Andes, are studied here, showing strong differences within some taxa previously considered conspecific based on morphological characters, suggesting that their taxonomic status needs to be re-evaluated. In particular, M. trimaculata and the widely distributed polytypic M. inderena may be highly variable species or complexes of several species. A total of 16 species are found north of the Chamaya valley in southern Ecuador and extreme northern Peru, compared to 14 species south of it in northern Peru. The faunal (Jaccard) similarity coefficient of the two adjacent regions is low (0.3), reflecting the role of the Huancabamba Deflection as a biogeographical barrier.</t>
  </si>
  <si>
    <t>Mahecha, Oscar/Q-2031-2018; Pyrcz, Tomasz/AGZ-3766-2022; Cerdena, Jose/F-8721-2019</t>
  </si>
  <si>
    <t>Mahecha, Oscar/0000-0002-8682-0020; Farfan, Jackie/0000-0001-5913-0756; Willmott, Keith/0000-0002-9228-0219; Zubek, Anna/0000-0003-3663-522X; Florczyk, Klaudia/0000-0002-5731-8605; Cerdena, Jose/0000-0003-3930-6480; Pyrcz, Tomasz/0000-0003-4822-0670; Lachowska-Cierlik, Dorota/0000-0001-9072-1677</t>
  </si>
  <si>
    <t>10.11646/zootaxa.5072.3.1</t>
  </si>
  <si>
    <t>WOS:000725866700001</t>
  </si>
  <si>
    <t>Franklin, AM; Applegate, MB; Lewis, SM; Omenetto, FG</t>
  </si>
  <si>
    <t>Franklin, Amanda M.; Applegate, Matthew B.; Lewis, Sara M.; Omenetto, Fiorenzo G.</t>
  </si>
  <si>
    <t>Stomatopods detect and assess achromatic cues in contests</t>
  </si>
  <si>
    <t>Conspicuous, colorful displays are often used by animals to communicate within and between species. Previously, researchers have manipulated specific components of color signals (i.e., hue, total reflectance, and/or chroma) using paints, photographs, videos, or filters. However, these manipulations may not adequately mimic the spectrum of color signals outside the range of human perception. Thus, these methods are inappropriate for organisms with unconventional visual systems, such as stomatopods (mantis shrimp). Here, we describe a novel application of a femtosecond laser to increase total reflectance of the stomatopod meral spot, a distinct area on the raptorial appendage used in territorial contests. Ultrafast lasers provide a programmable way to precisely manipulate patch total reflectance of live stomatopods without causing collateral damage. We tested how experimentally increasing meral spot reflectance impacted receiver behavior during territorial contests. Contests in which receiver stomatopods faced an opponent with a lightened meral spot were shorter and receivers showed increased rates of agonistic behaviors. This result suggests that lighter meral spots indicate lower fighting ability; thus, receivers are more willing to engage in a contest. This research provides the first demonstration that stomatopods can detect and assess achromatic variation in contests. Furthermore, we demonstrate that ultrafast lasers provide a powerful tool to investigate achromatic signaling, particularly for organisms whose size, aquatic habitat, or visual system otherwise prevent realistic alterations to color signals (e.g., butterflies, jumping spiders, or decapod crustaceans). This study advances our knowledge about stomatopod visual communication and offers a valuable tool for future research.</t>
  </si>
  <si>
    <t>Applegate, Matthew/0000-0002-1430-1192; Franklin, Amanda/0000-0002-8650-8344</t>
  </si>
  <si>
    <t>10.1093/beheco/arx096</t>
  </si>
  <si>
    <t>WOS:000412182400016</t>
  </si>
  <si>
    <t>Ludt, WB; Bernal, MA; Kenworthy, E; Salas, E; Chakrabarty, P</t>
  </si>
  <si>
    <t>Ludt, William B.; Bernal, Moises A.; Kenworthy, Erica; Salas, Eva; Chakrabarty, Prosanta</t>
  </si>
  <si>
    <t>Genomic, ecological, and morphological approaches to investigating species limits: A case study in modern taxonomy from Tropical Eastern Pacific surgeonfishes</t>
  </si>
  <si>
    <t>A wide variety of species are distinguished by slight color variations. However, molecular analyses have repeatedly demonstrated that coloration does not always correspond to distinct evolutionary histories between closely related groups, suggesting that this trait is labile and can be misleading for species identification. In the present study, we analyze the evolutionary history of sister species of Prionurus surgeonfishes in the Tropical Eastern Pacific (TEP), which are distinguished by the presence or absence of dark spots on their body. We examined the species limits in this system using comparative specimen-based approaches, a mitochondrial gene (COI), more than 800 nuclear loci (Ultraconserved Elements), and abiotic niche comparisons. The results indicate there is a complete overlap of meristic counts and morphometric measurements between the two species. Further, we detected multiple individuals with intermediate spotting patterns suggesting that coloration is not diagnostic. Mitochondrial data recovered a single main haplotype shared between the species and all locations resulting in a complete lack of structure (phi(ST) = 0). Genomic analyses also suggest low levels of genetic differentiation (F-ST = 0.013), and no alternatively fixed SNPs were detected between the two phenotypes. Furthermore, niche comparisons could not reject niche equivalency or similarity between the species. These results suggest that these two phenotypes are conspecific and widely distributed in the TEP. Here, we recognize Prionurus punctatus Gill 1862 as a junior subjective synonym of P. laticlavius (Valenciennes 1846). The underlying causes of phenotypic variation in this species are unknown. However, this system gives insight into general evolutionary dynamics within the TEP.</t>
  </si>
  <si>
    <t>Bernal, Moises A/D-9006-2012; Chakrabarty, Prosanta/E-3307-2010</t>
  </si>
  <si>
    <t>Bernal, Moises/0000-0002-3236-8403; Chakrabarty, Prosanta/0000-0003-0565-0312; Salas De la Fuente, Eva Maria/0000-0002-6941-0548</t>
  </si>
  <si>
    <t>10.1002/ece3.5029</t>
  </si>
  <si>
    <t>WOS:000465089500027</t>
  </si>
  <si>
    <t>Rakotonirina, H; Kappeler, PM; Fichtel, C</t>
  </si>
  <si>
    <t>Rakotonirina, Hanitriniaina; Kappeler, Peter M.; Fichtel, Claudia</t>
  </si>
  <si>
    <t>The role of facial pattern variation for species recognition in red-fronted lemurs (Eulemur rufifrons)</t>
  </si>
  <si>
    <t>Background: Species recognition, i.e., the ability to distinguish conspecifics from heterospecifics, plays an essential role in reproduction. The role of facial cues for species recognition has been investigated in several non-human primate species except for lemurs. We therefore investigated the role of facial cues for species recognition in wild red-fronted lemurs (Eulemur rufifrons) at Kirindy Forest. We presented adult red-fronted lemurs pictures of male faces from five species including red-fronted lemurs, three closely related species, white-fronted lemurs (E. albifrons), brown lemurs (E. fulvus), rufous brown lemurs (E. rufus), and genetically more distant red-bellied lemurs (E. rubriventer), occurring in allopatry with the study population. We predicted that red-fronted lemurs respond stronger to conspecific than to heterospecific pictures and that females show stronger responses than males. In addition, if genetic drift has played a role in the evolution of facial color patterns in the members of this genus, we predicted that responses of red-fronted lemurs correlate negatively with the genetic distance to the different species stimuli. Results: Red-fronted lemurs looked significantly longer at pictures of their own species than at those of heterospecifics. Females spent less time looking at pictures of white-fronted, brown and red-bellied lemurs than males did, but not to pictures of red-bellied lemurs and a control stimulus. Individuals also exhibited sniffing behavior while looking at visual stimuli, and the time spent sniffing was significantly longer for pictures of conspecifics compared to those of heterospecifics. Moreover, the time spent looking and sniffing towards the pictures correlated negatively with the genetic distance between their own species and the species presented as stimulus. Conclusions: We conclude that red-fronted lemurs have the ability for species recognition using visual facial cues, which may allow them to avoid costly interbreeding. If so, sexual selection might have influenced the evolution of facial patterns in eulemurs. Since responses also correlated with genetic distance, our findings suggest a potential role of genetic drift as well as sexual selection in influencing the evolution of facial variation in eulemurs. Because study subjects looked and sniffed towards the presented pictures, red-fronted lemurs might have the ability for multi-modal species recognition.</t>
  </si>
  <si>
    <t>10.1186/s12862-018-1126-0</t>
  </si>
  <si>
    <t>WOS:000425179400001</t>
  </si>
  <si>
    <t>Persistence of egg recognition in the absence of cuckoo brood parasitism: Pattern and mechanism</t>
  </si>
  <si>
    <t>Broad ecological shifts can render previously adaptive traits nonfunctional. It is an open question as to how and how quickly nonfunctional traits decay once the selective pressures that favored them are removed. The village weaverbird (Ploceus cucullatus) avoids brood parasitism by rejecting foreign eggs. African populations have evolved high levels of within-clutch uniformity as well as individual distinctiveness in egg color and spotting, a combination that facilitates identification of foreign eggs. In a companion study, I showed that these adaptations in egg appearance declined following introductions of weavers into habitats devoid of egg-mimicking brood parasites. Here, I use experimental parasitism in two ancestral and two introduced populations to test for changes in egg rejection behavior while controlling for changes in egg appearance. Introduced populations reject foreign eggs less frequently, but the ability of source and introduced populations to reject foreign eggs does not differ after controlling for the evolution of egg color and spotting. Therefore, egg rejection behavior in introduced populations of the village weaver has been compromised by changes in egg appearance, but there has been no significant decline in the birds' ability to recognize foreign eggs. This result reconciles earlier studies on this system and provides insights into the ways behavior can change over generations, especially in the context of recognition systems and the avoidance of brood parasitism.</t>
  </si>
  <si>
    <t>WOS:000235477400015</t>
  </si>
  <si>
    <t>CRAIG, JL</t>
  </si>
  <si>
    <t>BEHAVIOR OF PUKEKO, PORPHYRIO-PORPHYRIO-MELANOTUS</t>
  </si>
  <si>
    <t>Displays of the pukeko P. porphyrio melanotus Temminck (Gruiformes:Rallidae) are described and analyzed quantitatively. Aggressive displays center around the beak, which is presented to the opponent in a position from which a peck can be given. Submissive or escape displays center around the white undertail coverts, which appear to have evolved as a distinct submissive signal since they are in sharp contrast to the aggressive releaser, both in location and color. Raising the wings serves to expose the undertail and to provide a contrasting frame. The development of the white undertail as a submissive signal may have paralleled the development of the large frontal shield, which serves to maximize the aggressive releaser. Most displays are ambivalent, signalling both aggression and escape. With increasing escape tendency the bill and frontal shield are so placed that pecking is decreasingly likely, and the wings are increasingly raised. In postures with high escape tendency the beak is placed on the ground or removed from the opponent''s view, but only in pure escape postures are the white undertail coverts prominent. Displays which involve rapid removal of the beak and shield from the opponent''s view are more common in close contact situations, such as hierarchical interactions between pukeko of the same group. A brief comparison is made with other published reports on gallinules.</t>
  </si>
  <si>
    <t>10.1080/03014223.1977.9517966</t>
  </si>
  <si>
    <t>WOS:A1977EK27900008</t>
  </si>
  <si>
    <t>Tsellarius, EY; Tsellarius, AY</t>
  </si>
  <si>
    <t>Age changes and probable importance of signal coloration in Lacerta saxicola (Sauria, Reptilia) males from the Navagir Ridge</t>
  </si>
  <si>
    <t>A group of marked lizards was observed for three years in natural conditions. In every marked individual, the last phalanx was amputated, and its age was determined by the bone layers. All males come to maturity in the 3d year of life independently of their coloration. Different males become green in the 3d, 4(th), 5(th) or 6(th) year of life. All green males were settled and displayed a territorial behavior. The territorial behavior in brown males was never recorded. The mails, which pined green coloration in the 3d year, had small and regular increment. The males gained green color in the 4 year or later had a greater increment in the 1(st) eyar of life and small growth in the future. The absence of green coloration does not prevent brown males from aggression of green individuals. The size and quality of home range and the degree of pressure of conspecifics are not related to the brightness of coloration of possessor of home ranges. However, females in encounters with bright-green males take initiative in contacts much more frequently, than in those with light-green ones. In contacts with brown, ales, the initiative of females was never ovserved. In home ranges of bright-green males, the density of females' population was 4 times as high as in home ranges of light-green males.</t>
  </si>
  <si>
    <t>Tsellarius, Alexey/AAD-5529-2022</t>
  </si>
  <si>
    <t>WOS:000178048000009</t>
  </si>
  <si>
    <t>Whiting, MJ</t>
  </si>
  <si>
    <t>When to be neighbourly:: differential agonistic responses in the lizard Platysaurus broadleyi</t>
  </si>
  <si>
    <t>Differential treatment of neighbours and strangers (the dear enemy phenomenon) can reduce the costly effects of territory defence. Individual recognition, and by extension the dear enemy phenomenon, was examined in the cordylid lizard Platysaurus broadleyi. I had no knowledge of familiarity between individuals and therefore classed intruders as neighbours or non-neighbours and tested for differences in a,agonistic response consistent with the dear enemy phenomenon. In the dear enemy phenomenon, levels of aggression are inversely related to degree of familiarity such that residents are more tolerant of immediate neighbours than distant territory holders. A manipulative field experiment in conjunction with field observations of known territory holders revealed that resident males allowed neighbours to approach more closely than non-neighbours before challenging them, residents were more aggressive towards non-neighbours than neighbours, contests between neighbours were significantly longer than between neighbours and non-neighbours and contests between residents and non-neighbours were likely to result in a win for the resident. while neighbours frequently drew contests. These results suggest a level of recognition consistent with the dear enemy phenomenon. I also manipulated front leg colour to test the hypothesis that it alone could serve as a cue for individual recognition. I found no support for this hypothesis and suggest that multiple cues operate in individual recognition.</t>
  </si>
  <si>
    <t>Whiting, Martin J./0000-0002-4662-0227</t>
  </si>
  <si>
    <t>10.1007/s002650050611</t>
  </si>
  <si>
    <t>WOS:000082141200009</t>
  </si>
  <si>
    <t>Familiarity influences body darkening in territorial disputes between juvenile salmon</t>
  </si>
  <si>
    <t>Escalated contests between animals are potentially costly because of increased energy expenditure and risk of predation or injury. Hence we would expect selection to favour any mechanism that avoids unnecessary prolonged fighting. One such means of avoiding escalated fights could be the use of information gained through individual recognition. Precious work has shown that a darkening of the body colour is closely associated with submission in contests between juvenile Atlantic salmon, Salmo salar, and it has been hypothesized that this may act as a visual signal to the opponent. We tested the hypothesis that body darkening is used to reduce the cost of contests between familiar fish such that losers darken more quickly when faced with familiar than unfamiliar opponents. In contests between unfamiliar fish, submissive darkening occurred after more escalated contests in which the loser incurred more aggression, whereas the opposite occurred when familiar fish were in conflict. In addition familiar fish either submitted quickly or engaged in protracted conflicts in which neither fish signalled submission, whereas in unfamiliar fish contests were of intermediate duration regardless of whether either fish darkened. We suggest that body darkening is used by familiar fish to signal submission to familiar dominants in order to avert a costly escalated fight, but familiarity can lead to escalation without submission if perceived competitive asymmetries are finely balanced. (C) 2000 The Association for the Study of Animal Behaviour.</t>
  </si>
  <si>
    <t>10.1006/anbe.2000.1401</t>
  </si>
  <si>
    <t>WOS:000088220000003</t>
  </si>
  <si>
    <t>COLLIAS, NE; COLLIAS, EC</t>
  </si>
  <si>
    <t>BEHAVIOR OF THE GREY-CAPPED SOCIAL WEAVER (PSEUDONIGRITA-ARNAUDI) IN KENYA</t>
  </si>
  <si>
    <t>Color-banded individuals of the grey-capped social weaver (P. arnaudi, Ploceidae) were observed in Kenya during breeding and nonbreeding periods. In each colony, one to several groups centered about different families slept in their nests the year round in the same acacia tree (considered a colony). Nest territories were generally not defended against members of other groups in the same tree. Birds from other colonies were usually attacked whenever they landed in the colony tree. The birds foraged on the ground in communal feeding areas and were organized into dominance hierarchies but did not defend feeding territories. Members of different groups from the same colony tolerated each other when feeding on the ground more than they did birds from other colonies. Aggression was rare or absent between members of the same group. The roofed nests had 2 entrance or exit holes opening below, one of which was closed in a brood nest before eggs were laid and opened again just before or after the young left the nest. Both members of a pair incubated. Other birds in adult plumage and immature birds from previous broods often helped the pair build nests and feed nestlings. The behavior of P. arnaudi is compared with that of the related Plocepasser mahali and Philetairus socius and resembles the latter most closely.</t>
  </si>
  <si>
    <t>WOS:A1980JR68800001</t>
  </si>
  <si>
    <t>The role of lateral blue spots in intrasexual relationships between male Iberian rock-lizards, Lacerta monticola</t>
  </si>
  <si>
    <t>Vertebrate males often show breeding colours that may function as reliable signals of status in intrasexual competition. In many lacertid lizards, males show a conspicuous row of small but distinctive blue spots that runs along their body side on the outer margin of the belly. However, no study has examined the role of these blue spots. We first analysed in a field population of the Iberian rock lizard, Lacerta monticola, the relationships between number of blue spots and some morphological traits, which are known to be related to males' fighting ability. The number of spots seems to be an character showing ontogenetic change as large (generally older) males showed more blue spots than small (generally younger) males. Males with a higher body condition also showed a higher number of blue spots. Thus, a higher number of blue spots may be used to signal size, age or body condition. Many contiguous blue spots would result in a visual artefact consisting of a continuous blue band, which might be a reliable size- or condition-dependent signal in some social contexts. We further examined in the laboratory whether male characteristics are related to dominance status. In males with similar body size or age, those with relatively larger heads were more dominant, whereas the number of blue spots was not important. Moreover, the number of blue spots in nature was not related to relative head size. Finally, we experimentally manipulated the presence and the number of blue spots of intruding males, and examined the aggressive response of resident males. Intruder individuals manipulated to cover all their blue spots received a lower amount of aggression. However, males with different numbers of manipulated blue spots received a similar number of aggressive responses. These results suggest that, during agonistic encounters, the presence of blue spots, but not their number, may elicit aggressiveness. Thus, blue spots may serve to identify an individual as an adult male, and to enhance body size of larger males.</t>
  </si>
  <si>
    <t>10.1111/j.1439-0310.2004.00996.x</t>
  </si>
  <si>
    <t>WOS:000222483900004</t>
  </si>
  <si>
    <t>Frommen, JG; Hanak, S; Schmidl, CA; Thünken, T</t>
  </si>
  <si>
    <t>Frommen, Joachim G.; Hanak, Sophie; Schmidl, Christina A.; Thuenken, Timo</t>
  </si>
  <si>
    <t>Visible Implant Elastomer tagging influences social preferences of zebrafish (Danio rerio)</t>
  </si>
  <si>
    <t>Identification of individuals is a prerequisite in many behavioural studies. Visible Implant Elastomer (VIE) colour tags are a well-established way to mark animals. VIE tagging does not seem to affect individual growth or survival. However, studies verifying their neutrality during social interactions are less common. Here, individual male and female zebrafish Danio rerio were simultaneously given the choice between two shoals, each consisting of six fish. Members of one shoal were uniformly marked with one VIE tag of a given colour, whereas the other shoal was sham-tagged. In total, 10 different colours were used. Test fish spent significantly more time near the tagged shoal (56%) than near the sham-tagged shoal (44%). Tag colour did not significantly influence the preferences. The results highlight the importance of confirming the neutrality of colour tags before using them in behavioural studies. Especially, our study advises caution when using marked and unmarked fish simultaneously.</t>
  </si>
  <si>
    <t>Frommen, Joachim/D-6802-2013</t>
  </si>
  <si>
    <t>10.1163/1568539X-00003303</t>
  </si>
  <si>
    <t>WOS:000362911000009</t>
  </si>
  <si>
    <t>DEMAREST, J</t>
  </si>
  <si>
    <t>REASSESSMENT OF SOCIALLY MEDIATED LEARNING IN SIAMESE FIGHTING FISH (BETTA-SPLENDENS)</t>
  </si>
  <si>
    <t>Seven experiments examined a previous report of Pavlovian conditioning of territorial behavior using a mirror UCS in Betta splendens. Control procedures omitted from the original research were included. Three studies failed to find that exposure to a mirror (UCS) in a colored tunnel (CS+) produces learned approach to this tunnel. Instead, the fish exhibited unlearned green color preferences prior to mirror exposure and highly variable, random tunnel preferences after mirror exposure. One experiment provided evidence for an associative effect with the red CS+, but training with the green CS+ did not produce enhanced tunnel preferences. In contrast, spatial discrimination was shown in 2 experiments. The data, taken with other failures to replicate, raise questions about the biological preparedness of B. splendens to learn to associate agonistic responses with color features in the environment.</t>
  </si>
  <si>
    <t>WOS:A1992HW96900007</t>
  </si>
  <si>
    <t>Finston, T</t>
  </si>
  <si>
    <t>Morphology and molecules conflict to confound species boundaries in salt lake ostracodes of the genus Mytilocypris (Crustacea: Ostracoda)</t>
  </si>
  <si>
    <t>The ostracode genus Mytilocypris comprises eight species, and has a widespread distribution in saline habitats of semi-arid Australia. Fifteen populations, representing all eight species in the genus, were analysed at 19 enzyme loci to identify markers to delineate species boundaries. Only five distinct genetic groups were found: M. mytiloides, M. ambiguosa, M. splendida, M. praenuncia, and M. henricae. Three presumptive species, M. mytiloides, M. tasmanica chapmani, and M. minuta have sympatric distributions in Western Australia. The three show similar internal morphology, lack any diagnostic features of colour, pattern or setation of the shell, but differ in the size and shape of the shell. They also show microhabitat divisions along a salinity gradient. There were no genetic markers to distinguish the three Western Australian species from one another, and they showed high genetic similarity to a population of M. mytiloides from near its type locality in South Australia. Furthermore, seven populations containing more than one species in the mytiloides complex failed to show evidence of reproductive isolation between species, when tested for genetic differentiation. In contrast, a multivariate analysis, used to quantify and evaluate patterns of variation within and among the three species in the mytiloides complex, revealed differences in size, shape and allometry among species, but also showed overlap of body shapes and sizes of individuals. Two explanations are plausible for the lack of congruence between morphological and allozyme data: the three may be closely related species with undetected genetic differentiation, or the three taxa may be conspecific, and shell size, shape and allometry may be plastic characters. The role of fluctuating environmental conditions on crustacean morphology and life history variation is discussed.</t>
  </si>
  <si>
    <t>10.1071/ZO00046</t>
  </si>
  <si>
    <t>WOS:000089592900007</t>
  </si>
  <si>
    <t>Wood, MJ; Ratnieks, FLW</t>
  </si>
  <si>
    <t>Olfactory cues and Vespula wasp recognition by honey bee guards</t>
  </si>
  <si>
    <t>Guard honey bees patrol the entrance to the nest and are thought to recognise nestmates by cuticular hydrocarbons. We aimed to determine whether honey bee guards can recognise predatory common wasps Vespula vulgaris and nestmates by olfactory cues. Odours were transferred between both honey bees and wasps and the responses of guards to controlled introductions monitored. When controlling for the species of introduced insect, the transferred odour was a predictor of aggressive attacks on both bees and wasps. Carriers of incongruous, allospecific odours were antennated by more guards than carriers of conspecific odours. Olfactory cues were, therefore, transferred and guards responded not only to odour per se but also odour incongruity. Olfactory cues may therefore be important in predator recognition by honey bee guards.</t>
  </si>
  <si>
    <t>Wood, Matthew J/B-6124-2011; Wood, Matthew/HDN-1469-2022</t>
  </si>
  <si>
    <t>Wood, Matthew J/0000-0003-0920-8396; Wood, Matthew/0000-0002-5436-6011</t>
  </si>
  <si>
    <t>10.1051/apido:2004040</t>
  </si>
  <si>
    <t>WOS:000224957200002</t>
  </si>
  <si>
    <t>Silva, FWS; Serrao, JE; Elliot, SL</t>
  </si>
  <si>
    <t>Silva, Farley W. S.; Serrao, Jose E.; Elliot, Simon L.</t>
  </si>
  <si>
    <t>Density-dependent prophylaxis in primary anti-parasite barriers in the velvetbean caterpillar</t>
  </si>
  <si>
    <t>1. Organisms rely on a set of primary barriers to prevent invasion by parasites, and secondary defences to fight parasites that breach the primary barriers. However, maintaining these defences to be active and effective is costly. Thus, hosts increase investment in anti-parasite defences under situations of high risk of infection and reduce defences when the risk is reduced (the Density-Dependent Prophylaxis' hypothesis). 2. In the present study, it was tested whether the midgut primary defences of the velvetbean caterpillar Anticarsia gemmatalisHubner present density-dependent plasticity, and also whether these defences could be induced by a viral pathogenic challenge. The aim was to examine whether morphometry and the structure of the midgut and peritrophic matrix (PM) change in accordance with colour transition in caterpillars, and whether such changes may provide the caterpillars a more protective barrier against invasion by Anticarsia gemmatalis multiple nucleopolyhedrovirus (AgMNPV). 3. It was found that PM and the midgut epithelium of the velvetbean caterpillar change plastically according to phenotype, itself a response to changes in population density. Caterpillars reared at high densities (black phenotype) had a considerably thicker midgut epithelia and peritrophic matrices than those reared individually (green phenotype), and there was also more chitin in the PM of the former. 4. This was interpreted as the first demonstration of increased investment in primary, barrier, defences against parasites, in response to increased conspecific density and an increased risk of infection. The possibility that this arises as a positive result of pleiotropy is discussed further, wherein the biochemical pathways responsible for the up-regulation of the immune system are also involved in midgut properties.</t>
  </si>
  <si>
    <t>Elliot, Simon Luke/A-5557-2013; Silva, Farley/D-9067-2013</t>
  </si>
  <si>
    <t>Elliot, Simon Luke/0000-0002-7469-2949; Silva, Farley/0000-0002-2651-9375</t>
  </si>
  <si>
    <t>10.1111/een.12315</t>
  </si>
  <si>
    <t>WOS:000379942700010</t>
  </si>
  <si>
    <t>Sogge, MK; Koronkiewicz, TJ; van Riper, C; Durst, SL</t>
  </si>
  <si>
    <t>Sogge, Mark K.; Koronkiewicz, Thomas J.; van Riper, Charles, III; Durst, Scott L.</t>
  </si>
  <si>
    <t>Willow flycatcher nonbreeding territory defense behavior in Costa Rica</t>
  </si>
  <si>
    <t>We studied the intraspecific territorial defense behavior of wintering Willow Flycatchers (Empidonax traillii) in Costa Rica using a randomized playback experiment that exposed male and female birds to recordings of Willow Flycatcher songs and calls, Lesser Ground Cuckoo (Morococcyx erythropygius) vocalizations, and random noise. Flycatchers of both sexes responded most strongly to simulated conspecific territory intrusion, and the agonistic behaviors that we observed were similar to those seen during natural intraspecific encounters in winter. Both males and females engaged in song and aggressive behaviors in defense of territories, and there was no significant difference between the sexes in scored agonistic responses. The similarity between the sexes in intraspecific territorial defense behaviors and aggressiveness may account for both sexes of flycatchers using the same habitats at our study sites in Costa Rica, and wintering females defending territories against males. The Willow Flycatcher, a sexually monomorphic species, differs in this way from a number of sexually dimorphic passerines, in which behaviorally dominant males occur in more optimal winter habitats.</t>
  </si>
  <si>
    <t>10.1650/0010-5422(2007)109[475:WFNTDB]2.0.CO;2</t>
  </si>
  <si>
    <t>WOS:000246603900024</t>
  </si>
  <si>
    <t>Smit, JAH; van Oers, K</t>
  </si>
  <si>
    <t>Smit, Judith A. H.; van Oers, Kees</t>
  </si>
  <si>
    <t>Personality types vary in their personal and social information use</t>
  </si>
  <si>
    <t>Gathering information about the environment, such as the location and quality of food, is crucial for an animal's survival, particularly in a changing environment. An animal can collect 'personal information' by interacting with the environment itself, or it can collect 'social information' by observing the behaviour of others. The use of these two types of information varies across different situations and between individuals. Personality is a concept that captures consistent interindividual differences in behaviour and could be one of the factors driving interindividual variation in information use. We tested this by conducting behavioural experiments based on a colour association task in captive great tits, Parus major, originating from lines bidirectionally selected for high and low exploratory behaviour. We quantified personal information use by measuring to what extent a bird relied on previously rewarded options instead of novel options. Social information use was measured by recording how birds chose according to social information provided by video playbacks of a conspecific. Here, we demonstrate that variation in the use of both personal and social information is indeed personality related. In their decision making, slow explorers relied more on prior knowledge, from both personal and social origins, whereas fast explorers tended to ignore the available information and chose more randomly. The differences between the personality types imply different costs or constraints in acquiring and/or applying the two types of information, possibly due to variation in, for example, cognitive styles. In conclusion, we demonstrate that personality types have different strategies to cope with environmental uncertainty. (C) 2019 The Association for the Study of Animal Behaviour. Published by Elsevier Ltd. All rights reserved.</t>
  </si>
  <si>
    <t>van Oers, Kees/B-2562-2009</t>
  </si>
  <si>
    <t>van Oers, Kees/0000-0001-6984-906X; Smit, Judith Aukje Hendrika/0000-0002-0837-8740</t>
  </si>
  <si>
    <t>10.1016/j.anbehav.2019.02.002</t>
  </si>
  <si>
    <t>WOS:000467013300018</t>
  </si>
  <si>
    <t>Anderson, CM; McKinnon, JS</t>
  </si>
  <si>
    <t>Anderson, Christopher M.; McKinnon, Jeffrey S.</t>
  </si>
  <si>
    <t>Phenotypic correlates of pelvic spine coloration in the threespine stickleback (Gasterosteus aculeatus): implications for function and evolution</t>
  </si>
  <si>
    <t>Animal color patches may be static or plastic in expression and concealable or continuously visible, yet the evolution and function of these aspects of coloration have seldom been studied together. We investigated such color pattern elements using the threespine stickleback (Gasterosteus aculeatus). Despite a rich history of study of stickleback nuptial color pattern evolution, disagreement persists regarding selection pressures and function and only limited research has addressed the role of pelvic spine coloration, a potentially important, and substantially concealable, color pattern element. We investigated (i) whether male pelvic spine (along with throat and body) coloration is relatively static or plastic across the reproductive cycle, (ii) when pelvic spines are raised versus concealed across behavioral contexts, and (iii) associations between color patches and behavior in males. We found no significant variation in spine color across reproductive stages whereas body color was more plastic and intensely red during courtship and egg/fry care. Conspicuousness of pelvic spine coloration instead varied behaviorally, through increased erection frequency during social interactions and in response to a model predator. Spine erection frequency was positively associated with behaviors that enhance spine color visibility, i.e., flees and leads to nest. These findings suggest that stickleback use pelvic spines to display an intensely red color patch facultatively, either as a complement to similar body coloration or possibly as a substitute. Significance statement The interplay between color patches that are either readily concealable or always visible has been little studied, particularly in organisms with patches on a single individual that differ in capacity for concealment, such as the threespine stickleback (Gasterosteus aculeatus). While much work has been done on the evolution of coloration in stickleback, little has addressed patterns of expression and evolutionary functions of pelvic spine color, which can be facultatively concealed. We evaluated the expression characteristics of male spine coloration within the spawning period and how spine color relates to other color patches. Our work also examines the relationship between pelvic spine erections and presentation of spine color patches and raises the possibility of pelvic spine color being naturally selected and functioning across different behavioral contexts.</t>
  </si>
  <si>
    <t>Anderson, Christopher/0000-0002-6951-5657</t>
  </si>
  <si>
    <t>10.1007/s00265-022-03256-9</t>
  </si>
  <si>
    <t>WOS:000878648300001</t>
  </si>
  <si>
    <t>Ekstrom, JMM; Burke, T; Randrianaina, L; Birkhead, TR</t>
  </si>
  <si>
    <t>Ekstrom, J. M. M.; Burke, T.; Randrianaina, L.; Birkhead, T. R.</t>
  </si>
  <si>
    <t>Unusual sex roles in a highly promiscuous parrot:: the Greater Vasa Parrot Caracopsis vasa</t>
  </si>
  <si>
    <t>We describe the unusual mating system of the Greater Vasa Parrot Caracopsis vasa. The dull black plumage of males and females is similar but females are significantly larger than males. Females are promiscuous and copulated with at least five different males. Copulations were either short (1-3 s) or very long (mean 35.9 min), and long copulations involved a copulatory tie facilitated by the male's enlarged cloacal protrusion. Multilocus DNA fingerprinting of 17 broods showed that all were of mixed paternity, and that some broods had three fathers. Males never visited nests directly, but during the incubation and chick-rearing periods females came off the nest and were fed regurgitated fruit by multiple males. Four had band-sharing coefficients that suggested they were unrelated. Males copulated with and provided food for several widely separated females simultaneously. During the chick-rearing period females defended a territory around the nest from conspecific females, developed conspicuous orange skin on the head (through feather loss), and uttered loud, complex vocalizations that we refer to as 'song' from prominent perches near the nest. Males showed none of these traits. Females with high song rates attracted more males and as a result received more food than other females. Play-back experiments in which female song rates were either increased or decreased, attracted more or fewer males respectively. We propose that female song, conspicuous head colour and territoriality have all evolved as a result of competition between females for the food provided by males. The selective pressures favouring this highly unusual breeding system in the Greater Vasa Parrot are unclear but some sort of ecological constraint, such as food availability, may be important.</t>
  </si>
  <si>
    <t>Burke, Terry/B-3196-2011</t>
  </si>
  <si>
    <t>Burke, Terry/0000-0003-3848-1244</t>
  </si>
  <si>
    <t>10.1111/j.1474-919X.2006.00632.x</t>
  </si>
  <si>
    <t>WOS:000245312000012</t>
  </si>
  <si>
    <t>WOOLFENDEN, GE; FITZPATRICK, JW</t>
  </si>
  <si>
    <t>DOMINANCE IN FLORIDA SCRUB JAY</t>
  </si>
  <si>
    <t>Dominance behavior in a color-ringed population of Florida scrub jays [Aphelocoma coerulescens coerulescens] was studied during 6 years of general observations and 2 summers of intensive study of intrafamilial and interfamilial aggression. Encounters were recorded from 21 families of varying size and constituency. The jays are extremely tame, which facilitated watching their normal behavior; these observations were augmented with simple experiments involving the offering of tidbits of food. The Florida scrub jay, a permanently territorial group breeder, exhibits a social dominance structure in which the male breeder dominates all other jays in the family, male helpers dominate all females, and the female breeder mildly dominates female helpers. Juveniles, subordinate to all other family members, seem to establish a hierarchy among themselves through investigative encounters during their 1st summer. Whenever 2 or more male helpers coexist in a family, a hierarchy exists between them. Usually the dominant male helper is the first to depart and pair when a breeding opportunity develops. Dominant male helpers occasionally establish a new territory by gradually usurping a portion of their parents'' territory. Although dominance within the jay families is clear, aggressive conflicts are rare. This contrasts sharply with the frequency of boundary disputes between neighboring families. Involvement in interfamilial aggression, measured by summoning jays to playbacks of territorial scolding, is not directly correlated with rank in the family hierarchy, in that breeding females respond more quickly than their male helpers. During brief visits to a neutral feeding area, jays from different families often forage within inches of each other with almost no conflict. Intrafamilial dominance-subordinance relationships are viewed as an early behavioral modification associated with the evolution of the helper system in the Florida scrub jay. Through dominance, family members establish their actual, or potential, reproductive positions in the population while deriving the benefits of living in a family group. Breeding males reduce the threat of cuckoldry or loss of territory by dominating their male helpers. The probable timing of breeding opportunities for coexisting male helpers is ordered according to the dominance hierarchy established among them. Passiveness may be selectively favored in females, whose successful dispersal and pairing requires continued submissive behavior in all but territorial displays. Juvenile dominance behavior may facilitate social development through use of postures and vocalizations important to their future activities as breeding adults.</t>
  </si>
  <si>
    <t>10.2307/1367524</t>
  </si>
  <si>
    <t>WOS:A1977DN61900001</t>
  </si>
  <si>
    <t>Lofgren, SE; Wiener, P; Blott, SC; Sanchez-Molano, E; Woolliams, JA; Clements, DN; Haskell, MJ</t>
  </si>
  <si>
    <t>Lofgren, Sarah E.; Wiener, Pamela; Blott, Sarah C.; Sanchez-Molano, Enrique; Woolliams, John A.; Clements, Dylan N.; Haskell, Marie J.</t>
  </si>
  <si>
    <t>Management and personality in Labrador Retriever dogs</t>
  </si>
  <si>
    <t>Canine personality is of keen interest to dog owners and researchers alike. The regular human contact with them makes dogs an ideal species to use in the investigation of animal personality. This study specifically focused on Labrador Retrievers, consistently one of the most popular breeds both in the UK and around the world. Using surveys completed by dog owners, data was gathered on the behaviour of the dogs, in addition to the physical characteristics and management characteristics of the dogs (n = 1978). Twelve personality traits were identified and investigated for associations with the demographic data. It was found that the working status of the dog was more commonly associated with differences in personality than other analyzed factors. Gundogs had higher scores for 'fetching tendency' and 'trainability' than Showdogs or Pets (P &lt; 0.05). Chocolate dogs were more 'agitated when ignored' and showed more 'excitability' than black dogs, and lower 'trainability' and 'noise fear' than both yellow and black dogs (all P &lt; 0.05). Dogs exercised for longer periods showed less aggression, less fear of humans and objects and lower separation anxiety than dogs that were not as active. The effects observed in this study may be due to the experience and training of the dogs, the work-related genetic strain of Labrador Retriever or most likely, a combination of both influences. (C) 2014 Elsevier B.V. All rights reserved.</t>
  </si>
  <si>
    <t>Clements, Dylan N/A-7570-2012</t>
  </si>
  <si>
    <t>Clements, Dylan/0000-0002-0596-1885; Blott, Sarah/0000-0003-0233-6846; Haskell, Marie/0000-0001-9373-0624; Sanchez-Molano, Enrique/0000-0003-2734-8560</t>
  </si>
  <si>
    <t>10.1016/j.applanim.2014.04.006</t>
  </si>
  <si>
    <t>WOS:000337998000006</t>
  </si>
  <si>
    <t>Peer, BD; Rothstein, SI; Delaney, KS; Fleischer, RC</t>
  </si>
  <si>
    <t>Peer, Brian D.; Rothstein, Stephen I.; Delaney, Kathleen S.; Fleischer, Robert C.</t>
  </si>
  <si>
    <t>Defence behaviour against brood parasitism is deeply rooted in mainland and island scrub-jays</t>
  </si>
  <si>
    <t>When selection pressures for an adaptation relax, the trait may decline, or it may be maintained if there are no fitness costs. The interactions between avian brood parasites and their hosts are dynamic, with selection pressures changing as host or parasite ranges shift, or as parasites switch to new hosts once old hosts evolve defences. The extent to which hosts retain defences in the absence of parasites has important consequences to parasite-host coevolution. We tested whether island scrub-jays, Aphelocoma insularis, and western scrub-jays, A. californica, have maintained egg ejection behaviour in the absence of brood parasitism and provide an estimate of how long they have maintained ejection. Island scrub-jays and western scrub-jays ejected 100% of foreign eggs placed into their nests, and genetic analyses revealed no evidence of conspecific brood parasitism that could maintain ejection. Extreme variation in intraclutch egg appearance may result in hosts ejecting their own oddly coloured eggs, which would select against the maintenance of ejection. However, island, western and Florida scrub-jays, A. coerulescens, also an ejecter, showed less variation than the common grackle, Quiscalus quiscula, a species that has an extremely high level of intraclutch egg variation and may have lost its rejection defence, because it rejects its own oddly coloured eggs. Based on molecular clock analyses of mitochondrial DNA control region and ND2 sequences, island and western scrub-jays split approximately 140 000-151000 years ago, western and Florida scrub-jays 1000 000 years ago, and island and Florida scrub-jays 1250 000 years ago. Ejection behaviour may have been maintained this long in the absence of parasitism, but it is possible that scrub-jays were parasitized as recently as the end of the Pleistocene 10 000 years ago, when cowbirds were more abundant. Nevertheless, these results indicate that (1) egg ejection is not a costly trait to maintain in scrub-jays, (2) brood parasites may not be able to alternate between well-defended hosts and hosts that have lost ejection defence following past episodes of parasitism and (3) brood parasites may have to deal with host communities that have well-developed defences by evolving specialized adaptations for a single host species or a small set of species. (c) 2006 The Association for the Study of Aninial Behaviour Published by Elsevier Ltd. All rights reserved.</t>
  </si>
  <si>
    <t>10.1016/j.anbehav.2006.06.005</t>
  </si>
  <si>
    <t>WOS:000243735000006</t>
  </si>
  <si>
    <t>Brante, A; Riera, R; Riquelme, P</t>
  </si>
  <si>
    <t>Brante, Antonio; Riera, Rodrigo; Riquelme, Pamela</t>
  </si>
  <si>
    <t>Aggressive interactions between the invasive anemone Anemonia alicemartinae and the native anemone Phymactis papillosa</t>
  </si>
  <si>
    <t>The distribution range expansion of species mediated by natural or anthropic mechanisms is one of the main causes of changes in biodiversity patterns. Anemonia alicemartinae is a cryptogenic species found along the coasts of the Southeast Pacific Ocean. This species has expanded its range by &gt;1900 km along the Chilean coast throughout the last 50 yr. A. alicemartinae cohabits with the native anemone Phymactis papillosa in the low intertidal zone, and given the limited mobility of both species, limited space could encourage aggressive behavior between them. P. papillosa shows different color phenotypes, and, as in other anemone species, color is associated with its level of aggressiveness. Here, we evaluated the aggressive behavior of A. alicemartinae on 2 color morphotypes of P. papillosa. Also, intraspecific agonistic interactions were considered in individuals of A. alicemartinae from 2 localities. Four experiments were conducted: (1) individual vs. individual, (2) individual vs. group forming a frontal line, (3) individual vs. group surrounding the individual and (4) group vs. group. Results showed A. alicemartinae to be a weak competitor against P. papillosa. The cryptogenic species lost more contests with green P. papillosa than with the red phenotype. Few aggressive interactions between conspecifics of A. alicemartinae were found. Results suggest that the expansion success of A. alicemartinae could be explained by alternative strategies, such as escape behavior, asexual reproduction and high dispersal potential.</t>
  </si>
  <si>
    <t>RIERA, RODRIGO/ABH-1351-2020</t>
  </si>
  <si>
    <t>RIERA, RODRIGO/0000-0003-1264-1625; Brante, Antonio/0000-0002-2699-9700</t>
  </si>
  <si>
    <t>10.3354/ab00718</t>
  </si>
  <si>
    <t>WOS:000518432200009</t>
  </si>
  <si>
    <t>Pelicice, FM; Andrade, GD; Borges, LEO</t>
  </si>
  <si>
    <t>Pelicice, Fernando Mayer; Andrade, Geovana de Souza; Oliveira Borges, Lucas Elias</t>
  </si>
  <si>
    <t>Polychromatism in native populations of peacock basses Cichla kelberi and Cichla piquiti (Cichlidae)</t>
  </si>
  <si>
    <t>The present study described in detail the occurrence of polychromatism in two peacock bass species (Cichla kelberi and Cichla piquiti) endemic to the Tocantins-Araguaia Basin, Brazil. Based on the data collected in the Lajeado Reservoir between 2010 and 2020, we analyzed the photographs obtained from live individuals in order to describe the range of color variation in the body, fins, and other aspects (spots, ocelli, and bars) and calculated the frequency of color patterns in each species. The results indicated wide variation in body coloration of C. kelberi, ranging from yellow (golden, dark, light, and greenish) to gray (gray, brown, and black) patterns; most fish had different shades of yellow. All fish had three vertical bars, but their sharpness was variable, and some fish had additional faint bars. The operculum region showed colorful patterns (red), but it was highly variable among individuals. Some fish had small dark blotches on the body and whitish-yellow spots on the fins. Cichla piquiti also showed wide variation in body coloration, including gray (with blue hues), yellow, and brown patterns, which were evenly observed in the population. Fish had four to five vertical bars, but some individuals had additional faint bars. The operculum region showed light yellow hues, with little variation. White spots were recorded in the body of some fish, including adults and young; in some, white spots formed unique patterns in the head. Our results demonstrate extensive polychromatism within native populations of both species, a pattern likely associated with ontogenetic changes and the reproductive cycle.</t>
  </si>
  <si>
    <t>10.1007/s10641-022-01313-w</t>
  </si>
  <si>
    <t>WOS:000836521600001</t>
  </si>
  <si>
    <t>Lu, A; Sirimanna, DGR; Wijayathunga, L; Vandercone, R; Salmi, R</t>
  </si>
  <si>
    <t>Lu, Amy; Sirimanna, Don Geethal Ramyanath; Wijayathunga, Lasanthi; Vandercone, Rajnish; Salmi, Roberta</t>
  </si>
  <si>
    <t>Mixed-species associations and attempted mating suggest hybridization between purple-faced and tufted gray langurs of Sri Lanka</t>
  </si>
  <si>
    <t>PRIMATES</t>
  </si>
  <si>
    <t>Hybridization is increasingly recognized as an important mechanism of evolutionary change in the order Primates. Here, we present the first observational data supporting natural hybridization between the critically endangered purple-faced langur (Semnopithecus vetulus philbricki) and the threatened tufted gray langur (Semnopithecus priam thersites) in Kaludiyapokuna Forest Reserve in Sri Lanka. In one case study, we observed a long-term (&gt; 1 year) mixed-species group consisting of one adult tufted gray langur male coexisting with seven adult purple-faced females. Although copulations were not observed, two infants were conceived during the male's tenure, and the coat color of one of these infants transitioned into that intermediate between those of the two langur species. The tufted gray langur male was also aggressive toward extra-group males of both species, as well as towards purple-faced juveniles within his group. However, we never witnessed the male exhibiting aggression towards the infants conceived during his tenure. In a second case study, a female purple-faced langur visited and sexually solicited a tufted gray langur male in a known study group of this species over the course of 2 days, in what resembled a sexual consortship. Taken together, the observed mixed-species association and attempted interspecific mating suggest that hybridization is very likely in these sympatric species. Genetic data are needed to confirm and determine the extent of hybridization in the dry zone of Sri Lanka where purple-faced langurs live in sympatry with tufted gray langurs.</t>
  </si>
  <si>
    <t>salmi, roberta/AAD-6267-2021</t>
  </si>
  <si>
    <t>salmi, roberta/0000-0001-5745-2014; Lu, Amy/0000-0003-4758-216X</t>
  </si>
  <si>
    <t>0032-8332</t>
  </si>
  <si>
    <t>1610-7365</t>
  </si>
  <si>
    <t>10.1007/s10329-020-00852-z</t>
  </si>
  <si>
    <t>WOS:000560278300001</t>
  </si>
  <si>
    <t>Vanderwerf, EA</t>
  </si>
  <si>
    <t>Vanderwerf, Eric A.</t>
  </si>
  <si>
    <t>Sources of variation in survival, recruitment, and natal dispersal of the Hawai'i 'Elepaio</t>
  </si>
  <si>
    <t>I investigated survival, recruitment, and dispersal in the Hawai'i 'Elepaio (Chasiempis sandwichensis sandwichensis), a territorial, nonmigratory monarch flycatcher endemic to the island of Hawai'i. I color-banded and resighted 137 individuals from 1991-2000 and collected longevity data until 2008. The oldest known 'Elepaio was at least 17 years and 10 months old. I used multistate models to examine variation in survival and recruitment, with different states for territory holders and floaters. I classified birds into eight age-sex groups, with individual body size and annual reproduction as covariates. Territory holders of all ages had higher survival than floaters. Survival of territory holders was higher in years with low reproduction and was consistently higher in males (0.87 +/- 0.02) than in females (0.81 +/- 0.03) due to costs of reproduction. Larger body size was associated with higher survival in males but not in females because males engage in more intense physical competition. Survival and recruitment of floaters were influenced by different factors. Survival of floaters was not related to sex or size and may depend on foraging proficiency and avoiding aggression from dominant adults. Older and larger floaters were more likely to recruit. Natal dispersal distances were short but were longer in males (539 +/- 68 m) than in females (357 +/- 82 m), and this difference was due to higher survival of adult males. Accurate estimates of survival and recruitment are crucial for understanding population dynamics and designing effective conservation strategies.</t>
  </si>
  <si>
    <t>10.1525/cond.2008.8476</t>
  </si>
  <si>
    <t>WOS:000258851900004</t>
  </si>
  <si>
    <t>Albor, C; García-Franco, JG; Parra-Tabla, V; Díaz-Castelazo, C; Arceo-Gómez, G</t>
  </si>
  <si>
    <t>Albor, Cristopher; Garcia-Franco, Jose G.; Parra-Tabla, Victor; Diaz-Castelazo, Cecilia; Arceo-Gomez, Gerardo</t>
  </si>
  <si>
    <t>Taxonomic and functional diversity of the co-flowering community differentially affect Cakile edentula pollination at different spatial scales</t>
  </si>
  <si>
    <t>JOURNAL OF ECOLOGY</t>
  </si>
  <si>
    <t>1. The number of co-flowering species, floral density and floral trait diversity can be major determinants of pollinator-mediated plant-plant interactions in a community. However, evaluation of how each one of these co-flowering components affects the pollination success of a single focal plant species, and how these effects vary at different spatial scales, is lacking. 2. Here, we evaluated the effects of functional diversity (flower morphology and colour), taxonomic diversity (reflecting potential sampling effects) and flower density (conspecific and heterospecific), on the pollinator environment (i.e. visitation rate and pollinator diversity) and pollination success (i.e. pollen load size and number of pollen tubes per style) of Cakile edentula (Brassicaceae). We applied structural equation models (SEMs) at the floral-neighbourhood (plot level) and community-wide scales to uncover the factors that mediate co-flowering community effects on C. edentula pollination success. 3. We found that co-flowering community effects at the community level are more important than fine-scale floral-neighbourhood differences in mediating plant pollination success in our study species. Increasing plant functional diversity decreased pollinator visitation rate but increased the diversity of pollinator functional groups visiting C. edentula flowers. Taxonomic diversity negatively affected pollinator diversity suggesting that other unmeasured floral traits may be relevant or that single-species effects (sampling effects) may be important. Overall, our results suggest that functional floral trait diversity in a community may be the most important factor influencing pollination success of species in a community. We also found evidence for intra- and interspecific pollinator competition mediated by flower density, but none of these effects seemed to have a significant impact on pollination success. 4. This study is an important step towards understanding the complexity of co-flowering community effects on the pollination success of individual plant species at multiple spatial scales. This study further reveals the potential importance of plant functional diversity in a community in helping predict competitive and facilitative interactions in co-flowering communities. 5. Synthesis. Floral density and taxonomic and functional co-flowering diversity are important drivers of pollination success in flowering plants. The effects of the co-flowering diversity on the pollination success of plant species can largely depend on the spatial scale being studied. Only evaluating the outcomes of pollinator-mediated plant-plant interactions at multiple stages of the pollination process can lead to a complete understanding of their ecological consequences in nature.</t>
  </si>
  <si>
    <t>Albor, Cristopher/J-4028-2013; Parra-Tabla, Victor/H-7320-2015; Garcia-Franco, Jose G./M-3483-2014; Castelazo, Cecilia Díaz/Q-8973-2018</t>
  </si>
  <si>
    <t>Albor, Cristopher/0000-0002-9870-4094; Parra-Tabla, Victor/0000-0001-5920-0881</t>
  </si>
  <si>
    <t>0022-0477</t>
  </si>
  <si>
    <t>1365-2745</t>
  </si>
  <si>
    <t>10.1111/1365-2745.13183</t>
  </si>
  <si>
    <t>WOS:000484311000012</t>
  </si>
  <si>
    <t>Johnson, RF; Valdés, A</t>
  </si>
  <si>
    <t>The Hypselodoris infucata, H-obscura and H. saintvincentius species complex (Mollusca, Nudibranchia, Chromodorididae), with remarks on the genus Brachychlanis Ehrenberg, 1831</t>
  </si>
  <si>
    <t>The Indo-Pacific species Hypselodoris infucata (Ruppell and Leuckart, 1830) and Hypselodoris obscura (Stimpson, 1855) have been regarded as distinct by most authors. In this paper, numerous specimens with the colour pattern described for both H. infucata and H. obscura, and collected from localities comprising the geographic range of both nominal species, have been examined and anatomically studied. All specimens from south-east Australia. the type locality of H. obscura, consistently have a very long ejaculatory portion of the vas deferens, whereas in specimens collected from other Indo-Pacific localities this portion is very short. There are no other major morphological or anatomical differences between H. infucata and H. obscura. It is not clear whether H. obscura and H. infucata are different species, but since there is at least a consistent anatomical difference between them, they are provisionally regarded as distinct. The reproductive system, radula and external morphology are extremely variable among specimens of H. infucata. Specimens from Indo-Pacific localities other than south-east Australia, even those externally similar to H. obscura, belong to H. infucata. Hypselodoris saintvincentius Burn. 1962, which has been regarded as a synonym of H. infucata. is clearly distinguishable by the external coloration, reproductive system and radular morphology. Phylogenetic evidence indicates that H. saintvincentius is the sister species of H. infucata and H. obscura. A re-examination of the holotype of the uncertain species Brachychlanis pantherina Ehrenberg, 1831 revealed that it is conspecific with Hypselodoris infucata. Therefore, the name Brachychlanis Ehrenberg, 1831, which has not been used for more than 50 years, has preference over the widely used name, Hypselodoris Stimpson, 1855. In order to preserve nomenclatural stability invalidation of the name Brachychlanis is proposed.</t>
  </si>
  <si>
    <t>Valdes, Angel A/Q-1729-2018; Valdes, Angel/K-3051-2012</t>
  </si>
  <si>
    <t>Valdes, Angel/0000-0002-2347-4896; Johnson, Rebecca/0000-0003-2249-2643</t>
  </si>
  <si>
    <t>10.1080/002229301750384310</t>
  </si>
  <si>
    <t>WOS:000170467200003</t>
  </si>
  <si>
    <t>SPAWNING, EGGS AND LARVAE OF THE LONGNOSE FILEFISH OXYMONACANTHUS-LONGIROSTRIS, A MONOGAMOUS CORALIVORE</t>
  </si>
  <si>
    <t>The longnose filefish (Monacanthidae, Oxymonacanthus longirostris) was studied at a patch reef on Enewetak Atoll. It swims with undulations of its median fins and feeds almost continuously on coral polyps, using its beak-like mouth. The spot in the tail resembles an eye so that the tail looks like a head when it protrudes from the coral during feeding. There is slight dichromatism in that males have brighter pelvic flaps. Most of the fish were color tagged for individual recognition. They tended to remain within a given area, although some fish roamed throughout the patch. Most of the larger adults formed monogamous pairs; the smaller fish were variously alone or in groups of 1-5 individuals who appeared to know one another. Only pairs having the largest males, on the periphery of the patch, were clearly territorial. Aggression was a common event featuring a few distinctive displays, most of which were used in courtship as well. Spawning may be a daily event, occurring around 1600 h. The female probes and selects a tuft of blue-green algae; the male nuzzles the female and they spawn in the algae. The green eggs are about 0.7 mm in diameter, demersal, adhesive, and hidden in the algae; they hatched in 53.5 h, just after sunset. The planktonic larvae fit the monacanthid type B of Leis and Rennis (1983) and were initially 2.5 mm TL; by day 5 their yolk was gone.</t>
  </si>
  <si>
    <t>10.1007/BF00004953</t>
  </si>
  <si>
    <t>WOS:A1987K628700003</t>
  </si>
  <si>
    <t>Omura, H; Morozumi, Y; Noguchi, T; Ohta, S</t>
  </si>
  <si>
    <t>Omura, Hisashi; Morozumi, Yutaro; Noguchi, Taro; Ohta, Shinji</t>
  </si>
  <si>
    <t>Variation in cuticular lipid profiles of black butterflies of the genus Papilio in Japan</t>
  </si>
  <si>
    <t>Insect (epi)cuticular lipids characterize sex and species and often play an important role in mating behavior. We previously revealed that two black-colored swallowtail butterflies, Papilio polytes and Papilio protenor, show sexual dimorphism and species specificity in cuticular lipid composition and that P. polytes males use specific monoene components for mate discrimination. These findings suggest that their closely related species may have different profiles of cuticular lipids. We examined the cuticular lipid compositions of five Papilio species (P. bianor, P. maackii, P. helenus, P. macilentus, and P. memnon), closely related and sympatric to P. polytes and P. protenor, and discussed whether it is possible to discriminate between sexes, and between species based on their chemical profiles. The cuticular lipids consist mainly of C23-C31 aliphatic hydrocarbons, in which n-tricosane, nheptacosane, and n-nonacosane are predominant. Several aliphatic ketones, aliphatic acids, and oxygenated terpenoids were also identified as major components shared by several species. There were no components exclusive to a particular species. Conspecific males and females shared most of the components but were mostly distinguishable based on their composition. Moreover, P. helenus males, P. polytes females, and P. protenor females had two different phenotypes of lipid composition. Although unrelated to the genetic lineage, the seven species were classified into four clusters based on their lipid profiles. The first cluster was composed of only P. memnon. The other six species were broadly classified into three clusters consisting of subclusters for each species: 1) P. polytes, P. helenus, P. macilentus, and several P. protenor females; 2) P. bianor and P. protenor; and 3) P. maackii and several P. helenus males. These results indicate that cuticular lipid profiles characterize the species and sex of the Papilio species and may be responsible for mate discrimination among them.</t>
  </si>
  <si>
    <t>1873-2925</t>
  </si>
  <si>
    <t>10.1016/j.bse.2021.104265</t>
  </si>
  <si>
    <t>WOS:000653443100011</t>
  </si>
  <si>
    <t>Penteriani, V; Te, WS; May, CL; Wah, SY; Crudge, B; Broadis, N; Bombieri, G; Valderrábano, E; Russo, LF; Delgado, MD</t>
  </si>
  <si>
    <t>Penteriani, Vincenzo; Te, Wong Siew; May, Chiew Lin; Wah, Seng Yen; Crudge, Brian; Broadis, Nev; Bombieri, Giulia; Valderrabano, Esther; Russo, Luca Francesco; del Mar Delgado, Maria</t>
  </si>
  <si>
    <t>Characteristics of sun bear chest marks and their patterns of individual variation</t>
  </si>
  <si>
    <t>URSUS</t>
  </si>
  <si>
    <t>Animal coloration is widely involved in a variety of social interactions, and mammals can convey information to conspecifics by visual signals, such as colored or contrasting body marks. The sun bear (Helarctos malayanus) has a vibrant and unusual chest mark. Here, we describe the characteristics of sun bear chest marks and their patterns of individual variation by (1) sex, (2) time, and (3) some biochemistry values related to fur pigmentation. Sun bear pictures were taken from 2009 to 2018 at the Bornean Sun Bear Conservation Centre and Free the Bears sanctuary. We hypothesize that chest marks may serve in conspecific communication and, thus, we mainly expect that (a) these marks allow for sexual recognition and, thus, they should show remarkable differences by sex; (b) marks do not change over time because their consistency allows for easier intraspecific recognition; and (c) patterns of variation may be dependent on the age and/or physical condition of an individual. The most common shapes of sun bear chest marks (n = 63 M and 108 F) were U (M = 60.3%, F = 57.4%) and V (M = 31.8%, F = 32.4%) shapes. We did not detect differences in shape patterns by sex and, over the years, chest mark shape never changed for the same bear (n = 49 individuals, 16 M and 33 F). The number of dark dots in chest marks showed large amounts of individual variation (mean +/- SD = 37.7 +/- 26.8 dots; range = 1-143), and the quantity of dark dots increased with bear age. The complexity of sun bear chest marks might be related to the existence of complex interactions among individuals of the same species, which may allow for recognition and evaluation of their individual characteristics, such as age and health. Experimental approaches are needed to understand the potential functions of sun bear chest marks.</t>
  </si>
  <si>
    <t>Russo, Luca Francesco/GZG-2316-2022; Penteriani, Vincenzo/H-1463-2015</t>
  </si>
  <si>
    <t>Penteriani, Vincenzo/0000-0002-9333-7846; Delgado, Maria del Mar/0000-0002-3009-738X; Russo, Luca Francesco/0000-0003-4379-6160</t>
  </si>
  <si>
    <t>1537-6176</t>
  </si>
  <si>
    <t>1938-5439</t>
  </si>
  <si>
    <t>E19</t>
  </si>
  <si>
    <t>e19</t>
  </si>
  <si>
    <t>10.2192/URSUS-D-19-00027.1</t>
  </si>
  <si>
    <t>WOS:000610555300001</t>
  </si>
  <si>
    <t>Coria, PSG; Rendall, D; Ros, RP; García, NC; Llambías, PE</t>
  </si>
  <si>
    <t>Garrido Coria, Paula S.; Rendall, Drew; Panasiti Ros, Rosario; Garcia, Natalia C.; Llambias, Paulo E.</t>
  </si>
  <si>
    <t>Structure and organization of songs of south-temperate Grass Wrens (Cistothorus platensis)</t>
  </si>
  <si>
    <t>Studies of geographic variation in bird song can provide important insights into vocal evolution. An intraspecific approach, focused on a single species with a broad distribution, can be particularly helpful in understanding the diverse selective pressures on the characteristics of songs and singing behavior. Grass Wrens (Cistothorus platensis) are one such species, inhabiting tropical and temperate grasslands across the Neotropics. We studied Grass Wrens in Mendoza, Argentina, to determine the structure, organization, and delivery of their songs, song repertoire sizes, and patterns of song sharing among males in a resident, mainland south-temperate population. Over two breeding seasons, we recorded and analyzed 27,795 songs from 29 color-banded males. Songs of male Grass Wrens contained a few, low-volume introductory notes typically followed by one, but sometimes more, syllable types repeated as a trill. Males often repeated a sequence of two or three different song types (A-B-C, A-B-C, ...) several times before switching to a different sequence (D-E-F). Syllable and song type sharing was high among males. The size of recorded syllable and song type repertoires of individual males varied with sampling effort. The introduction of new syllable or song types by males slowed, but did not reach asymptotes, with increasingly large samples of recordings. Many of these patterns are consistent with previous reports for Grass Wrens and other Cistothorus wrens, possibly representing core features of song design in this species group. Our results concerning song sharing among males in a resident population are also consistent with a previous proposed relationship between male song sharing and breeding-site fidelity. In the latter respect, Grass Wrens of Central and South America are more similar to Marsh Wrens than Sedge Wrens of North America, providing support for a recently proposed split between Grass Wrens and Sedge Wrens formerly considered conspecific.</t>
  </si>
  <si>
    <t>Garrido Coria, Paula Sabrina/0000-0003-4034-0360</t>
  </si>
  <si>
    <t>10.1111/jofo.12395</t>
  </si>
  <si>
    <t>FEB 2022</t>
  </si>
  <si>
    <t>WOS:000751937600001</t>
  </si>
  <si>
    <t>McGraw, KJ</t>
  </si>
  <si>
    <t>Winter plumage coloration in male American goldfinches: Do reduced ornaments serve signaling functions in the non-breeding season?</t>
  </si>
  <si>
    <t>The signaling role of sexual ornaments that are displayed during the mating season is well known for many species, but dimorphisms that occur in the non-breeding season have received much less attention, particularly when individuals only partially express their breeding condition during reproductively inactive periods. I assessed variation in the expression of colorful breeding and non-breeding plumages in male American goldfinches (Carduelis tristis), a species in which males molt out of their colorful breeding ornaments in the fall but still display reduced carotenoid- and melanin-based sexual dichromatism during the winter. I found that variability in the saturation of carotenoid-based plumage pigmentation did not differ significantly between the breeding and non-breeding seasons. Moreover, the area of melanin coloration in the cap was more variable in winter than when it is fully displayed during breeding. I also detected a significant positive correlation between the extent of melanin coloration during the winter and the saturation of non-breeding carotenoid-based plumage. Because of such variation in and correlated expression of these two color ornaments in winter, it is conceivable that male goldfinches display these hints of non-breeding coloration for use as conspecific social or sexual signals. Natural selection pressures like predation and energetic demands are traditionally thought of as factors that restrict sex ornaments to breeding times alone, but this should not preclude animals from simply reducing their exaggerated features during winter and finding an expression optimum that balances signal costs and value. Such 'remnant' winter ornaments might be expected to evolve not only in animals that live in large non-breeding groups (e.g. status-signaling systems) but also in those where mates begin associating before breeding onset.</t>
  </si>
  <si>
    <t>10.1111/j.1439-0310.2004.01011.x</t>
  </si>
  <si>
    <t>WOS:000223642800004</t>
  </si>
  <si>
    <t>Gabbanelli, V; Naylor, G; Weigmann, S; Yang, L; Vazquez, DM; Last, P; de Astarloa, JMD; Mabragaña, E</t>
  </si>
  <si>
    <t>Gabbanelli, Valeria; Naylor, Gavin; Weigmann, Simon; Yang, Lei; Martin Vazquez, Diego; Last, Peter; Diaz de Astarloa, Juan Martin; Mabragana, Ezequiel</t>
  </si>
  <si>
    <t>Morphological and Molecular Evidence Reveals the Longnose Skate Zearaja brevicaudata (Marini, 1933) to be a Senior Synonym of Dipturus lamillai Concha, Caira, Ebert &amp; Pompert 2019</t>
  </si>
  <si>
    <t>Longnose skates have great economic importance in South American fisheries, and in order to preserve them, it is important to have a well-defined taxonomic status of their species. Dipturus lamillai was recently described for Malvinas Islands waters based on morphological and molecular comparisons with Zearaja chilensis. Although D. lamillai has been compared with several congeneric species, it was not properly compared with the morphologically similar Zearaja brevicaudata, the most abundant longnose skate in the Southwest Atlantic. Here, these species were compared by morphological and molecular analyses in order to evaluate their conspecificity. Linear morphometric variables of holotype and paratypes of D. lamillai and 69 specimens of Z. brevicaudata were compared and investigated using Principal Component Analysis. In addition, thorn patterns, denticle distributions, color, and clasper morphology were compared. No body proportions or other single character that could differentiate D. lamillai from Z. brevicaudata were found. Molecular analyses comprised of the comparison of the Cytochrome oxidase subunit I (COI) and the NADH dehydrogenase subunit 2. The results of the Maximum Likelihood (ML) carried out for each molecular marker showed that sequences from D. lamillai clustered together with those of Z. brevicaudata, and the molecular distance determined by Kimura two- parameter were lower than the expected for different species. Additionally, the Automatic Barcode Gap Discovery method and the Bayesian implementation of the Poisson tree processes were carried out with COI sequences to explore species limits, and their results were consistent with ML analyses. In summary, the results obtained showed that there are no morphological or molecular differences between these nominal species of the valid skate genus Zearaja, leading to the conclusion that they are conspecific. Therefore, we designated Z. brevicaudata as a senior synonym of D. lamillai.</t>
  </si>
  <si>
    <t>10.6620/ZS.2022.61-76</t>
  </si>
  <si>
    <t>WOS:001026426500001</t>
  </si>
  <si>
    <t>Kellogg, KA; Stauffer, JR; McKaye, KR</t>
  </si>
  <si>
    <t>Characteristics that influence male reproductive success on a lek of Lethrinops c.f. parvidens (Teleostei: Cichlidae)</t>
  </si>
  <si>
    <t>Sexual selection has long been proposed as a mechanism leading to the diverse cichlid (Teleostei: Cichlidae) fauna of Lake Malawi, Africa. Many of the shallow-water, sand-dwelling, bower-building cichlid species are particularly well suited for studies of sexual selection because they participate in leks. Since females in lekking systems appear to acquire only genetic material from their mates, it has been suggested that leks are ideal systems to study female mate choice. The objectives of the investigation were to examine Lethrinops c.f. parvidens male bower characteristics (i.e., bower size and location) as well as other male characteristics (i.e., length, gular color and duration on the lek) for their influence on male mating success as measured by the number of visits, circles, and eggs laid by females. These measures are nested in that a visit by a female may or may not lead to circling, and circling by a female may or may not lead to egg-laying. We found increased bower height and higher numbers of conspecific neighbors (analogous to shallow-water, near-shore bower positions) to be positively, significantly associated with the number of visits: by females. The only significant correlate with the number of circles was visits, and similarly circles was the only significant correlate with the number of eggs laid. The R-2 value for the egg-laying regression was quite low (19.8%) compared with visits (54.3%) and circling (78.9%), suggesting that fe males may be using additional cues, that we failed to measure, when in close proximity to males or simply that a small proportion of the females were ready to spawn. Both indirect selection and direct selection pressure due to egg predation may have influenced female choice on the lek.</t>
  </si>
  <si>
    <t>10.1007/s002650050007</t>
  </si>
  <si>
    <t>WOS:000085378400007</t>
  </si>
  <si>
    <t>VONHAGEN, HO</t>
  </si>
  <si>
    <t>WAVING DISPLAY IN FEMALES OF UCA-POLITA AND OF OTHER AUSTRALIAN FIDDLER-CRABS</t>
  </si>
  <si>
    <t>Since 1979 it is known that, in Australian species of Uca, female waving exists in addition to usual male display. The present paper deals mainly with female waving in U. polita studied in Darwin (North Australia). A few remarks on U. dampieri, U. vomeris, U. seismella and U. hirsutimanus are added. The species mentioned are members of two species groups or subgenera, which characterizes female waving as an ancestral (plesiomorph) trait. Frame by frame analysis of film sequences (open air shots) indicate homology of movements in the two sexes of U. polita. As in males, waving of females can be combined with locomotion on radial paths starting from the burrow entrance and the display is performed in series with a corresponding number of gestures. Unlike males, waving females mostly use both their chelipeds and tend to show shorter durations with regard to many of the waving parameters chosen. However, significant differences refer only to a limited number of parameters. The biological context of female waving was gathered from films and field observations. High intensity waving is released by conspecifics approaching from far (wanderers without burrows) and from the neighbourhood. Typically, only females and small males elicit high intensity display in a resident female. Waving normally stops in presence of larger males, especially of the male living in a resident breeding unit with the female in question. In spite of this, a pure agonistic (defensive) character of female waving is unlikely. Advertising of breeding condition seems to play a role similar to that in males. The few displaying females that exist in a given colony (about 2.5 % in U. polita) show signs of special sexual excitement: brightening of carapace colours and sometimes spontaneous performance of waving, i.e. display immediately after emergence from the burrow in absence of any conspecific.</t>
  </si>
  <si>
    <t>WOS:A1993KM66900002</t>
  </si>
  <si>
    <t>Detwiler, KM</t>
  </si>
  <si>
    <t>Detwiler, Kate M.</t>
  </si>
  <si>
    <t>Mitochondrial DNA Analyses of Cercopithecus Monkeys Reveal a Localized Hybrid Origin for C-mitis doggetti in Gombe National Park, Tanzania</t>
  </si>
  <si>
    <t>Joint Meeting of the International-Primatological-Society and the American-Society-of-Primatologists</t>
  </si>
  <si>
    <t>AUG 21-26, 2016</t>
  </si>
  <si>
    <t>Chicago, IL</t>
  </si>
  <si>
    <t>Int Primatol Soc,Amer Soc Primatologists</t>
  </si>
  <si>
    <t>In recent years, hybridization has gained recognition as an important creative force in primate evolution. The exchange of genetic material between species provides genetic novelty on which evolutionary forces, such as natural selection, may act. The guenon radiation (Tribe Cercopithecini) is known for numerous cases of contemporary hybridizationin the wild and captivitybetween broadly sympatric species. Interspecific hybrids are viable, and field studies report fertile hybrid females. Despite being a well-documented phenomenon, hybridization among wild guenons is relatively rare and sporadic. An exception is the long-standing hybridization between Cercopithecus mitis doggetti and C. ascanius schmidti in Gombe National Park, Tanzania, where hybrids comprise a significant proportion of the breeding population. Here, I used mitochondrial loci to conduct a genetic survey of the Gombe population and examine the extent and direction of gene flow between the parental species. I extracted DNA from noninvasive fecal samples of unhabituated individuals (N=144 individuals) with known phenotype and provenance. All parental phenotypes and hybrid individuals were identified in the field based on species specific pelage colors and patterns. Phylogenetic analyses of DNA sequences from inside and outside the hybrid zone show Gombe's population of C. mitis doggetti is distinct from neighboring conspecific populations in having mitochondrial DNA of C. ascanius schmidti. All animals surveyed from the hybrid zone have one of two haplotypes of C. ascanius schmidti unique to Gombe. These results provide evidence of asymmetric introgressive hybridization between sympatric guenon species, a likely consequence of colonization patterns of the parental species during range expansions. The spatial distribution patterns of the two haplotypes imply that Gombe is a site of both historic and contemporary hybridization between sympatric guenons. The discovery of gene flow and ongoing hybridization between clearly defined species, ecologically distinct enough to coexist in broad sympatry, provides an ideal system to investigate speciation mechanisms in primate adaptive radiations.</t>
  </si>
  <si>
    <t>10.1007/s10764-018-0029-7</t>
  </si>
  <si>
    <t>WOS:000460006300003</t>
  </si>
  <si>
    <t>Lachlan, RF; Crooks, L; Laland, KN</t>
  </si>
  <si>
    <t>Who follows whom? Shoaling preferences and social learning of foraging information in guppies</t>
  </si>
  <si>
    <t>Preferences of fish for different types of shoals may influence the transmission of novel information through them. We investigated the factors influencing the preferences of guppies, Poecilia reticulata, for different shoals in order to shed some light on how information transmission occurs. Adult subjects were given a choice between swimming with two diverging shoals of conspecifics that differed with respect to key characteristics. In six choice experiments, subjects discriminated between shoal partners on the basis of: (1) shoal size, subjects preferring a shoal of 10 to a single fish; (2) size of shoaling fish, small fish preferring small conspecifics rather than an equal number of large fish, while large fish showed no preference; (3) local foraging experience of shoaling fish, shoals containing fish that had previously been repeatedly fed in the experimental tank being preferred to shoals with no such experience; and (4) familiarity of shoaling fish, guppies preferring familiar rather than unfamiliar conspecifics. No discrimination on the basis of colour or hunger was observed. In addition, following a shoal to a food site on just three trials allowed guppies to learn a route, or food site, preference. Guppies were considerably more likely to learn to adopt the behaviour shown by members of a shoal of several demonstrators than an alternative behaviour shown by a single conspecific demonstrator. The relationship between preferences for different shoals and the social transmission of information is discussed in the light of these findings. The results suggest that shoaling preferences may strongly influence-the social transmission of novel foraging information or feeding preferences through fish populations, and imply that learned information may diffuse through fish populations in a nonrandom, or directed, manner. (C) 1998 The Association for the Study of Animal Behaviour.</t>
  </si>
  <si>
    <t>Laland, Kevin N/C-9482-2011</t>
  </si>
  <si>
    <t>Lachlan, Robert/0000-0003-0946-1316</t>
  </si>
  <si>
    <t>10.1006/anbe.1998.0760</t>
  </si>
  <si>
    <t>WOS:000075228700021</t>
  </si>
  <si>
    <t>Duffy, JE</t>
  </si>
  <si>
    <t>Species boundaries, specialization, and the radiation of sponge-dwelling alpheid shrimp</t>
  </si>
  <si>
    <t>Microevolutionary studies and natural history suggest that host-specialization has promoted the high diversity of tropical sponge-dwelling snapping shrimps (Decapoda, Alpheidae, Synalpheus). Yet the taxonomic difficulty of this genus has precluded rigorous tests of this hypothesis. S. rathbunae Coutiere is among the most abundant invertebrates inhabiting the framework of sponges and dead coral that forms the floor of Caribbean coral reefs. Even within a small area S. rathbunae exhibits the apparently wide variation in size, color, and morphology that has long frustrated efforts to identify and define species boundaries within this large (&gt; 100 described species) genus. Here I show that sympatric populations of this nominal species occupying different sponge hosts display clear, concordant differences in allozyme genotypes and in multivariate morphometrics, confirming that the populations represent three distinct biological species. Moreover, careful field sampling revealed that the three S. rathbunae taxa and the closely related S. filidigitus Armstrong showed almost no overlap in the species of hosts occupied. Interestingly, while there was significant differentiation between Belizean and Panamanian populations of the one taxon that occurred at both sites (similar to 1500 km apart), these populations were recognizable as conspecific using both genetic and morphological characters. These results show that (1) diversity of Synalpheus, which is already among the most species-rich crustacean genera, is probably several times higher than currently recognized, and (2) species of sponge-dwelling Synalpheus are highly host-specific, with related species distinctly segregated among hosts. Together with previous evidence of host race differentiation within shrimp species, these results suggest a primary role for resource specialization in the origin and/or maintenance of this group's characteristically high diversity. (C) 1996 The Linnean Society of London</t>
  </si>
  <si>
    <t>Duffy, J. Emmett/ABF-9200-2020</t>
  </si>
  <si>
    <t>Duffy, J. Emmett/0000-0001-8595-6391</t>
  </si>
  <si>
    <t>10.1111/j.1095-8312.1996.tb01437.x</t>
  </si>
  <si>
    <t>WOS:A1996UY83000004</t>
  </si>
  <si>
    <t>DECOUX, JP</t>
  </si>
  <si>
    <t>POPULATION-STRUCTURE AND SOCIOECOLOGY OF THE SPECKLED MOUSEBIRD COLIUS-STRIATUS IN NORTHEAST GABON .1. THE FACTS</t>
  </si>
  <si>
    <t>TERRE ET LA VIE-REVUE D ECOLOGIE APPLIQUEE</t>
  </si>
  <si>
    <t>A population of speckled mousebirds C. striatus was color-marked in Makokou, northeast Gabon, and studied from 1973-1977. Two types of social groups were found: sedentary family groups and nomadic groups. The seasonal composition and range of the groups are described. The sex ratio for different age groups is given. Clutch size and mortality are discussed. All young females of the year leave their nesting grounds and scatter beyond the study area, but 1 young male often stays within the parental family group for 1-3 yr. The situation is reversed among adults, those moving away being more often males. Adult females are less nomadic; they often settle temporarily in an area rich in fruit, before becoming satellites to an already established family group, or mating (as beta-females) with a sedentary male. The rate of population turnover is high among adult speckled mousebirds. The area surrounding the nest(s) and roost(s) of a sedentary group is defended by all group members against conspecific intruders. Food sources on the group''s home range are also defended to some extent. A dominant-subordinate hierarachy can be established between females of a given family group, and between adjacent sedentary groups with partially overlapping home ranges. Two females belonging to a same family group may occasionally lay their eggs in the same, well-protected, nest. Helpers at the nest are common among speckled mousebirds. Pair bonds among sedentary breeders may be long-lasting. The size of the foraging flocks increases when food resources become scarce. When threatened by a predator, flocks split up in smaller groups using a different foraging technique. During the dry season, which is also the coldest in the Makokou area, mousebirds huddle in tight clusters at night, but separate during the day.</t>
  </si>
  <si>
    <t>WOS:A1982MW10500003</t>
  </si>
  <si>
    <t>Taylor, LA; McGraw, KJ</t>
  </si>
  <si>
    <t>Taylor, Lisa A.; McGraw, Kevin J.</t>
  </si>
  <si>
    <t>Male ornamental coloration improves courtship success in a jumping spider, but only in the sun</t>
  </si>
  <si>
    <t>In many animals, males display colorful ornaments to females during courtship, the effectiveness of which depends on the ambient lighting environment. While a variety of hypotheses exist to explain both presence of and variation in such traits, many propose that they function as signals and that their presence is required for or improves successful mating. In Habronattus pyrrithrix jumping spiders, males display brilliant, condition-dependent red faces and green legs to drab gray/brown females during courtship. We designed 2 experiments to first test if coloration is required for successful mating and then whether the role of color changes under varying light conditions. In Experiment 1, we paired individual males with virgin females under laboratory lighting and found that blocking either their red or green coloration, or both, had no effect on success (likelihood of copulation, copulation duration, latency to copulation, female aggression, or cannibalism) when compared with sham-treated males. In Experiment 2, we gave virgin females the choice between 2 simultaneously courting males, one with his red coloration blocked and the other that received a sham treatment, and ran trials outdoors in both the sun and the shade. Blocking red facial coloration reduced a males ability to approach a female, but only when courting in the sun. These results suggest that ornamental coloration is not required for mating in H. pyrrithrix, but that red coloration improves success in certain contexts. We discuss implications for the evolution of elaborate, multimodal courtship displays by animals that interact in variable environments.</t>
  </si>
  <si>
    <t>10.1093/beheco/art011</t>
  </si>
  <si>
    <t>WOS:000320409900027</t>
  </si>
  <si>
    <t>Amundsen, T</t>
  </si>
  <si>
    <t>Amundsen, Trond</t>
  </si>
  <si>
    <t>Sex roles and sexual selection: lessons from a dynamic model system</t>
  </si>
  <si>
    <t>Our understanding of sexual selection has greatly improved during the last decades. The focus is no longer solely on males, but also on how female competition and male mate choice shape ornamentation and other sexually selected traits in females. At the same time, the focus has shifted from documenting sexual selection to exploring variation and spatiotemporal dynamics of sexual selection, and their evolutionary consequences. Here, I review insights from a model system with exceptionally dynamic sexual selection, the two-spotted goby fish Gobiusculus flavescens. The species displays a complete reversal of sex roles over a 3-month breeding season. The reversal is driven by a dramatic change in the operational sex ratio, which is heavily male-biased at the start of the season and heavily female-biased late in the season. Early in the season, breeding-ready males outnumber mature females, causing males to be highly competitive, and leading to sexual selection on males. Late in the season, mating-ready females are in excess, engage more in courtship and aggression than males, and rarely reject mating opportunities. With typically many females simultaneously courting available males late in the season, males become selective and prefer more colorful females. This variable sexual selection regime likely explains why both male and female G. flavescens have ornamental colors. The G. flavescens model system reveals that sexual behavior and sexual selection can be astonishingly dynamic in response to short-term fluctuations in mating competition. Future work should explore whether sexual selection is equally dynamic on a spatial scale, and related spatiotemporal dynamics.</t>
  </si>
  <si>
    <t>Amundsen, Trond/0000-0003-4261-0555</t>
  </si>
  <si>
    <t>10.1093/cz/zoy036</t>
  </si>
  <si>
    <t>WOS:000436421000013</t>
  </si>
  <si>
    <t>Ballari, S; Farji-Brener, AG; Tadey, M</t>
  </si>
  <si>
    <t>Ballari, Sebastian; Farji-Brener, Alejandro G.; Tadey, Mariana</t>
  </si>
  <si>
    <t>Waste management in the leaf-cutting ant Acromyrmex lobicornis:: Division of labour, aggressive behaviour, and location of external refuse dumps</t>
  </si>
  <si>
    <t>In leaf-cutting ants, the handling of waste materials from the fungus culture increases the risk of infection. Consequently, ants should manage their waste in a way that minimizes the spread of diseases. We investigated whether in Acromyrmex lobicornis, waste-worker ants (a) also perform roles in foraging or mound maintenance, (b) are morphologically different than other ant workers, and (c) are aggressively discriminated by other worker ants from the same colony. In addition, we investigated whether the location of external waste piles minimizes the probability that wastes spread to the ant nest. In the field, we (a) marked with different colours waste-workers, foragers and mound-workers and monitored whether these ants interchanged their tasks; (b) measured head width, head length, hind femur length and total length of waste-workers; foragers and mound-workers; (c) forced field encounters between waste-workers and foragers, and (d) measured the cardinal orientation of the waste piles in relation to the colony mound. Waste-worker ants did not perform other function outside the nest; neither foragers nor mound-workers managed the waste. Moreover, waste-workers were smaller than foragers and mound-workers, and were attacked if they tried to enter their nest using foraging entrances. The location of external refuse dumps also appears to reduce contamination risks. Waste piles always were down-slope, and often followed the prevailing wind direction. The importance of behaviours such as the division of labour, aggressions against waste-workers and nest compartmentalization (i.e., the orientation of external waste piles) to minimize the spread of pathogens is discussed.</t>
  </si>
  <si>
    <t>Farji-Brener, Alejandro Gustavo/I-8372-2019</t>
  </si>
  <si>
    <t>Farji-Brener, Alejandro Gustavo/0000-0001-7251-3866</t>
  </si>
  <si>
    <t>10.1007/s10905-006-9065-9</t>
  </si>
  <si>
    <t>WOS:000243906500008</t>
  </si>
  <si>
    <t>Gardner, JL; Magrath, RD; Kokko, H</t>
  </si>
  <si>
    <t>Stepping stones of life: natal dispersal in the group-living but noncooperative speckled warbler</t>
  </si>
  <si>
    <t>In most cooperatively breeding birds the offspring of one sex, usually male, delays dispersal to remain on the natal territory and helps its parents to rear subsequent young. Thus delayed dispersal could be the first step in the evolution of cooperative breeding. We studied natal dispersal in a population of the group-living speckled warbler, Chthonicola sagittata, based on observations of a colour-banded population over 3 years. Unlike other group-living members of the Acanthizinae, all juvenile males in this population dispersed to settle on foreign territories as subordinates, which do not help rear the young. Speckled warblers showed all the life history traits that are thought to result in a saturated habitat and lead to delayed dispersal: they were sedentary, had high adult survival and had a male-biased sex ratio. However, they differed from other acanthizids in occurring at low density (0.18 birds/ha) on large breeding territories (6-12 ha), with a maximum of two males per territory. This may allow subordinates to live on foreign territories yet avoid aggression from dominants. A benefit of dispersal is that it provides an additional route to gaining a breeding vacancy. Dispersers can acquire vacancies on their new territory or on a neighbour's, but incest avoidance would be likely to constrain nondispersing males to neighbours' territories. A model of relative lifetime success showed that the survival benefits of natal philopatry are unlikely to outweigh this benefit of dispersal. (C) 2003 Published by Elsevier Ltd on behalf or The Association for the Study of Animal Behaviour.</t>
  </si>
  <si>
    <t>Gardner, Janet L/E-5401-2016; Kokko, Hanna/C-7861-2009; Gardner, Janet/IXD-9137-2023; Magrath, Robert/C-9661-2009</t>
  </si>
  <si>
    <t>Gardner, Janet/0000-0002-1430-4350; Magrath, Robert/0000-0002-9109-609X</t>
  </si>
  <si>
    <t>10.1006/anbe.2003.2206</t>
  </si>
  <si>
    <t>WOS:000185477900013</t>
  </si>
  <si>
    <t>Smith, LC; John-Alder, HB</t>
  </si>
  <si>
    <t>Seasonal specificity of hormonal, behavioral, and coloration responses to within- and between-sex encounters in male lizards (Sceloporus undulatus)</t>
  </si>
  <si>
    <t>This study reports the gender and seasonal specificity of hormonal, behavioral, and coloration responses displayed by resident male lizards (Sceloporus undulatus) exposed to male or female intruders during staged encounters in outdoor enclosures. Resident males were engaged in staged encounters with males or females for 1 h per day on 9 consecutive days during the breeding and postbreeding seasons. Male-specific responses occurred during the breeding but not the postbreeding season. These included (1) a transient increase in plasma testosterone (T) that was evident on Day 4 and had subsided by Day 10, (2) behavioral displays of aggression (full shows and chases), and (3) a lightening of dorsal integumental color. Female-specific behavioral responses (nod sets) were displayed in both seasons. Season-specific responses consisted only of a transient increase in plasma corticosterone (B) during the breeding season that was evident on Day 4 and had subsided by Day 10. Pushups were displayed in response to both genders during both seasons, although the frequency of pushups was significantly higher in response to females than to males during the postbreeding season, The coloration of residents did not change in response to male intruders during the postbreeding season or to females during either season. These results define the gender and seasonal specificity of hormonal, behavioral, and coloration responses of resident male S. undulatus in social interactions with conspecifics. Thus, our results clarify the biological significance of these responses in terms of potentially aggressive versus courtship interactions and breeding versus postbreeding contexts. (C) 1999 Academic Press.</t>
  </si>
  <si>
    <t>10.1006/hbeh.1999.1523</t>
  </si>
  <si>
    <t>WOS:000082107300004</t>
  </si>
  <si>
    <t>Mermoz, ME; Reboreda, JC; Fernández, GJ</t>
  </si>
  <si>
    <t>Mermoz, Myriam E.; Reboreda, Juan C.; Fernandez, Gustavo J.</t>
  </si>
  <si>
    <t>HIGH RATES OF SHINY COWBIRD PARASITISM ON THE BROWN-AND-YELLOW MARSHBIRD SELECT FOR COMPLEMENTARY HOST DEFENSES</t>
  </si>
  <si>
    <t>Hosts of brood parasites may have not developed antiparasitic defenses either because host and parasite are recently sympatric or because costs of potential defenses outweigh their benefits. We studied antiparasitic defenses of the Brown-and-yellow Marshbird (Pseudoleistes virescens) against the Shiny Cowbird (Molothrus bonariensis), evaluating recognition and aggression toward female and male Shiny Cowbirds, estimating rates of rejection of cowbird eggs of different colors, and testing the effect of the size of parasite eggs on host rejection. We also observed and video-recorded host nests to estimate hosts' nest attentiveness, frequency of cowbird visits, and interactions between marshbirds and cowbirds. When marshbirds were faced with dummy models, they attacked first and more intensively those of cowbirds (both sexes) than those of a control species. Frequency of egg ejection increased as differences between cowbird and spotted marshbird eggs increased (immaculate &gt; intermediate &gt; spotted), and spotted eggs were ejected more frequently when laid before than during or after the hosts' laying. Marshbirds ejected artificially added immaculate eggs independently of their size. Cowbirds visited marshbird nests only at the egg stage. Hosts' nest attention was low during egg laying and increased during incubation and after hatching, but aggressiveness against cowbirds was always high. Nest defense was inefficient, as losses due to egg pecking by cowbirds were high. Ejection of cowbird eggs avoided the cost of lower survival of marshbird nestlings in highly parasitized nests. As this defense is cost-free, this small benefit would be sufficient to select for the evolutionary maintenance of egg ejection.</t>
  </si>
  <si>
    <t>Reboreda, Juan C/E-5548-2012; Reboreda, Juan Carlos/HZI-8689-2023</t>
  </si>
  <si>
    <t>10.1525/cond.2013.120146</t>
  </si>
  <si>
    <t>WOS:000328295800023</t>
  </si>
  <si>
    <t>Hawryshyn, CW; Moyer, HD; Allison, WT; Haimberger, TJ; McFarland, WN</t>
  </si>
  <si>
    <t>Multidimensional polarization sensitivity in damselfishes</t>
  </si>
  <si>
    <t>Using electroretinogram recording and microspectrophotometry we investigated spectral sensitivity and ultraviolet polarization sensitivity in three species of coral reef fishes commonly known as damselfishes. Here we show that three species of damselfishes (three-spot damselfish, Dascyllus trimaculatus; blacktail damselfish, D. melanurus; and blue-green chromis, Chromis viridis) have four classes of cone photoreceptors (lambda(max) ranges: ultraviolet 357-367 nm; short wavelength-sensitive 469478 nm; medium wavelength-sensitive 482-493 nm; long wavelength-sensitive 512-524 nm; rods 499-500 nm). The three species shared similar combined spectral sensitivity but surprisingly complicated and varied polarization sensitivity. Damselfish examined in this study have three and four channel polarization sensitivity, the most complex polarization sensitivity recorded for any vertebrate. Such capacity could play an important role in mediating a conspecific visual communication network utilizing polarized light signals in the coral reef environment.</t>
  </si>
  <si>
    <t>Allison, W. Ted/K-5228-2012; Allison, Ted/A-2612-2014</t>
  </si>
  <si>
    <t>Allison, Ted/0000-0002-8461-4864</t>
  </si>
  <si>
    <t>1432-1351</t>
  </si>
  <si>
    <t>10.1007/s00359-003-0392-4</t>
  </si>
  <si>
    <t>WOS:000182652100007</t>
  </si>
  <si>
    <t>POTTI, J; MONTALVO, S</t>
  </si>
  <si>
    <t>POLYGYNY IN SPANISH PIED FLYCATCHERS FICEDULA-HYPOLEUCA</t>
  </si>
  <si>
    <t>BIRD STUDY</t>
  </si>
  <si>
    <t>Polygyny was studied for 4 years in a central Spanish montane population of Pied Flycatchers. The frequency of Polygyny was low (4.4%) and limited to two females per male. Bigamous males only differed from monogamous males in that they were older. Secondary females had a lower reproductive success and their surviving nestlings were smaller and undernourished, probably due to the absence of the male during most of the early nestling period. Primary and secondary nests were separated by short distances, which makes it hard to explain the mating system by male 'cheating' or female-female aggression. Secondary females were mainly young inexperienced birds which might not otherwise have bred in their first potential breeding season.</t>
  </si>
  <si>
    <t>Potti, Jaime/A-3077-2009</t>
  </si>
  <si>
    <t>Potti, Jaime/0000-0002-2284-0022</t>
  </si>
  <si>
    <t>0006-3657</t>
  </si>
  <si>
    <t>1944-6705</t>
  </si>
  <si>
    <t>10.1080/00063659309477126</t>
  </si>
  <si>
    <t>WOS:A1993KU44300004</t>
  </si>
  <si>
    <t>Berlinsky, DL; DiMaggio, MA; Breton, TS; Walsh, J; Kovach, AI</t>
  </si>
  <si>
    <t>Berlinsky, David L.; DiMaggio, Matthew A.; Breton, Timothy S.; Walsh, Jennifer; Kovach, Adrienne I.</t>
  </si>
  <si>
    <t>Peritoneal Pigmentation in Purebred and Hybrid River Herring</t>
  </si>
  <si>
    <t>TRANSACTIONS OF THE AMERICAN FISHERIES SOCIETY</t>
  </si>
  <si>
    <t>River herring (Alewives Alosa pseudoharengus and Blueback Herring A. aestivalis [bluebacks]) are congeneric, anadromous clupeid fishes that hybridize in areas of sympatry. Peritoneal pigmentation is the most diagnostic characteristic used to distinguish the species, but pigmentation has not been examined in hybrids. We developed a molecular-based assay to distinguish purebred river herring species from F1 hybrids and compared the peritoneal pigmentation among captive-raised purebred and hybrid individuals. Both wild-caught Alewife and blueback females tank-spawned with conspecific and congeneric males, but Alewives required exogenous hormone administration. Larvae of both species and hybrids were raised for similar to 290 d posthatch, and peritoneal pigmentation was quantified. A nuclear gene (rag2) restriction fragment length polymorphism assay was used for species and hybrid identification. The peritoneal pigmentation was significantly darker in hatchery-spawned bluebacks than in Alewives, and hybrids exhibited consistent, intermediate expression. Adult individuals collected from the wild, however, exhibited darker (Alewives) or more variable (bluebacks) peritoneal coloration than their respective, captive-reared juveniles. These results indicated that peritoneal pigmentation alone is insufficient for diagnostic river herring species identification and should be coupled with genetic assays.</t>
  </si>
  <si>
    <t>0002-8487</t>
  </si>
  <si>
    <t>1548-8659</t>
  </si>
  <si>
    <t>10.1080/00028487.2015.1037017</t>
  </si>
  <si>
    <t>WOS:000358854700006</t>
  </si>
  <si>
    <t>Cristescu, MI; Popa, LG; Cozma, EC; Celarel, AM; Popa, VT; Lupu, M; Voiculescu, VM</t>
  </si>
  <si>
    <t>Cristescu, Miruna Ioana; Popa, Liliana Gabriela; Cozma, Elena Codruta; Celarel, Ana Maria; Popa, Valentin Tudor; Lupu, Mihai; Voiculescu, Vlad Mihai</t>
  </si>
  <si>
    <t>The Importance of In Vivo Reflectance Confocal Microscopy in a Case of Desmoplastic Melanoma</t>
  </si>
  <si>
    <t>LIFE-BASEL</t>
  </si>
  <si>
    <t>Desmoplastic melanoma accounts for 5% of all cases of melanoma, but its diagnosis can be difficult due to its frequent clinical presentation with amelanotic lesions. Histologically, spindled melanocytes surrounded by a collagenous stroma are observed. Compared with other types of melanoma, the desmoplastic types presents greater local aggression, and is more prone to local recurrence, but has a lower risk of lymph node metastasis. Early detection, accurate staging, and proper surgical management are the main factors associated with higher survival rates in melanoma patients. Reflectance confocal microscopy (RCM) has proven to be a valuable imaging tool in the diagnosis of skin neoplasms, being useful for orientating practitioners towards the diagnosis of melanoma and indicating the necessity of performing a diagnostic biopsy. We present the case of 52-year-old woman, who presented to the dermatology department with an irregular, dark-colored plaque in the right deltoid region. Dermoscopy showed asymmetry with an atypical network and some areas of regression. RCM revealed pagetoid cells in the upper epidermis, cell atypia, non-edged papillae, dermal inflammation, and nucleated cells in the dermis, which are highly suggestive of melanoma. A biopsy was also performed. A histopathology exam confirmed the diagnosis of superficially spreading melanoma with a desmoplastic component, and revealed a Breslow index of 0.9 mm, Clark level IV, an absence of mitoses, angiolymphatic invasion and regression, and complete excision. The CT and PET-CT scans were negative. A biopsy of the axillary sentinel lymph node was conducted, with a negative result obtained, establishing the IB stage of the disease. The patient will remain under follow-up to look for a recurrence or a new primary melanoma.</t>
  </si>
  <si>
    <t>Lupu, Mihai/A-6243-2015</t>
  </si>
  <si>
    <t>Lupu, Mihai/0000-0002-5438-0817</t>
  </si>
  <si>
    <t>2075-1729</t>
  </si>
  <si>
    <t>10.3390/life14050574</t>
  </si>
  <si>
    <t>WOS:001232301700001</t>
  </si>
  <si>
    <t>Heying, HE</t>
  </si>
  <si>
    <t>Social and reproductive behaviour in the Madagascan poison frog, Mantella laevigata, with comparisons to the dendrobatids</t>
  </si>
  <si>
    <t>I present the first behavioural study of natural populations of a Madagascan poison frog. Focal watches of marked individuals were conducted for 925 h, in five populations, across two seasons. Like the New World dendrobatids, these diurnal anurans eat ants and are aposematically coloured. Data are presented that provide additional instances of convergence with the dendrobatids, including (1) extended male-male fights over defended resources necessary for reproductive success of both sexes, (2) stereotyped, highly tactile courtships in which the female may reject initial oviposition sites and (3) complex maternal care. Females return to water-filled phytotelmata, or wells, and lay trophic eggs for their tadpoles, Mantella laevigata has the minimum possible clutch size in anurans (usually one) suggesting a high degree of parental investment. Males defend wells, which attract females that oviposit in the wells. Fertilized eggs ma tr hatch and metamorphose, or may be eaten by a tadpole already in that well, of which the territorial male is probably the father. Unfertilized eggs serve as food for tadpoles. Oviposition-site scouting behaviour of both sexes, and the dependency of tadpole presence on the position of eggs laid, provide evidence of context-dependent, and assessment, behaviour. Females leave courtships most often only after visiting potential oviposition sites, while males usually leave to engage other males in aggression, suggesting that territory maintenance may be the most important component of male reproductive success. Two other species of frogs often prevent M. laevigata from using defended oviposition sites, and larval crane flies predate the eggs of all frog species using water-filled wells. (C) 2001 The Association for the Study of Animal Behaviour.</t>
  </si>
  <si>
    <t>10.1006/anbe.2000.1642</t>
  </si>
  <si>
    <t>WOS:000167990100006</t>
  </si>
  <si>
    <t>Zenzal, TJ; Moore, FR</t>
  </si>
  <si>
    <t>Zenzal, Theodore J., Jr.; Moore, Frank R.</t>
  </si>
  <si>
    <t>Resource use and defence by ruby-throated hummingbirds during stopover</t>
  </si>
  <si>
    <t>Many migrants must forage en route when fuel reserves are depleted and access to resources can be influenced by a variety of factors, including the sex, age, and current fuel stores of individuals, as well as resource availability. The objective of this study is to determine the factors that influence the use and defence of resources by migrating ruby-throated hummingbirds (Archilochus colubris). Our results illustrate that resource use: (1) is dependent on sex and resource defence, (2) decreases with fuel load and (3) increases with stopover duration as well as the number of unique feeders visited. Resource defence is closely tied to (1) competition, with the greatest conspecific density resulting in focal individuals being chased from feeders and (2) the interplay between resource quality and fuel load. Our research enhances our understanding of strategies migratory birds use to acquire and defend resources during stopover.</t>
  </si>
  <si>
    <t>Zenzal, Theodore/0000-0001-7342-1373</t>
  </si>
  <si>
    <t>10.1163/1568539X-00003533</t>
  </si>
  <si>
    <t>WOS:000457844100002</t>
  </si>
  <si>
    <t>Brévault, T; Quilici, S</t>
  </si>
  <si>
    <t>Brevault, T.; Quilici, S.</t>
  </si>
  <si>
    <t>Oviposition preference in the oligophagous tomato fruit fly, Neoceratitis cyanescens</t>
  </si>
  <si>
    <t>We assessed the role of visual and olfactory cues on oviposition preference in the oligophagous tomato fruit fly, Neoceratitis cyanescens (Bezzi) (Diptera: Tephritidae). In a field survey, we evaluated the stage of susceptibility of field-grown tomatoes by monitoring N. cyanescens infestations from fruit-setting up to harvest, in relation to post-flowering time, size, and visual properties of fruit. In two-choice laboratory experiments, we tested the degree to which females use visual and olfactory cues to select their host plant for oviposition. In addition, we investigated the ability of flies to avoid fruit already infested by conspecific eggs or larvae, and the influence of natal host fruit on oviposition preference. Neoceratitis cyanescens females preferentially lay their eggs in small yellow-green unripe fruit (2-3.5 cm diameter, 10-21 days post-flowering). Damage to fruit was significantly affected by brightness and size properties. In laboratory experiments, females chose to lay their eggs in bright orange rather than yellow domes. On the sole basis of olfactory stimuli, females showed a significant preference for unripe vs. ripe host fruit, for unripe fruit vs. flowers or leaves, and for host vs. non-host fruit (or control). However, colour interacted with odour as females dispatched their eggs equally between the yellow dome and the bright orange dome when unripe fruit of tomato was placed under the yellow dome vs. ripe fruit under the bright orange dome. When offered real ripe and unripe tomatoes, females preferred unripe tomatoes. Females significantly chose to lay eggs in non-infested fruit when they were given the choice between these or fruit infested with larvae. In contrast, recent stings containing eggs did not deter females from laying eggs. Rather, they could have an attractive effect when deposited within &lt; 1 h. Regardless of their natal host plant, tomato or bugweed, N. cyanescens females laid significantly more eggs in a dome containing bugweed fruit. However, 15% of females originating from tomato laid eggs exclusively in the dome with tomato, against 3% of females originating from bugweed.</t>
  </si>
  <si>
    <t>Brévault, Thierry/F-2653-2011; Brevault, Thierry/R-9757-2019; Brévault, Thierry/AAV-5990-2021</t>
  </si>
  <si>
    <t>Brevault, Thierry/0000-0003-0159-3509; Brévault, Thierry/0000-0003-0159-3509</t>
  </si>
  <si>
    <t>1570-7458</t>
  </si>
  <si>
    <t>10.1111/j.1570-7458.2009.00913.x</t>
  </si>
  <si>
    <t>WOS:000270648800007</t>
  </si>
  <si>
    <t>Aspbury, A; Gibson, RM</t>
  </si>
  <si>
    <t>Long-range visibility of greater sage grouse leks: a GIS-based analysis</t>
  </si>
  <si>
    <t>We investigated whether male greater sage grouse, Centrocercus urophasianus, select lek locations on the basis of topographic features that affect their visibility to both conspecific females and a major avian predator, the golden eagle, Aquila chrysaetos. We mapped locations of displaying males at all leks in a local population and used a Geographic Information System (GIS) and digital elevation model (DEM) to generate 'viewsheds' around male locations within a boundary set by the estimated maximal visual acuity of the viewer. Areas visible around leks were compared to those visible around random sites with the same conformation of displaying males. Male sage grouse displayed at sites where surrounding topography both diminished long-range visibility (&gt;1000 m) and enhanced short-range visibility (&lt;500 m) to ground observers. These characteristics could (1) force eagles to monitor lek activity from the air, where they may be more visible to their prey, (2) make displaying males more visible to females and (3) allow males to monitor predators approaching the lek more easily. These results suggest that, in open habitats, visually signalling animals may exploit local topography to control both their visibility to receivers and the visibility of their immediate surroundings. (C) 2004 The Association for the Study of Animal Behaviour. Published by Elsevier Ltd. All rights reserved.</t>
  </si>
  <si>
    <t>10.1016/j.anbehav.2003.06.021</t>
  </si>
  <si>
    <t>WOS:000222591300017</t>
  </si>
  <si>
    <t>Mennill, DJ; Ratcliffe, LM</t>
  </si>
  <si>
    <t>Nest cavity orientation in black-capped chickadees Poecile atricapillus:: do the acoustic properties of cavities influence sound reception in the nest and extra-pair matings?</t>
  </si>
  <si>
    <t>Birds that nest in cavities may regulate nest microclimate by orienting their nest entrance relative to the sun or prevailing winds. Alternatively, birds may orient their nest entrance relative to conspecific individuals around them, especially if the acoustic properties of cavities permit nesting birds to better hear individuals in front of their nest. We measured the cavity entrance orientation of 132 nests and 234 excavations in a colour-banded population of black-capped chickadees Poecile atricapillus for which the reproductive behaviour of nesting females was known. Most chickadees excavated cavities in rotten birch Betula papyrifera, aspen Populus tremuloides and maple Acer saccharum. Nest cavities showed random compass orientation around 360degrees demonstrating that chickadees do not orient their cavities relative to the sun or prevailing winds. We also presented chickadees with nest boxes arranged in groups of four, oriented at 90degrees intervals around the same tree. Nests constructed in these nest box quartets also showed random compass orientation. To test the acoustic properties of nest cavities, we conducted a sound transmission experiment using a microphone mounted inside a chickadee nest. Re-recorded songs demonstrate that chickadee nest cavities have directional acoustic properties; songs recorded with the cavity entrance oriented towards the loudspeaker were louder than songs recorded with the cavity entrance oriented away from the loudspeaker. Thus, female chickadees, who roost inside their nest cavity in the early morning during their fertile period, should be better able to hear males singing the dawn chorus in front of their nest cavity. Using GIS analyses we tested for angular-angular correlation between actual nest cavity orientation and the azimuth from the nest tree to the territories and nest cavities of nearby males. In general, nest cavity entrances showed no angular-angular correlation with neighbourhood territory features. However, among birds who followed a mixed reproductive strategy and nested in the soft wood of birch and aspen trees, nest cavity entrances were oriented towards their extra-pair partners. We conclude that nest cavity orientation in birds may be influenced by both ecological and social factors.</t>
  </si>
  <si>
    <t>10.1111/j.0908-8857.2004.03351.x</t>
  </si>
  <si>
    <t>WOS:000225224600004</t>
  </si>
  <si>
    <t>DECKER, DM</t>
  </si>
  <si>
    <t>SYSTEMATICS OF THE COATIS, GENUS NASUA (MAMMALIA, PROCYONIDAE)</t>
  </si>
  <si>
    <t>PROCEEDINGS OF THE BIOLOGICAL SOCIETY OF WASHINGTON</t>
  </si>
  <si>
    <t>Systematics of the genus Nasua was examined using both qualitative and quantitative techniques. Principal component analysis was used to assess morphologic variation among the species of Nasua. Mann-Whitney U tests were used to determine whether there were any difference among the three taxa in any of the quantitative features measured and to determine whether the Cozumel coati was significantly smaller than N. narica of the Yucatan peninsula (including the Yucatan, Campeche, and Quintana Roo departments). Morphological features were examined to determine whether there were any qualitative features that could distinguish between any of the species of Nasua. Principal component analysis showed that N. nelsoni was not distinctly smaller in body size when compared to a series of mainland coatis. Mann-Whitney U tests revealed significant differences between N. nasua and N. narica (P &lt; 0.01) is most quantitative features measured. Significant differences (P &lt; 0.05) were found between Yucatan N. narica and N. nelsoni for 27 of the 32 quantitative features measured; however, when N. nelsoni was compared to a geographically representative sample of mainland N. narica, only 16 of the 32 features were significant (P &lt; 0.05). Eight qualitative features, including features of the anterior alveolar foramen, nasal bones, postorbital process of the jugal bone, mesopterygoid region of the palate, m2 entoconid, baculum, nose color, and hair at the nape of the neck were found to separate N. nasua from N. narica and N. nelsoni. Differences in the quantitative analyses between N. nasua and N. narica and between N. nelsoni and N. narica are differences commonly seen at the subspecific level and are not considered of sufficient nature to recognize any of the taxa as distinct species based on these quantitative features. The qualitative features were found useful in separating N. nasua from N. narica. No qualitative features were found to separate N. nelsoni from N. narica. Based on results of this study, N. nelsoni should be considered conspecific with N. narica. Therefore, only two species of Nasua (N. nasua and N. narica) are recognized.</t>
  </si>
  <si>
    <t>0006-324X</t>
  </si>
  <si>
    <t>JUN 18</t>
  </si>
  <si>
    <t>WOS:A1991FT32000019</t>
  </si>
  <si>
    <t>López, P; Martín, J</t>
  </si>
  <si>
    <t>Pheromonal recognition of females takes precedence over the chromatic cue in male Iberian wall lizards Podarcis hispanica</t>
  </si>
  <si>
    <t>Sex recognition is based on colour signals in many species of lizards. However, olfactory stimuli are also clearly involved, and many species might rely more on chemoreception. We aimed to examine whether colour pattern or odours, or both, are used in sex recognition and which cues elicit courtship of females by males of the lizard Podarcis hispanica. We experimentally manipulated the coloration and odour of female P. hispanica, thereby creating groups with all combinations between coloration and odour of males and females. Using data from staged encounters, we compared the responses of resident males to manipulated and unmanipulated individuals (males and females). Responding males reacted significantly more aggressively to female intruders with male odours, independently of their coloration. Nevertheless, coloration seemed to be important in long-distance sex recognition since, in the first minutes, females painted as females received a lower number of aggressive responses. Both colour and odour were important in eliciting male courtship. However. females painted as females and with female odours were preferentially courted. Comparisons with unmanipulated male and female intruders agreed with these expectations. Therefore, at close range, odoriferous cues seem to be more important than colour patterns in sex recognition, but female coloration is also useful at long range to deter the aggressive response of males and to elicit courtship in conjunction with odours.</t>
  </si>
  <si>
    <t>10.1046/j.1439-0310.2001.00724.x</t>
  </si>
  <si>
    <t>WOS:000172914000004</t>
  </si>
  <si>
    <t>Davies, P; Sheehan, EV</t>
  </si>
  <si>
    <t>Davies, Peter; Sheehan, Emma V.</t>
  </si>
  <si>
    <t>Laser chasing behaviour of wild fishes exploited as a tool to compare space use between size, sex and species</t>
  </si>
  <si>
    <t>JOURNAL OF APPLIED ICHTHYOLOGY</t>
  </si>
  <si>
    <t>The spatial extent of animal movement is a key consideration when designing conservation measures, such as marine protected areas. Methods to assess territory size in the marine environment, however, are labour intensive and/or expensive. Here, we explore a novel method to investigate the spatial ecology of territorial fishes by examining their reactions to an artificial light stimulus. During benthic towed video surveys conducted in Lyme Bay, southwest England, several species of wrasse (Labridae) have frequently been observed pursuing a laser projected onto the seabed. While the motivation behind 'laser-chasing' is unclear, we quantified the spatial aspects of this behaviour by comparing chase distance and chase likelihood between and within species, to determine the potential utility of this method for investigating space use and aggression in wild fishes. Cuckoo wrasse (Labrus mixtus) were significantly more likely to display agonistic behaviour towards the laser than Goldsinny wrasse (Ctenolabrus rupestris). Goldsinny wrasse displayed a positive relationship between total length and chase-distance, but not Cuckoo wrasse. The observed species differences may relate to behavioural factors affecting the motivation behind 'laser-chasing', which is discussed. Chases by the cuckoo wrasse were significantly longer than those by Goldsinny wrasse, and these chase distances were used to estimate theoretical territory sizes for each species. To our knowledge, this is the first study to explore the spatial aspects of the reactions to an artificial stimulus by wild fishes. The potential to develop the method to directly investigate aspects of territoriality and aggression in wild fishes is discussed, including necessary further refinements and testing. Wild wrasses are increasingly exploited in Europe to provide cleaner fish for salmonid aquaculture, and we encourage the development of methods to inform spatial conservation measures for these ubiquitous and iconic species.</t>
  </si>
  <si>
    <t>Sheehan, Emma/0000-0002-1066-8237; Davies, Peter/0000-0003-3739-5352</t>
  </si>
  <si>
    <t>0175-8659</t>
  </si>
  <si>
    <t>1439-0426</t>
  </si>
  <si>
    <t>10.1111/jai.13982</t>
  </si>
  <si>
    <t>WOS:000499266300006</t>
  </si>
  <si>
    <t>Gerald, MS; McGuire, MT</t>
  </si>
  <si>
    <t>Gerald, M. S.; McGuire, M. T.</t>
  </si>
  <si>
    <t>Secondary sexual coloration and CSF5-HIAA are correlated in vervet monkeys (Cercopithecus aethiops sabaeus)</t>
  </si>
  <si>
    <t>JOURNAL OF MEDICAL PRIMATOLOGY</t>
  </si>
  <si>
    <t>Background Identifying indirect markers of the physiology or neuroendocrinology of a primate can provide a powerful tool to scientists. Anecdotal descriptions and recent experimental evidence suggests that the colorful sexual skin in adult male vervet monkeys (Cercopithecus aethiops sabaeus) might be sensitive to social changes, including dominance relationships, which could be related to serotonergic activity. The present study examined whether individual differences in scrotal coloration were related to cisternal cerebrospinal fluid concentrations of 5-hydroxyindoleacetic acid (CSF 5-HIAA) in a captive population of vervet monkeys. Results Darkly colored males had relatively higher CSF 5-HIAA concentrations than paler males, and scrotal color hue was also related CSF 5-HIAA concentrations. Conclusions These preliminary data are compatible with the hypothesis that scrotal coloration serves as an indirect marker of serotonergic activity. These findings suggest that color assessments might be useful to consider for study design, as well as for animal welfare and captive management.</t>
  </si>
  <si>
    <t>0047-2565</t>
  </si>
  <si>
    <t>10.1111/j.1600-0684.2007.00227.x</t>
  </si>
  <si>
    <t>WOS:000250553200003</t>
  </si>
  <si>
    <t>Germain, RR; Marra, PP; Kyser, TK; Ratcliffe, LM</t>
  </si>
  <si>
    <t>Germain, Ryan R.; Marra, Peter P.; Kyser, T. Kurt; Ratcliffe, Laurene M.</t>
  </si>
  <si>
    <t>ADULT-LIKE PLUMAGE COLORATION PREDICTS WINTER TERRITORY QUALITY AND TIMING OF ARRIVAL ON THE BREEDING GROUNDS OF YEARLING MALE AMERICAN REDSTARTS</t>
  </si>
  <si>
    <t>The quality of winter territory can have important consequences for migratory songbirds throughout the year. In the American Redstart (Setophaga ruticilla), a warbler in which plumage maturation is delayed, yearling males winter in a variety of habitat types that vary in quality. Little is known regarding which physical traits allow some yearlings to occupy higher-quality sites. Here, we measured eight variables characterizing the plumage and morphology of yearling males in two habitats that differ in suitability to determine which aspects of phenotype predict winter habitat occupancy. Yearlings wintering in high-quality mangrove habitat in Jamaica had more extensive adult-like black plumage on their breast than those in low-quality scrub. No other phenotypic differences associated with winter habitat were detected. Additionally, yearling males arriving earlier on the breeding grounds in Ontario had more extensively black breasts than those arriving later. Previous studies using stable carbon isotopes have linked adult male American Redstarts' date of arrival in the breeding range with quality of their winter habitat. Our findings indicate an association between the extent of adult-like plumage and habitat occupancy, suggesting that variation in yearling males' appearance may be correlated with their ability to compete for high-quality habitat.</t>
  </si>
  <si>
    <t>Germain, Ryan/JAC-6664-2023</t>
  </si>
  <si>
    <t>Marra, Peter/0000-0002-0508-7577; Kyser, Kurt/0000-0001-9667-4103; Germain, Ryan/0000-0002-2473-0070</t>
  </si>
  <si>
    <t>10.1525/cond.2010.090193</t>
  </si>
  <si>
    <t>WOS:000285727700006</t>
  </si>
  <si>
    <t>Norring, M; Ko, HL; Valros, A</t>
  </si>
  <si>
    <t>Norring, Marianna; Ko, Heng-Lun; Valros, Anna</t>
  </si>
  <si>
    <t>Development of flank lesions in growing pigs after weaning: A case study</t>
  </si>
  <si>
    <t>Flank lesions in pigs are a common yet poorly understood consequence of damaging social behavior. One group of pigs on a commercial farm with group lactation and late weaning, and with the history of flank lesions was studied. Skin lesions on the flanks, including linear and circular lesions, and tail lesions on 69 pigs were recorded six times during 5 weeks after weaning at the age of 9 weeks. Nosing behavior was scanned during six sessions with multiple scans. The associations of age, trunk whiteness, weight gain, sow parity, litter size, sex, and tail lesions with the number of circular and linear lesions were analyzed using linear mixed models. The number of linear lesions increased as pigs aged, and pigs with a higher weight gain had more linear lesions. Moreover, pigs with a whiter trunk color were scored with more lesions of both types. According to descriptive behavior data, nosing and biting behaviors were most frequent during weeks 2-4 after weaning at the age of 11-13 weeks. On average, seven circular flank lesions were found per pig during the experiment, at the age of 10-14 weeks. After the peak on day 17, their occurrence decreased. Skin lesion occurrence was related to a lighter skin color on the trunks of pigs. We recommend reporting skin color in connection with lesion scoring results. Nosing behavior and flank lesions both peaked from 2 to 4 weeks after weaning, suggesting that nosing behavior contributed to lesion development during this time.</t>
  </si>
  <si>
    <t>Norring, Marianna/0000-0001-8130-3959; Ko, Heng-Lun/0000-0003-1242-791X; Valros, Anna/0000-0002-4431-3346</t>
  </si>
  <si>
    <t>JAN 12</t>
  </si>
  <si>
    <t>10.3389/fvets.2022.1070206</t>
  </si>
  <si>
    <t>WOS:000920676700001</t>
  </si>
  <si>
    <t>DAVIS, J</t>
  </si>
  <si>
    <t>NATURAL HISTORY VARIATION AND DISTRIBUTION OF STRICKLANDS WOODPECKER</t>
  </si>
  <si>
    <t>Strickland''s woodpecker (Dendrocopos stricklandi) was studied in Mexico from Jan. through May, 1961, and in southeastern Arizona in June and July, 1961. The sp. includes 2 groups. The arizonae group includes a series of populations characterized by dark brown pileum and nape, medium brown dorsum and rump, upper parts immaculate or nearly so, and underparts spotted and barred. This group ranges from southeastern Arizona and southwestern New Mexico south to the east-central part of the Mexican state of Michoacan, and it occurs between about 4,000 and 8,000 feet, occasionally higher. The stricklandi group is characterized by dark, sooty brown coloration, heavily white-barred dorsum and rump, and streaked and barred underparts. It occupies high elevations, between 8,500 and 13,500 feet, in the Mexican states of Mexico, Morelos, Puebla, and Veracruz, and in the Distrito Federal. In the northwestern part of its range the arizonae group forages mainly in oaks. In the southeastern part of its range, populations of the arizonae group occur almost entirely in pine woodland. The stricklandi group occurs in woodlands and forests which are dominated by conifers, especially by pines, with oaks and alders interspersed as less prominent elements. In dimensions, there are 4 generally concordant northwest-southeast clines of decreasing size of bill, wing, tail, and tarsus in the arizonae group. Bill size continues to decrease sharply in the stricklandi group, but wing and tail lengths increase markedly, with abrupt reversal of the clines in those dimensions. Tarsal length shows less clinal variation than the other dimensions. The relatively long wing and tail of stricklandi may reflect adaptation to flight in the less dense atmosphere of high altitudes. The very small bill of the stricklandi group may reflect dependence on conifers as primary foraging sites, reinforced by selection pressures exerted by climate in accordance with Allen''s Rule. There is a further possibility that the very small bill of the stricklandi group may reflect a foraging method different from that used by arizonae. The arizonae and stricklandi groups are similar in coloration of the pileum and nape. They differ strongly and consistently in depth of color of the dorsum and rump and in ventral pattern. They differ less consistently, but to a considerable degree, in extent of the red on the head in adult males. Without the test of sympatry, the two groups are here regarded as conspecific, thus emphasizing allopatric distribution, similarities in dorsal pattern, in pileum and nape color, in vocalizations, and in ecology of the two groups where they approach geographically. The recently named race websteri Phillips, originally described from Nayarit and western Jalisco, is recognized on the basis of size differences but is here given a more extensive range.</t>
  </si>
  <si>
    <t>10.2307/4083220</t>
  </si>
  <si>
    <t>WOS:A19657680200001</t>
  </si>
  <si>
    <t>Li, N; Jiang, L; Wang, JS; Hua, BZ</t>
  </si>
  <si>
    <t>Li, Ning; Jiang, Lu; Wang, Ji-Shen; Hua, Bao-Zhen</t>
  </si>
  <si>
    <t>Integrative taxonomy of the seasonally polyphenic scorpionfly Panorpa liui Hua, 1997 (Mecoptera: Panorpidae)</t>
  </si>
  <si>
    <t>Seasonal polyphenism is a phenomenon where two or more phenotypes are produced from a single genotype in different seasons. This phenomenon, a special type of phenotypic plasticity, is one of the major reasons for the success of insects and is also one of the primary sources of synonymy generations in insect taxonomy. Two nominal scorpionflies, Panorpa liui Hua, 1997 and Panorpa jilinensis Zhou, 2000 from the northeastern region of China, are very similar in morphology except for body coloration. However, whether they are conspecific or distinct species remains to be resolved. Here, we investigated these two nominal species through integrative taxonomy, including morphological variation analyses, geometric morphometrics of wing size and shape variations, genetic diversity, phylogenetic analyses based on two mitochondrial (COI and COII) and one nuclear (28S rRNA) gene fragments, and biological rearing. The results show that P. liui Hua, 1997 is a bivoltine species of seasonal polyphenism in the lowland plain, exhibiting a black morph in the spring and a yellow morph in the summer. Panorpa jilinensis Zhou, 2000 syn. nov. is considered as a junior synonym of P. liui Hua, 1997. The value of integrative taxonomy for species delimitation is discussed.</t>
  </si>
  <si>
    <t>10.1007/s13127-021-00498-9</t>
  </si>
  <si>
    <t>WOS:000665705600001</t>
  </si>
  <si>
    <t>Baube, CL</t>
  </si>
  <si>
    <t>Manipulations of signalling environment affect male competitive success in three-spined sticklebacks</t>
  </si>
  <si>
    <t>Breeding adult male three-spined sticklebacks, Gasterosteus aculeatus L., develop an elaborate breeding signal, the primary component of which is ventral red coloration. In laboratory dominance tests staged under illumination conditions that maintained or eliminated male perceived coloration, this study examined (1) the relationship between male coloration and fighting ability and (2) the applicability of three hypotheses for the current function of male coloration in male-male competitive interactions. In pairs of males from a Long Island, NY, population matched for size and prior dominance experience, the more brightly coloured males were more likely to initiate and win under white light. The effect of colour on dominance success was lost under replicates illuminated by coloured-light treatments that masked the signal by eliminating its visual contrast. The loss of competitive advantage associated with more conspicuous coloration was not an artefact of illumination manipulations, since the effects seen under white light were maintained under a coloured-light treatment that maintained male coloration. These data suggest that red belly coloration of males functions as a threat signal. (C) 1997 The Association for the Study of Animal Behaviour.</t>
  </si>
  <si>
    <t>10.1006/anbe.1996.0347</t>
  </si>
  <si>
    <t>WOS:A1997WW45300013</t>
  </si>
  <si>
    <t>De Ridder, E; Pinxten, R; Mees, V; Eens, M</t>
  </si>
  <si>
    <t>Short- and long-term effects of male-like concentrations of testosterone on female European starlings (Sturnus vulgaris)</t>
  </si>
  <si>
    <t>European Starlings (Sturnus vulgaris) exhibit marked sex differences in behavior during spring. Song activity, nest-box occupation, the carrying of green nesting materials into a nest hole (typical mate-attraction behaviors), and aggression occur much more frequently in males who also have higher testosterone (T)-levels than females. Here, we examined whether male-like concentrations of T would activate these behaviors in female Starlings. We treated females with implants that were either empty (C-females) or packed with T (T-females) during late December. Although elevated T-levels significantly increased song activity in females, the proportion of time spent singing was still much lower than in males. T-treatment in females also failed to induce singing behavior in the nest box, a typical male mate-attraction behavior. Those results suggest both activational and organizational effects of T on singing. Nest-box occupation, carrying of green nesting material into a nest hole, and aggressive behavior were not activated by elevated T-levels, indicating that sex differences in these behaviors are probably based on early organizational effects of steroid hormones. We also evaluated effects of increased T-concentrations on some physiological, morphological, and immunological parameters. T-treatment strongly suppressed tail feather regrowth after experimental plucking, and also delayed onset of molt of wing feathers and slowed its progress. T-implantation caused color of the bill to change from black to yellow, but did not affect body mass. Immune function was determined by using two indirect measures: blood composition (haematocrit and buffy coat values) and indications of infections. Although haematocrit and buffy coat values did not differ between C- and T-females, T-females were significantly more infected with Staphylococcus aureus than C-females at the end of the experiment. Received 24 January 2001, accepted 14 January 2002.</t>
  </si>
  <si>
    <t>Eens, Marcel/AAC-8466-2020</t>
  </si>
  <si>
    <t>10.1642/0004-8038(2002)119[0487:SALTEO]2.0.CO;2</t>
  </si>
  <si>
    <t>WOS:000175709400016</t>
  </si>
  <si>
    <t>Zhi, YH; Wang, DD; Zhang, K; Wang, YY; Geng, WZ; Chen, BT; Li, H; Li, ZJ; Tian, YD; Kang, XT; Liu, XJ</t>
  </si>
  <si>
    <t>Zhi, Yihao; Wang, Dandan; Zhang, Ke; Wang, Yangyang; Geng, Wanzhuo; Chen, Botong; Li, Hong; Li, Zhuanjian; Tian, Yadong; Kang, Xiangtao; Liu, Xiaojun</t>
  </si>
  <si>
    <t>Genome-Wide Genetic Structure of Henan Indigenous Chicken Breeds</t>
  </si>
  <si>
    <t>Simple Summary There are five indigenous chicken breeds in Henan Province, China; however, comprehensive knowledge of their genetic basis is lacking. Therefore, using whole genome resequencing, we examined the genetic make-up, genomic diversity, and migration history of the indigenous Henan chicken populations as well as the selection factors and genes behind the distinct phenotypes of Henan gamecocks. These results will make it easier to comprehend the traits of the germplasm and the potential for using native breeds from Henan. There are five indigenous chicken breeds in Henan Province, China. These breeds have their own unique phenotypic characteristics in terms of morphology, behavior, skin and feather color, and productive performance, but their genetic basis is not well understood. Therefore, we analyzed the genetic structure, genomic diversity, and migration history of Henan indigenous chicken populations and the selection signals and genes responsible for Henan gamecock unique phenotypes using whole genome resequencing. The results indicate that Henan native chickens clustered most closely with the chicken populations in neighboring provinces. Compared to other breeds, Henan gamecock's inbreeding and selection intensity were more stringent. TreeMix analysis revealed the gene flow from southern chicken breeds into the Zhengyang sanhuang chicken and from the Xichuan black-bone chicken into the Gushi chicken. Selective sweep analysis identified several genes and biological processes/pathways that were related to body size, head control, muscle development, reproduction, and aggression control. Additionally, we confirmed the association between genotypes of SNPs in the strong selective gene LCORL and body size and muscle development in the Gushi-Anka F2 resource population. These findings made it easier to understand the traits of the germplasm and the potential for using the Henan indigenous chicken.</t>
  </si>
  <si>
    <t>Wang, Yifan/KDO-8319-2024; Wang, Dandan/AEC-1897-2022; 杨, 淑晶/HGB-2889-2022; CHEN, MINGWEI/KHT-6744-2024</t>
  </si>
  <si>
    <t>Wang, Dandan/0000-0002-5490-3921; KANG, XIANGTAO/0000-0002-9628-7135</t>
  </si>
  <si>
    <t>10.3390/ani13040753</t>
  </si>
  <si>
    <t>WOS:000938298300001</t>
  </si>
  <si>
    <t>MacLaren, RD</t>
  </si>
  <si>
    <t>MacLaren, Ronald D.</t>
  </si>
  <si>
    <t>Evidence of an emerging female preference for an artificial male trait and the potential for spread via mate choice copying in Poecilia latipinna</t>
  </si>
  <si>
    <t>The initial purpose of the project described herein was to assess the preference of female Poecilia latipinna for an artificial novel male trait-an orange-colored distal fringe added to the caudal fin of an otherwise wild-type conspecific. Analysis of the preliminary data revealed consistent individual differences in the strength of female preference for either orange-tailed or wild-type males. This finding inspired the study's second aim-to evaluate whether the preference for orange-tailed males observed among a subset of females could spread via mate choice copying to others in the population that initially preferred wild-type males. Two experiments and a control were conducted wherein females were simultaneously presented with an orange-tailed and a wild-type dummy male using a standard dichotomous choice design. In the first experiment, female preference was assessed on two separate occasions in order to characterize the variability and consistency in preference for orange-tailed versus wild-type males. The second experiment addressed mate choice copying: Female preference was again assessed on two separate occasions, but involved pairing a model female with the non-preferred male for a period of time between preference tests. A third set of control tests were conducted using the same protocol as the copying experiment except that subject females were unable to see the model paired with the non-preferred male. Results showed that, although females collectively preferred neither the orange-tailed nor the wild-type dummy male in the first round of preference tests, the majority showed relatively strong individual preferences. The subset of females that preferred the orange-tailed over the wild-type male in the first round of testing all maintained their preferences in the second round whether or not they had observed a model in association with the non-preferred wild-type male between tests. However, females that preferred the wild type over the orange male in the first round of testing copied the model's choice of the non-preferred orange-tailed male in their second round of preference testing. These results highlight the importance of recognizing the likelihood that only a subset of females will express a preference as it first emerges within a population. In such instances, the preference may not be detected at the population level-a point frequently overlooked in studies of mate choice. Additionally, these data highlight the importance of assessing the preferences of individual females and their capacity to drive evolutionary change within populations. Lastly, this study offers evidence of a possible mechanism by which a novel male trait might spread via mate choice copying by exploiting an emerging sensory bias within a subset of females in the population.</t>
  </si>
  <si>
    <t>10.1111/eth.12885</t>
  </si>
  <si>
    <t>WOS:000474271600009</t>
  </si>
  <si>
    <t>Rangel, J; Griffin, SR; Seeley, TD</t>
  </si>
  <si>
    <t>Rangel, Juliana; Griffin, Sean R.; Seeley, Thomas D.</t>
  </si>
  <si>
    <t>Nest-Site Defense by Competing Honey Bee Swarms During House-Hunting</t>
  </si>
  <si>
    <t>Cavity-nesting animals must often defend their homes against intruders, especially when the availability of suitable cavities is limited. Competition for nest sites is particularly strong when multiple groups of the same species migrate synchronously to found a new home. This may be the case for honey bees during the reproductive season, because neighboring colonies often cast swarms simultaneously, leading to potential competition for high-quality nesting cavities. To test the idea that honey bee swarms may compete for and defend potential nest sites as they search for a new home, we observed pairs of artificial swarms that were house-hunting concurrently. Workers from one swarm in each pair carried a gene influencing body color, so that the bees from the two swarms were easily distinguished. We set up a high-quality nest box and waited for nest-site scouts from each swarm to explore and recruit swarm mates to it. We recorded all the interactions between competing scouts at the nest box and found that when scouts from both swarms explored the box simultaneously they behaved agonistically toward bees from the other swarm. The level of aggression depended on the number of scouts from each swarm present at the nest box. When only one to three scouts from each swarm were at the box, they rarely fought. But when the scouts from one swarm outnumbered those from the other swarm (4-20 vs. one to three bees), those in the majority advertised their presence with a buzzing behavior at the entrance opening, and started mobbing and killing those in the minority. When one swarm gained clear control of the nest box (20+ vs. zero to one bees), some of its scouts guarded the box's entrance, preventing entry by foreign scouts. Our study exemplifies how cavity-nesting animals may compete for and defend suitable nesting sites.</t>
  </si>
  <si>
    <t>Rangel, Juliana/0000-0002-0586-9245</t>
  </si>
  <si>
    <t>10.1111/j.1439-0310.2010.01777.x</t>
  </si>
  <si>
    <t>WOS:000278520600004</t>
  </si>
  <si>
    <t>Schmid, B; Nottebrock, H; Esler, KJ; Pagel, J; Böhning-Gaese, K; Schurr, FM; Mueller, T; Schleuning, M</t>
  </si>
  <si>
    <t>Schmid, B.; Nottebrock, H.; Esler, K. J.; Pagel, J.; Boehning-Gaese, K.; Schurr, F. M.; Mueller, T.; Schleuning, M.</t>
  </si>
  <si>
    <t>A bird pollinator shows positive frequency dependence and constancy of species choice in natural plant communities</t>
  </si>
  <si>
    <t>Animal pollinators mediate reproduction of many plant species. Foraging theory suggests that animal pollinators exhibit preferences for common plant species in natural communities (positive frequency-dependent foraging) and temporary single-species specialization (flower constancy) during foraging bouts. Positive frequency dependence may favor common plant species; flower constancy may enhance conspecific pollen transfer particularly in rare plant species. Previous experimental studies suggest that avian pollinators are unlikely to exhibit these behaviors. We studied foraging behavior of Cape Sugarbirds (Promerops cafer), the main avian pollinator of many Protea species, using focal-plant and focal-bird sampling, assisted by high-resolution maps of the spatiotemporal distribution of Protea individuals and their flowering status. We found that Sugarbird's visitation preference increased with species' relative floral abundance, and that individual Sugarbirds tended to visit single species in sequence. Flower constancy during foraging bouts was significantly higher than expected from random plant-animal encounters at the scale of pollinator movements. Positive frequency dependence may favor the reproduction of abundant plant species while flower constancy may be particularly important for rare plant species. This first simultaneous study of both behaviors in a natural plant-pollinator system shows that bird pollinators exhibit both types of behavior and, in this way, possibly influence plant community structure.</t>
  </si>
  <si>
    <t>Schleuning, Matthias/H-2154-2015; Schurr, Frank M./O-6575-2016; Böhning-Gaese, Katrin/W-2601-2019; Pagel, Joern/A-9897-2012; Mueller, Thomas/A-1740-2014</t>
  </si>
  <si>
    <t>Schleuning, Matthias/0000-0001-9426-045X; Böhning-Gaese, Katrin/0000-0003-0477-5586; Pagel, Jorn/0000-0002-4817-1920; Mueller, Thomas/0000-0001-9305-7716; Schmid, Baptiste/0000-0002-7736-7527</t>
  </si>
  <si>
    <t>10.1002/ecy.1565</t>
  </si>
  <si>
    <t>WOS:000387228200021</t>
  </si>
  <si>
    <t>Jessop, TS; Chan, R; Stuart-Fox, D</t>
  </si>
  <si>
    <t>Jessop, Tim S.; Chan, Rita; Stuart-Fox, Devi</t>
  </si>
  <si>
    <t>Sex steroid correlates of female-specific colouration, behaviour and reproductive state in Lake Eyre dragon lizards, Ctenophorus maculosus</t>
  </si>
  <si>
    <t>In some species, females develop bright colouration to signal reproductive status and exhibit behavioural repertoires to incite male courtship and/or reduce male harassment and forced copulation. Sex steroids, including progesterone and testosterone, potentially mediate female reproductive colouration and reproductive behaviour. We measured associations among plasma profiles of testosterone and progesterone with variation in colour expression and reproductive behaviour, including unique courtship rejection behaviours, in female Lake Eyre dragon lizards, (Ctenophorus maculosus). At onset of breeding, progesterone and testosterone increased with vitellogenesis, coincident with colour intensification and sexual receptivity, indicated by acceptance of copulations. As steroid levels peaked around the inferred ovulation time, maximal colour development occurred and sexual receptivity declined. When females were gravid and exhibited maximal mate rejection behaviours, progesterone levels remained consistently high, while testosterone exhibited a discrete second peak. At oviposition, significant declines in plasma steroid levels, fading of colouration and a dramatic decrease in male rejection behaviours co-occurred. Our results indicate a generally concordant association among steroid levels, colouration, behaviour and reproductive events. However, the prolonged elevation in progesterone and a second peak of testosterone was unrelated to reproductive state or further colour change, possibly suggesting selection on females to retain high steroid levels for inducing rejection behaviours.</t>
  </si>
  <si>
    <t>Jessop, Tim S./0000-0002-7712-4373; Stuart-Fox, Devi/0000-0003-3362-1412</t>
  </si>
  <si>
    <t>10.1007/s00359-009-0437-4</t>
  </si>
  <si>
    <t>WOS:000267541400001</t>
  </si>
  <si>
    <t>Parker, AR; Mckenzie, DR; Ahyong, ST</t>
  </si>
  <si>
    <t>A unique form of light reflector and the evolution of signalling in Ovalipes (Crustacea: Decapoda: Portunidae)</t>
  </si>
  <si>
    <t>The first demonstration, to our knowledge, of an evolutionary shift in communication mode in animals is presented. Some species of Ovalipes display spectacular iridescence resulting from multilayer reflectors in the cuticle. This reflector is unique in animals because each layer is corrugated and slightly out of phase with adjacent layers. Solid layers are separated from fluid layers in the reflector by side branches acting as support struts. An effect of this reflector is that blue light is reflected over a 'broad' angle around a plane parallel to the sea floor when the host crab is resting. Species of Ovalipes all possess stridulatory structures. The shallow-water species with the best developed stridulatory structures are non-iridescent and use sound as a signal. Deep-water species possess poorly developed stridulatory structures and display iridescence from most regions of the body In deep water, where incident light is blue, light display is highly directional in contrast to sound produced via stridulation. Sound and light display probably perform the same function of sexual signalling in Ovalipes, although the directional signal is less likely to attract predators. Deep-water species of Ovalipes appear to have evolved towards using light in conspecific signalling. This change from using sound to using light reflects the change in habitat light properties, perhaps the hunting mechanisms of cohabitees, and its progression is an indicator of phylogeny. The changes in sexual signalling mechanisms, following spatial-geographical isolation, may have promoted speciation in Ovalipes.</t>
  </si>
  <si>
    <t>10.1098/rspb.1998.0371</t>
  </si>
  <si>
    <t>WOS:000073948500004</t>
  </si>
  <si>
    <t>HILL, GE</t>
  </si>
  <si>
    <t>TESTIS MASS AND SUBADULT PLUMAGE IN BLACK-HEADED GROSBEAKS</t>
  </si>
  <si>
    <t>Like males of approximately 30 other species of North American passerines, male Black-headed Grosbeaks (Pheucticus melanocephalus) do not attain complete definitive alternate plumage until their second breeding season. I collected yearling and adult male Black-headed Grosbeaks in the Rio Grande valley in central New Mexico to test the hypothesis that delayed plumage maturation in Black-headed Grosbeaks is one manifestation of a general, hormonally-mediated developmental pattern. I compared the mass of testes to the degree of plumage maturation in eleven yearling males and found a significant positive correlation. Moreover, the mean testis mass of yearling males was significantly lower than the mean testis mass of older males. In contrast, I found no significant relationship between plumage brightness and testis mass among seven adult males in definitive alternate plumage. These observations support the idea that delayed plumage maturation in Black-headed Grosbeaks is part of a general delay in investment in first-year reproduction.</t>
  </si>
  <si>
    <t>10.2307/1369465</t>
  </si>
  <si>
    <t>WOS:A1994PE53800006</t>
  </si>
  <si>
    <t>Bleichman, I; Yadav, P; Ayali, A</t>
  </si>
  <si>
    <t>Bleichman, Itay; Yadav, Pratibha; Ayali, Amir</t>
  </si>
  <si>
    <t>Visual processing and collective motion-related decision-making in desert locusts</t>
  </si>
  <si>
    <t>Collectively moving groups of animals rely on the decision-making of locally interacting individuals in order to maintain swarm cohesion. However, the complex and noisy visual environment poses a major challenge to the extraction and processing of relevant information. We addressed this challenge by studying swarming-related decision-making in desert locust last-instar nymphs. Controlled visual stimuli, in the form of random dot kinematograms, were presented to tethered locust nymphs in a trackball set-up, while monitoring movement trajectory and walking parameters. In a complementary set of experiments, the neurophysiological basis of the observed behavioural responses was explored. Our results suggest that locusts use filtering and discrimination upon encountering multiple stimuli simultaneously. Specifically, we show that locusts are sensitive to differences in speed at the individual conspecific level, and to movement coherence at the group level, and may use these to filter out non-relevant stimuli. The locusts also discriminate and assign different weights to different stimuli, with an observed interactive effect of stimulus size, relative abundance and motion direction. Our findings provide insights into the cognitive abilities of locusts in the domain of decision-making and visual-based collective motion, and support locusts as a model for investigating sensory-motor integration and motion-related decision-making in the intricate swarm environment.</t>
  </si>
  <si>
    <t>; Ayali, Amir/B-1050-2008</t>
  </si>
  <si>
    <t>Bleichman, Itay/0000-0001-8717-5505; Ayali, Amir/0000-0001-6152-2927; Yadav, Pratibha/0000-0003-1884-8627</t>
  </si>
  <si>
    <t>JAN 25</t>
  </si>
  <si>
    <t>10.1098/rspb.2022.1862</t>
  </si>
  <si>
    <t>WOS:000914748200003</t>
  </si>
  <si>
    <t>Hudson, EJ; Price, TD</t>
  </si>
  <si>
    <t>Hudson, Emily J.; Price, Trevor D.</t>
  </si>
  <si>
    <t>Pervasive Reinforcement and the Role of Sexual Selection in Biological Speciation</t>
  </si>
  <si>
    <t>JOURNAL OF HEREDITY</t>
  </si>
  <si>
    <t>Sexual selection has been widely implicated as a driver of speciation. However, allopatric forms are often defined as species based on divergence in sexually selected traits and it is unclear how much such trait differences affect reproductive isolation upon secondary contact, the defining feature of biological species. We show that in birds, divergence in song and plumage in allopatry corresponds poorly with whether species mate assortatively in hybrid zones and argue that this is because many other factors besides trait divergence affect propensity to hybridize, including rarity of conspecific mates and choice based on territory rather than male traits. We then present a general model for the establishment of sympatry that assumes a period of differentiation in allopatry followed by secondary contact and often hybridization, with hybridization subsequently reduced by reinforcement of mate preferences. We suggest that reinforcement commonly operates by a narrowing of a window of recognition for traits that are different between the species, rather than evolution of the traits themselves. Our arguments imply that it is important to study postmating as well as premating reproductive isolation in limiting sympatry and suggest that studies of reinforcement should focus on evolution of female preferences for diagnostic traits, rather than evolution of traits per se.</t>
  </si>
  <si>
    <t>Hudson, Emily/0000-0003-1358-8563</t>
  </si>
  <si>
    <t>0022-1503</t>
  </si>
  <si>
    <t>1465-7333</t>
  </si>
  <si>
    <t>10.1093/jhered/esu041</t>
  </si>
  <si>
    <t>WOS:000342995100008</t>
  </si>
  <si>
    <t>Ghazali, SZ; Lavoué, S; Zain, KM; Jamaluddin, JAF; Ahmad, A; Ratmuangkhwang, S; Nor, SAM</t>
  </si>
  <si>
    <t>Ghazali, Siti Zafirah; Lavoue, Sebastien; Zain, Khaironizam Md.; Jamaluddin, Jamsari Amirul Firdaus; Ahmad, Amirrudin; Ratmuangkhwang, Sahat; Nor, Siti Azizah Mohd</t>
  </si>
  <si>
    <t>Low morphological and genetic variation within the glass-perchlet Parambassis siamensis (Teleostei: Ambassidae) in Peninsular Malaysia</t>
  </si>
  <si>
    <t>We compare several populations of the glass-perchlet Parambassis siamensis (Fowler 1937) (Teleostei: Ambassidae) sampled throughout Peninsular Malaysia to determine their degree of differentiation, using both morphological and molecular characters. Our morphological analyses do not show evidence for the presence of more than one species, with the range of morphometric and meristic characters overlapping among populations. Our genetic analysis using partial sequences of the mitochondrial gene coding for the protein cytochrome c oxidase I (COI) reveals the existence of two clades that diverge from each other by a minimum uncorrected p-distance of 2.2%. The first clade comprises of specimens from south-eastern Peninsular Malaysia (Pahang and Endau-Rompin River basins) along with those from Cambodia (lower Mekong River). The second clade comprises of specimens from western Peninsular Malaysia (Selangor, Kurau, Perak, Muda and Kerian River basins) and north-eastern Peninsular Malaysia (Terengganu River basin), along with those from Chao Phraya River basin nearby Bangkok (type locality of P. siamensis). The presence of specimens with numerous melanophores on body sides in each of these two clades indicates that body marking pattern is not a valuable taxonomic character. This finding supports the conclusion that Chanda punctulata Fraser-Brunner 1955 is a junior synonym of P. siamensis. Altogether, our results support the hypothesis that all populations of P. siamensis in Peninsular Malaysia (along those from Chao Phraya and lower Mekong basins) are conspecific, comprising two genetically distinct, although close lineages. We further discuss the phenotypic plasticity within P. siamensis in relation to lotic and lentic habitats. Finally, we briefly discuss some implications for biogeography and possible causes explaining the distribution pattern.</t>
  </si>
  <si>
    <t>Nor, Siti Azizah Mohd/AFP-8208-2022; Ghazali, Siti Zafirah/HTO-5175-2023; Lavoue, Sebastien/H-7118-2012</t>
  </si>
  <si>
    <t>Nor, Siti Azizah Mohd/0000-0002-9890-9612; Ghazali, Siti Zafirah/0000-0002-9672-661X; Lavoue, Sebastien/0000-0003-4798-6666; JAMALUDDIN, JAMSARI AMIRUL FIRDAUS/0000-0002-3792-6873</t>
  </si>
  <si>
    <t>10.11646/zootaxa.5128.4.2</t>
  </si>
  <si>
    <t>WOS:000792772900002</t>
  </si>
  <si>
    <t>Balmer, O; Stearns, SC; Schotzau, A; Brun, R</t>
  </si>
  <si>
    <t>Balmer, Oliver; Stearns, Stephen Curtis; Schotzau, Andreas; Brun, Reto</t>
  </si>
  <si>
    <t>Intraspecific competition between co-infecting parasite strains enhances host survival in African trypanosomes</t>
  </si>
  <si>
    <t>It is becoming increasingly clear that under natural conditions parasitic infections commonly consist of co-infections with multiple conspecific strains. Multiple-strain infections lead to intraspecific interactions and may have important ecological and evolutionary effects on both hosts and parasites. However, experimental evidence on intraspecific competition or facilitation in infections has been scarce because of the technical challenges of distinguishing and tracking individual co-infecting strains. To overcome this limitation, we engineered transgenic strains of the protozoan parasite Trypanosoma brucei, the causal agent of human African sleeping sickness. Different strains were transfected with fluorescence genes of different colors to make them visually distinguishable in order to investigate the effects of multiple-strain infections on parasite population dynamics and host fitness. We infected mice either with each strain alone or with mixes of two strains. Our results show a strong mutual competitive suppression of co-infecting T. brucei strains very early in infection. This mutual suppression changes within-host parasite dynamics and alleviates the effects of infection on the host. The strength of suppression depends on the density of the coinfecting strain, and differences in life-history traits between the strains determine the consequences of strain-strain competition for the host. Unexpectedly, co-infection with a less virulent strain significantly enhances host survival (+15%). Analysis of the strain dynamics reveals that this is due to the suppression of the density of the more virulent strain (-33%), whose degree of impact ultimately determines the physical condition of the host. The competitive suppression is likely caused by allelopathic interference or by apparent competition mediated by strain-specific immune responses. These findings highlight the importance of intraspecific variation for parasite-parasite and parasite-host interactions. To fully understand parasite and disease dynamics, the genetic diversity of infections must be taken into account. Through changes in parasite dynamics, intraspecific variation may further affect transmission dynamics and select for increased virulence of each strain. The precise mechanisms underlying mutual suppression are not yet understood but may be exploitable to fight this devastating parasite. Our results are therefore not only of basic ecological interest investigating an important form of intraspecific competition, but may also have applied relevance for public health.</t>
  </si>
  <si>
    <t>Balmer, Oliver/HHN-1110-2022; Stearns, Stephen/F-4099-2012</t>
  </si>
  <si>
    <t>Balmer, Oliver/0000-0001-7572-7747; Stearns, Stephen/0000-0002-6621-4373</t>
  </si>
  <si>
    <t>10.1890/08-2291.1</t>
  </si>
  <si>
    <t>WOS:000272700800009</t>
  </si>
  <si>
    <t>Valcharova, T; Slavik, O; Horky, P; Stara, A; Hruskova, I; Maciak, M; Pesta, M; Velisek, J</t>
  </si>
  <si>
    <t>Valcharova, Tereza; Slavik, Ondrej; Horky, Pavel; Stara, Alzbeta; Hruskova, Iveta; Maciak, Matus; Pesta, Michal; Velisek, Josef</t>
  </si>
  <si>
    <t>Stressful Daylight: Differences in Diel Rhythmicity Between Albino and Pigmented Fish</t>
  </si>
  <si>
    <t>In laboratory experiments, variously colored strains of animals, including those with albino phenotypes, are commonly used. The melanocortin theory suggests, however, that coloration phenotypes alter animal physiology and behavior. Animals with the albino phenotype show photoreceptor degradation associated with lowered visual accuracy, escape reactions, etc., presumably accompanied by prevailing nocturnal activity and lowered aggressiveness. This assumption was tested in small groups of albino and pigmented European catfish, Silurus glanis, during the diel cycle. The frequency of agonistic interactions was observed during mutual contests for shelters, and subsequently, blood plasma, brain, gill, and liver samples were collected to evaluate stress parameters. In an experimental arena with shelters, the light/dark rhythmicity of locomotor activity and aggressiveness of the two phenotypes were comparable; the peak was observed at night, and a lower peak was observed at dawn. In an experimental stream without shelters, the peak of locomotor activity occurred at night for only the pigmented phenotype. In the evaluation of 4 antioxidants and 1 oxidative stress indicator, representing a total of 15 indices, albino fish showed significant rhythmicity for 8 indices, whereas pigmented catfish showed significant rhythmicity for 5 indices. The production of blood stress parameters with the peak during the day occurred only in albino fish. A complex model was fitted with the aim of evaluating the links between behavioral and biochemical indices. Time periodicity was modeled using a sine wave and confirmed parallel courses of agonistic interactions in the catfish groups; the peak at dawn was associated with a 4.08-fold (conf. int. 3.53-4.7) increase in such interactions. The changes in glucose and superoxide dismutase concentrations varied with phenotype, while the effects of cortisol, lactate and catalase did not. In summary, the rhythmicity of locomotor activity and changes in the aggressiveness of catfish were influenced by shelter availability, and the effect of light-induced stress was more apparent in albino fish than in pigmented conspecific fish. The results suggested that laboratory-raised animals with pigmentation patterns naturally occurring in the wild show more reasonable values during experiments than those with an albino phenotype.</t>
  </si>
  <si>
    <t>Maciak, Matus/D-7836-2016; Horký, Pavel/A-3857-2013; Pesta, Michal/C-9467-2017</t>
  </si>
  <si>
    <t>Horký, Pavel/0000-0002-1738-7753; Pesta, Michal/0000-0001-5311-0797</t>
  </si>
  <si>
    <t>10.3389/fevo.2022.890874</t>
  </si>
  <si>
    <t>WOS:000837071500001</t>
  </si>
  <si>
    <t>Gronenberg, W; Ash, LE; Tibbetts, EA</t>
  </si>
  <si>
    <t>Gronenberg, Wulfia; Ash, Lesley E.; Tibbetts, Elizabeth A.</t>
  </si>
  <si>
    <t>Correlation between facial pattern recognition and brain composition in paper wasps</t>
  </si>
  <si>
    <t>Unique among insects, some paper wasp species recognize conspecific facial patterns during social communication. To evaluate whether specialized brain structures are involved in this task, we measured brain and brain component size in four different paper wasp species, two of which show facial pattern recognition. These behavioral abilities were not reflected by an increase in brain size or an increase in the size of the primary visual centers (medulla, lobula). Instead, wasps showing face recognition abilities had smaller olfactory centers (antennal lobes). Although no single brain compartment explains the wasps' specialized visual abilities, multi-factorial analysis of the different brain components, particularly the antennal lobe and the mushroom body sub-compartments, clearly separates those species that show facial pattern recognition from those that do not. Thus, there appears to be some neural specialization for visual communication in Polistes. However, the apparent lack of optic lobe specialization suggests that the visual processing capabilities of paper wasps might be preadapted for pattern discrimination and the ability to discriminate facial markings could require relatively small changes in their neuronal substrate. Copyright (c) 2007 S. Karger AG, Basel.</t>
  </si>
  <si>
    <t>Tibbetts, Elizabeth/0000-0002-5625-892X</t>
  </si>
  <si>
    <t>10.1159/000108607</t>
  </si>
  <si>
    <t>WOS:000251137800001</t>
  </si>
  <si>
    <t>Arrieta, RS; Campagna, L; Mahler, B; Llambías, PE</t>
  </si>
  <si>
    <t>Arrieta, Ramiro S.; Campagna, Leonardo; Mahler, Bettina; Llambias, Paulo E.</t>
  </si>
  <si>
    <t>Neither paternity loss nor perceived threat of cuckoldry affects male nestling provisioning in grass wrens</t>
  </si>
  <si>
    <t>Extra-pair paternity (EPP) is frequent in socially monogamous birds with biparental care. However, males should avoid providing care to unrelated offspring. In this study, we first analyzed the relationship between parental care and paternity loss, and secondly, we evaluated if males adjust parental care to a perceived threat of cuckoldry. Over three breeding seasons, we intensively studied a color-banded population of south temperate grass wrens Cistothorus platensis. We monitored nests attended by socially monogamous males, collected blood samples from adults and nestlings, and recorded male provisioning rates to the nestlings. Paternity was assigned genetically using SNP markers. We simulated territorial intrusions during the female fertile period (egg-laying) to manipulate males' perceived threat of cuckoldry. Neither the proportion of extra-pair offspring nor the presence/absence of extra-pair offspring in the nest affected male provisioning rates, suggesting that males did not adjust parental effort to actual paternity loss. Simulated territorial intrusions revealed that males were more likely to approach and attack a conspecific than a heterospecific stuffed decoy. However, experimental and control males provided food to their nestlings at similar rates. Retaliatory reduction of paternal care might not have evolved in grass wrens given the low frequency of extra-pair paternity (23%). Alternatively, males may rely predominately on precopulatory strategies (e.g., territoriality and mate guarding) to prevent females from obtaining extra-pair fertilizations. Significance statement A central tenet in the study of extra-pair behavior in birds is that males should reduce their parental contribution when females engage in extra-pair copulations. Males are thought to use indirect clues (female absences, male intrusions) and direct clues (observation of copulations) to gauge paternity loss. We studied the relationship between extra-pair behavior and male contribution to feeding nestlings in a Neotropical population of grass wrens. We found that males did not adjust their contribution to paternal care based on actual paternity loss. Moreover, simulated male intrusions during the female fertile period, which influence a male's perceived threat of cuckoldry, did not affect paternal care. Our results suggest that male grass wrens do not indirectly retaliate against females who engage in extra-pair behavior by reducing parental care.</t>
  </si>
  <si>
    <t>Arrieta, Ramiro/0000-0001-8182-5474</t>
  </si>
  <si>
    <t>10.1007/s00265-022-03253-y</t>
  </si>
  <si>
    <t>WOS:000867664700001</t>
  </si>
  <si>
    <t>Golzarianpour, K; Malek, M; Golestaninasab, M; Sarafrazi, A; Kochmann, J; Klimpel, S</t>
  </si>
  <si>
    <t>Golzarianpour, Kiavash; Malek, Masoumeh; Golestaninasab, Mehdi; Sarafrazi, Alimorad; Kochmann, Judith; Klimpel, Sven</t>
  </si>
  <si>
    <t>Insights into the Urogymnid whiprays (Chondrichthyes: Batoidea) in the Persian Gulf and the Gulf of Oman, with an amendment of their diagnostic characteristics and dispersal range</t>
  </si>
  <si>
    <t>Correct identification of elasmobranch species is crucial for taxonomic and parasitological research. Although molecular barcoding may be the fastest choice to determine the identity of a given species, robust and fast species level identification in the field using morphological characters is essential. During this study, 389 specimens representing seven stingray species (Brevitrygon walga, Himantura leoparda, H. uarnak, Maculabatis randalli, M. arabica, M. gerrardi and Pateobatis fai) were examined from the Persian Gulf and the Gulf of Oman. A 1044 bp fragment of the NADH2 gene was generated for 50 specimens with representatives of all species. To verify the initial morphological identification and to compare intra-and interspecific differences a Neighbor-Joining analysis was conducted using uncorrected p-distances, whereas the Bayesian Inference was used to examine the relationships among taxa. Two species (M. arabica and M. gerrardi) are documented from the Persian Gulf for the first time. The molecular results provide the first known evidence of the sympatric distribution of M. randalli and M. arabica in the north and northwestern Indian Ocean. The results of the Bayesian Inference support the recent divergence of both species. Based on morphological comparisons and molecular support we suggest that the descriptions of M. randalli and M. arabica have been carried out on heterogeneous type series which has led to inconsistency between molecular identification and diagnostic morphological characteristics. Detailed morphological examination revealed that there is a relation between the type and number of denticles on the mid-dorsal surface of the disc and the color pattern of the tail. To address this taxonomic conflict all type materials should be re-examined. The Bayesian Inference tree showed that all specimens from the Persian Gulf and the Gulf of Oman morphologically resembling B. walga were found to group well outside those of the Indian species (B. imbricata) with an average p-distance of 0.097. The low nucleotide differences among the urogymnid taxa (P. fai and H. leoparda) from the Persian Gulf and the Gulf of Oman and their conspecific specimens in the Indo-West Pacific region revealed that philopatric behaviors may cause considerable gene flow among populations.</t>
  </si>
  <si>
    <t>Golestaninasab, Mehdi/AAY-7499-2021; Kochmann, Judith/AAG-3574-2021</t>
  </si>
  <si>
    <t>Golestaninasab, Mehdi/0000-0003-2456-6378; Kochmann, Judith/0000-0001-6312-7859; Golzarianpour, Kiavash/0000-0003-3874-0947</t>
  </si>
  <si>
    <t>JUL 23</t>
  </si>
  <si>
    <t>10.11646/zootaxa.4819.2.5</t>
  </si>
  <si>
    <t>WOS:000552250100005</t>
  </si>
  <si>
    <t>GAUTIERHION, A; MAISELS, F</t>
  </si>
  <si>
    <t>MUTUALISM BETWEEN A LEGUMINOUS TREE AND LARGE AFRICAN MONKEYS AS POLLINATORS</t>
  </si>
  <si>
    <t>Observations of a monkey community in a forest of the Zaire Basin show that four species intensively lick the nectar of Daniellia pynaertii (Caesalpinoideae) for 5 months of the year; nectar makes up a mean of 20% and a maximum of 50% of monthly plant feeding records (Fig. 3). Such intensive nectar-feeding by monkeys of up to 8 kg body weight probably developed in these basically frugivorous primates as an alternative strategy to cope with a shortage of fleshy fruits. This would have been possible due to the high density of the plant species, the synchrony and abundance of its flowering (Fig. 2), and the large size of the nectar drop and its nutritional value. Patterns of monkey movements among Daniellia trees show that one flowering tree may receive up to 10 species visits and 30 individual visits per day, for a total of up to 141 min. (Table 1). A monkey troop can visit 12 trees in succession over less than 3 h (Fig. 4). This suggests that monkeys are able to promote pollen transfer both among flowers of the same tree and between conspecific trees. The individual tree fruiting index is positively correlated with its flowering index and with the amount of visits by monkeys, indicating at least that monkeys do not inhibit the reproductive ability of flowers (Fig. 5). These results suggest that monkeys can be considered as a guild of effective pollinators. Long-term coevolution between the plant and its present-day pollinators seems unlikely, and we suggest that monkeys replaced other pollinators, such as Lepidoptera. This hypothesis is supported by the fact that tubular flowers adapted for pollination by Lepidoptera are found in affine species of the same genus and of affine genera, the latter being known to be pollinated by these insects. In contrast, D. pynaertii flowers typically meet the pollination syndrome currently defined for attracting large mammals: notably conspicuousness and open morphology of the flowers, nectar colour and abundance. These characteristics suggest that coadaptation between monkeys and plant or at least one-sided adaptation has operated.</t>
  </si>
  <si>
    <t>Maisels, Fiona/E-7382-2015</t>
  </si>
  <si>
    <t>Maisels, Fiona/0000-0002-0778-0615</t>
  </si>
  <si>
    <t>10.1007/s002650050034</t>
  </si>
  <si>
    <t>WOS:A1994NG04500006</t>
  </si>
  <si>
    <t>Ogura, T; Maki, M; Nagata, S; Nakamura, S</t>
  </si>
  <si>
    <t>Ogura, Tadatoshi; Maki, Mizuki; Nagata, Saki; Nakamura, Sanae</t>
  </si>
  <si>
    <t>Dogs (Canis familiaris) Gaze at Our Hands: A Preliminary Eye-Tracker Experiment on Selective Attention in Dogs</t>
  </si>
  <si>
    <t>Simple Summary Dogs seem to communicate with humans successfully by getting social information from body signals such as hand signs. However, less is known regarding how dogs pay attention visually toward human body signals including hand signs. The objective of this pilot study was to reveal dogs' social visual attention tuned to inter-species communication with humans by comparing gazing patterns to the whole body of human, dogs, and cats. The pictures showing humans with or without hand signs, dogs, and cats were presented on a liquid crystal display monitor, and gazing behaviors of subject dogs to these pictures were recorded by an eye-tracking device. The subjects gazed at human limns more frequently than limbs within conspecifics and cat images, where the dogs attention were focused on the head and body. Furthermore, gaze toward hands was greater in the human hand sign photos relative to photos where human hand signs were not present. These results indicate that dogs have an attentional style specialized for human non-verbal communication, with an emphasis placed on human hand gestures. Abstract Dogs have developed a social competence tuned to communicate with human and acquire social information from body signals as well as facial expressions. However, less is known regarding how dogs shift attention toward human body signals, specifically hand signs. Comparison among visual attentional patterns of dogs toward whole body of human being, conspecifics, and other species will reveal dogs' basic social competences and those specialized to inter-species communication with humans. The present study investigated dogs' gazing behaviors in three conditions: viewing humans with or without hand signs, viewing conspecifics, and viewing cats. Digital color photographs were presented on a liquid crystal display monitor, and subject dogs viewed the images while their eyes were tracked. Results revealed that subjects gazed at human limbs more than limbs within conspecific and cat images, where attention was predominately focused on the head and body. Furthermore, gaze toward hands was greater in the human hand sign photos relative to photos where human hand signs were not present. These results indicate that dogs have an attentional style specialized for human non-verbal communication, with an emphasis placed on human hand gestures.</t>
  </si>
  <si>
    <t>Ogura, Tadatoshi/JXN-9814-2024</t>
  </si>
  <si>
    <t>OGURA, Tadatoshi/0000-0003-0042-6901</t>
  </si>
  <si>
    <t>10.3390/ani10050755</t>
  </si>
  <si>
    <t>WOS:000540228300006</t>
  </si>
  <si>
    <t>Rahman, MA; Uehara, T; Pearse, JS</t>
  </si>
  <si>
    <t>Experimental hybridization between two recently diverged species of tropical sea urchins, Echinometra mathaei and Echinometra oblonga</t>
  </si>
  <si>
    <t>INVERTEBRATE REPRODUCTION &amp; DEVELOPMENT</t>
  </si>
  <si>
    <t>9th International Congress on Invertebrate Reproduction and Development</t>
  </si>
  <si>
    <t>JUL 15-20, 2001</t>
  </si>
  <si>
    <t>RHODES UNIV, GRAHAMSTOWN, SOUTH AFRICA</t>
  </si>
  <si>
    <t>RHODES UNIV</t>
  </si>
  <si>
    <t>Two species of tropical sea urchins, Echinometra mathaei and Echinometra oblonga, occur abundantly on Okinawan intertidal reefs; E. mathaei is found mainly on inshore reef flats while E. oblonga burrows in the offshore reef margins. The two species spawn during the same season, and hybrid embryos can be formed in the laboratory. We confirmed earlier experiments showing that fertilization rates are high between eggs of E. oblonga and sperm of E. mathaei, but significantly lower than those in homogametic crosses, whereas few eggs of E. mathaei are fertilized by sperm of E. oblonga, even at very high sperm concentrations. If they spawn together in the field, most or all ova of E. oblonga would be fertilized by conspecific sperm before encountering sperm of E. mathaei on the reef flat, so hybridization is partially minimized by habitat separation. However, many viable sperm of E. oblonga would still be available to fertilize ova of E. mathaei. Species-specific differences in sperm chemotaxis or gamete compatibility may provide prezygotic barriers that also would prevent hybridization, especially between ova of E. mathaei and sperm of E. oblonga. We found that homogametic crosses reach peak fertilization levels much sooner than heterogametic crosses, even between ova of E. oblonga and sperm of E. mathaei, indicating the presence of prezygotic barriers to hybridization in the gametes. Nevertheless, laboratory crosses between E. mathaei and E. oblonga in both directions produced viable hybrids that developed through larval and juvenile stages to sexually mature adults. Phenotypic color pattern of hybrids tended to be maternal while other characteristics were intermediate (test size, weight, spine length, growth, tubefoot and gonad spicule morphology, pedicellaria valve length, gamete size). Adult F-1 hybrids from both combinations were completely fertile and exhibited high fertilization rates in backcrosses. On the other hand, intensive field surveys failed to find hybrids, showing the rarity or absence of natural hybridization. These results mirror those found with hybridization studies on other species of Echinometra on Okinawa. They further support the conclusion that prezygotic isolating mechanisms such as habitat segregation as well as species-specific sperm chemotaxis and/or gamete compatibility have a role in maintaining the genetic integrity of these species.</t>
  </si>
  <si>
    <t>0792-4259</t>
  </si>
  <si>
    <t>2157-0272</t>
  </si>
  <si>
    <t>10.1080/07924259.2004.9652569</t>
  </si>
  <si>
    <t>WOS:000221012500001</t>
  </si>
  <si>
    <t>Griggio, M; Devigili, A; Hoi, H; Pilastro, A</t>
  </si>
  <si>
    <t>Griggio, Matteo; Devigili, Alessandro; Hoi, Herbert; Pilastro, Andrea</t>
  </si>
  <si>
    <t>Female ornamentation and directional male mate preference in the rock sparrow</t>
  </si>
  <si>
    <t>Albeit there is growing evidence that males prefer to mate with ornamented females, it has been suggested that the production of costly ornaments may reduce female fecundity, hence favoring males with a preference for females with average ornamentation. In the rock sparrow, Petronia petronia, males and females possess a sexually selected patch of yellow feathers on the breast (a carotenoid-based trait). To test whether males prefer females with the largest ornament or average ornamented females, male rock sparrows were simultaneously faced with 3 conspecific females differing in breast patch size and a female house sparrow as a control. We found that the house sparrow and rock sparrow female with the smallest patch were least preferred, and males showed a clear proximity preference for the females with the above average-sized patch. Our results demonstrate that, contrary to theoretical predictions, a directional preference for female ornament was observed. Directional male preference may arise as consequence of a male's sensory bias or may be associated with indirect (genetic) benefits of choosing ornamented females, if ornament size is correlated with female genetic quality. Clearly, more work is necessary to identify the conditions under which directional preference for female ornament arises.</t>
  </si>
  <si>
    <t>griggio, matteo/A-6261-2009; Pilastro, Andrea/G-3868-2011</t>
  </si>
  <si>
    <t>Pilastro, Andrea/0000-0001-9803-6308; Devigili, Alessandro/0000-0001-8104-5195; Griggio, Matteo/0000-0002-3298-2905</t>
  </si>
  <si>
    <t>10.1093/beheco/arp099</t>
  </si>
  <si>
    <t>WOS:000269956400023</t>
  </si>
  <si>
    <t>Martinez-Caja, AM; Rosseau, J; Vervaecke, H; Moons, CPH</t>
  </si>
  <si>
    <t>Martinez-Caja, Ana Martos; Rosseau, Julie; Vervaecke, Hilde; Moons, Christel Palmyre Henri</t>
  </si>
  <si>
    <t>Behavior and health issues in Bengal cats as perceived by their owners: A descriptive study</t>
  </si>
  <si>
    <t>The Bengal cat is a recently established hybrid cat breed that was created by crossbreeding the domestic shorthair cat (Felis silvestris catus) and the wild Asian leopard cat (Prionailurus bengalensis). In spite of its popularity, research on behavior and health issues in this breed remains limited. A questionnaire was sent to Bengal cat owners in Flanders and Wallonia (Belgium), and the Netherlands to document the suitability of the breed as a pet from the point of view of the owners by exploring the presence of behavioral and health issues that may provoke the cat's relinquishment. It included questions about their decision to own a Bengal cat, the cat demographics and living environment, potential undesirable behaviors, and health issues. The owners of 60.5% (n = 155) of cats chose this breed due to a combination of looks and character. For most cats (99.2% n = 254), the respondents looked for information about the breed before acquiring a cat. Breed-typical health conditions, as described by International Cat Care, were reported in 9.9 % (n = 24) of cats, with being overweight as the most common one. The most frequent behaviors were climbing (89.5%, n = 229), vocalizing (88.7%, n = 227), playing with water (79.7%, n = 204), and hunting (78.9%, n = 202). These were, however, rarely considered problematic by the owners. The most frequent behaviors often classified as problematic by the owners were destructive behaviors (33.2%, n = 85), followed by pica (16.4%, n = 42), aggression toward animals (16%, n = 41), and urination outside the litter tray (13.3%, n = 34). There were no significant differences between cats from early and later generations nor between cats with and without outdoor access. The fact that most owners looked for information about the breed before acquiring the cat and that the most frequently displayed behaviors were not considered problematic by their owners could translate into a lower incidence of relinquishments. Nevertheless, some of those behaviors may still be indicative of welfare issues, independently of the owner's perception. Further and more in-depth research is needed to understand the potential issues of keeping Bengal cats as pets. (c) 2020 Elsevier Inc. All rights reserved. The Bengal cat is a recently established hybrid cat breed that was created by crossbreeding the domestic shorthair cat (Felis silvestris catus) and the wild Asian leopard cat (Prionailurus bengalensis). In spite of its popularity, research on behavior and health issues in this breed remains limited. A questionnaire was sent to Bengal cat owners in Flanders and Wallonia (Belgium), and the Netherlands to document the suitability of the breed as a pet from the point of view of the owners by exploring the presence of behavioral and health issues that may provoke the cat?s relinquishment. It included questions about their decision to own a Bengal cat, the cat demographics and living environment, potential undesirable behaviors, and health issues. The owners of 60.5% (n = 155) of cats chose this breed due to a combination of looks and character. For most cats (99.2% n = 254), the respondents looked for information about the breed before acquiring a cat. Breed-typical health conditions, as described by International Cat Care, were reported in 9.9 % (n = 24) of cats, with being overweight as the most common one. The most frequent behaviors were climbing (89.5%, n = 229), vocalizing (88.7%, n = 227), playing with water (79.7%, n = 204), and hunting (78.9%, n = 202). These were, however, rarely considered problematic by the owners. The most frequent behaviors often classified as problematic by the owners were destructive behaviors (33.2%, n = 85), followed by pica (16.4%, n = 42), aggression toward animals (16%, n = 41), and urination outside the litter tray (13.3%, n = 34). There were no significant differences between cats from early and later generations nor between cats with and without outdoor access. The fact that most owners looked for information about the breed before acquiring the cat and that the most frequently displayed behaviors were not considered problematic by their owners could translate into a lower incidence of relinquishments. Nevertheless, some of those behaviors may still be indicative of welfare issues, independently of the owner?s perception. Further and more in-depth research is needed to understand the potential issues of keeping Bengal cats as pets.</t>
  </si>
  <si>
    <t>Moons, Christel/HKN-6941-2023</t>
  </si>
  <si>
    <t>Moons, Christel/0000-0002-0945-9630; Vervaecke, Hilde/0000-0002-7985-1195</t>
  </si>
  <si>
    <t>10.1016/j.jveb.2020.10.007</t>
  </si>
  <si>
    <t>WOS:000632186500001</t>
  </si>
  <si>
    <t>Van Gossum, H; Robb, T; Forbes, MR; Rasmussen, L</t>
  </si>
  <si>
    <t>Van Gossum, H.; Robb, T.; Forbes, M. R.; Rasmussen, L.</t>
  </si>
  <si>
    <t>Female-limited polymorphism in a widespread damselfly: morph frequencies, male density, and phenotypic similarity of andromorphs to males</t>
  </si>
  <si>
    <t>In several animal species, one male type coexists with two to several female types, a polymorphism often explained in the context of sexual selection. Where it occurs, one female morph typically resembles the conspecific male phenotype, but the degree of resemblance varies across species. Here, we question whether the degree of phenotypic similarity between male-like females and males varies within species. Phenotypic resemblance is hypothesized to depend on the potential for frequency- and density-dependent selection on male and (or) female phenotypes. We studied six populations of the damselfly Nehalennia irene (Hagen, 1861) that differed widely in estimates of morph frequency and male density. Male-like females resemble males more than another female type resembles males, across populations, when comparisons are based on abdominal patterns. Abdomen phenotype does matter in male-female interactions of damselflies. Furthermore, male-like females were more similar to males at low and high density sites compared with sites with intermediate densities, contrary to the hypothesis that the potential for male harassment influences the degree of phenotypic similarity. Additionally, male-like females of most populations converged on the abdominal phenotype of males of one population rather than on that of syntopic males; a problem that has not received any attention.</t>
  </si>
  <si>
    <t>10.1139/Z08-091</t>
  </si>
  <si>
    <t>WOS:000260166800006</t>
  </si>
  <si>
    <t>Luro, AB; Hauber, ME</t>
  </si>
  <si>
    <t>Luro, Alec B.; Hauber, Mark E.</t>
  </si>
  <si>
    <t>Pressure for rapid and accurate mate recognition promotes avian-perceived plumage sexual dichromatism in true thrushes (genus: Turdus)</t>
  </si>
  <si>
    <t>Ecological conditions limiting the time to find a compatible mate or increasing the difficulty in doing so likely promote the evolution of traits used for species and mate recognition. In addition to interspecific character displacement signalling species identity, intraspecific traits that signal an individual's sex and breeding status reduce the challenge of identifying a compatible conspecific mate and should be more common in migratory rather than sedentary species, species with shorter breeding seasons and species breeding under high sympatry with many closely related heterospecifics. Here, we tested this recognition hypothesis for promoting plumage sexual dichromatism in the true thrushes (Turdus spp.), a large and diverse genus of passerine birds. We used receptor-noise limited models of avian vision to quantify avian-perceived chromatic and achromatic visual contrasts between male and female plumage patches and tested the influence of breeding season length, spatial distribution and sympatry with other Turdus species on plumage dichromatism. As predicted, we found that (1) true thrush species with migratory behaviour have greater plumage sexual dichromatism than non-migratory species, (2) species with longer breeding seasons have less plumage sexual dichromatism, and (3) greater numbers of Turdus thrush species breeding in sympatry is associated with more plumage sexual dichromatism. These results suggest that social recognition systems, including species and mate recognition, play a prominent role in the evolution of plumage sexual dichromatism in true thrushes.</t>
  </si>
  <si>
    <t>Hauber, Mark/0000-0003-2014-4928</t>
  </si>
  <si>
    <t>10.1111/jeb.14089</t>
  </si>
  <si>
    <t>WOS:000863852000001</t>
  </si>
  <si>
    <t>Ruiz-Rodríguez, M; Martín-Vivaldi, M; Avilés, JM</t>
  </si>
  <si>
    <t>Ruiz-Rodriguez, Magdalena; Martin-Vivaldi, Manuel; Aviles, Jesus M.</t>
  </si>
  <si>
    <t>Multi-functional crest display in hoopoes Upupa epops</t>
  </si>
  <si>
    <t>Animals can engage in visual displays, which may target conspecifics, heterospecifics or both. Here we studied the function of the flamboyant crest-raising display of hoopoes Upupa epops in experiments performed with males in captivity. Males were exposed to sounds of a conspecific (male hoopoe song), a potential predator (human voice), and two controls (the song of a blackbird Turdus merula, and background noise). These stimuli were presented to males in the presence and absence of females. Males raised the crest with a significantly higher probability when confronted with stimuli indicating potential threats (rival mate or predator) than with controls. The crest display was frequent when confronted with both kinds of threats independently of the presence of a female, suggesting that it was directed to the predator and the rival male. The probability of raising the crest was not related to body condition, and there was a marginally but not significant negative relationship between probability of raising the crest and the number of black spots on the crest feathers, which may suggest that crest display could be informing about male quality. Therefore, male hoopoes display the crest in a heterospecific context in response to detection of potential threats, which could be a deceptive or pursuit-deterrent signal. The results also support a role of the crest in sexual selection, suggesting that crest display in male hoopoes may serve multiple functions.</t>
  </si>
  <si>
    <t>Martínez, Manuel Martín-Vivaldi/AAJ-6736-2021; Ruiz-Rodríguez, Magdalena/AAZ-6384-2021; Martín-Vivaldi, Manuel/F-8256-2016; Aviles, Jesus/K-3332-2014</t>
  </si>
  <si>
    <t>Martínez, Manuel Martín-Vivaldi/0000-0002-5432-425X; Ruiz-Rodríguez, Magdalena/0000-0002-4202-5180; Martín-Vivaldi, Manuel/0000-0002-5432-425X; Aviles, Jesus/0000-0002-1463-8393</t>
  </si>
  <si>
    <t>10.1111/jav.01402</t>
  </si>
  <si>
    <t>WOS:000416331100009</t>
  </si>
  <si>
    <t>Godfrey, HH; Henmi, Y</t>
  </si>
  <si>
    <t>Godfrey, Hunter Harter; Henmi, Yumi</t>
  </si>
  <si>
    <t>Observations of Agonistic Behavior between Two Male Gobies Acentrogobius virgatulus (Jordan &amp; Snyder, 1901), in Maizuru Bay, Kyoto Prefecture, Japan</t>
  </si>
  <si>
    <t>Acentrogobius virgatulus (Jordan &amp; Snyder, 1901) is a small coastal species of goby found along the Western Pacific. It is commonly found in Maizuru bay along the muddy sediment between the intertidal zone and depths of 10 m. In June and July of 2022, two independent agonistic interactions between male A. virgatulus were observed and recorded during its spawning season. One interaction, lasting over 4 minutes, included certain aggressive behaviors such as jaw locking, mouth gaping, fin extensions, rapid color changes, and fast strikes to the head and body. Another interaction exhibited similar mouth gaping, fin extension, and rapid color changes but did not lead to further escalation. These behaviors coincide with those found in similar species and provides in situ evidence of these uncommon interactions. This is the first record of agonistic behavior by an Acentrogobius species. Accumulating findings such as these can contextualize intraspecific interactions, reveal differences across multiple species, and guide future experiments.</t>
  </si>
  <si>
    <t>Godfrey, Hunter/0000-0002-9776-2858</t>
  </si>
  <si>
    <t>APR 24</t>
  </si>
  <si>
    <t>10.1155/2023/8868453</t>
  </si>
  <si>
    <t>WOS:000982639500001</t>
  </si>
  <si>
    <t>Hausmann, AE; Freire, M; Alfthan, SA; Kuo, CY; Linares, M; McMillan, O; Pardo-Diaz, C; Salazar, C; Merrill, RM</t>
  </si>
  <si>
    <t>Hausmann, Alexander E. E.; Freire, Marilia; Alfthan, Sara A. A.; Kuo, Chi-Yun; Linares, Mauricio; McMillan, Owen; Pardo-Diaz, Carolina; Salazar, Camilo; Merrill, Richard M.</t>
  </si>
  <si>
    <t>Does sexual conflict contribute to the evolution of novel warning patterns?</t>
  </si>
  <si>
    <t>Why warning patterns are so diverse is an enduring evolutionary puzzle. Because predators associate particular patterns with unpleasant experiences, an individual's predation risk should decrease as the local density of its warning pattern increases, promoting pattern monomorphism. Distasteful Heliconius butterflies are known for their diversity of warning patterns. Here, we explore whether interlocus sexual conflict can contribute to their diversification. Male Heliconius use warning patterns as mating cues, but mated females may suffer costs if this leads to disturbance, favouring novel patterns. Using simulations, we show that under our model conditions drift alone is unlikely to cause pattern diversification, but that sexual conflict can assist such a process. We also find that genetic architecture influences the evolution of male preferences, which track changes in warning pattern due to sexual selection. When male attraction imposes costs on females, this affects the speed at which novel pattern alleles increase. In two experiments, females laid fewer eggs with males present. However, although males in one experiment showed less interest in females with manipulated patterns, we found no evidence that female colouration mitigates sex-specific costs. Overall, male attraction to conspecific warning patterns may impose an unrecognized cost on Heliconius females, but further work is required to determine this experimentally.</t>
  </si>
  <si>
    <t>Merrill, Richard/T-9978-2019; Pardo-Diaz, Carolina/C-7936-2016; Salazar, Camilo/A-1647-2010</t>
  </si>
  <si>
    <t>Merrill, Richard/0000-0003-4527-9298; Kuo, Chi-Yun/0000-0002-8533-9358; Salazar, Camilo/0000-0001-9217-6588</t>
  </si>
  <si>
    <t>10.1111/jeb.14151</t>
  </si>
  <si>
    <t>WOS:000922981900001</t>
  </si>
  <si>
    <t>Ulbing, CKS; Muuse, JM; Miner, BE</t>
  </si>
  <si>
    <t>Ulbing, Cynthia K. S.; Muuse, Julia M.; Miner, Brooks E.</t>
  </si>
  <si>
    <t>Melanism protects alpine zooplankton from DNA damage caused by ultraviolet radiation</t>
  </si>
  <si>
    <t>Melanism is widely observed among animals, and is adaptive in various contexts for its thermoregulatory, camouflaging, mate-attraction or photoprotective properties. Many organisms exposed to ultraviolet radiation show increased fitness resulting from melanin pigmentation; this has been assumed to result in part from reduced UV-induced damage to DNA. However, to effectively test the hypothesis that melanin pigmentation reduces UV-induced DNA damage requires quantification of UV-specific DNA damage lesions following UV exposure under controlled conditions using individuals that vary in pigmentation intensity. We accomplished this using alpine genotypes of the freshwater microcrustacean Daphnia melanica, for which we quantified cyclobutane pyrimide dimers in DNA, a damage structure that can only be generated by UV exposure. For genotypes with carapace melanin pigmentation, we found that individuals with greater melanin content sustained lower levels of UV-induced DNA damage. Individuals with more melanin were also more likely to survive exposure to ecologically relevant levels of UV-B radiation. Parallel experiments with conspecific genotypes that lack carapace melanin pigmentation provide additional support for our conclusion that melanism protects individuals from UV-induced DNA damage. Finally, within-genotype comparisons with asexually produced clonal siblings demonstrate that melanin content influences DNA damage even among genetically identical individuals raised in the same environment.</t>
  </si>
  <si>
    <t>Miner, Brooks/AAE-9624-2019</t>
  </si>
  <si>
    <t>Miner, Brooks/0000-0002-6512-6582</t>
  </si>
  <si>
    <t>10.1098/rspb.2019.2075</t>
  </si>
  <si>
    <t>WOS:000504858100018</t>
  </si>
  <si>
    <t>Brando, S; Basom, L; Bashaw, M; Druyor, C; Fonte, E; Thompson, R</t>
  </si>
  <si>
    <t>Brando, Sabrina; Basom, Lillian; Bashaw, Meredith; Druyor, Caitlin; Fonte, Ellen; Thompson, Roger</t>
  </si>
  <si>
    <t>Individualized Target Training Facilitated Transfer of Group Housed Capuchin Monkeys (Sapajus apella) to Test Cubicles and Discrimination of Targets on Computer Touch Screens</t>
  </si>
  <si>
    <t>Simple Summary Coercion and non-voluntary procedures can cause fear, anxiety and maladaptive behaviors for captive animals, which makes animal husbandry and care more difficult and reduces animal welfare overall. Positive reinforcement training (i.e., using rewards for desired behaviors rather than punishment for undesirable behaviors) is shown to be beneficial in reducing animals' fear responses and in encouraging voluntary cooperation across a wide range of species. This paper outlines two experiments in positive reinforcement training to understand the importance of individualized targets in facilitating the voluntary transfer of captive capuchin monkeys (Sapajus apella) from their group enclosure to individual test cubicles. Experiment 1, which assigned different colored and geometric targets to each animal, rewarded animals for touching and following their assigned target into their test cubicle. The animals rapidly acquired the ability to identify their target, ultimately allowing them to cooperate by moving from one space to another voluntarily. Experiment 2 rewarded animals for spontaneously identifying their assigned target among other animals' targets and novel targets. The animals chose their target more often than predicted by chance, although they did make some errors. Animals in captivity often experience fear, anxiety and aggression during non-voluntary procedures, leading to adverse behaviors and ineffective outcomes for both animals and caretakers. Negative reinforcement and punishment, often due to ignorance regarding animal learning, can hurt animal welfare. However, voluntary participation through positive reinforcement training (PRT) can decrease stress related to these procedures and increase desired behaviors. Our goal was to demonstrate the positive effects of target training on animal welfare by training 10 captive capuchin monkeys (Sapajus apella) in two experiments designed to facilitate movement from a group home enclosure to a test cubicle. In Experiment 1, each monkey was assigned an individualized target (a unique shape/color combination). In daily training sessions, the animal was rewarded with a click-sounding stimulus and a food reinforcer for (a) touching the target, (b) following the respective target into a test cubicle, and (c) touching progressively smaller targets until progressing to digitized images on a computer touch screen. All 10 animals learned to approach and touch their individual physical target in one or two sessions and were able to successfully transition this behavior to an image of their target on a touch screen, although they made more errors with the touch screen. In Experiment 2, the animals were presented with other animals' targets and novel targets. The seven animals in this experiment all touched their target at higher-than-chance rates in Trial 1 without explicit discrimination training, but only five reached the learning criteria for the task (&gt;83% correct for three consecutive testing days. These results demonstrate that target training can make voluntary movement from group housing to test cubicles easier and benefit future animal care and procedures.</t>
  </si>
  <si>
    <t>10.3390/ani11072070</t>
  </si>
  <si>
    <t>WOS:000675936800001</t>
  </si>
  <si>
    <t>FITZGERALD, GJ; FOURNIER, M; MORRISSETTE, J</t>
  </si>
  <si>
    <t>SEXUAL SELECTION IN AN ANADROMOUS POPULATION OF THREESPINE STICKLEBACKS - NO ROLE FOR PARASITES</t>
  </si>
  <si>
    <t>We examined the hypothesis that trematode parasites played a role in the evolution of the red colour of male threespine sticklebacks (Gasterosteus aculeatus L.) and whether the parasites affected female fitness. Parasites ('blackspot' disease) played no role either in determining the outcome of male-male competition for breeding territories or in female mate choice. Among males with territories, mating success was highly variable. Some males obtained over 3000 eggs (approximately 10 matings) whereas others received none. In 1 year of the 2 year study, males with the greatest amount of red nuptial coloration had the greatest mating success. Although male colour may sometimes affect female choice in this system, this preference has probably not evolved because of the Hamilton-Zuk mechanism of sexual selection. The parasites had small, but statistically significant effects on female fitness. Females with high parasite loads were in poorer condition and produced fewer eggs than less parasitized fish.</t>
  </si>
  <si>
    <t>10.1007/BF01238187</t>
  </si>
  <si>
    <t>WOS:A1994NY27800002</t>
  </si>
  <si>
    <t>WARNER, RR; SCHULTZ, ET</t>
  </si>
  <si>
    <t>SEXUAL SELECTION AND MALE CHARACTERISTICS IN THE BLUEHEAD WRASSE, THALASSOMA-BIFASCIATUM - MATING SITE ACQUISITION, MATING SITE DEFENSE, AND FEMALE CHOICE</t>
  </si>
  <si>
    <t>Through a series of replacement experiments with the bluehead wrasse, Thalassoma bifasciatum, we have identified male morphological characteristics that appear to be under phenotypic sexual selection. We were particularly interested in whether the various sources of sexual selection (male-male competition for unoccupied mating sites, defense of mating sites against small males, and female choice of males) were (1) independently associated with different phenotypic characteristics; (2) jointly affected the same characteristic in the same way; or (3) jointly affected the same characteristic in an antagonistic fashion. We replaced the resident large, brightly colored Terminal Phase (TP) males on a reef with the same number of TP males from other reefs. When transplanted, these males contest with each other to take over mating sites. The transplanted group of males were then scored for three components of fitness: (1) the quality of the site obtained through competition with other large males; (2) the male's ability to defend arriving females from small intruding males; and (3) changes in female visits to the site once the new male takes over. The first and second components are part of intrasexual selection; the third represents intersexual selection. We measured the opportunity for selection by partitioning variance in mating success, and measured the direct effects of sexual selection by estimating the covariance between morphology and fitness components. Opportunities for selection: Because females generally remain faithful to particular mating sites, most (54%) of the explainable variation in male mating success is due to the acquisition of a particular mating territory, which is the outcome of competition among TP males. There was less variation in mating success due to shifts in site use by females and defense of females against the intrusions of smaller males, but all components were significant. Effects of selection: Success in male-male competition among TP males, estimated by the quality of the territory acquired, was positively associated with body length and the relative length of the pectoral fin. Success in territorial defense against small males was primarily related to body length, with lesser contributions from body depth and the area of a white band on the flank. Contribution to fitness through female choice of males was positively associated with white band area. In the two instances where a character was associated with two fitness components, the direction of selection was the same. While body length was positively associated with winning intrasexual contests, it was not correlated to any behavioral measures of aggression. Similarly, the white band associated with attractiveness was not correlated with any aspect of courtship or aggression. Parasite load was uncorrelated with other morphological characters, and did not appear to affect any aspect of sexual selection. There was no evidence for stabilizing selection or significant additional contributions from second-order effects to the fitness surfaces. Fitness functions calculated using cubic splines were generally linear except for body length, which appeared sigmoid in its effect on site acquisition ability; this same feature tended to plateau in its effect on site defense. Analyses of the interactions of selection gradients with reef or experiment indicated that the effect of particular male characters on estimates of fitness was generally homogeneous in both time and space.</t>
  </si>
  <si>
    <t>; Warner, Robert/M-5342-2013</t>
  </si>
  <si>
    <t>Schultz, Eric/0000-0003-4086-7883; Warner, Robert/0000-0002-3299-5685</t>
  </si>
  <si>
    <t>10.2307/2409947</t>
  </si>
  <si>
    <t>WOS:A1992JV37100013</t>
  </si>
  <si>
    <t>Witte, K; Hirschler, U; Curio, E</t>
  </si>
  <si>
    <t>Sexual imprinting on a novel adornment influences mate preferences in the Javanese Mannikin Lonchura leucogastroides</t>
  </si>
  <si>
    <t>We investigated whether sexual imprinting on an artificial novel adornment in the Javanese Mannikin Lonchura leucogastroides, a monomorphic estrildid finch, can occur and might provide a mechanism for the evolution of novel traits. We introduced a red feather on the forehead as a novel adornment. Young were raised by parents which were both adorned, which were both unadorned, or only one of which was adorned with the red feather. We tested the female and male offspring of those parents in mate choice tests with an adorned and unadorned conspecific of the opposite sex. Males raised by an adorned mother or adorned parents preferred adorned females significantly more often than males raised by unadorned parents. We conclude that males were sexually imprinted on the red feather. Females raised by an adorned mother or raised by adorned parents significantly preferred adorned males, whereas females raised by unadorned parents showed no preference for adorned males. Thus, females also became imprinted on the red feather. Males might learn the novel adornment in combination with the parent's sex or learn just the most conspicuous sex, whereas females showed a preference for the adornment independent of which sex bore the feather. Our study shows that sexual imprinting might be an effective mechanism for the evolution of a novel trait and that males and females might become imprinted on a novel trait in different ways.</t>
  </si>
  <si>
    <t>10.1046/j.1439-0310.2000.00558.x</t>
  </si>
  <si>
    <t>WOS:000086783400005</t>
  </si>
  <si>
    <t>Ariza-Marín, ER; De Luna, E</t>
  </si>
  <si>
    <t>Ariza-Marin, Edwin R.; De Luna, Efrain</t>
  </si>
  <si>
    <t>Morphometric analyses of sexual dimorphism in sound-emitting structures in adults of the bess beetle Vindex agnoscendus (Coleoptera: Passalidae)</t>
  </si>
  <si>
    <t>In insects, the sexually dimorphic body size, color, and horns are very conspicuous. Other not so obvious characteristics, such as behavioral traits related to reproduction, are also dimorphic (courtship dances and sounds). Among these, the stridulation, stridulatory apparatus, and hearing systems could also be different between sexes. Passalids are subsocial beetles with acoustic communication in the interactions of larvae-adult and adult-adult. Most of the species do not have morphological traits with sexual dimorphism, but sounds are dimorphic under reproductive and aggression contexts. We studied sexual dimorphism in the stridulation organs (plectrum) in Vindex agnoscendus (Percheron) as an important step towards understanding its functioning. We acquired SEM micrographs of the plectrum for 14 specimens per sex, for measuring size, density and shape of the spines. We performed traditional and geometric morphometric analyses to test for sexual differences in the spines of three zones (Z1-Z3) of the plectrum. Allometric analyses showed spine variation is not related to body size in either sex. Our univariate and multivariate analyses uncovered sexual dimorphism in spine size (length and width of spines), spine density (distance between spines and number of spines), and spine shape (landmark coordinates). Spines were wider in males than in females in the apical zone (Z1). The spines were further apart in females than in males in two zones (Z1, Z2) and the spine numbers were higher in females than in males in the apical zone (Z1). The shape of spines was different between sexes in two zones (Z1, Z2). Moreover, our disparity analyses showed different variability patterns in size and density of spines. Variability of spine shape was similar between sexes, and variability of spine density was higher in females than in males, while for spine size it was higher in males than in females. These findings for the plectrum suggest further research for sexual dimorphism in the pars stridens and acoustic signals, and for the possible roles of natural and sexual selection in the patterns of variability of spines.</t>
  </si>
  <si>
    <t>Ariza-Marín, Edwin Rafael/ABA-3812-2020; De Luna, Efrain/Q-8127-2018</t>
  </si>
  <si>
    <t>Ariza-Marín, Edwin Rafael/0000-0001-9469-6034; De Luna, Efrain/0000-0002-6198-3501</t>
  </si>
  <si>
    <t>10.1016/j.zool.2021.125992</t>
  </si>
  <si>
    <t>WOS:000776690400002</t>
  </si>
  <si>
    <t>Bunlungsup, S; Kanthaswamy, S; Oldt, RF; Smith, DG; Houghton, P; Hamada, Y; Malaivijitnond, S</t>
  </si>
  <si>
    <t>Bunlungsup, Srichan; Kanthaswamy, Sree; Oldt, Robert F.; Smith, David Glenn; Houghton, Paul; Hamada, Yuzuru; Malaivijitnond, Suchinda</t>
  </si>
  <si>
    <t>Genetic analysis of samples from wild populations opens new perspectives on hybridization between long-tailed (Macaca fascicularis) and rhesus macaques (Macaca mulatta)</t>
  </si>
  <si>
    <t>In the past decade, many researchers have published papers about hybridization between long-tailed and rhesus macaques. These previous works have proposed unidirectional gene flow with the Isthmus of Kra as the zoogeographical barrier of hybridization. However, these reports analyzed specimens of unknown origin and/or did not include specimens from Thailand, the center of the proposed area of hybridization. Collected specimens of long-tailed and rhesus macaques representing all suspected hybridization areas were examined. Blood samples from four populations each of long-tailed and rhesus macaques inhabiting Thailand, Myanmar, and Laos were collected and analyzed with conspecific references from China (for rhesus macaques) and multiple countries from Sundaic regions (for long-tailed macaques). Ninety-six single nucleotide polymorphism (SNP) markers specifically designed to interrogate admixture and ancestry were used in genotyping. We found genetic admixture maximized at the hybrid zone (15-20 degrees N), as well as admixture signals of varying strength in both directions outside of the hybrid zone. These findings show that the Isthmus of Kra is not a barrier to gene flow from rhesus to long-tailed populations. However, to precisely identify a southernmost barrier, if in fact a boundary rather than simple isolation by distance exists, the samples from peninsular Malaysia must be included in the analysis. Additionally, a long-tailed to rhesus gene flow boundary was found between northern Thailand and Myanmar. Our results suggest that selection of long-tailed and rhesus macaques, the two most commonly used non-human primates for biomedical research, should take into account not only the species identification but also the origin of and genetic admixture within and between the species.</t>
  </si>
  <si>
    <t>Smith, David/GQQ-8257-2022</t>
  </si>
  <si>
    <t>e22726</t>
  </si>
  <si>
    <t>10.1002/ajp.22726</t>
  </si>
  <si>
    <t>WOS:000417173400004</t>
  </si>
  <si>
    <t>Carr, JM; Golinski, JE</t>
  </si>
  <si>
    <t>Carr, Jennie M.; Golinski, Julianne E.</t>
  </si>
  <si>
    <t>Vigilance behaviors of Ruby-throated Hummingbirds (Archilochus colubris) reflect elevated risk of competitive interactions with vespine wasps</t>
  </si>
  <si>
    <t>Interactions between hummingbirds and potentially dangerous or aggressive insects at shared food sources may result in interference competition and risk-avoidance behaviors. To examine the potential interplay between perceived risk and interference competition, we observed the vigilance behaviors of Ruby-throated Hummingbirds (Archilochus colubris) foraging at artificial feeders with and without visual obstruction in the presence and absence of 3 species of wasp (Hymenoptera: Vespidae: Vespinae). Hummingbirds withdrew their bills from the visually obstructed feeder more rapidly than when feeding with a clear view of the surroundings. Wasps caused hummingbirds to spend a greater proportion of their visit vigilant, an effect positively correlated with the number of wasps at the feeding station. Aggressive competitive interactions at feeders were asymmetric. Hummingbirds avoided feeders with wasps and switched between available feeders more often and were never observed pursuing wasps away from the feeder. Instead, hummingbirds were chased by wasps or avoided foraging from feeders when wasps were present. Changes in hummingbird vigilance patterns in response to wasp aggression match those of other avian species whose antipredator vigilance patterns have been thoroughly examined. Thus, although interference competition inevitably occurs, vigilance patterns suggest that hummingbirds do perceive wasps as a potential threat and not solely as competitors.</t>
  </si>
  <si>
    <t>10.1676/1559-4491-132.2.295</t>
  </si>
  <si>
    <t>WOS:000617763600006</t>
  </si>
  <si>
    <t>Röll, B; Sanchez, M; Gippner, S; Bauer, AM; Travers, SL; Glaw, F; Hawlitschek, O; Vences, M</t>
  </si>
  <si>
    <t>Roell, Beate; Sanchez, Mickael; Gippner, Sven; Bauer, Aaron M.; Travers, Scott L.; Glaw, Frank; Hawlitschek, Oliver; Vences, Miguel</t>
  </si>
  <si>
    <t>Phylogeny of dwarf geckos of the genus Lygodactylus (Gekkonidae) in the Western Indian Ocean</t>
  </si>
  <si>
    <t>Diurnal dwarf geckos of the genus Lygodactylus are distributed in tropical and subtropical regions and live in highly diverse habitats. The genus currently comprises 79 species and several candidates for new species or subspecies. Most of these taxa occur in Sub-Saharan Africa and Madagascar, with only two described species in South America. Although the main center of diversity of Lygodactylus currently is Africa, the genus probably has a Malagasy origin, followed by two or three independent transoceanic dispersal events between Madagascar and Africa and one trans-Atlantic dispersal from Africa to South America. A few species colonised islands in the Western Indian Ocean belonging to the Zanzibar Archipelago and to the iles eparses. Here we examined L. grotei pakenhami from Pemba Island, L. insularis from Juan de Nova, and L. verticillatus from Europa Island to clarify their taxonomic status and their origin. Concerning L. grotei pakenhami and L. insularis, preceding studies pointed to a relation to species of the African L. capensis group. In contrast, L. verticillatus on Europa Island is considered to be conspecific with Malagasy populations. Therefore, we conducted a phylogenetic study of the African L. capensis group and the Malagasy L. verticillatus group, and examined color pattern, selected morphological characters and two mitochondrial markers (ND2 for African and 16S rRNA for Malagasy Lygodactylus). Lygodactylus grotei pakenhami from Pemba and L. grotei from mainland Africa cannot be distinguished by their scalation, but their reciprocal monophyly suggested by mitochondrial DNA, conspicuously different coloration (both in adults and hatchlings) and their high genetic distances (16.3% in ND2) support the hypothesis that these taxa represent two distinct species. Consequently, we elevate L. grotei pakenhami to species level, as Lygodactylus pakenhami Loveridge, 1941. Lygodactylus pakenhami is endemic to Pemba Island which was possibly separated from the African mainland during the late Miocene or Early Pliocene (6 million years ago). The simplest explanation for the existence of L. pakenhami on Pemba is vicariance. A recent, human-mediated transportation is excluded, as the molecular data clearly indicate a longer period of isolation. Lygodactylus insularis has been supposed to be related to the taxa 'capensis' or 'grotei'. However, it is impossible to discern the relationship of L. insularis, L. capensis and L. grotei by means of scalation or coloration alone. Our molecular phylogenetic analyses reveal that L. insularis is embedded within the L. capensis group, clearly indicating its African origin. The single gene (ND2) as well as the multigene analyses fully support a closer common origin of L. insularis and L. capensis than of L. insularis and L. grotei. However, the position of L. insularis within the clade formed by L. insularis, L. nyaneka, L. capensis sensu stricto and six L. aff. capensis groups is not clearly resolved. Lygodactylus insularis is endemic on Juan de Nova Island, an old low elevation atoll. That all L. insularis mitochondrial sequences are very similar to each other and together form a monophyletic lineage is in agreement with the hypothesis of a single dispersal event to the island. For the L. verticillatus population from Europa Island our mitochondrial data suggest close relationships to conspecific samples from the coastal regions of south-western Madagascar. As we found no relevant morphological or genetic differences between the insular and the Malagasy populations of L. verticillatus, and no remarkable genetic variation within the monophyletic lineage on Europa, we suggest a single, very recent dispersal event, perhaps human-mediated. Although the genus Lygodactylus colonised Africa, islands in the Gulf of Guinea, South America and some islands in the Western Indian Ocean, it seems-compared to other lizard genera-to be only moderately successful in transoceanic long-distance dispersal.</t>
  </si>
  <si>
    <t>Gippner, Sven/KZU-6135-2024; Vences, Miguel/E-5573-2010</t>
  </si>
  <si>
    <t>Gippner, Sven/0000-0003-2621-1001; Travers, Scott/0000-0003-4656-4613; Bauer, Aaron/0000-0001-6839-8025; Sanchez, Mickael/0000-0001-5137-9629</t>
  </si>
  <si>
    <t>JUN 29</t>
  </si>
  <si>
    <t>10.11646/zootaxa.5311.2.4</t>
  </si>
  <si>
    <t>WOS:001030714500003</t>
  </si>
  <si>
    <t>Kirby, AV; Bilder, DA; Wiggins, LD; Hughes, MM; Davis, J; Hall-Lande, JA; Lee, LC; McMahon, WM; Bakian, A</t>
  </si>
  <si>
    <t>Kirby, Anne, V; Bilder, Deborah A.; Wiggins, Lisa D.; Hughes, Michelle M.; Davis, John; Hall-Lande, Jennifer A.; Lee, Li-Ching; McMahon, William M.; Bakian, Amanda, V</t>
  </si>
  <si>
    <t>Sensory features in autism: Findings from a large population-based surveillance system</t>
  </si>
  <si>
    <t>AUTISM RESEARCH</t>
  </si>
  <si>
    <t>Sensory features (i.e., atypical responses to sensory stimuli) are included in the current diagnostic criteria for autism spectrum disorder. Yet, large population-based studies have not examined these features. This study aimed to determine the prevalence of sensory features among autistic children, and examine associations between sensory features, demographics, and co-occurring problems in other areas. Analysis for this study included a sample comprised of 25,627 four- or eight-year-old autistic children identified through the multistate Autism and Developmental Disabilities Monitoring Network (2006-2014). We calculated the prevalence of sensory features and applied multilevel logistic regression modeling. The majority (74%; 95% confidence interval: 73.5%-74.5%) of the children studied had documented sensory features. In a multivariable model, children who were male and those whose mothers had more years of education had higher odds of documented sensory features. Children from several racial and ethnic minority groups had lower odds of documented sensory features than White, non-Hispanic children. Cognitive problems were not significantly related to sensory features. Problems related to adaptive behavior, emotional states, aggression, attention, fear, motor development, eating, and sleeping were associated with higher odds of having documented sensory features. Results from a large, population-based sample indicate a high prevalence of sensory features in autistic children, as well as relationships between sensory features and co-occurring problems. This study also pointed to potential disparities in the identification of sensory features, which should be examined in future research. Disparities should also be considered clinically to avoid reduced access to supports for sensory features and related functional problems. Lay Summary In a large, population-based sample of 25,627 autistic children, 74% had documented differences in how they respond to sensation. We also identified significant associations of sensory features with adaptive behavior and problems in other domains. Sensory features were less common among girls, children of color, and children of mothers with fewer years of education, suggesting potential disparities in identification.</t>
  </si>
  <si>
    <t>Davis, John Lockett/JOK-2336-2023; Hughes, Michelle/H-8604-2019; Hughes, Michelle/AHC-5043-2022</t>
  </si>
  <si>
    <t>Davis, John Lockett/0000-0002-4394-2503; Hughes, Michelle/0000-0002-4436-2236; Kirby, Anne/0000-0003-0395-6684</t>
  </si>
  <si>
    <t>1939-3792</t>
  </si>
  <si>
    <t>1939-3806</t>
  </si>
  <si>
    <t>10.1002/aur.2670</t>
  </si>
  <si>
    <t>WOS:000743515200001</t>
  </si>
  <si>
    <t>Axelsson, HMK; Hansen, SW; Loberg, J; Lidfors, L</t>
  </si>
  <si>
    <t>Axelsson, Helene M. K.; Hansen, Steffen W.; Loberg, Jenny; Lidfors, Lena</t>
  </si>
  <si>
    <t>Effects of group size on behaviour, growth and occurrence of bite marks in farmed mink</t>
  </si>
  <si>
    <t>The aims of this study were to investigate the occurrence of stereotypic behaviours and the activity level in farmed mink when group housed in climbing cages and if group housing increase aggression by assessing the prevalence of bite marks. This was studied in juvenile mink of the colour types demibuff (n = 165) and half sapphire (n = 165). The animals were housed in standard cages (S2: one male, one female), or in climbing cages (C2: one male, one female; C3: one male, two females; C4: two males, two females). Behaviours were recorded for two hours beginning at sunrise and two hours before sunset during six periods of five days each from August-October. After pelting, the leather side of the undried skins were visually inspected for bite marks. Stereotypic behaviours were infrequent (0.1% of observations). Pair housed mink in climbing cages were more inactive out in cage than pair housed mink in standard cages (p &lt; 0.0001), but cage type had no effect on the behaviours being in nest box, active out in cage, interactions with enrichments or social interactions (n.s.). Group sizes of three or four mink increased the behaviours active out in cage (P &lt; 0.0001) and decreased being in nest box (P &lt; 0.001) but had no effect on interactions with enrichments, inactive out in cage or social interactions (n.s.). Males had lower growth when kept in groups of four compared to groups of three or pairs (P &lt; 0.001), and shorter skin lengths when kept in groups of four compared to pairs (P &lt; 0.001), but females did not differ in growth or skin lengths between group sizes (n.s.). Number of bite marks on the leather side of the skins did not differ between cage types (n.s.) or group sizes (n.s.). In conclusion, neither the cage design nor the group size affected the occurrence of stereotypies or the occurrence of bite marks, but activity levels increased and the use of a nest box and male growth decreased in larger groups.</t>
  </si>
  <si>
    <t>Lidfors, Lena/0000-0002-5629-0946</t>
  </si>
  <si>
    <t>10.1016/j.applanim.2017.05.008</t>
  </si>
  <si>
    <t>WOS:000408179000015</t>
  </si>
  <si>
    <t>Veiga, JP</t>
  </si>
  <si>
    <t>Permanent exposure versus facultative concealment of sexual traits: An experimental study in the house sparrow</t>
  </si>
  <si>
    <t>In many bird species the cryptic winter plumage is due to the presence of light feather tips that conceal conspicuous colorations. The gradual abrasion of these tips that makes sexual traits visible has been interpreted as a strategy to improve mating success (here referred as the permanent exhibition hypothesis). However, under some circumstances, the maintenance of a full plumage that facultatively enables the bird to exhibit or cover aggression-inducing traits has proved to be advantageous (the coverable badge hypothesis). In a population of house sparrows where black throat patches (here called badges) are used in intrasexual competition, the degree of abrasion of dull feather tips that conceal bright colour early in the breeding season correlated neither with badge size nor with traits indicating morphology and body condition. These results are only in accordance with predictions of the coverable badge hypothesis. In 1992 experimental clipping of badge feather tips, which forced permanent exposure of badges, negatively affected birds with the largest badges in terms of nest acquisition, but an opposite trend was indicated for birds with the smallest badges. In 1993, when more novel birds in the study area were competing for nesting sites than in 1992, only badge size, but not the experimental manipulation, affected nesting success. These results suggest that the loss of the ability to conceal badges was disadvantageous, and more so if most competing individuals had already been resident in the colony in previous years and the larger their badges were. There is a striking contrast between the results reported for this study population, where badges mainly signal fighting ability and those reported for another house sparrow population, where badges are mainly used in mate choice. In this last population, tip abrasion is advantageous for dominant individuals showing the largest badges. This suggests that the trade-off between conserving versus wearing off the feathers that conceal ornaments could have different optimal resolutions depending on the relative importance of inter- and intrasexual selection on indicator traits.</t>
  </si>
  <si>
    <t>Veiga, José/AAV-1687-2020</t>
  </si>
  <si>
    <t>10.1007/s002650050299</t>
  </si>
  <si>
    <t>WOS:A1996VW21300009</t>
  </si>
  <si>
    <t>MAGURRAN, AE; SEGHERS, BH; CARVALHO, GR; SHAW, PW</t>
  </si>
  <si>
    <t>EVOLUTION OF ADAPTIVE VARIATION IN ANTIPREDATOR BEHAVIOR</t>
  </si>
  <si>
    <t>Conference on Behavioural Ecology of Fishes</t>
  </si>
  <si>
    <t>SEP 30-OCT 05, 1991</t>
  </si>
  <si>
    <t>ETTORE MAJORANA CTR SCI CULTURE, ERICE, ITALY</t>
  </si>
  <si>
    <t>ETTORE MAJORANA FDN</t>
  </si>
  <si>
    <t>ETTORE MAJORANA CTR SCI CULTURE</t>
  </si>
  <si>
    <t>In many species of fish, behaviour varies adaptively amongst populations in response to predation risk. One of the best examples is provided by the guppy, Poecilia reticulata, in Trinidad. Although separated by distances of a few km, or less, guppy populations vary in terms of predator assessment and avoidance, schooling, foraging behaviour, resource defence, female choice and mating tactics. We show that there are behavioural costs (such as lower levels of individual aggression and reduced female choice) associated with selection for a heightened antipredator response. In the majority of cases population variation in guppy behaviour can be clearly linked to the predation regime. Nevertheless, we have begun to uncover situations where there is behavioural divergence amongst populations apparently experiencing equivalent risk. We consider explanations for these differences including the possibility that they may be related to high levels of genetic divergence.</t>
  </si>
  <si>
    <t>10.1080/10236249309378855</t>
  </si>
  <si>
    <t>WOS:A1993MN22500006</t>
  </si>
  <si>
    <t>Jolly, MT; Rogers, AD; Sheader, M</t>
  </si>
  <si>
    <t>Microgeographic genetic variation of populations of Idotea chelipes (Crustacea: Isopoda) in lagoons of the southern English coast.</t>
  </si>
  <si>
    <t>CAHIERS DE BIOLOGIE MARINE</t>
  </si>
  <si>
    <t>Allozyme variability was examined using starch-gel electrophoresis between sub-populations of Idotea chelipes over a small geographic distance (approx. 104 km), in lagoons within the Solent area (Fort Gilkicker Moat; Ashlett Pond) and at one site in Dorset (the Fleet Lagoon). Genetic identity values indicate that all three populations are conspecific (I = 0.967 to 0.995), and mean heterozygosity per locus for all three populations was 8%. Significant levels of genetic differentiation (mean F-ST = 0.119***; p &lt; 0.001) were detected over this small spatial scale, but this mainly resulted from the slow esterase locus (mean F-ST (no esterase) = 0.072***; p &lt; 0.001). Genetic differentiation was moderate given the low geographic distances between populations with only one to two migrants per deme per generation (N(e)m(F-ST) = 1.85) from the Fleet to Gilkicker. There was no significant deviation from the genotypes expected under the Hardy-Weinberg equilibrium despite an overall slight excess of heterozygotes (mean F-IS = -0.01). Pairwise F-ST values indicated that there was limited genetically effective migration between the sampled lagoons. This genetic differentiation may have been promoted by the presence of the Southampton Water and Solent estuarine system that may act as a physical barrier to gene flow for this species. The previous use of the esterase (ET2) locus as a sub-specific biochemical marker for Idotea chelipes is placed in doubt by this study.</t>
  </si>
  <si>
    <t>Rogers, Alex David/0000-0002-4864-2980</t>
  </si>
  <si>
    <t>0007-9723</t>
  </si>
  <si>
    <t>WOS:000188352000002</t>
  </si>
  <si>
    <t>Shulman, MJ</t>
  </si>
  <si>
    <t>Shulman, M. J.</t>
  </si>
  <si>
    <t>Echinometra sea urchins on Caribbean coral reefs: Diel and lunar cycles of movement and feeding, densities, and morphology</t>
  </si>
  <si>
    <t>Two species of Echinometra are found on tropical western Atlantic reefs. E. viridis and E. lucunter. Both are grazers and bioeroders, and on some disturbed reefs E. viridis has become the dominant herbivore, particularly since the disease-caused decline of the much larger echinoid Diadema antillarum. Thus, it is critical to understand factors affecting herbivory by Echinometra, including foraging behaviors and distances, did and lunar cycles of foraging, and densities of Echinometra, particularly E. viridis, across habitats and locations. Twenty-four hour tracking studies undertaken in the San Blas Islands of Panama, conducted at different times in the lunar cycle, revealed that on new moons both species of Echinometra primarily moved and fed at night, but the pattern reversed on full moons. These data suggest that vulnerability to predators and/or aggression by damselfishes during the night on full moons may be a significant selective force affecting did foraging behavior. Daily distances moved (minimum estimate) averaged 19 cm for E. viridis and 11 cm for E. lucunter. The average foraging range for E. viridis was estimated to be 0.3-5% the size of that of D. antillarum, while per capita daily algal consumption by E. viridis is 20% that of D. antillarum.These results suggest more intense, localized grazing by E. viridis compared to D. antillarum. A review of published densities of E. viridis show that 50% of studied sites (location/habitat combination) have densities less than 5 m(-2), a level unlikely to produce a strong herbivory effect. Densities greater than 15 m(-2) were found at 25% of sites, including the San Blas Islands, Panama patch reefs in this study, which averaged 26 m(-2). Where high densities are combined with low predator numbers due to fishing, E. viridis can have strong direct effects on algal assemblages, with potential indirect effects on corals and other benthic invertebrates. However, available published data indicate E. viridis has strong regional variation in abundance, as yet unexplained, that limits its potential Caribbean-wide role as a reef herbivore. Morphological traits of E. viridis that are likely related to vulnerability to predation varied across habitats. A newly-described melanic color morph comprised 4-16% of the population, with significant variation in frequency across habitat types. Body sizes (test diameter) also varied among habitats, with larger individuals much more common in habitats with fewer shelter sites. Similarly, in habitats offering less protection from predators, spine lengths were longer relative to test diameter. Morphological traits that reduce predator detection or vulnerability to predation, as well as the refuges afforded by habitat, will ultimately affect both the number of E. viridis on a particular reef and their ability to forage in the presence of predators.</t>
  </si>
  <si>
    <t>10.1016/j.jembe.2020.151430</t>
  </si>
  <si>
    <t>WOS:000562582100021</t>
  </si>
  <si>
    <t>Bischoff, M; Campbell, DR; Lord, JM; Robertson, AW</t>
  </si>
  <si>
    <t>Bischoff, Mascha; Campbell, Diane R.; Lord, Janice M.; Robertson, Alastair W.</t>
  </si>
  <si>
    <t>The relative importance of solitary bees and syrphid flies as pollinators of two outcrossing plant species in the New Zealand alpine</t>
  </si>
  <si>
    <t>Pollinators vary in their relative contribution to the conspecific pollen deposited onto receptive stigmas, because of variation in both visitation rate and effectiveness of pollen transfer. Syrphid flies and short-tongued solitary bees are common flower visitors in alpine New Zealand, yet their relative importance as pollinators is unknown. We measured pollinator performance of the New Zealand alpine endemics Hylaeus matamoko (Hymenoptera: Colletidae) and Allograpta spp. (Diptera: Syrphidae) on two New Zealand alpine herbs, Ourisia glandulosa (Plantaginaceae) and Wahlenbergia albomarginata (Campanulaceae). Ourisia glandulosa received visits by solitary bees and syrphid flies at equal frequencies, whereas W.albomarginata was mostly visited by H.matamoko. Based on single-visit pollen deposition to virgin stigmas, H.matamoko was a much more effective pollinator than Allograpta spp., delivering 10 times as much pollen per visit to O.glandulosa stigmas and 3 times as much to W.albomarginata stigmas. By multiplying visitation frequency by single-visit pollen deposition, we estimated that H.matamoko performed 90% and 95% of the pollination of O.glandulosa and W.albomarginata, respectively. Although H.matamoko bees are short-tongued and small in size, they are critically important to plant reproductive success in the New Zealand alpine. These bees contributed most of the pollination, even to a species that received just as many visits by flies, underscoring the need to consider per-visit effectiveness as well as visitation rate in assessing the importance of different pollinators.</t>
  </si>
  <si>
    <t>Robertson, Alastair W/A-7808-2008; Lord, Janice Marjorie/A-8869-2012; Campbell, Diane/A-1653-2012</t>
  </si>
  <si>
    <t>Robertson, Alastair W/0000-0001-6894-2158; Lord, Janice Marjorie/0000-0001-8314-0428; Campbell, Diane/0000-0002-1147-846X</t>
  </si>
  <si>
    <t>10.1111/j.1442-9993.2012.02389.x</t>
  </si>
  <si>
    <t>WOS:000316623400006</t>
  </si>
  <si>
    <t>Batista, A; Hertz, A; Köhler, G; Mebert, K; Vesely, M</t>
  </si>
  <si>
    <t>Batista, Abel; Hertz, Andreas; Koehler, Gunther; Mebert, Konrad; Vesely, Milan</t>
  </si>
  <si>
    <t>Morphological variation and phylogeography of frogs related to Pristimantis caryophyllaceus (Anura: Terrarana: Craugastoridae) in Panama</t>
  </si>
  <si>
    <t>New World direct-developing frogs (Terrarana) are among the most diverse vertebrate groups in the world. Many Terrarana species are highly variable in colouration and morphology, often rendering it difficult to delineate species. Modern molecular and bioacoustic techniques are a relatively recent tool for understanding the various taxonomic entities. This affects also Pristimantis caryophyllaceus, a complex on which. little research has previously been done. We examined the variation of morphology genetics, and colouration in specimens affiliated to P. caryophyllaceus from Panama, using different Molecular Operational Taxonomic Units (MOTUs) based on molecular phylogenetic lineages. Phylogeny, ecology, and distributional information for this species shed light on the position and species delineation of P. caryophyllaceus and its congeners in Panama. Our results demonstrate a high level of genetic diversity in P caryophyllaceus-like populations from Panama, which in fact comprise three main lineages that are geographically separated. Specimens from eastern Panama tend to be larger, with more expanded finger disks and toe pads than specimens from western Panama. However, aside from the significant morphological differences between MOTUs, the extent of variation within each MOTU is very large. Based on our extensive and integrative analysis, we suggest treating the three MOTUs of P. caryophyllaceus populations as a single polymorphic species with very deep conspecific lineages as a result of the dynamic geological history of the Isthmus of Panama. The validity of the recently described P. educatoris is not supported by our results and we therefore synonymize it with P. caryophyllaceus.</t>
  </si>
  <si>
    <t>Batista, Abel/S-2610-2019; Hertz, Andreas/ABA-1277-2020; Mebert, Konrad/H-7419-2016</t>
  </si>
  <si>
    <t>Batista, Abel/0000-0001-8053-3373; Hertz, Andreas/0000-0003-1128-6684; Mebert, Konrad/0000-0003-4892-2912; Vesely, Milan/0000-0001-6315-8583</t>
  </si>
  <si>
    <t>OCT 30</t>
  </si>
  <si>
    <t>WOS:000344312600005</t>
  </si>
  <si>
    <t>Schama, R; Solé-Cava, AM; Thorpe, JP</t>
  </si>
  <si>
    <t>Genetic divergence between east and west Atlantic populations of Actinia spp. sea anemones (Cnidaria: Actiniidae)</t>
  </si>
  <si>
    <t>The sea anemone Actinia equina was considered a highly variable species with a wide geographical distribution, but molecular systematic studies have shown that this wide distribution may be the result of the lumping of cryptic species. In this work enzyme electrophoresis was used to analyse the genetic variability of A. equina from the Atlantic coasts of Europe and Africa, as well as the relationships between those populations and other species of the genus. Samples of A. equina from the United Kingdom and France were compared with supposedly conspecific populations from South Africa and a recently described species from Madeira, Actinia nigropunctata. The South African and Madeiran populations were genetically very divergent from each other (genetic identity, I=0.15), as well as from the A. equina population from the United Kingdom and from the other species studied (I between 0.23 and 0.78), indicating that the African population of A. equina belongs to a different species. High genetic similarities were found between west Atlantic A. bermudensis and east Atlantic A. sali, in spite of the great geographical distance between them, and between the European A. equina and A. prasina. The results confirm the presence of the new species A. nigropunctata from Madeira and suggest a new species within the A. equina species group, from South Africa.</t>
  </si>
  <si>
    <t>Schama, Renata/E-1855-2013; Sole-Cava, Antonio/G-4209-2011</t>
  </si>
  <si>
    <t>Schama, Renata/0000-0003-1978-3757; Sole-Cava, Antonio/0000-0003-0363-5821</t>
  </si>
  <si>
    <t>10.1007/s00227-004-1462-z</t>
  </si>
  <si>
    <t>WOS:000226810300002</t>
  </si>
  <si>
    <t>Rahman, MA; Uehara, T</t>
  </si>
  <si>
    <t>Interspecific hybridization and backcrosses between two sibling species of Pacific sea urchins (Genus Echinometra) on Okinawan Intertidal Reefs</t>
  </si>
  <si>
    <t>Interspecific hybridization and backcrosses between two sibling species of Pacific sea urchins (genus Echinometra) on Okinawan Intertidal Reefs. Zoological Studies 43(1): 93-111. Four genetically divergent Pacific sea urchins belonging to the genus Echinometra occur sympatrically and abundantly along the coast of Okinawa Island. Among them, the 2 most distinct species, Echinometra mathaei (Em) and Echinometra sp. C (Ec), were examined for potential hybridization. A series of cross-fertilization experiments was conducted, and the resulting hybrids were reared. The percentage of successful heterogametic fertilization was high when egg of Ec and sperm of Em were involved, whereas it was significantly lower with eggs of Em and sperm of Ec, even at higher concentrations of sperm, suggesting that gamete incompatibility may be a prezygotic barrier that at least partially maintains reproductive isolation. Moreover, different exposure times of eggs and sperm showed that conspecific crosses reached asymptotic fertilization much sooner than did heterospecific crosses, indicating that affinity of the Em's sperm to its egg during fertilization is higher than that of Ec. Hybrids from both crosses developed normally through the larval and juvenile stages to sexually mature adults. In adults, Em x Em crosses produced the largest values of live weight, followed by Ec (ova) x Em (sperm), Em (ova) x Ec (sperm), and Ec x Ec in that order. Other indicators of growth performance such as metamorphosis, survival, and recovery of hybrids and their conspecifics also followed the same trends as live weight. Phenotypic color patterns of the hybrids were closer to the maternal coloration, whereas other characters such as test size, spine length, morphology of tubefeet and gonad spicules, pedicellaria valve length, and gamete sizes were intermediate. Fertilization rates as well as larval and juvenile performances from backcrosses using the gametes of F, progeny were high, eliminating the possibility that hybrid inviability is a postzygotic mechanism of reproductive isolation. On the other hand, intensive surveys by our team and other colleagues have failed to find individuals with such hybrid characteristics in the field, suggesting a lack of natural hybridization between the 2 species despite their physiological potential for hybridization. This strongly suggests that Em and Ec have been able to maintain their genetic distinctness due to the presence of some sort of prezygotic isolating mechanism(s) (e.g., habitat segregation, gametic incompatibility, gamete competition, and probably gamete aging) between them.</t>
  </si>
  <si>
    <t>WOS:000189267400008</t>
  </si>
  <si>
    <t>Cavagnaro, J; Ossip-Drahos, AG; Martins, EP</t>
  </si>
  <si>
    <t>Cavagnaro, John; Ossip-Drahos, Alison G.; Martins, Emilia P.</t>
  </si>
  <si>
    <t>Fashion or function? Relaxed selection and stasis are key features of the evolution of stripes, bands and collars in Sceloporus lizards (Squamata: Phrynosomatidae)</t>
  </si>
  <si>
    <t>Dorsal markings are common, and can function in predator evasion, as sexual signals, or be the remnants of developmental or physiological processes. We used phylogenetic comparative analyses to test whether black dorsal markings (stripes, bands or collars) on Sceloporus lizards reflect responses to different selective pressures over evolutionary time, or whether these markings have been linked in an integrated phenotype. We found that longitudinal striping evolved in small-bodied, terrestrial and egg-laying species, consistent with an antipredator function, especially when sexual selection was weak. Transverse bands evolved more slowly, and primarily in arboreal species, where they may enhance crypsis. Evolutionary shifts in collars were strongly linked to sexual size dimorphism, suggesting a function as sexual signals, and were tightly linked to parity mode. In two viviparous lineages, collars have been retained without loss for more than 12 Myr. Future studies are needed to determine whether this stasis is due to hormone transfer between females and their offspring or to other underlying physiological mechanisms. Our findings emphasize relaxed selection and stasis as important forces shaping the evolution of animal colours and signals.</t>
  </si>
  <si>
    <t>10.1093/biolinnean/blad051</t>
  </si>
  <si>
    <t>WOS:001004104800001</t>
  </si>
  <si>
    <t>Romero-González, JE; Royka, AL; MaBouDi, H; Solvi, C; Seppänen, JT; Loukola, OJ</t>
  </si>
  <si>
    <t>Romero-Gonzalez, Jose E.; Royka, Amanda L.; MaBouDi, HaDi; Solvi, Cwyn; Seppanen, Janne-Tuomas; Loukola, Olli J.</t>
  </si>
  <si>
    <t>Foraging Bumblebees Selectively Attend to Other Types of Bees Based on Their Reward-Predictive Value</t>
  </si>
  <si>
    <t>Simple Summary Social information use is a widespread phenomenon in animals affecting various important aspects of behavior. Animals observe and copy the behavioral patterns of conspecifics and other species on the same trophic level in their own decision-making. Copying others is adaptive only when it is selective, otherwise running the risk of copying bad behavior. Thus, it would be important to know when and which individuals should be copied. We showed that bumblebees Bombus terrestris learn to attend to specific types of bees based on their learned value as information-providers about reward. Learned information was transferred across foraging contexts, representing a useful pathway for bees to acquire relevant information about unfamiliar floral resources that goes beyond conspecific social information use, extending to heterospecifics. Our findings indicate that the transmission of social information across species can be highly selective in response to learned value of the information provider, plausibly making the phenomenon adaptive. Using social information can be an efficient strategy for learning in a new environment while reducing the risks associated with trial-and-error learning. Whereas social information from conspecifics has long been assumed to be preferentially attended by animals, heterospecifics can also provide relevant information. Because different species may vary in their informative value, using heterospecific social information indiscriminately can be ineffective and even detrimental. Here, we evaluated how selective use of social information might arise at a proximate level in bumblebees (Bombus terrestris) as a result of experience with demonstrators differing in their visual appearance and in their informative value as reward predictors. Bumblebees were first trained to discriminate rewarding from unrewarding flowers based on which type of heterospecific (one of two differently painted model bees) was next to each flower. Subsequently, these bumblebees were exposed to a novel foraging context with two live painted bees. In this novel context, observer bumblebees showed significantly more social information-seeking behavior towards the type of bees that had predicted reward during training. Bumblebees were not attracted by paint-marked small wooden balls (moved via magnets) or paint-marked non-pollinating heterospecifics (woodlice; Porcellio laevis) in the novel context, indicating that bees did not simply respond to conditioned color cues nor to irrelevant social cues, but rather had a search image of what previously constituted a valuable, versus invaluable, information provider. The behavior of our bumblebees suggests that their use of social information is governed by learning, is selective, and extends beyond conspecifics.</t>
  </si>
  <si>
    <t>MaBouDi, HaDi/AAX-6294-2020</t>
  </si>
  <si>
    <t>MaBouDi, HaDi/0000-0002-7612-6465; Loukola, Olli/0000-0002-9094-2004; Solvi, Cwyn/0000-0003-2517-6179; Seppanen, Janne-Tuomas/0000-0002-5132-6268</t>
  </si>
  <si>
    <t>10.3390/insects11110800</t>
  </si>
  <si>
    <t>WOS:000593180700001</t>
  </si>
  <si>
    <t>Dakin, R; Montgomerie, R</t>
  </si>
  <si>
    <t>Dakin, Roslyn; Montgomerie, Robert</t>
  </si>
  <si>
    <t>Condition-dependent mate assessment and choice by peahens: implications for sexual selection</t>
  </si>
  <si>
    <t>Condition-dependent mate choice is thought to affect the strength and direction of sexual selection. Although there is ample evidence of this from studies that experimentally manipulate female condition, few studies to date have examined condition dependence of natural mate choice wherein females interact with a pool of available males. We examined mate assessment by free-living Pavo cristatus peafowl, focusing on 3 measures of the choosing female's condition: mass condition (scaled mass index), ectoparasite load, and white blood cell (WBC) count. Females with greater mass condition were more active on peacock leks, approaching and visiting males more often, and spending more time near the males they visited. Condition did not affect the total number of males visited or the probability that a female would visit a male that she had already approached. Peacock mating success is strongly correlated with the iridescent colors of the eyespots on their train, suggesting that color signals are a major focus of female choice. Here, we show that females in better condition (higher mass condition and lower WBC count) allocate a greater proportion of their visit time to the most iridescent males displaying on leks. Our results provide evidence of strong condition-dependent effects on female mate assessment and choice in the absence of experimentally induced stress. We suggest that condition-dependent mate choice may help maintain variation in sexually selected male color traits.</t>
  </si>
  <si>
    <t>10.1093/beheco/aru087</t>
  </si>
  <si>
    <t>WOS:000342360200015</t>
  </si>
  <si>
    <t>Besnier, F; Glover, KA; Lien, S; Kent, M; Hansen, MM; Shen, X; Skaala, O</t>
  </si>
  <si>
    <t>Besnier, F.; Glover, K. A.; Lien, S.; Kent, M.; Hansen, M. M.; Shen, X.; Skaala, O.</t>
  </si>
  <si>
    <t>Identification of quantitative genetic components of fitness variation in farmed, hybrid and native salmon in the wild</t>
  </si>
  <si>
    <t>Feral animals represent an important problem in many ecosystems due to interbreeding with wild conspecifics. Hybrid offspring from wild and domestic parents are often less adapted to local environment and ultimately, can reduce the fitness of the native population. This problem is an important concern in Norway, where each year, hundreds of thousands of farm Atlantic salmon escape from fish farms. Feral fish outnumber wild populations, leading to a possible loss of local adaptive genetic variation and erosion of genetic structure in wild populations. Studying the genetic factors underlying relative performance between wild and domesticated conspecific can help to better understand how domestication modifies the genetic background of populations, and how it may alter their ability to adapt to the natural environment. Here, based upon a large-scale release of wild, farm and wild x farm salmon crosses into a natural river system, a genome-wide quantitative trait locus (QTL) scan was performed on the offspring of 50 full-sib families, for traits related to fitness (length, weight, condition factor and survival). Six QTLs were detected as significant contributors to the phenotypic variation of the first three traits, explaining collectively between 9.8 and 14.8% of the phenotypic variation. The seventh QTL had a significant contribution to the variation in survival, and is regarded as a key factor to understand the fitness variability observed among salmon in the river. Interestingly, strong allelic correlation within one of the QTL regions in farmed salmon might reflect a recent selective sweep due to artificial selection.</t>
  </si>
  <si>
    <t>Hansen, Michael/I-5979-2013; Shen, Xia/AAO-4233-2020; Hansen, Michael M./Z-5047-2019</t>
  </si>
  <si>
    <t>Hansen, Michael/0000-0001-5372-4828; Shen, Xia/0000-0003-4390-1979; Hansen, Michael M./0000-0001-5372-4828</t>
  </si>
  <si>
    <t>10.1038/hdy.2015.15</t>
  </si>
  <si>
    <t>WOS:000356024900007</t>
  </si>
  <si>
    <t>Williams, PH; Berezin, MV; Cannings, SG; Cederberg, B; Odegaard, F; Rasmussen, C; Richardson, LL; Rykken, J; Sheffield, CS; Thanoosing, C; Byvaltsev, AM</t>
  </si>
  <si>
    <t>Williams, Paul H.; Berezin, Mikhail V.; Cannings, Sydney G.; Cederberg, Bjorn; Odegaard, Frode; Rasmussen, Claus; Richardson, Leif L.; Rykken, Jessica; Sheffield, Cory S.; Thanoosing, Chawatat; Byvaltsev, Alexandr M.</t>
  </si>
  <si>
    <t>The arctic and alpine bumblebees of the subgenus Alpinobombus revised from integrative assessment of species' gene coalescents and morphology (Hymenoptera, Apidae, Bombus)</t>
  </si>
  <si>
    <t>The bumblebees of the subgenus Alpinobombus of the genus Bombus are unusual among bees for specialising in many of the most northerly vegetated arctic habitats on Earth. Most named taxa in this group (37 available names from a total of 67 names) were described originally from differences in the colour patterns of the hair. Previous revisions have shown unusually little agreement, recognising a range of 6.9 species, in part because of pronounced intraspecific variation in both skeletal morphology and in the colour patterns of the hair. Here we examine variation among 4622 specimens from throughout the group's global range. Bayesian inference of the gene tree for the fast evolving mitochondrial COI gene combined with Poisson-tree-process analysis of this tree shows support for 10 gene lineages as candidates for being putative species lineages. Integrative assessment shows that the interpretation of these results is not straightforward. Evidence from the fast evolving mitochondrial 16S ribosomal RNA gene supports two of the COI gene alleles (from the samples B. kluanensis s. str. and 'unnamed2') as being associated with just one 16S allele. Double COI bands on the PCR gels for these individuals and double peaks on sequence traces (in one case with both COI alleles sequenced from one individual) identifies this as a likely case of COI paralogy that has resulted in mitochondrial heteroplasmy. Evidence from morphology also supports only the remaining nine lineages as separate. Evidence from extracts of cephalic labial gland secretions (CLGS, with components believed to function as sex pheromones) reported by others shows small diagnostic differences between all of the candidate species examined (although B. kluanensis s. l. was not examined) and shows larger differences between all of the species pairs that we find are likely to have co-occurred at least in the past, revealing a likely limitation to the CLGS approach in cases of recent and continuously allopatric species. Consequently we infer nine species in the subgenus Alpinobombus (so that B. kluanensis s. str. and 'unnamed2' are interpreted as conspecific, as B. kluanensis s. l.). We provide distribution maps and identification keys for the nine species. The morphology of the male of B. kluanensis is described for the first time, including a unique, unusually dense pad of short hair on the mandible that may have a function involving CLGS in mate-searching behaviour. In seeking to identify the valid names for these species, seven new lectotypes are designated and support is provided for synonymizing 10 names as proposed in a recent summary table of names. The prevailing usage of Bombus balteatus Dahlbom is maintained as valid by proposing Bombus nivalis Dahlbom and Bombus tricolor Dahlbom as nomina oblita and by proposing Bombus balteatus Dahlbom as a nomen protectum. The prevailing usage of Bombus hyperboreus Schonherr is maintained as valid by supporting Apis arctica Quensel as a nomen oblitum and by supporting Bombus hyperboreus Schonherr as a nomen protectum. We then use sequence data from COI and 16S together with nuclear PEPCK and opsin genes to estimate dated phylogenetic relationships among the nine species, allowing for incongruent gene trees with *BEAST. If crown-group divergence within the subgenus Alpinobombus coincided with the global climate cooling and with the growth of the northern ice sheets at the end of the Miocene at ca 7. 2 Ma, then divergences between each of the three pairs of sister species are likely to have coincided with fluctuations in vegetated land connections across the Bering Strait after ca 2.5 Ma.</t>
  </si>
  <si>
    <t>Thanoosing, Chawatat/AAN-4570-2021; Rasmussen, Claus/J-6714-2012; Sheffield, Cory/I-4812-2019; Byvaltsev, Alexandr M/B-9961-2017</t>
  </si>
  <si>
    <t>Thanoosing, Chawatat/0000-0002-4228-748X; Rasmussen, Claus/0000-0003-1529-6548; Sheffield, Cory/0000-0003-0603-7333; Rykken, Jessica/0009-0006-1427-2623; Byvaltsev, Alexandr/0000-0001-6555-5646</t>
  </si>
  <si>
    <t>10.11646/zootaxa.4625.1.1</t>
  </si>
  <si>
    <t>WOS:000473734300001</t>
  </si>
  <si>
    <t>Levy, K; Lerner, A; Shashar, N</t>
  </si>
  <si>
    <t>Levy, Keren; Lerner, Amit; Shashar, Nadav</t>
  </si>
  <si>
    <t>Mate choice and body pattern variations in the Crown Butterfly fish Chaetodon paucifasciatus (Chaetodontidae)</t>
  </si>
  <si>
    <t>Mate choice is an important ecological behavior in fish, and is often based on visual cues of body patterns. The Crown Butterfly fish Chaetodon paucifasciatus (Chaetodontidae) is a monogamist, territorial species; it swims in close proximity to its partner throughout most of its life. This species is characterized by a pattern of 6-8 vertical black stripes on a white background, on both sides of its body. Our aim was to define spatial features (variations) in body patterns by evaluating the level of dissimilarity between both sides of each individual fish, and the level of dissimilarity between patterns of different individuals. In addition, we tested whether the fish are attracted to or reject specific features of the body patterns. Features were defined and counted using photographs of body patterns. Attraction to or rejection of specific features were tested behaviorally using a dual-choice experiment of video animations of individuals swimming over a coral-reef background. We found that the patterns of each fish and sides of the body were no less dissimilar, compared intraspecificly to other fish, and that each side pattern was unique and distinguishable. Variations in the patterns occurred mostly in the last three posterior stripes. Individuals were mainly attracted to conspecifics with multiple crossing patterns (two or more consecutive crossings), and rejected patterns with holes. Our results suggest that in this species the unique body pattern of each fish is used for conspecific identification of mates and intruders.</t>
  </si>
  <si>
    <t>Levy, Keren/KCJ-7587-2024; Shashar, Nadav/Y-8552-2019</t>
  </si>
  <si>
    <t>Levy, Keren/0000-0002-0747-4992; Shashar, Nadav/0000-0002-8312-154X</t>
  </si>
  <si>
    <t>10.1242/bio.20149175</t>
  </si>
  <si>
    <t>WOS:000348098800012</t>
  </si>
  <si>
    <t>Dunn, AM; Zann, RA</t>
  </si>
  <si>
    <t>Effects of pair bond and presence of conspecifics on singing in captive zebra finches</t>
  </si>
  <si>
    <t>Undirected Song is commonly performed in wild and captive zebra finches and is typically given by males partly isolated from other members of the flock or colony. It has no territorial function nor it is used during precoital courtship; its frequency varies strongly among individuals. However, its rate of performance is severely limited by the close proximity of conspecifics, and this study investigated what social factors are responsible for this constraint in first-generation offspring of wild-caught zebra finches. The close presence of females caused a greater reduction in singing than did that of males. Familiarity between companions and the singer was also a factor that reduced the rate of singing. The more familiar the singer became with a female the more often he would sing in her presence, whereas the opposite occurred with males - singing was more prevalent with strangers than with familiar companions. Pair formation reduced a singer's sensitivity to inhibitory factors associated with the close proximity of conspecifics. Simple visual and auditory contact with a conspecific was not sufficient to constrain Undirected Singing, but intense, close range interactions appear to be necessary. It is hypothesised that Undirected Singing is used to attract females for pair formation or extra-pair mating, but the close proximity of male companions and/or the mate hampers this. However, in a competitive mate choice experiment there was no significant correlation between the rate at which a male gave Undirected Song and order of the pair formation. This suggests that Undirected Singing may nor be crucial in the ultimate choice of a mate, but it may still be a useful cue at the outset of pair formation.</t>
  </si>
  <si>
    <t>10.1163/156853997X00313</t>
  </si>
  <si>
    <t>WOS:A1997WJ21600007</t>
  </si>
  <si>
    <t>Lendvai, AZ; Giraudeau, M; Németh, J; Bakó, V; McGraw, KJ</t>
  </si>
  <si>
    <t>Lendvai, A. Z.; Giraudeau, M.; Nemeth, J.; Bako, V.; McGraw, K. J.</t>
  </si>
  <si>
    <t>Carotenoid-based plumage coloration reflects feather corticosterone levels in male house finches (Haemorhous mexicanus)</t>
  </si>
  <si>
    <t>Indicator models of sexual selection predict that exaggerated traits communicate information about sender condition or quality to conspecific receivers. Environmental challenges have often been considered as one such condition that could be encoded in an ornamental trait, and there is now extensive evidence showing how different stressors (e.g., nutritional, parasitological, and environmental) impact sexual signal elaboration. One of the primary means of assessing stress is by quantifying glucocorticoid (corticosterone or cortisol (CORT)) levels. For many ornaments, CORT impairs trait expression; however, the evidence is limited and mixed for one of the classic honest signals in animals, ornamental carotenoid coloration. In a model species for studies of carotenoid ornamentation (the house finch, Haemorhous mexicanus), we examined the relationship between male plumage redness and feather CORT levels, which serve as an integrated measure of hormone concentration during feather growth. We measured CORT in both tail (melanin-containing) and breast (carotenoid-containing) feathers and found that CORT levels were not different between body regions, but they were negatively correlated with plumage hue, with redder birds having more CORT in feathers. Despite opposing traditional views on stress and ornamentation, our results actually corroborate three other studies showing positive relationships between carotenoid coloration and CORT levels. Though the molecular mechanisms underlying such a relationship are still unclear, our results suggest that CORT should not be considered as a simple indicator of individual quality but rather as a mediator of complex allocation decisions or signals of metabolic activity that could link up with more elaborate expression of ornamental traits.</t>
  </si>
  <si>
    <t>Lendvai, Adam Z/B-8546-2008</t>
  </si>
  <si>
    <t>Lendvai, Adam Z/0000-0002-8953-920X</t>
  </si>
  <si>
    <t>10.1007/s00265-013-1591-9</t>
  </si>
  <si>
    <t>WOS:000325765800010</t>
  </si>
  <si>
    <t>Muñoz, AR; Altamirano, M; Takasu, F; Nakamura, H</t>
  </si>
  <si>
    <t>Munoz, A. Roman; Altamirano, Maria; Takasu, Fugo; Nakamura, Hiroshi</t>
  </si>
  <si>
    <t>Nest light environment and the potential risk of common cuckoo (Cuculus canorus) parasitism</t>
  </si>
  <si>
    <t>Brood parasitism represents a significant cost in reproduction; thus, natural selection should favor the evolution of host defenses, which in turn may favor evolution of more sophisticated techniques by the parasite to overcome host defenses. These host defenses include egg rejection, attacking parasites near the nest, and avoiding parasitism by concealing nest sites. In all these antiparasitism strategies, nest light environment may play an important role. In the present study, the risk of Common Cuckoo (Cuculus canorus) parasitism for the Great Reed Warbler (Acrocephalus arundinaceus) was modeled in relation to the in situ nest light environment, from far ultraviolet (UV) to infrared (IR) radiation (280-1,100 nm), and nest situation and structure. The percentage of photosynthetically active radiation (PAR) plus IR radiation (400-1,100 nm) falling on the nest, maximum nest width, and distance between the nest and the nearest active conspecific neighbor were significantly related to the risk of parasitism. Photosynthetically active radiation alone explained 65% of variation in parasitism risk in the final model. Although solar radiation levels in nests were low (&lt;4%. for UV-B and UV-A radiation, 5% for PAR, and 22% for PAR plus IR radiation when cloudless), UV-B, UV-A, and visible-plus-IR radiation levels were significantly lower in nonparasitized nests. These findings provide the first evidence of a relationship between parasitism risk and nest concealment related to microhabitat light environment, with brighter nests suffering a higher risk of parasitism.</t>
  </si>
  <si>
    <t>MUÑOZ, Antonio Román/K-8259-2014; Altamirano, María/L-2084-2017</t>
  </si>
  <si>
    <t>MUÑOZ, Antonio Román/0000-0002-0253-7632; Altamirano Jeschke, Maria/0000-0003-0912-3704</t>
  </si>
  <si>
    <t>10.1093/auk/124.2.619</t>
  </si>
  <si>
    <t>WOS:000246596400020</t>
  </si>
  <si>
    <t>Soucek, B</t>
  </si>
  <si>
    <t>The brain agents universe</t>
  </si>
  <si>
    <t>PERIODICUM BIOLOGORUM</t>
  </si>
  <si>
    <t>Background and Purpose: This work explains the duets in both, human brain and animal behavior. Duets transmit the knowledge and learning messages within the Universal Brain, by the Flow of Favorable Factors, through the Barrier. The Time-Information-Space Set, TISS is formed. Material and Methods: Real-time computer is used for data acquisition from three duets: the northern true katydid, Pterophylla camellifolia (Orthopteria, Tettigoniidae); the firefly, Photuris versi-color the bird, white-crested jay thrush, Garrulax leucolophus patkaicus (Timaliidae). Computer models relate behavioral duets to the duets within the human mind, perception and brain. Results: The following types of duets have been identified: solo, alternation, aggression, selective courting, aggressive mimicry, complex messages using sequences of syllables. These duets are based on: steps in a response function; Brain Windows; patterns; message quanta; chaos and attractors. The human brain-mind tissue, TISS, is presented. Conclusion: Human Brain, Mind and behavior are composed of communicating agents, Three classes of duets have been identified. The chaotic duet is a dynamic structure. Duet trajectories concentrate in to a narrow attractor space. This is a case of massive. self-organization. The courting/mimicry duets are based on symbol-signal processing and are capable of discovering the hidden information by observing sample behavior and comparing it with the past learned experience. The pattern duet is capable to recognize inexact, incomplete patterns. Through many duet loops, the human brain agents called kalydids, fireflies and birds learn about the partner, and adapt answers and behavior. Symbol-signal processing is responsible for mental states and for consciousness. The genetic, sensation and mental vehicles in all layers of the Barrier, combine the born-with knowledge, with learning, The layers are unconscious of the underlying vehicle traffic regulations. Yet each layer of the Barrier recognizes the intentions and the meaning of quanta] messages within its duet domain, The duets are involved in the Universal Brain and Mind self-organization and in perception, The dynamic nodes, groups, flocks and pools form the brain-mind tissue TISS. Applications: Experimental support to the Universal Brain Theory; Human Brain image and data analyses; stimulation and diagnoses; autonomous agents; intelligent systems; Global Mind services on Internet.</t>
  </si>
  <si>
    <t>0031-5362</t>
  </si>
  <si>
    <t>WOS:000179601800016</t>
  </si>
  <si>
    <t>Franklin, AM; Donatelli, CM; Culligan, CR; Tytell, ED</t>
  </si>
  <si>
    <t>Franklin, Amanda M.; Donatelli, Cassandra M.; Culligan, Casey R.; Tytell, Eric D.</t>
  </si>
  <si>
    <t>Meral-Spot Reflectance Signals Weapon Performance in the Mantis Shrimp Neogonodactylus oerstedii (Stomatopoda)</t>
  </si>
  <si>
    <t>BIOLOGICAL BULLETIN</t>
  </si>
  <si>
    <t>During animal contests over resources, opponents often signal their fighting ability in an attempt to avoid escalating to physical attack. A reliable signal is beneficial to receivers because it allows them to avoid injuries from engaging in contests they are unlikely to win. However, a signaler could benefit from deceiving an opponent by signaling greater fighting ability or greater aggressive intent than the signaler possesses. Therefore, the reliability of agonistic signals has long intrigued researchers. We investigated whether a colored patch, the meral spot, signals weapon performance in the stomatopod Neogonodactylus oerstedii. During fights over possession of refuges, stomatopods can injure or even kill opponents with their ultrafast strike. We found that darker meral spots correlate with higher strike impulse, which reflects the total force integrated over time. Furthermore, we demonstrate that stomatopods that strike more often with both appendages have darker meral spots and that the first hit in a two-appendage strike has a greater mean strike impulse than that of a single-appendage strike. This indicates that stomatopods with darker meral spots tend to invest more energy in each strike. Our results provide evidence that stomatopods use total reflectance as an honest signal of weapon performance or aggressive intent. This improves our understanding of the evolution of agonistic signals.</t>
  </si>
  <si>
    <t>Donatelli, Cassandra/ABA-8718-2021</t>
  </si>
  <si>
    <t>Franklin, Amanda/0000-0002-8650-8344</t>
  </si>
  <si>
    <t>0006-3185</t>
  </si>
  <si>
    <t>1939-8697</t>
  </si>
  <si>
    <t>10.1086/700836</t>
  </si>
  <si>
    <t>WOS:000457792100004</t>
  </si>
  <si>
    <t>Cronin, TW; Järvilehto, M; Weckström, M; Lall, AB</t>
  </si>
  <si>
    <t>Tuning of photoreceptor spectral sensitivity in fireflies (Coleoptera: Lampyridae)</t>
  </si>
  <si>
    <t>JOURNAL OF COMPARATIVE PHYSIOLOGY A-SENSORY NEURAL AND BEHAVIORAL PHYSIOLOGY</t>
  </si>
  <si>
    <t>Sexual communication between male and female fireflies involves the visual detection of species-specific bioluminescent signals. Firefly species vary spectrally in both their emitted light and in the sensitivity of the eye, depending on the time when each is active. Tuning of spectral sensitivity in three firefly species that occupy different photic niches was investigated using light and electron microscopy, microspectrophotometry, and intracellular recording to characterize the location and spectral absorption of the screening pigments that filter incoming light, the visual pigments that receive this filtered light, and the visual spectral sensitivity. Twilight-active species had similar pink screening pigments, but the visual pigment of Photinus pyralis peaked near 545 nm, while that of P. scintillans had a lambda(max) near 557 nm. The night-active Photuris versicolor had a yellow screening pigment that was uniquely localized, while its visual pigment was similar to that of P. pyralis. These results show that both screening and visual pigments vary among species. Modeling of spectral tuning indicates that the combination of screening and visual pigments found in the retina of each species provides the best possible match of sensitivity to bioluminescent emission. This combination also produced model sensitivity spectra that closely resemble sensitivities measured either with electroretinographic or intracellular techniques. Vision in both species of Photinus appears to be evolutionarily tuned for maximum discrimination of conspecific signals from spectrally broader backgrounds. Ph. versicolor, on the other hand, appears to have a visual system that offers a compromise between maximum sensitivity to, and maximum discrimination of, their signals.</t>
  </si>
  <si>
    <t>Lall, Abner/0000-0001-6114-3177</t>
  </si>
  <si>
    <t>10.1007/s003590050001</t>
  </si>
  <si>
    <t>WOS:000084937600001</t>
  </si>
  <si>
    <t>Olsson, M; Healey, M; Astheimer, L</t>
  </si>
  <si>
    <t>Olsson, Mats; Healey, Mo; Astheimer, Lee</t>
  </si>
  <si>
    <t>Afternoon T: Testosterone level is higher in red than yellow male polychromatic lizards</t>
  </si>
  <si>
    <t>Recent work on within-species polymorphism across a broad range of taxa has renewed and considerably increased the attention to this classic evolutionary area, notably in lizard species where colors covary with reproductive strategies. We demonstrate elsewhere that red-headed males beat yellow-headed males in staged contests for females in the Australian painted dragon lizard Ctenophorus pictus. This morph difference in behaviour is linked to what appears to be a convention of red dominance in male-male interactions set very early in ontogeny, long before coloration has developed. In the current note, we investigate the relationship between time of day, which is directly linked to vigilance time in territorial males, and plasma levels of testosterone and corticosterone. We show that red males have higher testosterone levels in late afternoon following a day of territory patrolling and a non-significant trend in plasma corticosterone levels that decline with time of day. In conclusion, there are significant differences in testosterone profile between the two color morphs, providing a potential proximate link to the behavioural differences between them. (C) 2007 Published by Elsevier Inc.</t>
  </si>
  <si>
    <t>10.1016/j.physbeh.2007.04.025</t>
  </si>
  <si>
    <t>WOS:000249944700009</t>
  </si>
  <si>
    <t>NEMTZOV, SC</t>
  </si>
  <si>
    <t>INTRASPECIFIC VARIATION IN SAND-DIVING AND PREDATOR AVOIDANCE-BEHAVIOR OF GREEN RAZORFISH, XYRICHTYS SPLENDENS (PISCES, LABRIDAE) - EFFECT ON COURTSHIP AND MATING SUCCESS</t>
  </si>
  <si>
    <t>Green razorfish are Caribbean wrasses that live in harems on shallow sand or seagrass beds, which offer little cover for predator avoidance (PA). Field observations showed that non-conspecific fishes that intruded were either attacked, ignored, or actively avoided. Food competitors and small piscivores were attacked by male razorfish. Razorfish PA behaviors varied among three habitats with different substratum compositions, suggesting that these fish possess phenotypic plasticity for PA behavior. In a rocky-rubble habitat, razorfish dove into the coarse sand for PA, but most sand dives observed there were to soften a small site for future PA. In a sandbed habitat, they hid among coral branches and dove into the sand when attacked; few maintenance dives were observed as soft sand was widespread. In a seagrass habitat, they hid among blades of grass for PA, and dove into the sand less frequently than at the other sites. Some female razorfish that were transferred among habitats adopted PA behaviors similar to those of females in the new site, while others did not, suggesting that behavioral plasticity is not universal in this species. Razorfish spawned lower in the water column in the presence of natural predators and a predator model, than when these were absent. When the predator model was introduced into a male's territory during spawning periods, there was a reduction in his courtship rate, but not in the number of spawns he achieved. Predation pressure may reduce males' long-term fitness by causing decreased courtship rates which can facilitate sex change in harem females.</t>
  </si>
  <si>
    <t>WOS:A1994QE85200028</t>
  </si>
  <si>
    <t>Swart, RC; Geerts, S; Pryke, JS; Coetzee, A</t>
  </si>
  <si>
    <t>Swart, Rudi Crispin; Geerts, Sjirk; Pryke, James Stephen; Coetzee, Anina</t>
  </si>
  <si>
    <t>Generalist southern African temperate forest canopy tree species have distinct pollinator communities partially predicted by floral traits</t>
  </si>
  <si>
    <t>Forest canopies provide important resources for insect communities via flowers. Yet, pollination systems of tall forest trees are poorly studied, resulting from the difficulties in observing pollinator activity at the canopy level and great temporal variation in flower production. In temperate forest canopies of the southern hemisphere, small, whitish and generalist flowers seem to dominate. Here, we observed insect flower visitors, at the canopy level, to four southern Afrotemperate forest tree species bearing small, white to green flowers in a large, indigenous forest. Additionally, we quantified flower traits and collected pollen from representative insect visitors. A total of 105 insect species, from 48 families and 7 orders, were observed visiting flowers. In terms of total flower visits, the generalist Cape honey bee (Apis mellifera capensis) made up ca. 57% of all flower visits. A third of the total observation time covered crepuscular to nocturnal flower visits; yet only 12.68% of total visits took place during this time. Interestingly, despite both trees and insects being largely generalist in their interactions with one another (supported by the presence of conspecific and heterospecific pollen on most flower visitors), some insect species showed strong preferences for specific species of tree, driving dissimilar, interspecific assemblages of flower visitors. The pollinator community disparity may be explained through the unique and dissimilar floral traits for each tree species, both in flower size and in petal reflectance. We conclude that within generalist pollination systems, distinct and non-random mutualisms can develop between different species of plants and a diverse suite of pollinators, and that floral traits could partially predict such interactions.</t>
  </si>
  <si>
    <t>Geerts, Sjirk/AAQ-6375-2021; Pryke, James/A-6644-2008</t>
  </si>
  <si>
    <t>Geerts, Sjirk/0000-0003-0149-2783; Coetzee, Anina/0000-0002-1646-557X; Swart, Rudi/0000-0001-8629-1299; Pryke, James/0000-0003-3148-5744</t>
  </si>
  <si>
    <t>e13523</t>
  </si>
  <si>
    <t>10.1111/aec.13523</t>
  </si>
  <si>
    <t>WOS:001223578900001</t>
  </si>
  <si>
    <t>Green, JM; Scharf, ME; Bennett, GW</t>
  </si>
  <si>
    <t>Agonism and resource partitioning of subterranean termites (Isoptera: Rhinotermitidae), Reticulitermes flavipes and R-tibialis in a laboratory assay</t>
  </si>
  <si>
    <t>SOCIOBIOLOGY</t>
  </si>
  <si>
    <t>Our study observed interspecific agonistic behaviors of Reticulitermes flavipes (Kollar) and R. tibialis Banks. Before assays, termites of each species were dyed different colors and allowed one week to acclimate in release dishes. One hundred termites of each species were placed at separate ends of a linear configuration assay and allowed to move freely between dishes. Agonism was found to be very high between the two species, although R. tibialis had a greater likelihood ofdcmonstrating offensive agonistic behavior. The foraging range of R. tibialis was larger than R.flavipes, and R. tibialis was more likely to disperse at a faster rate. Half of the trials resulted in combat between species, and after each battle termites were able to partition resources by retreating back to their original release areas.</t>
  </si>
  <si>
    <t>0361-6525</t>
  </si>
  <si>
    <t>WOS:000236117900003</t>
  </si>
  <si>
    <t>Reichert, MS; Galante, H; Höbel, G</t>
  </si>
  <si>
    <t>Reichert, Michael S.; Galante, Holland; Hoebel, Gerlinde</t>
  </si>
  <si>
    <t>Female gray treefrogs, Hyla versicolor, are responsive to visual stimuli but unselective of stimulus characteristics</t>
  </si>
  <si>
    <t>The visual ecology of nocturnal anurans is poorly understood, but there is growing evidence that vision plays a role in important behaviors such as mate choice. While several recent studies have demonstrated that females are responsive to visual cues when selecting mates, the forces responsible for these preferences are unknown. We investigated the responsiveness of female gray treefrogs, Hyla versicolor, to video playbacks of calling conspecific males in which we varied attributes of the vocal sac, a conspicuous visual characteristic of calling males and a target of female choice in other species. Females responded surprisingly strongly to the video playbacks, but did so indiscriminately with respect to variation in vocal sac characteristics. We followed up on these results with a series of additional tests that examined female responses to abstract stimuli. Females continued to respond to such stimuli, leading us to conclude that their behavior was related to a generalized phototactic response. Because of this, we were unable to make conclusions regarding female preferences for vocal sac characteristics. Nonetheless, our results are significant in two respects. First, we illustrate that despite much effort into improving video playback methodologies, challenges remain, and we offer our experimental design as a method to ensure that appropriate conclusions can be drawn from such studies. Second, we argue that the female phototactic response has potentially significant behavioral implications and in general the consequences of anuran visual preferences deserve further investigation.</t>
  </si>
  <si>
    <t>Hoebel, Gerlinde/JQI-9377-2023; Reichert, Michael/A-5034-2010</t>
  </si>
  <si>
    <t>10.1242/jeb.106666</t>
  </si>
  <si>
    <t>WOS:000342506100016</t>
  </si>
  <si>
    <t>Ellis, DH; Lish, JW</t>
  </si>
  <si>
    <t>Ellis, David H.; Lish, James W.</t>
  </si>
  <si>
    <t>Thinking about feathers: Adaptations of golden eagle rectrices</t>
  </si>
  <si>
    <t>The striking black and white plumage of the juvenile Golden Eagle (Aquila chrysaetos) provides all excellent opportunity to examine the 'placement of dark possible selective forces influencing the strategic placement pigmeinin birds. The conflict between opposing selective pressures first, toward large white patches, which may allay aggression in adults, and second, toward dark plumage to promote camouflage and limit solar and abrasive wear) provides the stage whereon are revealed a score of pigmentation traits of potential adaptive value. The general pigmentation trend is for zones that are more exposed to the still to be darker than elsewhere. More specifically: (1) for rectrices and remiges, outer webs are darker than inner; (2) for those few feathers (e.g., central rectrices, some scapulars, and some tertials), where both inner and outer webs are heavily and nearly equally solar exposed, pigmentation is supplied similarly on both webs; (3) outermost, primaries and rectrices are darkest of all and are structurally similar; (4) For central rectrices, subject to high levels of abrasion with substrate, the tip is paler (resultant flexibility may limit breakage); and (5) pigment is heavier along or oil the rachis than on the webs. Many of the traits listed above for the Golden Eagle are also found ill other families of birds. Traits of the tail common to many species were a terminal pale tip, a subterminal dark band, rachis darker than vane, and outer webs darker than inner for both remiges and rectrices. The most widespread traits likely have adaptive value.</t>
  </si>
  <si>
    <t>10.3356/0892-1016(2006)40[1:TAFAOG]2.0.CO;2</t>
  </si>
  <si>
    <t>WOS:000237905000001</t>
  </si>
  <si>
    <t>Wilson, BC; Ramos, JA; Peters, RA</t>
  </si>
  <si>
    <t>Wilson, Benjamin Carl; Ramos, Jose Antonio; Peters, Richard Anthony</t>
  </si>
  <si>
    <t>Intraspecific variation in behaviour and ecology in a territorial agamid, Ctenophorus fionni</t>
  </si>
  <si>
    <t>Intraspecific variation as a way to explore factors affecting the evolution of species traits in natural environments is well documented, and also important in the context of preserving biodiversity. In this study, we investigated the extent of behavioural, morphological and ecological variation in the peninsula dragon (Ctenophorus fionni), an endemic Australian agamid that displays extensive variation in colour across three allopatric populations. The aims of the study were to quantify variation across the different populations in terms of the environment, morphometric characteristics and behaviour. We found population level differences in habitat structure and encounter rates. Adult body size of C. fionni, as well as a range of morphometric traits, differed between populations, as well as the frequency of social interactions, which appears to be related to population density and abundance. Analysis of communicative signals showed differences between the southern and central populations, which appear consistent with variations in response to environmental differences between study sites. The findings of the present study, coupled with previous work examining colour variation in this species, show that the three populations of C. fionni have likely undergone substantial differentiation, and would make an interesting study system to explore trait variation in more detail.</t>
  </si>
  <si>
    <t>10.1071/ZO20091</t>
  </si>
  <si>
    <t>WOS:000657370700001</t>
  </si>
  <si>
    <t>Daniels, JD; Arceo-Gómez, G</t>
  </si>
  <si>
    <t>Daniels, Jesse D.; Arceo-Gomez, Gerardo</t>
  </si>
  <si>
    <t>Effects of invasive Cirsium arvense on pollination in a southern Appalachian floral community vary with spatial scale and floral symmetry</t>
  </si>
  <si>
    <t>BIOLOGICAL INVASIONS</t>
  </si>
  <si>
    <t>Invasive plants can alter pollination dynamics by disrupting pollinator visitation and pollen transfer dynamics. However, a consensus regarding the direction of their overall effects (competitive vs. facilitative) remains elusive. Here, we evaluate the role of floral traits and spatial scale (community vs. floral neighborhood) in mediating invasive Cirsium arvense effects on resident plant species at multiple stages of the pollination process. C. arvense decreased pollinator visitation rate at the community level only for species with radial floral symmetry. At the floral neighborhood scale, pollinator visitation rate to all resident species was lower in the presence of C. arvense regardless of symmetry. C. arvense altered patterns of conspecific pollen receipt at the floral neighborhood scale, but the direction of the effect varied by plant species. We argue that these scale-dependent effects may be mediated by differences in foraging range and behavior of the main pollinators in the community. C. arvense, however, did not affect the overall reproductive success of resident species at either scale, suggesting that plants at our study sites may not be pollen limited. We further show evidence suggesting that C. arvense may alter the structure of community-level plant-plant interactions via heterospecific pollen transfer by subverting the roles of resident pollen donors within the pollen transfer network. Overall, our results suggest that generalized species (with radial flowers) may be more susceptible to invasive species' effects than specialized ones (bilateral flowers) and highlight the need to consider scale-dependent effects in order to develop a more predictive understanding of invasive species effects in nature.</t>
  </si>
  <si>
    <t>1387-3547</t>
  </si>
  <si>
    <t>1573-1464</t>
  </si>
  <si>
    <t>10.1007/s10530-019-02130-6</t>
  </si>
  <si>
    <t>WOS:000498741600005</t>
  </si>
  <si>
    <t>DIAZ, JA</t>
  </si>
  <si>
    <t>BREEDING COLORATION, MATING OPPORTUNITIES, ACTIVITY, AND SURVIVAL IN THE LACERTID LIZARD PSAMMODROMUS-ALGIRUS</t>
  </si>
  <si>
    <t>I studied the activity, spacing patterns, courtship behavior, and survival of males (classified into two groups according to the development of the sexual coloration of the head) and females from a population of the lacertid lizard Psammodromus algirus. Brightly colored (C+) males were significantly larger (and probably older) than dull-colored (C-) males, but aspects of behavior differed between study years. In 1989, C+ males had larger home ranges, were more active, overlapped with more females, and courted females more frequently than C- males. In 1990, none of these traits differed between the two categories of males. The variables associated with survival were different in the two sexes. Larger and more active males survived less well than smaller and less active ones, whereas survival of females was related to the fact that the times when they were observed were later in the day. Higher mortality rates could have been due to a higher predation risk affecting animals that were active on more days or under less favorable conditions. I postulate that die increased activity of males (mainly category C+ in years favoring stronger selection) would increase their short-term reproductive success but negatively affect their survival.</t>
  </si>
  <si>
    <t>Díaz, José A./H-5559-2015</t>
  </si>
  <si>
    <t>Díaz, José A./0000-0001-6047-5065</t>
  </si>
  <si>
    <t>10.1139/z93-150</t>
  </si>
  <si>
    <t>WOS:A1993LU73200006</t>
  </si>
  <si>
    <t>Russell, AL; Sanders, SR; Wilson, LA; Papaj, DR</t>
  </si>
  <si>
    <t>Russell, Avery L.; Sanders, Stephanie R.; Wilson, Liam A.; Papaj, Daniel R.</t>
  </si>
  <si>
    <t>The Size of it: Scant Evidence That Flower Size Variation Affects Deception in Intersexual Floral Mimicry</t>
  </si>
  <si>
    <t>Mutualisms involve cooperation, but also frequently involve conflict. Plant-pollinator mutualisms are no exception. To facilitate animal pollination, flowering plants often offer pollen (their male gametes) as a food reward. Since plants benefit by maximizing pollen export to conspecific flowers, we might expect plants to cheat on pollen rewards. In intersexual floral mimicry, rewarding pollen-bearing male flowers (models) are mimicked by rewardless female flowers (mimics) on the same plant. Pollinators should therefore learn to avoid the unrewarding mimics. Plants might impede such learning by producing phenotypically variable flowers that cause bees to generalize among models and mimics during learning. In this laboratory study, we used partially artificial flowers (artificial petals, live reproductive parts) modeled after Begonia odorata to test whether variation in the size of rewarding male flowers (models) and unrewarding female flowers (mimics) affected how quickly bees learned both to recognize models and to reject mimics. Live unrewarding female flowers have 33% longer petals and have 31% greater surface area than live rewarding male flowers, which bees should easily discriminate. Yet while bees rapidly learned to reduce foraging effort on mimics, learning was not significantly affected by the degree to which flower size varied. Additionally, we found scant evidence that this was a result of bees altering response speed to maintain decision accuracy. Our study failed to provide evidence that flower size variation in intersexual floral mimicry systems exploits pollinator cognition, though we cannot rule out that other floral traits that are variable may be important. Furthermore, we propose that contrary to expectation, phenotypic variability in a Batesian mimicry system may not necessarily have significant effects on whether receivers effectively learn to discriminate models and mimics.</t>
  </si>
  <si>
    <t>AUG 25</t>
  </si>
  <si>
    <t>10.3389/fevo.2021.724712</t>
  </si>
  <si>
    <t>WOS:000707224100001</t>
  </si>
  <si>
    <t>Gabor, C</t>
  </si>
  <si>
    <t>Association patterns of sailfin mollies (Poecilia latipinna):: alternative hypotheses</t>
  </si>
  <si>
    <t>Individuals may associate with each other due to a variety of selective forces, such as intra- and intersexual selection, and conspecific recognition. Previous studies have concluded that mate choice governs association behavior in polygynous species of fish. I examined whether mate choice underlies the preference for larger individuals by examining preference for association (time spent in proximity to a fish) not only between opposite-sex individuals but also between same-sex individuals of the live-bearing sailfin molly (Poecilia latipinna). Males and females from three size classes were tested with a large and a small object fish of the same and opposite sex. Females preferred to associate with larger over smaller males. Males also preferred to associate with larger over smaller females, as expected. The same female and male test fish also preferred to associate with larger over smaller fish of the same sex. Moreover, females demonstrated no significant difference in their strength of preference (large-small) when offered males or females. The same held true for males. When males and females were subsequently tested with one large male and one large female, females tended to prefer large males while males showed no significant preference for association based on sex. In another experiment, females were tested with a large female and a small male, and significantly preferred the former. These findings suggest that association patterns :may have arisen under a variety of conditions, such as predation pressures, shoaling behavior, and associative preference behavior. The assumption that association behavior Is a uniformly sufficient predictor of mate choice in fish needs to be re-examined for P. latipinna and other species.</t>
  </si>
  <si>
    <t>Gabor, Caitlin/AAK-8369-2020</t>
  </si>
  <si>
    <t>Gabor, Caitlin/0000-0001-7584-1451</t>
  </si>
  <si>
    <t>10.1007/s002650050627</t>
  </si>
  <si>
    <t>WOS:000083089800006</t>
  </si>
  <si>
    <t>Ryan, MJ; Bernal, XE; Rand, AS</t>
  </si>
  <si>
    <t>Ryan, Michael J.; Bernal, Ximena E.; Rand, A. Stanley</t>
  </si>
  <si>
    <t>Female mate choice and the potential for ornament evolution in tungara frogs Physalaemus pustulosus</t>
  </si>
  <si>
    <t>The potential for ornament evolution in response to sexual selection rests on the interaction between the permissiveness or selectivity of female preferences and the constraints on male development of signaling related traits. We investigate the former by determining how latent female preferences either exaggerate the magnitude of current traits (i.e. elaborations) or favor novel traits (i.e. innovations). In tungara frogs, females prefer complex mating calls (whine-chucks) to simple calls (whine only). The whine is critical for mate recognition while the chuck further enhances the attractiveness of the call. Here we use a combination of synthetic and natural stimuli to examine latent female preferences. Our results show that a diversity of stimuli, including conspecific and heterospecific calls as well as predator-produced and human-made sounds, increase the attractiveness of a call when added to a whine. These stimuli do not make simple calls more attractive than a whine-chuck, however. In rare cases we found stimuli that added to the whine decrease the attractiveness of the call. Overall, females show strong preferences for both elaborations and innovations of the chuck. We argue that the emancipation of these acoustic adornments from mate recognition allows such female permissiveness, and that male constraints on signal evolution are probably more important in explaining why males evolved their specific adornment. Experimentally probing latent female preferences for stimuli out of the species' range is a useful means to gain insights about the potential of female choice to influence signal evolution and thus the astounding diversity in male sexually-selected traits [Current Zoology 56 (3): 343-357, 2010].</t>
  </si>
  <si>
    <t>10.1093/czoolo/56.3.343</t>
  </si>
  <si>
    <t>WOS:000278715600009</t>
  </si>
  <si>
    <t>WINEMILLER, KO</t>
  </si>
  <si>
    <t>SEASONALITY OF REPRODUCTION BY LIVEBEARING FISHES IN TROPICAL RAIN-FOREST STREAMS</t>
  </si>
  <si>
    <t>Reproductive ecology, population structure, and diets of three common livebearing poeciliid fishes (Alfaro cultratus, Phallichthys amates, Poecilia gilli) from rainforest streams in Costa Rica were investigated over ten continuous months. The region experiences little annual temperature variation, and although monthly rainfall is continuous each year, two brief dry seasons typically occur. Monthly changes in indices of ovarian condition, percentages of females with developing embryos, and population size structure revealed that reproductive output by females of all three species varied seasonally. Based on testicular condition, males were reproductively active year-round, however the mean gonadal index for males of two algivorous species showed low levels of seasonal cycling that largely coincided with female variation in reproductive effort. All three species had seasonal differences in the female size-brood size relationship, whereby larger females tended to carry more embryos during the wet season. Several important adult and neonate food resources are more available in the flooded forest during the wet season, which is also the period when conspecifics and predators are at their lowest per-area densities. Three hypotheses are discussed: (1) brood size in relation to conspecific density-mating frequency, (2) reproductive allocation in response to variation in adult food resources, and (3) selection for greater reproductive effort during conditions optimal for juvenile growth and survival. Data for Alfaro were consistent with the latter two hypotheses. In Phallichthys and Poecilia, diets were poorer during wet seasons, indicating that reproductive effort does not coincide with availability of adult food resources, and that selection probably favors greater reproductive effort during periods optimal for juvenile growth and survival.</t>
  </si>
  <si>
    <t>Winemiller, Kirk/0000-0003-0236-5129</t>
  </si>
  <si>
    <t>10.1007/BF00323499</t>
  </si>
  <si>
    <t>WOS:A1993LV56400015</t>
  </si>
  <si>
    <t>Campbell, DR; Waser, NM; Wolf, PG</t>
  </si>
  <si>
    <t>Pollen transfer by natural hybrids and parental species in an Ipomopsis hybrid zone</t>
  </si>
  <si>
    <t>Models of hybrid zones differ in their assumptions about the relative fitnesses of hybrids and the parental species. These fitness relationships determine the form of selection across the hybrid zone and, along with gene flow, the evolutionary dynamics and eventual outcome of natural hybridization. We measured a component of Fitness, export and receipt of pollen in single pollinator visits, for hybrids between the herbaceous plants Ipomopsis aggregata and I. tenuituba and for both parental species. In aviary experiments with captive hummingbirds, hybrid flowers outperformed flowers of both parental species by receiving more pollen on the stigma. Although hummingbirds were more effective at removing pollen from anthers of I. aggregata, hybrid flowers matched both parental species in the amount of pollen exported to stigmas of other flowers. These patterns of pollen transfer led to phenotypic stabilizing selection, during that stage of the life cycle, for a stigma position intermediate between that of the two species and to directional selection for exserted anthers. Pollen transfer between the species was high, with flowers of I. aggregata exporting pollen equally successfully to conspecific and I. tenuituba flowers. Although this study showed that natural hybrids enjoy the highest quality of pollinator visits, a previous study found that I. aggregata receives the highest quantity of pollinator visits. Thus, the relative fitness of hybrids changes over the life cycle. By combining the results of both studies, pollinator-mediated selection in this hybrid zone is predicted to be strong and directional, with hybrid fitness intermediate between that of the parental species.</t>
  </si>
  <si>
    <t>Campbell, Diane/A-1653-2012; Wolf, Paul/F-7664-2010</t>
  </si>
  <si>
    <t>Campbell, Diane/0000-0002-1147-846X; Wolf, Paul/0000-0002-4317-6976</t>
  </si>
  <si>
    <t>10.1111/j.1558-5646.1998.tb02241.x</t>
  </si>
  <si>
    <t>WOS:000078076700007</t>
  </si>
  <si>
    <t>Fischer, D; Schneider, H; Meinecke-Tillmann, S; Wehrend, A; Lierz, M</t>
  </si>
  <si>
    <t>Fischer, D.; Schneider, H.; Meinecke-Tillmann, S.; Wehrend, A.; Lierz, M.</t>
  </si>
  <si>
    <t>Semen analysis and successful artificial insemination in the St. Vincent amazon (Amazona guildingii)</t>
  </si>
  <si>
    <t>THERIOGENOLOGY</t>
  </si>
  <si>
    <t>The St. Vincent amazon (Amazona guildingii) is an endemic parrot on the Carribean island St Vincent. Due to poaching, trade, natural events such as hurricanes and habitat loss the species declined severely throughout the 20th century to a total number of 487 adult individuals and is currently regarded as vulnerable by IUCN. Captive breeding is attempted in terms of species conservation, but reproduction rates have been low due to reproductive problems such as mate aggression, asynchronous reproductive activity and infertile eggs. The aims of the present study were; firstly, to evaluate whether semen analysis might help to assess the fertility of males and to detect potential reasons for infertile eggs; secondly, to increase the number of offspring using artificial insemination, and as a future effect, to increase the presence of genetically valuable males in the ex-situ breeding population. For semen collection electric stimulation was used in 15 mature and healthy St. Vincent amazons with a success rate of 89% (202/227 attempts) in 14/15 males. Quality assessment of the semen included the evaluation of volume, pH, color, consistency and contaminations of the ejaculate, as well as estimation of motility, viability, morphology, concentration and total count of spermatozoa. Semen pH ranged from 6.7 to 7.5. Median sperm motility was 50% and median progressively forward motility 40%. Mean sperm concentration ((x) over bar +/- SD) was 21,313.5 +/- 22,408.8 spermatozoa/Ill and mean sperm viability 66 +/- 16%. Semen samples contained on average 20.5% morphologically normal spermatozoa and sperm malformations were detected mainly in the head ((x) over bar = 47.6%) and the tail regions ((x) over bar = 27.7%). Interestingly round bodies were detected in the ejaculates with a mean ratio of 0.6 round bodies per sperm. Semen analysis proved to be very useful to identify males with poor semen quality. Artificial insemination was performed 46 times in 9 females with either individual or pooled semen samples and 13 eggs from 7 females were laid afterwards. In 3 eggs, embryonic development was detected and 1 chick hatched successfully. Paternity testing confirmed the fatherhood of a one-winged semen donor male, a bird which was not able to copulate naturally. The results are very promising and underline that assisted reproduction techniques are a suitable tool for species conservation in captive breeding programs for psittacines. (C) 2020 Elsevier Inc. All rights reserved.</t>
  </si>
  <si>
    <t>0093-691X</t>
  </si>
  <si>
    <t>1879-3231</t>
  </si>
  <si>
    <t>10.1016/j.theriogenology.2020.03.004</t>
  </si>
  <si>
    <t>WOS:000527365800015</t>
  </si>
  <si>
    <t>Kruse, AA; Stripling, R; Clayton, DF</t>
  </si>
  <si>
    <t>Context-specific habituation of the zenk gene response to song in adult zebra finches</t>
  </si>
  <si>
    <t>NEUROBIOLOGY OF LEARNING AND MEMORY</t>
  </si>
  <si>
    <t>Zebra finches show a multifaceted response to playback of tape-recorded birdsong. A novel song induces an overt listening behavior, accompanied by a distinct electrophysiological signature and a wave of gene expression in the auditory telencephalon. With repetition of the same song these responses all habituate; habituation can persist for a day or more and is specific for the repeated song. This habituation is a form of selective memory. Here we describe four experiments to probe the nature of the information stored in that memory, using habituation of the genomic response as a physiological assay for stimulus recognition. Adult male zebra finches (awake and unrestrained) were exposed to repetitions of a test song to habituate the genomic response. The same song was then presented in one of four different contexts: (1) from a speaker on the opposite side of the cage; (2) at a reduced sound pressure level; (3) paired with constant illumination of colored lights next to the speaker; (4) paired with colored lights that were turned on and off in synchrony with each song bout. In all cases except the third, a familiar (habituated) song re-induced a new wave of gene expression in the auditory telencephalon when presented in the new context. These results reveal that memory for a specific song, as indicated by the initial gene habituation, incorporates more than just an acoustic description of the song. We suggest that habituation in the auditory telencephalon is controlled in part by an extrinsic system that allows detection of synchronous activity in different sensory or representational modalities. (C) 2004 Elsevier Inc. All rights reserved.</t>
  </si>
  <si>
    <t>Clayton, David/B-2190-2008</t>
  </si>
  <si>
    <t>Clayton, David/0000-0002-6395-3488</t>
  </si>
  <si>
    <t>1074-7427</t>
  </si>
  <si>
    <t>1095-9564</t>
  </si>
  <si>
    <t>10.1016/j.nlm.2004.05.001</t>
  </si>
  <si>
    <t>WOS:000223495300006</t>
  </si>
  <si>
    <t>Yang, CC; Chen, XY; Wang, LW; Liang, W</t>
  </si>
  <si>
    <t>Yang, Canchao; Chen, Xiangyang; Wang, Longwu; Liang, Wei</t>
  </si>
  <si>
    <t>Defensive adaptations to cuckoo parasitism in the black-browed reed warbler (Acrocephalus bistrigiceps): recognition and mechanism</t>
  </si>
  <si>
    <t>Hosts of avian brood parasites suffer a high cost of reproductive loss due to parasitism, driving them to evolve a variety of anti-parasitic defenses. These defenses comprise a series of components, including the recognition of brood parasites and the eggs laid by the parasites, cues used for recognition, and the mechanisms on which these behaviors are based. In this study, we conducted egg recognition and nest intruder experiments to examine these components of anti-parasitic behavior in the black-browed reed warbler (Acrocephalus bistrigiceps), a rare host of the common cuckoo (Cuculus canorus). We found that the host possessed strong recognition capacity, rejecting 100% of parasitic eggs, and used a template-based mechanism for egg recognition. The host birds also rejected 80% of their own eggs on which artificial markings were added to the blunt pole; however, they accepted all eggs with the same manipulation on the sharp pole, implying that the blunt pole was an important recognition cue. Furthermore, the host exhibited stronger aggression to cuckoos than to harmless controls; a behavior specific to the incubation stage rather than the nestling stage. Therefore, the host was able to distinguish the cuckoo from other nest intruders as being a brood parasite. These results together help explain the near absence of cuckoo parasitism in black-browed reed warblers and provide new information concerning anti-parasitic defenses in this host species.</t>
  </si>
  <si>
    <t>chen, shuo bing/KHV-7129-2024; Guo, Li/KCK-9540-2024</t>
  </si>
  <si>
    <t>10.1007/s10071-022-01613-9</t>
  </si>
  <si>
    <t>WOS:000772345800001</t>
  </si>
  <si>
    <t>Vergara, RC; Torres-Araneda, A; Villagra, DA; Raguso, RA; Arroyo, MTK; Villagra, CA</t>
  </si>
  <si>
    <t>Vergara, Rodrigo C.; Torres-Araneda, Alejandra; Villagra, Diego A.; Raguso, Robert A.; Arroyo, Mary T. K.; Villagra, Cristian A.</t>
  </si>
  <si>
    <t>Are eavesdroppers multimodal? Sensory exploitation of floral signals by a non-native cockroach Blatta orientalis</t>
  </si>
  <si>
    <t>The study of multi-modal communication has only recently been extended to innate and learned interactions between flowers and their animal visitors, and usually only to pollinators. Here we studied the relevance of floral scent and visual display of a night blooming, putatively hawkmoth-pollinated plant Oenothera acaulis (Onagraceae) in the attraction of non-native cockroaches Blatta orientalis (Blattodea: Blattidae), which function as facultative floral larcenists in coastal habitats of central Chile. We experimentally decoupled visual (corolla) and olfactory (fragrance) stimuli by presenting paper corollas and green mesh bags, with or without a freshly-picked natural flower inside. We then contrasted the behavioral responses of roaches in these treatments with those to the natural combination of traits in actual flowers and their respective control treatments, measuring the roaches' frequency of first visits, mean and total residence time spent in each treatment. The roaches primarily used olfactory cues when approaching O. acaulis flowers at two biologically relevant spatial scales. In addition, the presence of conspecific roaches had a strong influence on recruitment to the experimental arena, increasing the statistical differences among treatments. Our results suggest a primacy of floral fragrance over visual stimuli in the foraging responses of B. orientalis. Olfactory cues were necessary and sufficient to attract the roaches, and the visual cues presented in our manipulations only marginally increased their attraction within a 20 cm diameter of the stimulus. The full spectrum of floral visitation behavior was not elicited by the artificial flowers, suggesting the need for additional tactile or contact chemosensory stimuli not provided by paper. Although the nitrogenous scent compounds that we found in O. acaulis flowers are almost exclusively found in hawkmoth-pollinated flowers, the attractiveness of these compounds to a non-native, facultative flower-visiting insect indicates that they do not function as pollinator-specific signals for hawkmoth attraction [Current Zoology 57 (2): 162-174, 2011].</t>
  </si>
  <si>
    <t>Villagra, Diego/H-6694-2013</t>
  </si>
  <si>
    <t>Vergara, Rodrigo Clemente/0000-0002-1943-2060; Villagra, Cristian/0000-0002-6921-597X</t>
  </si>
  <si>
    <t>10.1093/czoolo/57.2.162</t>
  </si>
  <si>
    <t>WOS:000288848200005</t>
  </si>
  <si>
    <t>Prescott, MJ; Buchanan-Smith, HM; Smith, AC</t>
  </si>
  <si>
    <t>Social interaction with non-averse group-mates modifies a learned food aversion in single- and mixed-species groups of Tamarins (Saguinus fuscicollis and S-labiatus)</t>
  </si>
  <si>
    <t>For social species, being a member of a cohesive group and performing activities as a coordinated unit appear to provide a mechanism for the efficient transmission of information about food. Social learning about food palatability was investigated in two captive primates, Saguinus fuscicollis and S. labiatus, which form stable and cohesive mixed-species groups in the wild. We explored whether an induced food aversion toward a preferred food is modified during and after social interaction with non-averse conspecifics or congeners. Sets of intra- and interspecific pairs were presented with two foods, one of which was considered distasteful by one of the pairs (the other was palatable), and their behavior was compared pre-interaction, during interaction, and post-interaction. For the aversely-conditioned individuals of both species, the change in social context corresponded to a change in their preference for the food that they considered unpalatable, regardless of whether they had interacted with a conspecific or congeneric pair, and the change in food preference was maintained post-interaction. In a control condition, in which averse individuals did not have the opportunity to interact with non-averse animals, S. fuscicollis sampled the preferred food, but not as quickly as when given the opportunity to interact. We conclude that the social learning demonstrated here may allow individual tamarins to track environmental change, such as fruit ripening, more efficiently than asocial learning alone, because social learners can more quickly and safely focus on appropriate behavior by sharing up-to-date foraging information. Furthermore, since the behavior of congeners, as well as conspecifics, acts to influence food choice in a more adaptive direction, social learning about food palatability may be an advantage of mixed-species group formation to tamarins of both species. (c) 2005 Wiley-Liss, Inc.</t>
  </si>
  <si>
    <t>Prescott, Mark/E-4184-2010; Buchanan-Smith, Hannah/A-5350-2009</t>
  </si>
  <si>
    <t>Prescott, Mark/0000-0002-8814-0512; Smith, Andrew/0000-0002-8521-5558; Buchanan-Smith, Hannah/0000-0002-2516-7734</t>
  </si>
  <si>
    <t>10.1002/ajp.20118</t>
  </si>
  <si>
    <t>WOS:000228842400002</t>
  </si>
  <si>
    <t>Campos, SM; Erley, A; Ashraf, Z; Wilczynski, W</t>
  </si>
  <si>
    <t>Campos, Stephanie M.; Erley, Anastasia; Ashraf, Zoha; Wilczynski, Walter</t>
  </si>
  <si>
    <t>Signaler's Vasotocin Alters the Relationship between the Responder's Forebrain Catecholamines and Communication Behavior in Lizards (Anolis carolinensis)</t>
  </si>
  <si>
    <t>Dynamic fluctuations in the distribution of catecholamines across the brain modulate the responsiveness of vertebrates to social stimuli. Previous work demonstrates that green anoles (Anolis carolinensis) increase chemosensory behavior in response to males treated with exogenous arginine vasotocin (AVT), but the neurochemical mechanisms underlying this behavioral shift remains unclear. Since central catecholamine systems, including dopamine, rapidly activate in response to social stimuli, we tested whether exogenous AVT in signalers (stimulus animals) impacts catecholamine concentrations in the forebrain (where olfactory and visual information are integrated and processed) of untreated lizard responders. We also tested whether AVT influences the relationship between forebrain catecholamine concentrations and communication behavior in untreated receivers. We measured global catecholamine (dopamine = DA, epinephrine = Epi, and norepinephrine = NE) concentrations in the forebrain of untreated responders using high-performance liquid chromatography-mass spectrometry following either a 30-min social interaction with a stimulus male or a period of social isolation. Stimulus males were injected with exogenous AVT or vehicle saline (SAL). We found that global DA, but not Epi or NE, concentrations were elevated in lizards responding to SAL-males relative to isolated lizards. Lizards interacting with AVT-males had DA, Epi and NE concentrations that were not significantly different from SAL or isolated groups. For behavior, we found a significant effect of social treatment (AVT vs. SAL) on the relationships between (1) DA concentrations and the motivation to perform a chemical display (latency to tongue flick) and (2) Epi concentrations and time spent displaying mostly green body coloration. We also found a significant negative correlation between DA concentrations and the latency to perform a visual display but found no effect of social treatment on this relationship. These data suggest that catecholamine concentrations in the forebrain of untreated responders are associated with chemical and visual communication in lizards and that signaler AVT alters this relationship for some, but not all, aspects of social communication. (C) 2022 S. Karger AG, Basel</t>
  </si>
  <si>
    <t>10.1159/000524217</t>
  </si>
  <si>
    <t>WOS:000840266300008</t>
  </si>
  <si>
    <t>Warburton, K; Lees, N</t>
  </si>
  <si>
    <t>Species discrimination in guppies: Learned responses to visual cues</t>
  </si>
  <si>
    <t>The possibility that animals can discriminate conspecifics and heterospecifics by integrating multiple-cue information obtained by a single sensory modality was tested using guppies, Poecilia reticulata. The influence of familiarity on guppy discrimination was examined through binary-choice experiments in which juvenile guppies were allowed to associate with familiar or unfamiliar siblings, unrelated conspecifics or heterospecifics (swordtails, Xiphothurus helleri). Stimulus and subject (test) individuals were separated by partitions made of clear Perspex or plastic mesh, and the results of trials using the two partition types were compared to provide insight into the sensory modalities involved in recognition. Guppies associated more readily with familiar than unfamiliar conspecifics. The trials with the Perspex partition revealed that visual cues were involved in conspecific discrimination. Guppies were also visually attracted to familiar swordtails, and to unfamiliar swordtails as long as the guppies were originally reared with swordtails, showing that the formation of a recognition template in early life is flexible and not controlled by a closed genetic programme. However, there was evidence that attractive long-range swordtail cues were overridden by those permitting more detailed species discrimination at close range. In the trials with the mesh partition, attraction to siblings was apparent only at close range, suggesting that the mesh impaired the visual discrimination abilities evident from the Perspex trials. Heterospecific attraction to swordtails increased when the mesh partition was used, possibly for the same reason. It is likely that guppies integrate responses to distance-dependent visual (and possibly mechanical) stimuli to permit recognition of individuals, kin members or species. With regard to discrimination studies on aquatic vertebrates, the potential advantages to be obtained from the use of complementary behavioural assay techniques, and from analyses that take into account inter-brood variation and the length of the experimental acclimation period, are stressed. (C) 1996 The Association for the Study of Animal Behaviour</t>
  </si>
  <si>
    <t>10.1006/anbe.1996.0181</t>
  </si>
  <si>
    <t>WOS:A1996VH71700013</t>
  </si>
  <si>
    <t>Li, SG; Yang, YX; Rhee, YJ; Jang, WJ; Ha, JJ; Lee, SK; Song, YH</t>
  </si>
  <si>
    <t>Li, S. G.; Yang, Y. X.; Rhee, Y. J.; Jang, W. J.; Ha, J. J.; Lee, S. K.; Song, Y. H.</t>
  </si>
  <si>
    <t>Growth, Behavior, and Carcass Traits of Fattening Hanwoo (Korean Native Cattle) Steers Managed in Different Group Sizes</t>
  </si>
  <si>
    <t>ASIAN-AUSTRALASIAN JOURNAL OF ANIMAL SCIENCES</t>
  </si>
  <si>
    <t>This study was conducted to evaluate growth, behavior and carcass traits of fattening Hanwoo (Korean native cattle) steers managed in different group sizes A total of 48 animals, 6 months of age, were allocated to one of three group sizes and the experiment was conducted from 12 to 30 months of age Groups were balanced for weight and the group sizes consisted of 4, 8, or 12 steers which were named 4sG, 8sG and 12sG, respectively. When animals were 12 months of age, initial fasted body weight (BW, 304 51 +/- 12 40 kg) was measured All animals were housed at a constant space allowance of 8 82 m(2) per animal, and a feeder and drinker were provided per 4 animals The whole fattening stage was divided into three phases phase I (from 12 to 18 month of age), phase II (from 19 to 24 month of age), and phase III (from 25 to 30 month of age) Steers managed in 12sG showed low (p&lt;0 05) growth rate and feed conversion rate (FCR) in phase I and phase II when compared to other treatment groups. However, this difference was not observed for the whole fattening phase (p&gt;0 05) Steers managed in 4sG had a thick (p&lt;0 05) ultrasound back fat thickness at 15 and 18 months of age However, group size had no effect on meat yield and quality traits of area and marbling score Animals managed in 8sG yielded a better meat grade of ''A than the B grade in other treatment group sizes Lean color, fat color, firmness and maturity scores did not differ among group sizes Hanwoo steers housed under 12sG spent less time on eating concentrate, relevant higher eating rate, less frequency of allogrooming, and more time on walking (p&lt;0 05) It could be concluded that a large group size retarded growth rate and back fat thickness in the fattening stage, which was mainly focused on 15 and 18 months of age</t>
  </si>
  <si>
    <t>Lee, Sung Ki/0000-0002-2989-4787</t>
  </si>
  <si>
    <t>1011-2367</t>
  </si>
  <si>
    <t>1976-5517</t>
  </si>
  <si>
    <t>10.5713/ajas.2010.90276</t>
  </si>
  <si>
    <t>WOS:000279576700016</t>
  </si>
  <si>
    <t>Perrin, MC; Thorpe, JP; Solé-Cava, AM</t>
  </si>
  <si>
    <t>Ansell, AD; Gibson, RN; Barnes, M</t>
  </si>
  <si>
    <t>Population structuring, gene dispersal and reproduction in the Actinia equina species group</t>
  </si>
  <si>
    <t>OCEANOGRAPHY AND MARINE BIOLOGY, VOL 37: AN ANNUAL REVIEW</t>
  </si>
  <si>
    <t>Oceanography and Marine Biology</t>
  </si>
  <si>
    <t>Sea anemones of the genus Actinia are common on many shores worldwide and hence have received much attention from ecologists and many other workers. The most extensively studied species, A. equina, is abundant on many rocky shores around Britain and elsewhere in Europe. It has long been known to be phenotypically highly variable with many colour morphs and great variation, for example, in size and mode of reproduction. More recently molecular and other studies have revealed unexpected levels of population structuring with genetic divergence and, in some cases, evidence for reproductive isolation between morphs. This has resulted in taxonomic problems, exacerbated by our lack of detailed understanding of processes of reproduction and recruitment in Actinia species in Europe. Work on population genetics, systematics and speciation in A. equina and other Actinia species is discussed and attention is drawn to areas in which further work is needed.</t>
  </si>
  <si>
    <t>Sole-Cava, Antonio M/G-4209-2011</t>
  </si>
  <si>
    <t>0078-3218</t>
  </si>
  <si>
    <t>0-7484-0919-X</t>
  </si>
  <si>
    <t>WOS:000089737800004</t>
  </si>
  <si>
    <t>McGaugh, SE; Weaver, S; Gilbertson, EN; Garrett, B; Rudeen, ML; Grieb, S; Roberts, J; Donny, A; Marchetto, P; Gluesenkamp, AG</t>
  </si>
  <si>
    <t>McGaugh, Suzanne E.; Weaver, Sam; Gilbertson, Erin N.; Garrett, Brianna; Rudeen, Melissa L.; Grieb, Stephanie; Roberts, Jennifer; Donny, Alexandra; Marchetto, Peter; Gluesenkamp, Andrew G.</t>
  </si>
  <si>
    <t>Evidence for rapid phenotypic and behavioural shifts in a recently established cavefish population</t>
  </si>
  <si>
    <t>Cave colonization offers a natural laboratory to study an extreme environmental shift, and diverse cave species from around the world often have converged on robust morphological, physiological and behavioural traits. The Mexican tetra (Astyanax mexicanus) has repeatedly colonized caves in the Sierra de El Abra and Sierra de Guatemala regions of north-east Mexico similar to 0.20-1 Mya, indicating an ability to adapt to the cave environment. The time frame for the evolution of these traits in any cave animal, however, is poorly understood. Astyanax mexicanus from the Rio Grande in South Texas were brought to Central Texas beginning in the early 1900s and colonized underground environments. Here, we investigate whether phenotypic and behavioural differences have occurred rapidly between a surface population and a geographically proximate cave population, probably of recent origin. Fish from the cave and surface populations differ significantly in morphological traits, including coloration, lateral line expansion and dorsal fin placement. Striking behavioural shifts in aggression, feeding and wall-following have also occurred. Together, our results suggest that morphological and behavioural changes accompanying cave colonization can be established rapidly, and this system offers an exciting and unique opportunity for isolating the genetic and environmental contributions to colonization of extreme environments.</t>
  </si>
  <si>
    <t>Donny, Alexandra/0000-0002-1412-9118; Gilbertson, Erin/0000-0002-2426-9966</t>
  </si>
  <si>
    <t>10.1093/biolinnean/blz162</t>
  </si>
  <si>
    <t>WOS:000506800100011</t>
  </si>
  <si>
    <t>Heise, SR; Rozenfeld, FM</t>
  </si>
  <si>
    <t>Reproduction and urine marking in laboratory groups of female common voles Microtus arvalis</t>
  </si>
  <si>
    <t>In laboratory groups of common voles, Microtus arvalis, consisting of one mother, two of her daughters and one male, mainly the mother reproduced. The three females spent most of the time in close body contact. By using a modified method of coloring the urine of the three females by nonmetabolizable, nontoxic dyes, we found that mothers display a higher urine marking intensity than their daughters, and urine marks from the mother were distributed more frequently than those from the daughters. The results suggest that both pheromonal and behavioral mechanisms are involved in the regulation of reproduction in matriarchal groups of common voles.</t>
  </si>
  <si>
    <t>10.1023/A:1020853303321</t>
  </si>
  <si>
    <t>WOS:000081611500016</t>
  </si>
  <si>
    <t>Gómez-Laplaza, LM</t>
  </si>
  <si>
    <t>The influence of social status on shoaling preferences in the freshwater angelfish (Pterophyllum scalare)</t>
  </si>
  <si>
    <t>Shoal choice studies have revealed that fish have cognitive abilities to discriminate between groups of different composition. In this work, the role of social status (based on aggressive acts) of both the test fish and the fish in the stimulus shoals was examined because of the fitness-related consequences that group association may have for the test individual. Single angelfish of high and low social status (dominant and subordinate) were presented with a choice between two stimulus shoals composed of three conspecifics of equal size and familiarity but of social status equal to, and different from that of the test fish in the same dominance hierarchy. Test fish, irrespective of the social status, spent significantly more time shoaling with subordinates than with dominants. They also initiated shoaling behaviour with subordinates more readily and the number of visits to the preference zone close to the subordinates was greater than that to dominants. The tendency was greater in subordinate fish, which showed longer latency in approaching the shoals of dominants, and spent more time in proximity to the subordinates per visit than did dominant fish. A replicate preference test indicated that this general pattern was relatively stable for at least 2(1)/(2) hr. A possible factor mediating this association preference, that of familiarity, was then tested. The same protocol as before was used but unfamiliar conspecific dominants and subordinates served as stimulus shoals. In this second experiment, generally test fish did not show any significant shoaling preference. The results indicate that angelfish are capable of distinguishing the social status of conspecifics and can discriminate between shoals composed of dominants and subordinates on the basis of previous interactions. It is suggested that the tendency to avoid shoals of dominant companions may be due to the disadvantage of enhanced competition, subordinates being more affected.</t>
  </si>
  <si>
    <t>Laplaza, Luis M. Gómez/ABF-6852-2021</t>
  </si>
  <si>
    <t>Laplaza, Luis M. Gómez/0000-0003-1572-0580</t>
  </si>
  <si>
    <t>10.1163/1568539054729141</t>
  </si>
  <si>
    <t>WOS:000231869400008</t>
  </si>
  <si>
    <t>Prieto, MT; Campo, JL; Dávila, SG; Gil, MG; Torres, O</t>
  </si>
  <si>
    <t>Teresa Prieto, Maria; Campo, J. L.; Garcia Davila, Sara; Garcia Gil, Maria; Torres, Olga</t>
  </si>
  <si>
    <t>Effect of regrouping on heterophil to lymphocyte ratio, tonic immobility duration, and fluctuating asymmetry in layer stocks</t>
  </si>
  <si>
    <t>EUROPEAN POULTRY SCIENCE</t>
  </si>
  <si>
    <t>The aim of this study was to analyze the effect of regrouping on heterophil to lymphocyte ratio (H: L), tonic immobility duration (TI), and fluctuating asymmetry (FA). In experiment 1, 192 chicks were reared in cages with or without regrouping. There was similar H: L, TI, and FA of leg length, wing length, and leg width in resident, intruder, and control groups, suggesting that regrouping did not affect the stress and fear of chicks. The effect of regrouping was significant for FA of toe length (P &lt; 0.05), being smaller in resident than intruder chicks. This result suggests that residents were less stressed than intruders, and asymmetrical toes are a good predictor of social stress between these two groups. In experiment 2, 120 resident black cockerels were housed in pens with intruders of wheaten (residents 1), blue (residents 2), or both plumage colours (residents 3), or without (controls) regrouping. There were significant differences (P &lt; 0.01) for H: L, being smaller in residents mixed with intruders than in birds from resident-only groups. This result suggests that regrouping was not a stressful event for residents and it even reduced the stress in resident cockerels. Residents 3 had longer TI and higher FA of wattle length than residents 1 and 2, suggesting that TI and asymmetrical wattles are a good predictor of social stress among resident groups, mixing with intruders from two plumage colours being more stressful than mixing with intruders from only one. In conclusion, regrouping did not result in pronounced stress or fear responses. Although there is evidence from earlier research that physical stressors result in increases of H: L TI, and FA, the effect of social stress on these indicators might be different.</t>
  </si>
  <si>
    <t>GARCIA-GIL, MARIA/Q-6585-2017; DÁVILA, SARA GARCÍA/AAA-1672-2020</t>
  </si>
  <si>
    <t>GARCIA-GIL, MARIA/0000-0003-2856-277X; DÁVILA, SARA GARCÍA/0000-0003-4152-8373</t>
  </si>
  <si>
    <t>1612-9199</t>
  </si>
  <si>
    <t>10.1399/eps.2013.1</t>
  </si>
  <si>
    <t>WOS:000343648600001</t>
  </si>
  <si>
    <t>Feller, AF; Haesler, MP; Peichel, CL; Seehausen, O</t>
  </si>
  <si>
    <t>Feller, Anna F.; Haesler, Marcel P.; Peichel, Catherine L.; Seehausen, Ole</t>
  </si>
  <si>
    <t>Genetic architecture of a key reproductive isolation trait differs between sympatric and non-sympatric sister species of Lake Victoria cichlids</t>
  </si>
  <si>
    <t>One hallmark of the East African cichlid radiations is the rapid evolution of reproductive isolation that is robust to full sympatry of many closely related species. Theory predicts that species persistence and speciation in sympatry with gene flow are facilitated if loci of large effect or physical linkage (or pleiotropy) underlie traits involved in reproductive isolation. Here, we investigate the genetic architecture of a key trait involved in behavioural isolation, male nuptial coloration, by crossing two sister species pairs of Lake Victoria cichlids of the genus Pundamilia and mapping nuptial coloration in the F2 hybrids. One is a young sympatric species pair, representative of an axis of colour motif differentiation, red-dorsum versus blue, that is highly recurrent in closely related sympatric species. The other is a species pair representative of colour motifs, red-chest versus blue, that are common in allopatric but uncommon in sympatric closely related species. We find significant quantitative trait loci (QTLs) with moderate to large effects (some overlapping) for red and yellow in the sympatric red-dorsum x blue cross, whereas we find no significant QTLs in the non-sympatric red-chest x blue cross. These findings are consistent with theory predicting that large effect loci or linkage/pleiotropy underlying mating trait differentiation could facilitate speciation and species persistence with gene flow in sympatry.</t>
  </si>
  <si>
    <t>Feller, Anna Fiona/AAJ-1138-2020; Seehausen, Ole/C-8272-2011</t>
  </si>
  <si>
    <t>Feller, Anna Fiona/0000-0001-5786-7658; Seehausen, Ole/0000-0001-6598-1434; Peichel, Catherine/0000-0002-7731-8944</t>
  </si>
  <si>
    <t>APR 8</t>
  </si>
  <si>
    <t>10.1098/rspb.2020.0270</t>
  </si>
  <si>
    <t>WOS:000546947600014</t>
  </si>
  <si>
    <t>Perez, DM; Backwell, PRY</t>
  </si>
  <si>
    <t>Perez, Daniela Malgarini; Backwell, P. R. Y.</t>
  </si>
  <si>
    <t>Selection for conspicuous visual signals in a fiddler crab</t>
  </si>
  <si>
    <t>Sexual selection has an undeniable influence in the evolution of the spectacular diversity of courtship signals in the animal kingdom. A long history of study has pointed to mechanisms through which sexual selection can act: it can favor signals that are reliable indicators of species identity or effectively transfer mate quality information. In some species, these mechanisms have the potential to shape signal evolution. This is the case in fiddler crabs. Males court females by waving their sexually dimorphic claw. Females recognize conspecific males by the species-specific display, while intraspecific variants of the display appear to be indicators of male quality. We investigated which of these mechanisms prevail by using robotics to test female responses to waves of different heights in the fiddler crab, Austruca mjoebergi. We reveal that, although the studied species shares a sympatric habitat, females did not significantly more often approach the species' average signal. We found evidence that more conspicuous, higher signals were more likely to attract females, although the effect was not particularly strong. We discuss our results in the light of other possible scenarios from which sexual selection can act in the evolution of signals.Significance statementSexual selection has strong role in the evolution of courtship signals. A large body of evidence has revealed that mating preferences may favor signals that indicate species identity or mate quality. We study which of these mechanisms is predominant in fiddler crabs. We use robotics to investigate female preference for a highly conspicuous and diverse characteristic of courtship signals. We found that females most likely do not use the signal for species recognition, but instead favor signals that stand out and indicate mate quality. Our results advocate that directional selection is likely to be predominant, but we suggest that a more complex mosaic of selective forces may influence the evolution of the high interspecific signal diversity in fiddler crabs.</t>
  </si>
  <si>
    <t>M. Perez, Daniela/0000-0002-8560-0368</t>
  </si>
  <si>
    <t>10.1007/s00265-019-2670-3</t>
  </si>
  <si>
    <t>WOS:000465553400001</t>
  </si>
  <si>
    <t>WINGFIELD, JC; HEGNER, RE; LEWIS, DM</t>
  </si>
  <si>
    <t>CIRCULATING LEVELS OF LUTEINIZING-HORMONE AND STEROID-HORMONES IN RELATION TO SOCIAL-STATUS IN THE COOPERATIVELY BREEDING WHITE-BROWED SPARROW WEAVER, PLOCEPASSER-MAHALI</t>
  </si>
  <si>
    <t>We have begun an intensive series of investigations into the environmental and endocrine mechanisms regulating cooperative breeding in a semi-arid tropical environment. A colour-marked population of white-browed sparrow weavers (Plocepasser mahali) was studied at a field site near Nyamaluma Camp, Luangwa Valley, Zambia (13-degrees-S). This species breeds from October to April, although some clutches may be found as early as August and young may be fed until May. Non-disruptive techniques were employed to monitor annual cycles of gonadal development, body mass and fat reserves, and small blood samples were collected to measure circulating levels of reproductive hormones and corticosterone. All individuals were released after sampling and the social and reproductive activities recorded by systematic behavioural observations. Each individual could thus be identified as: (1) a breeding adult; (2) a related helper (i.e. offspring of the breeding male and female within the group); or (3) a non-related (= invader) helper (these birds helped defend territory but did not help feed young; they were not related to the breeding pair and usually originated from outside the group). Breeding males had larger testes and higher levels of testosterone than either related helpers or invader helpers. In females, all status groups had follicles up to 2 mm in diameter, but only breeding females ovulated. There were no differences in plasma levels of reproductive hormones among different status females, except for higher circulating luteinizing hormone (LH) in invader female helpers during the first part of the breeding season. Although plasma levels of testosterone were highest in breeding males, the maximum titres were two orders of magnitude less than in males of passerine species from temperate regions. Furthermore, injections of a peptide hormone GnRH (gonadotropin-releasing hormone) increased plasma LH levels in both males and females, and were followed by rises in testosterone levels only in males, but not over the normal maximum seen in February. GnRH-induced high levels of LH did not affect testosterone concentrations in the blood of females. Results obtained thus far indicate that the hormonal control of aggression in white-browed sparrow weavers is different from that predicted by investigations on north temperate species. Whether these phenomena are typical of tropical species, particularly coopertive breeders, remains to be determined. Since most of the world's species of birds live in the tropics, and a substantial fraction of them breed cooperatively, more investigations are needed to establish the hormonal basis of reproductive behaviour and cooperative breeding. Given the baseline data already collected, the white-browed sparrow weaver will be a useful model.</t>
  </si>
  <si>
    <t>10.1111/j.1469-7998.1991.tb03800.x</t>
  </si>
  <si>
    <t>WOS:A1991GK01600004</t>
  </si>
  <si>
    <t>Parra-Tabla, V; Alonso, C; Ashman, TL; Raguso, RA; Albor, C; Sosenski, P; Carmona, D; Arceo-Gómez, G</t>
  </si>
  <si>
    <t>Parra-Tabla, Victor; Alonso, Conchita; Ashman, Tia-Lynn; Raguso, Robert A.; Albor, Cristopher; Sosenski, Paula; Carmona, Diego; Arceo-Gomez, Gerardo</t>
  </si>
  <si>
    <t>Pollen transfer networks reveal alien species as main heterospecific pollen donors with fitness consequences for natives</t>
  </si>
  <si>
    <t>The ecological dynamics of co-flowering communities are largely mediated by pollinators. However, current understanding of pollinator-mediated interactions primarily relies on how co-flowering plants influence attraction of shared pollinators, and much less is known about plant-plant interactions that occur via heterospecific pollen (HP) transfer. Invaded communities in particular can be highly affected by the transfer of alien pollen, but the strength, drivers and fitness consequences of these interactions at a community scale are not well understood. Here we analyse HP transfer networks in nine coastal communities in the Yucatan Mexico that vary in the relative abundance of invasive flowers to evaluate how HP donation and receipt varies between native and alien plants. We further evaluate whether HP donation and receipt are mediated by floral traits (e.g. display, flower size) or pollinator visitation rate. Finally, we evaluated whether post-pollination success (proportion of pollen tubes produced) was affected by alien HP receipt and whether the effect varied between native and alien recipients. HP transfer networks exhibit relatively high connectance (c. 15%), suggesting high HP transfer within the studied communities. Significant network nestedness further suggests the existence of species that predominantly act as HP donors or recipients in the community. Species-level analyses showed that natives receive 80% more HP compared to alien species, and that alien plants donate 40% more HP than natives. HP receipt and donation were mediated by different floral traits and such effects were independent of plant origin (native or alien). The proportion of alien HP received significantly affected conspecific pollen tube success in natives, but not that of alien species. Synthesis. Our results suggest that HP transfer in invaded communities is widespread, and that native and alien species play different roles within HP transfer networks, which are mediated by a different suite of floral traits. Alien species, in particular, play a central role as HP donors and are more tolerant to HP receipt than natives-a finding that points to two overlooked mechanisms facilitating alien plant invasion and success within native co-flowering communities.</t>
  </si>
  <si>
    <t>Alonso, Conchita/L-6957-2014; Parra-Tabla, Victor/H-7320-2015</t>
  </si>
  <si>
    <t>Alonso, Conchita/0000-0002-7418-3204; Parra-Tabla, Victor/0000-0001-5920-0881; Albor, Cristopher/0000-0002-9870-4094</t>
  </si>
  <si>
    <t>10.1111/1365-2745.13520</t>
  </si>
  <si>
    <t>OCT 2020</t>
  </si>
  <si>
    <t>WOS:000583496000001</t>
  </si>
  <si>
    <t>Bright, A; Waas, JR</t>
  </si>
  <si>
    <t>Effects of bill pigmentation and UV reflectance during territory establishment in blackbirds</t>
  </si>
  <si>
    <t>During intrasexual interactions, the visual properties of conspicuous male sexually selected traits may be important in social signalling. We used intruder models to examine the effect of pigmentation and ultraviolet (UV) reflectance of a single male trait on the responses of male blackbirds, Turdus merula. Stuffed models of male blackbirds with brown, yellow or orange bills were presented to residents in their natural habitat; we altered UV reflectance from the bills by applying nail varnish. This UV reflectance did not appear to affect the response of resident males during simulated territorial intrusions under natural signal and viewing conditions. However, models with brown bills received less attention from resident males than models displaying yellow or orange pigmentation. Brown bills are typical of first-year males and may be an effective signal of subordinate status, reducing aggression from adult males. Furthermore, resident males came closer, and initiated aggressive displays more quickly, in the presence of orange- versus yellow-billed models, suggesting that orange-billed models may be perceived as more of a threat to territory ownership. In 44% of presentations, females also responded to models (a response rate half that of males). Females spent more time more than 10 m from models when they lacked UV, suggesting that UV may be more important during intersexual interactions. However, bill pigmentation did not affect female responses to the models. Males and females may be attentive to different properties of bill appearance when establishing the territory. (C) 2002 The Association for the Study of Animal Behaviour. Published by Elsevier Science Ltd. All rights reserved.</t>
  </si>
  <si>
    <t>10.1006/anbe.2002.3042</t>
  </si>
  <si>
    <t>WOS:000179248600006</t>
  </si>
  <si>
    <t>Schroeder, JL; Worm, AJ; Sweet, AD; Rolland, V</t>
  </si>
  <si>
    <t>Schroeder, Joseph L.; Worm, Alexander J.; Sweet, Andrew D.; Rolland, Virginie</t>
  </si>
  <si>
    <t>Genomic data reveal unexpected relatedness between a brown female Eastern Bluebird and her brood</t>
  </si>
  <si>
    <t>Because plumage coloration is frequently involved in sexual selection, for both male and female mate choice, birds with aberrant plumage should have fewer mating opportunities and thus lower reproductive output. Here we report an Eastern Bluebird (Sialia sialis) female with a brown phenotype that raised a brood of four chicks to fledging. The brown female and her mate were only related to their social offspring to the second degree and one of the offspring was a half-sibling. We propose four family tree scenarios and discuss their implications (e.g., extra-pair paternity, conspecific brood parasitism). Regardless of the tree, the brown female was able to find a mate, which may have been facilitated by the bottleneck created by the severe snowstorms in February 2021. Parce que la coloration du plumage est frequemment impliquee dans la selection sexuelle, tant pour le choix du partenaire male que femelle, les oiseaux avec un plumage aberrant devraient avoir moins d'opportunites d'accouplement et donc un rendement de reproduction reduit. Nous rapportons ici le cas d'une femelle Merlebleu de l'Est (Sialia sialis) avec un phenotype brun qui a eleve une nichee de quatre poussins jusqu'a l'envol. La femelle brune et son partenaire n'etaient lies a leur progeniture sociale qu'au second degre et l'un des poussins etait un demi-frere ou une demi-s oe ur. Nous proposons quatre scenarios d'arbre genealogique et discutons de leurs implications (par exemple, paternite hors couple, parasitisme conspecifique), mais quel que soit l'arbre, la femelle brune a pu trouver un partenaire, ce qui a peut-etre ete facilite par le goulot d'etranglement cree par les fortes tempetes de neige en fevrier 2021. We report on a female bluebird (Sialia sialis) with a brown phenotype that successfully found a mate and raised a brood of four chicks, which goes against expectations under sexual selection. The brown female and her mate were only related to their social offspring to the second degree and one of the offspring was a half-sibling. We explored four possible family trees and surrounding circumstances (e.g., kin selection, population bottleneck) that could have led to this observation.image</t>
  </si>
  <si>
    <t>e10851</t>
  </si>
  <si>
    <t>10.1002/ece3.10851</t>
  </si>
  <si>
    <t>WOS:001148034400001</t>
  </si>
  <si>
    <t>Rinkevich, B; Sakai, K</t>
  </si>
  <si>
    <t>Interspecific interactions among species of the coral genus Porites from Okinawa, Japan</t>
  </si>
  <si>
    <t>Analysis of field established xenogeneic interactions among five Porites species from Sesoko Island, Okinawa, revealed a transitive type of hierarchy as: P. rus &gt; P. cylindrica &gt; P. lobata &gt; P. australiensis &gt; P. lutea. Out of the 111 interspecific encounters studied, in only 5.4% reciprocal interactions were recorded, and in a single case, the opposite directionality of hierarchy was documented. Allogeneic encounters were also observed. A single major effector mechanism, an overgrowth (together with secondary outcomes such as the formation of small points of rejection, bleaching and pink color formation along a narrow peripheral belt of contacting tissues), was the only response in all 10 xenogeneic and 5 allogeneic combinations. In some massive colonies, a long contacting line of up to 50 cm was established. No sign for allelopathy, stand-off or rejection from a distance (i.e., by sweeper tentacles, sweeper polyps) was observed. Results are discussed with the accumulated data on Porites species from different reefs, worldwide, confirming that this genus is commonly lower in the hierarchy of xenogeneic interactions.</t>
  </si>
  <si>
    <t>Sakai, Kazuhiko/0000-0003-1905-5952</t>
  </si>
  <si>
    <t>10.1078/0944-2006-00014</t>
  </si>
  <si>
    <t>WOS:000172786700002</t>
  </si>
  <si>
    <t>Gartner, GEA; Gamble, T; Jaffe, AL; Harrison, A; Losos, JB</t>
  </si>
  <si>
    <t>Gartner, Gabriel E. A.; Gamble, Tony; Jaffe, Alexander L.; Harrison, Alexis; Losos, Jonathan B.</t>
  </si>
  <si>
    <t>Left-right dewlap asymmetry and phylogeography of Anolis lineatus on Aruba and Curacao</t>
  </si>
  <si>
    <t>Anolis lizards exhibit a remarkable degree of diversity in the shape, colour, pattern and size of their dewlaps. Asymmetry, where one side of the dewlap differs in pattern or colour from the other, has only been reported in one species, Anolis lineatus, and then on only one of the two islands from which it occurs. Given the importance of the dewlap in intra- and interspecific signalling, we expanded on previous work by (1) investigating whether the reported asymmetry actually occurs and, if so, whether it occurs on animals from both Aruba and Curacao; (2) examining whether populations differ in other aspects of their morphology or ecology; and (3) resolving the evolutionary relationships and the history of the two populations. We confirmed the presence of the asymmetrical dewlap on Curacao and found that the asymmetry extends to populations on Aruba as well. Animals on Curacao were smaller overall than populations from Aruba with relatively shorter metatarsals, radii, and tibias but relatively deeper heads, longer jaws, and wider and more numerous toepads on fore and hind feet. Habitat use did not differ significantly between the islands. We found populations on Aruba and Curacao to be reciprocally monophyletic with an early Pleistocene divergence of populations on the two islands. Neutrality tests indicate that neither population has seen any recent reduction in population size, making it unlikely that the asymmetry is a result of founder effects or is some other consequence of reduced genetic variation. A variety of factors likely account for the remarkable and unique dewlap morphology exhibited by this species, although more detailed field studies are required to test these hypotheses.(c) 2013 The Linnean Society of London, Biological Journal of the Linnean Society, 2013, 110, 409-426.</t>
  </si>
  <si>
    <t>Gamble, Tony/AAT-4463-2020</t>
  </si>
  <si>
    <t>Gamble, Tony/0000-0002-0204-8003</t>
  </si>
  <si>
    <t>10.1111/bij.12131</t>
  </si>
  <si>
    <t>WOS:000324302400012</t>
  </si>
  <si>
    <t>Perryman, RJY; Carpenter, M; Lie, E; Sofronov, G; Marshall, AD; Brown, C</t>
  </si>
  <si>
    <t>Perryman, Robert J. Y.; Carpenter, Michelle; Lie, Eric; Sofronov, Georgy; Marshall, Andrea D.; Brown, Culum</t>
  </si>
  <si>
    <t>Reef manta ray cephalic lobe movements are modulated during social interactions</t>
  </si>
  <si>
    <t>Reef manta rays (Mobula alfredi) are social elasmobranchs that have structured societies and actively interact with preferred social partners. Being able to detect cues and signals produced by conspecifics is vital in enabling social behavior. Many elasmobranch species communicate via body and fin postures, but it is not yet known if or how mobulid rays communicate or respond to cues produced by conspecifics. These rays have specialized cephalic lobes that are highly flexible and used in feeding, but may have other functions such as gestural communication. In this study, we developed a standardized method to assess manta ray behavior in the wild via focal sampling and frame-by-frame video analysis. From observations recorded at cleaning stations in Raja Ampat, West Papua, we described various types of cephalic lobe positioning and movements made by free-ranging M. alfredi and investigated these in different behavioral contexts. We found that cephalic lobe curls were modulated when approaching both conspecifics and human divers, as well as during interactions with cleaner fish, suggesting that these lobes may be used in sensing water movements, olfactory sensing, and/or gestural communication. Cephalic lobes were moved independently of one another, but we found no evidence of individual laterality. The lack of chemosensory capacity on the lobes suggests that gestural communication is the most likely function, but further research is required to determine this. These results are informative in understanding the function of gestural communication in manta ray social interactions and add to our growing understanding of elasmobranchs' sophisticated social behavior.Significance statementSocial animals rely on communication and cues produced by conspecifics to respond to opportunities and threats. Many elasmobranch species use body and fin postures as gestural signals during competitive, courtship, and other social interactions. Reef manta rays (Mobula alfredi) are social elasmobranchs that form groups in near-shore, shallow water habitats. They possess paired, flexible cephalic lobes positioned on the side of the head which are specialized for feeding but may have a variety of functions. Here, we describe, quantify, and suggest likely explanations for the movement and positioning of cephalic lobes during various manta ray social behaviors, including conspecific, human, and cleaner fish interactions. Our results suggest that lobe movements may be used in detecting water movements, olfactory sensing, and/or gestural communication, and are an important aspect of social behavior in this species.</t>
  </si>
  <si>
    <t>Brown, Culum/S-9826-2017</t>
  </si>
  <si>
    <t>Brown, Culum/0000-0002-0210-1820; Sofronov, Georgy/0000-0001-5342-7559; Perryman, Robert/0000-0001-7632-0041</t>
  </si>
  <si>
    <t>10.1007/s00265-021-02973-x</t>
  </si>
  <si>
    <t>WOS:000620172500001</t>
  </si>
  <si>
    <t>Bogale, BA; Aoyama, M; Sugita, S</t>
  </si>
  <si>
    <t>Bogale, Bezawork Afework; Aoyama, Masao; Sugita, Shoei</t>
  </si>
  <si>
    <t>Categorical learning between 'male' and 'female' photographic human faces in jungle crows (Corvus macrorhynchos)</t>
  </si>
  <si>
    <t>We trained jungle crows to discriminate among photographs of human face according to their sex in a simultaneous two-alternative task to study their categorical learning ability. Once the crows reached a discrimination criterion (greater than or equal to 80% correct choices in two consecutive sessions; binomial probability test, p &lt; .05), they next received generalization and transfer tests (i.e., greyscale, contour, and 'full' occlusion) in Experiment 1 followed by a 'partial' occlusion test in Experiment 2 and random stimuli pair test in Experiment 3. Jungle crows learned the discrimination task in a few trials and successfully generalized to novel stimuli sets. However, all crows failed the greyscale test and half of them the contour test. Neither occlusion of internal features of the face, nor randomly pairing of exemplars affected discrimination performance of most, if not all crows. We suggest that jungle crows categorize human face photographs based on perceptual similarities as other non-human animals do, and colour appears to be the most salient feature controlling discriminative behaviour. However, the variability in the use of facial contours among individuals suggests an exploitation of multiple features and individual differences in visual information processing among jungle crows. (C) 2010 Elsevier B.V. All rights reserved.</t>
  </si>
  <si>
    <t>10.1016/j.beproc.2010.10.002</t>
  </si>
  <si>
    <t>WOS:000286861200015</t>
  </si>
  <si>
    <t>Safran, RJ</t>
  </si>
  <si>
    <t>Safran, Rebecca J.</t>
  </si>
  <si>
    <t>Settlement patterns of female barn swallows Hirundo rustica across different group sizes:: access to colorful males or favored nests?</t>
  </si>
  <si>
    <t>In most avian species, individuals are faced with two critical decisions at the start of a breeding season: choosing a breeding site and a mate. An analysis of these decisions in light of population-level patterns, such as group size variation in social breeders, can illuminate the causes and patterns of habitat selection behavior. Group sizes are variable in barn swallows; however, no clear and consistent benefits of group breeding have been found in this species, and it is puzzling as to why individuals breed socially. Previous analyses demonstrated that individuals aggregate to gain access to nests that were constructed during previous seasons; however extra-pair matings are also prevalent in this species, raising questions about the mate-selection strategies of females across different group sizes. In this paper, I address the question of how females make their first site-selection decisions in terms of two features known to be causally related to seasonal reproductive success: (1) colorful males or (2) old nests. Using experimental and observational data, I tested, but found no support for, the hypotheses that propose female settlement decisions are a function of (1) the prevalence of colorful males or (2) the increased opportunity for extra-pair matings at group sites. Instead, it is apparent that female settlement patterns are strongly tied to the availability of old nests at a site. Extra-pair fertilizations are equally common across all group sizes in this population, suggesting that females do not face a trade-off between old nests and the possibility of extra-pair mating decisions when making settlement decisions.</t>
  </si>
  <si>
    <t>10.1007/s00265-007-0366-6</t>
  </si>
  <si>
    <t>WOS:000247256000005</t>
  </si>
  <si>
    <t>Zarske, A</t>
  </si>
  <si>
    <t>Zarske, Axel</t>
  </si>
  <si>
    <t>On Systematics of some Blutsalmler or Rosy Tetra Rosy Tetras (Teleostei: Ostariophysi: Characidae)</t>
  </si>
  <si>
    <t>The species Hyphessobrycon bentosi DURBIN in EIGENMANN, 1908, Hyph. jackrobertsi spec. nov., Hyph. paepkei spec. nov., Hyph. sweglesi (GERY, 1961) and Hyphessobrycon dorsalis spec. nov. are described after a short historical introduction. Hyph. bentosi and Hyph. robertsi are treated as valid species contrary to WEITZMAN &amp; PALMER (1997 if) and Hyph. robertsi is scientifically described for the first time as Hyph. jackrobertsi spec. nov. The name Hyph. robertsi is broadly distributed in the literature but no valid description was found. Hyphessobrycon bentosi from the surroundings of Obidos (type-locality) is characterized by its (1) relatively low body. The body depth is 2.85 (2.67 to 3.17) times in SL. (2) Maxillary bone with three to eight (to ten; (X) over barR=5.25) conical or tricuspid teeth. (3) Anal-fin with 23 to 26 branched fin rays ((X) over bar =24.71). (4) 30 to 32 longitudinal scales ((X) over bar =31.54). (5) 5/1/4 transversal scales before the dorsal-fin. (6) The fin rays of the dorsal-fin reach not to the adipose-fin in adults. (7) An sexual dimorphism in the dorsal- and anal-fin as in Hyph. jackrobertsi spec. nov. and Hyph. paepkei spec. nov. is not developed. (8) The basic coloration of the body is plain olive brown and not so intensive red as in Hyph. jackrobertsi spec. nov. Hyph. jackrobertsi spec. nov. from the rio Pastaza basin of Peru is characterized by (1) a relatively high body (body depth 2.48 (2.31 to 2.73) time in SL) and (2) a longer anal- and dorsal-fin rays. There are intersects between Hyph. jackrobertsi spec. nov. and Hyph. bentosi in the body depth in juvenile specimens, adults are well differentiated. Hyph. jackrobertsi spec. nov. is similar to Hyph. bentosi in the number of maxillary teeth (five to nine conical or tricuspid teeth ((X) over bar =6.95)). Hyphessobrycon paepkei spec. nov. from the rio Demini basin of Brazil if differentiated by all known members of the rosy-tetra-group (except Hyph. melanopterus (EIGENMANN, 1915)) by its (1) higher number of maxillary teeth (14 to 21 conical to tricuspid teeth ((X) over bar =15.98) and (2) the shape of anal-fin. There are two color forms of Hyph. sweglesi (GERY, 1961), which are conspecific, similar to Hyph roseus (GERY, 1960). Hyphessobrycon dorsalis spec. nov. from the rio Caures basin of Brazil is characterized by the following combination of features (1) a relatively elongated body (body depth 3,59 (3.41 to 3.76) times in SL), (2) basis of caudal-fin with two large scales, (3) praemaxillary bone with two rows of teeth (two tricuspid teeth, seldom one tricuspid tooth in the external row and six tricuspid teeth in the internal row), (4) maxillary bone with three to four tricuspid teeth, (5) anal-fin with iii 21 to 23 rays, (6) scales: 4-51(5-7)31-32/3, (7) a distinctly developed pseudotympanum, (8) a black spot in the dorsal-fin and (9) no humeral spot.</t>
  </si>
  <si>
    <t>WOS:000341406400001</t>
  </si>
  <si>
    <t>Mougeot, F; Perez-Rodriguez, L; Martinez-Padilla, J; Leckie, F; Redpath, SM</t>
  </si>
  <si>
    <t>Mougeot, F.; Perez-Rodriguez, L.; Martinez-Padilla, J.; Leckie, F.; Redpath, S. M.</t>
  </si>
  <si>
    <t>Parasites, testosterone and honest carotenoid-based signalling of health</t>
  </si>
  <si>
    <t>Among the commonest sexual signals of birds are the red-yellow traits pigmented by carotenoids, but how they reliably advertise individual quality remain poorly understood. Here we tested the hypothesis that carotenoid-based signalling is enhanced by testosterone but reduced by parasites, and that the dual action of testosterone on ornament expression and parasite resistance ensures reliable signalling. Tetraonid birds such as the red grouse Lagopus lagopus scoticus have bright red combs pigmented by carotenoids, which function in intra- and inter-sexual selection. In separate experiments, we manipulated a main nematode parasite, Trichostrongylus tenuis (using deparasitation and re-infection) and testosterone (using testosterone or combined Flutamide/ATD treatments) in free-living males and investigated effects on plasma carotenoids and comb colour. In untreated males, comb redness positively correlated with plasma carotenoids, testosterone concentration and condition. Plasma carotenoids and comb redness both negatively correlated with T. tenuis abundance. Plasma carotenoids decreased in response to a challenge from T. tenuis, but increased when parasites were reduced. Testosterone enhanced comb redness, but tended to deplete plasma carotenoids. Combined Flutamide and ATD treatment had no significant effects on comb colour or plasma carotenoids, indicating that testosterone effects might be direct. Our experiments show contrasted effects of testosterone and nematode parasites on carotenoid-based ornamentation. Testosterone and parasites have well documented interactions in the study model. These, together with the opposite effects that testosterone and parasites have on carotenoid availability and use, would shape optimal levels of signalling, depending on individual quality, and might ensure reliable signalling. Carotenoid-based and testosterone-dependent traits have rarely been linked. Our study provides such a connection and shows that investigating how parasites, testosterone and carotenoids interact helps in the understanding of the evolution and maintenance of honest carotenoid-based signals of health.</t>
  </si>
  <si>
    <t>Pérez-Rodríguez, Lorenzo/G-1811-2011; Mougeot, Francois/B-1894-2009; Mougeot, Francois/Y-9569-2019; Martinez-Padilla, Jesus/C-6446-2008; Redpath, Stephen/B-4640-2012</t>
  </si>
  <si>
    <t>Pérez-Rodríguez, Lorenzo/0000-0002-5926-1438; Mougeot, Francois/0000-0002-5819-6275; Mougeot, Francois/0000-0002-5819-6275; Martinez-Padilla, Jesus/0000-0003-2956-5163; Redpath, Stephen/0000-0001-5399-9477</t>
  </si>
  <si>
    <t>10.1111/j.1365-2435.2007.01302.x</t>
  </si>
  <si>
    <t>WOS:000249165000008</t>
  </si>
  <si>
    <t>Jiang, YG; Sheng, F; Belkaya, N; Platt, ML</t>
  </si>
  <si>
    <t>Jiang, Yaoguang; Sheng, Feng; Belkaya, Naz; Platt, Michael L.</t>
  </si>
  <si>
    <t>Oxytocin and testosterone administration amplify viewing preferences for sexual images in male rhesus macaques</t>
  </si>
  <si>
    <t>Social stimuli, like faces, and sexual stimuli, like genitalia, spontaneously attract visual attention in both human and non-human primates. Social orienting behaviour is thought to be modulated by neuropeptides as well as sex hormones. Using a free viewing task in which paired images of monkey faces and anogenital regions were presented simultaneously, we found that male rhesus macaques overwhelmingly preferred to view images of anogenital regions over faces. They were more likely to make an initial gaze shift towards, and spent more time viewing, anogenital regions compared with faces, and this preference was accompanied by relatively constricted pupils. On face images, monkeys mostly fixated on the forehead and eyes. These viewing preferences were found for images of both males and females. Both oxytocin (OT), a neuropeptide linked to social bonding and affiliation, and testosterone (TE), a sex hormone implicated in mating and aggression, amplified the pre-existing orienting bias for female genitalia over female faces; neither treatment altered the viewing preference for male anogenital regions over male faces. Testosterone but not OT increased the probability of monkeys making the first gaze shift towards female anogenital rather than face pictures, with the strongest effects on anogenital images of young and unfamiliar females. Finally, both OT and TE promoted viewing of the forehead region of both female and male faces, which display sexual skins, but decreased the relative salience of the eyes of older males. Together, these results invite the hypothesis that both OT and TE regulate reproductive behaviours by acting as a gain control on the visual orienting network to increase attention to mating-relevant signals in the environment.This article is part of the theme issue 'Interplays between oxytocin and other neuromodulators in shaping complex social behaviours'.</t>
  </si>
  <si>
    <t>PLATT, MICHAEL/0000-0003-3912-8821; Jiang, Yaoguang/0000-0002-4354-3019</t>
  </si>
  <si>
    <t>AUG 29</t>
  </si>
  <si>
    <t>10.1098/rstb.2021.0133</t>
  </si>
  <si>
    <t>WOS:000823209300013</t>
  </si>
  <si>
    <t>Salvador, A; Veiga, JP; Martin, J; Lopez, P; Abelenda, M; Puerta, M</t>
  </si>
  <si>
    <t>The cost of producing a sexual signal: Testosterone increases the susceptibility of male lizards to ectoparasitic infestation</t>
  </si>
  <si>
    <t>According to current evolutionary theory, advertising traits that honestly indicate an organism's genetic quality might be costly to produce or maintain, though the kind of costs involved in this process are controversial. Recently the immunocompetence hypothesis has proposed that testosterone (T) stimulates the expression of male sexually selected traits while decreasing immunocompetence. Even though some recent studies have shown an effect of T on ectoparasite load, the dual effect of the hormone has not been addressed in free-living populations. Here we report results of an experiment in a free-living population of the lizard Psammodromus algirus during the mating season. Males implanted with T had larger patches of breeding color and behaved more aggressively than control males. In T-implanted males, the increase in number of ticks during the mating season was significantly higher than in control males and this negatively affected several hematological parameters. T-males suffered significantly higher mortality than control males during the experiment. The results from the manipulation of T are consistent with the dual effect of this hormone.</t>
  </si>
  <si>
    <t>Lopez, Pilar/K-6221-2014; Veiga, José/AAV-1687-2020; Salvador, Alfredo/K-1670-2014; martin, jose/B-1073-2014</t>
  </si>
  <si>
    <t>10.1093/beheco/7.2.145</t>
  </si>
  <si>
    <t>WOS:A1996UK92900006</t>
  </si>
  <si>
    <t>Fornazari, GA; Saldanha, A; Lange, RR; Froes, T; Klem, D; Moore, BA; Montiani-Ferreira, F</t>
  </si>
  <si>
    <t>Fornazari, Gabrielle Adad; Saldanha, Andre; Lange, Rogerio Ribas; Froes, Tilde; Klem, Daniel, Jr.; Moore, Bret A.; Montiani-Ferreira, Fabiano</t>
  </si>
  <si>
    <t>Window Collisions by Birds in Brazil: Epidemiologic Factors and Radiographic and Necropsy Assessments</t>
  </si>
  <si>
    <t>JOURNAL OF AVIAN MEDICINE AND SURGERY</t>
  </si>
  <si>
    <t>Birds are among the most visually proficient group of animals on the planet; however, their inability to visualize and discriminate translucent glass structures results in an extreme number of deaths worldwide from high-speed collisions. Despite reports of avian glass collisions in North America, only a few studies have been developed to understand this problem in South America, and none evaluated radiographic and postmortem findings. One hundred cadavers were examined radiographically and postmortem, and data from 186 collision reports were analyzed for seasonality (website and manual reports and cadavers). A total of 34 different species of birds within 22 families were evaluated for this study, with the rufous-bellied thrush (Turdus rufiventris; n = 12), eared dove (Zenaida auriculata; n = 12), and ruddy ground dove (Columbina talpacoti; n = 10) being the most common species. Only 6 (27.7%) migratory species were reported: Sick's swift (Chaetura meridionalis), small-billed elaenia (Elaenia parvirostris), Black Jacobin (Florisuga fusca), Great kiskadee (Pitangus sulphuratus), Double- collared seedeater (Sporophila caerulescens), and Creamy-bellied thrush (Turdus amaurochalinus). Males (51) were more frequently reported than females (5), and 50.1% of the males had active gonads. Sex was unable to be determined in 44 birds. The most common radiographic lesion, noted in 16 of 82 (19.5%) animals, was loss of coelomic definition, suggestive of hemorrhage. Prevalent postmortem findings included skull hemorrhages (58/75, 77.3%) and encephalic contusions (47/73, 64.4%), followed by coelomic hemorrhages (33/81, 40.7%). Most of the window collisions (61/186, 32.8%) occurred during spring, the most common breeding season of avian species in Brazil. Cranioencephalic trauma was identified as the primary cause of mortality associated with birds flying into glass windows. Migration does not appear to be the main predisposing factor for window collisions by birds in Brazil. Increased activity and aggression related to breeding season, especially in males, may be a more important predisposing factor for window collision accidents.</t>
  </si>
  <si>
    <t>Montiani-Ferreira, Fabiano/D-8888-2015; Froes, Tilde Rodrigues/HGU-5422-2022</t>
  </si>
  <si>
    <t>Froes, Tilde Rodrigues/0000-0002-7802-2598</t>
  </si>
  <si>
    <t>1082-6742</t>
  </si>
  <si>
    <t>1938-2871</t>
  </si>
  <si>
    <t>10.1647/20-00009</t>
  </si>
  <si>
    <t>WOS:000704164200007</t>
  </si>
  <si>
    <t>Barcelo-Serra, M; Gordo, O; Gonser, RA; Tuttle, EM</t>
  </si>
  <si>
    <t>Barcelo-Serra, Margarida; Gordo, Oscar; Gonser, Rusty A.; Tuttle, Elaina M.</t>
  </si>
  <si>
    <t>Behavioural polymorphism in wintering white-throated sparrows, Zonotrichia albicollis</t>
  </si>
  <si>
    <t>Behavioural polymorphisms associated with morphs with a known genetic basis are interesting to study since they provide a model system to investigate the molecular basis of complex behaviours. White-throated sparrows are one of such rare models, presenting two morphologies and behavioural types, tan and white, caused by a chromosomal rearrangement. The behavioural differences have been mainly studied during reproduction, defining two morph-specific breeding strategies and different levels of aggression between morphs. Outside of the breeding season, the morphological differences are less apparent, morphs are more difficult to distinguish and the behavioural polymorphism is poorly understood. In this study, we caught wild individuals during the winter, determined their morph by genetic analysis, and analysed the differences in behaviour between morphs when encountering a novel object under standardized conditions in captivity. White morphs are more aggressive during reproduction; therefore, we expected them to be less affected by the presence of the novel object than tan morphs; animal personality research shows that more aggressive individuals are less affected by the presence of novel objects (i.e. neophilic). Contrary to our expectations, white morphs were more neophobic than tan morphs, and within morphs, males were more neophobic than females. Furthermore, white morph individuals and males of both morphs suffered greater weight loss during captivity compared to tan morphs and females, respectively, suggesting that the response to captivity-induced stress differs between morphs and between sexes. Finding behavioural differences between morphs not related to reproduction implies a broader impact of the effects of the chromosomal rearrangement on the behavioural polymorphism in this species. (c) 2020 The Association for the Study of Animal Behaviour. Published by Elsevier Ltd. All rights reserved.</t>
  </si>
  <si>
    <t>Barcelo-Serra, Margarida/M-7048-2019; Tuttle, Elaina M/A-1485-2016; Gordo, Oscar/A-4701-2013</t>
  </si>
  <si>
    <t>Barcelo-Serra, Margarida/0000-0002-2752-0896; Gordo, Oscar/0000-0003-3766-0566</t>
  </si>
  <si>
    <t>10.1016/j.anbehav.2020.04.002</t>
  </si>
  <si>
    <t>WOS:000539211900009</t>
  </si>
  <si>
    <t>Cong, Q; Zhang, J; Shen, JH; Cao, XL; Brévignon, C; Grishin, NV</t>
  </si>
  <si>
    <t>Cong, Qian; Zhang, Jing; Shen, Jinhui; Cao, Xiaolong; Brevignon, Christian; Grishin, Nick, V</t>
  </si>
  <si>
    <t>Speciation in North American Junonia from a genomic perspective</t>
  </si>
  <si>
    <t>Delineating species boundaries in phylogenetic groups undergoing recent radiation is a daunting challenge akin to discretizing continuity. Here, we propose a general approach exemplified by American butterflies from the genus Junonia Hubner notorious for the variety of similar phenotypes, ease of hybridization, and the lack of consensus about their classification. We obtain whole-genome shotgun sequences of about 200 specimens. We reason that discreteness emerges from continuity by means of a small number of key players, and search for the proteins that diverged markedly between sympatric populations of different species, while keeping low polymorphism within these species. Being 0.25% of the total number, these three dozen 'speciation' proteins indeed partition pairs of Junonia populations into two clusters with a prominent break in between, while all proteins taken together fail to reveal this discontinuity. Populations with larger divergence from each other, comparable to that between two sympatric species, form the first cluster and correspond to different species. The other cluster is characterized by smaller divergence, similar to that between allopatric populations of the same species and comprise conspecific pairs. Using this method, we conclude that J. genoveva (Cramer), J. litoralis Brevignon, J. evarete (Cramer), and J. divaricata C. &amp; R. Felder are restricted to South America. We find that six species of Junonia are present in the United States, one of which is new: Junonia stemosa Grishin, sp.n. (i), found in south Texas and phenotypically closest to J. nigrosuffusa W. Barnes &amp; McDunnough (ii) in its dark appearance. In the pale nudum of the antennal club, these two species resemble J. zonalis C. &amp; R. Felder (iii) from Florida and the Caribbean Islands. The pair of sister species, J. grisea Austin &amp; J. Emmel (iv) and J. coenia Hubner (v), represent the classic west/east U.S.A. split. The mangrove feeder (as caterpillar), dark nudum J. neildi Brevignon (vi) enters south Texas as a new subspecies Junonia neildi varia Grishin ssp.n. characterized by more extensive hybridization with and introgression from J. coenia, and, as a consequence, more variable wing patterns compared with the nominal J. n. neildi in Florida. Furthermore, a new mangrove-feeding species from the Pacific Coast of Mexico is described as Junonia pacoma Grishin sp.n. Finally, genomic analysis suggests that J. nigrosuffusa may be a hybrid species formed by the ancestors of J. grisea and J. stemosa sp.n. This published work has been registered on Zoobank, .</t>
  </si>
  <si>
    <t>Zhang, Jing/0000-0003-4190-3065; Cong, Qian/0000-0002-8909-0414</t>
  </si>
  <si>
    <t>10.1111/syen.12428</t>
  </si>
  <si>
    <t>FEB 2020</t>
  </si>
  <si>
    <t>WOS:000516977500001</t>
  </si>
  <si>
    <t>Loader, A; Rose, P</t>
  </si>
  <si>
    <t>Loader, Abbie; Rose, Paul</t>
  </si>
  <si>
    <t>Age-Related Change in the Association Choices of Two Species of Juvenile Flamingos</t>
  </si>
  <si>
    <t>Simple Summary: Flamingos are highly social birds that live in large flocks. Flamingos are commonly housed in zoological collections but can be challenging to breed regularly. The characteristic bright pink plumage colour of adult birds develops over time. Anecdotally, young flamingos have been observed to appear on the edges of flamingo flocks. Therefore, this project aimed to measure the social behaviour of juvenile flamingos and record where they were found in two zoo enclosures for two species of flamingo. This project identified that juvenile flamingos prefer to spend time with birds of their own age and are most commonly seen on the periphery of their flock. However, this can be dependent on species and situation (e.g., management impacts on flock structure). We suggest improvements to flamingo enclosures to provide quality, accessible resources for all individuals of all ages that are housed under human care. Flamingos are colonial species commonly kept in zoos, well known for their bright plumage and elaborate courtship displays. This project aimed to determine the differences in flock position and association preferences of juvenile Greater Flamingos (Phoenicopterus roseus) and Caribbean Flamingos (P. ruber) housed in the same zoological collection. Little research has been conducted on the association preferences of juvenile flamingos, especially in captive flocks, and therefore this study collected data using photographs taken throughout 2014 and 2015 to further understand association patterns. Data were collected on the age category of each juvenile flamingo observed, the age of their nearest neighbour and their position within the flock, and the location within an enclosure zone at different times of the day. The results showed that Greater Flamingo juveniles mainly associated with individuals of their own age and were most likely positioned at the periphery of their flock significantly more of the time until approximately 24 months of age. Sub-adult Greater Flamingos spent significantly more time associating with adult flamingos at the centre of the flock. In contrast, data collected on Caribbean Flamingos indicated that juveniles did not segregate themselves from the adults as distinctively. Birds aged 13-24 months were observed significantly more at the centre of the flock and had more associations with adult flamingos, in a similar manner to that observed in Greater Flamingos. Due to population management needs, juvenile Caribbean Flamingos were removed from the flock at the start of 2015 and this may have influenced the association and location preferences of the remaining young flamingos. In conclusion, these results indicated that captive juvenile flamingos were often seen away from adult birds and that sub-adult flamingos returned to the heart of their natal flock to associate significantly more with other adult individuals, potentially preparing for mate selection and breeding. Captive enclosure should therefore be spacious enough to enable young flamingos to remove themselves from adult birds so that behavioural development can be unaffected by artificially high rates of aggression.</t>
  </si>
  <si>
    <t>10.3390/ani13162623</t>
  </si>
  <si>
    <t>WOS:001055601600001</t>
  </si>
  <si>
    <t>Mondaca, J</t>
  </si>
  <si>
    <t>Mondaca, Jose</t>
  </si>
  <si>
    <t>A checklist of the Scarabaeoidea (Coleoptera) of Chile with exemplar live- photographed</t>
  </si>
  <si>
    <t>An updated list of the Scarabaeoidea (Coleoptera) species registered in Chile is given, which includes current names, synonyms, and photographs of live specimens of 88 species. The photographs cover 35% of the species present in the country, with all families represented except for Glaresidae and Ochodaeidae. For each species, the geographical distribution is presented from north to south by administrative regions of the country. For species shared with neighboring countries, the distribution by provinces or departments is indicated, while for those that have a worldwide distribution, the countries, or regions where they have been reported are cited. This list includes species whose presence in continental and insular Chile has been verified and confirmed by studying specimens from collections, excluding all records considered erroneous. The systematic ordering is carried out at the family, subfamily, and tribe level following the current classification of the group; genera and species are presented in alphabetical order. Paranimbus peruanus (Erichson) (Aphodiinae) is recorded for the first time in Chile based on specimens collected in the locality of Visviri (Arica and Parinacota Region). The known distribution is extended for the following species: Allidiostoma landbecki (Philippi), A. simplicifrons (Fairmaire), Archophileurus chaconus Kolbe, Brachysternus germaini (Ohaus), Chiasognathus beneshi Lacroix, Cyclocephala modesta Burmeister, Frickius costulatus Germain, Martinezostes posticus (Germar), Martinezostes ruizi Gutierrez, Megathopa villosa Eschscholtz, Oogenius chilensis Ohaus, O. kuscheli Gutierrez, Oryctomorphus maculicollis Guerin-Meneville, Paranimbus zoai Dellacasa, Paranomala undulata peruviana (Guerin-Meneville), Phytholaema fenestra Smith &amp; Mondaca, Tesserodoniella meridionalis Vaz-de-Mello &amp; Halffter, Macrodactylus farinosus Philippi, and Ulata argentina Saylor. Considering the great morphological variability and differences in the color pattern of the integument, Chiasognathus grantii holometallicus Rataj, 2012 and Chiasognathus megalodon Rataj, 2013 are considered new synonyms of Chiasognathus grantii Stephens, 1831. The study of the syntype of Copris punctatissima Curtis, 1844 confirms that this species belongs to the genus Homocopris Burmeister, 1846 and that is not conspecific with H. torulosus (Eschscholtz, 1822), therefore, the combination Homocopris punctatissimus (Curtis, 1844) new combination is established. The study of the syntype of Copris valdiviana Philippi, 1859 confirms that this species is a synonymy of Homocopris torulosus and not of H. puntatissimus. The morphological study of specimens of the genus Germarostes Paulian, 1982 and the comparison with Chilean specimens of Germarostes posticus (Germar, 1843), confirms that this last species really belongs to the genus Martinezostes Paulian, 1982, therefore, the combination Martinezostes posticus (Curtis, 1843) new combination is established. Based on the inconsistencies that exist with the current definition of the subfamily Melolonthinae, and on the results of a previous phylogenetic analysis, Lichniini is elevated to the category of subfamily, placing Lichniinae new status very close to Aclopinae. There are 79 genera, 251 species and 10 subspecies of Scarabaeoidea in Chile, belonging to the families Geotrupidae (three genera, 10 species), Glaresidae (one genus, one species), Hybosoridae (one genus, six species), Trogidae (one genus, 11 species), Lucanidae (nine genera, 31 species, nine subspecies), Ochodaeidae (one genus, one species), and Scarabaeidae (63 genera, 191 species, one subspecies). In addition, Onthophagus pilauco Tello, Verdu, Rossini, &amp; Zunino, 2021, the first fossil scarab from Chile, is included. Approximately 58% of the listed species are endemic to the country, 39% are native to South America and 3% correspond to introduced species with a wide global distribution.</t>
  </si>
  <si>
    <t>Mondaca, José/HHM-3924-2022; Mondaca, José Gerardo/GRJ-9860-2022</t>
  </si>
  <si>
    <t>Mondaca, José Gerardo/0000-0002-6398-476X; Mondaca, Jose/0000-0003-0478-3877</t>
  </si>
  <si>
    <t>MAY 16</t>
  </si>
  <si>
    <t>10.11646/zootaxa.5285.2.1</t>
  </si>
  <si>
    <t>WOS:000996486900001</t>
  </si>
  <si>
    <t>Arnedo, MT; Salvador, A; Martinez-Sanchis, S; Gonzalez-Bono, E</t>
  </si>
  <si>
    <t>Rewarding properties of testosterone in intact male mice: A pilot study</t>
  </si>
  <si>
    <t>The present study examined the rewarding properties of 4-androsten-17 beta-ol-3-one testosterone in intact male mice using the conditioned place preference (CPP) technique. In Experiment 1, the pharmacokinetics of 0.8 and 1.2 mg/kg of testosterone were studied to determine the most appropriate temporal interval to test behavior. Additionally, the locomotor activity was recorded to control a possible interfering effect on CPP. The maximum testosterone concentration was registered at 45 min of administration, and no effects on activity were found. In Experiment 2, three groups of male OF-1 mice received four pairings of the least-preferred compartment with testosterone (0.8, 1, or 1.2 mg/kg, SC) for 30 min. On alternate days the preferred compartment was paired with vehicle for 30 min. The control group received vehicle in both compartments. No significant differences between groups were found in the time spent in the drug-paired compartment. However, when separate analyses were performed in conjunction with the color of the drug-paired compartment, CPP was observed only in animals pairing testosterone/black compartment. These results suggest that rewarding properties of testosterone treatment can be observed in male mice; these effects probably being dependent on the environmental cues used as conditioned stimuli. (C) 2000 Elsevier Science Inc.</t>
  </si>
  <si>
    <t>Salvador, Alicia/B-6045-2011; GONZALEZ-BONO, ESPERANZA/K-2953-2012; GONZALEZ-BONO, ESPERANZA/C-5985-2011</t>
  </si>
  <si>
    <t>Arnedo Pozuelo, Maria Teresa/0000-0002-7582-160X; Salvador, Alicia/0000-0002-8686-8083; GONZALEZ-BONO, ESPERANZA/0000-0001-8835-4505</t>
  </si>
  <si>
    <t>10.1016/S0091-3057(99)00189-6</t>
  </si>
  <si>
    <t>WOS:000084842500018</t>
  </si>
  <si>
    <t>Vasdal, G; Kittelsen, KE; Tahamtani, F</t>
  </si>
  <si>
    <t>Vasdal, G.; Kittelsen, K. E.; Tahamtani, F.</t>
  </si>
  <si>
    <t>Effect of light sources with and without UVA on selected behavior and health indicators in commercial broiler breeder flocks</t>
  </si>
  <si>
    <t>As new light sources are being developed for poultry houses, systematic investigations on how these influence behavior and health in commercial broiler breeders are needed. Therefore, the aim of this study was to investigate the effects of 2 light sources (Evolys with UVA (LED) and Biolux 965 (CFL)) on the behavior and health of 2 broiler breeder hybrids during the production period. Eight commercial breeder flocks (Ross 308 n = 4, Hubbard JA757 n = 4) with Evolys (Ross n = 2, Hub-bard n = 2) or Biolux (Ross n = 2, Hubbard n = 2) were visited at 25 and 50 wk of age to record behavior and health. Behaviors included resting, locomotion, explora-tion, comfort, feather pecking, aggression, and mating, while health was recorded by a transect walk, scoring the number of birds observed with: feather loss (FL) on head, back/wings, breast, and tail, wounds on head, back/wings, and tail, dirty plumage, lameness, sickness, and dead birds. The most common behaviors were rest-ing, locomotion, comfort, and exploration, and these were influenced by a 3-way interaction between light source, hybrid, and age. Light source did not affect behavior in Hubbard birds at any age. In contrast, Ross birds housed in Evolys rested less at 50 wk compared to Biolux (P = 0.04) and showed more locomotion at 25 wk in Bio-lux compared to Evolys (P &lt; 0.0001). Ross birds at 25 wk explored more in Biolux compared to Evolys (P = 0.0007). More comfort behavior was performed in Evolys in 25-wk-old Ross (P = 0.002), but not at 50 wk. These inconsistencies might be due to low sample size, which is a limitation in the study. The most common health indicators were FL on back/wings (mean 3.9%), wounds on back/wings (mean 0.22%), and FL head (mean 0.18%), with no effect of light source, hybrid, or age on FL back/wings, breast, or tail, but with increased FL on the head with increased age (P = 0.0008). In con-clusion, the behavior of Ross birds seemed to be affected by light source, while the Hubbard birds were not. Light source had minor effects on the selected health indicators in the 2 hybrids.</t>
  </si>
  <si>
    <t>10.1016/j.psj.2023.102927</t>
  </si>
  <si>
    <t>WOS:001046665000001</t>
  </si>
  <si>
    <t>Lahti, DC; Lahti, AR</t>
  </si>
  <si>
    <t>How precise is egg discrimination in weaverbirds?</t>
  </si>
  <si>
    <t>The village weaverbird, Ploceus cucullatus, lays eggs of an extremely broad range of appearance between individuals. This variation is thought to have evolved as a counteradaptation to brood parasitism by the diederik cuckoo Chrysococcyx caprius. The primary objective of our study was to characterize the relationship between egg appearance and egg. rejection in the African village weaverbird. We test predictions of three hypotheses, in a study in. The Gambia, West Africa: (1) interindividual egg variability permits individuals to discriminate between own and foreign eggs by rejecting eggs in proportion to the difference in appearance from their own; (2) village weavers remember the appearance of their own eggs and do not require a discordancy within their clutch, nor even the presence of one of their own eggs, in order to distinguish a foreign egg as such; and (3) colour and speckling contain the signature information by which village weavers can distinguish their eggs from foreign ones; whereas shape and mass, being less reliable, do not. We analysed rejection behaviour according to egg appearance differences by logistic regression. Results supported all three hypotheses. We estimated the predictive efficacy of our model, the amount of explained variation and the relative contribution of various egg appearance factors to discrimination by the host. These results are consistent with the hypothesis that. interindividual egg variation in this species facilitates offspring recognition and is a counteradaptation to either interspecific or intraspecific brood parasitism. (C) 2002 The. Association. for the Study of Animal Behaviour. Published by Elsevier Science Ltd. All rights reserved.</t>
  </si>
  <si>
    <t>10.1006/anbe.2002.3009</t>
  </si>
  <si>
    <t>WOS:000177715700012</t>
  </si>
  <si>
    <t>COOPER, WE</t>
  </si>
  <si>
    <t>EFFECTS OF ESTROGEN AND MALE HEAD COLORATION ON CHEMOSENSORY INVESTIGATION OF FEMALE CLOACAL PHEROMONES BY MALE BROAD-HEADED SKINKS (EUMECES LATICEPS)</t>
  </si>
  <si>
    <t>Indirect experimental evidence suggests that pheromone production and responsiveness to pheromones in a lizard, the broad-headed skink (Eumeces laticeps), are regulated by sex steroid hormones. For study of estrogenic effects on female pheromone levels, tongue flicking by males was recorded in response to chemical samples from the female cloaca, the secretion site of the female sex pheromone. Cloacal chemicals from estrogen-treated females elicited higher tongue flick rates by all males than samples from sham-injected females. Male head coloration is bright orange in the breeding season, but fades to tan outside the breeding season. The availability of males having the full range of head coloration due to asynchronous onset of breeding condition in a laboratory population made it possible to examine the relationship between head coloration and responsiveness to female pheromones. Males with brightly colored heads, presumably reflecting higher underlying androgen levels, performed more tongue flicks in response to cloacal chemicals from estrogen-treated females than did males with tan heads. Male head coloration did not affect responsiveness to cloacal chemicals from sham-injected females.</t>
  </si>
  <si>
    <t>10.1016/0031-9384(95)02057-8</t>
  </si>
  <si>
    <t>WOS:A1995TH80700023</t>
  </si>
  <si>
    <t>Schwarzová, L; Fuchs, R; Frynta, D</t>
  </si>
  <si>
    <t>Schwarzova, Lucie; Fuchs, Roman; Frynta, Daniel</t>
  </si>
  <si>
    <t>Delayed plumage maturation correlates with testosterone levels in Black Redstart Phoenicurus ochruros males</t>
  </si>
  <si>
    <t>Black Redstart males usually have female-like (olive-brown) feathers during their first breeding season This subadult coloration contrasts sharply with the grey and black feathers of the adults To examine the proximate mechanisms of this phenomenon, known as delayed plumage maturation, we assessed levels of testosterone in circulating blood of subadult and adult males captured in Prague, Czech Republic Analysis of 23 blood samples (performed by radioimmunoassay) collected during the molt, i.e, at the time of plumage development, revealed significantly higher testosterone levels in males molting to the adult color than in those molting to the subadult one This may suggest a certain role played by testosterone in the regulation of delayed plumage maturation However, there were no marked differences between males of different coloration and/or age during the breeding season Analysis of 46 blood samples collected outside the molting period confirmed the seasonal testosterone pattern (spring peak and winter minimum) typical of most temperate passerines.</t>
  </si>
  <si>
    <t>Fuchs, Roman/AFT-2379-2022; Schwarzova, Lucie/B-4635-2017; Frynta, Daniel/L-7350-2016</t>
  </si>
  <si>
    <t>Fuchs, Roman/0000-0001-6511-3207; Schwarzova, Lucie/0000-0001-5773-859X; Frynta, Daniel/0000-0002-1375-7972</t>
  </si>
  <si>
    <t>10.3161/000164510X516146</t>
  </si>
  <si>
    <t>WOS:000280387600010</t>
  </si>
  <si>
    <t>Mulvihill, RS; Cunkelman, A; Quattrini, L; O'Connell, TJ; Masters, TL</t>
  </si>
  <si>
    <t>Opportunistic polygyny in the Louisiana Waterthrush</t>
  </si>
  <si>
    <t>We monitored the nesting biology of color-banded populations of the Louisiana Waterthrush (Seiurus motacilla) at up to 25 sites across Pennsylvania from 1996-2001. Opportunistic polygyny in this species was documented for the first time during our study. Four out of 283 paired males were polygynous; one male and female were involved in a polygynous trio during two successive years. Opportunistic polygyny may have occurred primarily as a result of female territory fidelity and a locally skewed sex ratio in two cases, but appeared to be actively pursued as a mating strategy in the case of the male who was bigamous during two successive years. His aggressive territorial behavior was consistent with that reported for polygynous birds having naturally and experimentally elevated plasma levels of testosterone. The rate of nestling provisioning by this male at a failed secondary nest was substantially lower compared to his successful primary nest and compared to mean provisioning rates for monogamous males. In addition to reduced male parental care, protraction of the renesting interval following nest failure was another possible component cost of polygyny observed for one of the mates of this male. In this instance, both costs were borne by the first mated female, who was relegated to secondary status after her initial nest was depredated.</t>
  </si>
  <si>
    <t>O'Connell, Timothy/N-3851-2019</t>
  </si>
  <si>
    <t>O'Connell, Timothy/0000-0001-8215-2670</t>
  </si>
  <si>
    <t>10.1676/0043-5643(2002)114[0106:OPITLW]2.0.CO;2</t>
  </si>
  <si>
    <t>WOS:000178580800010</t>
  </si>
  <si>
    <t>OTTAWAY, JR; CARRICK, R; MURRAY, MD</t>
  </si>
  <si>
    <t>REPRODUCTIVE ECOLOGY OF SILVER GULLS, LARUS-NOVAEHOLLANDIAE STEPHENS, IN SOUTH-AUSTRALIA</t>
  </si>
  <si>
    <t>AUSTRALIAN WILDLIFE RESEARCH</t>
  </si>
  <si>
    <t>Aspects of the reproductive ecology of silver gulls, Larus novaehollandiae Stephens, were studied in South Australia during 1968-78. Some 15950 pulli and 597 breeding adults were banded on 15 colonies, using numbered and coloured leg bands designed for identification of free-living individuals without the necessity of recapture. Nine colonies were on marine islands, four were on lacustrine islands, one was on a port breakwater, and one was on causeways in a saltworks complex. Fidelity to colony, mate and nest-site, and timing of breeding are considered in detail. The spatial relationship of adult and immature gulls, on the colony studied in greatest detail, and reproductive longevity of the gulls are also discussed. The gulls nested from June to December inclusive, although the commencement and length of breeding seasons varied between colonies and between years. There was a marked absence of 1-year-old gulls on breeding colonies. Of 3550 pulli banded on the major study colony, Penguin Island (37.degree.30''S., 140.degree.01''E.) at Beachport, in 1968, 950 were known to be alive in the 1970 breeding season. Almost 40% of these 2-year-olds were seen on breeding colonies, and mostly on the natal colony; however, only 0.3% were known to raise pulli, and a further 0.7% to produce eggs. Significant breeding activity therefore did not commence until the end of the third year, or later. The older, previously established breeders on Penguin Island were significantly more successful, and had significantly earlier laying dates, than younger birds. Potential reproductive longevity appears to be at least 11 breeding seasons. In this study, silver gulls showed considerably less fidelity to nest-sites and colonies than has been suggested previously. Significant shifts of nest-site, or change of colony, with or without the previous mate, were not uncommon. Of gulls banded on nests as established breeding adults, 7-44% of gulls found breeding in subsequent years were at colonies other than the one where banded. In 1970, over 80% of 2-year-old gulls recorded present on any colony were only recorded on the natal one. Of the pulli banded on Penguin Island in 1968 and 1969 and later found actually nesting or breeding, 18% were recorded on other colonies. A small percentage of gulls were seen to have high fidelity to nest-site and to mate over 3 or 4 seasons, but it is suggested that, for some colonies, over 50% of silver gulls which eventually breed may do at colonies other than natal. Significant spatial separation was found on Penguin Island between areas generally occupied by established breeders, which were known to be at least 4-year-olds, and by the 2-year-olds. The older birds may select and hold the territories most suitable for nesting, where vegetation or topography minimise intraspecific aggression which often leads to high mortality rates of eggs and pulli, and assist protection and eggs and pulli from extreme weather. Non-breeding gulls associating with the colonies occasionally move into the nesting areas, but are aggressively forced away and tend to congregate on the periphery of the colony or on exposed areas not suitable for successful breeding.</t>
  </si>
  <si>
    <t>0310-7833</t>
  </si>
  <si>
    <t>WOS:A1988U589900008</t>
  </si>
  <si>
    <t>Seifert, B</t>
  </si>
  <si>
    <t>Seifert, Bernhard</t>
  </si>
  <si>
    <t>Analyzing large-scale and intranidal phenotype distributions in eusocial Hymenoptera - a taxonomic tool to distinguish intraspecific dimorphism from heterospecificity</t>
  </si>
  <si>
    <t>MYRMECOLOGICAL NEWS</t>
  </si>
  <si>
    <t>Ant and termite nests are long-term stable, semi-closed systems constantly producing conspecific worker populations of related individuals over many generations. Accordingly, nests of these eusocial insects, as they are found in nature, offer free of cost an analysis situation that has to be generated in other groups of organisms by controlled rearing experiments. A test system based on analyzing intranidal and large-scale phenotype distributions and comparing the observed distributions with predictions for different scenarios of heterospecificity and intraspecific dimorphism is introduced by a case study on ants. The test system, named DIMORPH test, allows a taxonomist to distinguish if discrete character syndromes represent separate species or an intraspecific phenomenon. One of the most important parameters within the test system is the abundance and distribution of phenotypically mixed nest populations. Five biological explanations are possible for ant nests with a mixture of discrete phenotypes: They may represent (1) genetically determined intraspecific morphs, (2) intraspecific modifications induced by environmental factors, (3) the association of a temporary social parasite with a host species, (4) the association of a permanent social parasite with a host species, and (5) a parabiotic association of two basically independent (self-sustaining) species. The paper explains the biological background of the scenarios (1) to (5) and presents mathematical models and generalizations from empirical data to predict phenotype distributions for each scenario under variable conditions. Four cases of intraspecific dimorphism and five cases of taxonomically recognized pairs of cryptic or similar species are presented and analyzed. The observed intranidal phenotype distribution was most similar to the predicted scenario of intraspecific dimorphism in Camponotus lateralis (OLIVIER, 1792), Lasius umbratus (NYLANDER, 1846), Formica lugubris ZETTERSTEDT, 1838, and Cardiocondyla elegans EMERY, 1869. In three of these examples, intraspecific morphs had been considered previously as different species. Heterospecificity was confirmed for four pairs of cryptic species and one pair of closely related species: Formica pressilabris NYLANDER, 1846 vs. F. foreli BONDROIT, 1918, Temnothorax crassispinus (KARAVAJEV, 1926) vs. T. crasecundus SEIFERT &amp; CSOSZ, 2015, Temnothorax luteus (FOREL, 1874) vs. T. racovitzai (BONDROIT, 1918), two cryptic species of the Pheidole pallidula (NYLANDER, 1849) complex, and Myrmica vandeli BONDROIT, 1920 vs. M. scabrinodis NYLANDER, 1846. The phenotype-based DIMORPH test can be applied to the large worldwide collections of mounted museum material or private collections of ants independent from age or DNA degradation and can thus operate in fields where genetic investigation faces analytical and logistic problems and where controlled rearing experiments are not possible. The system can be adapted, with some modification, to other groups of eusocial organisms.</t>
  </si>
  <si>
    <t>1994-4136</t>
  </si>
  <si>
    <t>WOS:000383924400005</t>
  </si>
  <si>
    <t>Cigognini, R; Gallesi, MM; Mobili, S; Hardersen, S; Sacchi, R</t>
  </si>
  <si>
    <t>Cigognini, Romeo; Gallesi, Marco Matteo; Mobili, Sara; Hardersen, Sonke; Sacchi, Roberto</t>
  </si>
  <si>
    <t>Does character displacement demonstrate density-dependent expression in females? A test on the wing shape of two species of European damselflies</t>
  </si>
  <si>
    <t>Character displacement (CD) is the evolutionary process which leads to the divergence in trait expression of closely related species in regions where species co-occur, compared to allopatric populations. In Europe CD has been investigated in males of Calopteryx splendens and C. virgo and has been related to species recognition. If species recognition is relevant for males, also females should benefit from CD. The most obvious differences between females of these two species are wing profile and colour. We sampled females from allopatric and from sympatric populations with different relative abundances of these species. Wing shape and pigmentation were evaluated for each damselfly. CD was found in wing profile but not in wing transparency. The relative abundance of species significantly affected CD, but with a different pattern in each species. The prediction that wing shape become more different from the allopatric state when the species was relatively rare, but more similar to the allopatric state when the species was common was evident only for C. splendens. Wing shape changes might increase differences in flying patterns making males more effective to discriminate between heterospecific females. So, CD we observed may be the result of a selection directed to reduce interspecific reproductive interference.</t>
  </si>
  <si>
    <t>SACCHI, ROBERTO/E-2141-2011</t>
  </si>
  <si>
    <t>SACCHI, ROBERTO/0000-0002-6199-0074; Hardersen, Sonke/0000-0001-5471-3880; Gallesi, Marco Matteo/0000-0002-2193-3155</t>
  </si>
  <si>
    <t>10.1007/s10682-014-9711-1</t>
  </si>
  <si>
    <t>WOS:000340496000009</t>
  </si>
  <si>
    <t>Schultz, JK; Switzer, PV</t>
  </si>
  <si>
    <t>Pursuit of heterospecific targets by territorial amberwing dragonflies (Perithemis tenera say):: A case of mistaken identity</t>
  </si>
  <si>
    <t>Although they are defending mating territories, territory residents of a wide variety of insect species have been observed to pursue heterospecifics in addition to the conspecifics that intrude on their territories. One species that has such heterospecific pursuits is the Eastern amberwing dragonfly (Perithemis tenera Say) (Anisoptera: Libellulidae). In this study, we tested five alternative hypotheses for the function of heterospecific pursuits in amberwings: competition for resources, prevention of interference while mating, predator deterrence, foraging, and mistaken identity. Resident males pursued both male and female conspecifics, as well as a species of horse fly (Tabanus spp.) and butterfly (Ancyloxypha numitor). Other intruding odonates including Epitheca princeps, Erythemis simplicicollis, Libellula luctuosa, Pachydiplax longipennis, and Plathemis lydia, were relatively, ignored. Because the horse fly and butterfly were similar to amberwings in body size, color, and flight height, and because they are not predators or prey of amberwings we concluded that the pursuit of these heterospecifics was due to mistaken identity. The characteristics of the horsefly and butterfly likely correspond to the cues that the male amberwings use to identify conspecifics, and the relative rarity of intrusions by these two species (as well as by female amberwings) probably made it more costly to discriminate and pursue only conspecifics than to make some mistaken pursuits.</t>
  </si>
  <si>
    <t>10.1023/A:1012223217250</t>
  </si>
  <si>
    <t>WOS:000172302200004</t>
  </si>
  <si>
    <t>Dingemanse, NJ; de Goede, P</t>
  </si>
  <si>
    <t>The relation between dominance and exploratory behavior is context-dependent in wild great tits</t>
  </si>
  <si>
    <t>Individual differences in personality affect behavior in novel or challenging situations. Personality traits may be subject to selection because they affect the ability to dominate others. We investigated whether dominance rank at feeding tables in winter correlated with a heritable personality trait (as measured by exploratory behavior in a novel environment) in a natural population of great tits, Parus major. We provided clumped resources at feeding tables and calculated linear dominance hierarchies on the basis of observations between dyads of color-ringed individuals, and we used an experimental procedure to measure individual exploratory behavior of these birds. We show that fast-exploring territorial males had higher dominance ranks than did slow-exploring territorial males in two out of three samples, and that dominance related negatively to the distance between the site of observation and the territory. In contrast, fast-exploring nonterritorial juveniles had lower dominance ranks than did slow-exploring nonterritorial juveniles, implying that the relation between dominance and personality is context-dependent in the wild. We discuss how these patterns in dominance can explain earlier reported effects of avian personality on natal dispersal and fitness.</t>
  </si>
  <si>
    <t>Dingemanse, Niels/ABE-6880-2020</t>
  </si>
  <si>
    <t>Dingemanse, Niels/0000-0003-3320-0861</t>
  </si>
  <si>
    <t>10.1093/beheco/arh115</t>
  </si>
  <si>
    <t>WOS:000224482000019</t>
  </si>
  <si>
    <t>Lyon, BE</t>
  </si>
  <si>
    <t>Spatial patterns of shiny cowbird brood parasitism on chestnut-capped blackbirds</t>
  </si>
  <si>
    <t>Shiny cowbirds, Molothrus bonariensis, parasitized a high frequency (average 48%) of nests in five colonies of chestnut-capped blackbirds, Agelaius ruficapillus, in Argentina. Two distinct egg morphs occurred, spotted and immaculate white eggs, as well as a few very lightly spotted intermediate eggs. The clear differences between morphs, combined with considerable-variation in spotting pattern between spotted morph eggs, made it possible to visually match eggs into groups that were probably laid by single females. Eggs attributed to a single female were more similar in size and shape than eggs attributed to different females. Using egg dimensions and colour patterns to infer spatial patterns of laying by individual females indicated that: (1) individual brood parasites often-laid several eggs in the same colony, (2) females also laid eggs in more than one colony, and (3) several females laid eggs in each colony, and often in the same host nests, ruling out the notion that parasites defend exclusive territories with respect to host nests. Multiple cowbird eggs per host nest invariable resulted from several females laying in the same host nest: egg morphs and visual comparisons of spotting patterns at 14 nests indicated that individual females never laid more than a single egg in the same host nest. Experimental parasitism of nests with spotted and white morph eggs, combined with observations of naturally parasitized nests, demonstrated that chestnut-capped blackbirds accept all morphs of cowbird eggs. Since other important host species reject white eggs, however, the adaptive maintenance of the white morph is difficult to explain. (C) 1997 The Association for the Study of Animal Behaviour.</t>
  </si>
  <si>
    <t>10.1006/anbe.1997.0476</t>
  </si>
  <si>
    <t>WOS:A1997YE30600016</t>
  </si>
  <si>
    <t>Brown, JL; Twomey, E; Amézquita, A; De Souza, MB; Caldwell, JP; Lötters, S; Von May, R; Melo-Sampaio, PR; Mejía-Vargas, D; Perez-Peña, P; Pepper, M; Poelman, EH; Sanchez-Rodriguez, M; Summers, K</t>
  </si>
  <si>
    <t>Brown, Jason L.; Twomey, Evan; Amezquita, Adolfo; De Souza, Moises Barbosa; Caldwell, Janalee P.; Loetters, Stefan; Von May, Rudolf; Melo-Sampaio, Paulo Roberto; Mejia-Vargas, Daniel; Perez-Pena, Pedro; Pepper, Mark; Poelman, Erik H.; Sanchez-Rodriguez, Manuel; Summers, Kyle</t>
  </si>
  <si>
    <t>A taxonomic revision of the Neotropical poison frog genus Ranitomeya (Amphibia: Dendrobatidae)</t>
  </si>
  <si>
    <t>The Neotropical poison frog genus Ranitomeya is revised, resulting in one new genus, one new species, five synonymies and one species classified as nomen dubium. We present an expanded molecular phylogeny that contains 235 terminals, 104 of which are new to this study. Notable additions to this phylogeny include seven of the 12 species in the minuta group, 15 Ranitomeya amazonica, 20 R. lamasi, two R. sirensis, 30 R. ventrimaculata and seven R. uakarii. Previous researchers have long recognized two distinct, reciprocally monophyletic species groups contained within Ranitomeya, sensu Grant et al. 2006: the ventrimaculata group, which is distributed throughout much of the Amazon, and the minuta group of the northern Andes and Central America. We restrict Ranitomeya to the former group and erect a new genus, Andinobates Twomey, Brown, Amezquita &amp; Mejia-Vargas gen. nov., for members of the minuta group. Other major taxonomic results of the current revision include the following: (i) A new species, Ranitomeya toraro Brown, Caldwell, Twomey, Melo-Sampaio &amp; Souza sp. nov., is described from western Brazil. This species has long been referred to as R. ventrimaculata but new morphological and phylogenetic data place it sister to R. defleri. (ii) Examination of the holotype of R. ventrimaculata revealed that this specimen is in fact a member of what is currently referred to as R. duellmani, therefore, Dendrobates duellmani Schulte 1999 is considered herein a junior synonym of D. ventrimaculatus Shreve 1935 (= R. ventrimaculata). (iii) For the frogs that were being called R. ventrimaculata prior to this revision, the oldest available and therefore applicable name is R. variabilis. Whereas previous definitions of R. variabilis were restricted to spotted highland frogs near Tarapoto, Peru, our data suggest that this color morph is conspecific with lowland striped counterparts. Therefore, the definition of R. variabilis is greatly expanded to include most frogs which were (prior to this revision) referred to as R. ventrimaculata. (iv) Phylogenetic and bioacoustic evidence support the retention of R. amazonica as a valid species related to R. variabilis as defined in this paper. Based on phylogenetic data, R. amazonica appears to be distributed throughout much of the lower Amazon, as far east as French Guiana and the Amazon Delta and as far west as Iquitos, Peru. (v) Behavioral and morphological data, as well as phylogenetic data which includes topotypic material of R. sirensis and numerous samples of R. lamasi, suggest that the names sirensis, lamasi and biolat are applicable to a single, widespread species that displays considerable morphological variation throughout its range. The oldest available name for this group is sirensis Aichinger; therefore, we expand the definition of R. sirensis. (vi) Ranitomeya ignea and R. intermedia, elevated to the species status in a previous revision, are placed as junior synonyms of R. reticulata and R. imitator, respectively. (vii) Ranitomeya rubrocephala is designated as nomen dubium. In addition to taxonomic changes, this revision includes the following: (i) Explicit definitions of species groups that are consistent with our proposed taxonomy. (ii) A comprehensive dichotomous key for identification of 'small' aposematic poison frogs of South and Central America. (iii) Detailed distribution maps of all Ranitomeya species, including unpublished localities for most species. In some cases, these records result in substantial range extensions (e. g., R. uakarii, R. fantastica). (iv) Tadpole descriptions for R. amazonica, R. flavovittata, R. imitator, R. toraro sp. nov., R. uakarii and R. variabilis; plus a summary of tadpole morphological data for Andinobates and Ranitomeya species. (v) A summary of call data on most members of Andinobates and Ranitomeya, including call data of several species that have not been published before. (vi) A discussion on the continued impacts of the pet trade on poison frogs (vii) A discussion on several cases of potential Mullerian mimicry within the genus Ranitomeya. We also give opinions regarding the current debate on recent taxonomic changes and the use of the name Ranitomeya.</t>
  </si>
  <si>
    <t>Melo-Sampaio, Paulo Roberto/T-5269-2019; Melo-Sampaio, Paulo Roberto/GXF-0434-2022; Melo-Sampaio, Paulo Roberto/J-6390-2013</t>
  </si>
  <si>
    <t>Melo-Sampaio, Paulo Roberto/0000-0003-1858-1643; Poelman, Erik/0000-0003-3285-613X</t>
  </si>
  <si>
    <t>WOS:000296876100001</t>
  </si>
  <si>
    <t>Hensley, NM; Cook, TC; Lang, M; Petelle, MB; Blumstein, DT</t>
  </si>
  <si>
    <t>Hensley, Nicholai M.; Cook, Taylor C.; Lang, Mason; Petelle, Matthew B.; Blumstein, Daniel T.</t>
  </si>
  <si>
    <t>Personality and habitat segregation in giant sea anemones (Condylactis gigantea)</t>
  </si>
  <si>
    <t>Animal personality is described as consistent differences in individual behavior across time or context, and may vary spatially. Bolder animals are more likely to migrate, grow slowly, or explore than shyer animals. Personality types within a population can also differ between discrete habitats or continuously across an environmental gradient. We examined the distribution of giant sea anemone (Condylactis gigantea) responses to disturbance across a continuous habitat gradient to determine whether anemones' habitat selection is explained by individual variation. On four different occasions we induced individual anemones to retract their tentacles by touching them with a model blue crab (Callinectes sapidus) and recorded the time for their tentacles to relax into their original state. We also recorded several environmental variables associated with each anemone. We found that individual anemones behaved in consistently different ways and that a combination of seagrass measurements and the number of close conspecifics, as well as their tentacle color, significantly explained this variation. This indicates that personality may either influence habitat choice, or that habitats favor certain personalities. Ultimately, personality types are segregated by habitat type, which suggests that such variation could lead to reproductive isolation.. (C) 2012 Elsevier B.V. All rights reserved.</t>
  </si>
  <si>
    <t>Hensley, Nicholai/AAN-1233-2020; Petelle, Matthew/AAF-2698-2019</t>
  </si>
  <si>
    <t>Hensley, Nicholai/0000-0003-0681-0808; Petelle, Matthew/0000-0002-1027-1838; Evans, Taylor/0000-0003-4013-1497; Blumstein, Daniel/0000-0001-5793-9244</t>
  </si>
  <si>
    <t>10.1016/j.jembe.2012.05.011</t>
  </si>
  <si>
    <t>WOS:000306623700001</t>
  </si>
  <si>
    <t>Part, T; Qvarnstrom, A</t>
  </si>
  <si>
    <t>Badge size in collared flycatchers predicts outcome of male competition over territories</t>
  </si>
  <si>
    <t>The evolution of conspicuous coloration is often hypothesized to be driven by sexual selection, where colour traits may function as honest signals of individual abilities in male contest competition and female choice. However, game theory models suggest that colourful badges (i.e. energetically cheap signals) may have no function in sexually selected contests, because the value of the contested resource is too high relative to the costs of fighting. We investigated this assertion by experimentally staging male contests over nest sites (a crucial resource for attracting females) in old (greater than or equal to 2 years) male collared flycatchers, Ficedula albicollis. Males with a relatively large white forehead patch (i.e. a condition-dependent plumage trait displayed in male contests) enjoyed a competitive advantage in disputes over experimentally vacated territories. No other measured morphological variable predicted the outcome of such a dispute. Furthermore, the winners of the disputes acquired a female more quickly than did the losers. Thus, our results suggest that the white forehead patch of male collared flycatchers may function as a badge of status that is also used in sexually selected contests over resources. We suggest that this is because the value of the contested territory may be relatively low compared with the cost of fighting when alternative vacant sites exist in the neighbourhood. (C) 1997 The Association for the Study of Animal Behaviour.</t>
  </si>
  <si>
    <t>Qvarnstrom, Anna/0000-0002-1178-4053; Part, Tomas/0000-0001-7388-6672</t>
  </si>
  <si>
    <t>10.1006/anbe.1997.0514</t>
  </si>
  <si>
    <t>WOS:A1997YE30600013</t>
  </si>
  <si>
    <t>Neri, P</t>
  </si>
  <si>
    <t>Neri, Peter</t>
  </si>
  <si>
    <t>Complex visual analysis of ecologically relevant signals in Siamese fighting fish</t>
  </si>
  <si>
    <t>We currently have limited knowledge about complex visual representations in teleosts. For the specific case of Siamese fighting fish (Betta splendens), we do not know whether they can represent much more than mere colour or size. In this study, we assess their visual capabilities using increasingly complex stimulus manipulations akin to those adopted in human psychophysical studies of higher-level perceptual processes, such as face recognition. Our findings demonstrate a surprisingly sophisticated degree of perceptual representation. Consistent with previous work in established teleost models like zebrafish (Danio rerio), we find that fighting fish can integrate different features (e.g. shape and motion) for visually guided behaviour; this integration process, however, operates in a more holistic fashion in the fighting fish. More specifically, their analysis of complex spatiotemporal patterns is primarily global rather than local, meaning that individual stimulus elements must cohere into an organized percept for effective behavioural drive. The configural nature of this perceptual process is reminiscent of how mammals represent socially relevant signals, notwithstanding the lack of cortical structures that are widely recognized to play a critical role in higher cognitive processes. Our results indicate that mammalian-centric accounts of social cognition present serious conceptual limitations, and in so doing they highlight the importance of understanding complex perceptual function from a general ethological perspective.</t>
  </si>
  <si>
    <t>Neri, Peter/G-1066-2012</t>
  </si>
  <si>
    <t>Neri, Peter/0000-0003-1981-5309</t>
  </si>
  <si>
    <t>10.1007/s10071-019-01313-x</t>
  </si>
  <si>
    <t>WOS:000488937600001</t>
  </si>
  <si>
    <t>Rémy, A; Grégoire, A; Perret, P; Doutrelant, C</t>
  </si>
  <si>
    <t>Remy, Alice; Gregoire, Arnaud; Perret, Philippe; Doutrelant, Claire</t>
  </si>
  <si>
    <t>Mediating male-male interactions: the role of the UV blue crest coloration in blue tits</t>
  </si>
  <si>
    <t>Badges of status, usually color patches, are hypothesized to serve as important signals within natural populations by communicating an individual's fighting ability or aggressiveness before an interaction ever takes place. These signals, which may evolve via sexual and/or social selection, mediate intra-specific competition by influencing the outcome or escalation of contests between individuals. The last 10 years saw the rise of interest in the role of ultraviolet (UV)-based coloration in intra-sexual communication. However, the rare experimental studies that tested this hypothesis found opposite results, which may originate from the different methodological procedures used to assess the badge of status theory. We present here the results of an experiment testing whether male blue tits (Cyanistes caeruleus) respond differently to unfamiliar conspecifics presenting contrasted UV crest coloration. In an aviary, we simultaneously presented two caged blue tits with enhanced (UV+) or reduced (UV-) crest coloration to a focal bird. We found that focal males acted more aggressively towards the UV- males than UV+ males. In addition, focal males fed more often close to males that were similar in brightness or duller than themselves. We conclude that, in blue tits, UV blue crest coloration affects both social and aggressive responses towards unfamiliar individuals, and thus it has some properties of a badge of status.</t>
  </si>
  <si>
    <t>GREGOIRE, Arnaud/B-6321-2008</t>
  </si>
  <si>
    <t>GREGOIRE, Arnaud/0000-0001-6103-355X; Doutrelant, Claire/0000-0003-1893-3960</t>
  </si>
  <si>
    <t>10.1007/s00265-010-0995-z</t>
  </si>
  <si>
    <t>WOS:000282823800011</t>
  </si>
  <si>
    <t>VASSALLO, AI</t>
  </si>
  <si>
    <t>HABITAT SHIFT AFTER EXPERIMENTAL REMOVAL OF THE BIGGER SPECIES IN SYMPATRIC CTENOMYS TALARUM AND CTENOMYS AUSTRALIS (RODENTIA, OCTODONTIDAE)</t>
  </si>
  <si>
    <t>A removal trapping experiment was conducted in the field to investigate if microhabitat choice and population characteristics of Ctenomys talarum are affected by the bigger, dominant Ctenomys australis, in a zone where these subterranean rodent species are geographically sympatric. As reported previously by other authors, the species were distributed in a habitat segregation pattern which characterized the initial state, prior to C. australis removal. I detected a significant habitat shift-that is, changes in microhabitat choice by C. talarum individuals- in response to C. australis removal. However, it is remarkable that this only occurred after one year of continuous removal of C. australis, and was restricted to a very small expansion by C. talarum into the fringe of the area previously occupied by the dominant species. In addition, a slight increase of the C. talarum population density took place which was possibly due to the absence of the other species. It is suggested that the microhabitat typical of C. australis (with deeper, more friable soil and less vegetation) could be suboptimal and thus unpreferred for C. talarum. If the pre-experimental C. talarum population was satiated to its carrying capacity, it is possible that the small number of C. talarum individuals-mostly subadults-had invaded areas previously occupied by C. australis because they had no other choice than a suboptimal habitat. No substantial changes were detected in other population characteristics (sex ratio, age structure, distance between individuals) which were very similar to that in a control area. Interspecific interactions and displacement by the bigger C. australis could be significant but nonetheless marginal in sustaining the pattern of microhabitat segregation between the species. Difference in habitat preference, linked with species differences in body size and colour, are probably of much greater importance.</t>
  </si>
  <si>
    <t>10.1163/156853993X00047</t>
  </si>
  <si>
    <t>WOS:A1993NH18400004</t>
  </si>
  <si>
    <t>Stein, AC; Uy, JAC</t>
  </si>
  <si>
    <t>Stein, Adam C.; Uy, J. Albert C.</t>
  </si>
  <si>
    <t>Unidirectional introgression of a sexually selected trait across an avian hybrid zone: A role for female choice?</t>
  </si>
  <si>
    <t>Hybridization can be an evolutionary creative force by forming new polyploid species, creating novel genetic variation or acting as conduits of potentially advantageous traits between hybridizing forms. Evidence for the latter is often difficult to find because alleles under positive selection can spread rapidly across a hybrid zone and sweep to fixation. In Western Panama, an avian hybrid zone between two species of manakins in the genus Manacus exists where the unidirectional introgression of bright, yellow plumage into a white population provides evidence for the importance of hybrid zones as conduits of advantageous traits. Several lines of indirect evidence suggest that sexual selection favoring yellow plumage drives this asymmetrical spread, but more direct evidence is lacking. Along the edge of the hybrid zone, both yellow- and white-collared manakins are found in the same mating arenas or leks and compete for the same females (mixed leks), providing us with a unique opportunity to understand the dynamics of yellow plumage introgression. We studied these mixed leks to determine whether yellow males have a mating advantage over white males and, if so, whether the mating advantage is driven by male-male interactions, female choice, or both. We found that yellow males mated more than white males, suggesting that sexual selection favoring yellow males can, indeed, explain the spread of yellow plumage. However, we found that this advantage occurred only in mixed leks where the frequency of yellow males is greater than white males. This suggests that the advantage of yellow males may depend on the presence of other yellow males, which may slow the rate of introgression in leks where yellow frequency is low such as in areas where yellow males are beginning to colonize the white population. This, along with the geographic barrier posed by major rivers in the hybrid zone, may initially limit or slow the spread of yellow plumage. Finally, we found that yellow and white males were similar in aggression and body size, and held comparable positions within leks. Because these traits or factors are often important in or dictated by aggressive male-male interactions, these comparisons indicate that male-male interaction is not the primary mechanism for the spread of yellow plumage. However, white and yellow males received similar numbers of courtship visits from females but differed in the number of matings, suggesting that females actively rejected white in favor of yellow males. Our results indicate that sexual selection by female choice has driven the unidirectional introgression of yellow plumage into the white population, providing a mechanism for how hybrid zones act as conduits of novel and advantageous traits.</t>
  </si>
  <si>
    <t>10.1111/j.0014-3820.2006.tb01226.x</t>
  </si>
  <si>
    <t>WOS:000239682300015</t>
  </si>
  <si>
    <t>Cox, RM; Skelly, SL; Leo, A; John-Alder, HB</t>
  </si>
  <si>
    <t>Testosterone regulates sexually dimorphic coloration in the Eastern Fence Lizard, Sceloporus undulatus</t>
  </si>
  <si>
    <t>Adult male Eastern Fence Lizards (Sceloporus undulatus) possess blue and black ventral patches that function in sex recognition and intrasexual social signaling, but this ventral coloration is absent or greatly reduced in females and juvenile mates. Adult males also exhibit a relatively uniform, reddish brown dorsal coloration, while females and juvenile males are cryptically colored, with two rows of dark brown or black chevrons; set against a background of gray and brown. In the present report, we show that sexual divergence in ventral coloration is temporally correlated with sexual divergence in plasma testosterone in free-living juvenile males and females, supporting the hypothesis that sexual dichromatism is regulated at least in part by testosterone. We experimentally tested this hypothesis by (1) removing the primary source of circulating testosterone in juvenile males via surgical castration, (2) restoring testosterone in castrated males with tonic-release implants, and (3) implanting intact juvenile females with exogenous testosterone. As predicted by our hypothesis, the development of blue and black ventral coloration in S. undulatus was (1) inhibited by castration in juvenile males, (2) restored by exogenous testosterone following castration in juvenile males, and (3) promoted by exogenous testosterone in juvenile females. The expression of male-specific dorsal coloration was also (1) inhibited by castration and (2) restored by exogenous testosterone following castration in juvenile males. Our results are consistent with established literature supporting the critical role of androgens in the mediation of sexually dimorphic coloration among phrynosomatid lizards.</t>
  </si>
  <si>
    <t>AUG 2</t>
  </si>
  <si>
    <t>WOS:000231035500014</t>
  </si>
  <si>
    <t>Eller, AR; Pobiner, B; Friend, S; Austin, RM; Hofman, CA; Sholts, SB</t>
  </si>
  <si>
    <t>Eller, Andrea R.; Pobiner, Briana; Friend, Sadie; Austin, Rita M.; Hofman, Courtney A.; Sholts, Sabrina B.</t>
  </si>
  <si>
    <t>A chomped chimp: New evidence of tooth marks on an adult chimpanzee (Pan troglodytes verus)</t>
  </si>
  <si>
    <t>Objectives To describe and interpret previously unreported marks on the dry cranium of an adult chimpanzee (Pan troglodytes verus) from Cote d'Ivoire at the Smithsonian's National Museum of Natural History (USNM 450071). Materials and Methods All marks on the cranium were documented and assessed through physical examination of the specimen, photography, micro-computed tomography (micro-CT), and 3D laser scanning. Pits and punctures were measured with digital calipers for comparison with published carnivore tooth mark measurements. Results The cranium shows perimortem or postmortem damage to the temporal, occipital, and maxillary regions that is not recent. Size and color variation in the marks suggest two damage events, possibly involving chewing by different animals, at least one of which was a large-bodied mammal. The 22 tooth pits and punctures (0.89-8.75 mm in maximum length and 0.88-6.63 mm in breadth) overlap in size with those inflicted by wild leopards, the most significant predators of common chimpanzees due to their largely overlapping ecological distributions. Conclusions Based on qualitative and quantitative evidence, we conclude that leopards are the most likely cause of the most prominent marks on the cranium. However, we cannot rule out the additional possibility of other chimpanzees, although there are no published studies of chimpanzee tooth marks for direct comparison. This study is the most extensive documentation to date of a modern adult chimpanzee skull exhibiting tooth marks by a large mammal, thus providing new evidence to help identify and interpret other events of predation and scavenging of large-bodied apes in the modern and fossil records.</t>
  </si>
  <si>
    <t>Hofman, Courtney/0000-0002-6808-3370; Austin, Rita M./0000-0002-9315-517X; Sholts, Sabrina/0000-0003-4168-0578; Pobiner, Briana/0000-0001-5051-9175; Eller, Andrea/0000-0001-8940-7568</t>
  </si>
  <si>
    <t>10.1002/ajpa.24049</t>
  </si>
  <si>
    <t>WOS:000527838500012</t>
  </si>
  <si>
    <t>Veiga, JP; Salvador, A; Martin, J; Lopez, P</t>
  </si>
  <si>
    <t>Testosterone stress does not increase asymmetry of a hormonally mediated sexual ornament in a lizard</t>
  </si>
  <si>
    <t>The theory that fluctuating asymmetry is sensitive to both environmental and genetic stress is gaining acceptance among evolutionary biologists. Most empirical work has focused on ornamental traits on the assumption that they are more susceptible to stress. Integumentary coloration is a common ornament in nature, and frequently has a hormonal basis. Earlier studies in the lizard Psammodromus algirus indicate that testosterone induces the development of head nuptial coloration in large males and, at the same time, produces an increase of the ectoparasite load and higher mortality. Hence, the manipulation of testosterone levels may be a way to increase ornament expression and simultaneously create conditions that may make symmetrical development difficult. This positive covariation between character size and symmetry is opposite to that expected in theory for sexually selected traits, so the predicted elevation of asymmetry due to the treatment cannot be confounded by any intrinsic association between symmetry and character size. We firstly consider the effect that testosterone supplementation has on two variables that reflect the symmetry of bilateral throat nuptial coloration in large P. algirus males. Also, we examine whether ornament symmetry is positively associated with reproductive success, a prediction of theory of sexually selected symmetry. Testosterone treatment did not increase the fluctuating asymmetry of throat coloration. Size asymmetry increased with character size in individuals with a fragmented colour pattern, but changed suddenly to a highly symmetric pattern in individuals with non-fragmented coloration. Mirror asymmetry decreased steadily with character size. These results suggest that the development of coloration on both sides of the throat midline follows a random pattern. Asymmetry did not correlate with variables that estimated reproductive success, suggesting that asymmetry is not affected by physiological stress and that this trait is not a sexually selected signal in P. algirus.</t>
  </si>
  <si>
    <t>Lopez, Pilar/K-6221-2014; Salvador, Alicia/B-6045-2011; Salvador, Alfredo/K-1670-2014; Veiga, José/AAV-1687-2020; martin, jose/B-1073-2014</t>
  </si>
  <si>
    <t>10.1007/s002650050376</t>
  </si>
  <si>
    <t>WOS:A1997XY71100004</t>
  </si>
  <si>
    <t>The presence of substrate as a means of environmental enrichment in intensively reared gilthead seabream Sparus aurata: Growth and behavioral effects</t>
  </si>
  <si>
    <t>Increased structural complexity (e. g. gravel, sand, pebbles, and plants) of fish rearing environment may enhance the cognitive abilities of fish and act as a means of environmental enrichment by improving the biological functioning and welfare of the fish. The rearing environment in intensive aquaculture usually does not contain any environmental modifications. The present study aimed at investigating whether the presence of substrate in tanks of a seawater recirculating system may act as a means of environmental enrichment for gilthead seabream Sparus aurata. Juveniles (68.3 +/- 0.50 g) were reared for 84 days in groups of 18 individuals. In the enriched tanks, a uniform layer of single color glass gravel was used as substrate (Blue, Red-Brown and Green substrate, or BS, RBS and GS, respectively). Control tanks (C) had no gravel on the bottom (glass bottom). Growth performance, physiological status, fillet quality and fish behavior were measured. The BS and RBS fish grew significantly better (final mass, specific growth rate, mass gain, food conversion ratio) and were less aggressive compared to GS and C fish. During the first rearing week more BS and RBS fish swam near the bottom compared to the rest of the period and showed more fish-bottom interactions than the GS and C fish. The BS fish had higher condition factor and better fillet quality (higher amount of eicosapentaenoic acid-EPA + docosahexaenoic acid-DHA) than the other groups. The overall performance of the GS fish was hardly differentiated from C treatment. Present results indicate that the presence of Blue and Red-Brown substrates can be considered as a means of environmental enrichment for gilthead seabream. It is considered encouraging that a rather simple improvement of the fish rearing environment (as the substrate used) may have multiple beneficial aspects for fish and producers. (C) 2012 Elsevier B. V. All rights reserved.</t>
  </si>
  <si>
    <t>DEC 11</t>
  </si>
  <si>
    <t>10.1016/j.aquaculture.2012.10.005</t>
  </si>
  <si>
    <t>WOS:000311215700008</t>
  </si>
  <si>
    <t>Miller, SJ; Dykstra, CR; Hays, JEL; Simon, MM</t>
  </si>
  <si>
    <t>Miller, Sara J.; Dykstra, Cheryl R.; Hays, J. Effrey L.; Simon, Melinda M.</t>
  </si>
  <si>
    <t>PARTIAL INCUBATION AND HATCHING ASYNCHRONY IN THE RED-SHOULDERED HAWK (BUTEO LINEATUS)</t>
  </si>
  <si>
    <t>Like many raptors, Red-shouldered Hawks (Buteo lineatus) exhibit asynchronous hatching, which is thought to be a parental strategy for rearing the maximum number of offspring under conditions of unpredictable prey availability. Current knowledge of incubation patterns and the associated behavioral mechanisms by which as Itronous hatching occurs in raptors is limited, and few detailed quantitative studies are available for ally species of Accipiniformes. We investigated the effects of egg-laying intervals and parental behavioral incubation patterns during egg-laying on hatching asynchrony in the Red-shouldered I latck. We used 24-hr/d digital color/infrared video cameras at 15 Red-shouldered Hawk nests to record egglaying and hatching, and to quantify the proportion of time parents spent incubating, standing, or absent from the nest. The mean egg-laying interval was 2.9 +/- 0.1 d or 69.8 +/- 2.2 hr (range =65.8-74.2 hr), and the mean duration of incubation (from the onset of full incubation to hatch) for last-laid eggs was 33 d (32-34 d, n= 15). Red-shouldered Hawks exhibited partial incubation behavior, with the delay in the onset of full incubation varying by clutch size and among individuals; full incubation generally began with or just after the laying of the penultimate egg of the clutch. The mean interval between the hatching of the first and second egg was 0.56 +/- 0.49 d; between the second and third eggs, 1.24 +/- 0.71 d (P= 0.0215); and between the third and fourth eggs, 2.42 +/- 0.38 d (P &lt; 0.0004). The total amount of time parents at each nest spent incubating during the egg-laying period explained most of the variation in the amount of time between the hatching of their first and last egg (the hatching span; r = 0.83, P &lt; 0.0001). Hatching patterns were the result of both the egg-laying intervals and the pattern of partial incubation, which may represent an adaptive mechanism to reduce the hatching interval while maintaining the hatching asynchrony.</t>
  </si>
  <si>
    <t>Dykstra, Cheryl R/IAN-1402-2023</t>
  </si>
  <si>
    <t>Dykstra, Cheryl R/0000-0002-9089-3847</t>
  </si>
  <si>
    <t>10.3356/0892-1016-54.4.364</t>
  </si>
  <si>
    <t>WOS:000604780200003</t>
  </si>
  <si>
    <t>Tinghitella, RM; Stehle, C; Boughman, JW</t>
  </si>
  <si>
    <t>Tinghitella, Robin M.; Stehle, Chelsea; Boughman, Janette W.</t>
  </si>
  <si>
    <t>Females sample more males at high nesting densities, but ultimately obtain less attractive mates</t>
  </si>
  <si>
    <t>Background: Sexual selection is largely driven by the availability of mates. Theory predicts that male competition and female choice should be density-dependent, with males competing more intensely at relatively high density, and females becoming increasingly discriminating when there are more males from whom to choose. Evidence for flexible mating decisions is growing, but we do not understand how environmental variation is incorporated into mate sampling strategies. We mimicked threespine stickleback (Gasterosteus aculeatus) breeding conditions in pools with high and low densities of nesting males and allowed females to search for mates to determine whether 1) mate search strategies change with the density of breeding males and 2) pre-copulatory components of mate choice (signalling, competition, search patterns, and mating decisions) are modified in parallel. Results: While females sampled more males at high male density, suggesting greater opportunity for sexual selection, the expanded search did not result in females choosing males with more attractive sexual signals. This is likely because red throat colouration was twice as great when half as many males competed. Instead, females chose similarly at high and low male density, using a relative strategy to compare male traits amongst potential suitors. Reduced throat colour could reflect a trade-off with costly male competition. However, we did not observe more intense competition at higher relative density. Density-dependent signalling appears largely responsible for females associating with males who have more attractive signals at low density. If we lacked knowledge of plasticity in signalling, we might have concluded that females are more discriminating at low male density. Conclusions: To understand interactions between mate choice and population dynamics, we should consider how components of mate choice that precede the mating decision interact.</t>
  </si>
  <si>
    <t>Boughman, Janette/0000-0002-5731-7389; Tinghitella, Robin/0000-0002-0049-5539</t>
  </si>
  <si>
    <t>SEP 18</t>
  </si>
  <si>
    <t>10.1186/s12862-015-0481-3</t>
  </si>
  <si>
    <t>WOS:000361510800001</t>
  </si>
  <si>
    <t>Odén, K; Vestergaard, KS; Algers, B</t>
  </si>
  <si>
    <t>Space use and agonistic behaviour in relation to sex composition in large flocks of laying hens</t>
  </si>
  <si>
    <t>Some authors have found indications of subgroup formation when domestic fowl are forced to live together in large flocks, while others have not. In this study experiments were carried out to test the hypothesis that hens in large flocks have home ranges in parts of the pen and that they form subgroups. We also studied if this is influenced by males. In a tiered aviary system (density averaged 16 hens/m(2) of floor area) eight flocks of 568 +/- 59 ISA Brown laying hybrids were kept in pens. Half of the pens contained 1 male per on average 24 females (mixed flocks). At peak production (36-53 weeks of age) four females roosting closely together for about 14 days and four females roosting far apart from each other were taken out from each flock and put together in separate groups in small pens. Their agonistic behaviour was studied for 2 days before they were put back. This was repeated with new birds, resulting in 16 small sample groups being studied. At 70 weeks, three groups of 10 females per flock roosting closely together in different parts of the pen were dyed with different colours and their locations were observed for 2 nights and 2 days. The incidence of aggressive pecks during day 1 among birds that had been roosting close to each other tended to be lower(P = 0.05) than among birds that had been roosting far apart. This effect was not significant among birds from all-female flocks, but among birds from mixed flocks (P &lt; 0.05). However, this indicates a recognition of roosting partners and possibly also a rebound effect of the males' reduction of female aggressiveness towards strangers. Irrespective of sex composition in the flocks. birds marked while roosting at the ends of the pens were significantly more often observed within these areas than in other areas of the pen during daytime and came back to the same roosting sites at night (P &lt; 0.05-P &lt; 0.001). This was not the case for birds from the middle of the pens, where the distribution in the pen in most cases did not differ from random. These results show that laying hens in large groups are rather constant in their use of space, which indicate the presence of home ranges. However, environmental features that facilitate localisation may be important. In summary, we think that these findings indicate the existence of subgroup formation. (C) 2000 Elsevier Science B.V. All rights reserved.</t>
  </si>
  <si>
    <t>Algers, Bo/0000-0002-5647-4892</t>
  </si>
  <si>
    <t>APR 19</t>
  </si>
  <si>
    <t>10.1016/S0168-1591(99)00123-9</t>
  </si>
  <si>
    <t>WOS:000086528100004</t>
  </si>
  <si>
    <t>Dove, SG; Takabayashi, M; HoeghGuldberg, O</t>
  </si>
  <si>
    <t>Isolation and partial characterization of the pink and blue pigments of pocilloporid and acroporid corals</t>
  </si>
  <si>
    <t>The compounds responsible for the pink and blue colors of two families of hermatypic corals (Pocilloporidae, Acroporidae) from the southern Great Barrier Reef were isolated and biochemically characterized. Isolation of the pink pigment from Pocillopora damicornis (named pocilloporin, lambda(max) = 560 nm, 390 nm) revealed that it was a hydrophilic protein dimer with a native molecular weight of approximately 54 kD and subunits of 28 kD. The subunits are not linked by disulfide bonds. Attempts to dissociate the chromophore from the protein proved unsuccessful. Denaturing the protein with heat (60 degrees C) or 5% sodium dodecyl sulfate (SDS) removed the 560-nm absorbance peak without introducing a detectable bathochromic shift. In acetone, ethanol, ether, and chloroform, the pigment precipitates out of solution, leaving a colorless supernatant. These properties suggest that the protein and chromophore are covalently linked. Ion analysis revealed that the pigment does not have metal ions chelated to it. Coral pigments were also isolated from pink morphs of other pocilloporids, Seriatopora hystrix (lambda(max) = 560 nm) and Stylophora pistillata (lambda(max) = 560 nm); and from bluish regions of the acroporids, Acropora formosa (blue; lambda(max) = 590 nm) and Acropora digitifera (purple; lambda(max) = 580 nm). With the exception of A. formosa, all the corals examined had pigments with the same native (54 kD) and subunit (28 kD) molecular weights as those of P. damicornis. A. formosa pigment has a native molecular weight of about 82.6 kD and three subunits of 28 kD. The pigments isolated from each of these coral species have properties similar to those described for P. damicornis. Isolation and biochemical purification of the pigment enabled the exploration of the function of the pink pigment. Three possibilities were eliminated. The compound does not act as (i) a photo-protectant for shielding the photosynthetic pigments of symbiotic zooxanthellae against excessive irradiances, (ii) a fluorescent coupling agent for amplifying the levels of photosynthetically active radiation available for resident zooxanthellae, or (iii) a UV-screen against the high UV levels of shallow tropical marine environments.</t>
  </si>
  <si>
    <t>Hoegh-Guldberg, Ove/HJP-1821-2023; Hoegh-Guldberg, Ove/H-6169-2011; Dove, Sophie/I-7873-2013; Hoegh-Guldberg, Ove/ABA-5420-2020; Dove, Sophie/G-7339-2012</t>
  </si>
  <si>
    <t>Hoegh-Guldberg, Ove/0000-0001-7510-6713; Hoegh-Guldberg, Ove/0000-0001-7510-6713; Dove, Sophie/0000-0003-1823-8634</t>
  </si>
  <si>
    <t>10.2307/1542146</t>
  </si>
  <si>
    <t>WOS:A1995TL76800004</t>
  </si>
  <si>
    <t>Jowett, SL; Barker, ZE; Amory, JR</t>
  </si>
  <si>
    <t>Jowett, Sarah L.; Barker, Zoe Elizabeth; Amory, Jonathan R.</t>
  </si>
  <si>
    <t>Preferential associations in an unstable social network: applying social network analysis to a dynamic sow herd</t>
  </si>
  <si>
    <t>Preferential associations are fitness-enhancing ties between individuals, documented in a range of taxa. Despite this, research into preferential associations remains underrepresented in commercial species, particularly pigs. This study investigates the development of preferential associations in a dynamic sow herd. Preferential associations were defined as approaching a resting sow and then sitting or lying with physical contact with the selected sow, separated by &lt; 1 m from the head or directly next to her, with interaction tolerated for &gt; 60 s. For individual identification, each sow was marked with colored dots, stripes, or both, corresponding to their ear-tag number. Preferential associations were measured over one production cycle of 21 days. Behavioral observations took place on 7 days of the study, with 3 h of behavior per day recorded during peak activity times (08:00-09:00, 15:00-16:00, 20:00-21:00 h). Behaviors were recorded using five cameras, each positioned within the barn to provide coverage of the functional areas. The network metrics applied included in-degree centrality (received ties), out-degree centrality (initiated ties), centralization (the extent to which an individual is central within the network), clustering coefficient (a measure of tie strength), and the E-I Index (a measure of assortment by trait: parity, familiarity, and sociality). Individuals were added and removed during the study, so the centrality metrics of missing sows were weighted. To describe the structure of the network, brokerage typologies were applied. Brokerage typologies include five positions, including coordinators, gatekeepers, representatives, consultants, and liaisons. The results revealed social discrimination in assortment by connectedness even when ties were not reciprocal, and the most connected sows were significantly more likely to be approached than less connected individuals. The most connected sows had significantly higher in-degree and out-degree centrality. With the application of brokerage typologies, the results showed a relationship between connectedness and brokering type, with the most connected sows predominantly engaging in coordinating behavior. The results suggest that the motivation for discrimination in the unstable preferential association network was not founded upon bidirectional interactions. These findings highlight the complexities involved when forming social preferences and present a platform for further exploring the motivations for preferential associations among intensively farmed pigs.</t>
  </si>
  <si>
    <t>Jowett, Sarah/HKM-8559-2023</t>
  </si>
  <si>
    <t>Barker, Zoe/0000-0002-8512-0831</t>
  </si>
  <si>
    <t>10.3389/fvets.2023.1166632</t>
  </si>
  <si>
    <t>WOS:001007647700001</t>
  </si>
  <si>
    <t>Karubian, J; Swaddle, JP; Varian-Ramos, CW; Webster, MS</t>
  </si>
  <si>
    <t>Karubian, Jordan; Swaddle, John P.; Varian-Ramos, Claire W.; Webster, Michael S.</t>
  </si>
  <si>
    <t>The relative importance of male tail length and nuptial plumage on social dominance and mate choice in the red-backed fairy-wren Malurus melanocephalus: evidence for the multiple receiver hypothesis</t>
  </si>
  <si>
    <t>Understanding why males of many species exhibit two or more sexual ornaments depends upon identifying both the information conveyed and the intended receiver(s) for each signal. Here we focus on identifying the intended receivers for two sexual signals exhibited by male red-backed fairy-wrens Malurus melanocephalus, extent of nuptial plumage and tail length. In doing so we test the multiple receiver hypothesis, which predicts that each trait is directed toward a different type of receiver (e.g., males vs females). Male red-backed fairy-wrens in nuptial plumage exhibit reversed sexual dimorphism for tail length in the breeding season, when their tails are significantly shorter than those of females or males in eclipse plumage. Using both aviary-based experiments and indices of mate choice and social dominance from a natural population, we found that extent of nuptial plumage and age primarily affected female mate choice and that shorter tails were primarily associated with male:male dominance signaling. The field and aviary studies combined are consistent with the multiple receiver hypothesis, in that each trait appears to be directed primarily to a different set of receivers (plumage for females and tail length for males), though each trait may also signal information to the other set of receivers as well. We propose that sexual selection may favor shorter tail lengths in male red-backed fairy-wrens through social competition mechanisms.</t>
  </si>
  <si>
    <t>Webster, Michael/AAB-7151-2020; Karubian, Jordan/A-4364-2015</t>
  </si>
  <si>
    <t>Webster, Michael/0000-0001-7585-4578; Karubian, Jordan/0000-0001-8201-9992</t>
  </si>
  <si>
    <t>10.1111/j.1600-048X.2009.04572.x</t>
  </si>
  <si>
    <t>WOS:000270179100011</t>
  </si>
  <si>
    <t>Ayre, DJ; Grosberg, RK</t>
  </si>
  <si>
    <t>Effects of social organization on inter-clonal dominance relationships in the sea anemone Anthopleura elegantissima</t>
  </si>
  <si>
    <t>In the sea anemone Anthopleura elegantissima contact between non-clonemates often elicits inter-clonal fighting, involving the application of nematocyst-laden fighting tentacles (acrorhagi) and the locomotory retreat of losing polyps. This study confirms that isoclonal aggregations of A. elegantissima display an inducible polymorphism, such that polyps at the inter-clonal boundaries (warriors) are typically smaller and carry more fighting tentacles (acrorhagi) than more central (reproductive) polyps. Based on the outcomes of eight separate contests between each combination of like and unlike morphs for each of seven pairs of neighbouring clones (i.e. N = 224 contests), this study provides the first direct evidence that warriors are aptly named. All sets of neighbouring warriors and reproductives were mutually aggressive, and warriors, despite their overall size disadvantage, won 41 out of 81 contests with the reproductive polyps of their neighbouring clone. In addition, warrior and reproductive polyps were almost equally likely to initiate an attack and to retaliate. Thus, the success of warriors against the typically far larger reproductive polyps primarily reflects the proportionately greater allocation by warriors of resources to acrorhagi. The outcomes of the inter-clonal contests further indicate that pairs of neighbouring clones are unevenly matched in terms of their fighting ability, and that inter-clonal dominance is again largely determined by relative allocation of resources to acrorhagi. In five of seven inter-clonal combinations the warriors of the apparently dominant clone defeated the majority of opposing warriors (in three cases winning all eight contests). This result represents an apparent paradox, as earlier work showed that inter-clonal borders may persist for several years. Further work is needed to determine the extent to which agonistic behaviour determines the outcomes of inter-clonal competition for space and whether the outcomes of contests between pairs of individuals reflect the true dominance relationships of entire clones. (C) 1996 The Association for the Study of Animal Behaviour</t>
  </si>
  <si>
    <t>Ayre, David J/A-8761-2008</t>
  </si>
  <si>
    <t>10.1006/anbe.1996.0128</t>
  </si>
  <si>
    <t>WOS:A1996UX10100004</t>
  </si>
  <si>
    <t>Baracchi, D; Giurfa, M; d'Ettorre, P</t>
  </si>
  <si>
    <t>Baracchi, David; Giurfa, Martin; d'Ettorre, Patrizia</t>
  </si>
  <si>
    <t>Formic acid modulates latency and accuracy of nestmate recognition in carpenter ants</t>
  </si>
  <si>
    <t>Decision-making processes face the dilemma of being accurate or faster, a phenomenon that has been described as speed-accuracy trade-off in numerous studies on animal behaviour. In social insects, discriminating between colony members and aliens is subject to this trade-off as rapid and accurate rejection of enemies is of primary importance for the maintenance and ecological success of insect societies. Recognition cues distinguishing aliens from nestmates are embedded in the cuticular hydrocarbon (CHC) layer and vary among colonies. In walking carpenter ants, exposure to formic acid (FA), an alarm pheromone, improves the accuracy of nestmate recognition by decreasing both alien acceptance and nestmate rejection. Here, we studied the effect of FA exposure on the spontaneous aggressive mandible opening response (MOR) of harnessed Camponotus aethiops ants presented with either nestmate or alien CHCs. FA modulated both MOR accuracy and the latency to respond to odours of conspecifics. In particular, FA decreased the MOR towards nestmates but increased it towards aliens. Furthermore, FA decreased MOR latency towards aliens but not towards nestmates. As response latency can be used as a proxy of response speed, we conclude that contrary to the prediction of the speed-accuracy trade-off theory, ants did not trade off speed against accuracy in the process of nestmate recognition.</t>
  </si>
  <si>
    <t>Baracchi, David/I-5228-2017; Giurfa, Martin/H-5140-2016</t>
  </si>
  <si>
    <t>Baracchi, David/0000-0003-1308-0612; Giurfa, Martin/0000-0001-7173-769X</t>
  </si>
  <si>
    <t>jeb242784</t>
  </si>
  <si>
    <t>10.1242/jeb.242784</t>
  </si>
  <si>
    <t>WOS:000715883300008</t>
  </si>
  <si>
    <t>Leroux, M; Monday, G; Chandia, B; Akankwasa, JW; Zuberbühler, K; Hobaiter, C; Crockford, C; Townsend, SW; Asiimwe, C; Fedurek, P</t>
  </si>
  <si>
    <t>Leroux, Mael; Monday, Gideon; Chandia, Bosco; Akankwasa, John W.; Zuberbuehler, Klaus; Hobaiter, Catherine; Crockford, Catherine; Townsend, Simon W.; Asiimwe, Caroline; Fedurek, Pawel</t>
  </si>
  <si>
    <t>First observation of a chimpanzee with albinism in the wild: Social interactions and subsequent infanticide</t>
  </si>
  <si>
    <t>Albinism-the congenital absence of pigmentation-is a very rare phenomenon in animals due to the significant costs to fitness of this condition. Both humans and non-human individuals with albinism face a number of challenges, such as reduced vision, increased exposure to ultraviolet radiation, or compromised crypticity resulting in an elevated vulnerability to predation. However, while observations of social interactions involving individuals with albinism have been observed in wild non-primate animals, such interactions have not been described in detail in non-human primates (hereafter, primates). Here, we report, to our knowledge, the first sighting of an infant with albinism in wild chimpanzees (Pan troglodytes schweinfurthii), including social interactions between the infant, its mother, and group members. We also describe the subsequent killing of the infant by conspecifics as well as their behavior towards the corpse following the infanticide. Finally, we discuss our observations in relation to our understanding of chimpanzee behavior or attitudes towards individuals with very conspicuous appearances.</t>
  </si>
  <si>
    <t>Crockford, Catherine/A-5410-2011; Leroux, Maël/GVS-1622-2022; Zuberbuhler, Klaus/A-9053-2011</t>
  </si>
  <si>
    <t>Leroux, Maël/0000-0001-7087-449X; Fedurek, Pawel/0000-0002-6902-708X; Hobaiter, Cat/0000-0002-3893-0524; Zuberbuhler, Klaus/0000-0001-8378-088X</t>
  </si>
  <si>
    <t>e23305</t>
  </si>
  <si>
    <t>10.1002/ajp.23305</t>
  </si>
  <si>
    <t>WOS:000673989800001</t>
  </si>
  <si>
    <t>Kostál, V; Baur, R; Städler, E</t>
  </si>
  <si>
    <t>Exploration and assessment of the oviposition substrate by the cabbage root fly, Delia radicum (Diptera: Anthomyiidae)</t>
  </si>
  <si>
    <t>Oviposition behaviour of Delia radicum is not only influenced by host plant duality but also by the duality of the substrate in which the plant grows. Direct behavioural observations showed that the females partition their visits to a host plant (cauliflower) into ovipositional bouts separated by exploration of the host plant surface. Ovipositional bouts were further partitioned into acts of egg deposition separated by exploration of the substrate. While the mean number of ovipositional bouts per visit (2.6), and eggs laid per egg deposition event (1.4) were stable, the mean number of egg deposition events per ovipositional bout significantly varied (from 2.1 to 7.3) with the duality of the substrate and the physiological state of the female (egg load). Ovipositing females adjusted the final number of eggs laid around the plant during the behavioural stage of substrate exploration. Additional experiments using plant surrogates treated with methanolic extract of Brassica leaves mounted in different substrates showed that: (a) the presence of living Brassica, Hordeum or Allium roots in a substrate enhances the number of eggs laid into this substrate, but females do not discriminate between the different plants; (b) females avoid both wet and dry substrates and prefer the substrates with a dry surface and moist particles directly accessible at a depth of about 5 mm; (c) substrates rich in organic matter are preferred to sand; (d) olfactory perception of volatile chemicals from the substrate must at least partially be responsible for the differences in oviposition in various substrates.</t>
  </si>
  <si>
    <t>Kostal, Vladimir/G-6688-2014</t>
  </si>
  <si>
    <t>Kostal, Vladimir/0000-0002-4994-5123</t>
  </si>
  <si>
    <t>1210-5759</t>
  </si>
  <si>
    <t>10.14411/eje.2000.009</t>
  </si>
  <si>
    <t>WOS:000087497200006</t>
  </si>
  <si>
    <t>Carling, B; Gentle, LK; Ray, ND</t>
  </si>
  <si>
    <t>Carling, Bryony; Gentle, Louise K.; Ray, Nicholas D.</t>
  </si>
  <si>
    <t>Several parameters that influence body size in the sea anemone Actinia equina in rock pools on the Yorkshire coast</t>
  </si>
  <si>
    <t>Despite being classed as an asocial species, aggregations of sea anemones can be common in abundant species. UK populations of the geographically common aggressive intertidal sea anemone Actinia equina, form clustered aggregations notwithstanding a violent nature towards neighbours and relatives. Smaller in body size, and more abundant than those found in warmer climates, little research has been undertaken to discover what factors affect body size. This study investigates whether aggregation, distance to neighbour, submergence at low tide or pH in rock pools affect body size of A. equina in their natural habitat. Populations were investigated at five sites on the Yorkshire coast during August and September 2016. A total of 562 anemones were recorded revealing that solitary anemones were significantly larger than those found in clustered aggregations. In addition, anemones found submerged in rock pools at low tide were significantly larger than those found on emergent rock, and smaller anemones were found in significantly higher pH conditions (8.5+) than larger anemones. Anemones submerged at low tide are constantly able to feed and not subject to harsh conditions such as wind exposure and temperature, hence they can achieve larger sizes. Consequently, the size of the anemones may reflect a trade-off between the benefits of aggregating in exposed environments and the costs of competition for a reduced food resource.</t>
  </si>
  <si>
    <t>Ray, Nicholas/G-3150-2015</t>
  </si>
  <si>
    <t>Ray, Nicholas/0000-0002-5188-4331</t>
  </si>
  <si>
    <t>PII S0025315419000171</t>
  </si>
  <si>
    <t>10.1017/S0025315419000171</t>
  </si>
  <si>
    <t>WOS:000482975700004</t>
  </si>
  <si>
    <t>Corl, A; Charter, M; Rozman, G; Toledo, S; Turjeman, S; Kamath, PL; Getz, WM; Nathan, R; Bowie, RCK</t>
  </si>
  <si>
    <t>Corl, Ammon; Charter, Motti; Rozman, Gabe; Toledo, Sivan; Turjeman, Sondra; Kamath, Pauline L.; Getz, Wayne M.; Nathan, Ran; Bowie, Rauri C. K.</t>
  </si>
  <si>
    <t>Movement ecology and sex are linked to barn owl microbial community composition</t>
  </si>
  <si>
    <t>The behavioural ecology of host species is likely to affect their microbial communities, because host sex, diet, physiology, and movement behaviour could all potentially influence their microbiota. We studied a wild population of barn owls (Tyto alba) and collected data on their microbiota, movement, diet, size, coloration, and reproduction. The composition of bacterial species differed by the sex of the host and female owls had more diverse bacterial communities than their male counterparts. The abundance of two families of bacteria, Actinomycetaceae and Lactobacillaceae, also varied between the sexes, potentially as a result of sex differences in hormones and immunological function, as has previously been found with Lactobacillaceae in the microbiota of mice. Male and female owls did not differ in the prey they brought to the nest, which suggests that dietary differences are unlikely to underlie the differences in their microbiota. The movement behaviour of the owls was associated with the host microbiota in both males and females because owls that moved further from their nest each day had more diverse bacterial communities than owls that stayed closer to their nests. This novel result suggests that the movement ecology of hosts can impact their microbiota, potentially on the basis of their differential encounters with new bacterial species as the hosts move and forage across the landscape. Overall, we found that many aspects of the microbial community are correlated with the behavioural ecology of the host and that data on the microbiota can aid in generating new hypotheses about host behaviour.</t>
  </si>
  <si>
    <t>Charter, Motti/AAQ-9529-2021; Bowie, Rauri/H-9165-2019; Nathan, Ran/A-9380-2008; Kamath, Pauline/H-1358-2013; Turjeman, Sondra/AAY-4149-2021</t>
  </si>
  <si>
    <t>Charter, Motti/0000-0003-3861-6356; Bowie, Rauri/0000-0001-8328-6021; Nathan, Ran/0000-0002-5733-6715; Kamath, Pauline/0000-0002-6458-4514; Turjeman, Sondra/0000-0002-5224-1215</t>
  </si>
  <si>
    <t>10.1111/mec.15398</t>
  </si>
  <si>
    <t>WOS:000524283300001</t>
  </si>
  <si>
    <t>Karlsson, AC; Mormede, P; Kerje, S; Jensen, P</t>
  </si>
  <si>
    <t>Karlsson, Anna-Carin; Mormede, Pierre; Kerje, Susanne; Jensen, Per</t>
  </si>
  <si>
    <t>Genotype on the Pigmentation Regulating PMEL17 Gene Affects Behavior in Chickens Raised Without Physical Contact with Conspecifics</t>
  </si>
  <si>
    <t>BEHAVIOR GENETICS</t>
  </si>
  <si>
    <t>Chickens homozygous for the Dominant white or wild-type allele of PMEL17 were subjected to a broad phenotyping in order to detect consistent differences between genotypes. To exclude feather pecking, the chickens were individually housed without physical contact, from the day of hatching, and tested for social, aggressive, fear and exploratory behaviors, and corticosterone and testosterone levels were assessed. In a principal component analysis, 53.2% of the behavior variation was explained by two factors. Factor one was an activity and social factor, and there was a significant effect of genotype on the factor scores. On factor two, related to aggressive behavior, there were significant effects of genotype, sex and their interaction. There were no genotype effects on hormone levels or any other measured non-behavioral phenotypes. Hence, differences in behavior between PMEL17 genotypes remained when negative social experiences were excluded, indicating a direct pleiotropic effect of the gene on behavior.</t>
  </si>
  <si>
    <t>Mormede, Pierre/N-3918-2019; Mormede, Pierre/K-5537-2015</t>
  </si>
  <si>
    <t>Mormede, Pierre/0000-0003-0345-1432</t>
  </si>
  <si>
    <t>0001-8244</t>
  </si>
  <si>
    <t>1573-3297</t>
  </si>
  <si>
    <t>10.1007/s10519-010-9379-4</t>
  </si>
  <si>
    <t>WOS:000287749700015</t>
  </si>
  <si>
    <t>Penteriani, V; Delgado, MM; Clavero, M; Ivanc, M</t>
  </si>
  <si>
    <t>Penteriani, V.; Delgado, M. M.; Clavero, M.; Ivanc, M.</t>
  </si>
  <si>
    <t>Spottiness of European graylings (Actinopterygii, Salmonidae) correlates with environmental features and could signal the status of individuals</t>
  </si>
  <si>
    <t>Skin spots play an essential role as a visual stimulus in the social behaviour of fishes, particularly in gregarious species. Several studies have demonstrated that the characteristics of some flank signals are used as conspicuous visual cues for different aspects of intraspecific communication, as well as shaping the interactions among individuals, and reflecting the features of individuals. Here, we analyse the spatial pattern of spots in the European grayling Thymallus thymallus(Actinopterygii, Salmonidae) (Linnaeus, 1758) (Salmonidae, subfamily Thymallinae), which are usually gregarious. Adult individuals are characterised by conspicuous black spots on their sides, generally restricted to the front half of the flank. By sampling 55 individuals in Slovenia, Croatia and Norway, we tested the possible influence of environmental factors (e.g. water velocity, water depth, position in the pool/stream) and/or individual characteristics (sex and length) on the characteristics and spatial pattern of graylings' spots. Spottiness did not show any relationship with sex or body size, but the numbers of both spots and spotted lines appeared to be correlated with some physical properties of the river: more highly spotted graylings seemed to inhabit faster and deeper waters, and were positioned at the head of pools and streams. We suggested that in gregarious fish, spottiness may signal the status (e.g. quality and/or dominance) of individuals, which has a role in determining the spatial arrangement of individuals along the river bed and, consequently, within the group.</t>
  </si>
  <si>
    <t>; Clavero, Miguel/A-9040-2015; Penteriani, Vincenzo/H-1463-2015</t>
  </si>
  <si>
    <t>Delgado, Maria del Mar/0000-0002-3009-738X; Clavero, Miguel/0000-0002-5186-0153; Penteriani, Vincenzo/0000-0002-9333-7846</t>
  </si>
  <si>
    <t>10.1080/11250003.2015.1018852</t>
  </si>
  <si>
    <t>WOS:000353501900009</t>
  </si>
  <si>
    <t>Mendonça, FZ; Gonçalves-de-Freitas, E</t>
  </si>
  <si>
    <t>Mendonca, Francine Z.; Goncalves-de-Freitas, Eliane</t>
  </si>
  <si>
    <t>Nest deprivation and mating success in Nile tilapia (Teleostei: Cichlidae)</t>
  </si>
  <si>
    <t>REVISTA BRASILEIRA DE ZOOLOGIA</t>
  </si>
  <si>
    <t>We tested the effect of nest deprivation on the mating success and sexual selection of dominant Nile tilapia males in two treatments, consisting of two males and three females kept on aquarium with or without nesting substrate (INS: with substrate inside, N = 9; NOS: non-substrate inside, N = 11). Other male traits potentially affecting mating success, such as aggressiveness level, courtship investment, and condition factor were also analyzed. The dominant male's behavior was video-recorded in four 20-min sessions: 1, 4, 7, and 10 days after grouping. Latency to spawn and spawning frequency were similar in WS and NS groups, showing the same mating success among dominant males on the presence or absence of gravel. Nest investment was the main factor related to female choice in INS groups, but none of the other variables improved mating success in NOS.Although nesting is related to sexual selection in Nile tilapia,gravel substrate deprivation from which they construct a nest does not affect mating success. This finding may explain the reproductive success of the species in a wide range of environments and aquaculture systems.</t>
  </si>
  <si>
    <t>Goncalves-de-Freitas, Eliane/C-4462-2012</t>
  </si>
  <si>
    <t>Goncalves-de-Freitas, Eliane/0000-0003-1896-3035</t>
  </si>
  <si>
    <t>0101-8175</t>
  </si>
  <si>
    <t>10.1590/S0101-81752008000300005</t>
  </si>
  <si>
    <t>WOS:000260040800006</t>
  </si>
  <si>
    <t>Hennemann, FH; Conle, OV; Brock, PD; Seow-Choen, F</t>
  </si>
  <si>
    <t>Hennemann, Frank H.; Conle, Oskar V.; Brock, Paul D.; Seow-Choen, Francis</t>
  </si>
  <si>
    <t>Revision of the Oriental subfamily Heteropteryginae Kirby, 1896, with a re-arrangement of the family Heteropterygidae and the descriptions of five new species of Haaniella Kirby, 1904. (Phasmatodea: Areolatae: Heteropterygidae)</t>
  </si>
  <si>
    <t>The areolate Oriental family Heteropterygidae Kirby, 1893 is critically reviewed and the results of the present study contradict the arrangement suggested by Zompro (2004), but in most aspects agree with a molecular study presented by Whiting et al (2003) and a phylogenetic study presented by Bradler (2009). The family is critically discussed and new hypotheses are presented for the phylogeny and intra-familiar relationships, placing the subfamily Dataminae Rehn &amp; Rehn, 1939 as the basalmost clade of Heteropterygidae. The subfamilies Obriminae Brunner v. Wattenwyl, 1893 and Heteropteryginae Kirby, 1893 together represent the sister-group of Dataminae. Arguments and a tree are presented to support this hypothesis. New diagnoses and lists of genera are provided for all three subfamilies contained in Heteropterygidae, along with keys to distinguish between them. The subfamily Obriminae is critically reviewed and the distinction between the three tribes Obrimini Brunner v. Wattenwyl, 1893, Eubulidini Zompro, 2004 and Miroceramiini Zompro, 2004 introduced by Zompro (2004) is shown to be poorly supported. While Obrimini sensu Zompro, 2004 is generally accepted (but now also contains genera that were placed in Eubulidini or Miroceramiini by Zompro (2004)), the tribes Eubulidini and Miroceramiini are not supported. A new arrangement is introduced, which is based on morphological characters neglected or overlooked by Zompro (2004) but were partly discussed by Bradler (2009). The genus Mearnsiana Rehn &amp; Rehn, 1939 is removed from Miroceramiini and transferred to Obrimini. The genera Eubulides Stal, 1877, Heterocopus Redtenbacher, 1906, Theramenes Stal, 1875 and Stenobrimus Redtenbacher, 1906 are removed from Eubulidini and also transferred to Obrimini. Consequently, Eubulidini is synonymised with Obrimini (n. syn.). Miroceramiini is a monotypical tribe and only includes the Wallacean genus Miroceramia Gunther, 1934. The new tribe Tisamenini n. trib. is established for the three basal genera Tisamenus Stal, 1875, Ilocano Rehn &amp; Rehn, 1939 and Hoploclonia Stal, 1875 all of which were placed in Eubulidini by Zompro (2004). The latter genus differs from the other two genera by the morphology of the female genitalia, which is unique amongst the entire family. Three generic groups are recognized within Obrimini, the Obrimus-group, Stenobrimus-group and Theramenes-group. Keys are presented to distinguish between the three tribes now contained in the Obriminae, i.e. Obrimini, Tisamenini n. trib. and Miroceramiini. The genus Hennobrimus Conle, 2006 is synonymised with Mearnsiana Rehn &amp; Rehn, 1939, based on the fact that the type-species of both genera are conspecific (n. syn.). Hennobrimus hennemanni Conle, 2006, the type-species of Hennobrimus, and Trachyaretaon manobo Lit &amp; Eusebio, 2005 are synonymised with Mearnsiana bullosa Rehn &amp; Rehn, 1939, the type-species of Mearnsiana (n. syn.). Theramenes dromedarius Stal, 1877 from the Philippines is removed from synonymy with the Wallacean Theramenes olivaceus (Westwood, 1859) and re-established as a valid species (rev. stat.). The subfamily Heteropteryginae Kirby, 1896 is revised at the species-level and a new diagnosis is presented. Keys to the two genera and all 16 known species are provided along with new descriptions, differential diagnoses, lists of examined material, detailed information on the known distributions, measurements and illustrations of the insects and eggs. The intra-subfamiliar and intra-generic relationships are discussed and a cladogram is presented. Heteropteryginae contains two genera: Heteropteryx Gray, 1835 (Type-species: Phasma dilatatum Parkinson, 1798) and Haaniella Kirby, 1896 (Type-species: Phasma (Heteropteryx) muelleri de Haan, 1842). The distribution of this subfamily is restricted to Sundaland with the exception of a single species that is found in Vietnam. All other species are distributed in Borneo, Sumatra, the Mentawai Islands, Singapore, Peninsular Malaysia and Thailand. Heteropteryginae contains the largest and most striking members of the entire family Heteropteryginae, some of which are amongst the heaviest insects known. The subfamily is characterized by apomorphies such as the presence of wings, having a tympanal area (= stridulatory organ) in the basal portion of the alae, straight profemora, strongly shortened tarsi, lack of rough sensory-areas on the prosternum and typically X-shaped micropylar plate of the eggs. The sister-group of Heteropteryginae is represented by the Obriminae, with which it shares a beak-like secondary ovipositor in the females and presence of a medio-apical spine on the area apicalis. Both features are synapomorphies of Heteropteryginae + Obriminae. The genus Haaniella Kirby, 1904 contains 16 known species, five of which are newly described herein. The genus Miniopteryx Zompro, 2004 (Type-species: Haaniella parva Gunther, 1944) is synonymised with Haaniella on the basis that the distinguishing feature mentioned in the original description is a character that is frequently found throughout the genus (n. syn.). The type-species H. parva Gunther, 1944 is automatically retransferred to Haaniella (rev. stat.). Haaniella aculeata n. sp. from western Sumatra is described from the male. Haaniella macroptera n. sp. from Singapore and the Johor state in southern Peninsular Malaysia is described from both sexes and the eggs. Haaniella gintingi n. sp. from Central Sumatra is described from both sexes and the eggs and Haaniella kerincia n. sp. from Western Sumatra is described from the insects only, the eggs being still unknown. One new species, Haaniella gorochovi n. sp., is the only representative of the genus and subfamily Heteropteryginae known from Vietnam and both sexes as well as the eggs are described. Haaniella erringtoniae (Redtenbacher, 1906) is endemic in Peninsular Malaysia, here removed from synonymy with H. muelleri (de Haan, 1842) and re-established as a valid species (rev. stat.). The Sumatran Haaniella glaber (Redtenbacher, 1906) is removed from synonymy with H. muelleri (Haan, 1842) and re-established as a valid species (rev. stat.). Leocrates glaber Redtenbacher, 1906 and Haaniella muelleri simplex Gunther, 1944 are removed from synonymy with H. muelleri (Haan, 1842) (rev. stat.) and synonymised with H. glaber. Haaniella mecheli (Redtenbacher, 1906) and H. rosenbergii (Kaup, 1871) are removed from synonymy with H. muelleri (Haan, 1842) and re-established as valid species (rev. stat.). Haaniella erringtoniae novaeguineae Gunther, 1934 and Haaniella muelleri var. b. (Haan, 1842) are synonymized with H. rosenbergii (Kaup, 1871) (n. syn.). The type-species Haaniella muelleri( Haan, 1842) is shown to be a fairly rare species that is restricted to Sumatra. All subsequent records of H. muelleri from outside Sumatra and references to captive breeding of stock originating from Peninsular Malaysia in Europe relate to H. erringtoniae (Redtenbacher, 1906). The previously unknown males and eggs of H. rosenbergii (Kaup, 1871) as well as the previously unknown females and eggs of H. parva Gunther, 1944 are described and illustrated for the first time. Based on morphological characters of the insects and eggs three distinct species-groups are recognized within Haaniella. The muelleri species-group contains nine species that are distributed throughout Sumatra, the Mentawei Islands, Singapore and Peninsular Malaysia. These are characterized by the smooth ventral surface of the meso-and metafemora and lemon-shaped eggs which entirely lack the setae seen in the two other species-groups. The grayii species-group comprises four species, two of which are endemic in Borneo, one endemic in Sumatra and the fourth species being the only known representative of the subfamily in Vietnam. These species are characteristic for the prominent pair of spines on the abdominal tergites II-IV of males and long apically multidentate epiproct of females. The echinata species-group contains three exceptionally Bornean species, which are characterized by the long and apically pointed subgenital plate of females, which clearly projects beyond the epiproct, as well as the sub-basal lateral tooth of the anal segment of males. The muelleri species-group is sister to the remainder two species-groups. Heteropteryx Gray, 1853 is a monotypical genus and only contains the type-species H. dilatata (Parkinson, 1798), which is found throughout Peninsular Malaysia, Thailand, Sumatra and Northeastern Borneo. This genus differs from Haaniella by the strongly conically elevated head, which posteriorly projects over the anterior margin of the pronotum, females being bright green or yellow in colour with plain and translucent pink alae and having distinct spines on the abdominal tergites, and males having a strongly shortened mesothorax and dull pink alae. Lectotypes are designated for Haaniella parva Gunther, 1944, Heteropteryx echinata Redtenbacher, 1906, Heteropteryx saussurei Redtenbacher, 1906 and Heteropteryx scabra Redtenbacher, 1906 to guarantee stability of these names.</t>
  </si>
  <si>
    <t>Brock, Paul/HKW-3979-2023</t>
  </si>
  <si>
    <t>Hennemann, Frank/0000-0002-6547-4704</t>
  </si>
  <si>
    <t>10.11646/zootaxa.4159.1.1</t>
  </si>
  <si>
    <t>WOS:000382724900001</t>
  </si>
  <si>
    <t>Fernandez-Duque, F; Miller, ET; Fernandez-Duque, M; Falk, J; Venable, G; Rabinowicz, S; Becker, CD; Hauber, ME</t>
  </si>
  <si>
    <t>Fernandez-Duque, Facundo; Miller, Eliot T.; Fernandez-Duque, Matias; Falk, Jay; Venable, Gabriela; Rabinowicz, Sophie; Becker, C. Dustin; Hauber, Mark E.</t>
  </si>
  <si>
    <t>Phenotype predicts interspecific dominance hierarchies in a cloud-forest hummingbird guild</t>
  </si>
  <si>
    <t>Competition over resources often leads to intra- and interspecific interactions, which can be detrimental to the individuals involved. Thus, natural selection should favor communication systems that reliably convey information regarding the relative competitive abilities of an individual, reducing the need for physically damaging confrontation. Body size, sex, age, relatedness, and ornamentation are important factors determining dominance across diverse taxa in intraspecific interactions. These traits, when perceptible, may serve as signals across species in guilds that have frequent interspecific interactions. Hummingbirds provide a tractable system to study such community dynamics due to their high frequency of interactions, variable ornamentation, diverse body sizes, fast metabolism, and large overlap in resource utilization. Even in this system, potential interactions between morphology and coloration are rarely accounted for together when analyzing dominance between species. We take a novel approach to understanding interspecific dominance by assessing behavior, morphology, and coloration across different types of behavioral interactions. Across 11 tropical montane hummingbird species, we find that dominance is predicted by wing size and some metrics of plumage coloration. However, the biological significance of these factors varies between the different dominance behaviors performed. These results inform our understanding of interspecific signaling and its role in the evolution of intraguild communication and resource competition.</t>
  </si>
  <si>
    <t>10.1111/eth.13410</t>
  </si>
  <si>
    <t>WOS:001084830100001</t>
  </si>
  <si>
    <t>Li, JQ; Zhang, ZW; Wang, Y; Gao, C; Xu, JL; Xi, B; Zhu, JG; Du, ZY</t>
  </si>
  <si>
    <t>Li, Jianqiang; Zhang, Zhengwang; Wang, Yong; Gao, Chang; Xu, Jiliang; Xi, Bo; Zhu, Jiagui; Du, Zhiyong</t>
  </si>
  <si>
    <t>The Sex Ratio of Orange-flanked Bush-robins (Aves: Passeriformes: Muscicapidae) from a Winter Population in Central China</t>
  </si>
  <si>
    <t>The sex ratio of a population is an important demographic parameter, but compared with breeding populations, the sex ratios of avian winter populations have received relatively little attention. The orange-flanked bush-robin (Tarsiger cyanurus) is a migratory species whose plumage is sexually dimorphic with delayed plumage maturation wherein first-year males show female-like plumage. We investigated the sex ratio of an orange-flanked bush-robin population wintering in Dongzhai National Nature Reserve located in central China. The results show that most (&gt;85%) orange-flanked bush-robins of this population have female-like plumage, implying that the population sex ratio might be female-biased. However, genetic analysis revealed that most (c.70%) individuals with female-like plumage were males, resulting in a significantly male-biased population sex ratio. Among the individuals with female-like plumage, the males were found to have significantly longer wings and tails than females, but the accuracy of a discriminant analysis employing the two morphological traits to sex them was low. The results suggest that a genetic method is a more appropriate way to sex those orange-flanked bush-robins with female-like plumage and more importantly, one needs to be cautious when using the morphology of individuals to infer the sex ratio of a population for species like orange-flanked bush-robins.</t>
  </si>
  <si>
    <t>Li, Jianqiang/AAF-6591-2020; Du, Zhiyong/JXL-3327-2024</t>
  </si>
  <si>
    <t>Li, Jianqiang/0000-0002-0029-1747; Zhang, Zhengwang/0000-0003-1063-7198</t>
  </si>
  <si>
    <t>MAY 26</t>
  </si>
  <si>
    <t>19-20</t>
  </si>
  <si>
    <t>10.1080/00222933.2015.1105318</t>
  </si>
  <si>
    <t>WOS:000373297600001</t>
  </si>
  <si>
    <t>Moody, CM; Mason, GJ; Dewey, CE; Landsberg, GM; Niel, L</t>
  </si>
  <si>
    <t>Moody, Carly M.; Mason, Georgia J.; Dewey, Cate E.; Landsberg, Gary M.; Niel, Lee</t>
  </si>
  <si>
    <t>Testing two behavioural paradigms for measuring post-handling cat aversion behaviour</t>
  </si>
  <si>
    <t>Owned, shelter, and laboratory cats undergo handling and restraint throughout their lifetime for routine health examinations and necessary procedures. Many cats display fear and aggressive behaviour during health examinations, and there is potential for these behaviours to result in incomplete examination, and inadequate diagnosis and treatment, which are cat welfare concerns. Given the lack of validated methods to assess cat responses to restraint, the current study aimed to validate two behavioural paradigms: 1) a Handler Aversion Test, and 2) a Conditioned Place Aversion (CPA) test, to assess aversion response differences between passive restraint (the control) and full-body restraint (known to be negative). Cats were initially assessed as either friendly or unfriendly during interactions with a stranger, and this was included as a covariate in analyses. During the Handler Aversion Test, cats were restrained with the passive (n = 20) or full-body (n = 18) restraint, and aversion was assessed by measuring cat latency to approach the handler. CPA testing was carried out separately in laboratory (n = 10) and shelter (n = 42) cats using an apparatus made up of two visually-distinct compartments: cats were handled with passive restraint on one side, and full-body restraint on the other side, with handling methods counter-balanced between compartments. After handling, cats were placed into the apparatus and dwelling time was assessed for each compartment. For the Handler Aversion Test, only 38 out of 51 cats could be trained to walk the required runway, and latency to approach the handler was not significantly different between treatments (P &gt; 0.1). During CPA testing, laboratory cats and friendly shelter cats showed aversion towards the full-body restraint compartment, spending most of their time in the passive compartment (P = 0.043, P = 0.035, respectively); a result not seen in unfriendly shelter cats. The current results suggest that, as assessed in the current study, the CPA test is more sensitive than the Handler Aversion Test for detecting differences in cat aversion responses between a known negative and control restraint technique.</t>
  </si>
  <si>
    <t>Landsberg, Gary/0000-0003-0501-6397; Niel, Lee/0000-0002-0536-1003; Moody, Carly/0000-0003-3444-5932</t>
  </si>
  <si>
    <t>10.1016/j.applanim.2018.10.011</t>
  </si>
  <si>
    <t>WOS:000457661700010</t>
  </si>
  <si>
    <t>Goto, T; Tanave, A; Moriwaki, K; Shiroishi, T; Koide, T</t>
  </si>
  <si>
    <t>Goto, T.; Tanave, A.; Moriwaki, K.; Shiroishi, T.; Koide, T.</t>
  </si>
  <si>
    <t>Selection for reluctance to avoid humans during the domestication of mice</t>
  </si>
  <si>
    <t>Many animal species have been domesticated over the course of human history and became tame as a result of domestication. Tameness is a behavioral characteristic with 2 potential components: (1) reluctance to avoid humans and (2) motivation to approach humans. However, the specific behavioral characteristics selected during domestication processes remain to be clarified for many species. To quantify these 2 different components of tameness separately, we established 3 behavioral tests: the active tame', passive tame' and stay-on-hand' tests. We subjected genetically diverse mouse strains to these tests, including 10 wild strains (BFM/2Ms, PGN2/Ms, HMI/Ms, BLG2/Ms, NJL/Ms, KJR/Ms, SWN/Ms, CHD/Ms, MSM/Ms and CAST/Ei), a fancy strain (JF1/Ms) and 6 standard laboratory strains (C3H/HeNJcl, CBA/J, BALB/cAnNCrlCrlj, DBA/2JJcl, 129(+Ter)/SvJcl and C57BL/6JJcl). To analyze the effects of domestication, these 17 strains were divided into 2 groups: domesticated strains (fancy and laboratory strains) and wild strains. Significant differences between strains were observed in all traits, and the calculated estimates of broad-sense heritability were 0.15-0.72. These results illustrate that tameness in mice is significantly influenced by genetic background. In addition, they clearly show the differences in the features of tameness in domesticated and wild strains. Most of the domesticated strains showed significantly greater reluctance to avoid humans than wild strains, whereas there was no significant difference in the level of motivation to approach humans between these 2 groups. These results might help to clarify the genetic basis of tameness in mice.</t>
  </si>
  <si>
    <t>Goto, Tatsuhiko/AAJ-3498-2020</t>
  </si>
  <si>
    <t>Goto, Tatsuhiko/0000-0002-1787-7533</t>
  </si>
  <si>
    <t>10.1111/gbb.12088</t>
  </si>
  <si>
    <t>WOS:000330101600002</t>
  </si>
  <si>
    <t>Vallin, N; Rice, AM; Bailey, RI; Husby, A; Qvarnström, A</t>
  </si>
  <si>
    <t>Vallin, Niclas; Rice, Amber M.; Bailey, Richard I.; Husby, Arild; Qvarnstrom, Anna</t>
  </si>
  <si>
    <t>POSITIVE FEEDBACK BETWEEN ECOLOGICAL AND REPRODUCTIVE CHARACTER DISPLACEMENT IN A YOUNG AVIAN HYBRID ZONE</t>
  </si>
  <si>
    <t>Character displacement can reduce costly interspecific interactions between young species. We investigated the mechanisms behind divergence in three key traitsbreeding habitat choice, timing of breeding, and plumage colorationin Ficedula flycatchers. We found that male pied flycatchers became expelled from the preferred deciduous habitat into mixed forest as the superior competitor, collared flycatchers, increased in numbers. The peak in food abundance differs between habitats, and the spatial segregation was paralleled by an increased divergence in timing of breeding between the two species. Male pied flycatchers vary from brown to black with brown coloration being more frequent in sympatry with collared flycatchers, a pattern often proposed to result from selection against hybridization, that is, reinforcement. In contrast to this view, we show that brown male pied flycatchers more often hybridize than black males. Male pied flycatcher plumage coloration influenced the territory obtained in areas of co-occurrence with collared flycatchers, and brown male pied flycatchers experienced higher relative fitness than black males when faced with heterospecific competition. We suggest that allopatric divergence in resource defense ability causes a feedback loop at secondary contact where male pied flycatchers with the most divergent strategy compared to collared flycatchers are favored by selection.</t>
  </si>
  <si>
    <t>Bailey, Richard/HHM-4964-2022; Husby, Arild/E-9821-2010; Rice, Amber/AHB-1530-2022</t>
  </si>
  <si>
    <t>Bailey, Richard/0000-0001-9870-410X; Rice, Amber/0000-0002-5475-8226; Husby, Arild/0000-0003-1911-8351; Qvarnstrom, Anna/0000-0002-1178-4053</t>
  </si>
  <si>
    <t>10.1111/j.1558-5646.2011.01518.x</t>
  </si>
  <si>
    <t>WOS:000302546700016</t>
  </si>
  <si>
    <t>Carola, V; Perlas, E; Zonfrillo, F; Soini, HA; Novotny, MV; Gross, CT</t>
  </si>
  <si>
    <t>Carola, Valeria; Perlas, Emerald; Zonfrillo, Francesca; Soini, Helena A.; Novotny, Milos V.; Gross, Cornelius T.</t>
  </si>
  <si>
    <t>Modulation of social behavior by the agouti pigmentation gene</t>
  </si>
  <si>
    <t>FRONTIERS IN BEHAVIORAL NEUROSCIENCE</t>
  </si>
  <si>
    <t>Agouti is a secreted neuropeptide that acts as an endogenous antagonist of melanocortin receptors. Mice and rats lacking agouti (called non-agouti) have dark fur due to a disinhibition of melanocortin signaling and pigment deposition in the hair follicle. Non-agouti animals have also been reported to exhibit altered behavior, despite no evidence for the expression of agouti outside the skin. Here we confirm that non-agouti mice show altered social behavior and uncover expression of agouti in the preputial gland, a sebaceous organ in the urinary tract that secretes molecules involved in social behavior. Non-agouti mice had enlarged preputial glands and altered levels of putative preputial pheromones and surgical removal of the gland reversed the behavioral phenotype. These findings demonstrate the existence of an autologous, out-of-skin pathway for the modulation of social behavior.</t>
  </si>
  <si>
    <t>carola, valeria/J-9724-2014</t>
  </si>
  <si>
    <t>1662-5153</t>
  </si>
  <si>
    <t>10.3389/fnbeh.2014.00259</t>
  </si>
  <si>
    <t>WOS:000340901400001</t>
  </si>
  <si>
    <t>Kilner, RM; Drummond, H</t>
  </si>
  <si>
    <t>Kilner, R. M.; Drummond, H.</t>
  </si>
  <si>
    <t>Parent-offspring conflict in avian families</t>
  </si>
  <si>
    <t>Squabbles and squawks are a common feature of avian family life, so it is no wonder that birds are model species for the study of parent-offspring conflict. But how much do these behaviours really tell us about the evolutionary conflicts of interest between parents and their young? Here, we provide a brief review that is aimed primarily at ornithologists not already familiar with this area of research.</t>
  </si>
  <si>
    <t>Kilner, Rebecca/B-2867-2012</t>
  </si>
  <si>
    <t>Kilner, Rebecca/0000-0003-1159-0758</t>
  </si>
  <si>
    <t>0021-8375</t>
  </si>
  <si>
    <t>1439-0361</t>
  </si>
  <si>
    <t>S241</t>
  </si>
  <si>
    <t>S246</t>
  </si>
  <si>
    <t>10.1007/s10336-007-0224-3</t>
  </si>
  <si>
    <t>WOS:000255199000012</t>
  </si>
  <si>
    <t>Reddon, AR; Hurd, PL</t>
  </si>
  <si>
    <t>Reddon, Adam R.; Hurd, Peter L.</t>
  </si>
  <si>
    <t>Sex differences in the cerebral lateralization of a cichlid fish when detouring to view emotionally conditioned stimuli</t>
  </si>
  <si>
    <t>The lateralization of emotion has been described in a variety of animals. The right hemisphere has been implicated in the processing of negative emotions while positive emotions are processed in the left. Most animal studies of this phenomenon to date have used intrinsically emotionally arousing stimuli and there are few examples of lateralized responses to learned emotional triggers. It is known that males and females may demonstrate different patterns of lateralization, and that these sex differences may interact with other variables. We investigated the lateralized response of male and female convict cichlids to emotionally conditioned stimuli. One stimulus was given an appetitive (positive emotional valence) association by pairing with food. The other stimulus was given an aversive (negative emotional valence) association by pairing with a chemical alarm signal. We found that males tend to be more strongly lateralized to aversive stimuli while females are more strongly lateralized when responding to appetitive stimuli. (C) 2009 Elsevier B.V. All rights reserved.</t>
  </si>
  <si>
    <t>Reddon, Adam/AAK-3602-2020; Hurd, Peter L/A-4342-2009</t>
  </si>
  <si>
    <t>Reddon, Adam/0000-0002-3193-0388;</t>
  </si>
  <si>
    <t>10.1016/j.beproc.2009.03.005</t>
  </si>
  <si>
    <t>WOS:000268954900005</t>
  </si>
  <si>
    <t>Delayed plumage signals social status in a mutually ornamented bird - not against conspecific even sex</t>
  </si>
  <si>
    <t>DESCRIPTION OF THE SOCIAL-BEHAVIOR OF THE MAGPIE (PICA-PICA) - no stats</t>
  </si>
  <si>
    <t>Linking vgll3 genotype and aggressive behaviour in juvenile Atlantic salmon (Salmo salar)  - not really pigment variaton</t>
  </si>
  <si>
    <t>Colorful facial markings are associated with foraging rates and affiliative relationships in a wild group-living cichlid fish - not against conspecifics just whatever they did against anyone</t>
  </si>
  <si>
    <t>A MELANIN- AND CAROTENOID-BASED COLORATION AND AGGRESSIVENESS: RELATIONSHIPS BETWEEN THESE TRAITS IN THE GREENFINCH (CHLORIS CHLORIS, PASSERIFORMES, FRINGILLIDAE) - not really conspecifics? And no stats</t>
  </si>
  <si>
    <t>Phenotype predicts interspecific dominance hierarchies in a cloud-forest hummingbird guild - between species</t>
  </si>
  <si>
    <t>DIFFERENTIAL AGGRESSION IN GENETICALLY DIFFERENT MORPHS OF WHITE-THROATED SPARROW (ZONOTRICHIA-ALBICOLLIS) - no TS</t>
  </si>
  <si>
    <t>Subjective resource value affects aggressive behavior independently of resource-holding-potential and color morphs in male common wall lizard - wrong stats</t>
  </si>
  <si>
    <t xml:space="preserve">Behavioral threat and appeasement signals take precedence over static colors in lizard contests - not against conspecifics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</si>
</sst>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sz val="12"/>
      <name val="Arial"/>
      <family val="2"/>
    </font>
    <font>
      <sz val="10"/>
      <name val="Arial"/>
      <family val="2"/>
    </font>
  </fonts>
  <fills count="5">
    <fill>
      <patternFill patternType="none"/>
    </fill>
    <fill>
      <patternFill patternType="gray125"/>
    </fill>
    <fill>
      <patternFill patternType="solid">
        <fgColor theme="9" tint="0.79998168889431442"/>
        <bgColor indexed="64"/>
      </patternFill>
    </fill>
    <fill>
      <patternFill patternType="solid">
        <fgColor rgb="FFFF7C80"/>
        <bgColor indexed="64"/>
      </patternFill>
    </fill>
    <fill>
      <patternFill patternType="solid">
        <fgColor rgb="FFFFFF99"/>
        <bgColor indexed="64"/>
      </patternFill>
    </fill>
  </fills>
  <borders count="1">
    <border>
      <left/>
      <right/>
      <top/>
      <bottom/>
      <diagonal/>
    </border>
  </borders>
  <cellStyleXfs count="1">
    <xf numFmtId="0" fontId="0" fillId="0" borderId="0"/>
  </cellStyleXfs>
  <cellXfs count="9">
    <xf numFmtId="0" fontId="0" fillId="0" borderId="0" xfId="0"/>
    <xf numFmtId="0" fontId="0" fillId="2" borderId="0" xfId="0" applyFill="1"/>
    <xf numFmtId="0" fontId="0" fillId="3" borderId="0" xfId="0" applyFill="1"/>
    <xf numFmtId="0" fontId="1" fillId="0" borderId="0" xfId="0" applyFont="1"/>
    <xf numFmtId="0" fontId="1" fillId="2" borderId="0" xfId="0" applyFont="1" applyFill="1"/>
    <xf numFmtId="0" fontId="1" fillId="3" borderId="0" xfId="0" applyFont="1" applyFill="1"/>
    <xf numFmtId="0" fontId="1" fillId="4" borderId="0" xfId="0" applyFont="1" applyFill="1"/>
    <xf numFmtId="0" fontId="0" fillId="4" borderId="0" xfId="0" applyFill="1"/>
    <xf numFmtId="0" fontId="2" fillId="2" borderId="0" xfId="0" applyFont="1" applyFill="1"/>
  </cellXfs>
  <cellStyles count="1">
    <cellStyle name="Normal" xfId="0" builtinId="0"/>
  </cellStyles>
  <dxfs count="2">
    <dxf>
      <fill>
        <patternFill patternType="solid">
          <fgColor rgb="FFFF7C80"/>
          <bgColor rgb="FF000000"/>
        </patternFill>
      </fill>
    </dxf>
    <dxf>
      <fill>
        <patternFill patternType="solid">
          <fgColor rgb="FFDAF2D0"/>
          <bgColor rgb="FF000000"/>
        </patternFill>
      </fill>
    </dxf>
  </dxfs>
  <tableStyles count="0" defaultTableStyle="TableStyleMedium2" defaultPivotStyle="PivotStyleLight16"/>
  <colors>
    <mruColors>
      <color rgb="FFFF7C8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83F8F-4503-4CF4-B497-31621D764833}">
  <dimension ref="A1:BT1163"/>
  <sheetViews>
    <sheetView tabSelected="1" topLeftCell="F1" zoomScaleNormal="100" workbookViewId="0">
      <selection activeCell="I1" sqref="I1:I1048576"/>
    </sheetView>
  </sheetViews>
  <sheetFormatPr defaultRowHeight="15" x14ac:dyDescent="0.4"/>
  <cols>
    <col min="1" max="5" width="0" hidden="1" customWidth="1"/>
    <col min="6" max="6" width="19.06640625" customWidth="1"/>
    <col min="7" max="8" width="0" hidden="1" customWidth="1"/>
    <col min="9" max="9" width="245.73046875" bestFit="1" customWidth="1"/>
    <col min="11" max="21" width="0" hidden="1" customWidth="1"/>
    <col min="22" max="22" width="255.59765625" style="3" bestFit="1" customWidth="1"/>
    <col min="23" max="45" width="0" hidden="1" customWidth="1"/>
    <col min="59" max="73" width="0" hidden="1" customWidth="1"/>
  </cols>
  <sheetData>
    <row r="1" spans="1:72"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3"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spans="1:72" x14ac:dyDescent="0.4">
      <c r="A2" t="s">
        <v>72</v>
      </c>
      <c r="B2" t="s">
        <v>1614</v>
      </c>
      <c r="C2" t="s">
        <v>74</v>
      </c>
      <c r="D2" t="s">
        <v>74</v>
      </c>
      <c r="E2" t="s">
        <v>74</v>
      </c>
      <c r="F2" t="s">
        <v>1615</v>
      </c>
      <c r="G2" t="s">
        <v>74</v>
      </c>
      <c r="H2" t="s">
        <v>74</v>
      </c>
      <c r="I2" t="s">
        <v>1616</v>
      </c>
      <c r="J2" t="s">
        <v>333</v>
      </c>
      <c r="K2" t="s">
        <v>74</v>
      </c>
      <c r="L2" t="s">
        <v>74</v>
      </c>
      <c r="M2" t="s">
        <v>74</v>
      </c>
      <c r="N2" t="s">
        <v>74</v>
      </c>
      <c r="O2" t="s">
        <v>74</v>
      </c>
      <c r="P2" t="s">
        <v>74</v>
      </c>
      <c r="Q2" t="s">
        <v>74</v>
      </c>
      <c r="R2" t="s">
        <v>74</v>
      </c>
      <c r="S2" t="s">
        <v>74</v>
      </c>
      <c r="T2" t="s">
        <v>74</v>
      </c>
      <c r="U2" t="s">
        <v>74</v>
      </c>
      <c r="V2" s="3" t="s">
        <v>1617</v>
      </c>
      <c r="W2" t="s">
        <v>74</v>
      </c>
      <c r="X2" t="s">
        <v>74</v>
      </c>
      <c r="Y2" t="s">
        <v>74</v>
      </c>
      <c r="Z2" t="s">
        <v>74</v>
      </c>
      <c r="AA2" t="s">
        <v>1618</v>
      </c>
      <c r="AB2" t="s">
        <v>1619</v>
      </c>
      <c r="AC2" t="s">
        <v>74</v>
      </c>
      <c r="AD2" t="s">
        <v>74</v>
      </c>
      <c r="AE2" t="s">
        <v>74</v>
      </c>
      <c r="AF2" t="s">
        <v>74</v>
      </c>
      <c r="AG2" t="s">
        <v>74</v>
      </c>
      <c r="AH2" t="s">
        <v>74</v>
      </c>
      <c r="AI2" t="s">
        <v>74</v>
      </c>
      <c r="AJ2" t="s">
        <v>74</v>
      </c>
      <c r="AK2" t="s">
        <v>74</v>
      </c>
      <c r="AL2" t="s">
        <v>74</v>
      </c>
      <c r="AM2" t="s">
        <v>74</v>
      </c>
      <c r="AN2" t="s">
        <v>74</v>
      </c>
      <c r="AO2" t="s">
        <v>337</v>
      </c>
      <c r="AP2" t="s">
        <v>338</v>
      </c>
      <c r="AQ2" t="s">
        <v>74</v>
      </c>
      <c r="AR2" t="s">
        <v>74</v>
      </c>
      <c r="AS2" t="s">
        <v>74</v>
      </c>
      <c r="AT2" t="s">
        <v>1620</v>
      </c>
      <c r="AU2">
        <v>2024</v>
      </c>
      <c r="AV2">
        <v>35</v>
      </c>
      <c r="AW2">
        <v>4</v>
      </c>
      <c r="AX2" t="s">
        <v>74</v>
      </c>
      <c r="AY2" t="s">
        <v>74</v>
      </c>
      <c r="AZ2" t="s">
        <v>74</v>
      </c>
      <c r="BA2" t="s">
        <v>74</v>
      </c>
      <c r="BB2" t="s">
        <v>74</v>
      </c>
      <c r="BC2" t="s">
        <v>74</v>
      </c>
      <c r="BD2" t="s">
        <v>1621</v>
      </c>
      <c r="BE2" t="s">
        <v>1622</v>
      </c>
      <c r="BF2" t="str">
        <f>HYPERLINK("http://dx.doi.org/10.1093/beheco/arae045","http://dx.doi.org/10.1093/beheco/arae045")</f>
        <v>http://dx.doi.org/10.1093/beheco/arae045</v>
      </c>
      <c r="BG2" t="s">
        <v>74</v>
      </c>
      <c r="BH2" t="s">
        <v>74</v>
      </c>
      <c r="BI2" t="s">
        <v>74</v>
      </c>
      <c r="BJ2" t="s">
        <v>74</v>
      </c>
      <c r="BK2" t="s">
        <v>74</v>
      </c>
      <c r="BL2" t="s">
        <v>74</v>
      </c>
      <c r="BM2" t="s">
        <v>74</v>
      </c>
      <c r="BN2" t="s">
        <v>74</v>
      </c>
      <c r="BO2" t="s">
        <v>74</v>
      </c>
      <c r="BP2" t="s">
        <v>74</v>
      </c>
      <c r="BQ2" t="s">
        <v>74</v>
      </c>
      <c r="BR2" t="s">
        <v>74</v>
      </c>
      <c r="BS2" t="s">
        <v>1623</v>
      </c>
      <c r="BT2" t="str">
        <f>HYPERLINK("https%3A%2F%2Fwww.webofscience.com%2Fwos%2Fwoscc%2Ffull-record%2FWOS:001258741000002","View Full Record in Web of Science")</f>
        <v>View Full Record in Web of Science</v>
      </c>
    </row>
    <row r="3" spans="1:72" x14ac:dyDescent="0.4">
      <c r="A3" t="s">
        <v>72</v>
      </c>
      <c r="B3" t="s">
        <v>3562</v>
      </c>
      <c r="C3" t="s">
        <v>74</v>
      </c>
      <c r="D3" t="s">
        <v>74</v>
      </c>
      <c r="E3" t="s">
        <v>74</v>
      </c>
      <c r="F3" t="s">
        <v>3563</v>
      </c>
      <c r="G3" t="s">
        <v>74</v>
      </c>
      <c r="H3" t="s">
        <v>74</v>
      </c>
      <c r="I3" t="s">
        <v>3564</v>
      </c>
      <c r="J3" t="s">
        <v>129</v>
      </c>
      <c r="K3" t="s">
        <v>74</v>
      </c>
      <c r="L3" t="s">
        <v>74</v>
      </c>
      <c r="M3" t="s">
        <v>74</v>
      </c>
      <c r="N3" t="s">
        <v>74</v>
      </c>
      <c r="O3" t="s">
        <v>74</v>
      </c>
      <c r="P3" t="s">
        <v>74</v>
      </c>
      <c r="Q3" t="s">
        <v>74</v>
      </c>
      <c r="R3" t="s">
        <v>74</v>
      </c>
      <c r="S3" t="s">
        <v>74</v>
      </c>
      <c r="T3" t="s">
        <v>74</v>
      </c>
      <c r="U3" t="s">
        <v>74</v>
      </c>
      <c r="V3" s="3" t="s">
        <v>3565</v>
      </c>
      <c r="W3" t="s">
        <v>74</v>
      </c>
      <c r="X3" t="s">
        <v>74</v>
      </c>
      <c r="Y3" t="s">
        <v>74</v>
      </c>
      <c r="Z3" t="s">
        <v>74</v>
      </c>
      <c r="AA3" t="s">
        <v>3566</v>
      </c>
      <c r="AB3" t="s">
        <v>3567</v>
      </c>
      <c r="AC3" t="s">
        <v>74</v>
      </c>
      <c r="AD3" t="s">
        <v>74</v>
      </c>
      <c r="AE3" t="s">
        <v>74</v>
      </c>
      <c r="AF3" t="s">
        <v>74</v>
      </c>
      <c r="AG3" t="s">
        <v>74</v>
      </c>
      <c r="AH3" t="s">
        <v>74</v>
      </c>
      <c r="AI3" t="s">
        <v>74</v>
      </c>
      <c r="AJ3" t="s">
        <v>74</v>
      </c>
      <c r="AK3" t="s">
        <v>74</v>
      </c>
      <c r="AL3" t="s">
        <v>74</v>
      </c>
      <c r="AM3" t="s">
        <v>74</v>
      </c>
      <c r="AN3" t="s">
        <v>74</v>
      </c>
      <c r="AO3" t="s">
        <v>132</v>
      </c>
      <c r="AP3" t="s">
        <v>133</v>
      </c>
      <c r="AQ3" t="s">
        <v>74</v>
      </c>
      <c r="AR3" t="s">
        <v>74</v>
      </c>
      <c r="AS3" t="s">
        <v>74</v>
      </c>
      <c r="AT3" t="s">
        <v>204</v>
      </c>
      <c r="AU3">
        <v>2018</v>
      </c>
      <c r="AV3">
        <v>72</v>
      </c>
      <c r="AW3">
        <v>7</v>
      </c>
      <c r="AX3" t="s">
        <v>74</v>
      </c>
      <c r="AY3" t="s">
        <v>74</v>
      </c>
      <c r="AZ3" t="s">
        <v>74</v>
      </c>
      <c r="BA3" t="s">
        <v>74</v>
      </c>
      <c r="BB3" t="s">
        <v>74</v>
      </c>
      <c r="BC3" t="s">
        <v>74</v>
      </c>
      <c r="BD3">
        <v>122</v>
      </c>
      <c r="BE3" t="s">
        <v>3568</v>
      </c>
      <c r="BF3" t="str">
        <f>HYPERLINK("http://dx.doi.org/10.1007/s00265-018-2537-z","http://dx.doi.org/10.1007/s00265-018-2537-z")</f>
        <v>http://dx.doi.org/10.1007/s00265-018-2537-z</v>
      </c>
      <c r="BG3" t="s">
        <v>74</v>
      </c>
      <c r="BH3" t="s">
        <v>74</v>
      </c>
      <c r="BI3" t="s">
        <v>74</v>
      </c>
      <c r="BJ3" t="s">
        <v>74</v>
      </c>
      <c r="BK3" t="s">
        <v>74</v>
      </c>
      <c r="BL3" t="s">
        <v>74</v>
      </c>
      <c r="BM3" t="s">
        <v>74</v>
      </c>
      <c r="BN3" t="s">
        <v>74</v>
      </c>
      <c r="BO3" t="s">
        <v>74</v>
      </c>
      <c r="BP3" t="s">
        <v>74</v>
      </c>
      <c r="BQ3" t="s">
        <v>74</v>
      </c>
      <c r="BR3" t="s">
        <v>74</v>
      </c>
      <c r="BS3" t="s">
        <v>3569</v>
      </c>
      <c r="BT3" t="str">
        <f>HYPERLINK("https%3A%2F%2Fwww.webofscience.com%2Fwos%2Fwoscc%2Ffull-record%2FWOS:000437169600001","View Full Record in Web of Science")</f>
        <v>View Full Record in Web of Science</v>
      </c>
    </row>
    <row r="4" spans="1:72" x14ac:dyDescent="0.4">
      <c r="A4" t="s">
        <v>72</v>
      </c>
      <c r="B4" t="s">
        <v>5798</v>
      </c>
      <c r="C4" t="s">
        <v>74</v>
      </c>
      <c r="D4" t="s">
        <v>74</v>
      </c>
      <c r="E4" t="s">
        <v>74</v>
      </c>
      <c r="F4" t="s">
        <v>5799</v>
      </c>
      <c r="G4" t="s">
        <v>74</v>
      </c>
      <c r="H4" t="s">
        <v>74</v>
      </c>
      <c r="I4" t="s">
        <v>5800</v>
      </c>
      <c r="J4" t="s">
        <v>763</v>
      </c>
      <c r="K4" t="s">
        <v>74</v>
      </c>
      <c r="L4" t="s">
        <v>74</v>
      </c>
      <c r="M4" t="s">
        <v>74</v>
      </c>
      <c r="N4" t="s">
        <v>74</v>
      </c>
      <c r="O4" t="s">
        <v>74</v>
      </c>
      <c r="P4" t="s">
        <v>74</v>
      </c>
      <c r="Q4" t="s">
        <v>74</v>
      </c>
      <c r="R4" t="s">
        <v>74</v>
      </c>
      <c r="S4" t="s">
        <v>74</v>
      </c>
      <c r="T4" t="s">
        <v>74</v>
      </c>
      <c r="U4" t="s">
        <v>74</v>
      </c>
      <c r="V4" s="3" t="s">
        <v>5801</v>
      </c>
      <c r="W4" t="s">
        <v>74</v>
      </c>
      <c r="X4" t="s">
        <v>74</v>
      </c>
      <c r="Y4" t="s">
        <v>74</v>
      </c>
      <c r="Z4" t="s">
        <v>74</v>
      </c>
      <c r="AA4" t="s">
        <v>74</v>
      </c>
      <c r="AB4" t="s">
        <v>5802</v>
      </c>
      <c r="AC4" t="s">
        <v>74</v>
      </c>
      <c r="AD4" t="s">
        <v>74</v>
      </c>
      <c r="AE4" t="s">
        <v>74</v>
      </c>
      <c r="AF4" t="s">
        <v>74</v>
      </c>
      <c r="AG4" t="s">
        <v>74</v>
      </c>
      <c r="AH4" t="s">
        <v>74</v>
      </c>
      <c r="AI4" t="s">
        <v>74</v>
      </c>
      <c r="AJ4" t="s">
        <v>74</v>
      </c>
      <c r="AK4" t="s">
        <v>74</v>
      </c>
      <c r="AL4" t="s">
        <v>74</v>
      </c>
      <c r="AM4" t="s">
        <v>74</v>
      </c>
      <c r="AN4" t="s">
        <v>74</v>
      </c>
      <c r="AO4" t="s">
        <v>767</v>
      </c>
      <c r="AP4" t="s">
        <v>768</v>
      </c>
      <c r="AQ4" t="s">
        <v>74</v>
      </c>
      <c r="AR4" t="s">
        <v>74</v>
      </c>
      <c r="AS4" t="s">
        <v>74</v>
      </c>
      <c r="AT4" t="s">
        <v>145</v>
      </c>
      <c r="AU4">
        <v>2019</v>
      </c>
      <c r="AV4">
        <v>222</v>
      </c>
      <c r="AW4">
        <v>16</v>
      </c>
      <c r="AX4" t="s">
        <v>74</v>
      </c>
      <c r="AY4" t="s">
        <v>74</v>
      </c>
      <c r="AZ4" t="s">
        <v>74</v>
      </c>
      <c r="BA4" t="s">
        <v>74</v>
      </c>
      <c r="BB4" t="s">
        <v>74</v>
      </c>
      <c r="BC4" t="s">
        <v>74</v>
      </c>
      <c r="BD4" t="s">
        <v>5803</v>
      </c>
      <c r="BE4" t="s">
        <v>5804</v>
      </c>
      <c r="BF4" t="str">
        <f>HYPERLINK("http://dx.doi.org/10.1242/jeb.203414","http://dx.doi.org/10.1242/jeb.203414")</f>
        <v>http://dx.doi.org/10.1242/jeb.203414</v>
      </c>
      <c r="BG4" t="s">
        <v>74</v>
      </c>
      <c r="BH4" t="s">
        <v>74</v>
      </c>
      <c r="BI4" t="s">
        <v>74</v>
      </c>
      <c r="BJ4" t="s">
        <v>74</v>
      </c>
      <c r="BK4" t="s">
        <v>74</v>
      </c>
      <c r="BL4" t="s">
        <v>74</v>
      </c>
      <c r="BM4" t="s">
        <v>74</v>
      </c>
      <c r="BN4">
        <v>31315932</v>
      </c>
      <c r="BO4" t="s">
        <v>74</v>
      </c>
      <c r="BP4" t="s">
        <v>74</v>
      </c>
      <c r="BQ4" t="s">
        <v>74</v>
      </c>
      <c r="BR4" t="s">
        <v>74</v>
      </c>
      <c r="BS4" t="s">
        <v>5805</v>
      </c>
      <c r="BT4" t="str">
        <f>HYPERLINK("https%3A%2F%2Fwww.webofscience.com%2Fwos%2Fwoscc%2Ffull-record%2FWOS:000484368200006","View Full Record in Web of Science")</f>
        <v>View Full Record in Web of Science</v>
      </c>
    </row>
    <row r="5" spans="1:72" x14ac:dyDescent="0.4">
      <c r="A5" t="s">
        <v>72</v>
      </c>
      <c r="B5" t="s">
        <v>6731</v>
      </c>
      <c r="C5" t="s">
        <v>74</v>
      </c>
      <c r="D5" t="s">
        <v>74</v>
      </c>
      <c r="E5" t="s">
        <v>74</v>
      </c>
      <c r="F5" t="s">
        <v>6732</v>
      </c>
      <c r="G5" t="s">
        <v>74</v>
      </c>
      <c r="H5" t="s">
        <v>74</v>
      </c>
      <c r="I5" t="s">
        <v>6733</v>
      </c>
      <c r="J5" t="s">
        <v>1656</v>
      </c>
      <c r="K5" t="s">
        <v>74</v>
      </c>
      <c r="L5" t="s">
        <v>74</v>
      </c>
      <c r="M5" t="s">
        <v>74</v>
      </c>
      <c r="N5" t="s">
        <v>74</v>
      </c>
      <c r="O5" t="s">
        <v>74</v>
      </c>
      <c r="P5" t="s">
        <v>74</v>
      </c>
      <c r="Q5" t="s">
        <v>74</v>
      </c>
      <c r="R5" t="s">
        <v>74</v>
      </c>
      <c r="S5" t="s">
        <v>74</v>
      </c>
      <c r="T5" t="s">
        <v>74</v>
      </c>
      <c r="U5" t="s">
        <v>74</v>
      </c>
      <c r="V5" s="3" t="s">
        <v>6734</v>
      </c>
      <c r="W5" t="s">
        <v>74</v>
      </c>
      <c r="X5" t="s">
        <v>74</v>
      </c>
      <c r="Y5" t="s">
        <v>74</v>
      </c>
      <c r="Z5" t="s">
        <v>74</v>
      </c>
      <c r="AA5" t="s">
        <v>6735</v>
      </c>
      <c r="AB5" t="s">
        <v>6736</v>
      </c>
      <c r="AC5" t="s">
        <v>74</v>
      </c>
      <c r="AD5" t="s">
        <v>74</v>
      </c>
      <c r="AE5" t="s">
        <v>74</v>
      </c>
      <c r="AF5" t="s">
        <v>74</v>
      </c>
      <c r="AG5" t="s">
        <v>74</v>
      </c>
      <c r="AH5" t="s">
        <v>74</v>
      </c>
      <c r="AI5" t="s">
        <v>74</v>
      </c>
      <c r="AJ5" t="s">
        <v>74</v>
      </c>
      <c r="AK5" t="s">
        <v>74</v>
      </c>
      <c r="AL5" t="s">
        <v>74</v>
      </c>
      <c r="AM5" t="s">
        <v>74</v>
      </c>
      <c r="AN5" t="s">
        <v>74</v>
      </c>
      <c r="AO5" t="s">
        <v>1658</v>
      </c>
      <c r="AP5" t="s">
        <v>1659</v>
      </c>
      <c r="AQ5" t="s">
        <v>74</v>
      </c>
      <c r="AR5" t="s">
        <v>74</v>
      </c>
      <c r="AS5" t="s">
        <v>74</v>
      </c>
      <c r="AT5" t="s">
        <v>4744</v>
      </c>
      <c r="AU5">
        <v>2017</v>
      </c>
      <c r="AV5">
        <v>4317</v>
      </c>
      <c r="AW5">
        <v>1</v>
      </c>
      <c r="AX5" t="s">
        <v>74</v>
      </c>
      <c r="AY5" t="s">
        <v>74</v>
      </c>
      <c r="AZ5" t="s">
        <v>74</v>
      </c>
      <c r="BA5" t="s">
        <v>74</v>
      </c>
      <c r="BB5">
        <v>1</v>
      </c>
      <c r="BC5">
        <v>44</v>
      </c>
      <c r="BD5" t="s">
        <v>74</v>
      </c>
      <c r="BE5" t="s">
        <v>6737</v>
      </c>
      <c r="BF5" t="str">
        <f>HYPERLINK("http://dx.doi.org/10.11646/zootaxa.4317.1.1","http://dx.doi.org/10.11646/zootaxa.4317.1.1")</f>
        <v>http://dx.doi.org/10.11646/zootaxa.4317.1.1</v>
      </c>
      <c r="BG5" t="s">
        <v>74</v>
      </c>
      <c r="BH5" t="s">
        <v>74</v>
      </c>
      <c r="BI5" t="s">
        <v>74</v>
      </c>
      <c r="BJ5" t="s">
        <v>74</v>
      </c>
      <c r="BK5" t="s">
        <v>74</v>
      </c>
      <c r="BL5" t="s">
        <v>74</v>
      </c>
      <c r="BM5" t="s">
        <v>74</v>
      </c>
      <c r="BN5" t="s">
        <v>74</v>
      </c>
      <c r="BO5" t="s">
        <v>74</v>
      </c>
      <c r="BP5" t="s">
        <v>74</v>
      </c>
      <c r="BQ5" t="s">
        <v>74</v>
      </c>
      <c r="BR5" t="s">
        <v>74</v>
      </c>
      <c r="BS5" t="s">
        <v>6738</v>
      </c>
      <c r="BT5" t="str">
        <f>HYPERLINK("https%3A%2F%2Fwww.webofscience.com%2Fwos%2Fwoscc%2Ffull-record%2FWOS:000408796800001","View Full Record in Web of Science")</f>
        <v>View Full Record in Web of Science</v>
      </c>
    </row>
    <row r="6" spans="1:72" x14ac:dyDescent="0.4">
      <c r="A6" t="s">
        <v>72</v>
      </c>
      <c r="B6" t="s">
        <v>2386</v>
      </c>
      <c r="C6" t="s">
        <v>74</v>
      </c>
      <c r="D6" t="s">
        <v>74</v>
      </c>
      <c r="E6" t="s">
        <v>74</v>
      </c>
      <c r="F6" t="s">
        <v>2387</v>
      </c>
      <c r="G6" t="s">
        <v>74</v>
      </c>
      <c r="H6" t="s">
        <v>74</v>
      </c>
      <c r="I6" t="s">
        <v>2388</v>
      </c>
      <c r="J6" t="s">
        <v>1755</v>
      </c>
      <c r="K6" t="s">
        <v>74</v>
      </c>
      <c r="L6" t="s">
        <v>74</v>
      </c>
      <c r="M6" t="s">
        <v>74</v>
      </c>
      <c r="N6" t="s">
        <v>74</v>
      </c>
      <c r="O6" t="s">
        <v>74</v>
      </c>
      <c r="P6" t="s">
        <v>74</v>
      </c>
      <c r="Q6" t="s">
        <v>74</v>
      </c>
      <c r="R6" t="s">
        <v>74</v>
      </c>
      <c r="S6" t="s">
        <v>74</v>
      </c>
      <c r="T6" t="s">
        <v>74</v>
      </c>
      <c r="U6" t="s">
        <v>74</v>
      </c>
      <c r="V6" s="3" t="s">
        <v>2389</v>
      </c>
      <c r="W6" t="s">
        <v>74</v>
      </c>
      <c r="X6" t="s">
        <v>74</v>
      </c>
      <c r="Y6" t="s">
        <v>74</v>
      </c>
      <c r="Z6" t="s">
        <v>74</v>
      </c>
      <c r="AA6" t="s">
        <v>74</v>
      </c>
      <c r="AB6" t="s">
        <v>2390</v>
      </c>
      <c r="AC6" t="s">
        <v>74</v>
      </c>
      <c r="AD6" t="s">
        <v>74</v>
      </c>
      <c r="AE6" t="s">
        <v>74</v>
      </c>
      <c r="AF6" t="s">
        <v>74</v>
      </c>
      <c r="AG6" t="s">
        <v>74</v>
      </c>
      <c r="AH6" t="s">
        <v>74</v>
      </c>
      <c r="AI6" t="s">
        <v>74</v>
      </c>
      <c r="AJ6" t="s">
        <v>74</v>
      </c>
      <c r="AK6" t="s">
        <v>74</v>
      </c>
      <c r="AL6" t="s">
        <v>74</v>
      </c>
      <c r="AM6" t="s">
        <v>74</v>
      </c>
      <c r="AN6" t="s">
        <v>74</v>
      </c>
      <c r="AO6" t="s">
        <v>1759</v>
      </c>
      <c r="AP6" t="s">
        <v>1760</v>
      </c>
      <c r="AQ6" t="s">
        <v>74</v>
      </c>
      <c r="AR6" t="s">
        <v>74</v>
      </c>
      <c r="AS6" t="s">
        <v>74</v>
      </c>
      <c r="AT6" t="s">
        <v>123</v>
      </c>
      <c r="AU6">
        <v>2023</v>
      </c>
      <c r="AV6">
        <v>36</v>
      </c>
      <c r="AW6">
        <v>1</v>
      </c>
      <c r="AX6" t="s">
        <v>74</v>
      </c>
      <c r="AY6" t="s">
        <v>74</v>
      </c>
      <c r="AZ6" t="s">
        <v>74</v>
      </c>
      <c r="BA6" t="s">
        <v>74</v>
      </c>
      <c r="BB6">
        <v>33</v>
      </c>
      <c r="BC6">
        <v>44</v>
      </c>
      <c r="BD6" t="s">
        <v>74</v>
      </c>
      <c r="BE6" t="s">
        <v>2391</v>
      </c>
      <c r="BF6" t="str">
        <f>HYPERLINK("http://dx.doi.org/10.1007/s10905-023-09817-8","http://dx.doi.org/10.1007/s10905-023-09817-8")</f>
        <v>http://dx.doi.org/10.1007/s10905-023-09817-8</v>
      </c>
      <c r="BG6" t="s">
        <v>74</v>
      </c>
      <c r="BH6" t="s">
        <v>2392</v>
      </c>
      <c r="BI6" t="s">
        <v>74</v>
      </c>
      <c r="BJ6" t="s">
        <v>74</v>
      </c>
      <c r="BK6" t="s">
        <v>74</v>
      </c>
      <c r="BL6" t="s">
        <v>74</v>
      </c>
      <c r="BM6" t="s">
        <v>74</v>
      </c>
      <c r="BN6" t="s">
        <v>74</v>
      </c>
      <c r="BO6" t="s">
        <v>74</v>
      </c>
      <c r="BP6" t="s">
        <v>74</v>
      </c>
      <c r="BQ6" t="s">
        <v>74</v>
      </c>
      <c r="BR6" t="s">
        <v>74</v>
      </c>
      <c r="BS6" t="s">
        <v>2393</v>
      </c>
      <c r="BT6" t="str">
        <f>HYPERLINK("https%3A%2F%2Fwww.webofscience.com%2Fwos%2Fwoscc%2Ffull-record%2FWOS:000922274000001","View Full Record in Web of Science")</f>
        <v>View Full Record in Web of Science</v>
      </c>
    </row>
    <row r="7" spans="1:72" x14ac:dyDescent="0.4">
      <c r="A7" t="s">
        <v>72</v>
      </c>
      <c r="B7" t="s">
        <v>3866</v>
      </c>
      <c r="C7" t="s">
        <v>74</v>
      </c>
      <c r="D7" t="s">
        <v>74</v>
      </c>
      <c r="E7" t="s">
        <v>74</v>
      </c>
      <c r="F7" t="s">
        <v>3867</v>
      </c>
      <c r="G7" t="s">
        <v>74</v>
      </c>
      <c r="H7" t="s">
        <v>74</v>
      </c>
      <c r="I7" t="s">
        <v>3868</v>
      </c>
      <c r="J7" t="s">
        <v>129</v>
      </c>
      <c r="K7" t="s">
        <v>74</v>
      </c>
      <c r="L7" t="s">
        <v>74</v>
      </c>
      <c r="M7" t="s">
        <v>74</v>
      </c>
      <c r="N7" t="s">
        <v>74</v>
      </c>
      <c r="O7" t="s">
        <v>74</v>
      </c>
      <c r="P7" t="s">
        <v>74</v>
      </c>
      <c r="Q7" t="s">
        <v>74</v>
      </c>
      <c r="R7" t="s">
        <v>74</v>
      </c>
      <c r="S7" t="s">
        <v>74</v>
      </c>
      <c r="T7" t="s">
        <v>74</v>
      </c>
      <c r="U7" t="s">
        <v>74</v>
      </c>
      <c r="V7" s="3" t="s">
        <v>3869</v>
      </c>
      <c r="W7" t="s">
        <v>74</v>
      </c>
      <c r="X7" t="s">
        <v>74</v>
      </c>
      <c r="Y7" t="s">
        <v>74</v>
      </c>
      <c r="Z7" t="s">
        <v>74</v>
      </c>
      <c r="AA7" t="s">
        <v>3870</v>
      </c>
      <c r="AB7" t="s">
        <v>3871</v>
      </c>
      <c r="AC7" t="s">
        <v>74</v>
      </c>
      <c r="AD7" t="s">
        <v>74</v>
      </c>
      <c r="AE7" t="s">
        <v>74</v>
      </c>
      <c r="AF7" t="s">
        <v>74</v>
      </c>
      <c r="AG7" t="s">
        <v>74</v>
      </c>
      <c r="AH7" t="s">
        <v>74</v>
      </c>
      <c r="AI7" t="s">
        <v>74</v>
      </c>
      <c r="AJ7" t="s">
        <v>74</v>
      </c>
      <c r="AK7" t="s">
        <v>74</v>
      </c>
      <c r="AL7" t="s">
        <v>74</v>
      </c>
      <c r="AM7" t="s">
        <v>74</v>
      </c>
      <c r="AN7" t="s">
        <v>74</v>
      </c>
      <c r="AO7" t="s">
        <v>132</v>
      </c>
      <c r="AP7" t="s">
        <v>133</v>
      </c>
      <c r="AQ7" t="s">
        <v>74</v>
      </c>
      <c r="AR7" t="s">
        <v>74</v>
      </c>
      <c r="AS7" t="s">
        <v>74</v>
      </c>
      <c r="AT7" t="s">
        <v>134</v>
      </c>
      <c r="AU7">
        <v>2023</v>
      </c>
      <c r="AV7">
        <v>77</v>
      </c>
      <c r="AW7">
        <v>5</v>
      </c>
      <c r="AX7" t="s">
        <v>74</v>
      </c>
      <c r="AY7" t="s">
        <v>74</v>
      </c>
      <c r="AZ7" t="s">
        <v>74</v>
      </c>
      <c r="BA7" t="s">
        <v>74</v>
      </c>
      <c r="BB7" t="s">
        <v>74</v>
      </c>
      <c r="BC7" t="s">
        <v>74</v>
      </c>
      <c r="BD7">
        <v>57</v>
      </c>
      <c r="BE7" t="s">
        <v>3872</v>
      </c>
      <c r="BF7" t="str">
        <f>HYPERLINK("http://dx.doi.org/10.1007/s00265-023-03336-4","http://dx.doi.org/10.1007/s00265-023-03336-4")</f>
        <v>http://dx.doi.org/10.1007/s00265-023-03336-4</v>
      </c>
      <c r="BG7" t="s">
        <v>74</v>
      </c>
      <c r="BH7" t="s">
        <v>74</v>
      </c>
      <c r="BI7" t="s">
        <v>74</v>
      </c>
      <c r="BJ7" t="s">
        <v>74</v>
      </c>
      <c r="BK7" t="s">
        <v>74</v>
      </c>
      <c r="BL7" t="s">
        <v>74</v>
      </c>
      <c r="BM7" t="s">
        <v>74</v>
      </c>
      <c r="BN7" t="s">
        <v>74</v>
      </c>
      <c r="BO7" t="s">
        <v>74</v>
      </c>
      <c r="BP7" t="s">
        <v>74</v>
      </c>
      <c r="BQ7" t="s">
        <v>74</v>
      </c>
      <c r="BR7" t="s">
        <v>74</v>
      </c>
      <c r="BS7" t="s">
        <v>3873</v>
      </c>
      <c r="BT7" t="str">
        <f>HYPERLINK("https%3A%2F%2Fwww.webofscience.com%2Fwos%2Fwoscc%2Ffull-record%2FWOS:000993946500002","View Full Record in Web of Science")</f>
        <v>View Full Record in Web of Science</v>
      </c>
    </row>
    <row r="8" spans="1:72" x14ac:dyDescent="0.4">
      <c r="A8" t="s">
        <v>72</v>
      </c>
      <c r="B8" t="s">
        <v>5314</v>
      </c>
      <c r="C8" t="s">
        <v>74</v>
      </c>
      <c r="D8" t="s">
        <v>74</v>
      </c>
      <c r="E8" t="s">
        <v>74</v>
      </c>
      <c r="F8" t="s">
        <v>5314</v>
      </c>
      <c r="G8" t="s">
        <v>74</v>
      </c>
      <c r="H8" t="s">
        <v>74</v>
      </c>
      <c r="I8" t="s">
        <v>5315</v>
      </c>
      <c r="J8" t="s">
        <v>108</v>
      </c>
      <c r="K8" t="s">
        <v>74</v>
      </c>
      <c r="L8" t="s">
        <v>74</v>
      </c>
      <c r="M8" t="s">
        <v>74</v>
      </c>
      <c r="N8" t="s">
        <v>74</v>
      </c>
      <c r="O8" t="s">
        <v>74</v>
      </c>
      <c r="P8" t="s">
        <v>74</v>
      </c>
      <c r="Q8" t="s">
        <v>74</v>
      </c>
      <c r="R8" t="s">
        <v>74</v>
      </c>
      <c r="S8" t="s">
        <v>74</v>
      </c>
      <c r="T8" t="s">
        <v>74</v>
      </c>
      <c r="U8" t="s">
        <v>74</v>
      </c>
      <c r="V8" s="3" t="s">
        <v>5316</v>
      </c>
      <c r="W8" t="s">
        <v>74</v>
      </c>
      <c r="X8" t="s">
        <v>74</v>
      </c>
      <c r="Y8" t="s">
        <v>74</v>
      </c>
      <c r="Z8" t="s">
        <v>74</v>
      </c>
      <c r="AA8" t="s">
        <v>5317</v>
      </c>
      <c r="AB8" t="s">
        <v>5318</v>
      </c>
      <c r="AC8" t="s">
        <v>74</v>
      </c>
      <c r="AD8" t="s">
        <v>74</v>
      </c>
      <c r="AE8" t="s">
        <v>74</v>
      </c>
      <c r="AF8" t="s">
        <v>74</v>
      </c>
      <c r="AG8" t="s">
        <v>74</v>
      </c>
      <c r="AH8" t="s">
        <v>74</v>
      </c>
      <c r="AI8" t="s">
        <v>74</v>
      </c>
      <c r="AJ8" t="s">
        <v>74</v>
      </c>
      <c r="AK8" t="s">
        <v>74</v>
      </c>
      <c r="AL8" t="s">
        <v>74</v>
      </c>
      <c r="AM8" t="s">
        <v>74</v>
      </c>
      <c r="AN8" t="s">
        <v>74</v>
      </c>
      <c r="AO8" t="s">
        <v>111</v>
      </c>
      <c r="AP8" t="s">
        <v>74</v>
      </c>
      <c r="AQ8" t="s">
        <v>74</v>
      </c>
      <c r="AR8" t="s">
        <v>74</v>
      </c>
      <c r="AS8" t="s">
        <v>74</v>
      </c>
      <c r="AT8" t="s">
        <v>5319</v>
      </c>
      <c r="AU8">
        <v>1994</v>
      </c>
      <c r="AV8">
        <v>256</v>
      </c>
      <c r="AW8">
        <v>1346</v>
      </c>
      <c r="AX8" t="s">
        <v>74</v>
      </c>
      <c r="AY8" t="s">
        <v>74</v>
      </c>
      <c r="AZ8" t="s">
        <v>74</v>
      </c>
      <c r="BA8" t="s">
        <v>74</v>
      </c>
      <c r="BB8">
        <v>113</v>
      </c>
      <c r="BC8">
        <v>118</v>
      </c>
      <c r="BD8" t="s">
        <v>74</v>
      </c>
      <c r="BE8" t="s">
        <v>5320</v>
      </c>
      <c r="BF8" t="str">
        <f>HYPERLINK("http://dx.doi.org/10.1098/rspb.1994.0057","http://dx.doi.org/10.1098/rspb.1994.0057")</f>
        <v>http://dx.doi.org/10.1098/rspb.1994.0057</v>
      </c>
      <c r="BG8" t="s">
        <v>74</v>
      </c>
      <c r="BH8" t="s">
        <v>74</v>
      </c>
      <c r="BI8" t="s">
        <v>74</v>
      </c>
      <c r="BJ8" t="s">
        <v>74</v>
      </c>
      <c r="BK8" t="s">
        <v>74</v>
      </c>
      <c r="BL8" t="s">
        <v>74</v>
      </c>
      <c r="BM8" t="s">
        <v>74</v>
      </c>
      <c r="BN8" t="s">
        <v>74</v>
      </c>
      <c r="BO8" t="s">
        <v>74</v>
      </c>
      <c r="BP8" t="s">
        <v>74</v>
      </c>
      <c r="BQ8" t="s">
        <v>74</v>
      </c>
      <c r="BR8" t="s">
        <v>74</v>
      </c>
      <c r="BS8" t="s">
        <v>5321</v>
      </c>
      <c r="BT8" t="str">
        <f>HYPERLINK("https%3A%2F%2Fwww.webofscience.com%2Fwos%2Fwoscc%2Ffull-record%2FWOS:A1994NN67200002","View Full Record in Web of Science")</f>
        <v>View Full Record in Web of Science</v>
      </c>
    </row>
    <row r="9" spans="1:72" x14ac:dyDescent="0.4">
      <c r="A9" t="s">
        <v>72</v>
      </c>
      <c r="B9" t="s">
        <v>3645</v>
      </c>
      <c r="C9" t="s">
        <v>74</v>
      </c>
      <c r="D9" t="s">
        <v>74</v>
      </c>
      <c r="E9" t="s">
        <v>74</v>
      </c>
      <c r="F9" t="s">
        <v>3646</v>
      </c>
      <c r="G9" t="s">
        <v>74</v>
      </c>
      <c r="H9" t="s">
        <v>74</v>
      </c>
      <c r="I9" t="s">
        <v>3647</v>
      </c>
      <c r="J9" t="s">
        <v>140</v>
      </c>
      <c r="K9" t="s">
        <v>74</v>
      </c>
      <c r="L9" t="s">
        <v>74</v>
      </c>
      <c r="M9" t="s">
        <v>74</v>
      </c>
      <c r="N9" t="s">
        <v>74</v>
      </c>
      <c r="O9" t="s">
        <v>74</v>
      </c>
      <c r="P9" t="s">
        <v>74</v>
      </c>
      <c r="Q9" t="s">
        <v>74</v>
      </c>
      <c r="R9" t="s">
        <v>74</v>
      </c>
      <c r="S9" t="s">
        <v>74</v>
      </c>
      <c r="T9" t="s">
        <v>74</v>
      </c>
      <c r="U9" t="s">
        <v>74</v>
      </c>
      <c r="V9" s="3" t="s">
        <v>3648</v>
      </c>
      <c r="W9" t="s">
        <v>74</v>
      </c>
      <c r="X9" t="s">
        <v>74</v>
      </c>
      <c r="Y9" t="s">
        <v>74</v>
      </c>
      <c r="Z9" t="s">
        <v>74</v>
      </c>
      <c r="AA9" t="s">
        <v>74</v>
      </c>
      <c r="AB9" t="s">
        <v>3649</v>
      </c>
      <c r="AC9" t="s">
        <v>74</v>
      </c>
      <c r="AD9" t="s">
        <v>74</v>
      </c>
      <c r="AE9" t="s">
        <v>74</v>
      </c>
      <c r="AF9" t="s">
        <v>74</v>
      </c>
      <c r="AG9" t="s">
        <v>74</v>
      </c>
      <c r="AH9" t="s">
        <v>74</v>
      </c>
      <c r="AI9" t="s">
        <v>74</v>
      </c>
      <c r="AJ9" t="s">
        <v>74</v>
      </c>
      <c r="AK9" t="s">
        <v>74</v>
      </c>
      <c r="AL9" t="s">
        <v>74</v>
      </c>
      <c r="AM9" t="s">
        <v>74</v>
      </c>
      <c r="AN9" t="s">
        <v>74</v>
      </c>
      <c r="AO9" t="s">
        <v>143</v>
      </c>
      <c r="AP9" t="s">
        <v>144</v>
      </c>
      <c r="AQ9" t="s">
        <v>74</v>
      </c>
      <c r="AR9" t="s">
        <v>74</v>
      </c>
      <c r="AS9" t="s">
        <v>74</v>
      </c>
      <c r="AT9" t="s">
        <v>352</v>
      </c>
      <c r="AU9">
        <v>2022</v>
      </c>
      <c r="AV9">
        <v>191</v>
      </c>
      <c r="AW9" t="s">
        <v>74</v>
      </c>
      <c r="AX9" t="s">
        <v>74</v>
      </c>
      <c r="AY9" t="s">
        <v>74</v>
      </c>
      <c r="AZ9" t="s">
        <v>74</v>
      </c>
      <c r="BA9" t="s">
        <v>74</v>
      </c>
      <c r="BB9">
        <v>1</v>
      </c>
      <c r="BC9">
        <v>13</v>
      </c>
      <c r="BD9" t="s">
        <v>74</v>
      </c>
      <c r="BE9" t="s">
        <v>3650</v>
      </c>
      <c r="BF9" t="str">
        <f>HYPERLINK("http://dx.doi.org/10.1016/j.anbehav.2022.06.013","http://dx.doi.org/10.1016/j.anbehav.2022.06.013")</f>
        <v>http://dx.doi.org/10.1016/j.anbehav.2022.06.013</v>
      </c>
      <c r="BG9" t="s">
        <v>74</v>
      </c>
      <c r="BH9" t="s">
        <v>2832</v>
      </c>
      <c r="BI9" t="s">
        <v>74</v>
      </c>
      <c r="BJ9" t="s">
        <v>74</v>
      </c>
      <c r="BK9" t="s">
        <v>74</v>
      </c>
      <c r="BL9" t="s">
        <v>74</v>
      </c>
      <c r="BM9" t="s">
        <v>74</v>
      </c>
      <c r="BN9" t="s">
        <v>74</v>
      </c>
      <c r="BO9" t="s">
        <v>74</v>
      </c>
      <c r="BP9" t="s">
        <v>74</v>
      </c>
      <c r="BQ9" t="s">
        <v>74</v>
      </c>
      <c r="BR9" t="s">
        <v>74</v>
      </c>
      <c r="BS9" t="s">
        <v>3651</v>
      </c>
      <c r="BT9" t="str">
        <f>HYPERLINK("https%3A%2F%2Fwww.webofscience.com%2Fwos%2Fwoscc%2Ffull-record%2FWOS:000860712600001","View Full Record in Web of Science")</f>
        <v>View Full Record in Web of Science</v>
      </c>
    </row>
    <row r="10" spans="1:72" x14ac:dyDescent="0.4">
      <c r="A10" t="s">
        <v>72</v>
      </c>
      <c r="B10" t="s">
        <v>2740</v>
      </c>
      <c r="C10" t="s">
        <v>74</v>
      </c>
      <c r="D10" t="s">
        <v>74</v>
      </c>
      <c r="E10" t="s">
        <v>74</v>
      </c>
      <c r="F10" t="s">
        <v>2741</v>
      </c>
      <c r="G10" t="s">
        <v>74</v>
      </c>
      <c r="H10" t="s">
        <v>74</v>
      </c>
      <c r="I10" t="s">
        <v>2742</v>
      </c>
      <c r="J10" t="s">
        <v>408</v>
      </c>
      <c r="K10" t="s">
        <v>74</v>
      </c>
      <c r="L10" t="s">
        <v>74</v>
      </c>
      <c r="M10" t="s">
        <v>74</v>
      </c>
      <c r="N10" t="s">
        <v>74</v>
      </c>
      <c r="O10" t="s">
        <v>74</v>
      </c>
      <c r="P10" t="s">
        <v>74</v>
      </c>
      <c r="Q10" t="s">
        <v>74</v>
      </c>
      <c r="R10" t="s">
        <v>74</v>
      </c>
      <c r="S10" t="s">
        <v>74</v>
      </c>
      <c r="T10" t="s">
        <v>74</v>
      </c>
      <c r="U10" t="s">
        <v>74</v>
      </c>
      <c r="V10" s="3" t="s">
        <v>2743</v>
      </c>
      <c r="W10" t="s">
        <v>74</v>
      </c>
      <c r="X10" t="s">
        <v>74</v>
      </c>
      <c r="Y10" t="s">
        <v>74</v>
      </c>
      <c r="Z10" t="s">
        <v>74</v>
      </c>
      <c r="AA10" t="s">
        <v>2744</v>
      </c>
      <c r="AB10" t="s">
        <v>2745</v>
      </c>
      <c r="AC10" t="s">
        <v>74</v>
      </c>
      <c r="AD10" t="s">
        <v>74</v>
      </c>
      <c r="AE10" t="s">
        <v>74</v>
      </c>
      <c r="AF10" t="s">
        <v>74</v>
      </c>
      <c r="AG10" t="s">
        <v>74</v>
      </c>
      <c r="AH10" t="s">
        <v>74</v>
      </c>
      <c r="AI10" t="s">
        <v>74</v>
      </c>
      <c r="AJ10" t="s">
        <v>74</v>
      </c>
      <c r="AK10" t="s">
        <v>74</v>
      </c>
      <c r="AL10" t="s">
        <v>74</v>
      </c>
      <c r="AM10" t="s">
        <v>74</v>
      </c>
      <c r="AN10" t="s">
        <v>74</v>
      </c>
      <c r="AO10" t="s">
        <v>412</v>
      </c>
      <c r="AP10" t="s">
        <v>413</v>
      </c>
      <c r="AQ10" t="s">
        <v>74</v>
      </c>
      <c r="AR10" t="s">
        <v>74</v>
      </c>
      <c r="AS10" t="s">
        <v>74</v>
      </c>
      <c r="AT10" t="s">
        <v>134</v>
      </c>
      <c r="AU10">
        <v>2007</v>
      </c>
      <c r="AV10">
        <v>91</v>
      </c>
      <c r="AW10">
        <v>1</v>
      </c>
      <c r="AX10" t="s">
        <v>74</v>
      </c>
      <c r="AY10" t="s">
        <v>74</v>
      </c>
      <c r="AZ10" t="s">
        <v>74</v>
      </c>
      <c r="BA10" t="s">
        <v>74</v>
      </c>
      <c r="BB10">
        <v>37</v>
      </c>
      <c r="BC10">
        <v>48</v>
      </c>
      <c r="BD10" t="s">
        <v>74</v>
      </c>
      <c r="BE10" t="s">
        <v>2746</v>
      </c>
      <c r="BF10" t="str">
        <f>HYPERLINK("http://dx.doi.org/10.1111/j.1095-8312.2007.00777.x","http://dx.doi.org/10.1111/j.1095-8312.2007.00777.x")</f>
        <v>http://dx.doi.org/10.1111/j.1095-8312.2007.00777.x</v>
      </c>
      <c r="BG10" t="s">
        <v>74</v>
      </c>
      <c r="BH10" t="s">
        <v>74</v>
      </c>
      <c r="BI10" t="s">
        <v>74</v>
      </c>
      <c r="BJ10" t="s">
        <v>74</v>
      </c>
      <c r="BK10" t="s">
        <v>74</v>
      </c>
      <c r="BL10" t="s">
        <v>74</v>
      </c>
      <c r="BM10" t="s">
        <v>74</v>
      </c>
      <c r="BN10" t="s">
        <v>74</v>
      </c>
      <c r="BO10" t="s">
        <v>74</v>
      </c>
      <c r="BP10" t="s">
        <v>74</v>
      </c>
      <c r="BQ10" t="s">
        <v>74</v>
      </c>
      <c r="BR10" t="s">
        <v>74</v>
      </c>
      <c r="BS10" t="s">
        <v>2747</v>
      </c>
      <c r="BT10" t="str">
        <f>HYPERLINK("https%3A%2F%2Fwww.webofscience.com%2Fwos%2Fwoscc%2Ffull-record%2FWOS:000245938100004","View Full Record in Web of Science")</f>
        <v>View Full Record in Web of Science</v>
      </c>
    </row>
    <row r="11" spans="1:72" x14ac:dyDescent="0.4">
      <c r="A11" t="s">
        <v>72</v>
      </c>
      <c r="B11" t="s">
        <v>7390</v>
      </c>
      <c r="C11" t="s">
        <v>74</v>
      </c>
      <c r="D11" t="s">
        <v>74</v>
      </c>
      <c r="E11" t="s">
        <v>74</v>
      </c>
      <c r="F11" t="s">
        <v>7391</v>
      </c>
      <c r="G11" t="s">
        <v>74</v>
      </c>
      <c r="H11" t="s">
        <v>74</v>
      </c>
      <c r="I11" t="s">
        <v>7392</v>
      </c>
      <c r="J11" t="s">
        <v>7393</v>
      </c>
      <c r="K11" t="s">
        <v>74</v>
      </c>
      <c r="L11" t="s">
        <v>74</v>
      </c>
      <c r="M11" t="s">
        <v>74</v>
      </c>
      <c r="N11" t="s">
        <v>74</v>
      </c>
      <c r="O11" t="s">
        <v>74</v>
      </c>
      <c r="P11" t="s">
        <v>74</v>
      </c>
      <c r="Q11" t="s">
        <v>74</v>
      </c>
      <c r="R11" t="s">
        <v>74</v>
      </c>
      <c r="S11" t="s">
        <v>74</v>
      </c>
      <c r="T11" t="s">
        <v>74</v>
      </c>
      <c r="U11" t="s">
        <v>74</v>
      </c>
      <c r="V11" s="3" t="s">
        <v>7394</v>
      </c>
      <c r="W11" t="s">
        <v>74</v>
      </c>
      <c r="X11" t="s">
        <v>74</v>
      </c>
      <c r="Y11" t="s">
        <v>74</v>
      </c>
      <c r="Z11" t="s">
        <v>74</v>
      </c>
      <c r="AA11" t="s">
        <v>7395</v>
      </c>
      <c r="AB11" t="s">
        <v>7396</v>
      </c>
      <c r="AC11" t="s">
        <v>74</v>
      </c>
      <c r="AD11" t="s">
        <v>74</v>
      </c>
      <c r="AE11" t="s">
        <v>74</v>
      </c>
      <c r="AF11" t="s">
        <v>74</v>
      </c>
      <c r="AG11" t="s">
        <v>74</v>
      </c>
      <c r="AH11" t="s">
        <v>74</v>
      </c>
      <c r="AI11" t="s">
        <v>74</v>
      </c>
      <c r="AJ11" t="s">
        <v>74</v>
      </c>
      <c r="AK11" t="s">
        <v>74</v>
      </c>
      <c r="AL11" t="s">
        <v>74</v>
      </c>
      <c r="AM11" t="s">
        <v>74</v>
      </c>
      <c r="AN11" t="s">
        <v>74</v>
      </c>
      <c r="AO11" t="s">
        <v>7397</v>
      </c>
      <c r="AP11" t="s">
        <v>7398</v>
      </c>
      <c r="AQ11" t="s">
        <v>74</v>
      </c>
      <c r="AR11" t="s">
        <v>74</v>
      </c>
      <c r="AS11" t="s">
        <v>74</v>
      </c>
      <c r="AT11" t="s">
        <v>352</v>
      </c>
      <c r="AU11">
        <v>2019</v>
      </c>
      <c r="AV11">
        <v>107</v>
      </c>
      <c r="AW11">
        <v>5</v>
      </c>
      <c r="AX11" t="s">
        <v>74</v>
      </c>
      <c r="AY11" t="s">
        <v>74</v>
      </c>
      <c r="AZ11" t="s">
        <v>74</v>
      </c>
      <c r="BA11" t="s">
        <v>74</v>
      </c>
      <c r="BB11">
        <v>2167</v>
      </c>
      <c r="BC11">
        <v>2181</v>
      </c>
      <c r="BD11" t="s">
        <v>74</v>
      </c>
      <c r="BE11" t="s">
        <v>7399</v>
      </c>
      <c r="BF11" t="str">
        <f>HYPERLINK("http://dx.doi.org/10.1111/1365-2745.13183","http://dx.doi.org/10.1111/1365-2745.13183")</f>
        <v>http://dx.doi.org/10.1111/1365-2745.13183</v>
      </c>
      <c r="BG11" t="s">
        <v>74</v>
      </c>
      <c r="BH11" t="s">
        <v>74</v>
      </c>
      <c r="BI11" t="s">
        <v>74</v>
      </c>
      <c r="BJ11" t="s">
        <v>74</v>
      </c>
      <c r="BK11" t="s">
        <v>74</v>
      </c>
      <c r="BL11" t="s">
        <v>74</v>
      </c>
      <c r="BM11" t="s">
        <v>74</v>
      </c>
      <c r="BN11" t="s">
        <v>74</v>
      </c>
      <c r="BO11" t="s">
        <v>74</v>
      </c>
      <c r="BP11" t="s">
        <v>74</v>
      </c>
      <c r="BQ11" t="s">
        <v>74</v>
      </c>
      <c r="BR11" t="s">
        <v>74</v>
      </c>
      <c r="BS11" t="s">
        <v>7400</v>
      </c>
      <c r="BT11" t="str">
        <f>HYPERLINK("https%3A%2F%2Fwww.webofscience.com%2Fwos%2Fwoscc%2Ffull-record%2FWOS:000484311000012","View Full Record in Web of Science")</f>
        <v>View Full Record in Web of Science</v>
      </c>
    </row>
    <row r="12" spans="1:72" x14ac:dyDescent="0.4">
      <c r="A12" t="s">
        <v>72</v>
      </c>
      <c r="B12" t="s">
        <v>4653</v>
      </c>
      <c r="C12" t="s">
        <v>74</v>
      </c>
      <c r="D12" t="s">
        <v>74</v>
      </c>
      <c r="E12" t="s">
        <v>74</v>
      </c>
      <c r="F12" t="s">
        <v>4653</v>
      </c>
      <c r="G12" t="s">
        <v>74</v>
      </c>
      <c r="H12" t="s">
        <v>74</v>
      </c>
      <c r="I12" t="s">
        <v>4654</v>
      </c>
      <c r="J12" t="s">
        <v>4655</v>
      </c>
      <c r="K12" t="s">
        <v>74</v>
      </c>
      <c r="L12" t="s">
        <v>74</v>
      </c>
      <c r="M12" t="s">
        <v>74</v>
      </c>
      <c r="N12" t="s">
        <v>74</v>
      </c>
      <c r="O12" t="s">
        <v>74</v>
      </c>
      <c r="P12" t="s">
        <v>74</v>
      </c>
      <c r="Q12" t="s">
        <v>74</v>
      </c>
      <c r="R12" t="s">
        <v>74</v>
      </c>
      <c r="S12" t="s">
        <v>74</v>
      </c>
      <c r="T12" t="s">
        <v>74</v>
      </c>
      <c r="U12" t="s">
        <v>74</v>
      </c>
      <c r="V12" s="3" t="s">
        <v>4656</v>
      </c>
      <c r="W12" t="s">
        <v>74</v>
      </c>
      <c r="X12" t="s">
        <v>74</v>
      </c>
      <c r="Y12" t="s">
        <v>74</v>
      </c>
      <c r="Z12" t="s">
        <v>74</v>
      </c>
      <c r="AA12" t="s">
        <v>74</v>
      </c>
      <c r="AB12" t="s">
        <v>74</v>
      </c>
      <c r="AC12" t="s">
        <v>74</v>
      </c>
      <c r="AD12" t="s">
        <v>74</v>
      </c>
      <c r="AE12" t="s">
        <v>74</v>
      </c>
      <c r="AF12" t="s">
        <v>74</v>
      </c>
      <c r="AG12" t="s">
        <v>74</v>
      </c>
      <c r="AH12" t="s">
        <v>74</v>
      </c>
      <c r="AI12" t="s">
        <v>74</v>
      </c>
      <c r="AJ12" t="s">
        <v>74</v>
      </c>
      <c r="AK12" t="s">
        <v>74</v>
      </c>
      <c r="AL12" t="s">
        <v>74</v>
      </c>
      <c r="AM12" t="s">
        <v>74</v>
      </c>
      <c r="AN12" t="s">
        <v>74</v>
      </c>
      <c r="AO12" t="s">
        <v>4657</v>
      </c>
      <c r="AP12" t="s">
        <v>74</v>
      </c>
      <c r="AQ12" t="s">
        <v>74</v>
      </c>
      <c r="AR12" t="s">
        <v>74</v>
      </c>
      <c r="AS12" t="s">
        <v>74</v>
      </c>
      <c r="AT12" t="s">
        <v>74</v>
      </c>
      <c r="AU12">
        <v>1984</v>
      </c>
      <c r="AV12">
        <v>96</v>
      </c>
      <c r="AW12">
        <v>4</v>
      </c>
      <c r="AX12" t="s">
        <v>74</v>
      </c>
      <c r="AY12" t="s">
        <v>74</v>
      </c>
      <c r="AZ12" t="s">
        <v>74</v>
      </c>
      <c r="BA12" t="s">
        <v>74</v>
      </c>
      <c r="BB12">
        <v>603</v>
      </c>
      <c r="BC12">
        <v>618</v>
      </c>
      <c r="BD12" t="s">
        <v>74</v>
      </c>
      <c r="BE12" t="s">
        <v>74</v>
      </c>
      <c r="BF12" t="s">
        <v>74</v>
      </c>
      <c r="BG12" t="s">
        <v>74</v>
      </c>
      <c r="BH12" t="s">
        <v>74</v>
      </c>
      <c r="BI12" t="s">
        <v>74</v>
      </c>
      <c r="BJ12" t="s">
        <v>74</v>
      </c>
      <c r="BK12" t="s">
        <v>74</v>
      </c>
      <c r="BL12" t="s">
        <v>74</v>
      </c>
      <c r="BM12" t="s">
        <v>74</v>
      </c>
      <c r="BN12" t="s">
        <v>74</v>
      </c>
      <c r="BO12" t="s">
        <v>74</v>
      </c>
      <c r="BP12" t="s">
        <v>74</v>
      </c>
      <c r="BQ12" t="s">
        <v>74</v>
      </c>
      <c r="BR12" t="s">
        <v>74</v>
      </c>
      <c r="BS12" t="s">
        <v>4658</v>
      </c>
      <c r="BT12" t="str">
        <f>HYPERLINK("https%3A%2F%2Fwww.webofscience.com%2Fwos%2Fwoscc%2Ffull-record%2FWOS:A1984ACX3700007","View Full Record in Web of Science")</f>
        <v>View Full Record in Web of Science</v>
      </c>
    </row>
    <row r="13" spans="1:72" x14ac:dyDescent="0.4">
      <c r="A13" t="s">
        <v>72</v>
      </c>
      <c r="B13" t="s">
        <v>5607</v>
      </c>
      <c r="C13" t="s">
        <v>74</v>
      </c>
      <c r="D13" t="s">
        <v>74</v>
      </c>
      <c r="E13" t="s">
        <v>74</v>
      </c>
      <c r="F13" t="s">
        <v>5608</v>
      </c>
      <c r="G13" t="s">
        <v>74</v>
      </c>
      <c r="H13" t="s">
        <v>74</v>
      </c>
      <c r="I13" t="s">
        <v>5609</v>
      </c>
      <c r="J13" t="s">
        <v>140</v>
      </c>
      <c r="K13" t="s">
        <v>74</v>
      </c>
      <c r="L13" t="s">
        <v>74</v>
      </c>
      <c r="M13" t="s">
        <v>74</v>
      </c>
      <c r="N13" t="s">
        <v>74</v>
      </c>
      <c r="O13" t="s">
        <v>74</v>
      </c>
      <c r="P13" t="s">
        <v>74</v>
      </c>
      <c r="Q13" t="s">
        <v>74</v>
      </c>
      <c r="R13" t="s">
        <v>74</v>
      </c>
      <c r="S13" t="s">
        <v>74</v>
      </c>
      <c r="T13" t="s">
        <v>74</v>
      </c>
      <c r="U13" t="s">
        <v>74</v>
      </c>
      <c r="V13" s="3" t="s">
        <v>5610</v>
      </c>
      <c r="W13" t="s">
        <v>74</v>
      </c>
      <c r="X13" t="s">
        <v>74</v>
      </c>
      <c r="Y13" t="s">
        <v>74</v>
      </c>
      <c r="Z13" t="s">
        <v>74</v>
      </c>
      <c r="AA13" t="s">
        <v>74</v>
      </c>
      <c r="AB13" t="s">
        <v>5611</v>
      </c>
      <c r="AC13" t="s">
        <v>74</v>
      </c>
      <c r="AD13" t="s">
        <v>74</v>
      </c>
      <c r="AE13" t="s">
        <v>74</v>
      </c>
      <c r="AF13" t="s">
        <v>74</v>
      </c>
      <c r="AG13" t="s">
        <v>74</v>
      </c>
      <c r="AH13" t="s">
        <v>74</v>
      </c>
      <c r="AI13" t="s">
        <v>74</v>
      </c>
      <c r="AJ13" t="s">
        <v>74</v>
      </c>
      <c r="AK13" t="s">
        <v>74</v>
      </c>
      <c r="AL13" t="s">
        <v>74</v>
      </c>
      <c r="AM13" t="s">
        <v>74</v>
      </c>
      <c r="AN13" t="s">
        <v>74</v>
      </c>
      <c r="AO13" t="s">
        <v>143</v>
      </c>
      <c r="AP13" t="s">
        <v>144</v>
      </c>
      <c r="AQ13" t="s">
        <v>74</v>
      </c>
      <c r="AR13" t="s">
        <v>74</v>
      </c>
      <c r="AS13" t="s">
        <v>74</v>
      </c>
      <c r="AT13" t="s">
        <v>175</v>
      </c>
      <c r="AU13">
        <v>2021</v>
      </c>
      <c r="AV13">
        <v>180</v>
      </c>
      <c r="AW13" t="s">
        <v>74</v>
      </c>
      <c r="AX13" t="s">
        <v>74</v>
      </c>
      <c r="AY13" t="s">
        <v>74</v>
      </c>
      <c r="AZ13" t="s">
        <v>74</v>
      </c>
      <c r="BA13" t="s">
        <v>74</v>
      </c>
      <c r="BB13">
        <v>337</v>
      </c>
      <c r="BC13">
        <v>361</v>
      </c>
      <c r="BD13" t="s">
        <v>74</v>
      </c>
      <c r="BE13" t="s">
        <v>5612</v>
      </c>
      <c r="BF13" t="str">
        <f>HYPERLINK("http://dx.doi.org/10.1016/j.anbehav.2021.08.018","http://dx.doi.org/10.1016/j.anbehav.2021.08.018")</f>
        <v>http://dx.doi.org/10.1016/j.anbehav.2021.08.018</v>
      </c>
      <c r="BG13" t="s">
        <v>74</v>
      </c>
      <c r="BH13" t="s">
        <v>675</v>
      </c>
      <c r="BI13" t="s">
        <v>74</v>
      </c>
      <c r="BJ13" t="s">
        <v>74</v>
      </c>
      <c r="BK13" t="s">
        <v>74</v>
      </c>
      <c r="BL13" t="s">
        <v>74</v>
      </c>
      <c r="BM13" t="s">
        <v>74</v>
      </c>
      <c r="BN13" t="s">
        <v>74</v>
      </c>
      <c r="BO13" t="s">
        <v>74</v>
      </c>
      <c r="BP13" t="s">
        <v>74</v>
      </c>
      <c r="BQ13" t="s">
        <v>74</v>
      </c>
      <c r="BR13" t="s">
        <v>74</v>
      </c>
      <c r="BS13" t="s">
        <v>5613</v>
      </c>
      <c r="BT13" t="str">
        <f>HYPERLINK("https%3A%2F%2Fwww.webofscience.com%2Fwos%2Fwoscc%2Ffull-record%2FWOS:000707744600009","View Full Record in Web of Science")</f>
        <v>View Full Record in Web of Science</v>
      </c>
    </row>
    <row r="14" spans="1:72" x14ac:dyDescent="0.4">
      <c r="A14" t="s">
        <v>72</v>
      </c>
      <c r="B14" t="s">
        <v>6318</v>
      </c>
      <c r="C14" t="s">
        <v>74</v>
      </c>
      <c r="D14" t="s">
        <v>74</v>
      </c>
      <c r="E14" t="s">
        <v>74</v>
      </c>
      <c r="F14" t="s">
        <v>6319</v>
      </c>
      <c r="G14" t="s">
        <v>74</v>
      </c>
      <c r="H14" t="s">
        <v>74</v>
      </c>
      <c r="I14" t="s">
        <v>6320</v>
      </c>
      <c r="J14" t="s">
        <v>2207</v>
      </c>
      <c r="K14" t="s">
        <v>74</v>
      </c>
      <c r="L14" t="s">
        <v>74</v>
      </c>
      <c r="M14" t="s">
        <v>74</v>
      </c>
      <c r="N14" t="s">
        <v>74</v>
      </c>
      <c r="O14" t="s">
        <v>74</v>
      </c>
      <c r="P14" t="s">
        <v>74</v>
      </c>
      <c r="Q14" t="s">
        <v>74</v>
      </c>
      <c r="R14" t="s">
        <v>74</v>
      </c>
      <c r="S14" t="s">
        <v>74</v>
      </c>
      <c r="T14" t="s">
        <v>74</v>
      </c>
      <c r="U14" t="s">
        <v>74</v>
      </c>
      <c r="V14" s="3" t="s">
        <v>6321</v>
      </c>
      <c r="W14" t="s">
        <v>74</v>
      </c>
      <c r="X14" t="s">
        <v>74</v>
      </c>
      <c r="Y14" t="s">
        <v>74</v>
      </c>
      <c r="Z14" t="s">
        <v>74</v>
      </c>
      <c r="AA14" t="s">
        <v>6322</v>
      </c>
      <c r="AB14" t="s">
        <v>6323</v>
      </c>
      <c r="AC14" t="s">
        <v>74</v>
      </c>
      <c r="AD14" t="s">
        <v>74</v>
      </c>
      <c r="AE14" t="s">
        <v>74</v>
      </c>
      <c r="AF14" t="s">
        <v>74</v>
      </c>
      <c r="AG14" t="s">
        <v>74</v>
      </c>
      <c r="AH14" t="s">
        <v>74</v>
      </c>
      <c r="AI14" t="s">
        <v>74</v>
      </c>
      <c r="AJ14" t="s">
        <v>74</v>
      </c>
      <c r="AK14" t="s">
        <v>74</v>
      </c>
      <c r="AL14" t="s">
        <v>74</v>
      </c>
      <c r="AM14" t="s">
        <v>74</v>
      </c>
      <c r="AN14" t="s">
        <v>74</v>
      </c>
      <c r="AO14" t="s">
        <v>2211</v>
      </c>
      <c r="AP14" t="s">
        <v>2461</v>
      </c>
      <c r="AQ14" t="s">
        <v>74</v>
      </c>
      <c r="AR14" t="s">
        <v>74</v>
      </c>
      <c r="AS14" t="s">
        <v>74</v>
      </c>
      <c r="AT14" t="s">
        <v>255</v>
      </c>
      <c r="AU14">
        <v>2018</v>
      </c>
      <c r="AV14">
        <v>49</v>
      </c>
      <c r="AW14">
        <v>1</v>
      </c>
      <c r="AX14" t="s">
        <v>74</v>
      </c>
      <c r="AY14" t="s">
        <v>74</v>
      </c>
      <c r="AZ14" t="s">
        <v>74</v>
      </c>
      <c r="BA14" t="s">
        <v>74</v>
      </c>
      <c r="BB14" t="s">
        <v>74</v>
      </c>
      <c r="BC14" t="s">
        <v>74</v>
      </c>
      <c r="BD14" t="s">
        <v>6324</v>
      </c>
      <c r="BE14" t="s">
        <v>6325</v>
      </c>
      <c r="BF14" t="str">
        <f>HYPERLINK("http://dx.doi.org/10.1111/jav.01467","http://dx.doi.org/10.1111/jav.01467")</f>
        <v>http://dx.doi.org/10.1111/jav.01467</v>
      </c>
      <c r="BG14" t="s">
        <v>74</v>
      </c>
      <c r="BH14" t="s">
        <v>74</v>
      </c>
      <c r="BI14" t="s">
        <v>74</v>
      </c>
      <c r="BJ14" t="s">
        <v>74</v>
      </c>
      <c r="BK14" t="s">
        <v>74</v>
      </c>
      <c r="BL14" t="s">
        <v>74</v>
      </c>
      <c r="BM14" t="s">
        <v>74</v>
      </c>
      <c r="BN14" t="s">
        <v>74</v>
      </c>
      <c r="BO14" t="s">
        <v>74</v>
      </c>
      <c r="BP14" t="s">
        <v>74</v>
      </c>
      <c r="BQ14" t="s">
        <v>74</v>
      </c>
      <c r="BR14" t="s">
        <v>74</v>
      </c>
      <c r="BS14" t="s">
        <v>6326</v>
      </c>
      <c r="BT14" t="str">
        <f>HYPERLINK("https%3A%2F%2Fwww.webofscience.com%2Fwos%2Fwoscc%2Ffull-record%2FWOS:000425085000003","View Full Record in Web of Science")</f>
        <v>View Full Record in Web of Science</v>
      </c>
    </row>
    <row r="15" spans="1:72" x14ac:dyDescent="0.4">
      <c r="A15" t="s">
        <v>72</v>
      </c>
      <c r="B15" t="s">
        <v>4111</v>
      </c>
      <c r="C15" t="s">
        <v>74</v>
      </c>
      <c r="D15" t="s">
        <v>74</v>
      </c>
      <c r="E15" t="s">
        <v>74</v>
      </c>
      <c r="F15" t="s">
        <v>4112</v>
      </c>
      <c r="G15" t="s">
        <v>74</v>
      </c>
      <c r="H15" t="s">
        <v>74</v>
      </c>
      <c r="I15" t="s">
        <v>4113</v>
      </c>
      <c r="J15" t="s">
        <v>4114</v>
      </c>
      <c r="K15" t="s">
        <v>74</v>
      </c>
      <c r="L15" t="s">
        <v>74</v>
      </c>
      <c r="M15" t="s">
        <v>74</v>
      </c>
      <c r="N15" t="s">
        <v>74</v>
      </c>
      <c r="O15" t="s">
        <v>74</v>
      </c>
      <c r="P15" t="s">
        <v>74</v>
      </c>
      <c r="Q15" t="s">
        <v>74</v>
      </c>
      <c r="R15" t="s">
        <v>74</v>
      </c>
      <c r="S15" t="s">
        <v>74</v>
      </c>
      <c r="T15" t="s">
        <v>74</v>
      </c>
      <c r="U15" t="s">
        <v>74</v>
      </c>
      <c r="V15" s="3" t="s">
        <v>4115</v>
      </c>
      <c r="W15" t="s">
        <v>74</v>
      </c>
      <c r="X15" t="s">
        <v>74</v>
      </c>
      <c r="Y15" t="s">
        <v>74</v>
      </c>
      <c r="Z15" t="s">
        <v>74</v>
      </c>
      <c r="AA15" t="s">
        <v>74</v>
      </c>
      <c r="AB15" t="s">
        <v>74</v>
      </c>
      <c r="AC15" t="s">
        <v>74</v>
      </c>
      <c r="AD15" t="s">
        <v>74</v>
      </c>
      <c r="AE15" t="s">
        <v>74</v>
      </c>
      <c r="AF15" t="s">
        <v>74</v>
      </c>
      <c r="AG15" t="s">
        <v>74</v>
      </c>
      <c r="AH15" t="s">
        <v>74</v>
      </c>
      <c r="AI15" t="s">
        <v>74</v>
      </c>
      <c r="AJ15" t="s">
        <v>74</v>
      </c>
      <c r="AK15" t="s">
        <v>74</v>
      </c>
      <c r="AL15" t="s">
        <v>74</v>
      </c>
      <c r="AM15" t="s">
        <v>74</v>
      </c>
      <c r="AN15" t="s">
        <v>74</v>
      </c>
      <c r="AO15" t="s">
        <v>4116</v>
      </c>
      <c r="AP15" t="s">
        <v>4117</v>
      </c>
      <c r="AQ15" t="s">
        <v>74</v>
      </c>
      <c r="AR15" t="s">
        <v>74</v>
      </c>
      <c r="AS15" t="s">
        <v>74</v>
      </c>
      <c r="AT15" t="s">
        <v>633</v>
      </c>
      <c r="AU15">
        <v>2022</v>
      </c>
      <c r="AV15">
        <v>47</v>
      </c>
      <c r="AW15">
        <v>2</v>
      </c>
      <c r="AX15" t="s">
        <v>74</v>
      </c>
      <c r="AY15" t="s">
        <v>74</v>
      </c>
      <c r="AZ15" t="s">
        <v>74</v>
      </c>
      <c r="BA15" t="s">
        <v>74</v>
      </c>
      <c r="BB15">
        <v>158</v>
      </c>
      <c r="BC15">
        <v>169</v>
      </c>
      <c r="BD15" t="s">
        <v>74</v>
      </c>
      <c r="BE15" t="s">
        <v>4118</v>
      </c>
      <c r="BF15" t="str">
        <f>HYPERLINK("http://dx.doi.org/10.1111/een.13098","http://dx.doi.org/10.1111/een.13098")</f>
        <v>http://dx.doi.org/10.1111/een.13098</v>
      </c>
      <c r="BG15" t="s">
        <v>74</v>
      </c>
      <c r="BH15" t="s">
        <v>4119</v>
      </c>
      <c r="BI15" t="s">
        <v>74</v>
      </c>
      <c r="BJ15" t="s">
        <v>74</v>
      </c>
      <c r="BK15" t="s">
        <v>74</v>
      </c>
      <c r="BL15" t="s">
        <v>74</v>
      </c>
      <c r="BM15" t="s">
        <v>74</v>
      </c>
      <c r="BN15" t="s">
        <v>74</v>
      </c>
      <c r="BO15" t="s">
        <v>74</v>
      </c>
      <c r="BP15" t="s">
        <v>74</v>
      </c>
      <c r="BQ15" t="s">
        <v>74</v>
      </c>
      <c r="BR15" t="s">
        <v>74</v>
      </c>
      <c r="BS15" t="s">
        <v>4120</v>
      </c>
      <c r="BT15" t="str">
        <f>HYPERLINK("https%3A%2F%2Fwww.webofscience.com%2Fwos%2Fwoscc%2Ffull-record%2FWOS:000711895800001","View Full Record in Web of Science")</f>
        <v>View Full Record in Web of Science</v>
      </c>
    </row>
    <row r="16" spans="1:72" x14ac:dyDescent="0.4">
      <c r="A16" t="s">
        <v>72</v>
      </c>
      <c r="B16" t="s">
        <v>5521</v>
      </c>
      <c r="C16" t="s">
        <v>74</v>
      </c>
      <c r="D16" t="s">
        <v>74</v>
      </c>
      <c r="E16" t="s">
        <v>74</v>
      </c>
      <c r="F16" t="s">
        <v>5522</v>
      </c>
      <c r="G16" t="s">
        <v>74</v>
      </c>
      <c r="H16" t="s">
        <v>74</v>
      </c>
      <c r="I16" t="s">
        <v>5523</v>
      </c>
      <c r="J16" t="s">
        <v>218</v>
      </c>
      <c r="K16" t="s">
        <v>74</v>
      </c>
      <c r="L16" t="s">
        <v>74</v>
      </c>
      <c r="M16" t="s">
        <v>74</v>
      </c>
      <c r="N16" t="s">
        <v>74</v>
      </c>
      <c r="O16" t="s">
        <v>74</v>
      </c>
      <c r="P16" t="s">
        <v>74</v>
      </c>
      <c r="Q16" t="s">
        <v>74</v>
      </c>
      <c r="R16" t="s">
        <v>74</v>
      </c>
      <c r="S16" t="s">
        <v>74</v>
      </c>
      <c r="T16" t="s">
        <v>74</v>
      </c>
      <c r="U16" t="s">
        <v>74</v>
      </c>
      <c r="V16" s="3" t="s">
        <v>5524</v>
      </c>
      <c r="W16" t="s">
        <v>74</v>
      </c>
      <c r="X16" t="s">
        <v>74</v>
      </c>
      <c r="Y16" t="s">
        <v>74</v>
      </c>
      <c r="Z16" t="s">
        <v>74</v>
      </c>
      <c r="AA16" t="s">
        <v>5525</v>
      </c>
      <c r="AB16" t="s">
        <v>5526</v>
      </c>
      <c r="AC16" t="s">
        <v>74</v>
      </c>
      <c r="AD16" t="s">
        <v>74</v>
      </c>
      <c r="AE16" t="s">
        <v>74</v>
      </c>
      <c r="AF16" t="s">
        <v>74</v>
      </c>
      <c r="AG16" t="s">
        <v>74</v>
      </c>
      <c r="AH16" t="s">
        <v>74</v>
      </c>
      <c r="AI16" t="s">
        <v>74</v>
      </c>
      <c r="AJ16" t="s">
        <v>74</v>
      </c>
      <c r="AK16" t="s">
        <v>74</v>
      </c>
      <c r="AL16" t="s">
        <v>74</v>
      </c>
      <c r="AM16" t="s">
        <v>74</v>
      </c>
      <c r="AN16" t="s">
        <v>74</v>
      </c>
      <c r="AO16" t="s">
        <v>221</v>
      </c>
      <c r="AP16" t="s">
        <v>222</v>
      </c>
      <c r="AQ16" t="s">
        <v>74</v>
      </c>
      <c r="AR16" t="s">
        <v>74</v>
      </c>
      <c r="AS16" t="s">
        <v>74</v>
      </c>
      <c r="AT16" t="s">
        <v>213</v>
      </c>
      <c r="AU16">
        <v>2008</v>
      </c>
      <c r="AV16">
        <v>21</v>
      </c>
      <c r="AW16">
        <v>6</v>
      </c>
      <c r="AX16" t="s">
        <v>74</v>
      </c>
      <c r="AY16" t="s">
        <v>74</v>
      </c>
      <c r="AZ16" t="s">
        <v>74</v>
      </c>
      <c r="BA16" t="s">
        <v>74</v>
      </c>
      <c r="BB16">
        <v>1789</v>
      </c>
      <c r="BC16">
        <v>1797</v>
      </c>
      <c r="BD16" t="s">
        <v>74</v>
      </c>
      <c r="BE16" t="s">
        <v>5527</v>
      </c>
      <c r="BF16" t="str">
        <f>HYPERLINK("http://dx.doi.org/10.1111/j.1420-9101.2008.01591.x","http://dx.doi.org/10.1111/j.1420-9101.2008.01591.x")</f>
        <v>http://dx.doi.org/10.1111/j.1420-9101.2008.01591.x</v>
      </c>
      <c r="BG16" t="s">
        <v>74</v>
      </c>
      <c r="BH16" t="s">
        <v>74</v>
      </c>
      <c r="BI16" t="s">
        <v>74</v>
      </c>
      <c r="BJ16" t="s">
        <v>74</v>
      </c>
      <c r="BK16" t="s">
        <v>74</v>
      </c>
      <c r="BL16" t="s">
        <v>74</v>
      </c>
      <c r="BM16" t="s">
        <v>74</v>
      </c>
      <c r="BN16">
        <v>18713241</v>
      </c>
      <c r="BO16" t="s">
        <v>74</v>
      </c>
      <c r="BP16" t="s">
        <v>74</v>
      </c>
      <c r="BQ16" t="s">
        <v>74</v>
      </c>
      <c r="BR16" t="s">
        <v>74</v>
      </c>
      <c r="BS16" t="s">
        <v>5528</v>
      </c>
      <c r="BT16" t="str">
        <f>HYPERLINK("https%3A%2F%2Fwww.webofscience.com%2Fwos%2Fwoscc%2Ffull-record%2FWOS:000260108900032","View Full Record in Web of Science")</f>
        <v>View Full Record in Web of Science</v>
      </c>
    </row>
    <row r="17" spans="1:72" x14ac:dyDescent="0.4">
      <c r="A17" t="s">
        <v>72</v>
      </c>
      <c r="B17" t="s">
        <v>2128</v>
      </c>
      <c r="C17" t="s">
        <v>74</v>
      </c>
      <c r="D17" t="s">
        <v>74</v>
      </c>
      <c r="E17" t="s">
        <v>74</v>
      </c>
      <c r="F17" t="s">
        <v>2128</v>
      </c>
      <c r="G17" t="s">
        <v>74</v>
      </c>
      <c r="H17" t="s">
        <v>74</v>
      </c>
      <c r="I17" t="s">
        <v>2129</v>
      </c>
      <c r="J17" t="s">
        <v>1526</v>
      </c>
      <c r="K17" t="s">
        <v>74</v>
      </c>
      <c r="L17" t="s">
        <v>74</v>
      </c>
      <c r="M17" t="s">
        <v>74</v>
      </c>
      <c r="N17" t="s">
        <v>74</v>
      </c>
      <c r="O17" t="s">
        <v>74</v>
      </c>
      <c r="P17" t="s">
        <v>74</v>
      </c>
      <c r="Q17" t="s">
        <v>74</v>
      </c>
      <c r="R17" t="s">
        <v>74</v>
      </c>
      <c r="S17" t="s">
        <v>74</v>
      </c>
      <c r="T17" t="s">
        <v>74</v>
      </c>
      <c r="U17" t="s">
        <v>74</v>
      </c>
      <c r="V17" s="3" t="s">
        <v>2130</v>
      </c>
      <c r="W17" t="s">
        <v>74</v>
      </c>
      <c r="X17" t="s">
        <v>74</v>
      </c>
      <c r="Y17" t="s">
        <v>74</v>
      </c>
      <c r="Z17" t="s">
        <v>74</v>
      </c>
      <c r="AA17" t="s">
        <v>74</v>
      </c>
      <c r="AB17" t="s">
        <v>74</v>
      </c>
      <c r="AC17" t="s">
        <v>74</v>
      </c>
      <c r="AD17" t="s">
        <v>74</v>
      </c>
      <c r="AE17" t="s">
        <v>74</v>
      </c>
      <c r="AF17" t="s">
        <v>74</v>
      </c>
      <c r="AG17" t="s">
        <v>74</v>
      </c>
      <c r="AH17" t="s">
        <v>74</v>
      </c>
      <c r="AI17" t="s">
        <v>74</v>
      </c>
      <c r="AJ17" t="s">
        <v>74</v>
      </c>
      <c r="AK17" t="s">
        <v>74</v>
      </c>
      <c r="AL17" t="s">
        <v>74</v>
      </c>
      <c r="AM17" t="s">
        <v>74</v>
      </c>
      <c r="AN17" t="s">
        <v>74</v>
      </c>
      <c r="AO17" t="s">
        <v>1528</v>
      </c>
      <c r="AP17" t="s">
        <v>2131</v>
      </c>
      <c r="AQ17" t="s">
        <v>74</v>
      </c>
      <c r="AR17" t="s">
        <v>74</v>
      </c>
      <c r="AS17" t="s">
        <v>74</v>
      </c>
      <c r="AT17" t="s">
        <v>145</v>
      </c>
      <c r="AU17">
        <v>2000</v>
      </c>
      <c r="AV17">
        <v>102</v>
      </c>
      <c r="AW17">
        <v>3</v>
      </c>
      <c r="AX17" t="s">
        <v>74</v>
      </c>
      <c r="AY17" t="s">
        <v>74</v>
      </c>
      <c r="AZ17" t="s">
        <v>74</v>
      </c>
      <c r="BA17" t="s">
        <v>74</v>
      </c>
      <c r="BB17">
        <v>708</v>
      </c>
      <c r="BC17">
        <v>712</v>
      </c>
      <c r="BD17" t="s">
        <v>74</v>
      </c>
      <c r="BE17" t="s">
        <v>2132</v>
      </c>
      <c r="BF17" t="str">
        <f>HYPERLINK("http://dx.doi.org/10.1650/0010-5422(2000)102[0708:RBTCPA]2.0.CO;2","http://dx.doi.org/10.1650/0010-5422(2000)102[0708:RBTCPA]2.0.CO;2")</f>
        <v>http://dx.doi.org/10.1650/0010-5422(2000)102[0708:RBTCPA]2.0.CO;2</v>
      </c>
      <c r="BG17" t="s">
        <v>74</v>
      </c>
      <c r="BH17" t="s">
        <v>74</v>
      </c>
      <c r="BI17" t="s">
        <v>74</v>
      </c>
      <c r="BJ17" t="s">
        <v>74</v>
      </c>
      <c r="BK17" t="s">
        <v>74</v>
      </c>
      <c r="BL17" t="s">
        <v>74</v>
      </c>
      <c r="BM17" t="s">
        <v>74</v>
      </c>
      <c r="BN17" t="s">
        <v>74</v>
      </c>
      <c r="BO17" t="s">
        <v>74</v>
      </c>
      <c r="BP17" t="s">
        <v>74</v>
      </c>
      <c r="BQ17" t="s">
        <v>74</v>
      </c>
      <c r="BR17" t="s">
        <v>74</v>
      </c>
      <c r="BS17" t="s">
        <v>2133</v>
      </c>
      <c r="BT17" t="str">
        <f>HYPERLINK("https%3A%2F%2Fwww.webofscience.com%2Fwos%2Fwoscc%2Ffull-record%2FWOS:000088716300031","View Full Record in Web of Science")</f>
        <v>View Full Record in Web of Science</v>
      </c>
    </row>
    <row r="18" spans="1:72" x14ac:dyDescent="0.4">
      <c r="A18" t="s">
        <v>72</v>
      </c>
      <c r="B18" t="s">
        <v>1963</v>
      </c>
      <c r="C18" t="s">
        <v>74</v>
      </c>
      <c r="D18" t="s">
        <v>74</v>
      </c>
      <c r="E18" t="s">
        <v>74</v>
      </c>
      <c r="F18" t="s">
        <v>1964</v>
      </c>
      <c r="G18" t="s">
        <v>74</v>
      </c>
      <c r="H18" t="s">
        <v>74</v>
      </c>
      <c r="I18" t="s">
        <v>1965</v>
      </c>
      <c r="J18" t="s">
        <v>803</v>
      </c>
      <c r="K18" t="s">
        <v>74</v>
      </c>
      <c r="L18" t="s">
        <v>74</v>
      </c>
      <c r="M18" t="s">
        <v>74</v>
      </c>
      <c r="N18" t="s">
        <v>74</v>
      </c>
      <c r="O18" t="s">
        <v>74</v>
      </c>
      <c r="P18" t="s">
        <v>74</v>
      </c>
      <c r="Q18" t="s">
        <v>74</v>
      </c>
      <c r="R18" t="s">
        <v>74</v>
      </c>
      <c r="S18" t="s">
        <v>74</v>
      </c>
      <c r="T18" t="s">
        <v>74</v>
      </c>
      <c r="U18" t="s">
        <v>74</v>
      </c>
      <c r="V18" s="3" t="s">
        <v>1966</v>
      </c>
      <c r="W18" t="s">
        <v>74</v>
      </c>
      <c r="X18" t="s">
        <v>74</v>
      </c>
      <c r="Y18" t="s">
        <v>74</v>
      </c>
      <c r="Z18" t="s">
        <v>74</v>
      </c>
      <c r="AA18" t="s">
        <v>1967</v>
      </c>
      <c r="AB18" t="s">
        <v>1968</v>
      </c>
      <c r="AC18" t="s">
        <v>74</v>
      </c>
      <c r="AD18" t="s">
        <v>74</v>
      </c>
      <c r="AE18" t="s">
        <v>74</v>
      </c>
      <c r="AF18" t="s">
        <v>74</v>
      </c>
      <c r="AG18" t="s">
        <v>74</v>
      </c>
      <c r="AH18" t="s">
        <v>74</v>
      </c>
      <c r="AI18" t="s">
        <v>74</v>
      </c>
      <c r="AJ18" t="s">
        <v>74</v>
      </c>
      <c r="AK18" t="s">
        <v>74</v>
      </c>
      <c r="AL18" t="s">
        <v>74</v>
      </c>
      <c r="AM18" t="s">
        <v>74</v>
      </c>
      <c r="AN18" t="s">
        <v>74</v>
      </c>
      <c r="AO18" t="s">
        <v>806</v>
      </c>
      <c r="AP18" t="s">
        <v>807</v>
      </c>
      <c r="AQ18" t="s">
        <v>74</v>
      </c>
      <c r="AR18" t="s">
        <v>74</v>
      </c>
      <c r="AS18" t="s">
        <v>74</v>
      </c>
      <c r="AT18" t="s">
        <v>808</v>
      </c>
      <c r="AU18">
        <v>2009</v>
      </c>
      <c r="AV18">
        <v>4</v>
      </c>
      <c r="AW18">
        <v>3</v>
      </c>
      <c r="AX18" t="s">
        <v>74</v>
      </c>
      <c r="AY18" t="s">
        <v>74</v>
      </c>
      <c r="AZ18" t="s">
        <v>74</v>
      </c>
      <c r="BA18" t="s">
        <v>74</v>
      </c>
      <c r="BB18">
        <v>111</v>
      </c>
      <c r="BC18">
        <v>117</v>
      </c>
      <c r="BD18" t="s">
        <v>74</v>
      </c>
      <c r="BE18" t="s">
        <v>1969</v>
      </c>
      <c r="BF18" t="str">
        <f>HYPERLINK("http://dx.doi.org/10.1016/j.jveb.2008.08.010","http://dx.doi.org/10.1016/j.jveb.2008.08.010")</f>
        <v>http://dx.doi.org/10.1016/j.jveb.2008.08.010</v>
      </c>
      <c r="BG18" t="s">
        <v>74</v>
      </c>
      <c r="BH18" t="s">
        <v>74</v>
      </c>
      <c r="BI18" t="s">
        <v>74</v>
      </c>
      <c r="BJ18" t="s">
        <v>74</v>
      </c>
      <c r="BK18" t="s">
        <v>74</v>
      </c>
      <c r="BL18" t="s">
        <v>74</v>
      </c>
      <c r="BM18" t="s">
        <v>74</v>
      </c>
      <c r="BN18" t="s">
        <v>74</v>
      </c>
      <c r="BO18" t="s">
        <v>74</v>
      </c>
      <c r="BP18" t="s">
        <v>74</v>
      </c>
      <c r="BQ18" t="s">
        <v>74</v>
      </c>
      <c r="BR18" t="s">
        <v>74</v>
      </c>
      <c r="BS18" t="s">
        <v>1970</v>
      </c>
      <c r="BT18" t="str">
        <f>HYPERLINK("https%3A%2F%2Fwww.webofscience.com%2Fwos%2Fwoscc%2Ffull-record%2FWOS:000266574100002","View Full Record in Web of Science")</f>
        <v>View Full Record in Web of Science</v>
      </c>
    </row>
    <row r="19" spans="1:72" x14ac:dyDescent="0.4">
      <c r="A19" t="s">
        <v>72</v>
      </c>
      <c r="B19" t="s">
        <v>1565</v>
      </c>
      <c r="C19" t="s">
        <v>74</v>
      </c>
      <c r="D19" t="s">
        <v>74</v>
      </c>
      <c r="E19" t="s">
        <v>74</v>
      </c>
      <c r="F19" t="s">
        <v>1566</v>
      </c>
      <c r="G19" t="s">
        <v>74</v>
      </c>
      <c r="H19" t="s">
        <v>74</v>
      </c>
      <c r="I19" t="s">
        <v>1567</v>
      </c>
      <c r="J19" t="s">
        <v>88</v>
      </c>
      <c r="K19" t="s">
        <v>74</v>
      </c>
      <c r="L19" t="s">
        <v>74</v>
      </c>
      <c r="M19" t="s">
        <v>74</v>
      </c>
      <c r="N19" t="s">
        <v>74</v>
      </c>
      <c r="O19" t="s">
        <v>74</v>
      </c>
      <c r="P19" t="s">
        <v>74</v>
      </c>
      <c r="Q19" t="s">
        <v>74</v>
      </c>
      <c r="R19" t="s">
        <v>74</v>
      </c>
      <c r="S19" t="s">
        <v>74</v>
      </c>
      <c r="T19" t="s">
        <v>74</v>
      </c>
      <c r="U19" t="s">
        <v>74</v>
      </c>
      <c r="V19" s="3" t="s">
        <v>1568</v>
      </c>
      <c r="W19" t="s">
        <v>74</v>
      </c>
      <c r="X19" t="s">
        <v>74</v>
      </c>
      <c r="Y19" t="s">
        <v>74</v>
      </c>
      <c r="Z19" t="s">
        <v>74</v>
      </c>
      <c r="AA19" t="s">
        <v>74</v>
      </c>
      <c r="AB19" t="s">
        <v>1569</v>
      </c>
      <c r="AC19" t="s">
        <v>74</v>
      </c>
      <c r="AD19" t="s">
        <v>74</v>
      </c>
      <c r="AE19" t="s">
        <v>74</v>
      </c>
      <c r="AF19" t="s">
        <v>74</v>
      </c>
      <c r="AG19" t="s">
        <v>74</v>
      </c>
      <c r="AH19" t="s">
        <v>74</v>
      </c>
      <c r="AI19" t="s">
        <v>74</v>
      </c>
      <c r="AJ19" t="s">
        <v>74</v>
      </c>
      <c r="AK19" t="s">
        <v>74</v>
      </c>
      <c r="AL19" t="s">
        <v>74</v>
      </c>
      <c r="AM19" t="s">
        <v>74</v>
      </c>
      <c r="AN19" t="s">
        <v>74</v>
      </c>
      <c r="AO19" t="s">
        <v>91</v>
      </c>
      <c r="AP19" t="s">
        <v>92</v>
      </c>
      <c r="AQ19" t="s">
        <v>74</v>
      </c>
      <c r="AR19" t="s">
        <v>74</v>
      </c>
      <c r="AS19" t="s">
        <v>74</v>
      </c>
      <c r="AT19" t="s">
        <v>361</v>
      </c>
      <c r="AU19">
        <v>2019</v>
      </c>
      <c r="AV19">
        <v>15</v>
      </c>
      <c r="AW19">
        <v>5</v>
      </c>
      <c r="AX19" t="s">
        <v>74</v>
      </c>
      <c r="AY19" t="s">
        <v>74</v>
      </c>
      <c r="AZ19" t="s">
        <v>74</v>
      </c>
      <c r="BA19" t="s">
        <v>74</v>
      </c>
      <c r="BB19" t="s">
        <v>74</v>
      </c>
      <c r="BC19" t="s">
        <v>74</v>
      </c>
      <c r="BD19">
        <v>20190207</v>
      </c>
      <c r="BE19" t="s">
        <v>1570</v>
      </c>
      <c r="BF19" t="str">
        <f>HYPERLINK("http://dx.doi.org/10.1098/rsbl.2019.0207","http://dx.doi.org/10.1098/rsbl.2019.0207")</f>
        <v>http://dx.doi.org/10.1098/rsbl.2019.0207</v>
      </c>
      <c r="BG19" t="s">
        <v>74</v>
      </c>
      <c r="BH19" t="s">
        <v>74</v>
      </c>
      <c r="BI19" t="s">
        <v>74</v>
      </c>
      <c r="BJ19" t="s">
        <v>74</v>
      </c>
      <c r="BK19" t="s">
        <v>74</v>
      </c>
      <c r="BL19" t="s">
        <v>74</v>
      </c>
      <c r="BM19" t="s">
        <v>74</v>
      </c>
      <c r="BN19">
        <v>31088284</v>
      </c>
      <c r="BO19" t="s">
        <v>74</v>
      </c>
      <c r="BP19" t="s">
        <v>74</v>
      </c>
      <c r="BQ19" t="s">
        <v>74</v>
      </c>
      <c r="BR19" t="s">
        <v>74</v>
      </c>
      <c r="BS19" t="s">
        <v>1571</v>
      </c>
      <c r="BT19" t="str">
        <f>HYPERLINK("https%3A%2F%2Fwww.webofscience.com%2Fwos%2Fwoscc%2Ffull-record%2FWOS:000470116400022","View Full Record in Web of Science")</f>
        <v>View Full Record in Web of Science</v>
      </c>
    </row>
    <row r="20" spans="1:72" x14ac:dyDescent="0.4">
      <c r="A20" t="s">
        <v>72</v>
      </c>
      <c r="B20" t="s">
        <v>1565</v>
      </c>
      <c r="C20" t="s">
        <v>74</v>
      </c>
      <c r="D20" t="s">
        <v>74</v>
      </c>
      <c r="E20" t="s">
        <v>74</v>
      </c>
      <c r="F20" t="s">
        <v>1566</v>
      </c>
      <c r="G20" t="s">
        <v>74</v>
      </c>
      <c r="H20" t="s">
        <v>74</v>
      </c>
      <c r="I20" t="s">
        <v>1694</v>
      </c>
      <c r="J20" t="s">
        <v>509</v>
      </c>
      <c r="K20" t="s">
        <v>74</v>
      </c>
      <c r="L20" t="s">
        <v>74</v>
      </c>
      <c r="M20" t="s">
        <v>74</v>
      </c>
      <c r="N20" t="s">
        <v>74</v>
      </c>
      <c r="O20" t="s">
        <v>74</v>
      </c>
      <c r="P20" t="s">
        <v>74</v>
      </c>
      <c r="Q20" t="s">
        <v>74</v>
      </c>
      <c r="R20" t="s">
        <v>74</v>
      </c>
      <c r="S20" t="s">
        <v>74</v>
      </c>
      <c r="T20" t="s">
        <v>74</v>
      </c>
      <c r="U20" t="s">
        <v>74</v>
      </c>
      <c r="V20" s="3" t="s">
        <v>1695</v>
      </c>
      <c r="W20" t="s">
        <v>74</v>
      </c>
      <c r="X20" t="s">
        <v>74</v>
      </c>
      <c r="Y20" t="s">
        <v>74</v>
      </c>
      <c r="Z20" t="s">
        <v>74</v>
      </c>
      <c r="AA20" t="s">
        <v>74</v>
      </c>
      <c r="AB20" t="s">
        <v>1696</v>
      </c>
      <c r="AC20" t="s">
        <v>74</v>
      </c>
      <c r="AD20" t="s">
        <v>74</v>
      </c>
      <c r="AE20" t="s">
        <v>74</v>
      </c>
      <c r="AF20" t="s">
        <v>74</v>
      </c>
      <c r="AG20" t="s">
        <v>74</v>
      </c>
      <c r="AH20" t="s">
        <v>74</v>
      </c>
      <c r="AI20" t="s">
        <v>74</v>
      </c>
      <c r="AJ20" t="s">
        <v>74</v>
      </c>
      <c r="AK20" t="s">
        <v>74</v>
      </c>
      <c r="AL20" t="s">
        <v>74</v>
      </c>
      <c r="AM20" t="s">
        <v>74</v>
      </c>
      <c r="AN20" t="s">
        <v>74</v>
      </c>
      <c r="AO20" t="s">
        <v>511</v>
      </c>
      <c r="AP20" t="s">
        <v>512</v>
      </c>
      <c r="AQ20" t="s">
        <v>74</v>
      </c>
      <c r="AR20" t="s">
        <v>74</v>
      </c>
      <c r="AS20" t="s">
        <v>74</v>
      </c>
      <c r="AT20" t="s">
        <v>145</v>
      </c>
      <c r="AU20">
        <v>2022</v>
      </c>
      <c r="AV20">
        <v>144</v>
      </c>
      <c r="AW20" t="s">
        <v>74</v>
      </c>
      <c r="AX20" t="s">
        <v>74</v>
      </c>
      <c r="AY20" t="s">
        <v>74</v>
      </c>
      <c r="AZ20" t="s">
        <v>74</v>
      </c>
      <c r="BA20" t="s">
        <v>74</v>
      </c>
      <c r="BB20" t="s">
        <v>74</v>
      </c>
      <c r="BC20" t="s">
        <v>74</v>
      </c>
      <c r="BD20">
        <v>105214</v>
      </c>
      <c r="BE20" t="s">
        <v>1697</v>
      </c>
      <c r="BF20" t="str">
        <f>HYPERLINK("http://dx.doi.org/10.1016/j.yhbeh.2022.105214","http://dx.doi.org/10.1016/j.yhbeh.2022.105214")</f>
        <v>http://dx.doi.org/10.1016/j.yhbeh.2022.105214</v>
      </c>
      <c r="BG20" t="s">
        <v>74</v>
      </c>
      <c r="BH20" t="s">
        <v>1698</v>
      </c>
      <c r="BI20" t="s">
        <v>74</v>
      </c>
      <c r="BJ20" t="s">
        <v>74</v>
      </c>
      <c r="BK20" t="s">
        <v>74</v>
      </c>
      <c r="BL20" t="s">
        <v>74</v>
      </c>
      <c r="BM20" t="s">
        <v>74</v>
      </c>
      <c r="BN20">
        <v>35696781</v>
      </c>
      <c r="BO20" t="s">
        <v>74</v>
      </c>
      <c r="BP20" t="s">
        <v>74</v>
      </c>
      <c r="BQ20" t="s">
        <v>74</v>
      </c>
      <c r="BR20" t="s">
        <v>74</v>
      </c>
      <c r="BS20" t="s">
        <v>1699</v>
      </c>
      <c r="BT20" t="str">
        <f>HYPERLINK("https%3A%2F%2Fwww.webofscience.com%2Fwos%2Fwoscc%2Ffull-record%2FWOS:000815736500002","View Full Record in Web of Science")</f>
        <v>View Full Record in Web of Science</v>
      </c>
    </row>
    <row r="21" spans="1:72" x14ac:dyDescent="0.4">
      <c r="A21" t="s">
        <v>72</v>
      </c>
      <c r="B21" t="s">
        <v>7495</v>
      </c>
      <c r="C21" t="s">
        <v>74</v>
      </c>
      <c r="D21" t="s">
        <v>74</v>
      </c>
      <c r="E21" t="s">
        <v>74</v>
      </c>
      <c r="F21" t="s">
        <v>7496</v>
      </c>
      <c r="G21" t="s">
        <v>74</v>
      </c>
      <c r="H21" t="s">
        <v>74</v>
      </c>
      <c r="I21" t="s">
        <v>7497</v>
      </c>
      <c r="J21" t="s">
        <v>775</v>
      </c>
      <c r="K21" t="s">
        <v>74</v>
      </c>
      <c r="L21" t="s">
        <v>74</v>
      </c>
      <c r="M21" t="s">
        <v>74</v>
      </c>
      <c r="N21" t="s">
        <v>74</v>
      </c>
      <c r="O21" t="s">
        <v>74</v>
      </c>
      <c r="P21" t="s">
        <v>74</v>
      </c>
      <c r="Q21" t="s">
        <v>74</v>
      </c>
      <c r="R21" t="s">
        <v>74</v>
      </c>
      <c r="S21" t="s">
        <v>74</v>
      </c>
      <c r="T21" t="s">
        <v>74</v>
      </c>
      <c r="U21" t="s">
        <v>74</v>
      </c>
      <c r="V21" s="3" t="s">
        <v>7498</v>
      </c>
      <c r="W21" t="s">
        <v>74</v>
      </c>
      <c r="X21" t="s">
        <v>74</v>
      </c>
      <c r="Y21" t="s">
        <v>74</v>
      </c>
      <c r="Z21" t="s">
        <v>74</v>
      </c>
      <c r="AA21" t="s">
        <v>74</v>
      </c>
      <c r="AB21" t="s">
        <v>7499</v>
      </c>
      <c r="AC21" t="s">
        <v>74</v>
      </c>
      <c r="AD21" t="s">
        <v>74</v>
      </c>
      <c r="AE21" t="s">
        <v>74</v>
      </c>
      <c r="AF21" t="s">
        <v>74</v>
      </c>
      <c r="AG21" t="s">
        <v>74</v>
      </c>
      <c r="AH21" t="s">
        <v>74</v>
      </c>
      <c r="AI21" t="s">
        <v>74</v>
      </c>
      <c r="AJ21" t="s">
        <v>74</v>
      </c>
      <c r="AK21" t="s">
        <v>74</v>
      </c>
      <c r="AL21" t="s">
        <v>74</v>
      </c>
      <c r="AM21" t="s">
        <v>74</v>
      </c>
      <c r="AN21" t="s">
        <v>74</v>
      </c>
      <c r="AO21" t="s">
        <v>778</v>
      </c>
      <c r="AP21" t="s">
        <v>779</v>
      </c>
      <c r="AQ21" t="s">
        <v>74</v>
      </c>
      <c r="AR21" t="s">
        <v>74</v>
      </c>
      <c r="AS21" t="s">
        <v>74</v>
      </c>
      <c r="AT21" t="s">
        <v>102</v>
      </c>
      <c r="AU21">
        <v>2018</v>
      </c>
      <c r="AV21">
        <v>64</v>
      </c>
      <c r="AW21">
        <v>3</v>
      </c>
      <c r="AX21" t="s">
        <v>74</v>
      </c>
      <c r="AY21" t="s">
        <v>74</v>
      </c>
      <c r="AZ21" t="s">
        <v>74</v>
      </c>
      <c r="BA21" t="s">
        <v>74</v>
      </c>
      <c r="BB21">
        <v>363</v>
      </c>
      <c r="BC21">
        <v>392</v>
      </c>
      <c r="BD21" t="s">
        <v>74</v>
      </c>
      <c r="BE21" t="s">
        <v>7500</v>
      </c>
      <c r="BF21" t="str">
        <f>HYPERLINK("http://dx.doi.org/10.1093/cz/zoy036","http://dx.doi.org/10.1093/cz/zoy036")</f>
        <v>http://dx.doi.org/10.1093/cz/zoy036</v>
      </c>
      <c r="BG21" t="s">
        <v>74</v>
      </c>
      <c r="BH21" t="s">
        <v>74</v>
      </c>
      <c r="BI21" t="s">
        <v>74</v>
      </c>
      <c r="BJ21" t="s">
        <v>74</v>
      </c>
      <c r="BK21" t="s">
        <v>74</v>
      </c>
      <c r="BL21" t="s">
        <v>74</v>
      </c>
      <c r="BM21" t="s">
        <v>74</v>
      </c>
      <c r="BN21">
        <v>30402079</v>
      </c>
      <c r="BO21" t="s">
        <v>74</v>
      </c>
      <c r="BP21" t="s">
        <v>74</v>
      </c>
      <c r="BQ21" t="s">
        <v>74</v>
      </c>
      <c r="BR21" t="s">
        <v>74</v>
      </c>
      <c r="BS21" t="s">
        <v>7501</v>
      </c>
      <c r="BT21" t="str">
        <f>HYPERLINK("https%3A%2F%2Fwww.webofscience.com%2Fwos%2Fwoscc%2Ffull-record%2FWOS:000436421000013","View Full Record in Web of Science")</f>
        <v>View Full Record in Web of Science</v>
      </c>
    </row>
    <row r="22" spans="1:72" x14ac:dyDescent="0.4">
      <c r="A22" t="s">
        <v>72</v>
      </c>
      <c r="B22" t="s">
        <v>126</v>
      </c>
      <c r="C22" t="s">
        <v>74</v>
      </c>
      <c r="D22" t="s">
        <v>74</v>
      </c>
      <c r="E22" t="s">
        <v>74</v>
      </c>
      <c r="F22" t="s">
        <v>127</v>
      </c>
      <c r="G22" t="s">
        <v>74</v>
      </c>
      <c r="H22" t="s">
        <v>74</v>
      </c>
      <c r="I22" t="s">
        <v>128</v>
      </c>
      <c r="J22" t="s">
        <v>129</v>
      </c>
      <c r="K22" t="s">
        <v>74</v>
      </c>
      <c r="L22" t="s">
        <v>74</v>
      </c>
      <c r="M22" t="s">
        <v>74</v>
      </c>
      <c r="N22" t="s">
        <v>74</v>
      </c>
      <c r="O22" t="s">
        <v>74</v>
      </c>
      <c r="P22" t="s">
        <v>74</v>
      </c>
      <c r="Q22" t="s">
        <v>74</v>
      </c>
      <c r="R22" t="s">
        <v>74</v>
      </c>
      <c r="S22" t="s">
        <v>74</v>
      </c>
      <c r="T22" t="s">
        <v>74</v>
      </c>
      <c r="U22" t="s">
        <v>74</v>
      </c>
      <c r="V22" s="3" t="s">
        <v>130</v>
      </c>
      <c r="W22" t="s">
        <v>74</v>
      </c>
      <c r="X22" t="s">
        <v>74</v>
      </c>
      <c r="Y22" t="s">
        <v>74</v>
      </c>
      <c r="Z22" t="s">
        <v>74</v>
      </c>
      <c r="AA22" t="s">
        <v>74</v>
      </c>
      <c r="AB22" t="s">
        <v>131</v>
      </c>
      <c r="AC22" t="s">
        <v>74</v>
      </c>
      <c r="AD22" t="s">
        <v>74</v>
      </c>
      <c r="AE22" t="s">
        <v>74</v>
      </c>
      <c r="AF22" t="s">
        <v>74</v>
      </c>
      <c r="AG22" t="s">
        <v>74</v>
      </c>
      <c r="AH22" t="s">
        <v>74</v>
      </c>
      <c r="AI22" t="s">
        <v>74</v>
      </c>
      <c r="AJ22" t="s">
        <v>74</v>
      </c>
      <c r="AK22" t="s">
        <v>74</v>
      </c>
      <c r="AL22" t="s">
        <v>74</v>
      </c>
      <c r="AM22" t="s">
        <v>74</v>
      </c>
      <c r="AN22" t="s">
        <v>74</v>
      </c>
      <c r="AO22" t="s">
        <v>132</v>
      </c>
      <c r="AP22" t="s">
        <v>133</v>
      </c>
      <c r="AQ22" t="s">
        <v>74</v>
      </c>
      <c r="AR22" t="s">
        <v>74</v>
      </c>
      <c r="AS22" t="s">
        <v>74</v>
      </c>
      <c r="AT22" t="s">
        <v>134</v>
      </c>
      <c r="AU22">
        <v>2016</v>
      </c>
      <c r="AV22">
        <v>70</v>
      </c>
      <c r="AW22">
        <v>5</v>
      </c>
      <c r="AX22" t="s">
        <v>74</v>
      </c>
      <c r="AY22" t="s">
        <v>74</v>
      </c>
      <c r="AZ22" t="s">
        <v>74</v>
      </c>
      <c r="BA22" t="s">
        <v>74</v>
      </c>
      <c r="BB22">
        <v>647</v>
      </c>
      <c r="BC22">
        <v>657</v>
      </c>
      <c r="BD22" t="s">
        <v>74</v>
      </c>
      <c r="BE22" t="s">
        <v>135</v>
      </c>
      <c r="BF22" t="str">
        <f>HYPERLINK("http://dx.doi.org/10.1007/s00265-016-2085-3","http://dx.doi.org/10.1007/s00265-016-2085-3")</f>
        <v>http://dx.doi.org/10.1007/s00265-016-2085-3</v>
      </c>
      <c r="BG22" t="s">
        <v>74</v>
      </c>
      <c r="BH22" t="s">
        <v>74</v>
      </c>
      <c r="BI22" t="s">
        <v>74</v>
      </c>
      <c r="BJ22" t="s">
        <v>74</v>
      </c>
      <c r="BK22" t="s">
        <v>74</v>
      </c>
      <c r="BL22" t="s">
        <v>74</v>
      </c>
      <c r="BM22" t="s">
        <v>74</v>
      </c>
      <c r="BN22" t="s">
        <v>74</v>
      </c>
      <c r="BO22" t="s">
        <v>74</v>
      </c>
      <c r="BP22" t="s">
        <v>74</v>
      </c>
      <c r="BQ22" t="s">
        <v>74</v>
      </c>
      <c r="BR22" t="s">
        <v>74</v>
      </c>
      <c r="BS22" t="s">
        <v>136</v>
      </c>
      <c r="BT22" t="str">
        <f>HYPERLINK("https%3A%2F%2Fwww.webofscience.com%2Fwos%2Fwoscc%2Ffull-record%2FWOS:000374563600001","View Full Record in Web of Science")</f>
        <v>View Full Record in Web of Science</v>
      </c>
    </row>
    <row r="23" spans="1:72" x14ac:dyDescent="0.4">
      <c r="A23" t="s">
        <v>72</v>
      </c>
      <c r="B23" t="s">
        <v>7325</v>
      </c>
      <c r="C23" t="s">
        <v>74</v>
      </c>
      <c r="D23" t="s">
        <v>74</v>
      </c>
      <c r="E23" t="s">
        <v>74</v>
      </c>
      <c r="F23" t="s">
        <v>7326</v>
      </c>
      <c r="G23" t="s">
        <v>74</v>
      </c>
      <c r="H23" t="s">
        <v>74</v>
      </c>
      <c r="I23" t="s">
        <v>7327</v>
      </c>
      <c r="J23" t="s">
        <v>129</v>
      </c>
      <c r="K23" t="s">
        <v>74</v>
      </c>
      <c r="L23" t="s">
        <v>74</v>
      </c>
      <c r="M23" t="s">
        <v>74</v>
      </c>
      <c r="N23" t="s">
        <v>74</v>
      </c>
      <c r="O23" t="s">
        <v>74</v>
      </c>
      <c r="P23" t="s">
        <v>74</v>
      </c>
      <c r="Q23" t="s">
        <v>74</v>
      </c>
      <c r="R23" t="s">
        <v>74</v>
      </c>
      <c r="S23" t="s">
        <v>74</v>
      </c>
      <c r="T23" t="s">
        <v>74</v>
      </c>
      <c r="U23" t="s">
        <v>74</v>
      </c>
      <c r="V23" s="3" t="s">
        <v>7328</v>
      </c>
      <c r="W23" t="s">
        <v>74</v>
      </c>
      <c r="X23" t="s">
        <v>74</v>
      </c>
      <c r="Y23" t="s">
        <v>74</v>
      </c>
      <c r="Z23" t="s">
        <v>74</v>
      </c>
      <c r="AA23" t="s">
        <v>74</v>
      </c>
      <c r="AB23" t="s">
        <v>7329</v>
      </c>
      <c r="AC23" t="s">
        <v>74</v>
      </c>
      <c r="AD23" t="s">
        <v>74</v>
      </c>
      <c r="AE23" t="s">
        <v>74</v>
      </c>
      <c r="AF23" t="s">
        <v>74</v>
      </c>
      <c r="AG23" t="s">
        <v>74</v>
      </c>
      <c r="AH23" t="s">
        <v>74</v>
      </c>
      <c r="AI23" t="s">
        <v>74</v>
      </c>
      <c r="AJ23" t="s">
        <v>74</v>
      </c>
      <c r="AK23" t="s">
        <v>74</v>
      </c>
      <c r="AL23" t="s">
        <v>74</v>
      </c>
      <c r="AM23" t="s">
        <v>74</v>
      </c>
      <c r="AN23" t="s">
        <v>74</v>
      </c>
      <c r="AO23" t="s">
        <v>132</v>
      </c>
      <c r="AP23" t="s">
        <v>133</v>
      </c>
      <c r="AQ23" t="s">
        <v>74</v>
      </c>
      <c r="AR23" t="s">
        <v>74</v>
      </c>
      <c r="AS23" t="s">
        <v>74</v>
      </c>
      <c r="AT23" t="s">
        <v>213</v>
      </c>
      <c r="AU23">
        <v>2022</v>
      </c>
      <c r="AV23">
        <v>76</v>
      </c>
      <c r="AW23">
        <v>11</v>
      </c>
      <c r="AX23" t="s">
        <v>74</v>
      </c>
      <c r="AY23" t="s">
        <v>74</v>
      </c>
      <c r="AZ23" t="s">
        <v>74</v>
      </c>
      <c r="BA23" t="s">
        <v>74</v>
      </c>
      <c r="BB23" t="s">
        <v>74</v>
      </c>
      <c r="BC23" t="s">
        <v>74</v>
      </c>
      <c r="BD23">
        <v>153</v>
      </c>
      <c r="BE23" t="s">
        <v>7330</v>
      </c>
      <c r="BF23" t="str">
        <f>HYPERLINK("http://dx.doi.org/10.1007/s00265-022-03256-9","http://dx.doi.org/10.1007/s00265-022-03256-9")</f>
        <v>http://dx.doi.org/10.1007/s00265-022-03256-9</v>
      </c>
      <c r="BG23" t="s">
        <v>74</v>
      </c>
      <c r="BH23" t="s">
        <v>74</v>
      </c>
      <c r="BI23" t="s">
        <v>74</v>
      </c>
      <c r="BJ23" t="s">
        <v>74</v>
      </c>
      <c r="BK23" t="s">
        <v>74</v>
      </c>
      <c r="BL23" t="s">
        <v>74</v>
      </c>
      <c r="BM23" t="s">
        <v>74</v>
      </c>
      <c r="BN23" t="s">
        <v>74</v>
      </c>
      <c r="BO23" t="s">
        <v>74</v>
      </c>
      <c r="BP23" t="s">
        <v>74</v>
      </c>
      <c r="BQ23" t="s">
        <v>74</v>
      </c>
      <c r="BR23" t="s">
        <v>74</v>
      </c>
      <c r="BS23" t="s">
        <v>7331</v>
      </c>
      <c r="BT23" t="str">
        <f>HYPERLINK("https%3A%2F%2Fwww.webofscience.com%2Fwos%2Fwoscc%2Ffull-record%2FWOS:000878648300001","View Full Record in Web of Science")</f>
        <v>View Full Record in Web of Science</v>
      </c>
    </row>
    <row r="24" spans="1:72" x14ac:dyDescent="0.4">
      <c r="A24" t="s">
        <v>72</v>
      </c>
      <c r="B24" t="s">
        <v>935</v>
      </c>
      <c r="C24" t="s">
        <v>74</v>
      </c>
      <c r="D24" t="s">
        <v>74</v>
      </c>
      <c r="E24" t="s">
        <v>74</v>
      </c>
      <c r="F24" t="s">
        <v>936</v>
      </c>
      <c r="G24" t="s">
        <v>74</v>
      </c>
      <c r="H24" t="s">
        <v>74</v>
      </c>
      <c r="I24" t="s">
        <v>937</v>
      </c>
      <c r="J24" t="s">
        <v>108</v>
      </c>
      <c r="K24" t="s">
        <v>74</v>
      </c>
      <c r="L24" t="s">
        <v>74</v>
      </c>
      <c r="M24" t="s">
        <v>74</v>
      </c>
      <c r="N24" t="s">
        <v>74</v>
      </c>
      <c r="O24" t="s">
        <v>74</v>
      </c>
      <c r="P24" t="s">
        <v>74</v>
      </c>
      <c r="Q24" t="s">
        <v>74</v>
      </c>
      <c r="R24" t="s">
        <v>74</v>
      </c>
      <c r="S24" t="s">
        <v>74</v>
      </c>
      <c r="T24" t="s">
        <v>74</v>
      </c>
      <c r="U24" t="s">
        <v>74</v>
      </c>
      <c r="V24" s="3" t="s">
        <v>938</v>
      </c>
      <c r="W24" t="s">
        <v>74</v>
      </c>
      <c r="X24" t="s">
        <v>74</v>
      </c>
      <c r="Y24" t="s">
        <v>74</v>
      </c>
      <c r="Z24" t="s">
        <v>74</v>
      </c>
      <c r="AA24" t="s">
        <v>623</v>
      </c>
      <c r="AB24" t="s">
        <v>624</v>
      </c>
      <c r="AC24" t="s">
        <v>74</v>
      </c>
      <c r="AD24" t="s">
        <v>74</v>
      </c>
      <c r="AE24" t="s">
        <v>74</v>
      </c>
      <c r="AF24" t="s">
        <v>74</v>
      </c>
      <c r="AG24" t="s">
        <v>74</v>
      </c>
      <c r="AH24" t="s">
        <v>74</v>
      </c>
      <c r="AI24" t="s">
        <v>74</v>
      </c>
      <c r="AJ24" t="s">
        <v>74</v>
      </c>
      <c r="AK24" t="s">
        <v>74</v>
      </c>
      <c r="AL24" t="s">
        <v>74</v>
      </c>
      <c r="AM24" t="s">
        <v>74</v>
      </c>
      <c r="AN24" t="s">
        <v>74</v>
      </c>
      <c r="AO24" t="s">
        <v>111</v>
      </c>
      <c r="AP24" t="s">
        <v>112</v>
      </c>
      <c r="AQ24" t="s">
        <v>74</v>
      </c>
      <c r="AR24" t="s">
        <v>74</v>
      </c>
      <c r="AS24" t="s">
        <v>74</v>
      </c>
      <c r="AT24" t="s">
        <v>939</v>
      </c>
      <c r="AU24">
        <v>2010</v>
      </c>
      <c r="AV24">
        <v>277</v>
      </c>
      <c r="AW24">
        <v>1700</v>
      </c>
      <c r="AX24" t="s">
        <v>74</v>
      </c>
      <c r="AY24" t="s">
        <v>74</v>
      </c>
      <c r="AZ24" t="s">
        <v>74</v>
      </c>
      <c r="BA24" t="s">
        <v>74</v>
      </c>
      <c r="BB24">
        <v>3669</v>
      </c>
      <c r="BC24">
        <v>3675</v>
      </c>
      <c r="BD24" t="s">
        <v>74</v>
      </c>
      <c r="BE24" t="s">
        <v>940</v>
      </c>
      <c r="BF24" t="str">
        <f>HYPERLINK("http://dx.doi.org/10.1098/rspb.2010.0935","http://dx.doi.org/10.1098/rspb.2010.0935")</f>
        <v>http://dx.doi.org/10.1098/rspb.2010.0935</v>
      </c>
      <c r="BG24" t="s">
        <v>74</v>
      </c>
      <c r="BH24" t="s">
        <v>74</v>
      </c>
      <c r="BI24" t="s">
        <v>74</v>
      </c>
      <c r="BJ24" t="s">
        <v>74</v>
      </c>
      <c r="BK24" t="s">
        <v>74</v>
      </c>
      <c r="BL24" t="s">
        <v>74</v>
      </c>
      <c r="BM24" t="s">
        <v>74</v>
      </c>
      <c r="BN24">
        <v>20591870</v>
      </c>
      <c r="BO24" t="s">
        <v>74</v>
      </c>
      <c r="BP24" t="s">
        <v>74</v>
      </c>
      <c r="BQ24" t="s">
        <v>74</v>
      </c>
      <c r="BR24" t="s">
        <v>74</v>
      </c>
      <c r="BS24" t="s">
        <v>941</v>
      </c>
      <c r="BT24" t="str">
        <f>HYPERLINK("https%3A%2F%2Fwww.webofscience.com%2Fwos%2Fwoscc%2Ffull-record%2FWOS:000283450100017","View Full Record in Web of Science")</f>
        <v>View Full Record in Web of Science</v>
      </c>
    </row>
    <row r="25" spans="1:72" x14ac:dyDescent="0.4">
      <c r="A25" t="s">
        <v>72</v>
      </c>
      <c r="B25" t="s">
        <v>1539</v>
      </c>
      <c r="C25" t="s">
        <v>74</v>
      </c>
      <c r="D25" t="s">
        <v>74</v>
      </c>
      <c r="E25" t="s">
        <v>74</v>
      </c>
      <c r="F25" t="s">
        <v>1539</v>
      </c>
      <c r="G25" t="s">
        <v>74</v>
      </c>
      <c r="H25" t="s">
        <v>74</v>
      </c>
      <c r="I25" t="s">
        <v>1540</v>
      </c>
      <c r="J25" t="s">
        <v>1541</v>
      </c>
      <c r="K25" t="s">
        <v>74</v>
      </c>
      <c r="L25" t="s">
        <v>74</v>
      </c>
      <c r="M25" t="s">
        <v>74</v>
      </c>
      <c r="N25" t="s">
        <v>74</v>
      </c>
      <c r="O25" t="s">
        <v>74</v>
      </c>
      <c r="P25" t="s">
        <v>74</v>
      </c>
      <c r="Q25" t="s">
        <v>74</v>
      </c>
      <c r="R25" t="s">
        <v>74</v>
      </c>
      <c r="S25" t="s">
        <v>74</v>
      </c>
      <c r="T25" t="s">
        <v>74</v>
      </c>
      <c r="U25" t="s">
        <v>74</v>
      </c>
      <c r="V25" s="3" t="s">
        <v>1542</v>
      </c>
      <c r="W25" t="s">
        <v>74</v>
      </c>
      <c r="X25" t="s">
        <v>74</v>
      </c>
      <c r="Y25" t="s">
        <v>74</v>
      </c>
      <c r="Z25" t="s">
        <v>74</v>
      </c>
      <c r="AA25" t="s">
        <v>74</v>
      </c>
      <c r="AB25" t="s">
        <v>74</v>
      </c>
      <c r="AC25" t="s">
        <v>74</v>
      </c>
      <c r="AD25" t="s">
        <v>74</v>
      </c>
      <c r="AE25" t="s">
        <v>74</v>
      </c>
      <c r="AF25" t="s">
        <v>74</v>
      </c>
      <c r="AG25" t="s">
        <v>74</v>
      </c>
      <c r="AH25" t="s">
        <v>74</v>
      </c>
      <c r="AI25" t="s">
        <v>74</v>
      </c>
      <c r="AJ25" t="s">
        <v>74</v>
      </c>
      <c r="AK25" t="s">
        <v>74</v>
      </c>
      <c r="AL25" t="s">
        <v>74</v>
      </c>
      <c r="AM25" t="s">
        <v>74</v>
      </c>
      <c r="AN25" t="s">
        <v>74</v>
      </c>
      <c r="AO25" t="s">
        <v>1543</v>
      </c>
      <c r="AP25" t="s">
        <v>1544</v>
      </c>
      <c r="AQ25" t="s">
        <v>74</v>
      </c>
      <c r="AR25" t="s">
        <v>74</v>
      </c>
      <c r="AS25" t="s">
        <v>74</v>
      </c>
      <c r="AT25" t="s">
        <v>134</v>
      </c>
      <c r="AU25">
        <v>2001</v>
      </c>
      <c r="AV25">
        <v>82</v>
      </c>
      <c r="AW25">
        <v>5</v>
      </c>
      <c r="AX25" t="s">
        <v>74</v>
      </c>
      <c r="AY25" t="s">
        <v>74</v>
      </c>
      <c r="AZ25" t="s">
        <v>74</v>
      </c>
      <c r="BA25" t="s">
        <v>74</v>
      </c>
      <c r="BB25">
        <v>1433</v>
      </c>
      <c r="BC25">
        <v>1442</v>
      </c>
      <c r="BD25" t="s">
        <v>74</v>
      </c>
      <c r="BE25" t="s">
        <v>1545</v>
      </c>
      <c r="BF25" t="str">
        <f>HYPERLINK("http://dx.doi.org/10.1890/0012-9658(2001)082[1433:PFANTR]2.0.CO;2","http://dx.doi.org/10.1890/0012-9658(2001)082[1433:PFANTR]2.0.CO;2")</f>
        <v>http://dx.doi.org/10.1890/0012-9658(2001)082[1433:PFANTR]2.0.CO;2</v>
      </c>
      <c r="BG25" t="s">
        <v>74</v>
      </c>
      <c r="BH25" t="s">
        <v>74</v>
      </c>
      <c r="BI25" t="s">
        <v>74</v>
      </c>
      <c r="BJ25" t="s">
        <v>74</v>
      </c>
      <c r="BK25" t="s">
        <v>74</v>
      </c>
      <c r="BL25" t="s">
        <v>74</v>
      </c>
      <c r="BM25" t="s">
        <v>74</v>
      </c>
      <c r="BN25" t="s">
        <v>74</v>
      </c>
      <c r="BO25" t="s">
        <v>74</v>
      </c>
      <c r="BP25" t="s">
        <v>74</v>
      </c>
      <c r="BQ25" t="s">
        <v>74</v>
      </c>
      <c r="BR25" t="s">
        <v>74</v>
      </c>
      <c r="BS25" t="s">
        <v>1546</v>
      </c>
      <c r="BT25" t="str">
        <f>HYPERLINK("https%3A%2F%2Fwww.webofscience.com%2Fwos%2Fwoscc%2Ffull-record%2FWOS:000168844200018","View Full Record in Web of Science")</f>
        <v>View Full Record in Web of Science</v>
      </c>
    </row>
    <row r="26" spans="1:72" x14ac:dyDescent="0.4">
      <c r="A26" t="s">
        <v>72</v>
      </c>
      <c r="B26" t="s">
        <v>4561</v>
      </c>
      <c r="C26" t="s">
        <v>74</v>
      </c>
      <c r="D26" t="s">
        <v>74</v>
      </c>
      <c r="E26" t="s">
        <v>74</v>
      </c>
      <c r="F26" t="s">
        <v>4562</v>
      </c>
      <c r="G26" t="s">
        <v>74</v>
      </c>
      <c r="H26" t="s">
        <v>74</v>
      </c>
      <c r="I26" t="s">
        <v>4563</v>
      </c>
      <c r="J26" t="s">
        <v>129</v>
      </c>
      <c r="K26" t="s">
        <v>74</v>
      </c>
      <c r="L26" t="s">
        <v>74</v>
      </c>
      <c r="M26" t="s">
        <v>74</v>
      </c>
      <c r="N26" t="s">
        <v>74</v>
      </c>
      <c r="O26" t="s">
        <v>74</v>
      </c>
      <c r="P26" t="s">
        <v>74</v>
      </c>
      <c r="Q26" t="s">
        <v>74</v>
      </c>
      <c r="R26" t="s">
        <v>74</v>
      </c>
      <c r="S26" t="s">
        <v>74</v>
      </c>
      <c r="T26" t="s">
        <v>74</v>
      </c>
      <c r="U26" t="s">
        <v>74</v>
      </c>
      <c r="V26" s="3" t="s">
        <v>4564</v>
      </c>
      <c r="W26" t="s">
        <v>74</v>
      </c>
      <c r="X26" t="s">
        <v>74</v>
      </c>
      <c r="Y26" t="s">
        <v>74</v>
      </c>
      <c r="Z26" t="s">
        <v>74</v>
      </c>
      <c r="AA26" t="s">
        <v>74</v>
      </c>
      <c r="AB26" t="s">
        <v>74</v>
      </c>
      <c r="AC26" t="s">
        <v>74</v>
      </c>
      <c r="AD26" t="s">
        <v>74</v>
      </c>
      <c r="AE26" t="s">
        <v>74</v>
      </c>
      <c r="AF26" t="s">
        <v>74</v>
      </c>
      <c r="AG26" t="s">
        <v>74</v>
      </c>
      <c r="AH26" t="s">
        <v>74</v>
      </c>
      <c r="AI26" t="s">
        <v>74</v>
      </c>
      <c r="AJ26" t="s">
        <v>74</v>
      </c>
      <c r="AK26" t="s">
        <v>74</v>
      </c>
      <c r="AL26" t="s">
        <v>74</v>
      </c>
      <c r="AM26" t="s">
        <v>74</v>
      </c>
      <c r="AN26" t="s">
        <v>74</v>
      </c>
      <c r="AO26" t="s">
        <v>132</v>
      </c>
      <c r="AP26" t="s">
        <v>133</v>
      </c>
      <c r="AQ26" t="s">
        <v>74</v>
      </c>
      <c r="AR26" t="s">
        <v>74</v>
      </c>
      <c r="AS26" t="s">
        <v>74</v>
      </c>
      <c r="AT26" t="s">
        <v>633</v>
      </c>
      <c r="AU26">
        <v>2015</v>
      </c>
      <c r="AV26">
        <v>69</v>
      </c>
      <c r="AW26">
        <v>4</v>
      </c>
      <c r="AX26" t="s">
        <v>74</v>
      </c>
      <c r="AY26" t="s">
        <v>74</v>
      </c>
      <c r="AZ26" t="s">
        <v>74</v>
      </c>
      <c r="BA26" t="s">
        <v>74</v>
      </c>
      <c r="BB26">
        <v>571</v>
      </c>
      <c r="BC26">
        <v>581</v>
      </c>
      <c r="BD26" t="s">
        <v>74</v>
      </c>
      <c r="BE26" t="s">
        <v>4565</v>
      </c>
      <c r="BF26" t="str">
        <f>HYPERLINK("http://dx.doi.org/10.1007/s00265-014-1868-7","http://dx.doi.org/10.1007/s00265-014-1868-7")</f>
        <v>http://dx.doi.org/10.1007/s00265-014-1868-7</v>
      </c>
      <c r="BG26" t="s">
        <v>74</v>
      </c>
      <c r="BH26" t="s">
        <v>74</v>
      </c>
      <c r="BI26" t="s">
        <v>74</v>
      </c>
      <c r="BJ26" t="s">
        <v>74</v>
      </c>
      <c r="BK26" t="s">
        <v>74</v>
      </c>
      <c r="BL26" t="s">
        <v>74</v>
      </c>
      <c r="BM26" t="s">
        <v>74</v>
      </c>
      <c r="BN26" t="s">
        <v>74</v>
      </c>
      <c r="BO26" t="s">
        <v>74</v>
      </c>
      <c r="BP26" t="s">
        <v>74</v>
      </c>
      <c r="BQ26" t="s">
        <v>74</v>
      </c>
      <c r="BR26" t="s">
        <v>74</v>
      </c>
      <c r="BS26" t="s">
        <v>4566</v>
      </c>
      <c r="BT26" t="str">
        <f>HYPERLINK("https%3A%2F%2Fwww.webofscience.com%2Fwos%2Fwoscc%2Ffull-record%2FWOS:000351235100007","View Full Record in Web of Science")</f>
        <v>View Full Record in Web of Science</v>
      </c>
    </row>
    <row r="27" spans="1:72" x14ac:dyDescent="0.4">
      <c r="A27" t="s">
        <v>72</v>
      </c>
      <c r="B27" t="s">
        <v>1435</v>
      </c>
      <c r="C27" t="s">
        <v>74</v>
      </c>
      <c r="D27" t="s">
        <v>74</v>
      </c>
      <c r="E27" t="s">
        <v>74</v>
      </c>
      <c r="F27" t="s">
        <v>1435</v>
      </c>
      <c r="G27" t="s">
        <v>74</v>
      </c>
      <c r="H27" t="s">
        <v>74</v>
      </c>
      <c r="I27" t="s">
        <v>1436</v>
      </c>
      <c r="J27" t="s">
        <v>1437</v>
      </c>
      <c r="K27" t="s">
        <v>74</v>
      </c>
      <c r="L27" t="s">
        <v>74</v>
      </c>
      <c r="M27" t="s">
        <v>74</v>
      </c>
      <c r="N27" t="s">
        <v>74</v>
      </c>
      <c r="O27" t="s">
        <v>74</v>
      </c>
      <c r="P27" t="s">
        <v>74</v>
      </c>
      <c r="Q27" t="s">
        <v>74</v>
      </c>
      <c r="R27" t="s">
        <v>74</v>
      </c>
      <c r="S27" t="s">
        <v>74</v>
      </c>
      <c r="T27" t="s">
        <v>74</v>
      </c>
      <c r="U27" t="s">
        <v>74</v>
      </c>
      <c r="V27" s="3" t="s">
        <v>1438</v>
      </c>
      <c r="W27" t="s">
        <v>74</v>
      </c>
      <c r="X27" t="s">
        <v>74</v>
      </c>
      <c r="Y27" t="s">
        <v>74</v>
      </c>
      <c r="Z27" t="s">
        <v>74</v>
      </c>
      <c r="AA27" t="s">
        <v>1439</v>
      </c>
      <c r="AB27" t="s">
        <v>74</v>
      </c>
      <c r="AC27" t="s">
        <v>74</v>
      </c>
      <c r="AD27" t="s">
        <v>74</v>
      </c>
      <c r="AE27" t="s">
        <v>74</v>
      </c>
      <c r="AF27" t="s">
        <v>74</v>
      </c>
      <c r="AG27" t="s">
        <v>74</v>
      </c>
      <c r="AH27" t="s">
        <v>74</v>
      </c>
      <c r="AI27" t="s">
        <v>74</v>
      </c>
      <c r="AJ27" t="s">
        <v>74</v>
      </c>
      <c r="AK27" t="s">
        <v>74</v>
      </c>
      <c r="AL27" t="s">
        <v>74</v>
      </c>
      <c r="AM27" t="s">
        <v>74</v>
      </c>
      <c r="AN27" t="s">
        <v>74</v>
      </c>
      <c r="AO27" t="s">
        <v>1440</v>
      </c>
      <c r="AP27" t="s">
        <v>74</v>
      </c>
      <c r="AQ27" t="s">
        <v>74</v>
      </c>
      <c r="AR27" t="s">
        <v>74</v>
      </c>
      <c r="AS27" t="s">
        <v>74</v>
      </c>
      <c r="AT27" t="s">
        <v>123</v>
      </c>
      <c r="AU27">
        <v>1999</v>
      </c>
      <c r="AV27">
        <v>82</v>
      </c>
      <c r="AW27" t="s">
        <v>74</v>
      </c>
      <c r="AX27">
        <v>3</v>
      </c>
      <c r="AY27" t="s">
        <v>74</v>
      </c>
      <c r="AZ27" t="s">
        <v>74</v>
      </c>
      <c r="BA27" t="s">
        <v>74</v>
      </c>
      <c r="BB27">
        <v>328</v>
      </c>
      <c r="BC27">
        <v>335</v>
      </c>
      <c r="BD27" t="s">
        <v>74</v>
      </c>
      <c r="BE27" t="s">
        <v>1441</v>
      </c>
      <c r="BF27" t="str">
        <f>HYPERLINK("http://dx.doi.org/10.1038/sj.hdy.6884930","http://dx.doi.org/10.1038/sj.hdy.6884930")</f>
        <v>http://dx.doi.org/10.1038/sj.hdy.6884930</v>
      </c>
      <c r="BG27" t="s">
        <v>74</v>
      </c>
      <c r="BH27" t="s">
        <v>74</v>
      </c>
      <c r="BI27" t="s">
        <v>74</v>
      </c>
      <c r="BJ27" t="s">
        <v>74</v>
      </c>
      <c r="BK27" t="s">
        <v>74</v>
      </c>
      <c r="BL27" t="s">
        <v>74</v>
      </c>
      <c r="BM27" t="s">
        <v>74</v>
      </c>
      <c r="BN27">
        <v>10336708</v>
      </c>
      <c r="BO27" t="s">
        <v>74</v>
      </c>
      <c r="BP27" t="s">
        <v>74</v>
      </c>
      <c r="BQ27" t="s">
        <v>74</v>
      </c>
      <c r="BR27" t="s">
        <v>74</v>
      </c>
      <c r="BS27" t="s">
        <v>1442</v>
      </c>
      <c r="BT27" t="str">
        <f>HYPERLINK("https%3A%2F%2Fwww.webofscience.com%2Fwos%2Fwoscc%2Ffull-record%2FWOS:000080078300013","View Full Record in Web of Science")</f>
        <v>View Full Record in Web of Science</v>
      </c>
    </row>
    <row r="28" spans="1:72" x14ac:dyDescent="0.4">
      <c r="A28" t="s">
        <v>72</v>
      </c>
      <c r="B28" t="s">
        <v>3477</v>
      </c>
      <c r="C28" t="s">
        <v>74</v>
      </c>
      <c r="D28" t="s">
        <v>74</v>
      </c>
      <c r="E28" t="s">
        <v>74</v>
      </c>
      <c r="F28" t="s">
        <v>3477</v>
      </c>
      <c r="G28" t="s">
        <v>74</v>
      </c>
      <c r="H28" t="s">
        <v>74</v>
      </c>
      <c r="I28" t="s">
        <v>3478</v>
      </c>
      <c r="J28" t="s">
        <v>77</v>
      </c>
      <c r="K28" t="s">
        <v>74</v>
      </c>
      <c r="L28" t="s">
        <v>74</v>
      </c>
      <c r="M28" t="s">
        <v>74</v>
      </c>
      <c r="N28" t="s">
        <v>74</v>
      </c>
      <c r="O28" t="s">
        <v>74</v>
      </c>
      <c r="P28" t="s">
        <v>74</v>
      </c>
      <c r="Q28" t="s">
        <v>74</v>
      </c>
      <c r="R28" t="s">
        <v>74</v>
      </c>
      <c r="S28" t="s">
        <v>74</v>
      </c>
      <c r="T28" t="s">
        <v>74</v>
      </c>
      <c r="U28" t="s">
        <v>74</v>
      </c>
      <c r="V28" s="3" t="s">
        <v>3479</v>
      </c>
      <c r="W28" t="s">
        <v>74</v>
      </c>
      <c r="X28" t="s">
        <v>74</v>
      </c>
      <c r="Y28" t="s">
        <v>74</v>
      </c>
      <c r="Z28" t="s">
        <v>74</v>
      </c>
      <c r="AA28" t="s">
        <v>74</v>
      </c>
      <c r="AB28" t="s">
        <v>1774</v>
      </c>
      <c r="AC28" t="s">
        <v>74</v>
      </c>
      <c r="AD28" t="s">
        <v>74</v>
      </c>
      <c r="AE28" t="s">
        <v>74</v>
      </c>
      <c r="AF28" t="s">
        <v>74</v>
      </c>
      <c r="AG28" t="s">
        <v>74</v>
      </c>
      <c r="AH28" t="s">
        <v>74</v>
      </c>
      <c r="AI28" t="s">
        <v>74</v>
      </c>
      <c r="AJ28" t="s">
        <v>74</v>
      </c>
      <c r="AK28" t="s">
        <v>74</v>
      </c>
      <c r="AL28" t="s">
        <v>74</v>
      </c>
      <c r="AM28" t="s">
        <v>74</v>
      </c>
      <c r="AN28" t="s">
        <v>74</v>
      </c>
      <c r="AO28" t="s">
        <v>81</v>
      </c>
      <c r="AP28" t="s">
        <v>74</v>
      </c>
      <c r="AQ28" t="s">
        <v>74</v>
      </c>
      <c r="AR28" t="s">
        <v>74</v>
      </c>
      <c r="AS28" t="s">
        <v>74</v>
      </c>
      <c r="AT28" t="s">
        <v>305</v>
      </c>
      <c r="AU28">
        <v>1996</v>
      </c>
      <c r="AV28">
        <v>133</v>
      </c>
      <c r="AW28" t="s">
        <v>74</v>
      </c>
      <c r="AX28" t="s">
        <v>3480</v>
      </c>
      <c r="AY28" t="s">
        <v>74</v>
      </c>
      <c r="AZ28" t="s">
        <v>74</v>
      </c>
      <c r="BA28" t="s">
        <v>74</v>
      </c>
      <c r="BB28">
        <v>1265</v>
      </c>
      <c r="BC28">
        <v>1279</v>
      </c>
      <c r="BD28" t="s">
        <v>74</v>
      </c>
      <c r="BE28" t="s">
        <v>3481</v>
      </c>
      <c r="BF28" t="str">
        <f>HYPERLINK("http://dx.doi.org/10.1163/156853996X00396","http://dx.doi.org/10.1163/156853996X00396")</f>
        <v>http://dx.doi.org/10.1163/156853996X00396</v>
      </c>
      <c r="BG28" t="s">
        <v>74</v>
      </c>
      <c r="BH28" t="s">
        <v>74</v>
      </c>
      <c r="BI28" t="s">
        <v>74</v>
      </c>
      <c r="BJ28" t="s">
        <v>74</v>
      </c>
      <c r="BK28" t="s">
        <v>74</v>
      </c>
      <c r="BL28" t="s">
        <v>74</v>
      </c>
      <c r="BM28" t="s">
        <v>74</v>
      </c>
      <c r="BN28" t="s">
        <v>74</v>
      </c>
      <c r="BO28" t="s">
        <v>74</v>
      </c>
      <c r="BP28" t="s">
        <v>74</v>
      </c>
      <c r="BQ28" t="s">
        <v>74</v>
      </c>
      <c r="BR28" t="s">
        <v>74</v>
      </c>
      <c r="BS28" t="s">
        <v>3482</v>
      </c>
      <c r="BT28" t="str">
        <f>HYPERLINK("https%3A%2F%2Fwww.webofscience.com%2Fwos%2Fwoscc%2Ffull-record%2FWOS:A1996WF81400008","View Full Record in Web of Science")</f>
        <v>View Full Record in Web of Science</v>
      </c>
    </row>
    <row r="29" spans="1:72" x14ac:dyDescent="0.4">
      <c r="A29" t="s">
        <v>72</v>
      </c>
      <c r="B29" t="s">
        <v>2993</v>
      </c>
      <c r="C29" t="s">
        <v>74</v>
      </c>
      <c r="D29" t="s">
        <v>74</v>
      </c>
      <c r="E29" t="s">
        <v>74</v>
      </c>
      <c r="F29" t="s">
        <v>2993</v>
      </c>
      <c r="G29" t="s">
        <v>74</v>
      </c>
      <c r="H29" t="s">
        <v>74</v>
      </c>
      <c r="I29" t="s">
        <v>2994</v>
      </c>
      <c r="J29" t="s">
        <v>2995</v>
      </c>
      <c r="K29" t="s">
        <v>74</v>
      </c>
      <c r="L29" t="s">
        <v>74</v>
      </c>
      <c r="M29" t="s">
        <v>74</v>
      </c>
      <c r="N29" t="s">
        <v>74</v>
      </c>
      <c r="O29" t="s">
        <v>74</v>
      </c>
      <c r="P29" t="s">
        <v>74</v>
      </c>
      <c r="Q29" t="s">
        <v>74</v>
      </c>
      <c r="R29" t="s">
        <v>74</v>
      </c>
      <c r="S29" t="s">
        <v>74</v>
      </c>
      <c r="T29" t="s">
        <v>74</v>
      </c>
      <c r="U29" t="s">
        <v>74</v>
      </c>
      <c r="V29" s="3" t="s">
        <v>2996</v>
      </c>
      <c r="W29" t="s">
        <v>74</v>
      </c>
      <c r="X29" t="s">
        <v>74</v>
      </c>
      <c r="Y29" t="s">
        <v>74</v>
      </c>
      <c r="Z29" t="s">
        <v>74</v>
      </c>
      <c r="AA29" t="s">
        <v>74</v>
      </c>
      <c r="AB29" t="s">
        <v>74</v>
      </c>
      <c r="AC29" t="s">
        <v>74</v>
      </c>
      <c r="AD29" t="s">
        <v>74</v>
      </c>
      <c r="AE29" t="s">
        <v>74</v>
      </c>
      <c r="AF29" t="s">
        <v>74</v>
      </c>
      <c r="AG29" t="s">
        <v>74</v>
      </c>
      <c r="AH29" t="s">
        <v>74</v>
      </c>
      <c r="AI29" t="s">
        <v>74</v>
      </c>
      <c r="AJ29" t="s">
        <v>74</v>
      </c>
      <c r="AK29" t="s">
        <v>74</v>
      </c>
      <c r="AL29" t="s">
        <v>74</v>
      </c>
      <c r="AM29" t="s">
        <v>74</v>
      </c>
      <c r="AN29" t="s">
        <v>74</v>
      </c>
      <c r="AO29" t="s">
        <v>2997</v>
      </c>
      <c r="AP29" t="s">
        <v>2998</v>
      </c>
      <c r="AQ29" t="s">
        <v>74</v>
      </c>
      <c r="AR29" t="s">
        <v>74</v>
      </c>
      <c r="AS29" t="s">
        <v>74</v>
      </c>
      <c r="AT29" t="s">
        <v>305</v>
      </c>
      <c r="AU29">
        <v>1990</v>
      </c>
      <c r="AV29">
        <v>120</v>
      </c>
      <c r="AW29">
        <v>2</v>
      </c>
      <c r="AX29" t="s">
        <v>74</v>
      </c>
      <c r="AY29" t="s">
        <v>74</v>
      </c>
      <c r="AZ29" t="s">
        <v>74</v>
      </c>
      <c r="BA29" t="s">
        <v>74</v>
      </c>
      <c r="BB29">
        <v>165</v>
      </c>
      <c r="BC29">
        <v>193</v>
      </c>
      <c r="BD29" t="s">
        <v>74</v>
      </c>
      <c r="BE29" t="s">
        <v>74</v>
      </c>
      <c r="BF29" t="s">
        <v>74</v>
      </c>
      <c r="BG29" t="s">
        <v>74</v>
      </c>
      <c r="BH29" t="s">
        <v>74</v>
      </c>
      <c r="BI29" t="s">
        <v>74</v>
      </c>
      <c r="BJ29" t="s">
        <v>74</v>
      </c>
      <c r="BK29" t="s">
        <v>74</v>
      </c>
      <c r="BL29" t="s">
        <v>74</v>
      </c>
      <c r="BM29" t="s">
        <v>74</v>
      </c>
      <c r="BN29" t="s">
        <v>74</v>
      </c>
      <c r="BO29" t="s">
        <v>74</v>
      </c>
      <c r="BP29" t="s">
        <v>74</v>
      </c>
      <c r="BQ29" t="s">
        <v>74</v>
      </c>
      <c r="BR29" t="s">
        <v>74</v>
      </c>
      <c r="BS29" t="s">
        <v>2999</v>
      </c>
      <c r="BT29" t="str">
        <f>HYPERLINK("https%3A%2F%2Fwww.webofscience.com%2Fwos%2Fwoscc%2Ffull-record%2FWOS:A1990EQ64700004","View Full Record in Web of Science")</f>
        <v>View Full Record in Web of Science</v>
      </c>
    </row>
    <row r="30" spans="1:72" x14ac:dyDescent="0.4">
      <c r="A30" t="s">
        <v>72</v>
      </c>
      <c r="B30" t="s">
        <v>3517</v>
      </c>
      <c r="C30" t="s">
        <v>74</v>
      </c>
      <c r="D30" t="s">
        <v>74</v>
      </c>
      <c r="E30" t="s">
        <v>74</v>
      </c>
      <c r="F30" t="s">
        <v>3518</v>
      </c>
      <c r="G30" t="s">
        <v>74</v>
      </c>
      <c r="H30" t="s">
        <v>74</v>
      </c>
      <c r="I30" t="s">
        <v>3519</v>
      </c>
      <c r="J30" t="s">
        <v>610</v>
      </c>
      <c r="K30" t="s">
        <v>74</v>
      </c>
      <c r="L30" t="s">
        <v>74</v>
      </c>
      <c r="M30" t="s">
        <v>74</v>
      </c>
      <c r="N30" t="s">
        <v>74</v>
      </c>
      <c r="O30" t="s">
        <v>74</v>
      </c>
      <c r="P30" t="s">
        <v>74</v>
      </c>
      <c r="Q30" t="s">
        <v>74</v>
      </c>
      <c r="R30" t="s">
        <v>74</v>
      </c>
      <c r="S30" t="s">
        <v>74</v>
      </c>
      <c r="T30" t="s">
        <v>74</v>
      </c>
      <c r="U30" t="s">
        <v>74</v>
      </c>
      <c r="V30" s="3" t="s">
        <v>3520</v>
      </c>
      <c r="W30" t="s">
        <v>74</v>
      </c>
      <c r="X30" t="s">
        <v>74</v>
      </c>
      <c r="Y30" t="s">
        <v>74</v>
      </c>
      <c r="Z30" t="s">
        <v>74</v>
      </c>
      <c r="AA30" t="s">
        <v>3521</v>
      </c>
      <c r="AB30" t="s">
        <v>3522</v>
      </c>
      <c r="AC30" t="s">
        <v>74</v>
      </c>
      <c r="AD30" t="s">
        <v>74</v>
      </c>
      <c r="AE30" t="s">
        <v>74</v>
      </c>
      <c r="AF30" t="s">
        <v>74</v>
      </c>
      <c r="AG30" t="s">
        <v>74</v>
      </c>
      <c r="AH30" t="s">
        <v>74</v>
      </c>
      <c r="AI30" t="s">
        <v>74</v>
      </c>
      <c r="AJ30" t="s">
        <v>74</v>
      </c>
      <c r="AK30" t="s">
        <v>74</v>
      </c>
      <c r="AL30" t="s">
        <v>74</v>
      </c>
      <c r="AM30" t="s">
        <v>74</v>
      </c>
      <c r="AN30" t="s">
        <v>74</v>
      </c>
      <c r="AO30" t="s">
        <v>614</v>
      </c>
      <c r="AP30" t="s">
        <v>74</v>
      </c>
      <c r="AQ30" t="s">
        <v>74</v>
      </c>
      <c r="AR30" t="s">
        <v>74</v>
      </c>
      <c r="AS30" t="s">
        <v>74</v>
      </c>
      <c r="AT30" t="s">
        <v>305</v>
      </c>
      <c r="AU30">
        <v>2011</v>
      </c>
      <c r="AV30">
        <v>117</v>
      </c>
      <c r="AW30">
        <v>12</v>
      </c>
      <c r="AX30" t="s">
        <v>74</v>
      </c>
      <c r="AY30" t="s">
        <v>74</v>
      </c>
      <c r="AZ30" t="s">
        <v>74</v>
      </c>
      <c r="BA30" t="s">
        <v>74</v>
      </c>
      <c r="BB30">
        <v>1128</v>
      </c>
      <c r="BC30">
        <v>1137</v>
      </c>
      <c r="BD30" t="s">
        <v>74</v>
      </c>
      <c r="BE30" t="s">
        <v>3523</v>
      </c>
      <c r="BF30" t="str">
        <f>HYPERLINK("http://dx.doi.org/10.1111/j.1439-0310.2011.01969.x","http://dx.doi.org/10.1111/j.1439-0310.2011.01969.x")</f>
        <v>http://dx.doi.org/10.1111/j.1439-0310.2011.01969.x</v>
      </c>
      <c r="BG30" t="s">
        <v>74</v>
      </c>
      <c r="BH30" t="s">
        <v>74</v>
      </c>
      <c r="BI30" t="s">
        <v>74</v>
      </c>
      <c r="BJ30" t="s">
        <v>74</v>
      </c>
      <c r="BK30" t="s">
        <v>74</v>
      </c>
      <c r="BL30" t="s">
        <v>74</v>
      </c>
      <c r="BM30" t="s">
        <v>74</v>
      </c>
      <c r="BN30" t="s">
        <v>74</v>
      </c>
      <c r="BO30" t="s">
        <v>74</v>
      </c>
      <c r="BP30" t="s">
        <v>74</v>
      </c>
      <c r="BQ30" t="s">
        <v>74</v>
      </c>
      <c r="BR30" t="s">
        <v>74</v>
      </c>
      <c r="BS30" t="s">
        <v>3524</v>
      </c>
      <c r="BT30" t="str">
        <f>HYPERLINK("https%3A%2F%2Fwww.webofscience.com%2Fwos%2Fwoscc%2Ffull-record%2FWOS:000297151600008","View Full Record in Web of Science")</f>
        <v>View Full Record in Web of Science</v>
      </c>
    </row>
    <row r="31" spans="1:72" x14ac:dyDescent="0.4">
      <c r="A31" t="s">
        <v>72</v>
      </c>
      <c r="B31" t="s">
        <v>4158</v>
      </c>
      <c r="C31" t="s">
        <v>74</v>
      </c>
      <c r="D31" t="s">
        <v>74</v>
      </c>
      <c r="E31" t="s">
        <v>74</v>
      </c>
      <c r="F31" t="s">
        <v>4159</v>
      </c>
      <c r="G31" t="s">
        <v>74</v>
      </c>
      <c r="H31" t="s">
        <v>74</v>
      </c>
      <c r="I31" t="s">
        <v>4160</v>
      </c>
      <c r="J31" t="s">
        <v>1375</v>
      </c>
      <c r="K31" t="s">
        <v>74</v>
      </c>
      <c r="L31" t="s">
        <v>74</v>
      </c>
      <c r="M31" t="s">
        <v>74</v>
      </c>
      <c r="N31" t="s">
        <v>74</v>
      </c>
      <c r="O31" t="s">
        <v>74</v>
      </c>
      <c r="P31" t="s">
        <v>74</v>
      </c>
      <c r="Q31" t="s">
        <v>74</v>
      </c>
      <c r="R31" t="s">
        <v>74</v>
      </c>
      <c r="S31" t="s">
        <v>74</v>
      </c>
      <c r="T31" t="s">
        <v>74</v>
      </c>
      <c r="U31" t="s">
        <v>74</v>
      </c>
      <c r="V31" s="3" t="s">
        <v>4161</v>
      </c>
      <c r="W31" t="s">
        <v>74</v>
      </c>
      <c r="X31" t="s">
        <v>74</v>
      </c>
      <c r="Y31" t="s">
        <v>74</v>
      </c>
      <c r="Z31" t="s">
        <v>74</v>
      </c>
      <c r="AA31" t="s">
        <v>4162</v>
      </c>
      <c r="AB31" t="s">
        <v>4163</v>
      </c>
      <c r="AC31" t="s">
        <v>74</v>
      </c>
      <c r="AD31" t="s">
        <v>74</v>
      </c>
      <c r="AE31" t="s">
        <v>74</v>
      </c>
      <c r="AF31" t="s">
        <v>74</v>
      </c>
      <c r="AG31" t="s">
        <v>74</v>
      </c>
      <c r="AH31" t="s">
        <v>74</v>
      </c>
      <c r="AI31" t="s">
        <v>74</v>
      </c>
      <c r="AJ31" t="s">
        <v>74</v>
      </c>
      <c r="AK31" t="s">
        <v>74</v>
      </c>
      <c r="AL31" t="s">
        <v>74</v>
      </c>
      <c r="AM31" t="s">
        <v>74</v>
      </c>
      <c r="AN31" t="s">
        <v>74</v>
      </c>
      <c r="AO31" t="s">
        <v>1378</v>
      </c>
      <c r="AP31" t="s">
        <v>74</v>
      </c>
      <c r="AQ31" t="s">
        <v>74</v>
      </c>
      <c r="AR31" t="s">
        <v>74</v>
      </c>
      <c r="AS31" t="s">
        <v>74</v>
      </c>
      <c r="AT31" t="s">
        <v>4164</v>
      </c>
      <c r="AU31">
        <v>2021</v>
      </c>
      <c r="AV31">
        <v>12</v>
      </c>
      <c r="AW31">
        <v>1</v>
      </c>
      <c r="AX31" t="s">
        <v>74</v>
      </c>
      <c r="AY31" t="s">
        <v>74</v>
      </c>
      <c r="AZ31" t="s">
        <v>74</v>
      </c>
      <c r="BA31" t="s">
        <v>74</v>
      </c>
      <c r="BB31" t="s">
        <v>74</v>
      </c>
      <c r="BC31" t="s">
        <v>74</v>
      </c>
      <c r="BD31">
        <v>45</v>
      </c>
      <c r="BE31" t="s">
        <v>4165</v>
      </c>
      <c r="BF31" t="str">
        <f>HYPERLINK("http://dx.doi.org/10.1186/s40657-021-00280-7","http://dx.doi.org/10.1186/s40657-021-00280-7")</f>
        <v>http://dx.doi.org/10.1186/s40657-021-00280-7</v>
      </c>
      <c r="BG31" t="s">
        <v>74</v>
      </c>
      <c r="BH31" t="s">
        <v>74</v>
      </c>
      <c r="BI31" t="s">
        <v>74</v>
      </c>
      <c r="BJ31" t="s">
        <v>74</v>
      </c>
      <c r="BK31" t="s">
        <v>74</v>
      </c>
      <c r="BL31" t="s">
        <v>74</v>
      </c>
      <c r="BM31" t="s">
        <v>74</v>
      </c>
      <c r="BN31" t="s">
        <v>74</v>
      </c>
      <c r="BO31" t="s">
        <v>74</v>
      </c>
      <c r="BP31" t="s">
        <v>74</v>
      </c>
      <c r="BQ31" t="s">
        <v>74</v>
      </c>
      <c r="BR31" t="s">
        <v>74</v>
      </c>
      <c r="BS31" t="s">
        <v>4166</v>
      </c>
      <c r="BT31" t="str">
        <f>HYPERLINK("https%3A%2F%2Fwww.webofscience.com%2Fwos%2Fwoscc%2Ffull-record%2FWOS:000695827100001","View Full Record in Web of Science")</f>
        <v>View Full Record in Web of Science</v>
      </c>
    </row>
    <row r="32" spans="1:72" x14ac:dyDescent="0.4">
      <c r="A32" t="s">
        <v>72</v>
      </c>
      <c r="B32" t="s">
        <v>6550</v>
      </c>
      <c r="C32" t="s">
        <v>74</v>
      </c>
      <c r="D32" t="s">
        <v>74</v>
      </c>
      <c r="E32" t="s">
        <v>74</v>
      </c>
      <c r="F32" t="s">
        <v>6551</v>
      </c>
      <c r="G32" t="s">
        <v>74</v>
      </c>
      <c r="H32" t="s">
        <v>74</v>
      </c>
      <c r="I32" t="s">
        <v>6552</v>
      </c>
      <c r="J32" t="s">
        <v>6553</v>
      </c>
      <c r="K32" t="s">
        <v>74</v>
      </c>
      <c r="L32" t="s">
        <v>74</v>
      </c>
      <c r="M32" t="s">
        <v>74</v>
      </c>
      <c r="N32" t="s">
        <v>74</v>
      </c>
      <c r="O32" t="s">
        <v>74</v>
      </c>
      <c r="P32" t="s">
        <v>74</v>
      </c>
      <c r="Q32" t="s">
        <v>74</v>
      </c>
      <c r="R32" t="s">
        <v>74</v>
      </c>
      <c r="S32" t="s">
        <v>74</v>
      </c>
      <c r="T32" t="s">
        <v>74</v>
      </c>
      <c r="U32" t="s">
        <v>74</v>
      </c>
      <c r="V32" s="3" t="s">
        <v>6554</v>
      </c>
      <c r="W32" t="s">
        <v>74</v>
      </c>
      <c r="X32" t="s">
        <v>74</v>
      </c>
      <c r="Y32" t="s">
        <v>74</v>
      </c>
      <c r="Z32" t="s">
        <v>74</v>
      </c>
      <c r="AA32" t="s">
        <v>74</v>
      </c>
      <c r="AB32" t="s">
        <v>74</v>
      </c>
      <c r="AC32" t="s">
        <v>74</v>
      </c>
      <c r="AD32" t="s">
        <v>74</v>
      </c>
      <c r="AE32" t="s">
        <v>74</v>
      </c>
      <c r="AF32" t="s">
        <v>74</v>
      </c>
      <c r="AG32" t="s">
        <v>74</v>
      </c>
      <c r="AH32" t="s">
        <v>74</v>
      </c>
      <c r="AI32" t="s">
        <v>74</v>
      </c>
      <c r="AJ32" t="s">
        <v>74</v>
      </c>
      <c r="AK32" t="s">
        <v>74</v>
      </c>
      <c r="AL32" t="s">
        <v>74</v>
      </c>
      <c r="AM32" t="s">
        <v>74</v>
      </c>
      <c r="AN32" t="s">
        <v>74</v>
      </c>
      <c r="AO32" t="s">
        <v>6555</v>
      </c>
      <c r="AP32" t="s">
        <v>6556</v>
      </c>
      <c r="AQ32" t="s">
        <v>74</v>
      </c>
      <c r="AR32" t="s">
        <v>74</v>
      </c>
      <c r="AS32" t="s">
        <v>74</v>
      </c>
      <c r="AT32" t="s">
        <v>74</v>
      </c>
      <c r="AU32">
        <v>2024</v>
      </c>
      <c r="AV32">
        <v>35</v>
      </c>
      <c r="AW32">
        <v>2</v>
      </c>
      <c r="AX32" t="s">
        <v>74</v>
      </c>
      <c r="AY32" t="s">
        <v>74</v>
      </c>
      <c r="AZ32" t="s">
        <v>74</v>
      </c>
      <c r="BA32" t="s">
        <v>74</v>
      </c>
      <c r="BB32" t="s">
        <v>74</v>
      </c>
      <c r="BC32" t="s">
        <v>74</v>
      </c>
      <c r="BD32" t="s">
        <v>74</v>
      </c>
      <c r="BE32" t="s">
        <v>6557</v>
      </c>
      <c r="BF32" t="str">
        <f>HYPERLINK("http://dx.doi.org/10.21315/tlsr2024.35.2.15","http://dx.doi.org/10.21315/tlsr2024.35.2.15")</f>
        <v>http://dx.doi.org/10.21315/tlsr2024.35.2.15</v>
      </c>
      <c r="BG32" t="s">
        <v>74</v>
      </c>
      <c r="BH32" t="s">
        <v>74</v>
      </c>
      <c r="BI32" t="s">
        <v>74</v>
      </c>
      <c r="BJ32" t="s">
        <v>74</v>
      </c>
      <c r="BK32" t="s">
        <v>74</v>
      </c>
      <c r="BL32" t="s">
        <v>74</v>
      </c>
      <c r="BM32" t="s">
        <v>74</v>
      </c>
      <c r="BN32" t="s">
        <v>74</v>
      </c>
      <c r="BO32" t="s">
        <v>74</v>
      </c>
      <c r="BP32" t="s">
        <v>74</v>
      </c>
      <c r="BQ32" t="s">
        <v>74</v>
      </c>
      <c r="BR32" t="s">
        <v>74</v>
      </c>
      <c r="BS32" t="s">
        <v>6558</v>
      </c>
      <c r="BT32" t="str">
        <f>HYPERLINK("https%3A%2F%2Fwww.webofscience.com%2Fwos%2Fwoscc%2Ffull-record%2FWOS:001292721100013","View Full Record in Web of Science")</f>
        <v>View Full Record in Web of Science</v>
      </c>
    </row>
    <row r="33" spans="1:72" x14ac:dyDescent="0.4">
      <c r="A33" t="s">
        <v>72</v>
      </c>
      <c r="B33" t="s">
        <v>6707</v>
      </c>
      <c r="C33" t="s">
        <v>74</v>
      </c>
      <c r="D33" t="s">
        <v>74</v>
      </c>
      <c r="E33" t="s">
        <v>74</v>
      </c>
      <c r="F33" t="s">
        <v>6708</v>
      </c>
      <c r="G33" t="s">
        <v>74</v>
      </c>
      <c r="H33" t="s">
        <v>74</v>
      </c>
      <c r="I33" t="s">
        <v>6709</v>
      </c>
      <c r="J33" t="s">
        <v>970</v>
      </c>
      <c r="K33" t="s">
        <v>74</v>
      </c>
      <c r="L33" t="s">
        <v>74</v>
      </c>
      <c r="M33" t="s">
        <v>74</v>
      </c>
      <c r="N33" t="s">
        <v>74</v>
      </c>
      <c r="O33" t="s">
        <v>74</v>
      </c>
      <c r="P33" t="s">
        <v>74</v>
      </c>
      <c r="Q33" t="s">
        <v>74</v>
      </c>
      <c r="R33" t="s">
        <v>74</v>
      </c>
      <c r="S33" t="s">
        <v>74</v>
      </c>
      <c r="T33" t="s">
        <v>74</v>
      </c>
      <c r="U33" t="s">
        <v>74</v>
      </c>
      <c r="V33" s="3" t="s">
        <v>6710</v>
      </c>
      <c r="W33" t="s">
        <v>74</v>
      </c>
      <c r="X33" t="s">
        <v>74</v>
      </c>
      <c r="Y33" t="s">
        <v>74</v>
      </c>
      <c r="Z33" t="s">
        <v>74</v>
      </c>
      <c r="AA33" t="s">
        <v>6711</v>
      </c>
      <c r="AB33" t="s">
        <v>6712</v>
      </c>
      <c r="AC33" t="s">
        <v>74</v>
      </c>
      <c r="AD33" t="s">
        <v>74</v>
      </c>
      <c r="AE33" t="s">
        <v>74</v>
      </c>
      <c r="AF33" t="s">
        <v>74</v>
      </c>
      <c r="AG33" t="s">
        <v>74</v>
      </c>
      <c r="AH33" t="s">
        <v>74</v>
      </c>
      <c r="AI33" t="s">
        <v>74</v>
      </c>
      <c r="AJ33" t="s">
        <v>74</v>
      </c>
      <c r="AK33" t="s">
        <v>74</v>
      </c>
      <c r="AL33" t="s">
        <v>74</v>
      </c>
      <c r="AM33" t="s">
        <v>74</v>
      </c>
      <c r="AN33" t="s">
        <v>74</v>
      </c>
      <c r="AO33" t="s">
        <v>974</v>
      </c>
      <c r="AP33" t="s">
        <v>975</v>
      </c>
      <c r="AQ33" t="s">
        <v>74</v>
      </c>
      <c r="AR33" t="s">
        <v>74</v>
      </c>
      <c r="AS33" t="s">
        <v>74</v>
      </c>
      <c r="AT33" t="s">
        <v>633</v>
      </c>
      <c r="AU33">
        <v>2023</v>
      </c>
      <c r="AV33">
        <v>164</v>
      </c>
      <c r="AW33">
        <v>2</v>
      </c>
      <c r="AX33" t="s">
        <v>74</v>
      </c>
      <c r="AY33" t="s">
        <v>74</v>
      </c>
      <c r="AZ33" t="s">
        <v>74</v>
      </c>
      <c r="BA33" t="s">
        <v>74</v>
      </c>
      <c r="BB33">
        <v>417</v>
      </c>
      <c r="BC33">
        <v>431</v>
      </c>
      <c r="BD33" t="s">
        <v>74</v>
      </c>
      <c r="BE33" t="s">
        <v>6713</v>
      </c>
      <c r="BF33" t="str">
        <f>HYPERLINK("http://dx.doi.org/10.1007/s10336-022-02035-7","http://dx.doi.org/10.1007/s10336-022-02035-7")</f>
        <v>http://dx.doi.org/10.1007/s10336-022-02035-7</v>
      </c>
      <c r="BG33" t="s">
        <v>74</v>
      </c>
      <c r="BH33" t="s">
        <v>2298</v>
      </c>
      <c r="BI33" t="s">
        <v>74</v>
      </c>
      <c r="BJ33" t="s">
        <v>74</v>
      </c>
      <c r="BK33" t="s">
        <v>74</v>
      </c>
      <c r="BL33" t="s">
        <v>74</v>
      </c>
      <c r="BM33" t="s">
        <v>74</v>
      </c>
      <c r="BN33" t="s">
        <v>74</v>
      </c>
      <c r="BO33" t="s">
        <v>74</v>
      </c>
      <c r="BP33" t="s">
        <v>74</v>
      </c>
      <c r="BQ33" t="s">
        <v>74</v>
      </c>
      <c r="BR33" t="s">
        <v>74</v>
      </c>
      <c r="BS33" t="s">
        <v>6714</v>
      </c>
      <c r="BT33" t="str">
        <f>HYPERLINK("https%3A%2F%2Fwww.webofscience.com%2Fwos%2Fwoscc%2Ffull-record%2FWOS:000890108600001","View Full Record in Web of Science")</f>
        <v>View Full Record in Web of Science</v>
      </c>
    </row>
    <row r="34" spans="1:72" x14ac:dyDescent="0.4">
      <c r="A34" t="s">
        <v>72</v>
      </c>
      <c r="B34" t="s">
        <v>506</v>
      </c>
      <c r="C34" t="s">
        <v>74</v>
      </c>
      <c r="D34" t="s">
        <v>74</v>
      </c>
      <c r="E34" t="s">
        <v>74</v>
      </c>
      <c r="F34" t="s">
        <v>507</v>
      </c>
      <c r="G34" t="s">
        <v>74</v>
      </c>
      <c r="H34" t="s">
        <v>74</v>
      </c>
      <c r="I34" t="s">
        <v>508</v>
      </c>
      <c r="J34" t="s">
        <v>509</v>
      </c>
      <c r="K34" t="s">
        <v>74</v>
      </c>
      <c r="L34" t="s">
        <v>74</v>
      </c>
      <c r="M34" t="s">
        <v>74</v>
      </c>
      <c r="N34" t="s">
        <v>74</v>
      </c>
      <c r="O34" t="s">
        <v>74</v>
      </c>
      <c r="P34" t="s">
        <v>74</v>
      </c>
      <c r="Q34" t="s">
        <v>74</v>
      </c>
      <c r="R34" t="s">
        <v>74</v>
      </c>
      <c r="S34" t="s">
        <v>74</v>
      </c>
      <c r="T34" t="s">
        <v>74</v>
      </c>
      <c r="U34" t="s">
        <v>74</v>
      </c>
      <c r="V34" s="3" t="s">
        <v>510</v>
      </c>
      <c r="W34" t="s">
        <v>74</v>
      </c>
      <c r="X34" t="s">
        <v>74</v>
      </c>
      <c r="Y34" t="s">
        <v>74</v>
      </c>
      <c r="Z34" t="s">
        <v>74</v>
      </c>
      <c r="AA34" t="s">
        <v>74</v>
      </c>
      <c r="AB34" t="s">
        <v>74</v>
      </c>
      <c r="AC34" t="s">
        <v>74</v>
      </c>
      <c r="AD34" t="s">
        <v>74</v>
      </c>
      <c r="AE34" t="s">
        <v>74</v>
      </c>
      <c r="AF34" t="s">
        <v>74</v>
      </c>
      <c r="AG34" t="s">
        <v>74</v>
      </c>
      <c r="AH34" t="s">
        <v>74</v>
      </c>
      <c r="AI34" t="s">
        <v>74</v>
      </c>
      <c r="AJ34" t="s">
        <v>74</v>
      </c>
      <c r="AK34" t="s">
        <v>74</v>
      </c>
      <c r="AL34" t="s">
        <v>74</v>
      </c>
      <c r="AM34" t="s">
        <v>74</v>
      </c>
      <c r="AN34" t="s">
        <v>74</v>
      </c>
      <c r="AO34" t="s">
        <v>511</v>
      </c>
      <c r="AP34" t="s">
        <v>512</v>
      </c>
      <c r="AQ34" t="s">
        <v>74</v>
      </c>
      <c r="AR34" t="s">
        <v>74</v>
      </c>
      <c r="AS34" t="s">
        <v>74</v>
      </c>
      <c r="AT34" t="s">
        <v>145</v>
      </c>
      <c r="AU34">
        <v>2010</v>
      </c>
      <c r="AV34">
        <v>58</v>
      </c>
      <c r="AW34">
        <v>3</v>
      </c>
      <c r="AX34" t="s">
        <v>74</v>
      </c>
      <c r="AY34" t="s">
        <v>74</v>
      </c>
      <c r="AZ34" t="s">
        <v>74</v>
      </c>
      <c r="BA34" t="s">
        <v>74</v>
      </c>
      <c r="BB34">
        <v>526</v>
      </c>
      <c r="BC34">
        <v>532</v>
      </c>
      <c r="BD34" t="s">
        <v>74</v>
      </c>
      <c r="BE34" t="s">
        <v>513</v>
      </c>
      <c r="BF34" t="str">
        <f>HYPERLINK("http://dx.doi.org/10.1016/j.yhbeh.2010.04.004","http://dx.doi.org/10.1016/j.yhbeh.2010.04.004")</f>
        <v>http://dx.doi.org/10.1016/j.yhbeh.2010.04.004</v>
      </c>
      <c r="BG34" t="s">
        <v>74</v>
      </c>
      <c r="BH34" t="s">
        <v>74</v>
      </c>
      <c r="BI34" t="s">
        <v>74</v>
      </c>
      <c r="BJ34" t="s">
        <v>74</v>
      </c>
      <c r="BK34" t="s">
        <v>74</v>
      </c>
      <c r="BL34" t="s">
        <v>74</v>
      </c>
      <c r="BM34" t="s">
        <v>74</v>
      </c>
      <c r="BN34">
        <v>20406643</v>
      </c>
      <c r="BO34" t="s">
        <v>74</v>
      </c>
      <c r="BP34" t="s">
        <v>74</v>
      </c>
      <c r="BQ34" t="s">
        <v>74</v>
      </c>
      <c r="BR34" t="s">
        <v>74</v>
      </c>
      <c r="BS34" t="s">
        <v>514</v>
      </c>
      <c r="BT34" t="str">
        <f>HYPERLINK("https%3A%2F%2Fwww.webofscience.com%2Fwos%2Fwoscc%2Ffull-record%2FWOS:000280933600025","View Full Record in Web of Science")</f>
        <v>View Full Record in Web of Science</v>
      </c>
    </row>
    <row r="35" spans="1:72" x14ac:dyDescent="0.4">
      <c r="A35" t="s">
        <v>72</v>
      </c>
      <c r="B35" t="s">
        <v>3619</v>
      </c>
      <c r="C35" t="s">
        <v>74</v>
      </c>
      <c r="D35" t="s">
        <v>74</v>
      </c>
      <c r="E35" t="s">
        <v>74</v>
      </c>
      <c r="F35" t="s">
        <v>3620</v>
      </c>
      <c r="G35" t="s">
        <v>74</v>
      </c>
      <c r="H35" t="s">
        <v>74</v>
      </c>
      <c r="I35" t="s">
        <v>3621</v>
      </c>
      <c r="J35" t="s">
        <v>763</v>
      </c>
      <c r="K35" t="s">
        <v>74</v>
      </c>
      <c r="L35" t="s">
        <v>74</v>
      </c>
      <c r="M35" t="s">
        <v>74</v>
      </c>
      <c r="N35" t="s">
        <v>74</v>
      </c>
      <c r="O35" t="s">
        <v>74</v>
      </c>
      <c r="P35" t="s">
        <v>74</v>
      </c>
      <c r="Q35" t="s">
        <v>74</v>
      </c>
      <c r="R35" t="s">
        <v>74</v>
      </c>
      <c r="S35" t="s">
        <v>74</v>
      </c>
      <c r="T35" t="s">
        <v>74</v>
      </c>
      <c r="U35" t="s">
        <v>74</v>
      </c>
      <c r="V35" s="3" t="s">
        <v>3622</v>
      </c>
      <c r="W35" t="s">
        <v>74</v>
      </c>
      <c r="X35" t="s">
        <v>74</v>
      </c>
      <c r="Y35" t="s">
        <v>74</v>
      </c>
      <c r="Z35" t="s">
        <v>74</v>
      </c>
      <c r="AA35" t="s">
        <v>74</v>
      </c>
      <c r="AB35" t="s">
        <v>3623</v>
      </c>
      <c r="AC35" t="s">
        <v>74</v>
      </c>
      <c r="AD35" t="s">
        <v>74</v>
      </c>
      <c r="AE35" t="s">
        <v>74</v>
      </c>
      <c r="AF35" t="s">
        <v>74</v>
      </c>
      <c r="AG35" t="s">
        <v>74</v>
      </c>
      <c r="AH35" t="s">
        <v>74</v>
      </c>
      <c r="AI35" t="s">
        <v>74</v>
      </c>
      <c r="AJ35" t="s">
        <v>74</v>
      </c>
      <c r="AK35" t="s">
        <v>74</v>
      </c>
      <c r="AL35" t="s">
        <v>74</v>
      </c>
      <c r="AM35" t="s">
        <v>74</v>
      </c>
      <c r="AN35" t="s">
        <v>74</v>
      </c>
      <c r="AO35" t="s">
        <v>767</v>
      </c>
      <c r="AP35" t="s">
        <v>768</v>
      </c>
      <c r="AQ35" t="s">
        <v>74</v>
      </c>
      <c r="AR35" t="s">
        <v>74</v>
      </c>
      <c r="AS35" t="s">
        <v>74</v>
      </c>
      <c r="AT35" t="s">
        <v>123</v>
      </c>
      <c r="AU35">
        <v>2019</v>
      </c>
      <c r="AV35">
        <v>222</v>
      </c>
      <c r="AW35">
        <v>5</v>
      </c>
      <c r="AX35" t="s">
        <v>74</v>
      </c>
      <c r="AY35" t="s">
        <v>74</v>
      </c>
      <c r="AZ35" t="s">
        <v>74</v>
      </c>
      <c r="BA35" t="s">
        <v>74</v>
      </c>
      <c r="BB35" t="s">
        <v>74</v>
      </c>
      <c r="BC35" t="s">
        <v>74</v>
      </c>
      <c r="BD35" t="s">
        <v>3624</v>
      </c>
      <c r="BE35" t="s">
        <v>3625</v>
      </c>
      <c r="BF35" t="str">
        <f>HYPERLINK("http://dx.doi.org/10.1242/jeb.191544","http://dx.doi.org/10.1242/jeb.191544")</f>
        <v>http://dx.doi.org/10.1242/jeb.191544</v>
      </c>
      <c r="BG35" t="s">
        <v>74</v>
      </c>
      <c r="BH35" t="s">
        <v>74</v>
      </c>
      <c r="BI35" t="s">
        <v>74</v>
      </c>
      <c r="BJ35" t="s">
        <v>74</v>
      </c>
      <c r="BK35" t="s">
        <v>74</v>
      </c>
      <c r="BL35" t="s">
        <v>74</v>
      </c>
      <c r="BM35" t="s">
        <v>74</v>
      </c>
      <c r="BN35">
        <v>30659081</v>
      </c>
      <c r="BO35" t="s">
        <v>74</v>
      </c>
      <c r="BP35" t="s">
        <v>74</v>
      </c>
      <c r="BQ35" t="s">
        <v>74</v>
      </c>
      <c r="BR35" t="s">
        <v>74</v>
      </c>
      <c r="BS35" t="s">
        <v>3626</v>
      </c>
      <c r="BT35" t="str">
        <f>HYPERLINK("https%3A%2F%2Fwww.webofscience.com%2Fwos%2Fwoscc%2Ffull-record%2FWOS:000461414600010","View Full Record in Web of Science")</f>
        <v>View Full Record in Web of Science</v>
      </c>
    </row>
    <row r="36" spans="1:72" x14ac:dyDescent="0.4">
      <c r="A36" t="s">
        <v>72</v>
      </c>
      <c r="B36" t="s">
        <v>7888</v>
      </c>
      <c r="C36" t="s">
        <v>74</v>
      </c>
      <c r="D36" t="s">
        <v>74</v>
      </c>
      <c r="E36" t="s">
        <v>74</v>
      </c>
      <c r="F36" t="s">
        <v>7889</v>
      </c>
      <c r="G36" t="s">
        <v>74</v>
      </c>
      <c r="H36" t="s">
        <v>74</v>
      </c>
      <c r="I36" t="s">
        <v>7890</v>
      </c>
      <c r="J36" t="s">
        <v>814</v>
      </c>
      <c r="K36" t="s">
        <v>74</v>
      </c>
      <c r="L36" t="s">
        <v>74</v>
      </c>
      <c r="M36" t="s">
        <v>74</v>
      </c>
      <c r="N36" t="s">
        <v>74</v>
      </c>
      <c r="O36" t="s">
        <v>74</v>
      </c>
      <c r="P36" t="s">
        <v>74</v>
      </c>
      <c r="Q36" t="s">
        <v>74</v>
      </c>
      <c r="R36" t="s">
        <v>74</v>
      </c>
      <c r="S36" t="s">
        <v>74</v>
      </c>
      <c r="T36" t="s">
        <v>74</v>
      </c>
      <c r="U36" t="s">
        <v>74</v>
      </c>
      <c r="V36" s="3" t="s">
        <v>7891</v>
      </c>
      <c r="W36" t="s">
        <v>74</v>
      </c>
      <c r="X36" t="s">
        <v>74</v>
      </c>
      <c r="Y36" t="s">
        <v>74</v>
      </c>
      <c r="Z36" t="s">
        <v>74</v>
      </c>
      <c r="AA36" t="s">
        <v>7892</v>
      </c>
      <c r="AB36" t="s">
        <v>7893</v>
      </c>
      <c r="AC36" t="s">
        <v>74</v>
      </c>
      <c r="AD36" t="s">
        <v>74</v>
      </c>
      <c r="AE36" t="s">
        <v>74</v>
      </c>
      <c r="AF36" t="s">
        <v>74</v>
      </c>
      <c r="AG36" t="s">
        <v>74</v>
      </c>
      <c r="AH36" t="s">
        <v>74</v>
      </c>
      <c r="AI36" t="s">
        <v>74</v>
      </c>
      <c r="AJ36" t="s">
        <v>74</v>
      </c>
      <c r="AK36" t="s">
        <v>74</v>
      </c>
      <c r="AL36" t="s">
        <v>74</v>
      </c>
      <c r="AM36" t="s">
        <v>74</v>
      </c>
      <c r="AN36" t="s">
        <v>74</v>
      </c>
      <c r="AO36" t="s">
        <v>818</v>
      </c>
      <c r="AP36" t="s">
        <v>1505</v>
      </c>
      <c r="AQ36" t="s">
        <v>74</v>
      </c>
      <c r="AR36" t="s">
        <v>74</v>
      </c>
      <c r="AS36" t="s">
        <v>74</v>
      </c>
      <c r="AT36" t="s">
        <v>633</v>
      </c>
      <c r="AU36">
        <v>2022</v>
      </c>
      <c r="AV36">
        <v>151</v>
      </c>
      <c r="AW36" t="s">
        <v>74</v>
      </c>
      <c r="AX36" t="s">
        <v>74</v>
      </c>
      <c r="AY36" t="s">
        <v>74</v>
      </c>
      <c r="AZ36" t="s">
        <v>74</v>
      </c>
      <c r="BA36" t="s">
        <v>74</v>
      </c>
      <c r="BB36" t="s">
        <v>74</v>
      </c>
      <c r="BC36" t="s">
        <v>74</v>
      </c>
      <c r="BD36">
        <v>125992</v>
      </c>
      <c r="BE36" t="s">
        <v>7894</v>
      </c>
      <c r="BF36" t="str">
        <f>HYPERLINK("http://dx.doi.org/10.1016/j.zool.2021.125992","http://dx.doi.org/10.1016/j.zool.2021.125992")</f>
        <v>http://dx.doi.org/10.1016/j.zool.2021.125992</v>
      </c>
      <c r="BG36" t="s">
        <v>74</v>
      </c>
      <c r="BH36" t="s">
        <v>7438</v>
      </c>
      <c r="BI36" t="s">
        <v>74</v>
      </c>
      <c r="BJ36" t="s">
        <v>74</v>
      </c>
      <c r="BK36" t="s">
        <v>74</v>
      </c>
      <c r="BL36" t="s">
        <v>74</v>
      </c>
      <c r="BM36" t="s">
        <v>74</v>
      </c>
      <c r="BN36">
        <v>35228128</v>
      </c>
      <c r="BO36" t="s">
        <v>74</v>
      </c>
      <c r="BP36" t="s">
        <v>74</v>
      </c>
      <c r="BQ36" t="s">
        <v>74</v>
      </c>
      <c r="BR36" t="s">
        <v>74</v>
      </c>
      <c r="BS36" t="s">
        <v>7895</v>
      </c>
      <c r="BT36" t="str">
        <f>HYPERLINK("https%3A%2F%2Fwww.webofscience.com%2Fwos%2Fwoscc%2Ffull-record%2FWOS:000776690400002","View Full Record in Web of Science")</f>
        <v>View Full Record in Web of Science</v>
      </c>
    </row>
    <row r="37" spans="1:72" x14ac:dyDescent="0.4">
      <c r="A37" t="s">
        <v>72</v>
      </c>
      <c r="B37" t="s">
        <v>8421</v>
      </c>
      <c r="C37" t="s">
        <v>74</v>
      </c>
      <c r="D37" t="s">
        <v>74</v>
      </c>
      <c r="E37" t="s">
        <v>74</v>
      </c>
      <c r="F37" t="s">
        <v>8421</v>
      </c>
      <c r="G37" t="s">
        <v>74</v>
      </c>
      <c r="H37" t="s">
        <v>74</v>
      </c>
      <c r="I37" t="s">
        <v>8422</v>
      </c>
      <c r="J37" t="s">
        <v>1878</v>
      </c>
      <c r="K37" t="s">
        <v>74</v>
      </c>
      <c r="L37" t="s">
        <v>74</v>
      </c>
      <c r="M37" t="s">
        <v>74</v>
      </c>
      <c r="N37" t="s">
        <v>74</v>
      </c>
      <c r="O37" t="s">
        <v>74</v>
      </c>
      <c r="P37" t="s">
        <v>74</v>
      </c>
      <c r="Q37" t="s">
        <v>74</v>
      </c>
      <c r="R37" t="s">
        <v>74</v>
      </c>
      <c r="S37" t="s">
        <v>74</v>
      </c>
      <c r="T37" t="s">
        <v>74</v>
      </c>
      <c r="U37" t="s">
        <v>74</v>
      </c>
      <c r="V37" s="3" t="s">
        <v>8423</v>
      </c>
      <c r="W37" t="s">
        <v>74</v>
      </c>
      <c r="X37" t="s">
        <v>74</v>
      </c>
      <c r="Y37" t="s">
        <v>74</v>
      </c>
      <c r="Z37" t="s">
        <v>74</v>
      </c>
      <c r="AA37" t="s">
        <v>8424</v>
      </c>
      <c r="AB37" t="s">
        <v>8425</v>
      </c>
      <c r="AC37" t="s">
        <v>74</v>
      </c>
      <c r="AD37" t="s">
        <v>74</v>
      </c>
      <c r="AE37" t="s">
        <v>74</v>
      </c>
      <c r="AF37" t="s">
        <v>74</v>
      </c>
      <c r="AG37" t="s">
        <v>74</v>
      </c>
      <c r="AH37" t="s">
        <v>74</v>
      </c>
      <c r="AI37" t="s">
        <v>74</v>
      </c>
      <c r="AJ37" t="s">
        <v>74</v>
      </c>
      <c r="AK37" t="s">
        <v>74</v>
      </c>
      <c r="AL37" t="s">
        <v>74</v>
      </c>
      <c r="AM37" t="s">
        <v>74</v>
      </c>
      <c r="AN37" t="s">
        <v>74</v>
      </c>
      <c r="AO37" t="s">
        <v>1882</v>
      </c>
      <c r="AP37" t="s">
        <v>74</v>
      </c>
      <c r="AQ37" t="s">
        <v>74</v>
      </c>
      <c r="AR37" t="s">
        <v>74</v>
      </c>
      <c r="AS37" t="s">
        <v>74</v>
      </c>
      <c r="AT37" t="s">
        <v>964</v>
      </c>
      <c r="AU37">
        <v>2000</v>
      </c>
      <c r="AV37">
        <v>65</v>
      </c>
      <c r="AW37">
        <v>2</v>
      </c>
      <c r="AX37" t="s">
        <v>74</v>
      </c>
      <c r="AY37" t="s">
        <v>74</v>
      </c>
      <c r="AZ37" t="s">
        <v>74</v>
      </c>
      <c r="BA37" t="s">
        <v>74</v>
      </c>
      <c r="BB37">
        <v>327</v>
      </c>
      <c r="BC37">
        <v>332</v>
      </c>
      <c r="BD37" t="s">
        <v>74</v>
      </c>
      <c r="BE37" t="s">
        <v>8426</v>
      </c>
      <c r="BF37" t="str">
        <f>HYPERLINK("http://dx.doi.org/10.1016/S0091-3057(99)00189-6","http://dx.doi.org/10.1016/S0091-3057(99)00189-6")</f>
        <v>http://dx.doi.org/10.1016/S0091-3057(99)00189-6</v>
      </c>
      <c r="BG37" t="s">
        <v>74</v>
      </c>
      <c r="BH37" t="s">
        <v>74</v>
      </c>
      <c r="BI37" t="s">
        <v>74</v>
      </c>
      <c r="BJ37" t="s">
        <v>74</v>
      </c>
      <c r="BK37" t="s">
        <v>74</v>
      </c>
      <c r="BL37" t="s">
        <v>74</v>
      </c>
      <c r="BM37" t="s">
        <v>74</v>
      </c>
      <c r="BN37">
        <v>10672986</v>
      </c>
      <c r="BO37" t="s">
        <v>74</v>
      </c>
      <c r="BP37" t="s">
        <v>74</v>
      </c>
      <c r="BQ37" t="s">
        <v>74</v>
      </c>
      <c r="BR37" t="s">
        <v>74</v>
      </c>
      <c r="BS37" t="s">
        <v>8427</v>
      </c>
      <c r="BT37" t="str">
        <f>HYPERLINK("https%3A%2F%2Fwww.webofscience.com%2Fwos%2Fwoscc%2Ffull-record%2FWOS:000084842500018","View Full Record in Web of Science")</f>
        <v>View Full Record in Web of Science</v>
      </c>
    </row>
    <row r="38" spans="1:72" x14ac:dyDescent="0.4">
      <c r="A38" t="s">
        <v>72</v>
      </c>
      <c r="B38" t="s">
        <v>5452</v>
      </c>
      <c r="C38" t="s">
        <v>74</v>
      </c>
      <c r="D38" t="s">
        <v>74</v>
      </c>
      <c r="E38" t="s">
        <v>74</v>
      </c>
      <c r="F38" t="s">
        <v>5452</v>
      </c>
      <c r="G38" t="s">
        <v>74</v>
      </c>
      <c r="H38" t="s">
        <v>74</v>
      </c>
      <c r="I38" t="s">
        <v>5453</v>
      </c>
      <c r="J38" t="s">
        <v>5454</v>
      </c>
      <c r="K38" t="s">
        <v>74</v>
      </c>
      <c r="L38" t="s">
        <v>74</v>
      </c>
      <c r="M38" t="s">
        <v>74</v>
      </c>
      <c r="N38" t="s">
        <v>74</v>
      </c>
      <c r="O38" t="s">
        <v>74</v>
      </c>
      <c r="P38" t="s">
        <v>74</v>
      </c>
      <c r="Q38" t="s">
        <v>74</v>
      </c>
      <c r="R38" t="s">
        <v>74</v>
      </c>
      <c r="S38" t="s">
        <v>74</v>
      </c>
      <c r="T38" t="s">
        <v>74</v>
      </c>
      <c r="U38" t="s">
        <v>74</v>
      </c>
      <c r="V38" s="3" t="s">
        <v>5455</v>
      </c>
      <c r="W38" t="s">
        <v>74</v>
      </c>
      <c r="X38" t="s">
        <v>74</v>
      </c>
      <c r="Y38" t="s">
        <v>74</v>
      </c>
      <c r="Z38" t="s">
        <v>74</v>
      </c>
      <c r="AA38" t="s">
        <v>5456</v>
      </c>
      <c r="AB38" t="s">
        <v>5457</v>
      </c>
      <c r="AC38" t="s">
        <v>74</v>
      </c>
      <c r="AD38" t="s">
        <v>74</v>
      </c>
      <c r="AE38" t="s">
        <v>74</v>
      </c>
      <c r="AF38" t="s">
        <v>74</v>
      </c>
      <c r="AG38" t="s">
        <v>74</v>
      </c>
      <c r="AH38" t="s">
        <v>74</v>
      </c>
      <c r="AI38" t="s">
        <v>74</v>
      </c>
      <c r="AJ38" t="s">
        <v>74</v>
      </c>
      <c r="AK38" t="s">
        <v>74</v>
      </c>
      <c r="AL38" t="s">
        <v>74</v>
      </c>
      <c r="AM38" t="s">
        <v>74</v>
      </c>
      <c r="AN38" t="s">
        <v>74</v>
      </c>
      <c r="AO38" t="s">
        <v>5458</v>
      </c>
      <c r="AP38" t="s">
        <v>74</v>
      </c>
      <c r="AQ38" t="s">
        <v>74</v>
      </c>
      <c r="AR38" t="s">
        <v>74</v>
      </c>
      <c r="AS38" t="s">
        <v>74</v>
      </c>
      <c r="AT38" t="s">
        <v>74</v>
      </c>
      <c r="AU38">
        <v>1991</v>
      </c>
      <c r="AV38">
        <v>19</v>
      </c>
      <c r="AW38">
        <v>4</v>
      </c>
      <c r="AX38" t="s">
        <v>74</v>
      </c>
      <c r="AY38" t="s">
        <v>74</v>
      </c>
      <c r="AZ38" t="s">
        <v>74</v>
      </c>
      <c r="BA38" t="s">
        <v>74</v>
      </c>
      <c r="BB38">
        <v>271</v>
      </c>
      <c r="BC38">
        <v>276</v>
      </c>
      <c r="BD38" t="s">
        <v>74</v>
      </c>
      <c r="BE38" t="s">
        <v>5459</v>
      </c>
      <c r="BF38" t="str">
        <f>HYPERLINK("http://dx.doi.org/10.1016/0305-1978(91)90014-Q","http://dx.doi.org/10.1016/0305-1978(91)90014-Q")</f>
        <v>http://dx.doi.org/10.1016/0305-1978(91)90014-Q</v>
      </c>
      <c r="BG38" t="s">
        <v>74</v>
      </c>
      <c r="BH38" t="s">
        <v>74</v>
      </c>
      <c r="BI38" t="s">
        <v>74</v>
      </c>
      <c r="BJ38" t="s">
        <v>74</v>
      </c>
      <c r="BK38" t="s">
        <v>74</v>
      </c>
      <c r="BL38" t="s">
        <v>74</v>
      </c>
      <c r="BM38" t="s">
        <v>74</v>
      </c>
      <c r="BN38" t="s">
        <v>74</v>
      </c>
      <c r="BO38" t="s">
        <v>74</v>
      </c>
      <c r="BP38" t="s">
        <v>74</v>
      </c>
      <c r="BQ38" t="s">
        <v>74</v>
      </c>
      <c r="BR38" t="s">
        <v>74</v>
      </c>
      <c r="BS38" t="s">
        <v>5460</v>
      </c>
      <c r="BT38" t="str">
        <f>HYPERLINK("https%3A%2F%2Fwww.webofscience.com%2Fwos%2Fwoscc%2Ffull-record%2FWOS:A1991HA68300002","View Full Record in Web of Science")</f>
        <v>View Full Record in Web of Science</v>
      </c>
    </row>
    <row r="39" spans="1:72" x14ac:dyDescent="0.4">
      <c r="A39" t="s">
        <v>72</v>
      </c>
      <c r="B39" t="s">
        <v>7761</v>
      </c>
      <c r="C39" t="s">
        <v>74</v>
      </c>
      <c r="D39" t="s">
        <v>74</v>
      </c>
      <c r="E39" t="s">
        <v>74</v>
      </c>
      <c r="F39" t="s">
        <v>7762</v>
      </c>
      <c r="G39" t="s">
        <v>74</v>
      </c>
      <c r="H39" t="s">
        <v>74</v>
      </c>
      <c r="I39" t="s">
        <v>7763</v>
      </c>
      <c r="J39" t="s">
        <v>129</v>
      </c>
      <c r="K39" t="s">
        <v>74</v>
      </c>
      <c r="L39" t="s">
        <v>74</v>
      </c>
      <c r="M39" t="s">
        <v>74</v>
      </c>
      <c r="N39" t="s">
        <v>74</v>
      </c>
      <c r="O39" t="s">
        <v>74</v>
      </c>
      <c r="P39" t="s">
        <v>74</v>
      </c>
      <c r="Q39" t="s">
        <v>74</v>
      </c>
      <c r="R39" t="s">
        <v>74</v>
      </c>
      <c r="S39" t="s">
        <v>74</v>
      </c>
      <c r="T39" t="s">
        <v>74</v>
      </c>
      <c r="U39" t="s">
        <v>74</v>
      </c>
      <c r="V39" s="3" t="s">
        <v>7764</v>
      </c>
      <c r="W39" t="s">
        <v>74</v>
      </c>
      <c r="X39" t="s">
        <v>74</v>
      </c>
      <c r="Y39" t="s">
        <v>74</v>
      </c>
      <c r="Z39" t="s">
        <v>74</v>
      </c>
      <c r="AA39" t="s">
        <v>74</v>
      </c>
      <c r="AB39" t="s">
        <v>7765</v>
      </c>
      <c r="AC39" t="s">
        <v>74</v>
      </c>
      <c r="AD39" t="s">
        <v>74</v>
      </c>
      <c r="AE39" t="s">
        <v>74</v>
      </c>
      <c r="AF39" t="s">
        <v>74</v>
      </c>
      <c r="AG39" t="s">
        <v>74</v>
      </c>
      <c r="AH39" t="s">
        <v>74</v>
      </c>
      <c r="AI39" t="s">
        <v>74</v>
      </c>
      <c r="AJ39" t="s">
        <v>74</v>
      </c>
      <c r="AK39" t="s">
        <v>74</v>
      </c>
      <c r="AL39" t="s">
        <v>74</v>
      </c>
      <c r="AM39" t="s">
        <v>74</v>
      </c>
      <c r="AN39" t="s">
        <v>74</v>
      </c>
      <c r="AO39" t="s">
        <v>132</v>
      </c>
      <c r="AP39" t="s">
        <v>133</v>
      </c>
      <c r="AQ39" t="s">
        <v>74</v>
      </c>
      <c r="AR39" t="s">
        <v>74</v>
      </c>
      <c r="AS39" t="s">
        <v>74</v>
      </c>
      <c r="AT39" t="s">
        <v>213</v>
      </c>
      <c r="AU39">
        <v>2022</v>
      </c>
      <c r="AV39">
        <v>76</v>
      </c>
      <c r="AW39">
        <v>11</v>
      </c>
      <c r="AX39" t="s">
        <v>74</v>
      </c>
      <c r="AY39" t="s">
        <v>74</v>
      </c>
      <c r="AZ39" t="s">
        <v>74</v>
      </c>
      <c r="BA39" t="s">
        <v>74</v>
      </c>
      <c r="BB39" t="s">
        <v>74</v>
      </c>
      <c r="BC39" t="s">
        <v>74</v>
      </c>
      <c r="BD39">
        <v>147</v>
      </c>
      <c r="BE39" t="s">
        <v>7766</v>
      </c>
      <c r="BF39" t="str">
        <f>HYPERLINK("http://dx.doi.org/10.1007/s00265-022-03253-y","http://dx.doi.org/10.1007/s00265-022-03253-y")</f>
        <v>http://dx.doi.org/10.1007/s00265-022-03253-y</v>
      </c>
      <c r="BG39" t="s">
        <v>74</v>
      </c>
      <c r="BH39" t="s">
        <v>74</v>
      </c>
      <c r="BI39" t="s">
        <v>74</v>
      </c>
      <c r="BJ39" t="s">
        <v>74</v>
      </c>
      <c r="BK39" t="s">
        <v>74</v>
      </c>
      <c r="BL39" t="s">
        <v>74</v>
      </c>
      <c r="BM39" t="s">
        <v>74</v>
      </c>
      <c r="BN39" t="s">
        <v>74</v>
      </c>
      <c r="BO39" t="s">
        <v>74</v>
      </c>
      <c r="BP39" t="s">
        <v>74</v>
      </c>
      <c r="BQ39" t="s">
        <v>74</v>
      </c>
      <c r="BR39" t="s">
        <v>74</v>
      </c>
      <c r="BS39" t="s">
        <v>7767</v>
      </c>
      <c r="BT39" t="str">
        <f>HYPERLINK("https%3A%2F%2Fwww.webofscience.com%2Fwos%2Fwoscc%2Ffull-record%2FWOS:000867664700001","View Full Record in Web of Science")</f>
        <v>View Full Record in Web of Science</v>
      </c>
    </row>
    <row r="40" spans="1:72" x14ac:dyDescent="0.4">
      <c r="A40" t="s">
        <v>72</v>
      </c>
      <c r="B40" t="s">
        <v>7587</v>
      </c>
      <c r="C40" t="s">
        <v>74</v>
      </c>
      <c r="D40" t="s">
        <v>74</v>
      </c>
      <c r="E40" t="s">
        <v>74</v>
      </c>
      <c r="F40" t="s">
        <v>7587</v>
      </c>
      <c r="G40" t="s">
        <v>74</v>
      </c>
      <c r="H40" t="s">
        <v>74</v>
      </c>
      <c r="I40" t="s">
        <v>7588</v>
      </c>
      <c r="J40" t="s">
        <v>140</v>
      </c>
      <c r="K40" t="s">
        <v>74</v>
      </c>
      <c r="L40" t="s">
        <v>74</v>
      </c>
      <c r="M40" t="s">
        <v>74</v>
      </c>
      <c r="N40" t="s">
        <v>74</v>
      </c>
      <c r="O40" t="s">
        <v>74</v>
      </c>
      <c r="P40" t="s">
        <v>74</v>
      </c>
      <c r="Q40" t="s">
        <v>74</v>
      </c>
      <c r="R40" t="s">
        <v>74</v>
      </c>
      <c r="S40" t="s">
        <v>74</v>
      </c>
      <c r="T40" t="s">
        <v>74</v>
      </c>
      <c r="U40" t="s">
        <v>74</v>
      </c>
      <c r="V40" s="3" t="s">
        <v>7589</v>
      </c>
      <c r="W40" t="s">
        <v>74</v>
      </c>
      <c r="X40" t="s">
        <v>74</v>
      </c>
      <c r="Y40" t="s">
        <v>74</v>
      </c>
      <c r="Z40" t="s">
        <v>74</v>
      </c>
      <c r="AA40" t="s">
        <v>74</v>
      </c>
      <c r="AB40" t="s">
        <v>74</v>
      </c>
      <c r="AC40" t="s">
        <v>74</v>
      </c>
      <c r="AD40" t="s">
        <v>74</v>
      </c>
      <c r="AE40" t="s">
        <v>74</v>
      </c>
      <c r="AF40" t="s">
        <v>74</v>
      </c>
      <c r="AG40" t="s">
        <v>74</v>
      </c>
      <c r="AH40" t="s">
        <v>74</v>
      </c>
      <c r="AI40" t="s">
        <v>74</v>
      </c>
      <c r="AJ40" t="s">
        <v>74</v>
      </c>
      <c r="AK40" t="s">
        <v>74</v>
      </c>
      <c r="AL40" t="s">
        <v>74</v>
      </c>
      <c r="AM40" t="s">
        <v>74</v>
      </c>
      <c r="AN40" t="s">
        <v>74</v>
      </c>
      <c r="AO40" t="s">
        <v>143</v>
      </c>
      <c r="AP40" t="s">
        <v>144</v>
      </c>
      <c r="AQ40" t="s">
        <v>74</v>
      </c>
      <c r="AR40" t="s">
        <v>74</v>
      </c>
      <c r="AS40" t="s">
        <v>74</v>
      </c>
      <c r="AT40" t="s">
        <v>102</v>
      </c>
      <c r="AU40">
        <v>2004</v>
      </c>
      <c r="AV40">
        <v>67</v>
      </c>
      <c r="AW40" t="s">
        <v>74</v>
      </c>
      <c r="AX40">
        <v>6</v>
      </c>
      <c r="AY40" t="s">
        <v>74</v>
      </c>
      <c r="AZ40" t="s">
        <v>74</v>
      </c>
      <c r="BA40" t="s">
        <v>74</v>
      </c>
      <c r="BB40">
        <v>1127</v>
      </c>
      <c r="BC40">
        <v>1132</v>
      </c>
      <c r="BD40" t="s">
        <v>74</v>
      </c>
      <c r="BE40" t="s">
        <v>7590</v>
      </c>
      <c r="BF40" t="str">
        <f>HYPERLINK("http://dx.doi.org/10.1016/j.anbehav.2003.06.021","http://dx.doi.org/10.1016/j.anbehav.2003.06.021")</f>
        <v>http://dx.doi.org/10.1016/j.anbehav.2003.06.021</v>
      </c>
      <c r="BG40" t="s">
        <v>74</v>
      </c>
      <c r="BH40" t="s">
        <v>74</v>
      </c>
      <c r="BI40" t="s">
        <v>74</v>
      </c>
      <c r="BJ40" t="s">
        <v>74</v>
      </c>
      <c r="BK40" t="s">
        <v>74</v>
      </c>
      <c r="BL40" t="s">
        <v>74</v>
      </c>
      <c r="BM40" t="s">
        <v>74</v>
      </c>
      <c r="BN40" t="s">
        <v>74</v>
      </c>
      <c r="BO40" t="s">
        <v>74</v>
      </c>
      <c r="BP40" t="s">
        <v>74</v>
      </c>
      <c r="BQ40" t="s">
        <v>74</v>
      </c>
      <c r="BR40" t="s">
        <v>74</v>
      </c>
      <c r="BS40" t="s">
        <v>7591</v>
      </c>
      <c r="BT40" t="str">
        <f>HYPERLINK("https%3A%2F%2Fwww.webofscience.com%2Fwos%2Fwoscc%2Ffull-record%2FWOS:000222591300017","View Full Record in Web of Science")</f>
        <v>View Full Record in Web of Science</v>
      </c>
    </row>
    <row r="41" spans="1:72" x14ac:dyDescent="0.4">
      <c r="A41" t="s">
        <v>72</v>
      </c>
      <c r="B41" t="s">
        <v>6476</v>
      </c>
      <c r="C41" t="s">
        <v>74</v>
      </c>
      <c r="D41" t="s">
        <v>74</v>
      </c>
      <c r="E41" t="s">
        <v>74</v>
      </c>
      <c r="F41" t="s">
        <v>6477</v>
      </c>
      <c r="G41" t="s">
        <v>74</v>
      </c>
      <c r="H41" t="s">
        <v>74</v>
      </c>
      <c r="I41" t="s">
        <v>6478</v>
      </c>
      <c r="J41" t="s">
        <v>140</v>
      </c>
      <c r="K41" t="s">
        <v>74</v>
      </c>
      <c r="L41" t="s">
        <v>74</v>
      </c>
      <c r="M41" t="s">
        <v>74</v>
      </c>
      <c r="N41" t="s">
        <v>74</v>
      </c>
      <c r="O41" t="s">
        <v>74</v>
      </c>
      <c r="P41" t="s">
        <v>74</v>
      </c>
      <c r="Q41" t="s">
        <v>74</v>
      </c>
      <c r="R41" t="s">
        <v>74</v>
      </c>
      <c r="S41" t="s">
        <v>74</v>
      </c>
      <c r="T41" t="s">
        <v>74</v>
      </c>
      <c r="U41" t="s">
        <v>74</v>
      </c>
      <c r="V41" s="3" t="s">
        <v>6479</v>
      </c>
      <c r="W41" t="s">
        <v>74</v>
      </c>
      <c r="X41" t="s">
        <v>74</v>
      </c>
      <c r="Y41" t="s">
        <v>74</v>
      </c>
      <c r="Z41" t="s">
        <v>74</v>
      </c>
      <c r="AA41" t="s">
        <v>6480</v>
      </c>
      <c r="AB41" t="s">
        <v>6481</v>
      </c>
      <c r="AC41" t="s">
        <v>74</v>
      </c>
      <c r="AD41" t="s">
        <v>74</v>
      </c>
      <c r="AE41" t="s">
        <v>74</v>
      </c>
      <c r="AF41" t="s">
        <v>74</v>
      </c>
      <c r="AG41" t="s">
        <v>74</v>
      </c>
      <c r="AH41" t="s">
        <v>74</v>
      </c>
      <c r="AI41" t="s">
        <v>74</v>
      </c>
      <c r="AJ41" t="s">
        <v>74</v>
      </c>
      <c r="AK41" t="s">
        <v>74</v>
      </c>
      <c r="AL41" t="s">
        <v>74</v>
      </c>
      <c r="AM41" t="s">
        <v>74</v>
      </c>
      <c r="AN41" t="s">
        <v>74</v>
      </c>
      <c r="AO41" t="s">
        <v>143</v>
      </c>
      <c r="AP41" t="s">
        <v>144</v>
      </c>
      <c r="AQ41" t="s">
        <v>74</v>
      </c>
      <c r="AR41" t="s">
        <v>74</v>
      </c>
      <c r="AS41" t="s">
        <v>74</v>
      </c>
      <c r="AT41" t="s">
        <v>255</v>
      </c>
      <c r="AU41">
        <v>2018</v>
      </c>
      <c r="AV41">
        <v>135</v>
      </c>
      <c r="AW41" t="s">
        <v>74</v>
      </c>
      <c r="AX41" t="s">
        <v>74</v>
      </c>
      <c r="AY41" t="s">
        <v>74</v>
      </c>
      <c r="AZ41" t="s">
        <v>74</v>
      </c>
      <c r="BA41" t="s">
        <v>74</v>
      </c>
      <c r="BB41">
        <v>209</v>
      </c>
      <c r="BC41">
        <v>214</v>
      </c>
      <c r="BD41" t="s">
        <v>74</v>
      </c>
      <c r="BE41" t="s">
        <v>6482</v>
      </c>
      <c r="BF41" t="str">
        <f>HYPERLINK("http://dx.doi.org/10.1016/j.anbehav.2017.11.022","http://dx.doi.org/10.1016/j.anbehav.2017.11.022")</f>
        <v>http://dx.doi.org/10.1016/j.anbehav.2017.11.022</v>
      </c>
      <c r="BG41" t="s">
        <v>74</v>
      </c>
      <c r="BH41" t="s">
        <v>74</v>
      </c>
      <c r="BI41" t="s">
        <v>74</v>
      </c>
      <c r="BJ41" t="s">
        <v>74</v>
      </c>
      <c r="BK41" t="s">
        <v>74</v>
      </c>
      <c r="BL41" t="s">
        <v>74</v>
      </c>
      <c r="BM41" t="s">
        <v>74</v>
      </c>
      <c r="BN41" t="s">
        <v>74</v>
      </c>
      <c r="BO41" t="s">
        <v>74</v>
      </c>
      <c r="BP41" t="s">
        <v>74</v>
      </c>
      <c r="BQ41" t="s">
        <v>74</v>
      </c>
      <c r="BR41" t="s">
        <v>74</v>
      </c>
      <c r="BS41" t="s">
        <v>6483</v>
      </c>
      <c r="BT41" t="str">
        <f>HYPERLINK("https%3A%2F%2Fwww.webofscience.com%2Fwos%2Fwoscc%2Ffull-record%2FWOS:000419600500022","View Full Record in Web of Science")</f>
        <v>View Full Record in Web of Science</v>
      </c>
    </row>
    <row r="42" spans="1:72" x14ac:dyDescent="0.4">
      <c r="A42" t="s">
        <v>72</v>
      </c>
      <c r="B42" t="s">
        <v>7930</v>
      </c>
      <c r="C42" t="s">
        <v>74</v>
      </c>
      <c r="D42" t="s">
        <v>74</v>
      </c>
      <c r="E42" t="s">
        <v>74</v>
      </c>
      <c r="F42" t="s">
        <v>7931</v>
      </c>
      <c r="G42" t="s">
        <v>74</v>
      </c>
      <c r="H42" t="s">
        <v>74</v>
      </c>
      <c r="I42" t="s">
        <v>7932</v>
      </c>
      <c r="J42" t="s">
        <v>1112</v>
      </c>
      <c r="K42" t="s">
        <v>74</v>
      </c>
      <c r="L42" t="s">
        <v>74</v>
      </c>
      <c r="M42" t="s">
        <v>74</v>
      </c>
      <c r="N42" t="s">
        <v>74</v>
      </c>
      <c r="O42" t="s">
        <v>74</v>
      </c>
      <c r="P42" t="s">
        <v>74</v>
      </c>
      <c r="Q42" t="s">
        <v>74</v>
      </c>
      <c r="R42" t="s">
        <v>74</v>
      </c>
      <c r="S42" t="s">
        <v>74</v>
      </c>
      <c r="T42" t="s">
        <v>74</v>
      </c>
      <c r="U42" t="s">
        <v>74</v>
      </c>
      <c r="V42" s="3" t="s">
        <v>7933</v>
      </c>
      <c r="W42" t="s">
        <v>74</v>
      </c>
      <c r="X42" t="s">
        <v>74</v>
      </c>
      <c r="Y42" t="s">
        <v>74</v>
      </c>
      <c r="Z42" t="s">
        <v>74</v>
      </c>
      <c r="AA42" t="s">
        <v>74</v>
      </c>
      <c r="AB42" t="s">
        <v>7934</v>
      </c>
      <c r="AC42" t="s">
        <v>74</v>
      </c>
      <c r="AD42" t="s">
        <v>74</v>
      </c>
      <c r="AE42" t="s">
        <v>74</v>
      </c>
      <c r="AF42" t="s">
        <v>74</v>
      </c>
      <c r="AG42" t="s">
        <v>74</v>
      </c>
      <c r="AH42" t="s">
        <v>74</v>
      </c>
      <c r="AI42" t="s">
        <v>74</v>
      </c>
      <c r="AJ42" t="s">
        <v>74</v>
      </c>
      <c r="AK42" t="s">
        <v>74</v>
      </c>
      <c r="AL42" t="s">
        <v>74</v>
      </c>
      <c r="AM42" t="s">
        <v>74</v>
      </c>
      <c r="AN42" t="s">
        <v>74</v>
      </c>
      <c r="AO42" t="s">
        <v>1114</v>
      </c>
      <c r="AP42" t="s">
        <v>1115</v>
      </c>
      <c r="AQ42" t="s">
        <v>74</v>
      </c>
      <c r="AR42" t="s">
        <v>74</v>
      </c>
      <c r="AS42" t="s">
        <v>74</v>
      </c>
      <c r="AT42" t="s">
        <v>352</v>
      </c>
      <c r="AU42">
        <v>2017</v>
      </c>
      <c r="AV42">
        <v>194</v>
      </c>
      <c r="AW42" t="s">
        <v>74</v>
      </c>
      <c r="AX42" t="s">
        <v>74</v>
      </c>
      <c r="AY42" t="s">
        <v>74</v>
      </c>
      <c r="AZ42" t="s">
        <v>74</v>
      </c>
      <c r="BA42" t="s">
        <v>74</v>
      </c>
      <c r="BB42">
        <v>112</v>
      </c>
      <c r="BC42">
        <v>119</v>
      </c>
      <c r="BD42" t="s">
        <v>74</v>
      </c>
      <c r="BE42" t="s">
        <v>7935</v>
      </c>
      <c r="BF42" t="str">
        <f>HYPERLINK("http://dx.doi.org/10.1016/j.applanim.2017.05.008","http://dx.doi.org/10.1016/j.applanim.2017.05.008")</f>
        <v>http://dx.doi.org/10.1016/j.applanim.2017.05.008</v>
      </c>
      <c r="BG42" t="s">
        <v>74</v>
      </c>
      <c r="BH42" t="s">
        <v>74</v>
      </c>
      <c r="BI42" t="s">
        <v>74</v>
      </c>
      <c r="BJ42" t="s">
        <v>74</v>
      </c>
      <c r="BK42" t="s">
        <v>74</v>
      </c>
      <c r="BL42" t="s">
        <v>74</v>
      </c>
      <c r="BM42" t="s">
        <v>74</v>
      </c>
      <c r="BN42" t="s">
        <v>74</v>
      </c>
      <c r="BO42" t="s">
        <v>74</v>
      </c>
      <c r="BP42" t="s">
        <v>74</v>
      </c>
      <c r="BQ42" t="s">
        <v>74</v>
      </c>
      <c r="BR42" t="s">
        <v>74</v>
      </c>
      <c r="BS42" t="s">
        <v>7936</v>
      </c>
      <c r="BT42" t="str">
        <f>HYPERLINK("https%3A%2F%2Fwww.webofscience.com%2Fwos%2Fwoscc%2Ffull-record%2FWOS:000408179000015","View Full Record in Web of Science")</f>
        <v>View Full Record in Web of Science</v>
      </c>
    </row>
    <row r="43" spans="1:72" x14ac:dyDescent="0.4">
      <c r="A43" t="s">
        <v>72</v>
      </c>
      <c r="B43" t="s">
        <v>8614</v>
      </c>
      <c r="C43" t="s">
        <v>74</v>
      </c>
      <c r="D43" t="s">
        <v>74</v>
      </c>
      <c r="E43" t="s">
        <v>74</v>
      </c>
      <c r="F43" t="s">
        <v>8614</v>
      </c>
      <c r="G43" t="s">
        <v>74</v>
      </c>
      <c r="H43" t="s">
        <v>74</v>
      </c>
      <c r="I43" t="s">
        <v>8615</v>
      </c>
      <c r="J43" t="s">
        <v>140</v>
      </c>
      <c r="K43" t="s">
        <v>74</v>
      </c>
      <c r="L43" t="s">
        <v>74</v>
      </c>
      <c r="M43" t="s">
        <v>74</v>
      </c>
      <c r="N43" t="s">
        <v>74</v>
      </c>
      <c r="O43" t="s">
        <v>74</v>
      </c>
      <c r="P43" t="s">
        <v>74</v>
      </c>
      <c r="Q43" t="s">
        <v>74</v>
      </c>
      <c r="R43" t="s">
        <v>74</v>
      </c>
      <c r="S43" t="s">
        <v>74</v>
      </c>
      <c r="T43" t="s">
        <v>74</v>
      </c>
      <c r="U43" t="s">
        <v>74</v>
      </c>
      <c r="V43" s="3" t="s">
        <v>8616</v>
      </c>
      <c r="W43" t="s">
        <v>74</v>
      </c>
      <c r="X43" t="s">
        <v>74</v>
      </c>
      <c r="Y43" t="s">
        <v>74</v>
      </c>
      <c r="Z43" t="s">
        <v>74</v>
      </c>
      <c r="AA43" t="s">
        <v>8617</v>
      </c>
      <c r="AB43" t="s">
        <v>74</v>
      </c>
      <c r="AC43" t="s">
        <v>74</v>
      </c>
      <c r="AD43" t="s">
        <v>74</v>
      </c>
      <c r="AE43" t="s">
        <v>74</v>
      </c>
      <c r="AF43" t="s">
        <v>74</v>
      </c>
      <c r="AG43" t="s">
        <v>74</v>
      </c>
      <c r="AH43" t="s">
        <v>74</v>
      </c>
      <c r="AI43" t="s">
        <v>74</v>
      </c>
      <c r="AJ43" t="s">
        <v>74</v>
      </c>
      <c r="AK43" t="s">
        <v>74</v>
      </c>
      <c r="AL43" t="s">
        <v>74</v>
      </c>
      <c r="AM43" t="s">
        <v>74</v>
      </c>
      <c r="AN43" t="s">
        <v>74</v>
      </c>
      <c r="AO43" t="s">
        <v>143</v>
      </c>
      <c r="AP43" t="s">
        <v>144</v>
      </c>
      <c r="AQ43" t="s">
        <v>74</v>
      </c>
      <c r="AR43" t="s">
        <v>74</v>
      </c>
      <c r="AS43" t="s">
        <v>74</v>
      </c>
      <c r="AT43" t="s">
        <v>102</v>
      </c>
      <c r="AU43">
        <v>1996</v>
      </c>
      <c r="AV43">
        <v>51</v>
      </c>
      <c r="AW43" t="s">
        <v>74</v>
      </c>
      <c r="AX43">
        <v>6</v>
      </c>
      <c r="AY43" t="s">
        <v>74</v>
      </c>
      <c r="AZ43" t="s">
        <v>74</v>
      </c>
      <c r="BA43" t="s">
        <v>74</v>
      </c>
      <c r="BB43">
        <v>1233</v>
      </c>
      <c r="BC43">
        <v>1245</v>
      </c>
      <c r="BD43" t="s">
        <v>74</v>
      </c>
      <c r="BE43" t="s">
        <v>8618</v>
      </c>
      <c r="BF43" t="str">
        <f>HYPERLINK("http://dx.doi.org/10.1006/anbe.1996.0128","http://dx.doi.org/10.1006/anbe.1996.0128")</f>
        <v>http://dx.doi.org/10.1006/anbe.1996.0128</v>
      </c>
      <c r="BG43" t="s">
        <v>74</v>
      </c>
      <c r="BH43" t="s">
        <v>74</v>
      </c>
      <c r="BI43" t="s">
        <v>74</v>
      </c>
      <c r="BJ43" t="s">
        <v>74</v>
      </c>
      <c r="BK43" t="s">
        <v>74</v>
      </c>
      <c r="BL43" t="s">
        <v>74</v>
      </c>
      <c r="BM43" t="s">
        <v>74</v>
      </c>
      <c r="BN43" t="s">
        <v>74</v>
      </c>
      <c r="BO43" t="s">
        <v>74</v>
      </c>
      <c r="BP43" t="s">
        <v>74</v>
      </c>
      <c r="BQ43" t="s">
        <v>74</v>
      </c>
      <c r="BR43" t="s">
        <v>74</v>
      </c>
      <c r="BS43" t="s">
        <v>8619</v>
      </c>
      <c r="BT43" t="str">
        <f>HYPERLINK("https%3A%2F%2Fwww.webofscience.com%2Fwos%2Fwoscc%2Ffull-record%2FWOS:A1996UX10100004","View Full Record in Web of Science")</f>
        <v>View Full Record in Web of Science</v>
      </c>
    </row>
    <row r="44" spans="1:72" x14ac:dyDescent="0.4">
      <c r="A44" t="s">
        <v>72</v>
      </c>
      <c r="B44" t="s">
        <v>2076</v>
      </c>
      <c r="C44" t="s">
        <v>74</v>
      </c>
      <c r="D44" t="s">
        <v>74</v>
      </c>
      <c r="E44" t="s">
        <v>74</v>
      </c>
      <c r="F44" t="s">
        <v>2077</v>
      </c>
      <c r="G44" t="s">
        <v>74</v>
      </c>
      <c r="H44" t="s">
        <v>74</v>
      </c>
      <c r="I44" t="s">
        <v>2078</v>
      </c>
      <c r="J44" t="s">
        <v>140</v>
      </c>
      <c r="K44" t="s">
        <v>74</v>
      </c>
      <c r="L44" t="s">
        <v>74</v>
      </c>
      <c r="M44" t="s">
        <v>74</v>
      </c>
      <c r="N44" t="s">
        <v>74</v>
      </c>
      <c r="O44" t="s">
        <v>74</v>
      </c>
      <c r="P44" t="s">
        <v>74</v>
      </c>
      <c r="Q44" t="s">
        <v>74</v>
      </c>
      <c r="R44" t="s">
        <v>74</v>
      </c>
      <c r="S44" t="s">
        <v>74</v>
      </c>
      <c r="T44" t="s">
        <v>74</v>
      </c>
      <c r="U44" t="s">
        <v>74</v>
      </c>
      <c r="V44" s="3" t="s">
        <v>2079</v>
      </c>
      <c r="W44" t="s">
        <v>74</v>
      </c>
      <c r="X44" t="s">
        <v>74</v>
      </c>
      <c r="Y44" t="s">
        <v>74</v>
      </c>
      <c r="Z44" t="s">
        <v>74</v>
      </c>
      <c r="AA44" t="s">
        <v>2080</v>
      </c>
      <c r="AB44" t="s">
        <v>2081</v>
      </c>
      <c r="AC44" t="s">
        <v>74</v>
      </c>
      <c r="AD44" t="s">
        <v>74</v>
      </c>
      <c r="AE44" t="s">
        <v>74</v>
      </c>
      <c r="AF44" t="s">
        <v>74</v>
      </c>
      <c r="AG44" t="s">
        <v>74</v>
      </c>
      <c r="AH44" t="s">
        <v>74</v>
      </c>
      <c r="AI44" t="s">
        <v>74</v>
      </c>
      <c r="AJ44" t="s">
        <v>74</v>
      </c>
      <c r="AK44" t="s">
        <v>74</v>
      </c>
      <c r="AL44" t="s">
        <v>74</v>
      </c>
      <c r="AM44" t="s">
        <v>74</v>
      </c>
      <c r="AN44" t="s">
        <v>74</v>
      </c>
      <c r="AO44" t="s">
        <v>143</v>
      </c>
      <c r="AP44" t="s">
        <v>144</v>
      </c>
      <c r="AQ44" t="s">
        <v>74</v>
      </c>
      <c r="AR44" t="s">
        <v>74</v>
      </c>
      <c r="AS44" t="s">
        <v>74</v>
      </c>
      <c r="AT44" t="s">
        <v>145</v>
      </c>
      <c r="AU44">
        <v>2020</v>
      </c>
      <c r="AV44">
        <v>166</v>
      </c>
      <c r="AW44" t="s">
        <v>74</v>
      </c>
      <c r="AX44" t="s">
        <v>74</v>
      </c>
      <c r="AY44" t="s">
        <v>74</v>
      </c>
      <c r="AZ44" t="s">
        <v>74</v>
      </c>
      <c r="BA44" t="s">
        <v>74</v>
      </c>
      <c r="BB44">
        <v>33</v>
      </c>
      <c r="BC44">
        <v>39</v>
      </c>
      <c r="BD44" t="s">
        <v>74</v>
      </c>
      <c r="BE44" t="s">
        <v>2082</v>
      </c>
      <c r="BF44" t="str">
        <f>HYPERLINK("http://dx.doi.org/10.1016/j.anbehav.2020.05.017","http://dx.doi.org/10.1016/j.anbehav.2020.05.017")</f>
        <v>http://dx.doi.org/10.1016/j.anbehav.2020.05.017</v>
      </c>
      <c r="BG44" t="s">
        <v>74</v>
      </c>
      <c r="BH44" t="s">
        <v>74</v>
      </c>
      <c r="BI44" t="s">
        <v>74</v>
      </c>
      <c r="BJ44" t="s">
        <v>74</v>
      </c>
      <c r="BK44" t="s">
        <v>74</v>
      </c>
      <c r="BL44" t="s">
        <v>74</v>
      </c>
      <c r="BM44" t="s">
        <v>74</v>
      </c>
      <c r="BN44" t="s">
        <v>74</v>
      </c>
      <c r="BO44" t="s">
        <v>74</v>
      </c>
      <c r="BP44" t="s">
        <v>74</v>
      </c>
      <c r="BQ44" t="s">
        <v>74</v>
      </c>
      <c r="BR44" t="s">
        <v>74</v>
      </c>
      <c r="BS44" t="s">
        <v>2083</v>
      </c>
      <c r="BT44" t="str">
        <f>HYPERLINK("https%3A%2F%2Fwww.webofscience.com%2Fwos%2Fwoscc%2Ffull-record%2FWOS:000555887500004","View Full Record in Web of Science")</f>
        <v>View Full Record in Web of Science</v>
      </c>
    </row>
    <row r="45" spans="1:72" x14ac:dyDescent="0.4">
      <c r="A45" t="s">
        <v>72</v>
      </c>
      <c r="B45" t="s">
        <v>2263</v>
      </c>
      <c r="C45" t="s">
        <v>74</v>
      </c>
      <c r="D45" t="s">
        <v>74</v>
      </c>
      <c r="E45" t="s">
        <v>74</v>
      </c>
      <c r="F45" t="s">
        <v>2263</v>
      </c>
      <c r="G45" t="s">
        <v>74</v>
      </c>
      <c r="H45" t="s">
        <v>74</v>
      </c>
      <c r="I45" t="s">
        <v>2264</v>
      </c>
      <c r="J45" t="s">
        <v>2265</v>
      </c>
      <c r="K45" t="s">
        <v>74</v>
      </c>
      <c r="L45" t="s">
        <v>74</v>
      </c>
      <c r="M45" t="s">
        <v>74</v>
      </c>
      <c r="N45" t="s">
        <v>74</v>
      </c>
      <c r="O45" t="s">
        <v>74</v>
      </c>
      <c r="P45" t="s">
        <v>74</v>
      </c>
      <c r="Q45" t="s">
        <v>74</v>
      </c>
      <c r="R45" t="s">
        <v>74</v>
      </c>
      <c r="S45" t="s">
        <v>74</v>
      </c>
      <c r="T45" t="s">
        <v>74</v>
      </c>
      <c r="U45" t="s">
        <v>74</v>
      </c>
      <c r="V45" s="3" t="s">
        <v>2266</v>
      </c>
      <c r="W45" t="s">
        <v>74</v>
      </c>
      <c r="X45" t="s">
        <v>74</v>
      </c>
      <c r="Y45" t="s">
        <v>74</v>
      </c>
      <c r="Z45" t="s">
        <v>74</v>
      </c>
      <c r="AA45" t="s">
        <v>2267</v>
      </c>
      <c r="AB45" t="s">
        <v>2268</v>
      </c>
      <c r="AC45" t="s">
        <v>74</v>
      </c>
      <c r="AD45" t="s">
        <v>74</v>
      </c>
      <c r="AE45" t="s">
        <v>74</v>
      </c>
      <c r="AF45" t="s">
        <v>74</v>
      </c>
      <c r="AG45" t="s">
        <v>74</v>
      </c>
      <c r="AH45" t="s">
        <v>74</v>
      </c>
      <c r="AI45" t="s">
        <v>74</v>
      </c>
      <c r="AJ45" t="s">
        <v>74</v>
      </c>
      <c r="AK45" t="s">
        <v>74</v>
      </c>
      <c r="AL45" t="s">
        <v>74</v>
      </c>
      <c r="AM45" t="s">
        <v>74</v>
      </c>
      <c r="AN45" t="s">
        <v>74</v>
      </c>
      <c r="AO45" t="s">
        <v>2269</v>
      </c>
      <c r="AP45" t="s">
        <v>2270</v>
      </c>
      <c r="AQ45" t="s">
        <v>74</v>
      </c>
      <c r="AR45" t="s">
        <v>74</v>
      </c>
      <c r="AS45" t="s">
        <v>74</v>
      </c>
      <c r="AT45" t="s">
        <v>74</v>
      </c>
      <c r="AU45">
        <v>2004</v>
      </c>
      <c r="AV45">
        <v>28</v>
      </c>
      <c r="AW45">
        <v>1</v>
      </c>
      <c r="AX45" t="s">
        <v>74</v>
      </c>
      <c r="AY45" t="s">
        <v>74</v>
      </c>
      <c r="AZ45" t="s">
        <v>74</v>
      </c>
      <c r="BA45" t="s">
        <v>74</v>
      </c>
      <c r="BB45">
        <v>93</v>
      </c>
      <c r="BC45">
        <v>103</v>
      </c>
      <c r="BD45" t="s">
        <v>74</v>
      </c>
      <c r="BE45" t="s">
        <v>74</v>
      </c>
      <c r="BF45" t="s">
        <v>74</v>
      </c>
      <c r="BG45" t="s">
        <v>74</v>
      </c>
      <c r="BH45" t="s">
        <v>74</v>
      </c>
      <c r="BI45" t="s">
        <v>74</v>
      </c>
      <c r="BJ45" t="s">
        <v>74</v>
      </c>
      <c r="BK45" t="s">
        <v>74</v>
      </c>
      <c r="BL45" t="s">
        <v>74</v>
      </c>
      <c r="BM45" t="s">
        <v>74</v>
      </c>
      <c r="BN45" t="s">
        <v>74</v>
      </c>
      <c r="BO45" t="s">
        <v>74</v>
      </c>
      <c r="BP45" t="s">
        <v>74</v>
      </c>
      <c r="BQ45" t="s">
        <v>74</v>
      </c>
      <c r="BR45" t="s">
        <v>74</v>
      </c>
      <c r="BS45" t="s">
        <v>2271</v>
      </c>
      <c r="BT45" t="str">
        <f>HYPERLINK("https%3A%2F%2Fwww.webofscience.com%2Fwos%2Fwoscc%2Ffull-record%2FWOS:000223581700009","View Full Record in Web of Science")</f>
        <v>View Full Record in Web of Science</v>
      </c>
    </row>
    <row r="46" spans="1:72" x14ac:dyDescent="0.4">
      <c r="A46" t="s">
        <v>72</v>
      </c>
      <c r="B46" t="s">
        <v>3775</v>
      </c>
      <c r="C46" t="s">
        <v>74</v>
      </c>
      <c r="D46" t="s">
        <v>74</v>
      </c>
      <c r="E46" t="s">
        <v>74</v>
      </c>
      <c r="F46" t="s">
        <v>3776</v>
      </c>
      <c r="G46" t="s">
        <v>74</v>
      </c>
      <c r="H46" t="s">
        <v>74</v>
      </c>
      <c r="I46" t="s">
        <v>3777</v>
      </c>
      <c r="J46" t="s">
        <v>691</v>
      </c>
      <c r="K46" t="s">
        <v>74</v>
      </c>
      <c r="L46" t="s">
        <v>74</v>
      </c>
      <c r="M46" t="s">
        <v>74</v>
      </c>
      <c r="N46" t="s">
        <v>74</v>
      </c>
      <c r="O46" t="s">
        <v>74</v>
      </c>
      <c r="P46" t="s">
        <v>74</v>
      </c>
      <c r="Q46" t="s">
        <v>74</v>
      </c>
      <c r="R46" t="s">
        <v>74</v>
      </c>
      <c r="S46" t="s">
        <v>74</v>
      </c>
      <c r="T46" t="s">
        <v>74</v>
      </c>
      <c r="U46" t="s">
        <v>74</v>
      </c>
      <c r="V46" s="3" t="s">
        <v>3778</v>
      </c>
      <c r="W46" t="s">
        <v>74</v>
      </c>
      <c r="X46" t="s">
        <v>74</v>
      </c>
      <c r="Y46" t="s">
        <v>74</v>
      </c>
      <c r="Z46" t="s">
        <v>74</v>
      </c>
      <c r="AA46" t="s">
        <v>3779</v>
      </c>
      <c r="AB46" t="s">
        <v>3780</v>
      </c>
      <c r="AC46" t="s">
        <v>74</v>
      </c>
      <c r="AD46" t="s">
        <v>74</v>
      </c>
      <c r="AE46" t="s">
        <v>74</v>
      </c>
      <c r="AF46" t="s">
        <v>74</v>
      </c>
      <c r="AG46" t="s">
        <v>74</v>
      </c>
      <c r="AH46" t="s">
        <v>74</v>
      </c>
      <c r="AI46" t="s">
        <v>74</v>
      </c>
      <c r="AJ46" t="s">
        <v>74</v>
      </c>
      <c r="AK46" t="s">
        <v>74</v>
      </c>
      <c r="AL46" t="s">
        <v>74</v>
      </c>
      <c r="AM46" t="s">
        <v>74</v>
      </c>
      <c r="AN46" t="s">
        <v>74</v>
      </c>
      <c r="AO46" t="s">
        <v>695</v>
      </c>
      <c r="AP46" t="s">
        <v>74</v>
      </c>
      <c r="AQ46" t="s">
        <v>74</v>
      </c>
      <c r="AR46" t="s">
        <v>74</v>
      </c>
      <c r="AS46" t="s">
        <v>74</v>
      </c>
      <c r="AT46" t="s">
        <v>255</v>
      </c>
      <c r="AU46">
        <v>2015</v>
      </c>
      <c r="AV46">
        <v>138</v>
      </c>
      <c r="AW46" t="s">
        <v>74</v>
      </c>
      <c r="AX46" t="s">
        <v>74</v>
      </c>
      <c r="AY46" t="s">
        <v>74</v>
      </c>
      <c r="AZ46" t="s">
        <v>74</v>
      </c>
      <c r="BA46" t="s">
        <v>74</v>
      </c>
      <c r="BB46">
        <v>52</v>
      </c>
      <c r="BC46">
        <v>57</v>
      </c>
      <c r="BD46" t="s">
        <v>74</v>
      </c>
      <c r="BE46" t="s">
        <v>3781</v>
      </c>
      <c r="BF46" t="str">
        <f>HYPERLINK("http://dx.doi.org/10.1016/j.physbeh.2014.10.003","http://dx.doi.org/10.1016/j.physbeh.2014.10.003")</f>
        <v>http://dx.doi.org/10.1016/j.physbeh.2014.10.003</v>
      </c>
      <c r="BG46" t="s">
        <v>74</v>
      </c>
      <c r="BH46" t="s">
        <v>74</v>
      </c>
      <c r="BI46" t="s">
        <v>74</v>
      </c>
      <c r="BJ46" t="s">
        <v>74</v>
      </c>
      <c r="BK46" t="s">
        <v>74</v>
      </c>
      <c r="BL46" t="s">
        <v>74</v>
      </c>
      <c r="BM46" t="s">
        <v>74</v>
      </c>
      <c r="BN46">
        <v>25447479</v>
      </c>
      <c r="BO46" t="s">
        <v>74</v>
      </c>
      <c r="BP46" t="s">
        <v>74</v>
      </c>
      <c r="BQ46" t="s">
        <v>74</v>
      </c>
      <c r="BR46" t="s">
        <v>74</v>
      </c>
      <c r="BS46" t="s">
        <v>3782</v>
      </c>
      <c r="BT46" t="str">
        <f>HYPERLINK("https%3A%2F%2Fwww.webofscience.com%2Fwos%2Fwoscc%2Ffull-record%2FWOS:000348882900007","View Full Record in Web of Science")</f>
        <v>View Full Record in Web of Science</v>
      </c>
    </row>
    <row r="47" spans="1:72" x14ac:dyDescent="0.4">
      <c r="A47" t="s">
        <v>72</v>
      </c>
      <c r="B47" t="s">
        <v>3544</v>
      </c>
      <c r="C47" t="s">
        <v>74</v>
      </c>
      <c r="D47" t="s">
        <v>74</v>
      </c>
      <c r="E47" t="s">
        <v>74</v>
      </c>
      <c r="F47" t="s">
        <v>3545</v>
      </c>
      <c r="G47" t="s">
        <v>74</v>
      </c>
      <c r="H47" t="s">
        <v>74</v>
      </c>
      <c r="I47" t="s">
        <v>3546</v>
      </c>
      <c r="J47" t="s">
        <v>731</v>
      </c>
      <c r="K47" t="s">
        <v>74</v>
      </c>
      <c r="L47" t="s">
        <v>74</v>
      </c>
      <c r="M47" t="s">
        <v>74</v>
      </c>
      <c r="N47" t="s">
        <v>74</v>
      </c>
      <c r="O47" t="s">
        <v>74</v>
      </c>
      <c r="P47" t="s">
        <v>74</v>
      </c>
      <c r="Q47" t="s">
        <v>74</v>
      </c>
      <c r="R47" t="s">
        <v>74</v>
      </c>
      <c r="S47" t="s">
        <v>74</v>
      </c>
      <c r="T47" t="s">
        <v>74</v>
      </c>
      <c r="U47" t="s">
        <v>74</v>
      </c>
      <c r="V47" s="3" t="s">
        <v>3547</v>
      </c>
      <c r="W47" t="s">
        <v>74</v>
      </c>
      <c r="X47" t="s">
        <v>74</v>
      </c>
      <c r="Y47" t="s">
        <v>74</v>
      </c>
      <c r="Z47" t="s">
        <v>74</v>
      </c>
      <c r="AA47" t="s">
        <v>3548</v>
      </c>
      <c r="AB47" t="s">
        <v>3549</v>
      </c>
      <c r="AC47" t="s">
        <v>74</v>
      </c>
      <c r="AD47" t="s">
        <v>74</v>
      </c>
      <c r="AE47" t="s">
        <v>74</v>
      </c>
      <c r="AF47" t="s">
        <v>74</v>
      </c>
      <c r="AG47" t="s">
        <v>74</v>
      </c>
      <c r="AH47" t="s">
        <v>74</v>
      </c>
      <c r="AI47" t="s">
        <v>74</v>
      </c>
      <c r="AJ47" t="s">
        <v>74</v>
      </c>
      <c r="AK47" t="s">
        <v>74</v>
      </c>
      <c r="AL47" t="s">
        <v>74</v>
      </c>
      <c r="AM47" t="s">
        <v>74</v>
      </c>
      <c r="AN47" t="s">
        <v>74</v>
      </c>
      <c r="AO47" t="s">
        <v>733</v>
      </c>
      <c r="AP47" t="s">
        <v>734</v>
      </c>
      <c r="AQ47" t="s">
        <v>74</v>
      </c>
      <c r="AR47" t="s">
        <v>74</v>
      </c>
      <c r="AS47" t="s">
        <v>74</v>
      </c>
      <c r="AT47" t="s">
        <v>3445</v>
      </c>
      <c r="AU47">
        <v>2015</v>
      </c>
      <c r="AV47">
        <v>291</v>
      </c>
      <c r="AW47" t="s">
        <v>74</v>
      </c>
      <c r="AX47" t="s">
        <v>74</v>
      </c>
      <c r="AY47" t="s">
        <v>74</v>
      </c>
      <c r="AZ47" t="s">
        <v>74</v>
      </c>
      <c r="BA47" t="s">
        <v>74</v>
      </c>
      <c r="BB47">
        <v>103</v>
      </c>
      <c r="BC47">
        <v>107</v>
      </c>
      <c r="BD47" t="s">
        <v>74</v>
      </c>
      <c r="BE47" t="s">
        <v>3550</v>
      </c>
      <c r="BF47" t="str">
        <f>HYPERLINK("http://dx.doi.org/10.1016/j.bbr.2015.05.011","http://dx.doi.org/10.1016/j.bbr.2015.05.011")</f>
        <v>http://dx.doi.org/10.1016/j.bbr.2015.05.011</v>
      </c>
      <c r="BG47" t="s">
        <v>74</v>
      </c>
      <c r="BH47" t="s">
        <v>74</v>
      </c>
      <c r="BI47" t="s">
        <v>74</v>
      </c>
      <c r="BJ47" t="s">
        <v>74</v>
      </c>
      <c r="BK47" t="s">
        <v>74</v>
      </c>
      <c r="BL47" t="s">
        <v>74</v>
      </c>
      <c r="BM47" t="s">
        <v>74</v>
      </c>
      <c r="BN47">
        <v>25997582</v>
      </c>
      <c r="BO47" t="s">
        <v>74</v>
      </c>
      <c r="BP47" t="s">
        <v>74</v>
      </c>
      <c r="BQ47" t="s">
        <v>74</v>
      </c>
      <c r="BR47" t="s">
        <v>74</v>
      </c>
      <c r="BS47" t="s">
        <v>3551</v>
      </c>
      <c r="BT47" t="str">
        <f>HYPERLINK("https%3A%2F%2Fwww.webofscience.com%2Fwos%2Fwoscc%2Ffull-record%2FWOS:000358454800012","View Full Record in Web of Science")</f>
        <v>View Full Record in Web of Science</v>
      </c>
    </row>
    <row r="48" spans="1:72" x14ac:dyDescent="0.4">
      <c r="A48" t="s">
        <v>72</v>
      </c>
      <c r="B48" t="s">
        <v>6961</v>
      </c>
      <c r="C48" t="s">
        <v>74</v>
      </c>
      <c r="D48" t="s">
        <v>74</v>
      </c>
      <c r="E48" t="s">
        <v>74</v>
      </c>
      <c r="F48" t="s">
        <v>6961</v>
      </c>
      <c r="G48" t="s">
        <v>74</v>
      </c>
      <c r="H48" t="s">
        <v>74</v>
      </c>
      <c r="I48" t="s">
        <v>6962</v>
      </c>
      <c r="J48" t="s">
        <v>5129</v>
      </c>
      <c r="K48" t="s">
        <v>74</v>
      </c>
      <c r="L48" t="s">
        <v>74</v>
      </c>
      <c r="M48" t="s">
        <v>74</v>
      </c>
      <c r="N48" t="s">
        <v>74</v>
      </c>
      <c r="O48" t="s">
        <v>74</v>
      </c>
      <c r="P48" t="s">
        <v>74</v>
      </c>
      <c r="Q48" t="s">
        <v>74</v>
      </c>
      <c r="R48" t="s">
        <v>74</v>
      </c>
      <c r="S48" t="s">
        <v>74</v>
      </c>
      <c r="T48" t="s">
        <v>74</v>
      </c>
      <c r="U48" t="s">
        <v>74</v>
      </c>
      <c r="V48" s="3" t="s">
        <v>6963</v>
      </c>
      <c r="W48" t="s">
        <v>74</v>
      </c>
      <c r="X48" t="s">
        <v>74</v>
      </c>
      <c r="Y48" t="s">
        <v>74</v>
      </c>
      <c r="Z48" t="s">
        <v>74</v>
      </c>
      <c r="AA48" t="s">
        <v>74</v>
      </c>
      <c r="AB48" t="s">
        <v>74</v>
      </c>
      <c r="AC48" t="s">
        <v>74</v>
      </c>
      <c r="AD48" t="s">
        <v>74</v>
      </c>
      <c r="AE48" t="s">
        <v>74</v>
      </c>
      <c r="AF48" t="s">
        <v>74</v>
      </c>
      <c r="AG48" t="s">
        <v>74</v>
      </c>
      <c r="AH48" t="s">
        <v>74</v>
      </c>
      <c r="AI48" t="s">
        <v>74</v>
      </c>
      <c r="AJ48" t="s">
        <v>74</v>
      </c>
      <c r="AK48" t="s">
        <v>74</v>
      </c>
      <c r="AL48" t="s">
        <v>74</v>
      </c>
      <c r="AM48" t="s">
        <v>74</v>
      </c>
      <c r="AN48" t="s">
        <v>74</v>
      </c>
      <c r="AO48" t="s">
        <v>5131</v>
      </c>
      <c r="AP48" t="s">
        <v>5132</v>
      </c>
      <c r="AQ48" t="s">
        <v>74</v>
      </c>
      <c r="AR48" t="s">
        <v>74</v>
      </c>
      <c r="AS48" t="s">
        <v>74</v>
      </c>
      <c r="AT48" t="s">
        <v>74</v>
      </c>
      <c r="AU48">
        <v>1979</v>
      </c>
      <c r="AV48">
        <v>67</v>
      </c>
      <c r="AW48" t="s">
        <v>548</v>
      </c>
      <c r="AX48" t="s">
        <v>74</v>
      </c>
      <c r="AY48" t="s">
        <v>74</v>
      </c>
      <c r="AZ48" t="s">
        <v>74</v>
      </c>
      <c r="BA48" t="s">
        <v>74</v>
      </c>
      <c r="BB48">
        <v>28</v>
      </c>
      <c r="BC48">
        <v>41</v>
      </c>
      <c r="BD48" t="s">
        <v>74</v>
      </c>
      <c r="BE48" t="s">
        <v>74</v>
      </c>
      <c r="BF48" t="s">
        <v>74</v>
      </c>
      <c r="BG48" t="s">
        <v>74</v>
      </c>
      <c r="BH48" t="s">
        <v>74</v>
      </c>
      <c r="BI48" t="s">
        <v>74</v>
      </c>
      <c r="BJ48" t="s">
        <v>74</v>
      </c>
      <c r="BK48" t="s">
        <v>74</v>
      </c>
      <c r="BL48" t="s">
        <v>74</v>
      </c>
      <c r="BM48" t="s">
        <v>74</v>
      </c>
      <c r="BN48" t="s">
        <v>74</v>
      </c>
      <c r="BO48" t="s">
        <v>74</v>
      </c>
      <c r="BP48" t="s">
        <v>74</v>
      </c>
      <c r="BQ48" t="s">
        <v>74</v>
      </c>
      <c r="BR48" t="s">
        <v>74</v>
      </c>
      <c r="BS48" t="s">
        <v>6964</v>
      </c>
      <c r="BT48" t="str">
        <f>HYPERLINK("https%3A%2F%2Fwww.webofscience.com%2Fwos%2Fwoscc%2Ffull-record%2FWOS:A1979JH79300004","View Full Record in Web of Science")</f>
        <v>View Full Record in Web of Science</v>
      </c>
    </row>
    <row r="49" spans="1:72" x14ac:dyDescent="0.4">
      <c r="A49" t="s">
        <v>72</v>
      </c>
      <c r="B49" t="s">
        <v>289</v>
      </c>
      <c r="C49" t="s">
        <v>74</v>
      </c>
      <c r="D49" t="s">
        <v>74</v>
      </c>
      <c r="E49" t="s">
        <v>74</v>
      </c>
      <c r="F49" t="s">
        <v>290</v>
      </c>
      <c r="G49" t="s">
        <v>74</v>
      </c>
      <c r="H49" t="s">
        <v>74</v>
      </c>
      <c r="I49" t="s">
        <v>291</v>
      </c>
      <c r="J49" t="s">
        <v>140</v>
      </c>
      <c r="K49" t="s">
        <v>74</v>
      </c>
      <c r="L49" t="s">
        <v>74</v>
      </c>
      <c r="M49" t="s">
        <v>74</v>
      </c>
      <c r="N49" t="s">
        <v>74</v>
      </c>
      <c r="O49" t="s">
        <v>74</v>
      </c>
      <c r="P49" t="s">
        <v>74</v>
      </c>
      <c r="Q49" t="s">
        <v>74</v>
      </c>
      <c r="R49" t="s">
        <v>74</v>
      </c>
      <c r="S49" t="s">
        <v>74</v>
      </c>
      <c r="T49" t="s">
        <v>74</v>
      </c>
      <c r="U49" t="s">
        <v>74</v>
      </c>
      <c r="V49" s="3" t="s">
        <v>292</v>
      </c>
      <c r="W49" t="s">
        <v>74</v>
      </c>
      <c r="X49" t="s">
        <v>74</v>
      </c>
      <c r="Y49" t="s">
        <v>74</v>
      </c>
      <c r="Z49" t="s">
        <v>74</v>
      </c>
      <c r="AA49" t="s">
        <v>74</v>
      </c>
      <c r="AB49" t="s">
        <v>293</v>
      </c>
      <c r="AC49" t="s">
        <v>74</v>
      </c>
      <c r="AD49" t="s">
        <v>74</v>
      </c>
      <c r="AE49" t="s">
        <v>74</v>
      </c>
      <c r="AF49" t="s">
        <v>74</v>
      </c>
      <c r="AG49" t="s">
        <v>74</v>
      </c>
      <c r="AH49" t="s">
        <v>74</v>
      </c>
      <c r="AI49" t="s">
        <v>74</v>
      </c>
      <c r="AJ49" t="s">
        <v>74</v>
      </c>
      <c r="AK49" t="s">
        <v>74</v>
      </c>
      <c r="AL49" t="s">
        <v>74</v>
      </c>
      <c r="AM49" t="s">
        <v>74</v>
      </c>
      <c r="AN49" t="s">
        <v>74</v>
      </c>
      <c r="AO49" t="s">
        <v>143</v>
      </c>
      <c r="AP49" t="s">
        <v>144</v>
      </c>
      <c r="AQ49" t="s">
        <v>74</v>
      </c>
      <c r="AR49" t="s">
        <v>74</v>
      </c>
      <c r="AS49" t="s">
        <v>74</v>
      </c>
      <c r="AT49" t="s">
        <v>175</v>
      </c>
      <c r="AU49">
        <v>2015</v>
      </c>
      <c r="AV49">
        <v>108</v>
      </c>
      <c r="AW49" t="s">
        <v>74</v>
      </c>
      <c r="AX49" t="s">
        <v>74</v>
      </c>
      <c r="AY49" t="s">
        <v>74</v>
      </c>
      <c r="AZ49" t="s">
        <v>74</v>
      </c>
      <c r="BA49" t="s">
        <v>74</v>
      </c>
      <c r="BB49">
        <v>199</v>
      </c>
      <c r="BC49">
        <v>206</v>
      </c>
      <c r="BD49" t="s">
        <v>74</v>
      </c>
      <c r="BE49" t="s">
        <v>294</v>
      </c>
      <c r="BF49" t="str">
        <f>HYPERLINK("http://dx.doi.org/10.1016/j.anbehav.2015.07.026","http://dx.doi.org/10.1016/j.anbehav.2015.07.026")</f>
        <v>http://dx.doi.org/10.1016/j.anbehav.2015.07.026</v>
      </c>
      <c r="BG49" t="s">
        <v>74</v>
      </c>
      <c r="BH49" t="s">
        <v>74</v>
      </c>
      <c r="BI49" t="s">
        <v>74</v>
      </c>
      <c r="BJ49" t="s">
        <v>74</v>
      </c>
      <c r="BK49" t="s">
        <v>74</v>
      </c>
      <c r="BL49" t="s">
        <v>74</v>
      </c>
      <c r="BM49" t="s">
        <v>74</v>
      </c>
      <c r="BN49">
        <v>29657330</v>
      </c>
      <c r="BO49" t="s">
        <v>74</v>
      </c>
      <c r="BP49" t="s">
        <v>74</v>
      </c>
      <c r="BQ49" t="s">
        <v>74</v>
      </c>
      <c r="BR49" t="s">
        <v>74</v>
      </c>
      <c r="BS49" t="s">
        <v>295</v>
      </c>
      <c r="BT49" t="str">
        <f>HYPERLINK("https%3A%2F%2Fwww.webofscience.com%2Fwos%2Fwoscc%2Ffull-record%2FWOS:000361570000024","View Full Record in Web of Science")</f>
        <v>View Full Record in Web of Science</v>
      </c>
    </row>
    <row r="50" spans="1:72" x14ac:dyDescent="0.4">
      <c r="A50" t="s">
        <v>72</v>
      </c>
      <c r="B50" t="s">
        <v>5991</v>
      </c>
      <c r="C50" t="s">
        <v>74</v>
      </c>
      <c r="D50" t="s">
        <v>74</v>
      </c>
      <c r="E50" t="s">
        <v>74</v>
      </c>
      <c r="F50" t="s">
        <v>5992</v>
      </c>
      <c r="G50" t="s">
        <v>74</v>
      </c>
      <c r="H50" t="s">
        <v>74</v>
      </c>
      <c r="I50" t="s">
        <v>5993</v>
      </c>
      <c r="J50" t="s">
        <v>5994</v>
      </c>
      <c r="K50" t="s">
        <v>74</v>
      </c>
      <c r="L50" t="s">
        <v>74</v>
      </c>
      <c r="M50" t="s">
        <v>74</v>
      </c>
      <c r="N50" t="s">
        <v>74</v>
      </c>
      <c r="O50" t="s">
        <v>74</v>
      </c>
      <c r="P50" t="s">
        <v>74</v>
      </c>
      <c r="Q50" t="s">
        <v>74</v>
      </c>
      <c r="R50" t="s">
        <v>74</v>
      </c>
      <c r="S50" t="s">
        <v>74</v>
      </c>
      <c r="T50" t="s">
        <v>74</v>
      </c>
      <c r="U50" t="s">
        <v>74</v>
      </c>
      <c r="V50" s="3" t="s">
        <v>5995</v>
      </c>
      <c r="W50" t="s">
        <v>74</v>
      </c>
      <c r="X50" t="s">
        <v>74</v>
      </c>
      <c r="Y50" t="s">
        <v>74</v>
      </c>
      <c r="Z50" t="s">
        <v>74</v>
      </c>
      <c r="AA50" t="s">
        <v>74</v>
      </c>
      <c r="AB50" t="s">
        <v>74</v>
      </c>
      <c r="AC50" t="s">
        <v>74</v>
      </c>
      <c r="AD50" t="s">
        <v>74</v>
      </c>
      <c r="AE50" t="s">
        <v>74</v>
      </c>
      <c r="AF50" t="s">
        <v>74</v>
      </c>
      <c r="AG50" t="s">
        <v>74</v>
      </c>
      <c r="AH50" t="s">
        <v>74</v>
      </c>
      <c r="AI50" t="s">
        <v>74</v>
      </c>
      <c r="AJ50" t="s">
        <v>74</v>
      </c>
      <c r="AK50" t="s">
        <v>74</v>
      </c>
      <c r="AL50" t="s">
        <v>74</v>
      </c>
      <c r="AM50" t="s">
        <v>74</v>
      </c>
      <c r="AN50" t="s">
        <v>74</v>
      </c>
      <c r="AO50" t="s">
        <v>5996</v>
      </c>
      <c r="AP50" t="s">
        <v>5997</v>
      </c>
      <c r="AQ50" t="s">
        <v>74</v>
      </c>
      <c r="AR50" t="s">
        <v>74</v>
      </c>
      <c r="AS50" t="s">
        <v>74</v>
      </c>
      <c r="AT50" t="s">
        <v>305</v>
      </c>
      <c r="AU50">
        <v>2022</v>
      </c>
      <c r="AV50">
        <v>45</v>
      </c>
      <c r="AW50">
        <v>4</v>
      </c>
      <c r="AX50" t="s">
        <v>74</v>
      </c>
      <c r="AY50" t="s">
        <v>74</v>
      </c>
      <c r="AZ50" t="s">
        <v>74</v>
      </c>
      <c r="BA50" t="s">
        <v>74</v>
      </c>
      <c r="BB50">
        <v>461</v>
      </c>
      <c r="BC50">
        <v>466</v>
      </c>
      <c r="BD50" t="s">
        <v>74</v>
      </c>
      <c r="BE50" t="s">
        <v>5998</v>
      </c>
      <c r="BF50" t="str">
        <f>HYPERLINK("http://dx.doi.org/10.1675/063.045.0410","http://dx.doi.org/10.1675/063.045.0410")</f>
        <v>http://dx.doi.org/10.1675/063.045.0410</v>
      </c>
      <c r="BG50" t="s">
        <v>74</v>
      </c>
      <c r="BH50" t="s">
        <v>74</v>
      </c>
      <c r="BI50" t="s">
        <v>74</v>
      </c>
      <c r="BJ50" t="s">
        <v>74</v>
      </c>
      <c r="BK50" t="s">
        <v>74</v>
      </c>
      <c r="BL50" t="s">
        <v>74</v>
      </c>
      <c r="BM50" t="s">
        <v>74</v>
      </c>
      <c r="BN50" t="s">
        <v>74</v>
      </c>
      <c r="BO50" t="s">
        <v>74</v>
      </c>
      <c r="BP50" t="s">
        <v>74</v>
      </c>
      <c r="BQ50" t="s">
        <v>74</v>
      </c>
      <c r="BR50" t="s">
        <v>74</v>
      </c>
      <c r="BS50" t="s">
        <v>5999</v>
      </c>
      <c r="BT50" t="str">
        <f>HYPERLINK("https%3A%2F%2Fwww.webofscience.com%2Fwos%2Fwoscc%2Ffull-record%2FWOS:001075551200010","View Full Record in Web of Science")</f>
        <v>View Full Record in Web of Science</v>
      </c>
    </row>
    <row r="51" spans="1:72" x14ac:dyDescent="0.4">
      <c r="A51" t="s">
        <v>72</v>
      </c>
      <c r="B51" t="s">
        <v>4386</v>
      </c>
      <c r="C51" t="s">
        <v>74</v>
      </c>
      <c r="D51" t="s">
        <v>74</v>
      </c>
      <c r="E51" t="s">
        <v>74</v>
      </c>
      <c r="F51" t="s">
        <v>4386</v>
      </c>
      <c r="G51" t="s">
        <v>74</v>
      </c>
      <c r="H51" t="s">
        <v>74</v>
      </c>
      <c r="I51" t="s">
        <v>4387</v>
      </c>
      <c r="J51" t="s">
        <v>333</v>
      </c>
      <c r="K51" t="s">
        <v>74</v>
      </c>
      <c r="L51" t="s">
        <v>74</v>
      </c>
      <c r="M51" t="s">
        <v>74</v>
      </c>
      <c r="N51" t="s">
        <v>74</v>
      </c>
      <c r="O51" t="s">
        <v>74</v>
      </c>
      <c r="P51" t="s">
        <v>74</v>
      </c>
      <c r="Q51" t="s">
        <v>74</v>
      </c>
      <c r="R51" t="s">
        <v>74</v>
      </c>
      <c r="S51" t="s">
        <v>74</v>
      </c>
      <c r="T51" t="s">
        <v>74</v>
      </c>
      <c r="U51" t="s">
        <v>74</v>
      </c>
      <c r="V51" s="3" t="s">
        <v>4388</v>
      </c>
      <c r="W51" t="s">
        <v>74</v>
      </c>
      <c r="X51" t="s">
        <v>74</v>
      </c>
      <c r="Y51" t="s">
        <v>74</v>
      </c>
      <c r="Z51" t="s">
        <v>74</v>
      </c>
      <c r="AA51" t="s">
        <v>74</v>
      </c>
      <c r="AB51" t="s">
        <v>74</v>
      </c>
      <c r="AC51" t="s">
        <v>74</v>
      </c>
      <c r="AD51" t="s">
        <v>74</v>
      </c>
      <c r="AE51" t="s">
        <v>74</v>
      </c>
      <c r="AF51" t="s">
        <v>74</v>
      </c>
      <c r="AG51" t="s">
        <v>74</v>
      </c>
      <c r="AH51" t="s">
        <v>74</v>
      </c>
      <c r="AI51" t="s">
        <v>74</v>
      </c>
      <c r="AJ51" t="s">
        <v>74</v>
      </c>
      <c r="AK51" t="s">
        <v>74</v>
      </c>
      <c r="AL51" t="s">
        <v>74</v>
      </c>
      <c r="AM51" t="s">
        <v>74</v>
      </c>
      <c r="AN51" t="s">
        <v>74</v>
      </c>
      <c r="AO51" t="s">
        <v>337</v>
      </c>
      <c r="AP51" t="s">
        <v>338</v>
      </c>
      <c r="AQ51" t="s">
        <v>74</v>
      </c>
      <c r="AR51" t="s">
        <v>74</v>
      </c>
      <c r="AS51" t="s">
        <v>74</v>
      </c>
      <c r="AT51" t="s">
        <v>1013</v>
      </c>
      <c r="AU51">
        <v>1997</v>
      </c>
      <c r="AV51">
        <v>8</v>
      </c>
      <c r="AW51">
        <v>5</v>
      </c>
      <c r="AX51" t="s">
        <v>74</v>
      </c>
      <c r="AY51" t="s">
        <v>74</v>
      </c>
      <c r="AZ51" t="s">
        <v>74</v>
      </c>
      <c r="BA51" t="s">
        <v>74</v>
      </c>
      <c r="BB51">
        <v>506</v>
      </c>
      <c r="BC51">
        <v>517</v>
      </c>
      <c r="BD51" t="s">
        <v>74</v>
      </c>
      <c r="BE51" t="s">
        <v>4389</v>
      </c>
      <c r="BF51" t="str">
        <f>HYPERLINK("http://dx.doi.org/10.1093/beheco/8.5.506","http://dx.doi.org/10.1093/beheco/8.5.506")</f>
        <v>http://dx.doi.org/10.1093/beheco/8.5.506</v>
      </c>
      <c r="BG51" t="s">
        <v>74</v>
      </c>
      <c r="BH51" t="s">
        <v>74</v>
      </c>
      <c r="BI51" t="s">
        <v>74</v>
      </c>
      <c r="BJ51" t="s">
        <v>74</v>
      </c>
      <c r="BK51" t="s">
        <v>74</v>
      </c>
      <c r="BL51" t="s">
        <v>74</v>
      </c>
      <c r="BM51" t="s">
        <v>74</v>
      </c>
      <c r="BN51" t="s">
        <v>74</v>
      </c>
      <c r="BO51" t="s">
        <v>74</v>
      </c>
      <c r="BP51" t="s">
        <v>74</v>
      </c>
      <c r="BQ51" t="s">
        <v>74</v>
      </c>
      <c r="BR51" t="s">
        <v>74</v>
      </c>
      <c r="BS51" t="s">
        <v>4390</v>
      </c>
      <c r="BT51" t="str">
        <f>HYPERLINK("https%3A%2F%2Fwww.webofscience.com%2Fwos%2Fwoscc%2Ffull-record%2FWOS:A1997XX33800006","View Full Record in Web of Science")</f>
        <v>View Full Record in Web of Science</v>
      </c>
    </row>
    <row r="52" spans="1:72" x14ac:dyDescent="0.4">
      <c r="A52" t="s">
        <v>72</v>
      </c>
      <c r="B52" t="s">
        <v>5001</v>
      </c>
      <c r="C52" t="s">
        <v>74</v>
      </c>
      <c r="D52" t="s">
        <v>74</v>
      </c>
      <c r="E52" t="s">
        <v>74</v>
      </c>
      <c r="F52" t="s">
        <v>5001</v>
      </c>
      <c r="G52" t="s">
        <v>74</v>
      </c>
      <c r="H52" t="s">
        <v>74</v>
      </c>
      <c r="I52" t="s">
        <v>5002</v>
      </c>
      <c r="J52" t="s">
        <v>1673</v>
      </c>
      <c r="K52" t="s">
        <v>74</v>
      </c>
      <c r="L52" t="s">
        <v>74</v>
      </c>
      <c r="M52" t="s">
        <v>74</v>
      </c>
      <c r="N52" t="s">
        <v>74</v>
      </c>
      <c r="O52" t="s">
        <v>74</v>
      </c>
      <c r="P52" t="s">
        <v>74</v>
      </c>
      <c r="Q52" t="s">
        <v>74</v>
      </c>
      <c r="R52" t="s">
        <v>74</v>
      </c>
      <c r="S52" t="s">
        <v>74</v>
      </c>
      <c r="T52" t="s">
        <v>74</v>
      </c>
      <c r="U52" t="s">
        <v>74</v>
      </c>
      <c r="V52" s="3" t="s">
        <v>5003</v>
      </c>
      <c r="W52" t="s">
        <v>74</v>
      </c>
      <c r="X52" t="s">
        <v>74</v>
      </c>
      <c r="Y52" t="s">
        <v>74</v>
      </c>
      <c r="Z52" t="s">
        <v>74</v>
      </c>
      <c r="AA52" t="s">
        <v>5004</v>
      </c>
      <c r="AB52" t="s">
        <v>5005</v>
      </c>
      <c r="AC52" t="s">
        <v>74</v>
      </c>
      <c r="AD52" t="s">
        <v>74</v>
      </c>
      <c r="AE52" t="s">
        <v>74</v>
      </c>
      <c r="AF52" t="s">
        <v>74</v>
      </c>
      <c r="AG52" t="s">
        <v>74</v>
      </c>
      <c r="AH52" t="s">
        <v>74</v>
      </c>
      <c r="AI52" t="s">
        <v>74</v>
      </c>
      <c r="AJ52" t="s">
        <v>74</v>
      </c>
      <c r="AK52" t="s">
        <v>74</v>
      </c>
      <c r="AL52" t="s">
        <v>74</v>
      </c>
      <c r="AM52" t="s">
        <v>74</v>
      </c>
      <c r="AN52" t="s">
        <v>74</v>
      </c>
      <c r="AO52" t="s">
        <v>1239</v>
      </c>
      <c r="AP52" t="s">
        <v>1675</v>
      </c>
      <c r="AQ52" t="s">
        <v>74</v>
      </c>
      <c r="AR52" t="s">
        <v>74</v>
      </c>
      <c r="AS52" t="s">
        <v>74</v>
      </c>
      <c r="AT52" t="s">
        <v>213</v>
      </c>
      <c r="AU52">
        <v>2003</v>
      </c>
      <c r="AV52">
        <v>81</v>
      </c>
      <c r="AW52">
        <v>11</v>
      </c>
      <c r="AX52" t="s">
        <v>74</v>
      </c>
      <c r="AY52" t="s">
        <v>74</v>
      </c>
      <c r="AZ52" t="s">
        <v>74</v>
      </c>
      <c r="BA52" t="s">
        <v>74</v>
      </c>
      <c r="BB52">
        <v>1781</v>
      </c>
      <c r="BC52">
        <v>1790</v>
      </c>
      <c r="BD52" t="s">
        <v>74</v>
      </c>
      <c r="BE52" t="s">
        <v>5006</v>
      </c>
      <c r="BF52" t="str">
        <f>HYPERLINK("http://dx.doi.org/10.1139/Z03-178","http://dx.doi.org/10.1139/Z03-178")</f>
        <v>http://dx.doi.org/10.1139/Z03-178</v>
      </c>
      <c r="BG52" t="s">
        <v>74</v>
      </c>
      <c r="BH52" t="s">
        <v>74</v>
      </c>
      <c r="BI52" t="s">
        <v>74</v>
      </c>
      <c r="BJ52" t="s">
        <v>74</v>
      </c>
      <c r="BK52" t="s">
        <v>74</v>
      </c>
      <c r="BL52" t="s">
        <v>74</v>
      </c>
      <c r="BM52" t="s">
        <v>74</v>
      </c>
      <c r="BN52" t="s">
        <v>74</v>
      </c>
      <c r="BO52" t="s">
        <v>74</v>
      </c>
      <c r="BP52" t="s">
        <v>74</v>
      </c>
      <c r="BQ52" t="s">
        <v>74</v>
      </c>
      <c r="BR52" t="s">
        <v>74</v>
      </c>
      <c r="BS52" t="s">
        <v>5007</v>
      </c>
      <c r="BT52" t="str">
        <f>HYPERLINK("https%3A%2F%2Fwww.webofscience.com%2Fwos%2Fwoscc%2Ffull-record%2FWOS:000188730300001","View Full Record in Web of Science")</f>
        <v>View Full Record in Web of Science</v>
      </c>
    </row>
    <row r="53" spans="1:72" x14ac:dyDescent="0.4">
      <c r="A53" t="s">
        <v>72</v>
      </c>
      <c r="B53" t="s">
        <v>6990</v>
      </c>
      <c r="C53" t="s">
        <v>74</v>
      </c>
      <c r="D53" t="s">
        <v>74</v>
      </c>
      <c r="E53" t="s">
        <v>74</v>
      </c>
      <c r="F53" t="s">
        <v>6991</v>
      </c>
      <c r="G53" t="s">
        <v>74</v>
      </c>
      <c r="H53" t="s">
        <v>74</v>
      </c>
      <c r="I53" t="s">
        <v>6992</v>
      </c>
      <c r="J53" t="s">
        <v>408</v>
      </c>
      <c r="K53" t="s">
        <v>74</v>
      </c>
      <c r="L53" t="s">
        <v>74</v>
      </c>
      <c r="M53" t="s">
        <v>74</v>
      </c>
      <c r="N53" t="s">
        <v>74</v>
      </c>
      <c r="O53" t="s">
        <v>74</v>
      </c>
      <c r="P53" t="s">
        <v>74</v>
      </c>
      <c r="Q53" t="s">
        <v>74</v>
      </c>
      <c r="R53" t="s">
        <v>74</v>
      </c>
      <c r="S53" t="s">
        <v>74</v>
      </c>
      <c r="T53" t="s">
        <v>74</v>
      </c>
      <c r="U53" t="s">
        <v>74</v>
      </c>
      <c r="V53" s="3" t="s">
        <v>6993</v>
      </c>
      <c r="W53" t="s">
        <v>74</v>
      </c>
      <c r="X53" t="s">
        <v>74</v>
      </c>
      <c r="Y53" t="s">
        <v>74</v>
      </c>
      <c r="Z53" t="s">
        <v>74</v>
      </c>
      <c r="AA53" t="s">
        <v>74</v>
      </c>
      <c r="AB53" t="s">
        <v>74</v>
      </c>
      <c r="AC53" t="s">
        <v>74</v>
      </c>
      <c r="AD53" t="s">
        <v>74</v>
      </c>
      <c r="AE53" t="s">
        <v>74</v>
      </c>
      <c r="AF53" t="s">
        <v>74</v>
      </c>
      <c r="AG53" t="s">
        <v>74</v>
      </c>
      <c r="AH53" t="s">
        <v>74</v>
      </c>
      <c r="AI53" t="s">
        <v>74</v>
      </c>
      <c r="AJ53" t="s">
        <v>74</v>
      </c>
      <c r="AK53" t="s">
        <v>74</v>
      </c>
      <c r="AL53" t="s">
        <v>74</v>
      </c>
      <c r="AM53" t="s">
        <v>74</v>
      </c>
      <c r="AN53" t="s">
        <v>74</v>
      </c>
      <c r="AO53" t="s">
        <v>412</v>
      </c>
      <c r="AP53" t="s">
        <v>413</v>
      </c>
      <c r="AQ53" t="s">
        <v>74</v>
      </c>
      <c r="AR53" t="s">
        <v>74</v>
      </c>
      <c r="AS53" t="s">
        <v>74</v>
      </c>
      <c r="AT53" t="s">
        <v>123</v>
      </c>
      <c r="AU53">
        <v>2013</v>
      </c>
      <c r="AV53">
        <v>108</v>
      </c>
      <c r="AW53">
        <v>3</v>
      </c>
      <c r="AX53" t="s">
        <v>74</v>
      </c>
      <c r="AY53" t="s">
        <v>74</v>
      </c>
      <c r="AZ53" t="s">
        <v>74</v>
      </c>
      <c r="BA53" t="s">
        <v>74</v>
      </c>
      <c r="BB53">
        <v>636</v>
      </c>
      <c r="BC53">
        <v>646</v>
      </c>
      <c r="BD53" t="s">
        <v>74</v>
      </c>
      <c r="BE53" t="s">
        <v>6994</v>
      </c>
      <c r="BF53" t="str">
        <f>HYPERLINK("http://dx.doi.org/10.1111/bij.12003","http://dx.doi.org/10.1111/bij.12003")</f>
        <v>http://dx.doi.org/10.1111/bij.12003</v>
      </c>
      <c r="BG53" t="s">
        <v>74</v>
      </c>
      <c r="BH53" t="s">
        <v>74</v>
      </c>
      <c r="BI53" t="s">
        <v>74</v>
      </c>
      <c r="BJ53" t="s">
        <v>74</v>
      </c>
      <c r="BK53" t="s">
        <v>74</v>
      </c>
      <c r="BL53" t="s">
        <v>74</v>
      </c>
      <c r="BM53" t="s">
        <v>74</v>
      </c>
      <c r="BN53" t="s">
        <v>74</v>
      </c>
      <c r="BO53" t="s">
        <v>74</v>
      </c>
      <c r="BP53" t="s">
        <v>74</v>
      </c>
      <c r="BQ53" t="s">
        <v>74</v>
      </c>
      <c r="BR53" t="s">
        <v>74</v>
      </c>
      <c r="BS53" t="s">
        <v>6995</v>
      </c>
      <c r="BT53" t="str">
        <f>HYPERLINK("https%3A%2F%2Fwww.webofscience.com%2Fwos%2Fwoscc%2Ffull-record%2FWOS:000315120300013","View Full Record in Web of Science")</f>
        <v>View Full Record in Web of Science</v>
      </c>
    </row>
    <row r="54" spans="1:72" x14ac:dyDescent="0.4">
      <c r="A54" t="s">
        <v>72</v>
      </c>
      <c r="B54" t="s">
        <v>3525</v>
      </c>
      <c r="C54" t="s">
        <v>74</v>
      </c>
      <c r="D54" t="s">
        <v>74</v>
      </c>
      <c r="E54" t="s">
        <v>74</v>
      </c>
      <c r="F54" t="s">
        <v>3526</v>
      </c>
      <c r="G54" t="s">
        <v>74</v>
      </c>
      <c r="H54" t="s">
        <v>74</v>
      </c>
      <c r="I54" t="s">
        <v>3527</v>
      </c>
      <c r="J54" t="s">
        <v>1198</v>
      </c>
      <c r="K54" t="s">
        <v>74</v>
      </c>
      <c r="L54" t="s">
        <v>74</v>
      </c>
      <c r="M54" t="s">
        <v>74</v>
      </c>
      <c r="N54" t="s">
        <v>74</v>
      </c>
      <c r="O54" t="s">
        <v>74</v>
      </c>
      <c r="P54" t="s">
        <v>74</v>
      </c>
      <c r="Q54" t="s">
        <v>74</v>
      </c>
      <c r="R54" t="s">
        <v>74</v>
      </c>
      <c r="S54" t="s">
        <v>74</v>
      </c>
      <c r="T54" t="s">
        <v>74</v>
      </c>
      <c r="U54" t="s">
        <v>74</v>
      </c>
      <c r="V54" s="3" t="s">
        <v>3528</v>
      </c>
      <c r="W54" t="s">
        <v>74</v>
      </c>
      <c r="X54" t="s">
        <v>74</v>
      </c>
      <c r="Y54" t="s">
        <v>74</v>
      </c>
      <c r="Z54" t="s">
        <v>74</v>
      </c>
      <c r="AA54" t="s">
        <v>74</v>
      </c>
      <c r="AB54" t="s">
        <v>74</v>
      </c>
      <c r="AC54" t="s">
        <v>74</v>
      </c>
      <c r="AD54" t="s">
        <v>74</v>
      </c>
      <c r="AE54" t="s">
        <v>74</v>
      </c>
      <c r="AF54" t="s">
        <v>74</v>
      </c>
      <c r="AG54" t="s">
        <v>74</v>
      </c>
      <c r="AH54" t="s">
        <v>74</v>
      </c>
      <c r="AI54" t="s">
        <v>74</v>
      </c>
      <c r="AJ54" t="s">
        <v>74</v>
      </c>
      <c r="AK54" t="s">
        <v>74</v>
      </c>
      <c r="AL54" t="s">
        <v>74</v>
      </c>
      <c r="AM54" t="s">
        <v>74</v>
      </c>
      <c r="AN54" t="s">
        <v>74</v>
      </c>
      <c r="AO54" t="s">
        <v>1202</v>
      </c>
      <c r="AP54" t="s">
        <v>1203</v>
      </c>
      <c r="AQ54" t="s">
        <v>74</v>
      </c>
      <c r="AR54" t="s">
        <v>74</v>
      </c>
      <c r="AS54" t="s">
        <v>74</v>
      </c>
      <c r="AT54" t="s">
        <v>305</v>
      </c>
      <c r="AU54">
        <v>2013</v>
      </c>
      <c r="AV54">
        <v>69</v>
      </c>
      <c r="AW54">
        <v>4</v>
      </c>
      <c r="AX54" t="s">
        <v>74</v>
      </c>
      <c r="AY54" t="s">
        <v>74</v>
      </c>
      <c r="AZ54" t="s">
        <v>74</v>
      </c>
      <c r="BA54" t="s">
        <v>74</v>
      </c>
      <c r="BB54">
        <v>436</v>
      </c>
      <c r="BC54">
        <v>444</v>
      </c>
      <c r="BD54" t="s">
        <v>74</v>
      </c>
      <c r="BE54" t="s">
        <v>74</v>
      </c>
      <c r="BF54" t="s">
        <v>74</v>
      </c>
      <c r="BG54" t="s">
        <v>74</v>
      </c>
      <c r="BH54" t="s">
        <v>74</v>
      </c>
      <c r="BI54" t="s">
        <v>74</v>
      </c>
      <c r="BJ54" t="s">
        <v>74</v>
      </c>
      <c r="BK54" t="s">
        <v>74</v>
      </c>
      <c r="BL54" t="s">
        <v>74</v>
      </c>
      <c r="BM54" t="s">
        <v>74</v>
      </c>
      <c r="BN54" t="s">
        <v>74</v>
      </c>
      <c r="BO54" t="s">
        <v>74</v>
      </c>
      <c r="BP54" t="s">
        <v>74</v>
      </c>
      <c r="BQ54" t="s">
        <v>74</v>
      </c>
      <c r="BR54" t="s">
        <v>74</v>
      </c>
      <c r="BS54" t="s">
        <v>3529</v>
      </c>
      <c r="BT54" t="str">
        <f>HYPERLINK("https%3A%2F%2Fwww.webofscience.com%2Fwos%2Fwoscc%2Ffull-record%2FWOS:000328539300005","View Full Record in Web of Science")</f>
        <v>View Full Record in Web of Science</v>
      </c>
    </row>
    <row r="55" spans="1:72" x14ac:dyDescent="0.4">
      <c r="A55" t="s">
        <v>72</v>
      </c>
      <c r="B55" t="s">
        <v>7502</v>
      </c>
      <c r="C55" t="s">
        <v>74</v>
      </c>
      <c r="D55" t="s">
        <v>74</v>
      </c>
      <c r="E55" t="s">
        <v>74</v>
      </c>
      <c r="F55" t="s">
        <v>7503</v>
      </c>
      <c r="G55" t="s">
        <v>74</v>
      </c>
      <c r="H55" t="s">
        <v>74</v>
      </c>
      <c r="I55" t="s">
        <v>7504</v>
      </c>
      <c r="J55" t="s">
        <v>1755</v>
      </c>
      <c r="K55" t="s">
        <v>74</v>
      </c>
      <c r="L55" t="s">
        <v>74</v>
      </c>
      <c r="M55" t="s">
        <v>74</v>
      </c>
      <c r="N55" t="s">
        <v>74</v>
      </c>
      <c r="O55" t="s">
        <v>74</v>
      </c>
      <c r="P55" t="s">
        <v>74</v>
      </c>
      <c r="Q55" t="s">
        <v>74</v>
      </c>
      <c r="R55" t="s">
        <v>74</v>
      </c>
      <c r="S55" t="s">
        <v>74</v>
      </c>
      <c r="T55" t="s">
        <v>74</v>
      </c>
      <c r="U55" t="s">
        <v>74</v>
      </c>
      <c r="V55" s="3" t="s">
        <v>7505</v>
      </c>
      <c r="W55" t="s">
        <v>74</v>
      </c>
      <c r="X55" t="s">
        <v>74</v>
      </c>
      <c r="Y55" t="s">
        <v>74</v>
      </c>
      <c r="Z55" t="s">
        <v>74</v>
      </c>
      <c r="AA55" t="s">
        <v>7506</v>
      </c>
      <c r="AB55" t="s">
        <v>7507</v>
      </c>
      <c r="AC55" t="s">
        <v>74</v>
      </c>
      <c r="AD55" t="s">
        <v>74</v>
      </c>
      <c r="AE55" t="s">
        <v>74</v>
      </c>
      <c r="AF55" t="s">
        <v>74</v>
      </c>
      <c r="AG55" t="s">
        <v>74</v>
      </c>
      <c r="AH55" t="s">
        <v>74</v>
      </c>
      <c r="AI55" t="s">
        <v>74</v>
      </c>
      <c r="AJ55" t="s">
        <v>74</v>
      </c>
      <c r="AK55" t="s">
        <v>74</v>
      </c>
      <c r="AL55" t="s">
        <v>74</v>
      </c>
      <c r="AM55" t="s">
        <v>74</v>
      </c>
      <c r="AN55" t="s">
        <v>74</v>
      </c>
      <c r="AO55" t="s">
        <v>1759</v>
      </c>
      <c r="AP55" t="s">
        <v>1760</v>
      </c>
      <c r="AQ55" t="s">
        <v>74</v>
      </c>
      <c r="AR55" t="s">
        <v>74</v>
      </c>
      <c r="AS55" t="s">
        <v>74</v>
      </c>
      <c r="AT55" t="s">
        <v>255</v>
      </c>
      <c r="AU55">
        <v>2007</v>
      </c>
      <c r="AV55">
        <v>20</v>
      </c>
      <c r="AW55">
        <v>1</v>
      </c>
      <c r="AX55" t="s">
        <v>74</v>
      </c>
      <c r="AY55" t="s">
        <v>74</v>
      </c>
      <c r="AZ55" t="s">
        <v>74</v>
      </c>
      <c r="BA55" t="s">
        <v>74</v>
      </c>
      <c r="BB55">
        <v>87</v>
      </c>
      <c r="BC55">
        <v>98</v>
      </c>
      <c r="BD55" t="s">
        <v>74</v>
      </c>
      <c r="BE55" t="s">
        <v>7508</v>
      </c>
      <c r="BF55" t="str">
        <f>HYPERLINK("http://dx.doi.org/10.1007/s10905-006-9065-9","http://dx.doi.org/10.1007/s10905-006-9065-9")</f>
        <v>http://dx.doi.org/10.1007/s10905-006-9065-9</v>
      </c>
      <c r="BG55" t="s">
        <v>74</v>
      </c>
      <c r="BH55" t="s">
        <v>74</v>
      </c>
      <c r="BI55" t="s">
        <v>74</v>
      </c>
      <c r="BJ55" t="s">
        <v>74</v>
      </c>
      <c r="BK55" t="s">
        <v>74</v>
      </c>
      <c r="BL55" t="s">
        <v>74</v>
      </c>
      <c r="BM55" t="s">
        <v>74</v>
      </c>
      <c r="BN55" t="s">
        <v>74</v>
      </c>
      <c r="BO55" t="s">
        <v>74</v>
      </c>
      <c r="BP55" t="s">
        <v>74</v>
      </c>
      <c r="BQ55" t="s">
        <v>74</v>
      </c>
      <c r="BR55" t="s">
        <v>74</v>
      </c>
      <c r="BS55" t="s">
        <v>7509</v>
      </c>
      <c r="BT55" t="str">
        <f>HYPERLINK("https%3A%2F%2Fwww.webofscience.com%2Fwos%2Fwoscc%2Ffull-record%2FWOS:000243906500008","View Full Record in Web of Science")</f>
        <v>View Full Record in Web of Science</v>
      </c>
    </row>
    <row r="56" spans="1:72" x14ac:dyDescent="0.4">
      <c r="A56" t="s">
        <v>72</v>
      </c>
      <c r="B56" t="s">
        <v>6952</v>
      </c>
      <c r="C56" t="s">
        <v>74</v>
      </c>
      <c r="D56" t="s">
        <v>74</v>
      </c>
      <c r="E56" t="s">
        <v>74</v>
      </c>
      <c r="F56" t="s">
        <v>6953</v>
      </c>
      <c r="G56" t="s">
        <v>74</v>
      </c>
      <c r="H56" t="s">
        <v>74</v>
      </c>
      <c r="I56" t="s">
        <v>6954</v>
      </c>
      <c r="J56" t="s">
        <v>1396</v>
      </c>
      <c r="K56" t="s">
        <v>74</v>
      </c>
      <c r="L56" t="s">
        <v>74</v>
      </c>
      <c r="M56" t="s">
        <v>74</v>
      </c>
      <c r="N56" t="s">
        <v>74</v>
      </c>
      <c r="O56" t="s">
        <v>74</v>
      </c>
      <c r="P56" t="s">
        <v>74</v>
      </c>
      <c r="Q56" t="s">
        <v>74</v>
      </c>
      <c r="R56" t="s">
        <v>74</v>
      </c>
      <c r="S56" t="s">
        <v>74</v>
      </c>
      <c r="T56" t="s">
        <v>74</v>
      </c>
      <c r="U56" t="s">
        <v>74</v>
      </c>
      <c r="V56" s="3" t="s">
        <v>6955</v>
      </c>
      <c r="W56" t="s">
        <v>74</v>
      </c>
      <c r="X56" t="s">
        <v>74</v>
      </c>
      <c r="Y56" t="s">
        <v>74</v>
      </c>
      <c r="Z56" t="s">
        <v>74</v>
      </c>
      <c r="AA56" t="s">
        <v>6956</v>
      </c>
      <c r="AB56" t="s">
        <v>6957</v>
      </c>
      <c r="AC56" t="s">
        <v>74</v>
      </c>
      <c r="AD56" t="s">
        <v>74</v>
      </c>
      <c r="AE56" t="s">
        <v>74</v>
      </c>
      <c r="AF56" t="s">
        <v>74</v>
      </c>
      <c r="AG56" t="s">
        <v>74</v>
      </c>
      <c r="AH56" t="s">
        <v>74</v>
      </c>
      <c r="AI56" t="s">
        <v>74</v>
      </c>
      <c r="AJ56" t="s">
        <v>74</v>
      </c>
      <c r="AK56" t="s">
        <v>74</v>
      </c>
      <c r="AL56" t="s">
        <v>74</v>
      </c>
      <c r="AM56" t="s">
        <v>74</v>
      </c>
      <c r="AN56" t="s">
        <v>74</v>
      </c>
      <c r="AO56" t="s">
        <v>1400</v>
      </c>
      <c r="AP56" t="s">
        <v>5422</v>
      </c>
      <c r="AQ56" t="s">
        <v>74</v>
      </c>
      <c r="AR56" t="s">
        <v>74</v>
      </c>
      <c r="AS56" t="s">
        <v>74</v>
      </c>
      <c r="AT56" t="s">
        <v>6958</v>
      </c>
      <c r="AU56">
        <v>2022</v>
      </c>
      <c r="AV56">
        <v>2022</v>
      </c>
      <c r="AW56" t="s">
        <v>74</v>
      </c>
      <c r="AX56" t="s">
        <v>74</v>
      </c>
      <c r="AY56" t="s">
        <v>74</v>
      </c>
      <c r="AZ56" t="s">
        <v>74</v>
      </c>
      <c r="BA56" t="s">
        <v>74</v>
      </c>
      <c r="BB56" t="s">
        <v>74</v>
      </c>
      <c r="BC56" t="s">
        <v>74</v>
      </c>
      <c r="BD56">
        <v>8378483</v>
      </c>
      <c r="BE56" t="s">
        <v>6959</v>
      </c>
      <c r="BF56" t="str">
        <f>HYPERLINK("http://dx.doi.org/10.1155/2022/8378483","http://dx.doi.org/10.1155/2022/8378483")</f>
        <v>http://dx.doi.org/10.1155/2022/8378483</v>
      </c>
      <c r="BG56" t="s">
        <v>74</v>
      </c>
      <c r="BH56" t="s">
        <v>74</v>
      </c>
      <c r="BI56" t="s">
        <v>74</v>
      </c>
      <c r="BJ56" t="s">
        <v>74</v>
      </c>
      <c r="BK56" t="s">
        <v>74</v>
      </c>
      <c r="BL56" t="s">
        <v>74</v>
      </c>
      <c r="BM56" t="s">
        <v>74</v>
      </c>
      <c r="BN56" t="s">
        <v>74</v>
      </c>
      <c r="BO56" t="s">
        <v>74</v>
      </c>
      <c r="BP56" t="s">
        <v>74</v>
      </c>
      <c r="BQ56" t="s">
        <v>74</v>
      </c>
      <c r="BR56" t="s">
        <v>74</v>
      </c>
      <c r="BS56" t="s">
        <v>6960</v>
      </c>
      <c r="BT56" t="str">
        <f>HYPERLINK("https%3A%2F%2Fwww.webofscience.com%2Fwos%2Fwoscc%2Ffull-record%2FWOS:000903811100001","View Full Record in Web of Science")</f>
        <v>View Full Record in Web of Science</v>
      </c>
    </row>
    <row r="57" spans="1:72" x14ac:dyDescent="0.4">
      <c r="A57" t="s">
        <v>72</v>
      </c>
      <c r="B57" t="s">
        <v>7738</v>
      </c>
      <c r="C57" t="s">
        <v>74</v>
      </c>
      <c r="D57" t="s">
        <v>74</v>
      </c>
      <c r="E57" t="s">
        <v>74</v>
      </c>
      <c r="F57" t="s">
        <v>7739</v>
      </c>
      <c r="G57" t="s">
        <v>74</v>
      </c>
      <c r="H57" t="s">
        <v>74</v>
      </c>
      <c r="I57" t="s">
        <v>7740</v>
      </c>
      <c r="J57" t="s">
        <v>1541</v>
      </c>
      <c r="K57" t="s">
        <v>74</v>
      </c>
      <c r="L57" t="s">
        <v>74</v>
      </c>
      <c r="M57" t="s">
        <v>74</v>
      </c>
      <c r="N57" t="s">
        <v>74</v>
      </c>
      <c r="O57" t="s">
        <v>74</v>
      </c>
      <c r="P57" t="s">
        <v>74</v>
      </c>
      <c r="Q57" t="s">
        <v>74</v>
      </c>
      <c r="R57" t="s">
        <v>74</v>
      </c>
      <c r="S57" t="s">
        <v>74</v>
      </c>
      <c r="T57" t="s">
        <v>74</v>
      </c>
      <c r="U57" t="s">
        <v>74</v>
      </c>
      <c r="V57" s="3" t="s">
        <v>7741</v>
      </c>
      <c r="W57" t="s">
        <v>74</v>
      </c>
      <c r="X57" t="s">
        <v>74</v>
      </c>
      <c r="Y57" t="s">
        <v>74</v>
      </c>
      <c r="Z57" t="s">
        <v>74</v>
      </c>
      <c r="AA57" t="s">
        <v>7742</v>
      </c>
      <c r="AB57" t="s">
        <v>7743</v>
      </c>
      <c r="AC57" t="s">
        <v>74</v>
      </c>
      <c r="AD57" t="s">
        <v>74</v>
      </c>
      <c r="AE57" t="s">
        <v>74</v>
      </c>
      <c r="AF57" t="s">
        <v>74</v>
      </c>
      <c r="AG57" t="s">
        <v>74</v>
      </c>
      <c r="AH57" t="s">
        <v>74</v>
      </c>
      <c r="AI57" t="s">
        <v>74</v>
      </c>
      <c r="AJ57" t="s">
        <v>74</v>
      </c>
      <c r="AK57" t="s">
        <v>74</v>
      </c>
      <c r="AL57" t="s">
        <v>74</v>
      </c>
      <c r="AM57" t="s">
        <v>74</v>
      </c>
      <c r="AN57" t="s">
        <v>74</v>
      </c>
      <c r="AO57" t="s">
        <v>1543</v>
      </c>
      <c r="AP57" t="s">
        <v>1544</v>
      </c>
      <c r="AQ57" t="s">
        <v>74</v>
      </c>
      <c r="AR57" t="s">
        <v>74</v>
      </c>
      <c r="AS57" t="s">
        <v>74</v>
      </c>
      <c r="AT57" t="s">
        <v>305</v>
      </c>
      <c r="AU57">
        <v>2009</v>
      </c>
      <c r="AV57">
        <v>90</v>
      </c>
      <c r="AW57">
        <v>12</v>
      </c>
      <c r="AX57" t="s">
        <v>74</v>
      </c>
      <c r="AY57" t="s">
        <v>74</v>
      </c>
      <c r="AZ57" t="s">
        <v>74</v>
      </c>
      <c r="BA57" t="s">
        <v>74</v>
      </c>
      <c r="BB57">
        <v>3367</v>
      </c>
      <c r="BC57">
        <v>3378</v>
      </c>
      <c r="BD57" t="s">
        <v>74</v>
      </c>
      <c r="BE57" t="s">
        <v>7744</v>
      </c>
      <c r="BF57" t="str">
        <f>HYPERLINK("http://dx.doi.org/10.1890/08-2291.1","http://dx.doi.org/10.1890/08-2291.1")</f>
        <v>http://dx.doi.org/10.1890/08-2291.1</v>
      </c>
      <c r="BG57" t="s">
        <v>74</v>
      </c>
      <c r="BH57" t="s">
        <v>74</v>
      </c>
      <c r="BI57" t="s">
        <v>74</v>
      </c>
      <c r="BJ57" t="s">
        <v>74</v>
      </c>
      <c r="BK57" t="s">
        <v>74</v>
      </c>
      <c r="BL57" t="s">
        <v>74</v>
      </c>
      <c r="BM57" t="s">
        <v>74</v>
      </c>
      <c r="BN57">
        <v>20120806</v>
      </c>
      <c r="BO57" t="s">
        <v>74</v>
      </c>
      <c r="BP57" t="s">
        <v>74</v>
      </c>
      <c r="BQ57" t="s">
        <v>74</v>
      </c>
      <c r="BR57" t="s">
        <v>74</v>
      </c>
      <c r="BS57" t="s">
        <v>7745</v>
      </c>
      <c r="BT57" t="str">
        <f>HYPERLINK("https%3A%2F%2Fwww.webofscience.com%2Fwos%2Fwoscc%2Ffull-record%2FWOS:000272700800009","View Full Record in Web of Science")</f>
        <v>View Full Record in Web of Science</v>
      </c>
    </row>
    <row r="58" spans="1:72" x14ac:dyDescent="0.4">
      <c r="A58" t="s">
        <v>72</v>
      </c>
      <c r="B58" t="s">
        <v>1585</v>
      </c>
      <c r="C58" t="s">
        <v>74</v>
      </c>
      <c r="D58" t="s">
        <v>74</v>
      </c>
      <c r="E58" t="s">
        <v>74</v>
      </c>
      <c r="F58" t="s">
        <v>1586</v>
      </c>
      <c r="G58" t="s">
        <v>74</v>
      </c>
      <c r="H58" t="s">
        <v>74</v>
      </c>
      <c r="I58" t="s">
        <v>1587</v>
      </c>
      <c r="J58" t="s">
        <v>775</v>
      </c>
      <c r="K58" t="s">
        <v>74</v>
      </c>
      <c r="L58" t="s">
        <v>74</v>
      </c>
      <c r="M58" t="s">
        <v>74</v>
      </c>
      <c r="N58" t="s">
        <v>74</v>
      </c>
      <c r="O58" t="s">
        <v>74</v>
      </c>
      <c r="P58" t="s">
        <v>74</v>
      </c>
      <c r="Q58" t="s">
        <v>74</v>
      </c>
      <c r="R58" t="s">
        <v>74</v>
      </c>
      <c r="S58" t="s">
        <v>74</v>
      </c>
      <c r="T58" t="s">
        <v>74</v>
      </c>
      <c r="U58" t="s">
        <v>74</v>
      </c>
      <c r="V58" s="3" t="s">
        <v>1588</v>
      </c>
      <c r="W58" t="s">
        <v>74</v>
      </c>
      <c r="X58" t="s">
        <v>74</v>
      </c>
      <c r="Y58" t="s">
        <v>74</v>
      </c>
      <c r="Z58" t="s">
        <v>74</v>
      </c>
      <c r="AA58" t="s">
        <v>1589</v>
      </c>
      <c r="AB58" t="s">
        <v>1590</v>
      </c>
      <c r="AC58" t="s">
        <v>74</v>
      </c>
      <c r="AD58" t="s">
        <v>74</v>
      </c>
      <c r="AE58" t="s">
        <v>74</v>
      </c>
      <c r="AF58" t="s">
        <v>74</v>
      </c>
      <c r="AG58" t="s">
        <v>74</v>
      </c>
      <c r="AH58" t="s">
        <v>74</v>
      </c>
      <c r="AI58" t="s">
        <v>74</v>
      </c>
      <c r="AJ58" t="s">
        <v>74</v>
      </c>
      <c r="AK58" t="s">
        <v>74</v>
      </c>
      <c r="AL58" t="s">
        <v>74</v>
      </c>
      <c r="AM58" t="s">
        <v>74</v>
      </c>
      <c r="AN58" t="s">
        <v>74</v>
      </c>
      <c r="AO58" t="s">
        <v>778</v>
      </c>
      <c r="AP58" t="s">
        <v>779</v>
      </c>
      <c r="AQ58" t="s">
        <v>74</v>
      </c>
      <c r="AR58" t="s">
        <v>74</v>
      </c>
      <c r="AS58" t="s">
        <v>74</v>
      </c>
      <c r="AT58" t="s">
        <v>964</v>
      </c>
      <c r="AU58">
        <v>2017</v>
      </c>
      <c r="AV58">
        <v>63</v>
      </c>
      <c r="AW58">
        <v>1</v>
      </c>
      <c r="AX58" t="s">
        <v>74</v>
      </c>
      <c r="AY58" t="s">
        <v>74</v>
      </c>
      <c r="AZ58" t="s">
        <v>74</v>
      </c>
      <c r="BA58" t="s">
        <v>74</v>
      </c>
      <c r="BB58">
        <v>45</v>
      </c>
      <c r="BC58">
        <v>54</v>
      </c>
      <c r="BD58" t="s">
        <v>74</v>
      </c>
      <c r="BE58" t="s">
        <v>1591</v>
      </c>
      <c r="BF58" t="str">
        <f>HYPERLINK("http://dx.doi.org/10.1093/cz/zow086","http://dx.doi.org/10.1093/cz/zow086")</f>
        <v>http://dx.doi.org/10.1093/cz/zow086</v>
      </c>
      <c r="BG58" t="s">
        <v>74</v>
      </c>
      <c r="BH58" t="s">
        <v>74</v>
      </c>
      <c r="BI58" t="s">
        <v>74</v>
      </c>
      <c r="BJ58" t="s">
        <v>74</v>
      </c>
      <c r="BK58" t="s">
        <v>74</v>
      </c>
      <c r="BL58" t="s">
        <v>74</v>
      </c>
      <c r="BM58" t="s">
        <v>74</v>
      </c>
      <c r="BN58">
        <v>29491962</v>
      </c>
      <c r="BO58" t="s">
        <v>74</v>
      </c>
      <c r="BP58" t="s">
        <v>74</v>
      </c>
      <c r="BQ58" t="s">
        <v>74</v>
      </c>
      <c r="BR58" t="s">
        <v>74</v>
      </c>
      <c r="BS58" t="s">
        <v>1592</v>
      </c>
      <c r="BT58" t="str">
        <f>HYPERLINK("https%3A%2F%2Fwww.webofscience.com%2Fwos%2Fwoscc%2Ffull-record%2FWOS:000396213400006","View Full Record in Web of Science")</f>
        <v>View Full Record in Web of Science</v>
      </c>
    </row>
    <row r="59" spans="1:72" x14ac:dyDescent="0.4">
      <c r="A59" t="s">
        <v>72</v>
      </c>
      <c r="B59" t="s">
        <v>4593</v>
      </c>
      <c r="C59" t="s">
        <v>74</v>
      </c>
      <c r="D59" t="s">
        <v>74</v>
      </c>
      <c r="E59" t="s">
        <v>74</v>
      </c>
      <c r="F59" t="s">
        <v>4594</v>
      </c>
      <c r="G59" t="s">
        <v>74</v>
      </c>
      <c r="H59" t="s">
        <v>74</v>
      </c>
      <c r="I59" t="s">
        <v>4595</v>
      </c>
      <c r="J59" t="s">
        <v>201</v>
      </c>
      <c r="K59" t="s">
        <v>74</v>
      </c>
      <c r="L59" t="s">
        <v>74</v>
      </c>
      <c r="M59" t="s">
        <v>74</v>
      </c>
      <c r="N59" t="s">
        <v>74</v>
      </c>
      <c r="O59" t="s">
        <v>74</v>
      </c>
      <c r="P59" t="s">
        <v>74</v>
      </c>
      <c r="Q59" t="s">
        <v>74</v>
      </c>
      <c r="R59" t="s">
        <v>74</v>
      </c>
      <c r="S59" t="s">
        <v>74</v>
      </c>
      <c r="T59" t="s">
        <v>74</v>
      </c>
      <c r="U59" t="s">
        <v>74</v>
      </c>
      <c r="V59" s="3" t="s">
        <v>4596</v>
      </c>
      <c r="W59" t="s">
        <v>74</v>
      </c>
      <c r="X59" t="s">
        <v>74</v>
      </c>
      <c r="Y59" t="s">
        <v>74</v>
      </c>
      <c r="Z59" t="s">
        <v>74</v>
      </c>
      <c r="AA59" t="s">
        <v>4597</v>
      </c>
      <c r="AB59" t="s">
        <v>4598</v>
      </c>
      <c r="AC59" t="s">
        <v>74</v>
      </c>
      <c r="AD59" t="s">
        <v>74</v>
      </c>
      <c r="AE59" t="s">
        <v>74</v>
      </c>
      <c r="AF59" t="s">
        <v>74</v>
      </c>
      <c r="AG59" t="s">
        <v>74</v>
      </c>
      <c r="AH59" t="s">
        <v>74</v>
      </c>
      <c r="AI59" t="s">
        <v>74</v>
      </c>
      <c r="AJ59" t="s">
        <v>74</v>
      </c>
      <c r="AK59" t="s">
        <v>74</v>
      </c>
      <c r="AL59" t="s">
        <v>74</v>
      </c>
      <c r="AM59" t="s">
        <v>74</v>
      </c>
      <c r="AN59" t="s">
        <v>74</v>
      </c>
      <c r="AO59" t="s">
        <v>203</v>
      </c>
      <c r="AP59" t="s">
        <v>1192</v>
      </c>
      <c r="AQ59" t="s">
        <v>74</v>
      </c>
      <c r="AR59" t="s">
        <v>74</v>
      </c>
      <c r="AS59" t="s">
        <v>74</v>
      </c>
      <c r="AT59" t="s">
        <v>134</v>
      </c>
      <c r="AU59">
        <v>2022</v>
      </c>
      <c r="AV59">
        <v>100</v>
      </c>
      <c r="AW59">
        <v>5</v>
      </c>
      <c r="AX59" t="s">
        <v>74</v>
      </c>
      <c r="AY59" t="s">
        <v>74</v>
      </c>
      <c r="AZ59" t="s">
        <v>74</v>
      </c>
      <c r="BA59" t="s">
        <v>74</v>
      </c>
      <c r="BB59">
        <v>1264</v>
      </c>
      <c r="BC59">
        <v>1271</v>
      </c>
      <c r="BD59" t="s">
        <v>74</v>
      </c>
      <c r="BE59" t="s">
        <v>4599</v>
      </c>
      <c r="BF59" t="str">
        <f>HYPERLINK("http://dx.doi.org/10.1111/jfb.15040","http://dx.doi.org/10.1111/jfb.15040")</f>
        <v>http://dx.doi.org/10.1111/jfb.15040</v>
      </c>
      <c r="BG59" t="s">
        <v>74</v>
      </c>
      <c r="BH59" t="s">
        <v>415</v>
      </c>
      <c r="BI59" t="s">
        <v>74</v>
      </c>
      <c r="BJ59" t="s">
        <v>74</v>
      </c>
      <c r="BK59" t="s">
        <v>74</v>
      </c>
      <c r="BL59" t="s">
        <v>74</v>
      </c>
      <c r="BM59" t="s">
        <v>74</v>
      </c>
      <c r="BN59">
        <v>35289932</v>
      </c>
      <c r="BO59" t="s">
        <v>74</v>
      </c>
      <c r="BP59" t="s">
        <v>74</v>
      </c>
      <c r="BQ59" t="s">
        <v>74</v>
      </c>
      <c r="BR59" t="s">
        <v>74</v>
      </c>
      <c r="BS59" t="s">
        <v>4600</v>
      </c>
      <c r="BT59" t="str">
        <f>HYPERLINK("https%3A%2F%2Fwww.webofscience.com%2Fwos%2Fwoscc%2Ffull-record%2FWOS:000774829300001","View Full Record in Web of Science")</f>
        <v>View Full Record in Web of Science</v>
      </c>
    </row>
    <row r="60" spans="1:72" x14ac:dyDescent="0.4">
      <c r="A60" t="s">
        <v>72</v>
      </c>
      <c r="B60" t="s">
        <v>2402</v>
      </c>
      <c r="C60" t="s">
        <v>74</v>
      </c>
      <c r="D60" t="s">
        <v>74</v>
      </c>
      <c r="E60" t="s">
        <v>74</v>
      </c>
      <c r="F60" t="s">
        <v>2403</v>
      </c>
      <c r="G60" t="s">
        <v>74</v>
      </c>
      <c r="H60" t="s">
        <v>74</v>
      </c>
      <c r="I60" t="s">
        <v>2404</v>
      </c>
      <c r="J60" t="s">
        <v>2405</v>
      </c>
      <c r="K60" t="s">
        <v>74</v>
      </c>
      <c r="L60" t="s">
        <v>74</v>
      </c>
      <c r="M60" t="s">
        <v>74</v>
      </c>
      <c r="N60" t="s">
        <v>74</v>
      </c>
      <c r="O60" t="s">
        <v>74</v>
      </c>
      <c r="P60" t="s">
        <v>74</v>
      </c>
      <c r="Q60" t="s">
        <v>74</v>
      </c>
      <c r="R60" t="s">
        <v>74</v>
      </c>
      <c r="S60" t="s">
        <v>74</v>
      </c>
      <c r="T60" t="s">
        <v>74</v>
      </c>
      <c r="U60" t="s">
        <v>74</v>
      </c>
      <c r="V60" s="3" t="s">
        <v>2406</v>
      </c>
      <c r="W60" t="s">
        <v>74</v>
      </c>
      <c r="X60" t="s">
        <v>74</v>
      </c>
      <c r="Y60" t="s">
        <v>74</v>
      </c>
      <c r="Z60" t="s">
        <v>74</v>
      </c>
      <c r="AA60" t="s">
        <v>2407</v>
      </c>
      <c r="AB60" t="s">
        <v>74</v>
      </c>
      <c r="AC60" t="s">
        <v>74</v>
      </c>
      <c r="AD60" t="s">
        <v>74</v>
      </c>
      <c r="AE60" t="s">
        <v>74</v>
      </c>
      <c r="AF60" t="s">
        <v>74</v>
      </c>
      <c r="AG60" t="s">
        <v>74</v>
      </c>
      <c r="AH60" t="s">
        <v>74</v>
      </c>
      <c r="AI60" t="s">
        <v>74</v>
      </c>
      <c r="AJ60" t="s">
        <v>74</v>
      </c>
      <c r="AK60" t="s">
        <v>74</v>
      </c>
      <c r="AL60" t="s">
        <v>74</v>
      </c>
      <c r="AM60" t="s">
        <v>74</v>
      </c>
      <c r="AN60" t="s">
        <v>74</v>
      </c>
      <c r="AO60" t="s">
        <v>2408</v>
      </c>
      <c r="AP60" t="s">
        <v>2409</v>
      </c>
      <c r="AQ60" t="s">
        <v>74</v>
      </c>
      <c r="AR60" t="s">
        <v>74</v>
      </c>
      <c r="AS60" t="s">
        <v>74</v>
      </c>
      <c r="AT60" t="s">
        <v>123</v>
      </c>
      <c r="AU60">
        <v>2021</v>
      </c>
      <c r="AV60">
        <v>40</v>
      </c>
      <c r="AW60">
        <v>2</v>
      </c>
      <c r="AX60" t="s">
        <v>74</v>
      </c>
      <c r="AY60" t="s">
        <v>74</v>
      </c>
      <c r="AZ60" t="s">
        <v>74</v>
      </c>
      <c r="BA60" t="s">
        <v>74</v>
      </c>
      <c r="BB60">
        <v>160</v>
      </c>
      <c r="BC60">
        <v>168</v>
      </c>
      <c r="BD60" t="s">
        <v>74</v>
      </c>
      <c r="BE60" t="s">
        <v>2410</v>
      </c>
      <c r="BF60" t="str">
        <f>HYPERLINK("http://dx.doi.org/10.1002/zoo.21583","http://dx.doi.org/10.1002/zoo.21583")</f>
        <v>http://dx.doi.org/10.1002/zoo.21583</v>
      </c>
      <c r="BG60" t="s">
        <v>74</v>
      </c>
      <c r="BH60" t="s">
        <v>2411</v>
      </c>
      <c r="BI60" t="s">
        <v>74</v>
      </c>
      <c r="BJ60" t="s">
        <v>74</v>
      </c>
      <c r="BK60" t="s">
        <v>74</v>
      </c>
      <c r="BL60" t="s">
        <v>74</v>
      </c>
      <c r="BM60" t="s">
        <v>74</v>
      </c>
      <c r="BN60">
        <v>33544907</v>
      </c>
      <c r="BO60" t="s">
        <v>74</v>
      </c>
      <c r="BP60" t="s">
        <v>74</v>
      </c>
      <c r="BQ60" t="s">
        <v>74</v>
      </c>
      <c r="BR60" t="s">
        <v>74</v>
      </c>
      <c r="BS60" t="s">
        <v>2412</v>
      </c>
      <c r="BT60" t="str">
        <f>HYPERLINK("https%3A%2F%2Fwww.webofscience.com%2Fwos%2Fwoscc%2Ffull-record%2FWOS:000614925000001","View Full Record in Web of Science")</f>
        <v>View Full Record in Web of Science</v>
      </c>
    </row>
    <row r="61" spans="1:72" x14ac:dyDescent="0.4">
      <c r="A61" t="s">
        <v>72</v>
      </c>
      <c r="B61" t="s">
        <v>5652</v>
      </c>
      <c r="C61" t="s">
        <v>74</v>
      </c>
      <c r="D61" t="s">
        <v>74</v>
      </c>
      <c r="E61" t="s">
        <v>74</v>
      </c>
      <c r="F61" t="s">
        <v>5653</v>
      </c>
      <c r="G61" t="s">
        <v>74</v>
      </c>
      <c r="H61" t="s">
        <v>74</v>
      </c>
      <c r="I61" t="s">
        <v>5654</v>
      </c>
      <c r="J61" t="s">
        <v>5655</v>
      </c>
      <c r="K61" t="s">
        <v>74</v>
      </c>
      <c r="L61" t="s">
        <v>74</v>
      </c>
      <c r="M61" t="s">
        <v>74</v>
      </c>
      <c r="N61" t="s">
        <v>74</v>
      </c>
      <c r="O61" t="s">
        <v>74</v>
      </c>
      <c r="P61" t="s">
        <v>74</v>
      </c>
      <c r="Q61" t="s">
        <v>74</v>
      </c>
      <c r="R61" t="s">
        <v>74</v>
      </c>
      <c r="S61" t="s">
        <v>74</v>
      </c>
      <c r="T61" t="s">
        <v>74</v>
      </c>
      <c r="U61" t="s">
        <v>74</v>
      </c>
      <c r="V61" s="3" t="s">
        <v>5656</v>
      </c>
      <c r="W61" t="s">
        <v>74</v>
      </c>
      <c r="X61" t="s">
        <v>74</v>
      </c>
      <c r="Y61" t="s">
        <v>74</v>
      </c>
      <c r="Z61" t="s">
        <v>74</v>
      </c>
      <c r="AA61" t="s">
        <v>74</v>
      </c>
      <c r="AB61" t="s">
        <v>74</v>
      </c>
      <c r="AC61" t="s">
        <v>74</v>
      </c>
      <c r="AD61" t="s">
        <v>74</v>
      </c>
      <c r="AE61" t="s">
        <v>74</v>
      </c>
      <c r="AF61" t="s">
        <v>74</v>
      </c>
      <c r="AG61" t="s">
        <v>74</v>
      </c>
      <c r="AH61" t="s">
        <v>74</v>
      </c>
      <c r="AI61" t="s">
        <v>74</v>
      </c>
      <c r="AJ61" t="s">
        <v>74</v>
      </c>
      <c r="AK61" t="s">
        <v>74</v>
      </c>
      <c r="AL61" t="s">
        <v>74</v>
      </c>
      <c r="AM61" t="s">
        <v>74</v>
      </c>
      <c r="AN61" t="s">
        <v>74</v>
      </c>
      <c r="AO61" t="s">
        <v>5657</v>
      </c>
      <c r="AP61" t="s">
        <v>74</v>
      </c>
      <c r="AQ61" t="s">
        <v>74</v>
      </c>
      <c r="AR61" t="s">
        <v>74</v>
      </c>
      <c r="AS61" t="s">
        <v>74</v>
      </c>
      <c r="AT61" t="s">
        <v>74</v>
      </c>
      <c r="AU61">
        <v>2020</v>
      </c>
      <c r="AV61">
        <v>19</v>
      </c>
      <c r="AW61">
        <v>6</v>
      </c>
      <c r="AX61" t="s">
        <v>74</v>
      </c>
      <c r="AY61" t="s">
        <v>74</v>
      </c>
      <c r="AZ61" t="s">
        <v>74</v>
      </c>
      <c r="BA61" t="s">
        <v>74</v>
      </c>
      <c r="BB61">
        <v>2770</v>
      </c>
      <c r="BC61">
        <v>2789</v>
      </c>
      <c r="BD61" t="s">
        <v>74</v>
      </c>
      <c r="BE61" t="s">
        <v>5658</v>
      </c>
      <c r="BF61" t="str">
        <f>HYPERLINK("http://dx.doi.org/10.22092/ijfs.2020.122739","http://dx.doi.org/10.22092/ijfs.2020.122739")</f>
        <v>http://dx.doi.org/10.22092/ijfs.2020.122739</v>
      </c>
      <c r="BG61" t="s">
        <v>74</v>
      </c>
      <c r="BH61" t="s">
        <v>74</v>
      </c>
      <c r="BI61" t="s">
        <v>74</v>
      </c>
      <c r="BJ61" t="s">
        <v>74</v>
      </c>
      <c r="BK61" t="s">
        <v>74</v>
      </c>
      <c r="BL61" t="s">
        <v>74</v>
      </c>
      <c r="BM61" t="s">
        <v>74</v>
      </c>
      <c r="BN61" t="s">
        <v>74</v>
      </c>
      <c r="BO61" t="s">
        <v>74</v>
      </c>
      <c r="BP61" t="s">
        <v>74</v>
      </c>
      <c r="BQ61" t="s">
        <v>74</v>
      </c>
      <c r="BR61" t="s">
        <v>74</v>
      </c>
      <c r="BS61" t="s">
        <v>5659</v>
      </c>
      <c r="BT61" t="str">
        <f>HYPERLINK("https%3A%2F%2Fwww.webofscience.com%2Fwos%2Fwoscc%2Ffull-record%2FWOS:000600344000002","View Full Record in Web of Science")</f>
        <v>View Full Record in Web of Science</v>
      </c>
    </row>
    <row r="62" spans="1:72" x14ac:dyDescent="0.4">
      <c r="A62" t="s">
        <v>72</v>
      </c>
      <c r="B62" t="s">
        <v>8620</v>
      </c>
      <c r="C62" t="s">
        <v>74</v>
      </c>
      <c r="D62" t="s">
        <v>74</v>
      </c>
      <c r="E62" t="s">
        <v>74</v>
      </c>
      <c r="F62" t="s">
        <v>8621</v>
      </c>
      <c r="G62" t="s">
        <v>74</v>
      </c>
      <c r="H62" t="s">
        <v>74</v>
      </c>
      <c r="I62" t="s">
        <v>8622</v>
      </c>
      <c r="J62" t="s">
        <v>763</v>
      </c>
      <c r="K62" t="s">
        <v>74</v>
      </c>
      <c r="L62" t="s">
        <v>74</v>
      </c>
      <c r="M62" t="s">
        <v>74</v>
      </c>
      <c r="N62" t="s">
        <v>74</v>
      </c>
      <c r="O62" t="s">
        <v>74</v>
      </c>
      <c r="P62" t="s">
        <v>74</v>
      </c>
      <c r="Q62" t="s">
        <v>74</v>
      </c>
      <c r="R62" t="s">
        <v>74</v>
      </c>
      <c r="S62" t="s">
        <v>74</v>
      </c>
      <c r="T62" t="s">
        <v>74</v>
      </c>
      <c r="U62" t="s">
        <v>74</v>
      </c>
      <c r="V62" s="3" t="s">
        <v>8623</v>
      </c>
      <c r="W62" t="s">
        <v>74</v>
      </c>
      <c r="X62" t="s">
        <v>74</v>
      </c>
      <c r="Y62" t="s">
        <v>74</v>
      </c>
      <c r="Z62" t="s">
        <v>74</v>
      </c>
      <c r="AA62" t="s">
        <v>8624</v>
      </c>
      <c r="AB62" t="s">
        <v>8625</v>
      </c>
      <c r="AC62" t="s">
        <v>74</v>
      </c>
      <c r="AD62" t="s">
        <v>74</v>
      </c>
      <c r="AE62" t="s">
        <v>74</v>
      </c>
      <c r="AF62" t="s">
        <v>74</v>
      </c>
      <c r="AG62" t="s">
        <v>74</v>
      </c>
      <c r="AH62" t="s">
        <v>74</v>
      </c>
      <c r="AI62" t="s">
        <v>74</v>
      </c>
      <c r="AJ62" t="s">
        <v>74</v>
      </c>
      <c r="AK62" t="s">
        <v>74</v>
      </c>
      <c r="AL62" t="s">
        <v>74</v>
      </c>
      <c r="AM62" t="s">
        <v>74</v>
      </c>
      <c r="AN62" t="s">
        <v>74</v>
      </c>
      <c r="AO62" t="s">
        <v>767</v>
      </c>
      <c r="AP62" t="s">
        <v>768</v>
      </c>
      <c r="AQ62" t="s">
        <v>74</v>
      </c>
      <c r="AR62" t="s">
        <v>74</v>
      </c>
      <c r="AS62" t="s">
        <v>74</v>
      </c>
      <c r="AT62" t="s">
        <v>175</v>
      </c>
      <c r="AU62">
        <v>2021</v>
      </c>
      <c r="AV62">
        <v>224</v>
      </c>
      <c r="AW62">
        <v>20</v>
      </c>
      <c r="AX62" t="s">
        <v>74</v>
      </c>
      <c r="AY62" t="s">
        <v>74</v>
      </c>
      <c r="AZ62" t="s">
        <v>74</v>
      </c>
      <c r="BA62" t="s">
        <v>74</v>
      </c>
      <c r="BB62" t="s">
        <v>74</v>
      </c>
      <c r="BC62" t="s">
        <v>74</v>
      </c>
      <c r="BD62" t="s">
        <v>8626</v>
      </c>
      <c r="BE62" t="s">
        <v>8627</v>
      </c>
      <c r="BF62" t="str">
        <f>HYPERLINK("http://dx.doi.org/10.1242/jeb.242784","http://dx.doi.org/10.1242/jeb.242784")</f>
        <v>http://dx.doi.org/10.1242/jeb.242784</v>
      </c>
      <c r="BG62" t="s">
        <v>74</v>
      </c>
      <c r="BH62" t="s">
        <v>74</v>
      </c>
      <c r="BI62" t="s">
        <v>74</v>
      </c>
      <c r="BJ62" t="s">
        <v>74</v>
      </c>
      <c r="BK62" t="s">
        <v>74</v>
      </c>
      <c r="BL62" t="s">
        <v>74</v>
      </c>
      <c r="BM62" t="s">
        <v>74</v>
      </c>
      <c r="BN62">
        <v>34605911</v>
      </c>
      <c r="BO62" t="s">
        <v>74</v>
      </c>
      <c r="BP62" t="s">
        <v>74</v>
      </c>
      <c r="BQ62" t="s">
        <v>74</v>
      </c>
      <c r="BR62" t="s">
        <v>74</v>
      </c>
      <c r="BS62" t="s">
        <v>8628</v>
      </c>
      <c r="BT62" t="str">
        <f>HYPERLINK("https%3A%2F%2Fwww.webofscience.com%2Fwos%2Fwoscc%2Ffull-record%2FWOS:000715883300008","View Full Record in Web of Science")</f>
        <v>View Full Record in Web of Science</v>
      </c>
    </row>
    <row r="63" spans="1:72" x14ac:dyDescent="0.4">
      <c r="A63" t="s">
        <v>72</v>
      </c>
      <c r="B63" t="s">
        <v>1403</v>
      </c>
      <c r="C63" t="s">
        <v>74</v>
      </c>
      <c r="D63" t="s">
        <v>74</v>
      </c>
      <c r="E63" t="s">
        <v>74</v>
      </c>
      <c r="F63" t="s">
        <v>1404</v>
      </c>
      <c r="G63" t="s">
        <v>74</v>
      </c>
      <c r="H63" t="s">
        <v>74</v>
      </c>
      <c r="I63" t="s">
        <v>1405</v>
      </c>
      <c r="J63" t="s">
        <v>397</v>
      </c>
      <c r="K63" t="s">
        <v>74</v>
      </c>
      <c r="L63" t="s">
        <v>74</v>
      </c>
      <c r="M63" t="s">
        <v>74</v>
      </c>
      <c r="N63" t="s">
        <v>74</v>
      </c>
      <c r="O63" t="s">
        <v>74</v>
      </c>
      <c r="P63" t="s">
        <v>74</v>
      </c>
      <c r="Q63" t="s">
        <v>74</v>
      </c>
      <c r="R63" t="s">
        <v>74</v>
      </c>
      <c r="S63" t="s">
        <v>74</v>
      </c>
      <c r="T63" t="s">
        <v>74</v>
      </c>
      <c r="U63" t="s">
        <v>74</v>
      </c>
      <c r="V63" s="3" t="s">
        <v>1406</v>
      </c>
      <c r="W63" t="s">
        <v>74</v>
      </c>
      <c r="X63" t="s">
        <v>74</v>
      </c>
      <c r="Y63" t="s">
        <v>74</v>
      </c>
      <c r="Z63" t="s">
        <v>74</v>
      </c>
      <c r="AA63" t="s">
        <v>74</v>
      </c>
      <c r="AB63" t="s">
        <v>1407</v>
      </c>
      <c r="AC63" t="s">
        <v>74</v>
      </c>
      <c r="AD63" t="s">
        <v>74</v>
      </c>
      <c r="AE63" t="s">
        <v>74</v>
      </c>
      <c r="AF63" t="s">
        <v>74</v>
      </c>
      <c r="AG63" t="s">
        <v>74</v>
      </c>
      <c r="AH63" t="s">
        <v>74</v>
      </c>
      <c r="AI63" t="s">
        <v>74</v>
      </c>
      <c r="AJ63" t="s">
        <v>74</v>
      </c>
      <c r="AK63" t="s">
        <v>74</v>
      </c>
      <c r="AL63" t="s">
        <v>74</v>
      </c>
      <c r="AM63" t="s">
        <v>74</v>
      </c>
      <c r="AN63" t="s">
        <v>74</v>
      </c>
      <c r="AO63" t="s">
        <v>401</v>
      </c>
      <c r="AP63" t="s">
        <v>402</v>
      </c>
      <c r="AQ63" t="s">
        <v>74</v>
      </c>
      <c r="AR63" t="s">
        <v>74</v>
      </c>
      <c r="AS63" t="s">
        <v>74</v>
      </c>
      <c r="AT63" t="s">
        <v>204</v>
      </c>
      <c r="AU63">
        <v>2020</v>
      </c>
      <c r="AV63">
        <v>19</v>
      </c>
      <c r="AW63">
        <v>6</v>
      </c>
      <c r="AX63" t="s">
        <v>74</v>
      </c>
      <c r="AY63" t="s">
        <v>74</v>
      </c>
      <c r="AZ63" t="s">
        <v>74</v>
      </c>
      <c r="BA63" t="s">
        <v>74</v>
      </c>
      <c r="BB63" t="s">
        <v>74</v>
      </c>
      <c r="BC63" t="s">
        <v>74</v>
      </c>
      <c r="BD63" t="s">
        <v>1408</v>
      </c>
      <c r="BE63" t="s">
        <v>1409</v>
      </c>
      <c r="BF63" t="str">
        <f>HYPERLINK("http://dx.doi.org/10.1111/gbb.12657","http://dx.doi.org/10.1111/gbb.12657")</f>
        <v>http://dx.doi.org/10.1111/gbb.12657</v>
      </c>
      <c r="BG63" t="s">
        <v>74</v>
      </c>
      <c r="BH63" t="s">
        <v>1410</v>
      </c>
      <c r="BI63" t="s">
        <v>74</v>
      </c>
      <c r="BJ63" t="s">
        <v>74</v>
      </c>
      <c r="BK63" t="s">
        <v>74</v>
      </c>
      <c r="BL63" t="s">
        <v>74</v>
      </c>
      <c r="BM63" t="s">
        <v>74</v>
      </c>
      <c r="BN63">
        <v>32323443</v>
      </c>
      <c r="BO63" t="s">
        <v>74</v>
      </c>
      <c r="BP63" t="s">
        <v>74</v>
      </c>
      <c r="BQ63" t="s">
        <v>74</v>
      </c>
      <c r="BR63" t="s">
        <v>74</v>
      </c>
      <c r="BS63" t="s">
        <v>1411</v>
      </c>
      <c r="BT63" t="str">
        <f>HYPERLINK("https%3A%2F%2Fwww.webofscience.com%2Fwos%2Fwoscc%2Ffull-record%2FWOS:000530887300001","View Full Record in Web of Science")</f>
        <v>View Full Record in Web of Science</v>
      </c>
    </row>
    <row r="64" spans="1:72" x14ac:dyDescent="0.4">
      <c r="A64" t="s">
        <v>72</v>
      </c>
      <c r="B64" t="s">
        <v>8390</v>
      </c>
      <c r="C64" t="s">
        <v>74</v>
      </c>
      <c r="D64" t="s">
        <v>74</v>
      </c>
      <c r="E64" t="s">
        <v>74</v>
      </c>
      <c r="F64" t="s">
        <v>8391</v>
      </c>
      <c r="G64" t="s">
        <v>74</v>
      </c>
      <c r="H64" t="s">
        <v>74</v>
      </c>
      <c r="I64" t="s">
        <v>8392</v>
      </c>
      <c r="J64" t="s">
        <v>140</v>
      </c>
      <c r="K64" t="s">
        <v>74</v>
      </c>
      <c r="L64" t="s">
        <v>74</v>
      </c>
      <c r="M64" t="s">
        <v>74</v>
      </c>
      <c r="N64" t="s">
        <v>74</v>
      </c>
      <c r="O64" t="s">
        <v>74</v>
      </c>
      <c r="P64" t="s">
        <v>74</v>
      </c>
      <c r="Q64" t="s">
        <v>74</v>
      </c>
      <c r="R64" t="s">
        <v>74</v>
      </c>
      <c r="S64" t="s">
        <v>74</v>
      </c>
      <c r="T64" t="s">
        <v>74</v>
      </c>
      <c r="U64" t="s">
        <v>74</v>
      </c>
      <c r="V64" s="3" t="s">
        <v>8393</v>
      </c>
      <c r="W64" t="s">
        <v>74</v>
      </c>
      <c r="X64" t="s">
        <v>74</v>
      </c>
      <c r="Y64" t="s">
        <v>74</v>
      </c>
      <c r="Z64" t="s">
        <v>74</v>
      </c>
      <c r="AA64" t="s">
        <v>8394</v>
      </c>
      <c r="AB64" t="s">
        <v>8395</v>
      </c>
      <c r="AC64" t="s">
        <v>74</v>
      </c>
      <c r="AD64" t="s">
        <v>74</v>
      </c>
      <c r="AE64" t="s">
        <v>74</v>
      </c>
      <c r="AF64" t="s">
        <v>74</v>
      </c>
      <c r="AG64" t="s">
        <v>74</v>
      </c>
      <c r="AH64" t="s">
        <v>74</v>
      </c>
      <c r="AI64" t="s">
        <v>74</v>
      </c>
      <c r="AJ64" t="s">
        <v>74</v>
      </c>
      <c r="AK64" t="s">
        <v>74</v>
      </c>
      <c r="AL64" t="s">
        <v>74</v>
      </c>
      <c r="AM64" t="s">
        <v>74</v>
      </c>
      <c r="AN64" t="s">
        <v>74</v>
      </c>
      <c r="AO64" t="s">
        <v>143</v>
      </c>
      <c r="AP64" t="s">
        <v>144</v>
      </c>
      <c r="AQ64" t="s">
        <v>74</v>
      </c>
      <c r="AR64" t="s">
        <v>74</v>
      </c>
      <c r="AS64" t="s">
        <v>74</v>
      </c>
      <c r="AT64" t="s">
        <v>102</v>
      </c>
      <c r="AU64">
        <v>2020</v>
      </c>
      <c r="AV64">
        <v>164</v>
      </c>
      <c r="AW64" t="s">
        <v>74</v>
      </c>
      <c r="AX64" t="s">
        <v>74</v>
      </c>
      <c r="AY64" t="s">
        <v>74</v>
      </c>
      <c r="AZ64" t="s">
        <v>74</v>
      </c>
      <c r="BA64" t="s">
        <v>74</v>
      </c>
      <c r="BB64">
        <v>91</v>
      </c>
      <c r="BC64">
        <v>98</v>
      </c>
      <c r="BD64" t="s">
        <v>74</v>
      </c>
      <c r="BE64" t="s">
        <v>8396</v>
      </c>
      <c r="BF64" t="str">
        <f>HYPERLINK("http://dx.doi.org/10.1016/j.anbehav.2020.04.002","http://dx.doi.org/10.1016/j.anbehav.2020.04.002")</f>
        <v>http://dx.doi.org/10.1016/j.anbehav.2020.04.002</v>
      </c>
      <c r="BG64" t="s">
        <v>74</v>
      </c>
      <c r="BH64" t="s">
        <v>74</v>
      </c>
      <c r="BI64" t="s">
        <v>74</v>
      </c>
      <c r="BJ64" t="s">
        <v>74</v>
      </c>
      <c r="BK64" t="s">
        <v>74</v>
      </c>
      <c r="BL64" t="s">
        <v>74</v>
      </c>
      <c r="BM64" t="s">
        <v>74</v>
      </c>
      <c r="BN64" t="s">
        <v>74</v>
      </c>
      <c r="BO64" t="s">
        <v>74</v>
      </c>
      <c r="BP64" t="s">
        <v>74</v>
      </c>
      <c r="BQ64" t="s">
        <v>74</v>
      </c>
      <c r="BR64" t="s">
        <v>74</v>
      </c>
      <c r="BS64" t="s">
        <v>8397</v>
      </c>
      <c r="BT64" t="str">
        <f>HYPERLINK("https%3A%2F%2Fwww.webofscience.com%2Fwos%2Fwoscc%2Ffull-record%2FWOS:000539211900009","View Full Record in Web of Science")</f>
        <v>View Full Record in Web of Science</v>
      </c>
    </row>
    <row r="65" spans="1:72" x14ac:dyDescent="0.4">
      <c r="A65" t="s">
        <v>72</v>
      </c>
      <c r="B65" t="s">
        <v>4137</v>
      </c>
      <c r="C65" t="s">
        <v>74</v>
      </c>
      <c r="D65" t="s">
        <v>74</v>
      </c>
      <c r="E65" t="s">
        <v>74</v>
      </c>
      <c r="F65" t="s">
        <v>4137</v>
      </c>
      <c r="G65" t="s">
        <v>74</v>
      </c>
      <c r="H65" t="s">
        <v>74</v>
      </c>
      <c r="I65" t="s">
        <v>4138</v>
      </c>
      <c r="J65" t="s">
        <v>4139</v>
      </c>
      <c r="K65" t="s">
        <v>74</v>
      </c>
      <c r="L65" t="s">
        <v>74</v>
      </c>
      <c r="M65" t="s">
        <v>74</v>
      </c>
      <c r="N65" t="s">
        <v>74</v>
      </c>
      <c r="O65" t="s">
        <v>74</v>
      </c>
      <c r="P65" t="s">
        <v>74</v>
      </c>
      <c r="Q65" t="s">
        <v>74</v>
      </c>
      <c r="R65" t="s">
        <v>74</v>
      </c>
      <c r="S65" t="s">
        <v>74</v>
      </c>
      <c r="T65" t="s">
        <v>74</v>
      </c>
      <c r="U65" t="s">
        <v>74</v>
      </c>
      <c r="V65" s="3" t="s">
        <v>4140</v>
      </c>
      <c r="W65" t="s">
        <v>74</v>
      </c>
      <c r="X65" t="s">
        <v>74</v>
      </c>
      <c r="Y65" t="s">
        <v>74</v>
      </c>
      <c r="Z65" t="s">
        <v>74</v>
      </c>
      <c r="AA65" t="s">
        <v>74</v>
      </c>
      <c r="AB65" t="s">
        <v>74</v>
      </c>
      <c r="AC65" t="s">
        <v>74</v>
      </c>
      <c r="AD65" t="s">
        <v>74</v>
      </c>
      <c r="AE65" t="s">
        <v>74</v>
      </c>
      <c r="AF65" t="s">
        <v>74</v>
      </c>
      <c r="AG65" t="s">
        <v>74</v>
      </c>
      <c r="AH65" t="s">
        <v>74</v>
      </c>
      <c r="AI65" t="s">
        <v>74</v>
      </c>
      <c r="AJ65" t="s">
        <v>74</v>
      </c>
      <c r="AK65" t="s">
        <v>74</v>
      </c>
      <c r="AL65" t="s">
        <v>74</v>
      </c>
      <c r="AM65" t="s">
        <v>74</v>
      </c>
      <c r="AN65" t="s">
        <v>74</v>
      </c>
      <c r="AO65" t="s">
        <v>4141</v>
      </c>
      <c r="AP65" t="s">
        <v>74</v>
      </c>
      <c r="AQ65" t="s">
        <v>74</v>
      </c>
      <c r="AR65" t="s">
        <v>74</v>
      </c>
      <c r="AS65" t="s">
        <v>74</v>
      </c>
      <c r="AT65" t="s">
        <v>74</v>
      </c>
      <c r="AU65">
        <v>1992</v>
      </c>
      <c r="AV65">
        <v>32</v>
      </c>
      <c r="AW65">
        <v>1</v>
      </c>
      <c r="AX65" t="s">
        <v>74</v>
      </c>
      <c r="AY65" t="s">
        <v>74</v>
      </c>
      <c r="AZ65" t="s">
        <v>74</v>
      </c>
      <c r="BA65" t="s">
        <v>74</v>
      </c>
      <c r="BB65">
        <v>91</v>
      </c>
      <c r="BC65">
        <v>99</v>
      </c>
      <c r="BD65" t="s">
        <v>74</v>
      </c>
      <c r="BE65" t="s">
        <v>74</v>
      </c>
      <c r="BF65" t="s">
        <v>74</v>
      </c>
      <c r="BG65" t="s">
        <v>74</v>
      </c>
      <c r="BH65" t="s">
        <v>74</v>
      </c>
      <c r="BI65" t="s">
        <v>74</v>
      </c>
      <c r="BJ65" t="s">
        <v>74</v>
      </c>
      <c r="BK65" t="s">
        <v>74</v>
      </c>
      <c r="BL65" t="s">
        <v>74</v>
      </c>
      <c r="BM65" t="s">
        <v>74</v>
      </c>
      <c r="BN65" t="s">
        <v>74</v>
      </c>
      <c r="BO65" t="s">
        <v>74</v>
      </c>
      <c r="BP65" t="s">
        <v>74</v>
      </c>
      <c r="BQ65" t="s">
        <v>74</v>
      </c>
      <c r="BR65" t="s">
        <v>74</v>
      </c>
      <c r="BS65" t="s">
        <v>4142</v>
      </c>
      <c r="BT65" t="str">
        <f>HYPERLINK("https%3A%2F%2Fwww.webofscience.com%2Fwos%2Fwoscc%2Ffull-record%2FWOS:A1992JK51200010","View Full Record in Web of Science")</f>
        <v>View Full Record in Web of Science</v>
      </c>
    </row>
    <row r="66" spans="1:72" x14ac:dyDescent="0.4">
      <c r="A66" t="s">
        <v>72</v>
      </c>
      <c r="B66" t="s">
        <v>4137</v>
      </c>
      <c r="C66" t="s">
        <v>74</v>
      </c>
      <c r="D66" t="s">
        <v>74</v>
      </c>
      <c r="E66" t="s">
        <v>74</v>
      </c>
      <c r="F66" t="s">
        <v>4137</v>
      </c>
      <c r="G66" t="s">
        <v>74</v>
      </c>
      <c r="H66" t="s">
        <v>74</v>
      </c>
      <c r="I66" t="s">
        <v>7408</v>
      </c>
      <c r="J66" t="s">
        <v>344</v>
      </c>
      <c r="K66" t="s">
        <v>74</v>
      </c>
      <c r="L66" t="s">
        <v>74</v>
      </c>
      <c r="M66" t="s">
        <v>74</v>
      </c>
      <c r="N66" t="s">
        <v>74</v>
      </c>
      <c r="O66" t="s">
        <v>74</v>
      </c>
      <c r="P66" t="s">
        <v>74</v>
      </c>
      <c r="Q66" t="s">
        <v>74</v>
      </c>
      <c r="R66" t="s">
        <v>74</v>
      </c>
      <c r="S66" t="s">
        <v>74</v>
      </c>
      <c r="T66" t="s">
        <v>74</v>
      </c>
      <c r="U66" t="s">
        <v>74</v>
      </c>
      <c r="V66" s="3" t="s">
        <v>7409</v>
      </c>
      <c r="W66" t="s">
        <v>74</v>
      </c>
      <c r="X66" t="s">
        <v>74</v>
      </c>
      <c r="Y66" t="s">
        <v>74</v>
      </c>
      <c r="Z66" t="s">
        <v>74</v>
      </c>
      <c r="AA66" t="s">
        <v>74</v>
      </c>
      <c r="AB66" t="s">
        <v>74</v>
      </c>
      <c r="AC66" t="s">
        <v>74</v>
      </c>
      <c r="AD66" t="s">
        <v>74</v>
      </c>
      <c r="AE66" t="s">
        <v>74</v>
      </c>
      <c r="AF66" t="s">
        <v>74</v>
      </c>
      <c r="AG66" t="s">
        <v>74</v>
      </c>
      <c r="AH66" t="s">
        <v>74</v>
      </c>
      <c r="AI66" t="s">
        <v>74</v>
      </c>
      <c r="AJ66" t="s">
        <v>74</v>
      </c>
      <c r="AK66" t="s">
        <v>74</v>
      </c>
      <c r="AL66" t="s">
        <v>74</v>
      </c>
      <c r="AM66" t="s">
        <v>74</v>
      </c>
      <c r="AN66" t="s">
        <v>74</v>
      </c>
      <c r="AO66" t="s">
        <v>346</v>
      </c>
      <c r="AP66" t="s">
        <v>6569</v>
      </c>
      <c r="AQ66" t="s">
        <v>74</v>
      </c>
      <c r="AR66" t="s">
        <v>74</v>
      </c>
      <c r="AS66" t="s">
        <v>74</v>
      </c>
      <c r="AT66" t="s">
        <v>213</v>
      </c>
      <c r="AU66">
        <v>1987</v>
      </c>
      <c r="AV66">
        <v>20</v>
      </c>
      <c r="AW66">
        <v>3</v>
      </c>
      <c r="AX66" t="s">
        <v>74</v>
      </c>
      <c r="AY66" t="s">
        <v>74</v>
      </c>
      <c r="AZ66" t="s">
        <v>74</v>
      </c>
      <c r="BA66" t="s">
        <v>74</v>
      </c>
      <c r="BB66">
        <v>183</v>
      </c>
      <c r="BC66">
        <v>194</v>
      </c>
      <c r="BD66" t="s">
        <v>74</v>
      </c>
      <c r="BE66" t="s">
        <v>7410</v>
      </c>
      <c r="BF66" t="str">
        <f>HYPERLINK("http://dx.doi.org/10.1007/BF00004953","http://dx.doi.org/10.1007/BF00004953")</f>
        <v>http://dx.doi.org/10.1007/BF00004953</v>
      </c>
      <c r="BG66" t="s">
        <v>74</v>
      </c>
      <c r="BH66" t="s">
        <v>74</v>
      </c>
      <c r="BI66" t="s">
        <v>74</v>
      </c>
      <c r="BJ66" t="s">
        <v>74</v>
      </c>
      <c r="BK66" t="s">
        <v>74</v>
      </c>
      <c r="BL66" t="s">
        <v>74</v>
      </c>
      <c r="BM66" t="s">
        <v>74</v>
      </c>
      <c r="BN66" t="s">
        <v>74</v>
      </c>
      <c r="BO66" t="s">
        <v>74</v>
      </c>
      <c r="BP66" t="s">
        <v>74</v>
      </c>
      <c r="BQ66" t="s">
        <v>74</v>
      </c>
      <c r="BR66" t="s">
        <v>74</v>
      </c>
      <c r="BS66" t="s">
        <v>7411</v>
      </c>
      <c r="BT66" t="str">
        <f>HYPERLINK("https%3A%2F%2Fwww.webofscience.com%2Fwos%2Fwoscc%2Ffull-record%2FWOS:A1987K628700003","View Full Record in Web of Science")</f>
        <v>View Full Record in Web of Science</v>
      </c>
    </row>
    <row r="67" spans="1:72" x14ac:dyDescent="0.4">
      <c r="A67" t="s">
        <v>72</v>
      </c>
      <c r="B67" t="s">
        <v>2808</v>
      </c>
      <c r="C67" t="s">
        <v>74</v>
      </c>
      <c r="D67" t="s">
        <v>74</v>
      </c>
      <c r="E67" t="s">
        <v>74</v>
      </c>
      <c r="F67" t="s">
        <v>2808</v>
      </c>
      <c r="G67" t="s">
        <v>74</v>
      </c>
      <c r="H67" t="s">
        <v>74</v>
      </c>
      <c r="I67" t="s">
        <v>2809</v>
      </c>
      <c r="J67" t="s">
        <v>77</v>
      </c>
      <c r="K67" t="s">
        <v>74</v>
      </c>
      <c r="L67" t="s">
        <v>74</v>
      </c>
      <c r="M67" t="s">
        <v>74</v>
      </c>
      <c r="N67" t="s">
        <v>74</v>
      </c>
      <c r="O67" t="s">
        <v>74</v>
      </c>
      <c r="P67" t="s">
        <v>74</v>
      </c>
      <c r="Q67" t="s">
        <v>74</v>
      </c>
      <c r="R67" t="s">
        <v>74</v>
      </c>
      <c r="S67" t="s">
        <v>74</v>
      </c>
      <c r="T67" t="s">
        <v>74</v>
      </c>
      <c r="U67" t="s">
        <v>74</v>
      </c>
      <c r="V67" s="3" t="s">
        <v>74</v>
      </c>
      <c r="W67" t="s">
        <v>74</v>
      </c>
      <c r="X67" t="s">
        <v>74</v>
      </c>
      <c r="Y67" t="s">
        <v>74</v>
      </c>
      <c r="Z67" t="s">
        <v>74</v>
      </c>
      <c r="AA67" t="s">
        <v>74</v>
      </c>
      <c r="AB67" t="s">
        <v>74</v>
      </c>
      <c r="AC67" t="s">
        <v>74</v>
      </c>
      <c r="AD67" t="s">
        <v>74</v>
      </c>
      <c r="AE67" t="s">
        <v>74</v>
      </c>
      <c r="AF67" t="s">
        <v>74</v>
      </c>
      <c r="AG67" t="s">
        <v>74</v>
      </c>
      <c r="AH67" t="s">
        <v>74</v>
      </c>
      <c r="AI67" t="s">
        <v>74</v>
      </c>
      <c r="AJ67" t="s">
        <v>74</v>
      </c>
      <c r="AK67" t="s">
        <v>74</v>
      </c>
      <c r="AL67" t="s">
        <v>74</v>
      </c>
      <c r="AM67" t="s">
        <v>74</v>
      </c>
      <c r="AN67" t="s">
        <v>74</v>
      </c>
      <c r="AO67" t="s">
        <v>81</v>
      </c>
      <c r="AP67" t="s">
        <v>74</v>
      </c>
      <c r="AQ67" t="s">
        <v>74</v>
      </c>
      <c r="AR67" t="s">
        <v>74</v>
      </c>
      <c r="AS67" t="s">
        <v>74</v>
      </c>
      <c r="AT67" t="s">
        <v>74</v>
      </c>
      <c r="AU67">
        <v>1975</v>
      </c>
      <c r="AV67">
        <v>54</v>
      </c>
      <c r="AW67" t="s">
        <v>74</v>
      </c>
      <c r="AX67" t="s">
        <v>74</v>
      </c>
      <c r="AY67" t="s">
        <v>74</v>
      </c>
      <c r="AZ67" t="s">
        <v>74</v>
      </c>
      <c r="BA67" t="s">
        <v>74</v>
      </c>
      <c r="BB67">
        <v>72</v>
      </c>
      <c r="BC67">
        <v>96</v>
      </c>
      <c r="BD67" t="s">
        <v>74</v>
      </c>
      <c r="BE67" t="s">
        <v>2810</v>
      </c>
      <c r="BF67" t="str">
        <f>HYPERLINK("http://dx.doi.org/10.1163/156853975X00344","http://dx.doi.org/10.1163/156853975X00344")</f>
        <v>http://dx.doi.org/10.1163/156853975X00344</v>
      </c>
      <c r="BG67" t="s">
        <v>74</v>
      </c>
      <c r="BH67" t="s">
        <v>74</v>
      </c>
      <c r="BI67" t="s">
        <v>74</v>
      </c>
      <c r="BJ67" t="s">
        <v>74</v>
      </c>
      <c r="BK67" t="s">
        <v>74</v>
      </c>
      <c r="BL67" t="s">
        <v>74</v>
      </c>
      <c r="BM67" t="s">
        <v>74</v>
      </c>
      <c r="BN67" t="s">
        <v>74</v>
      </c>
      <c r="BO67" t="s">
        <v>74</v>
      </c>
      <c r="BP67" t="s">
        <v>74</v>
      </c>
      <c r="BQ67" t="s">
        <v>74</v>
      </c>
      <c r="BR67" t="s">
        <v>74</v>
      </c>
      <c r="BS67" t="s">
        <v>2811</v>
      </c>
      <c r="BT67" t="str">
        <f>HYPERLINK("https%3A%2F%2Fwww.webofscience.com%2Fwos%2Fwoscc%2Ffull-record%2FWOS:A1975AN77800005","View Full Record in Web of Science")</f>
        <v>View Full Record in Web of Science</v>
      </c>
    </row>
    <row r="68" spans="1:72" x14ac:dyDescent="0.4">
      <c r="A68" t="s">
        <v>72</v>
      </c>
      <c r="B68" t="s">
        <v>1316</v>
      </c>
      <c r="C68" t="s">
        <v>74</v>
      </c>
      <c r="D68" t="s">
        <v>74</v>
      </c>
      <c r="E68" t="s">
        <v>74</v>
      </c>
      <c r="F68" t="s">
        <v>1316</v>
      </c>
      <c r="G68" t="s">
        <v>74</v>
      </c>
      <c r="H68" t="s">
        <v>74</v>
      </c>
      <c r="I68" t="s">
        <v>1317</v>
      </c>
      <c r="J68" t="s">
        <v>77</v>
      </c>
      <c r="K68" t="s">
        <v>74</v>
      </c>
      <c r="L68" t="s">
        <v>74</v>
      </c>
      <c r="M68" t="s">
        <v>74</v>
      </c>
      <c r="N68" t="s">
        <v>74</v>
      </c>
      <c r="O68" t="s">
        <v>74</v>
      </c>
      <c r="P68" t="s">
        <v>74</v>
      </c>
      <c r="Q68" t="s">
        <v>74</v>
      </c>
      <c r="R68" t="s">
        <v>74</v>
      </c>
      <c r="S68" t="s">
        <v>74</v>
      </c>
      <c r="T68" t="s">
        <v>74</v>
      </c>
      <c r="U68" t="s">
        <v>74</v>
      </c>
      <c r="V68" s="3" t="s">
        <v>1318</v>
      </c>
      <c r="W68" t="s">
        <v>74</v>
      </c>
      <c r="X68" t="s">
        <v>74</v>
      </c>
      <c r="Y68" t="s">
        <v>74</v>
      </c>
      <c r="Z68" t="s">
        <v>74</v>
      </c>
      <c r="AA68" t="s">
        <v>74</v>
      </c>
      <c r="AB68" t="s">
        <v>74</v>
      </c>
      <c r="AC68" t="s">
        <v>74</v>
      </c>
      <c r="AD68" t="s">
        <v>74</v>
      </c>
      <c r="AE68" t="s">
        <v>74</v>
      </c>
      <c r="AF68" t="s">
        <v>74</v>
      </c>
      <c r="AG68" t="s">
        <v>74</v>
      </c>
      <c r="AH68" t="s">
        <v>74</v>
      </c>
      <c r="AI68" t="s">
        <v>74</v>
      </c>
      <c r="AJ68" t="s">
        <v>74</v>
      </c>
      <c r="AK68" t="s">
        <v>74</v>
      </c>
      <c r="AL68" t="s">
        <v>74</v>
      </c>
      <c r="AM68" t="s">
        <v>74</v>
      </c>
      <c r="AN68" t="s">
        <v>74</v>
      </c>
      <c r="AO68" t="s">
        <v>81</v>
      </c>
      <c r="AP68" t="s">
        <v>82</v>
      </c>
      <c r="AQ68" t="s">
        <v>74</v>
      </c>
      <c r="AR68" t="s">
        <v>74</v>
      </c>
      <c r="AS68" t="s">
        <v>74</v>
      </c>
      <c r="AT68" t="s">
        <v>74</v>
      </c>
      <c r="AU68">
        <v>1982</v>
      </c>
      <c r="AV68">
        <v>80</v>
      </c>
      <c r="AW68" t="s">
        <v>74</v>
      </c>
      <c r="AX68" t="s">
        <v>1276</v>
      </c>
      <c r="AY68" t="s">
        <v>74</v>
      </c>
      <c r="AZ68" t="s">
        <v>74</v>
      </c>
      <c r="BA68" t="s">
        <v>74</v>
      </c>
      <c r="BB68">
        <v>127</v>
      </c>
      <c r="BC68">
        <v>142</v>
      </c>
      <c r="BD68" t="s">
        <v>74</v>
      </c>
      <c r="BE68" t="s">
        <v>1319</v>
      </c>
      <c r="BF68" t="str">
        <f>HYPERLINK("http://dx.doi.org/10.1163/156853982X00328","http://dx.doi.org/10.1163/156853982X00328")</f>
        <v>http://dx.doi.org/10.1163/156853982X00328</v>
      </c>
      <c r="BG68" t="s">
        <v>74</v>
      </c>
      <c r="BH68" t="s">
        <v>74</v>
      </c>
      <c r="BI68" t="s">
        <v>74</v>
      </c>
      <c r="BJ68" t="s">
        <v>74</v>
      </c>
      <c r="BK68" t="s">
        <v>74</v>
      </c>
      <c r="BL68" t="s">
        <v>74</v>
      </c>
      <c r="BM68" t="s">
        <v>74</v>
      </c>
      <c r="BN68" t="s">
        <v>74</v>
      </c>
      <c r="BO68" t="s">
        <v>74</v>
      </c>
      <c r="BP68" t="s">
        <v>74</v>
      </c>
      <c r="BQ68" t="s">
        <v>74</v>
      </c>
      <c r="BR68" t="s">
        <v>74</v>
      </c>
      <c r="BS68" t="s">
        <v>1320</v>
      </c>
      <c r="BT68" t="str">
        <f>HYPERLINK("https%3A%2F%2Fwww.webofscience.com%2Fwos%2Fwoscc%2Ffull-record%2FWOS:A1982PH83900001","View Full Record in Web of Science")</f>
        <v>View Full Record in Web of Science</v>
      </c>
    </row>
    <row r="69" spans="1:72" x14ac:dyDescent="0.4">
      <c r="A69" t="s">
        <v>72</v>
      </c>
      <c r="B69" t="s">
        <v>4331</v>
      </c>
      <c r="C69" t="s">
        <v>74</v>
      </c>
      <c r="D69" t="s">
        <v>74</v>
      </c>
      <c r="E69" t="s">
        <v>74</v>
      </c>
      <c r="F69" t="s">
        <v>4331</v>
      </c>
      <c r="G69" t="s">
        <v>74</v>
      </c>
      <c r="H69" t="s">
        <v>74</v>
      </c>
      <c r="I69" t="s">
        <v>4332</v>
      </c>
      <c r="J69" t="s">
        <v>4333</v>
      </c>
      <c r="K69" t="s">
        <v>74</v>
      </c>
      <c r="L69" t="s">
        <v>74</v>
      </c>
      <c r="M69" t="s">
        <v>74</v>
      </c>
      <c r="N69" t="s">
        <v>74</v>
      </c>
      <c r="O69" t="s">
        <v>74</v>
      </c>
      <c r="P69" t="s">
        <v>74</v>
      </c>
      <c r="Q69" t="s">
        <v>74</v>
      </c>
      <c r="R69" t="s">
        <v>74</v>
      </c>
      <c r="S69" t="s">
        <v>74</v>
      </c>
      <c r="T69" t="s">
        <v>74</v>
      </c>
      <c r="U69" t="s">
        <v>74</v>
      </c>
      <c r="V69" s="3" t="s">
        <v>4334</v>
      </c>
      <c r="W69" t="s">
        <v>74</v>
      </c>
      <c r="X69" t="s">
        <v>74</v>
      </c>
      <c r="Y69" t="s">
        <v>74</v>
      </c>
      <c r="Z69" t="s">
        <v>74</v>
      </c>
      <c r="AA69" t="s">
        <v>74</v>
      </c>
      <c r="AB69" t="s">
        <v>74</v>
      </c>
      <c r="AC69" t="s">
        <v>74</v>
      </c>
      <c r="AD69" t="s">
        <v>74</v>
      </c>
      <c r="AE69" t="s">
        <v>74</v>
      </c>
      <c r="AF69" t="s">
        <v>74</v>
      </c>
      <c r="AG69" t="s">
        <v>74</v>
      </c>
      <c r="AH69" t="s">
        <v>74</v>
      </c>
      <c r="AI69" t="s">
        <v>74</v>
      </c>
      <c r="AJ69" t="s">
        <v>74</v>
      </c>
      <c r="AK69" t="s">
        <v>74</v>
      </c>
      <c r="AL69" t="s">
        <v>74</v>
      </c>
      <c r="AM69" t="s">
        <v>74</v>
      </c>
      <c r="AN69" t="s">
        <v>74</v>
      </c>
      <c r="AO69" t="s">
        <v>4335</v>
      </c>
      <c r="AP69" t="s">
        <v>74</v>
      </c>
      <c r="AQ69" t="s">
        <v>74</v>
      </c>
      <c r="AR69" t="s">
        <v>74</v>
      </c>
      <c r="AS69" t="s">
        <v>74</v>
      </c>
      <c r="AT69" t="s">
        <v>74</v>
      </c>
      <c r="AU69">
        <v>1984</v>
      </c>
      <c r="AV69">
        <v>9</v>
      </c>
      <c r="AW69">
        <v>2</v>
      </c>
      <c r="AX69" t="s">
        <v>74</v>
      </c>
      <c r="AY69" t="s">
        <v>74</v>
      </c>
      <c r="AZ69" t="s">
        <v>74</v>
      </c>
      <c r="BA69" t="s">
        <v>74</v>
      </c>
      <c r="BB69">
        <v>115</v>
      </c>
      <c r="BC69">
        <v>130</v>
      </c>
      <c r="BD69" t="s">
        <v>74</v>
      </c>
      <c r="BE69" t="s">
        <v>74</v>
      </c>
      <c r="BF69" t="s">
        <v>74</v>
      </c>
      <c r="BG69" t="s">
        <v>74</v>
      </c>
      <c r="BH69" t="s">
        <v>74</v>
      </c>
      <c r="BI69" t="s">
        <v>74</v>
      </c>
      <c r="BJ69" t="s">
        <v>74</v>
      </c>
      <c r="BK69" t="s">
        <v>74</v>
      </c>
      <c r="BL69" t="s">
        <v>74</v>
      </c>
      <c r="BM69" t="s">
        <v>74</v>
      </c>
      <c r="BN69" t="s">
        <v>74</v>
      </c>
      <c r="BO69" t="s">
        <v>74</v>
      </c>
      <c r="BP69" t="s">
        <v>74</v>
      </c>
      <c r="BQ69" t="s">
        <v>74</v>
      </c>
      <c r="BR69" t="s">
        <v>74</v>
      </c>
      <c r="BS69" t="s">
        <v>4336</v>
      </c>
      <c r="BT69" t="str">
        <f>HYPERLINK("https%3A%2F%2Fwww.webofscience.com%2Fwos%2Fwoscc%2Ffull-record%2FWOS:A1984SS90700002","View Full Record in Web of Science")</f>
        <v>View Full Record in Web of Science</v>
      </c>
    </row>
    <row r="70" spans="1:72" x14ac:dyDescent="0.4">
      <c r="A70" t="s">
        <v>72</v>
      </c>
      <c r="B70" t="s">
        <v>6129</v>
      </c>
      <c r="C70" t="s">
        <v>74</v>
      </c>
      <c r="D70" t="s">
        <v>74</v>
      </c>
      <c r="E70" t="s">
        <v>74</v>
      </c>
      <c r="F70" t="s">
        <v>6129</v>
      </c>
      <c r="G70" t="s">
        <v>74</v>
      </c>
      <c r="H70" t="s">
        <v>74</v>
      </c>
      <c r="I70" t="s">
        <v>6130</v>
      </c>
      <c r="J70" t="s">
        <v>129</v>
      </c>
      <c r="K70" t="s">
        <v>74</v>
      </c>
      <c r="L70" t="s">
        <v>74</v>
      </c>
      <c r="M70" t="s">
        <v>74</v>
      </c>
      <c r="N70" t="s">
        <v>74</v>
      </c>
      <c r="O70" t="s">
        <v>74</v>
      </c>
      <c r="P70" t="s">
        <v>74</v>
      </c>
      <c r="Q70" t="s">
        <v>74</v>
      </c>
      <c r="R70" t="s">
        <v>74</v>
      </c>
      <c r="S70" t="s">
        <v>74</v>
      </c>
      <c r="T70" t="s">
        <v>74</v>
      </c>
      <c r="U70" t="s">
        <v>74</v>
      </c>
      <c r="V70" s="3" t="s">
        <v>6131</v>
      </c>
      <c r="W70" t="s">
        <v>74</v>
      </c>
      <c r="X70" t="s">
        <v>74</v>
      </c>
      <c r="Y70" t="s">
        <v>74</v>
      </c>
      <c r="Z70" t="s">
        <v>74</v>
      </c>
      <c r="AA70" t="s">
        <v>74</v>
      </c>
      <c r="AB70" t="s">
        <v>74</v>
      </c>
      <c r="AC70" t="s">
        <v>74</v>
      </c>
      <c r="AD70" t="s">
        <v>74</v>
      </c>
      <c r="AE70" t="s">
        <v>74</v>
      </c>
      <c r="AF70" t="s">
        <v>74</v>
      </c>
      <c r="AG70" t="s">
        <v>74</v>
      </c>
      <c r="AH70" t="s">
        <v>74</v>
      </c>
      <c r="AI70" t="s">
        <v>74</v>
      </c>
      <c r="AJ70" t="s">
        <v>74</v>
      </c>
      <c r="AK70" t="s">
        <v>74</v>
      </c>
      <c r="AL70" t="s">
        <v>74</v>
      </c>
      <c r="AM70" t="s">
        <v>74</v>
      </c>
      <c r="AN70" t="s">
        <v>74</v>
      </c>
      <c r="AO70" t="s">
        <v>132</v>
      </c>
      <c r="AP70" t="s">
        <v>133</v>
      </c>
      <c r="AQ70" t="s">
        <v>74</v>
      </c>
      <c r="AR70" t="s">
        <v>74</v>
      </c>
      <c r="AS70" t="s">
        <v>74</v>
      </c>
      <c r="AT70" t="s">
        <v>74</v>
      </c>
      <c r="AU70">
        <v>1986</v>
      </c>
      <c r="AV70">
        <v>19</v>
      </c>
      <c r="AW70">
        <v>1</v>
      </c>
      <c r="AX70" t="s">
        <v>74</v>
      </c>
      <c r="AY70" t="s">
        <v>74</v>
      </c>
      <c r="AZ70" t="s">
        <v>74</v>
      </c>
      <c r="BA70" t="s">
        <v>74</v>
      </c>
      <c r="BB70">
        <v>1</v>
      </c>
      <c r="BC70">
        <v>8</v>
      </c>
      <c r="BD70" t="s">
        <v>74</v>
      </c>
      <c r="BE70" t="s">
        <v>6132</v>
      </c>
      <c r="BF70" t="str">
        <f>HYPERLINK("http://dx.doi.org/10.1007/BF00303836","http://dx.doi.org/10.1007/BF00303836")</f>
        <v>http://dx.doi.org/10.1007/BF00303836</v>
      </c>
      <c r="BG70" t="s">
        <v>74</v>
      </c>
      <c r="BH70" t="s">
        <v>74</v>
      </c>
      <c r="BI70" t="s">
        <v>74</v>
      </c>
      <c r="BJ70" t="s">
        <v>74</v>
      </c>
      <c r="BK70" t="s">
        <v>74</v>
      </c>
      <c r="BL70" t="s">
        <v>74</v>
      </c>
      <c r="BM70" t="s">
        <v>74</v>
      </c>
      <c r="BN70" t="s">
        <v>74</v>
      </c>
      <c r="BO70" t="s">
        <v>74</v>
      </c>
      <c r="BP70" t="s">
        <v>74</v>
      </c>
      <c r="BQ70" t="s">
        <v>74</v>
      </c>
      <c r="BR70" t="s">
        <v>74</v>
      </c>
      <c r="BS70" t="s">
        <v>6133</v>
      </c>
      <c r="BT70" t="str">
        <f>HYPERLINK("https%3A%2F%2Fwww.webofscience.com%2Fwos%2Fwoscc%2Ffull-record%2FWOS:A1986C822500001","View Full Record in Web of Science")</f>
        <v>View Full Record in Web of Science</v>
      </c>
    </row>
    <row r="71" spans="1:72" x14ac:dyDescent="0.4">
      <c r="A71" t="s">
        <v>72</v>
      </c>
      <c r="B71" t="s">
        <v>3178</v>
      </c>
      <c r="C71" t="s">
        <v>74</v>
      </c>
      <c r="D71" t="s">
        <v>74</v>
      </c>
      <c r="E71" t="s">
        <v>74</v>
      </c>
      <c r="F71" t="s">
        <v>3178</v>
      </c>
      <c r="G71" t="s">
        <v>74</v>
      </c>
      <c r="H71" t="s">
        <v>74</v>
      </c>
      <c r="I71" t="s">
        <v>3179</v>
      </c>
      <c r="J71" t="s">
        <v>77</v>
      </c>
      <c r="K71" t="s">
        <v>74</v>
      </c>
      <c r="L71" t="s">
        <v>74</v>
      </c>
      <c r="M71" t="s">
        <v>74</v>
      </c>
      <c r="N71" t="s">
        <v>74</v>
      </c>
      <c r="O71" t="s">
        <v>74</v>
      </c>
      <c r="P71" t="s">
        <v>74</v>
      </c>
      <c r="Q71" t="s">
        <v>74</v>
      </c>
      <c r="R71" t="s">
        <v>74</v>
      </c>
      <c r="S71" t="s">
        <v>74</v>
      </c>
      <c r="T71" t="s">
        <v>74</v>
      </c>
      <c r="U71" t="s">
        <v>74</v>
      </c>
      <c r="V71" s="3" t="s">
        <v>3180</v>
      </c>
      <c r="W71" t="s">
        <v>74</v>
      </c>
      <c r="X71" t="s">
        <v>74</v>
      </c>
      <c r="Y71" t="s">
        <v>74</v>
      </c>
      <c r="Z71" t="s">
        <v>74</v>
      </c>
      <c r="AA71" t="s">
        <v>74</v>
      </c>
      <c r="AB71" t="s">
        <v>74</v>
      </c>
      <c r="AC71" t="s">
        <v>74</v>
      </c>
      <c r="AD71" t="s">
        <v>74</v>
      </c>
      <c r="AE71" t="s">
        <v>74</v>
      </c>
      <c r="AF71" t="s">
        <v>74</v>
      </c>
      <c r="AG71" t="s">
        <v>74</v>
      </c>
      <c r="AH71" t="s">
        <v>74</v>
      </c>
      <c r="AI71" t="s">
        <v>74</v>
      </c>
      <c r="AJ71" t="s">
        <v>74</v>
      </c>
      <c r="AK71" t="s">
        <v>74</v>
      </c>
      <c r="AL71" t="s">
        <v>74</v>
      </c>
      <c r="AM71" t="s">
        <v>74</v>
      </c>
      <c r="AN71" t="s">
        <v>74</v>
      </c>
      <c r="AO71" t="s">
        <v>81</v>
      </c>
      <c r="AP71" t="s">
        <v>74</v>
      </c>
      <c r="AQ71" t="s">
        <v>74</v>
      </c>
      <c r="AR71" t="s">
        <v>74</v>
      </c>
      <c r="AS71" t="s">
        <v>74</v>
      </c>
      <c r="AT71" t="s">
        <v>145</v>
      </c>
      <c r="AU71">
        <v>1994</v>
      </c>
      <c r="AV71">
        <v>130</v>
      </c>
      <c r="AW71" t="s">
        <v>74</v>
      </c>
      <c r="AX71" t="s">
        <v>548</v>
      </c>
      <c r="AY71" t="s">
        <v>74</v>
      </c>
      <c r="AZ71" t="s">
        <v>74</v>
      </c>
      <c r="BA71" t="s">
        <v>74</v>
      </c>
      <c r="BB71">
        <v>77</v>
      </c>
      <c r="BC71">
        <v>112</v>
      </c>
      <c r="BD71" t="s">
        <v>74</v>
      </c>
      <c r="BE71" t="s">
        <v>3181</v>
      </c>
      <c r="BF71" t="str">
        <f>HYPERLINK("http://dx.doi.org/10.1163/156853994X00154","http://dx.doi.org/10.1163/156853994X00154")</f>
        <v>http://dx.doi.org/10.1163/156853994X00154</v>
      </c>
      <c r="BG71" t="s">
        <v>74</v>
      </c>
      <c r="BH71" t="s">
        <v>74</v>
      </c>
      <c r="BI71" t="s">
        <v>74</v>
      </c>
      <c r="BJ71" t="s">
        <v>74</v>
      </c>
      <c r="BK71" t="s">
        <v>74</v>
      </c>
      <c r="BL71" t="s">
        <v>74</v>
      </c>
      <c r="BM71" t="s">
        <v>74</v>
      </c>
      <c r="BN71" t="s">
        <v>74</v>
      </c>
      <c r="BO71" t="s">
        <v>74</v>
      </c>
      <c r="BP71" t="s">
        <v>74</v>
      </c>
      <c r="BQ71" t="s">
        <v>74</v>
      </c>
      <c r="BR71" t="s">
        <v>74</v>
      </c>
      <c r="BS71" t="s">
        <v>3182</v>
      </c>
      <c r="BT71" t="str">
        <f>HYPERLINK("https%3A%2F%2Fwww.webofscience.com%2Fwos%2Fwoscc%2Ffull-record%2FWOS:A1994PR38500006","View Full Record in Web of Science")</f>
        <v>View Full Record in Web of Science</v>
      </c>
    </row>
    <row r="72" spans="1:72" x14ac:dyDescent="0.4">
      <c r="A72" t="s">
        <v>72</v>
      </c>
      <c r="B72" t="s">
        <v>325</v>
      </c>
      <c r="C72" t="s">
        <v>74</v>
      </c>
      <c r="D72" t="s">
        <v>74</v>
      </c>
      <c r="E72" t="s">
        <v>74</v>
      </c>
      <c r="F72" t="s">
        <v>325</v>
      </c>
      <c r="G72" t="s">
        <v>74</v>
      </c>
      <c r="H72" t="s">
        <v>74</v>
      </c>
      <c r="I72" t="s">
        <v>326</v>
      </c>
      <c r="J72" t="s">
        <v>140</v>
      </c>
      <c r="K72" t="s">
        <v>74</v>
      </c>
      <c r="L72" t="s">
        <v>74</v>
      </c>
      <c r="M72" t="s">
        <v>74</v>
      </c>
      <c r="N72" t="s">
        <v>74</v>
      </c>
      <c r="O72" t="s">
        <v>74</v>
      </c>
      <c r="P72" t="s">
        <v>74</v>
      </c>
      <c r="Q72" t="s">
        <v>74</v>
      </c>
      <c r="R72" t="s">
        <v>74</v>
      </c>
      <c r="S72" t="s">
        <v>74</v>
      </c>
      <c r="T72" t="s">
        <v>74</v>
      </c>
      <c r="U72" t="s">
        <v>74</v>
      </c>
      <c r="V72" s="3" t="s">
        <v>327</v>
      </c>
      <c r="W72" t="s">
        <v>74</v>
      </c>
      <c r="X72" t="s">
        <v>74</v>
      </c>
      <c r="Y72" t="s">
        <v>74</v>
      </c>
      <c r="Z72" t="s">
        <v>74</v>
      </c>
      <c r="AA72" t="s">
        <v>74</v>
      </c>
      <c r="AB72" t="s">
        <v>74</v>
      </c>
      <c r="AC72" t="s">
        <v>74</v>
      </c>
      <c r="AD72" t="s">
        <v>74</v>
      </c>
      <c r="AE72" t="s">
        <v>74</v>
      </c>
      <c r="AF72" t="s">
        <v>74</v>
      </c>
      <c r="AG72" t="s">
        <v>74</v>
      </c>
      <c r="AH72" t="s">
        <v>74</v>
      </c>
      <c r="AI72" t="s">
        <v>74</v>
      </c>
      <c r="AJ72" t="s">
        <v>74</v>
      </c>
      <c r="AK72" t="s">
        <v>74</v>
      </c>
      <c r="AL72" t="s">
        <v>74</v>
      </c>
      <c r="AM72" t="s">
        <v>74</v>
      </c>
      <c r="AN72" t="s">
        <v>74</v>
      </c>
      <c r="AO72" t="s">
        <v>143</v>
      </c>
      <c r="AP72" t="s">
        <v>144</v>
      </c>
      <c r="AQ72" t="s">
        <v>74</v>
      </c>
      <c r="AR72" t="s">
        <v>74</v>
      </c>
      <c r="AS72" t="s">
        <v>74</v>
      </c>
      <c r="AT72" t="s">
        <v>74</v>
      </c>
      <c r="AU72">
        <v>1976</v>
      </c>
      <c r="AV72">
        <v>24</v>
      </c>
      <c r="AW72" t="s">
        <v>213</v>
      </c>
      <c r="AX72" t="s">
        <v>74</v>
      </c>
      <c r="AY72" t="s">
        <v>74</v>
      </c>
      <c r="AZ72" t="s">
        <v>74</v>
      </c>
      <c r="BA72" t="s">
        <v>74</v>
      </c>
      <c r="BB72">
        <v>814</v>
      </c>
      <c r="BC72">
        <v>817</v>
      </c>
      <c r="BD72" t="s">
        <v>74</v>
      </c>
      <c r="BE72" t="s">
        <v>328</v>
      </c>
      <c r="BF72" t="str">
        <f>HYPERLINK("http://dx.doi.org/10.1016/S0003-3472(76)80011-5","http://dx.doi.org/10.1016/S0003-3472(76)80011-5")</f>
        <v>http://dx.doi.org/10.1016/S0003-3472(76)80011-5</v>
      </c>
      <c r="BG72" t="s">
        <v>74</v>
      </c>
      <c r="BH72" t="s">
        <v>74</v>
      </c>
      <c r="BI72" t="s">
        <v>74</v>
      </c>
      <c r="BJ72" t="s">
        <v>74</v>
      </c>
      <c r="BK72" t="s">
        <v>74</v>
      </c>
      <c r="BL72" t="s">
        <v>74</v>
      </c>
      <c r="BM72" t="s">
        <v>74</v>
      </c>
      <c r="BN72" t="s">
        <v>74</v>
      </c>
      <c r="BO72" t="s">
        <v>74</v>
      </c>
      <c r="BP72" t="s">
        <v>74</v>
      </c>
      <c r="BQ72" t="s">
        <v>74</v>
      </c>
      <c r="BR72" t="s">
        <v>74</v>
      </c>
      <c r="BS72" t="s">
        <v>329</v>
      </c>
      <c r="BT72" t="str">
        <f>HYPERLINK("https%3A%2F%2Fwww.webofscience.com%2Fwos%2Fwoscc%2Ffull-record%2FWOS:A1976CN83700010","View Full Record in Web of Science")</f>
        <v>View Full Record in Web of Science</v>
      </c>
    </row>
    <row r="73" spans="1:72" x14ac:dyDescent="0.4">
      <c r="A73" t="s">
        <v>72</v>
      </c>
      <c r="B73" t="s">
        <v>7190</v>
      </c>
      <c r="C73" t="s">
        <v>74</v>
      </c>
      <c r="D73" t="s">
        <v>74</v>
      </c>
      <c r="E73" t="s">
        <v>74</v>
      </c>
      <c r="F73" t="s">
        <v>7191</v>
      </c>
      <c r="G73" t="s">
        <v>74</v>
      </c>
      <c r="H73" t="s">
        <v>74</v>
      </c>
      <c r="I73" t="s">
        <v>7192</v>
      </c>
      <c r="J73" t="s">
        <v>4661</v>
      </c>
      <c r="K73" t="s">
        <v>74</v>
      </c>
      <c r="L73" t="s">
        <v>74</v>
      </c>
      <c r="M73" t="s">
        <v>74</v>
      </c>
      <c r="N73" t="s">
        <v>74</v>
      </c>
      <c r="O73" t="s">
        <v>74</v>
      </c>
      <c r="P73" t="s">
        <v>74</v>
      </c>
      <c r="Q73" t="s">
        <v>74</v>
      </c>
      <c r="R73" t="s">
        <v>74</v>
      </c>
      <c r="S73" t="s">
        <v>74</v>
      </c>
      <c r="T73" t="s">
        <v>74</v>
      </c>
      <c r="U73" t="s">
        <v>74</v>
      </c>
      <c r="V73" s="3" t="s">
        <v>7193</v>
      </c>
      <c r="W73" t="s">
        <v>74</v>
      </c>
      <c r="X73" t="s">
        <v>74</v>
      </c>
      <c r="Y73" t="s">
        <v>74</v>
      </c>
      <c r="Z73" t="s">
        <v>74</v>
      </c>
      <c r="AA73" t="s">
        <v>74</v>
      </c>
      <c r="AB73" t="s">
        <v>74</v>
      </c>
      <c r="AC73" t="s">
        <v>74</v>
      </c>
      <c r="AD73" t="s">
        <v>74</v>
      </c>
      <c r="AE73" t="s">
        <v>74</v>
      </c>
      <c r="AF73" t="s">
        <v>74</v>
      </c>
      <c r="AG73" t="s">
        <v>74</v>
      </c>
      <c r="AH73" t="s">
        <v>74</v>
      </c>
      <c r="AI73" t="s">
        <v>74</v>
      </c>
      <c r="AJ73" t="s">
        <v>74</v>
      </c>
      <c r="AK73" t="s">
        <v>74</v>
      </c>
      <c r="AL73" t="s">
        <v>74</v>
      </c>
      <c r="AM73" t="s">
        <v>74</v>
      </c>
      <c r="AN73" t="s">
        <v>74</v>
      </c>
      <c r="AO73" t="s">
        <v>4663</v>
      </c>
      <c r="AP73" t="s">
        <v>74</v>
      </c>
      <c r="AQ73" t="s">
        <v>74</v>
      </c>
      <c r="AR73" t="s">
        <v>74</v>
      </c>
      <c r="AS73" t="s">
        <v>74</v>
      </c>
      <c r="AT73" t="s">
        <v>74</v>
      </c>
      <c r="AU73">
        <v>2010</v>
      </c>
      <c r="AV73">
        <v>38</v>
      </c>
      <c r="AW73">
        <v>3</v>
      </c>
      <c r="AX73" t="s">
        <v>74</v>
      </c>
      <c r="AY73" t="s">
        <v>74</v>
      </c>
      <c r="AZ73" t="s">
        <v>74</v>
      </c>
      <c r="BA73" t="s">
        <v>74</v>
      </c>
      <c r="BB73">
        <v>485</v>
      </c>
      <c r="BC73">
        <v>494</v>
      </c>
      <c r="BD73" t="s">
        <v>74</v>
      </c>
      <c r="BE73" t="s">
        <v>7194</v>
      </c>
      <c r="BF73" t="str">
        <f>HYPERLINK("http://dx.doi.org/10.1636/B10-05.1","http://dx.doi.org/10.1636/B10-05.1")</f>
        <v>http://dx.doi.org/10.1636/B10-05.1</v>
      </c>
      <c r="BG73" t="s">
        <v>74</v>
      </c>
      <c r="BH73" t="s">
        <v>74</v>
      </c>
      <c r="BI73" t="s">
        <v>74</v>
      </c>
      <c r="BJ73" t="s">
        <v>74</v>
      </c>
      <c r="BK73" t="s">
        <v>74</v>
      </c>
      <c r="BL73" t="s">
        <v>74</v>
      </c>
      <c r="BM73" t="s">
        <v>74</v>
      </c>
      <c r="BN73" t="s">
        <v>74</v>
      </c>
      <c r="BO73" t="s">
        <v>74</v>
      </c>
      <c r="BP73" t="s">
        <v>74</v>
      </c>
      <c r="BQ73" t="s">
        <v>74</v>
      </c>
      <c r="BR73" t="s">
        <v>74</v>
      </c>
      <c r="BS73" t="s">
        <v>7195</v>
      </c>
      <c r="BT73" t="str">
        <f>HYPERLINK("https%3A%2F%2Fwww.webofscience.com%2Fwos%2Fwoscc%2Ffull-record%2FWOS:000297386000013","View Full Record in Web of Science")</f>
        <v>View Full Record in Web of Science</v>
      </c>
    </row>
    <row r="74" spans="1:72" x14ac:dyDescent="0.4">
      <c r="A74" t="s">
        <v>72</v>
      </c>
      <c r="B74" t="s">
        <v>4976</v>
      </c>
      <c r="C74" t="s">
        <v>74</v>
      </c>
      <c r="D74" t="s">
        <v>74</v>
      </c>
      <c r="E74" t="s">
        <v>74</v>
      </c>
      <c r="F74" t="s">
        <v>4977</v>
      </c>
      <c r="G74" t="s">
        <v>74</v>
      </c>
      <c r="H74" t="s">
        <v>74</v>
      </c>
      <c r="I74" t="s">
        <v>4978</v>
      </c>
      <c r="J74" t="s">
        <v>970</v>
      </c>
      <c r="K74" t="s">
        <v>74</v>
      </c>
      <c r="L74" t="s">
        <v>74</v>
      </c>
      <c r="M74" t="s">
        <v>74</v>
      </c>
      <c r="N74" t="s">
        <v>74</v>
      </c>
      <c r="O74" t="s">
        <v>74</v>
      </c>
      <c r="P74" t="s">
        <v>74</v>
      </c>
      <c r="Q74" t="s">
        <v>74</v>
      </c>
      <c r="R74" t="s">
        <v>74</v>
      </c>
      <c r="S74" t="s">
        <v>74</v>
      </c>
      <c r="T74" t="s">
        <v>74</v>
      </c>
      <c r="U74" t="s">
        <v>74</v>
      </c>
      <c r="V74" s="3" t="s">
        <v>4979</v>
      </c>
      <c r="W74" t="s">
        <v>74</v>
      </c>
      <c r="X74" t="s">
        <v>74</v>
      </c>
      <c r="Y74" t="s">
        <v>74</v>
      </c>
      <c r="Z74" t="s">
        <v>74</v>
      </c>
      <c r="AA74" t="s">
        <v>74</v>
      </c>
      <c r="AB74" t="s">
        <v>4980</v>
      </c>
      <c r="AC74" t="s">
        <v>74</v>
      </c>
      <c r="AD74" t="s">
        <v>74</v>
      </c>
      <c r="AE74" t="s">
        <v>74</v>
      </c>
      <c r="AF74" t="s">
        <v>74</v>
      </c>
      <c r="AG74" t="s">
        <v>74</v>
      </c>
      <c r="AH74" t="s">
        <v>74</v>
      </c>
      <c r="AI74" t="s">
        <v>74</v>
      </c>
      <c r="AJ74" t="s">
        <v>74</v>
      </c>
      <c r="AK74" t="s">
        <v>74</v>
      </c>
      <c r="AL74" t="s">
        <v>74</v>
      </c>
      <c r="AM74" t="s">
        <v>74</v>
      </c>
      <c r="AN74" t="s">
        <v>74</v>
      </c>
      <c r="AO74" t="s">
        <v>974</v>
      </c>
      <c r="AP74" t="s">
        <v>975</v>
      </c>
      <c r="AQ74" t="s">
        <v>74</v>
      </c>
      <c r="AR74" t="s">
        <v>74</v>
      </c>
      <c r="AS74" t="s">
        <v>74</v>
      </c>
      <c r="AT74" t="s">
        <v>204</v>
      </c>
      <c r="AU74">
        <v>2021</v>
      </c>
      <c r="AV74">
        <v>162</v>
      </c>
      <c r="AW74">
        <v>3</v>
      </c>
      <c r="AX74" t="s">
        <v>74</v>
      </c>
      <c r="AY74" t="s">
        <v>74</v>
      </c>
      <c r="AZ74" t="s">
        <v>74</v>
      </c>
      <c r="BA74" t="s">
        <v>74</v>
      </c>
      <c r="BB74">
        <v>737</v>
      </c>
      <c r="BC74">
        <v>748</v>
      </c>
      <c r="BD74" t="s">
        <v>74</v>
      </c>
      <c r="BE74" t="s">
        <v>4981</v>
      </c>
      <c r="BF74" t="str">
        <f>HYPERLINK("http://dx.doi.org/10.1007/s10336-021-01864-2","http://dx.doi.org/10.1007/s10336-021-01864-2")</f>
        <v>http://dx.doi.org/10.1007/s10336-021-01864-2</v>
      </c>
      <c r="BG74" t="s">
        <v>74</v>
      </c>
      <c r="BH74" t="s">
        <v>2411</v>
      </c>
      <c r="BI74" t="s">
        <v>74</v>
      </c>
      <c r="BJ74" t="s">
        <v>74</v>
      </c>
      <c r="BK74" t="s">
        <v>74</v>
      </c>
      <c r="BL74" t="s">
        <v>74</v>
      </c>
      <c r="BM74" t="s">
        <v>74</v>
      </c>
      <c r="BN74" t="s">
        <v>74</v>
      </c>
      <c r="BO74" t="s">
        <v>74</v>
      </c>
      <c r="BP74" t="s">
        <v>74</v>
      </c>
      <c r="BQ74" t="s">
        <v>74</v>
      </c>
      <c r="BR74" t="s">
        <v>74</v>
      </c>
      <c r="BS74" t="s">
        <v>4982</v>
      </c>
      <c r="BT74" t="str">
        <f>HYPERLINK("https%3A%2F%2Fwww.webofscience.com%2Fwos%2Fwoscc%2Ffull-record%2FWOS:000619907200001","View Full Record in Web of Science")</f>
        <v>View Full Record in Web of Science</v>
      </c>
    </row>
    <row r="75" spans="1:72" x14ac:dyDescent="0.4">
      <c r="A75" t="s">
        <v>72</v>
      </c>
      <c r="B75" t="s">
        <v>5056</v>
      </c>
      <c r="C75" t="s">
        <v>74</v>
      </c>
      <c r="D75" t="s">
        <v>74</v>
      </c>
      <c r="E75" t="s">
        <v>74</v>
      </c>
      <c r="F75" t="s">
        <v>5057</v>
      </c>
      <c r="G75" t="s">
        <v>74</v>
      </c>
      <c r="H75" t="s">
        <v>74</v>
      </c>
      <c r="I75" t="s">
        <v>5058</v>
      </c>
      <c r="J75" t="s">
        <v>431</v>
      </c>
      <c r="K75" t="s">
        <v>74</v>
      </c>
      <c r="L75" t="s">
        <v>74</v>
      </c>
      <c r="M75" t="s">
        <v>74</v>
      </c>
      <c r="N75" t="s">
        <v>74</v>
      </c>
      <c r="O75" t="s">
        <v>74</v>
      </c>
      <c r="P75" t="s">
        <v>74</v>
      </c>
      <c r="Q75" t="s">
        <v>74</v>
      </c>
      <c r="R75" t="s">
        <v>74</v>
      </c>
      <c r="S75" t="s">
        <v>74</v>
      </c>
      <c r="T75" t="s">
        <v>74</v>
      </c>
      <c r="U75" t="s">
        <v>74</v>
      </c>
      <c r="V75" s="3" t="s">
        <v>5059</v>
      </c>
      <c r="W75" t="s">
        <v>74</v>
      </c>
      <c r="X75" t="s">
        <v>74</v>
      </c>
      <c r="Y75" t="s">
        <v>74</v>
      </c>
      <c r="Z75" t="s">
        <v>74</v>
      </c>
      <c r="AA75" t="s">
        <v>74</v>
      </c>
      <c r="AB75" t="s">
        <v>5060</v>
      </c>
      <c r="AC75" t="s">
        <v>74</v>
      </c>
      <c r="AD75" t="s">
        <v>74</v>
      </c>
      <c r="AE75" t="s">
        <v>74</v>
      </c>
      <c r="AF75" t="s">
        <v>74</v>
      </c>
      <c r="AG75" t="s">
        <v>74</v>
      </c>
      <c r="AH75" t="s">
        <v>74</v>
      </c>
      <c r="AI75" t="s">
        <v>74</v>
      </c>
      <c r="AJ75" t="s">
        <v>74</v>
      </c>
      <c r="AK75" t="s">
        <v>74</v>
      </c>
      <c r="AL75" t="s">
        <v>74</v>
      </c>
      <c r="AM75" t="s">
        <v>74</v>
      </c>
      <c r="AN75" t="s">
        <v>74</v>
      </c>
      <c r="AO75" t="s">
        <v>74</v>
      </c>
      <c r="AP75" t="s">
        <v>435</v>
      </c>
      <c r="AQ75" t="s">
        <v>74</v>
      </c>
      <c r="AR75" t="s">
        <v>74</v>
      </c>
      <c r="AS75" t="s">
        <v>74</v>
      </c>
      <c r="AT75" t="s">
        <v>204</v>
      </c>
      <c r="AU75">
        <v>2016</v>
      </c>
      <c r="AV75">
        <v>133</v>
      </c>
      <c r="AW75">
        <v>3</v>
      </c>
      <c r="AX75" t="s">
        <v>74</v>
      </c>
      <c r="AY75" t="s">
        <v>74</v>
      </c>
      <c r="AZ75" t="s">
        <v>74</v>
      </c>
      <c r="BA75" t="s">
        <v>74</v>
      </c>
      <c r="BB75">
        <v>530</v>
      </c>
      <c r="BC75">
        <v>543</v>
      </c>
      <c r="BD75" t="s">
        <v>74</v>
      </c>
      <c r="BE75" t="s">
        <v>5061</v>
      </c>
      <c r="BF75" t="str">
        <f>HYPERLINK("http://dx.doi.org/10.1642/AUK-15-170.1","http://dx.doi.org/10.1642/AUK-15-170.1")</f>
        <v>http://dx.doi.org/10.1642/AUK-15-170.1</v>
      </c>
      <c r="BG75" t="s">
        <v>74</v>
      </c>
      <c r="BH75" t="s">
        <v>74</v>
      </c>
      <c r="BI75" t="s">
        <v>74</v>
      </c>
      <c r="BJ75" t="s">
        <v>74</v>
      </c>
      <c r="BK75" t="s">
        <v>74</v>
      </c>
      <c r="BL75" t="s">
        <v>74</v>
      </c>
      <c r="BM75" t="s">
        <v>74</v>
      </c>
      <c r="BN75" t="s">
        <v>74</v>
      </c>
      <c r="BO75" t="s">
        <v>74</v>
      </c>
      <c r="BP75" t="s">
        <v>74</v>
      </c>
      <c r="BQ75" t="s">
        <v>74</v>
      </c>
      <c r="BR75" t="s">
        <v>74</v>
      </c>
      <c r="BS75" t="s">
        <v>5062</v>
      </c>
      <c r="BT75" t="str">
        <f>HYPERLINK("https%3A%2F%2Fwww.webofscience.com%2Fwos%2Fwoscc%2Ffull-record%2FWOS:000379663400017","View Full Record in Web of Science")</f>
        <v>View Full Record in Web of Science</v>
      </c>
    </row>
    <row r="76" spans="1:72" x14ac:dyDescent="0.4">
      <c r="A76" t="s">
        <v>72</v>
      </c>
      <c r="B76" t="s">
        <v>4286</v>
      </c>
      <c r="C76" t="s">
        <v>74</v>
      </c>
      <c r="D76" t="s">
        <v>74</v>
      </c>
      <c r="E76" t="s">
        <v>74</v>
      </c>
      <c r="F76" t="s">
        <v>4287</v>
      </c>
      <c r="G76" t="s">
        <v>74</v>
      </c>
      <c r="H76" t="s">
        <v>74</v>
      </c>
      <c r="I76" t="s">
        <v>4288</v>
      </c>
      <c r="J76" t="s">
        <v>814</v>
      </c>
      <c r="K76" t="s">
        <v>74</v>
      </c>
      <c r="L76" t="s">
        <v>74</v>
      </c>
      <c r="M76" t="s">
        <v>74</v>
      </c>
      <c r="N76" t="s">
        <v>74</v>
      </c>
      <c r="O76" t="s">
        <v>74</v>
      </c>
      <c r="P76" t="s">
        <v>74</v>
      </c>
      <c r="Q76" t="s">
        <v>74</v>
      </c>
      <c r="R76" t="s">
        <v>74</v>
      </c>
      <c r="S76" t="s">
        <v>74</v>
      </c>
      <c r="T76" t="s">
        <v>74</v>
      </c>
      <c r="U76" t="s">
        <v>74</v>
      </c>
      <c r="V76" s="3" t="s">
        <v>4289</v>
      </c>
      <c r="W76" t="s">
        <v>74</v>
      </c>
      <c r="X76" t="s">
        <v>74</v>
      </c>
      <c r="Y76" t="s">
        <v>74</v>
      </c>
      <c r="Z76" t="s">
        <v>74</v>
      </c>
      <c r="AA76" t="s">
        <v>4290</v>
      </c>
      <c r="AB76" t="s">
        <v>4291</v>
      </c>
      <c r="AC76" t="s">
        <v>74</v>
      </c>
      <c r="AD76" t="s">
        <v>74</v>
      </c>
      <c r="AE76" t="s">
        <v>74</v>
      </c>
      <c r="AF76" t="s">
        <v>74</v>
      </c>
      <c r="AG76" t="s">
        <v>74</v>
      </c>
      <c r="AH76" t="s">
        <v>74</v>
      </c>
      <c r="AI76" t="s">
        <v>74</v>
      </c>
      <c r="AJ76" t="s">
        <v>74</v>
      </c>
      <c r="AK76" t="s">
        <v>74</v>
      </c>
      <c r="AL76" t="s">
        <v>74</v>
      </c>
      <c r="AM76" t="s">
        <v>74</v>
      </c>
      <c r="AN76" t="s">
        <v>74</v>
      </c>
      <c r="AO76" t="s">
        <v>818</v>
      </c>
      <c r="AP76" t="s">
        <v>74</v>
      </c>
      <c r="AQ76" t="s">
        <v>74</v>
      </c>
      <c r="AR76" t="s">
        <v>74</v>
      </c>
      <c r="AS76" t="s">
        <v>74</v>
      </c>
      <c r="AT76" t="s">
        <v>964</v>
      </c>
      <c r="AU76">
        <v>2011</v>
      </c>
      <c r="AV76">
        <v>114</v>
      </c>
      <c r="AW76">
        <v>1</v>
      </c>
      <c r="AX76" t="s">
        <v>74</v>
      </c>
      <c r="AY76" t="s">
        <v>74</v>
      </c>
      <c r="AZ76" t="s">
        <v>74</v>
      </c>
      <c r="BA76" t="s">
        <v>74</v>
      </c>
      <c r="BB76">
        <v>53</v>
      </c>
      <c r="BC76">
        <v>57</v>
      </c>
      <c r="BD76" t="s">
        <v>74</v>
      </c>
      <c r="BE76" t="s">
        <v>4292</v>
      </c>
      <c r="BF76" t="str">
        <f>HYPERLINK("http://dx.doi.org/10.1016/j.zool.2010.09.001","http://dx.doi.org/10.1016/j.zool.2010.09.001")</f>
        <v>http://dx.doi.org/10.1016/j.zool.2010.09.001</v>
      </c>
      <c r="BG76" t="s">
        <v>74</v>
      </c>
      <c r="BH76" t="s">
        <v>74</v>
      </c>
      <c r="BI76" t="s">
        <v>74</v>
      </c>
      <c r="BJ76" t="s">
        <v>74</v>
      </c>
      <c r="BK76" t="s">
        <v>74</v>
      </c>
      <c r="BL76" t="s">
        <v>74</v>
      </c>
      <c r="BM76" t="s">
        <v>74</v>
      </c>
      <c r="BN76">
        <v>21196103</v>
      </c>
      <c r="BO76" t="s">
        <v>74</v>
      </c>
      <c r="BP76" t="s">
        <v>74</v>
      </c>
      <c r="BQ76" t="s">
        <v>74</v>
      </c>
      <c r="BR76" t="s">
        <v>74</v>
      </c>
      <c r="BS76" t="s">
        <v>4293</v>
      </c>
      <c r="BT76" t="str">
        <f>HYPERLINK("https%3A%2F%2Fwww.webofscience.com%2Fwos%2Fwoscc%2Ffull-record%2FWOS:000289139000007","View Full Record in Web of Science")</f>
        <v>View Full Record in Web of Science</v>
      </c>
    </row>
    <row r="77" spans="1:72" x14ac:dyDescent="0.4">
      <c r="A77" t="s">
        <v>72</v>
      </c>
      <c r="B77" t="s">
        <v>6484</v>
      </c>
      <c r="C77" t="s">
        <v>74</v>
      </c>
      <c r="D77" t="s">
        <v>74</v>
      </c>
      <c r="E77" t="s">
        <v>74</v>
      </c>
      <c r="F77" t="s">
        <v>6485</v>
      </c>
      <c r="G77" t="s">
        <v>74</v>
      </c>
      <c r="H77" t="s">
        <v>74</v>
      </c>
      <c r="I77" t="s">
        <v>6486</v>
      </c>
      <c r="J77" t="s">
        <v>140</v>
      </c>
      <c r="K77" t="s">
        <v>74</v>
      </c>
      <c r="L77" t="s">
        <v>74</v>
      </c>
      <c r="M77" t="s">
        <v>74</v>
      </c>
      <c r="N77" t="s">
        <v>74</v>
      </c>
      <c r="O77" t="s">
        <v>74</v>
      </c>
      <c r="P77" t="s">
        <v>74</v>
      </c>
      <c r="Q77" t="s">
        <v>74</v>
      </c>
      <c r="R77" t="s">
        <v>74</v>
      </c>
      <c r="S77" t="s">
        <v>74</v>
      </c>
      <c r="T77" t="s">
        <v>74</v>
      </c>
      <c r="U77" t="s">
        <v>74</v>
      </c>
      <c r="V77" s="3" t="s">
        <v>6487</v>
      </c>
      <c r="W77" t="s">
        <v>74</v>
      </c>
      <c r="X77" t="s">
        <v>74</v>
      </c>
      <c r="Y77" t="s">
        <v>74</v>
      </c>
      <c r="Z77" t="s">
        <v>74</v>
      </c>
      <c r="AA77" t="s">
        <v>6488</v>
      </c>
      <c r="AB77" t="s">
        <v>6489</v>
      </c>
      <c r="AC77" t="s">
        <v>74</v>
      </c>
      <c r="AD77" t="s">
        <v>74</v>
      </c>
      <c r="AE77" t="s">
        <v>74</v>
      </c>
      <c r="AF77" t="s">
        <v>74</v>
      </c>
      <c r="AG77" t="s">
        <v>74</v>
      </c>
      <c r="AH77" t="s">
        <v>74</v>
      </c>
      <c r="AI77" t="s">
        <v>74</v>
      </c>
      <c r="AJ77" t="s">
        <v>74</v>
      </c>
      <c r="AK77" t="s">
        <v>74</v>
      </c>
      <c r="AL77" t="s">
        <v>74</v>
      </c>
      <c r="AM77" t="s">
        <v>74</v>
      </c>
      <c r="AN77" t="s">
        <v>74</v>
      </c>
      <c r="AO77" t="s">
        <v>143</v>
      </c>
      <c r="AP77" t="s">
        <v>144</v>
      </c>
      <c r="AQ77" t="s">
        <v>74</v>
      </c>
      <c r="AR77" t="s">
        <v>74</v>
      </c>
      <c r="AS77" t="s">
        <v>74</v>
      </c>
      <c r="AT77" t="s">
        <v>964</v>
      </c>
      <c r="AU77">
        <v>2015</v>
      </c>
      <c r="AV77">
        <v>100</v>
      </c>
      <c r="AW77" t="s">
        <v>74</v>
      </c>
      <c r="AX77" t="s">
        <v>74</v>
      </c>
      <c r="AY77" t="s">
        <v>74</v>
      </c>
      <c r="AZ77" t="s">
        <v>74</v>
      </c>
      <c r="BA77" t="s">
        <v>74</v>
      </c>
      <c r="BB77">
        <v>116</v>
      </c>
      <c r="BC77">
        <v>124</v>
      </c>
      <c r="BD77" t="s">
        <v>74</v>
      </c>
      <c r="BE77" t="s">
        <v>6490</v>
      </c>
      <c r="BF77" t="str">
        <f>HYPERLINK("http://dx.doi.org/10.1016/j.anbehav.2014.11.016","http://dx.doi.org/10.1016/j.anbehav.2014.11.016")</f>
        <v>http://dx.doi.org/10.1016/j.anbehav.2014.11.016</v>
      </c>
      <c r="BG77" t="s">
        <v>74</v>
      </c>
      <c r="BH77" t="s">
        <v>74</v>
      </c>
      <c r="BI77" t="s">
        <v>74</v>
      </c>
      <c r="BJ77" t="s">
        <v>74</v>
      </c>
      <c r="BK77" t="s">
        <v>74</v>
      </c>
      <c r="BL77" t="s">
        <v>74</v>
      </c>
      <c r="BM77" t="s">
        <v>74</v>
      </c>
      <c r="BN77" t="s">
        <v>74</v>
      </c>
      <c r="BO77" t="s">
        <v>74</v>
      </c>
      <c r="BP77" t="s">
        <v>74</v>
      </c>
      <c r="BQ77" t="s">
        <v>74</v>
      </c>
      <c r="BR77" t="s">
        <v>74</v>
      </c>
      <c r="BS77" t="s">
        <v>6491</v>
      </c>
      <c r="BT77" t="str">
        <f>HYPERLINK("https%3A%2F%2Fwww.webofscience.com%2Fwos%2Fwoscc%2Ffull-record%2FWOS:000348449000017","View Full Record in Web of Science")</f>
        <v>View Full Record in Web of Science</v>
      </c>
    </row>
    <row r="78" spans="1:72" x14ac:dyDescent="0.4">
      <c r="A78" t="s">
        <v>72</v>
      </c>
      <c r="B78" t="s">
        <v>1800</v>
      </c>
      <c r="C78" t="s">
        <v>74</v>
      </c>
      <c r="D78" t="s">
        <v>74</v>
      </c>
      <c r="E78" t="s">
        <v>74</v>
      </c>
      <c r="F78" t="s">
        <v>1801</v>
      </c>
      <c r="G78" t="s">
        <v>74</v>
      </c>
      <c r="H78" t="s">
        <v>74</v>
      </c>
      <c r="I78" t="s">
        <v>1802</v>
      </c>
      <c r="J78" t="s">
        <v>1803</v>
      </c>
      <c r="K78" t="s">
        <v>74</v>
      </c>
      <c r="L78" t="s">
        <v>74</v>
      </c>
      <c r="M78" t="s">
        <v>74</v>
      </c>
      <c r="N78" t="s">
        <v>74</v>
      </c>
      <c r="O78" t="s">
        <v>74</v>
      </c>
      <c r="P78" t="s">
        <v>74</v>
      </c>
      <c r="Q78" t="s">
        <v>74</v>
      </c>
      <c r="R78" t="s">
        <v>74</v>
      </c>
      <c r="S78" t="s">
        <v>74</v>
      </c>
      <c r="T78" t="s">
        <v>74</v>
      </c>
      <c r="U78" t="s">
        <v>74</v>
      </c>
      <c r="V78" s="3" t="s">
        <v>1804</v>
      </c>
      <c r="W78" t="s">
        <v>74</v>
      </c>
      <c r="X78" t="s">
        <v>74</v>
      </c>
      <c r="Y78" t="s">
        <v>74</v>
      </c>
      <c r="Z78" t="s">
        <v>74</v>
      </c>
      <c r="AA78" t="s">
        <v>1805</v>
      </c>
      <c r="AB78" t="s">
        <v>1806</v>
      </c>
      <c r="AC78" t="s">
        <v>74</v>
      </c>
      <c r="AD78" t="s">
        <v>74</v>
      </c>
      <c r="AE78" t="s">
        <v>74</v>
      </c>
      <c r="AF78" t="s">
        <v>74</v>
      </c>
      <c r="AG78" t="s">
        <v>74</v>
      </c>
      <c r="AH78" t="s">
        <v>74</v>
      </c>
      <c r="AI78" t="s">
        <v>74</v>
      </c>
      <c r="AJ78" t="s">
        <v>74</v>
      </c>
      <c r="AK78" t="s">
        <v>74</v>
      </c>
      <c r="AL78" t="s">
        <v>74</v>
      </c>
      <c r="AM78" t="s">
        <v>74</v>
      </c>
      <c r="AN78" t="s">
        <v>74</v>
      </c>
      <c r="AO78" t="s">
        <v>1807</v>
      </c>
      <c r="AP78" t="s">
        <v>1808</v>
      </c>
      <c r="AQ78" t="s">
        <v>74</v>
      </c>
      <c r="AR78" t="s">
        <v>74</v>
      </c>
      <c r="AS78" t="s">
        <v>74</v>
      </c>
      <c r="AT78" t="s">
        <v>633</v>
      </c>
      <c r="AU78">
        <v>2015</v>
      </c>
      <c r="AV78">
        <v>29</v>
      </c>
      <c r="AW78">
        <v>4</v>
      </c>
      <c r="AX78" t="s">
        <v>74</v>
      </c>
      <c r="AY78" t="s">
        <v>74</v>
      </c>
      <c r="AZ78" t="s">
        <v>74</v>
      </c>
      <c r="BA78" t="s">
        <v>74</v>
      </c>
      <c r="BB78">
        <v>531</v>
      </c>
      <c r="BC78">
        <v>539</v>
      </c>
      <c r="BD78" t="s">
        <v>74</v>
      </c>
      <c r="BE78" t="s">
        <v>1809</v>
      </c>
      <c r="BF78" t="str">
        <f>HYPERLINK("http://dx.doi.org/10.1111/1365-2435.12363","http://dx.doi.org/10.1111/1365-2435.12363")</f>
        <v>http://dx.doi.org/10.1111/1365-2435.12363</v>
      </c>
      <c r="BG78" t="s">
        <v>74</v>
      </c>
      <c r="BH78" t="s">
        <v>74</v>
      </c>
      <c r="BI78" t="s">
        <v>74</v>
      </c>
      <c r="BJ78" t="s">
        <v>74</v>
      </c>
      <c r="BK78" t="s">
        <v>74</v>
      </c>
      <c r="BL78" t="s">
        <v>74</v>
      </c>
      <c r="BM78" t="s">
        <v>74</v>
      </c>
      <c r="BN78" t="s">
        <v>74</v>
      </c>
      <c r="BO78" t="s">
        <v>74</v>
      </c>
      <c r="BP78" t="s">
        <v>74</v>
      </c>
      <c r="BQ78" t="s">
        <v>74</v>
      </c>
      <c r="BR78" t="s">
        <v>74</v>
      </c>
      <c r="BS78" t="s">
        <v>1810</v>
      </c>
      <c r="BT78" t="str">
        <f>HYPERLINK("https%3A%2F%2Fwww.webofscience.com%2Fwos%2Fwoscc%2Ffull-record%2FWOS:000353684800011","View Full Record in Web of Science")</f>
        <v>View Full Record in Web of Science</v>
      </c>
    </row>
    <row r="79" spans="1:72" x14ac:dyDescent="0.4">
      <c r="A79" t="s">
        <v>72</v>
      </c>
      <c r="B79" t="s">
        <v>2979</v>
      </c>
      <c r="C79" t="s">
        <v>74</v>
      </c>
      <c r="D79" t="s">
        <v>74</v>
      </c>
      <c r="E79" t="s">
        <v>74</v>
      </c>
      <c r="F79" t="s">
        <v>2979</v>
      </c>
      <c r="G79" t="s">
        <v>74</v>
      </c>
      <c r="H79" t="s">
        <v>74</v>
      </c>
      <c r="I79" t="s">
        <v>2980</v>
      </c>
      <c r="J79" t="s">
        <v>344</v>
      </c>
      <c r="K79" t="s">
        <v>74</v>
      </c>
      <c r="L79" t="s">
        <v>74</v>
      </c>
      <c r="M79" t="s">
        <v>74</v>
      </c>
      <c r="N79" t="s">
        <v>74</v>
      </c>
      <c r="O79" t="s">
        <v>74</v>
      </c>
      <c r="P79" t="s">
        <v>74</v>
      </c>
      <c r="Q79" t="s">
        <v>74</v>
      </c>
      <c r="R79" t="s">
        <v>74</v>
      </c>
      <c r="S79" t="s">
        <v>74</v>
      </c>
      <c r="T79" t="s">
        <v>74</v>
      </c>
      <c r="U79" t="s">
        <v>74</v>
      </c>
      <c r="V79" s="3" t="s">
        <v>2981</v>
      </c>
      <c r="W79" t="s">
        <v>74</v>
      </c>
      <c r="X79" t="s">
        <v>74</v>
      </c>
      <c r="Y79" t="s">
        <v>74</v>
      </c>
      <c r="Z79" t="s">
        <v>74</v>
      </c>
      <c r="AA79" t="s">
        <v>2982</v>
      </c>
      <c r="AB79" t="s">
        <v>74</v>
      </c>
      <c r="AC79" t="s">
        <v>74</v>
      </c>
      <c r="AD79" t="s">
        <v>74</v>
      </c>
      <c r="AE79" t="s">
        <v>74</v>
      </c>
      <c r="AF79" t="s">
        <v>74</v>
      </c>
      <c r="AG79" t="s">
        <v>74</v>
      </c>
      <c r="AH79" t="s">
        <v>74</v>
      </c>
      <c r="AI79" t="s">
        <v>74</v>
      </c>
      <c r="AJ79" t="s">
        <v>74</v>
      </c>
      <c r="AK79" t="s">
        <v>74</v>
      </c>
      <c r="AL79" t="s">
        <v>74</v>
      </c>
      <c r="AM79" t="s">
        <v>74</v>
      </c>
      <c r="AN79" t="s">
        <v>74</v>
      </c>
      <c r="AO79" t="s">
        <v>346</v>
      </c>
      <c r="AP79" t="s">
        <v>74</v>
      </c>
      <c r="AQ79" t="s">
        <v>74</v>
      </c>
      <c r="AR79" t="s">
        <v>74</v>
      </c>
      <c r="AS79" t="s">
        <v>74</v>
      </c>
      <c r="AT79" t="s">
        <v>305</v>
      </c>
      <c r="AU79">
        <v>1999</v>
      </c>
      <c r="AV79">
        <v>56</v>
      </c>
      <c r="AW79">
        <v>4</v>
      </c>
      <c r="AX79" t="s">
        <v>74</v>
      </c>
      <c r="AY79" t="s">
        <v>74</v>
      </c>
      <c r="AZ79" t="s">
        <v>74</v>
      </c>
      <c r="BA79" t="s">
        <v>74</v>
      </c>
      <c r="BB79">
        <v>429</v>
      </c>
      <c r="BC79">
        <v>442</v>
      </c>
      <c r="BD79" t="s">
        <v>74</v>
      </c>
      <c r="BE79" t="s">
        <v>2983</v>
      </c>
      <c r="BF79" t="str">
        <f>HYPERLINK("http://dx.doi.org/10.1023/A:1007556112449","http://dx.doi.org/10.1023/A:1007556112449")</f>
        <v>http://dx.doi.org/10.1023/A:1007556112449</v>
      </c>
      <c r="BG79" t="s">
        <v>74</v>
      </c>
      <c r="BH79" t="s">
        <v>74</v>
      </c>
      <c r="BI79" t="s">
        <v>74</v>
      </c>
      <c r="BJ79" t="s">
        <v>74</v>
      </c>
      <c r="BK79" t="s">
        <v>74</v>
      </c>
      <c r="BL79" t="s">
        <v>74</v>
      </c>
      <c r="BM79" t="s">
        <v>74</v>
      </c>
      <c r="BN79" t="s">
        <v>74</v>
      </c>
      <c r="BO79" t="s">
        <v>74</v>
      </c>
      <c r="BP79" t="s">
        <v>74</v>
      </c>
      <c r="BQ79" t="s">
        <v>74</v>
      </c>
      <c r="BR79" t="s">
        <v>74</v>
      </c>
      <c r="BS79" t="s">
        <v>2984</v>
      </c>
      <c r="BT79" t="str">
        <f>HYPERLINK("https%3A%2F%2Fwww.webofscience.com%2Fwos%2Fwoscc%2Ffull-record%2FWOS:000084346500010","View Full Record in Web of Science")</f>
        <v>View Full Record in Web of Science</v>
      </c>
    </row>
    <row r="80" spans="1:72" x14ac:dyDescent="0.4">
      <c r="A80" t="s">
        <v>72</v>
      </c>
      <c r="B80" t="s">
        <v>3592</v>
      </c>
      <c r="C80" t="s">
        <v>74</v>
      </c>
      <c r="D80" t="s">
        <v>74</v>
      </c>
      <c r="E80" t="s">
        <v>74</v>
      </c>
      <c r="F80" t="s">
        <v>3593</v>
      </c>
      <c r="G80" t="s">
        <v>74</v>
      </c>
      <c r="H80" t="s">
        <v>74</v>
      </c>
      <c r="I80" t="s">
        <v>3594</v>
      </c>
      <c r="J80" t="s">
        <v>3595</v>
      </c>
      <c r="K80" t="s">
        <v>74</v>
      </c>
      <c r="L80" t="s">
        <v>74</v>
      </c>
      <c r="M80" t="s">
        <v>74</v>
      </c>
      <c r="N80" t="s">
        <v>74</v>
      </c>
      <c r="O80" t="s">
        <v>74</v>
      </c>
      <c r="P80" t="s">
        <v>74</v>
      </c>
      <c r="Q80" t="s">
        <v>74</v>
      </c>
      <c r="R80" t="s">
        <v>74</v>
      </c>
      <c r="S80" t="s">
        <v>74</v>
      </c>
      <c r="T80" t="s">
        <v>74</v>
      </c>
      <c r="U80" t="s">
        <v>74</v>
      </c>
      <c r="V80" s="3" t="s">
        <v>3596</v>
      </c>
      <c r="W80" t="s">
        <v>74</v>
      </c>
      <c r="X80" t="s">
        <v>74</v>
      </c>
      <c r="Y80" t="s">
        <v>74</v>
      </c>
      <c r="Z80" t="s">
        <v>74</v>
      </c>
      <c r="AA80" t="s">
        <v>3597</v>
      </c>
      <c r="AB80" t="s">
        <v>3598</v>
      </c>
      <c r="AC80" t="s">
        <v>74</v>
      </c>
      <c r="AD80" t="s">
        <v>74</v>
      </c>
      <c r="AE80" t="s">
        <v>74</v>
      </c>
      <c r="AF80" t="s">
        <v>74</v>
      </c>
      <c r="AG80" t="s">
        <v>74</v>
      </c>
      <c r="AH80" t="s">
        <v>74</v>
      </c>
      <c r="AI80" t="s">
        <v>74</v>
      </c>
      <c r="AJ80" t="s">
        <v>74</v>
      </c>
      <c r="AK80" t="s">
        <v>74</v>
      </c>
      <c r="AL80" t="s">
        <v>74</v>
      </c>
      <c r="AM80" t="s">
        <v>74</v>
      </c>
      <c r="AN80" t="s">
        <v>74</v>
      </c>
      <c r="AO80" t="s">
        <v>3599</v>
      </c>
      <c r="AP80" t="s">
        <v>3600</v>
      </c>
      <c r="AQ80" t="s">
        <v>74</v>
      </c>
      <c r="AR80" t="s">
        <v>74</v>
      </c>
      <c r="AS80" t="s">
        <v>74</v>
      </c>
      <c r="AT80" t="s">
        <v>255</v>
      </c>
      <c r="AU80">
        <v>2009</v>
      </c>
      <c r="AV80">
        <v>138</v>
      </c>
      <c r="AW80">
        <v>1</v>
      </c>
      <c r="AX80" t="s">
        <v>74</v>
      </c>
      <c r="AY80" t="s">
        <v>74</v>
      </c>
      <c r="AZ80" t="s">
        <v>74</v>
      </c>
      <c r="BA80" t="s">
        <v>74</v>
      </c>
      <c r="BB80">
        <v>1</v>
      </c>
      <c r="BC80">
        <v>10</v>
      </c>
      <c r="BD80" t="s">
        <v>74</v>
      </c>
      <c r="BE80" t="s">
        <v>3601</v>
      </c>
      <c r="BF80" t="str">
        <f>HYPERLINK("http://dx.doi.org/10.1002/ajpa.20868","http://dx.doi.org/10.1002/ajpa.20868")</f>
        <v>http://dx.doi.org/10.1002/ajpa.20868</v>
      </c>
      <c r="BG80" t="s">
        <v>74</v>
      </c>
      <c r="BH80" t="s">
        <v>74</v>
      </c>
      <c r="BI80" t="s">
        <v>74</v>
      </c>
      <c r="BJ80" t="s">
        <v>74</v>
      </c>
      <c r="BK80" t="s">
        <v>74</v>
      </c>
      <c r="BL80" t="s">
        <v>74</v>
      </c>
      <c r="BM80" t="s">
        <v>74</v>
      </c>
      <c r="BN80">
        <v>18615575</v>
      </c>
      <c r="BO80" t="s">
        <v>74</v>
      </c>
      <c r="BP80" t="s">
        <v>74</v>
      </c>
      <c r="BQ80" t="s">
        <v>74</v>
      </c>
      <c r="BR80" t="s">
        <v>74</v>
      </c>
      <c r="BS80" t="s">
        <v>3602</v>
      </c>
      <c r="BT80" t="str">
        <f>HYPERLINK("https%3A%2F%2Fwww.webofscience.com%2Fwos%2Fwoscc%2Ffull-record%2FWOS:000261759100001","View Full Record in Web of Science")</f>
        <v>View Full Record in Web of Science</v>
      </c>
    </row>
    <row r="81" spans="1:72" x14ac:dyDescent="0.4">
      <c r="A81" t="s">
        <v>72</v>
      </c>
      <c r="B81" t="s">
        <v>330</v>
      </c>
      <c r="C81" t="s">
        <v>74</v>
      </c>
      <c r="D81" t="s">
        <v>74</v>
      </c>
      <c r="E81" t="s">
        <v>74</v>
      </c>
      <c r="F81" t="s">
        <v>331</v>
      </c>
      <c r="G81" t="s">
        <v>74</v>
      </c>
      <c r="H81" t="s">
        <v>74</v>
      </c>
      <c r="I81" t="s">
        <v>332</v>
      </c>
      <c r="J81" t="s">
        <v>333</v>
      </c>
      <c r="K81" t="s">
        <v>74</v>
      </c>
      <c r="L81" t="s">
        <v>74</v>
      </c>
      <c r="M81" t="s">
        <v>74</v>
      </c>
      <c r="N81" t="s">
        <v>74</v>
      </c>
      <c r="O81" t="s">
        <v>74</v>
      </c>
      <c r="P81" t="s">
        <v>74</v>
      </c>
      <c r="Q81" t="s">
        <v>74</v>
      </c>
      <c r="R81" t="s">
        <v>74</v>
      </c>
      <c r="S81" t="s">
        <v>74</v>
      </c>
      <c r="T81" t="s">
        <v>74</v>
      </c>
      <c r="U81" t="s">
        <v>74</v>
      </c>
      <c r="V81" s="3" t="s">
        <v>334</v>
      </c>
      <c r="W81" t="s">
        <v>74</v>
      </c>
      <c r="X81" t="s">
        <v>74</v>
      </c>
      <c r="Y81" t="s">
        <v>74</v>
      </c>
      <c r="Z81" t="s">
        <v>74</v>
      </c>
      <c r="AA81" t="s">
        <v>335</v>
      </c>
      <c r="AB81" t="s">
        <v>336</v>
      </c>
      <c r="AC81" t="s">
        <v>74</v>
      </c>
      <c r="AD81" t="s">
        <v>74</v>
      </c>
      <c r="AE81" t="s">
        <v>74</v>
      </c>
      <c r="AF81" t="s">
        <v>74</v>
      </c>
      <c r="AG81" t="s">
        <v>74</v>
      </c>
      <c r="AH81" t="s">
        <v>74</v>
      </c>
      <c r="AI81" t="s">
        <v>74</v>
      </c>
      <c r="AJ81" t="s">
        <v>74</v>
      </c>
      <c r="AK81" t="s">
        <v>74</v>
      </c>
      <c r="AL81" t="s">
        <v>74</v>
      </c>
      <c r="AM81" t="s">
        <v>74</v>
      </c>
      <c r="AN81" t="s">
        <v>74</v>
      </c>
      <c r="AO81" t="s">
        <v>337</v>
      </c>
      <c r="AP81" t="s">
        <v>338</v>
      </c>
      <c r="AQ81" t="s">
        <v>74</v>
      </c>
      <c r="AR81" t="s">
        <v>74</v>
      </c>
      <c r="AS81" t="s">
        <v>74</v>
      </c>
      <c r="AT81" t="s">
        <v>339</v>
      </c>
      <c r="AU81">
        <v>2013</v>
      </c>
      <c r="AV81">
        <v>24</v>
      </c>
      <c r="AW81">
        <v>4</v>
      </c>
      <c r="AX81" t="s">
        <v>74</v>
      </c>
      <c r="AY81" t="s">
        <v>74</v>
      </c>
      <c r="AZ81" t="s">
        <v>74</v>
      </c>
      <c r="BA81" t="s">
        <v>74</v>
      </c>
      <c r="BB81">
        <v>968</v>
      </c>
      <c r="BC81">
        <v>981</v>
      </c>
      <c r="BD81" t="s">
        <v>74</v>
      </c>
      <c r="BE81" t="s">
        <v>340</v>
      </c>
      <c r="BF81" t="str">
        <f>HYPERLINK("http://dx.doi.org/10.1093/beheco/art010","http://dx.doi.org/10.1093/beheco/art010")</f>
        <v>http://dx.doi.org/10.1093/beheco/art010</v>
      </c>
      <c r="BG81" t="s">
        <v>74</v>
      </c>
      <c r="BH81" t="s">
        <v>74</v>
      </c>
      <c r="BI81" t="s">
        <v>74</v>
      </c>
      <c r="BJ81" t="s">
        <v>74</v>
      </c>
      <c r="BK81" t="s">
        <v>74</v>
      </c>
      <c r="BL81" t="s">
        <v>74</v>
      </c>
      <c r="BM81" t="s">
        <v>74</v>
      </c>
      <c r="BN81" t="s">
        <v>74</v>
      </c>
      <c r="BO81" t="s">
        <v>74</v>
      </c>
      <c r="BP81" t="s">
        <v>74</v>
      </c>
      <c r="BQ81" t="s">
        <v>74</v>
      </c>
      <c r="BR81" t="s">
        <v>74</v>
      </c>
      <c r="BS81" t="s">
        <v>341</v>
      </c>
      <c r="BT81" t="str">
        <f>HYPERLINK("https%3A%2F%2Fwww.webofscience.com%2Fwos%2Fwoscc%2Ffull-record%2FWOS:000320409900028","View Full Record in Web of Science")</f>
        <v>View Full Record in Web of Science</v>
      </c>
    </row>
    <row r="82" spans="1:72" x14ac:dyDescent="0.4">
      <c r="A82" t="s">
        <v>72</v>
      </c>
      <c r="B82" t="s">
        <v>791</v>
      </c>
      <c r="C82" t="s">
        <v>74</v>
      </c>
      <c r="D82" t="s">
        <v>74</v>
      </c>
      <c r="E82" t="s">
        <v>74</v>
      </c>
      <c r="F82" t="s">
        <v>792</v>
      </c>
      <c r="G82" t="s">
        <v>74</v>
      </c>
      <c r="H82" t="s">
        <v>74</v>
      </c>
      <c r="I82" t="s">
        <v>793</v>
      </c>
      <c r="J82" t="s">
        <v>763</v>
      </c>
      <c r="K82" t="s">
        <v>74</v>
      </c>
      <c r="L82" t="s">
        <v>74</v>
      </c>
      <c r="M82" t="s">
        <v>74</v>
      </c>
      <c r="N82" t="s">
        <v>74</v>
      </c>
      <c r="O82" t="s">
        <v>74</v>
      </c>
      <c r="P82" t="s">
        <v>74</v>
      </c>
      <c r="Q82" t="s">
        <v>74</v>
      </c>
      <c r="R82" t="s">
        <v>74</v>
      </c>
      <c r="S82" t="s">
        <v>74</v>
      </c>
      <c r="T82" t="s">
        <v>74</v>
      </c>
      <c r="U82" t="s">
        <v>74</v>
      </c>
      <c r="V82" s="3" t="s">
        <v>794</v>
      </c>
      <c r="W82" t="s">
        <v>74</v>
      </c>
      <c r="X82" t="s">
        <v>74</v>
      </c>
      <c r="Y82" t="s">
        <v>74</v>
      </c>
      <c r="Z82" t="s">
        <v>74</v>
      </c>
      <c r="AA82" t="s">
        <v>795</v>
      </c>
      <c r="AB82" t="s">
        <v>796</v>
      </c>
      <c r="AC82" t="s">
        <v>74</v>
      </c>
      <c r="AD82" t="s">
        <v>74</v>
      </c>
      <c r="AE82" t="s">
        <v>74</v>
      </c>
      <c r="AF82" t="s">
        <v>74</v>
      </c>
      <c r="AG82" t="s">
        <v>74</v>
      </c>
      <c r="AH82" t="s">
        <v>74</v>
      </c>
      <c r="AI82" t="s">
        <v>74</v>
      </c>
      <c r="AJ82" t="s">
        <v>74</v>
      </c>
      <c r="AK82" t="s">
        <v>74</v>
      </c>
      <c r="AL82" t="s">
        <v>74</v>
      </c>
      <c r="AM82" t="s">
        <v>74</v>
      </c>
      <c r="AN82" t="s">
        <v>74</v>
      </c>
      <c r="AO82" t="s">
        <v>767</v>
      </c>
      <c r="AP82" t="s">
        <v>768</v>
      </c>
      <c r="AQ82" t="s">
        <v>74</v>
      </c>
      <c r="AR82" t="s">
        <v>74</v>
      </c>
      <c r="AS82" t="s">
        <v>74</v>
      </c>
      <c r="AT82" t="s">
        <v>123</v>
      </c>
      <c r="AU82">
        <v>2018</v>
      </c>
      <c r="AV82">
        <v>221</v>
      </c>
      <c r="AW82">
        <v>5</v>
      </c>
      <c r="AX82" t="s">
        <v>74</v>
      </c>
      <c r="AY82" t="s">
        <v>74</v>
      </c>
      <c r="AZ82" t="s">
        <v>74</v>
      </c>
      <c r="BA82" t="s">
        <v>74</v>
      </c>
      <c r="BB82" t="s">
        <v>74</v>
      </c>
      <c r="BC82" t="s">
        <v>74</v>
      </c>
      <c r="BD82" t="s">
        <v>797</v>
      </c>
      <c r="BE82" t="s">
        <v>798</v>
      </c>
      <c r="BF82" t="str">
        <f>HYPERLINK("http://dx.doi.org/10.1242/jeb.173252","http://dx.doi.org/10.1242/jeb.173252")</f>
        <v>http://dx.doi.org/10.1242/jeb.173252</v>
      </c>
      <c r="BG82" t="s">
        <v>74</v>
      </c>
      <c r="BH82" t="s">
        <v>74</v>
      </c>
      <c r="BI82" t="s">
        <v>74</v>
      </c>
      <c r="BJ82" t="s">
        <v>74</v>
      </c>
      <c r="BK82" t="s">
        <v>74</v>
      </c>
      <c r="BL82" t="s">
        <v>74</v>
      </c>
      <c r="BM82" t="s">
        <v>74</v>
      </c>
      <c r="BN82">
        <v>29361602</v>
      </c>
      <c r="BO82" t="s">
        <v>74</v>
      </c>
      <c r="BP82" t="s">
        <v>74</v>
      </c>
      <c r="BQ82" t="s">
        <v>74</v>
      </c>
      <c r="BR82" t="s">
        <v>74</v>
      </c>
      <c r="BS82" t="s">
        <v>799</v>
      </c>
      <c r="BT82" t="str">
        <f>HYPERLINK("https%3A%2F%2Fwww.webofscience.com%2Fwos%2Fwoscc%2Ffull-record%2FWOS:000427353100021","View Full Record in Web of Science")</f>
        <v>View Full Record in Web of Science</v>
      </c>
    </row>
    <row r="83" spans="1:72" x14ac:dyDescent="0.4">
      <c r="A83" t="s">
        <v>72</v>
      </c>
      <c r="B83" t="s">
        <v>791</v>
      </c>
      <c r="C83" t="s">
        <v>74</v>
      </c>
      <c r="D83" t="s">
        <v>74</v>
      </c>
      <c r="E83" t="s">
        <v>74</v>
      </c>
      <c r="F83" t="s">
        <v>792</v>
      </c>
      <c r="G83" t="s">
        <v>74</v>
      </c>
      <c r="H83" t="s">
        <v>74</v>
      </c>
      <c r="I83" t="s">
        <v>1172</v>
      </c>
      <c r="J83" t="s">
        <v>140</v>
      </c>
      <c r="K83" t="s">
        <v>74</v>
      </c>
      <c r="L83" t="s">
        <v>74</v>
      </c>
      <c r="M83" t="s">
        <v>74</v>
      </c>
      <c r="N83" t="s">
        <v>74</v>
      </c>
      <c r="O83" t="s">
        <v>74</v>
      </c>
      <c r="P83" t="s">
        <v>74</v>
      </c>
      <c r="Q83" t="s">
        <v>74</v>
      </c>
      <c r="R83" t="s">
        <v>74</v>
      </c>
      <c r="S83" t="s">
        <v>74</v>
      </c>
      <c r="T83" t="s">
        <v>74</v>
      </c>
      <c r="U83" t="s">
        <v>74</v>
      </c>
      <c r="V83" s="3" t="s">
        <v>1173</v>
      </c>
      <c r="W83" t="s">
        <v>74</v>
      </c>
      <c r="X83" t="s">
        <v>74</v>
      </c>
      <c r="Y83" t="s">
        <v>74</v>
      </c>
      <c r="Z83" t="s">
        <v>74</v>
      </c>
      <c r="AA83" t="s">
        <v>795</v>
      </c>
      <c r="AB83" t="s">
        <v>796</v>
      </c>
      <c r="AC83" t="s">
        <v>74</v>
      </c>
      <c r="AD83" t="s">
        <v>74</v>
      </c>
      <c r="AE83" t="s">
        <v>74</v>
      </c>
      <c r="AF83" t="s">
        <v>74</v>
      </c>
      <c r="AG83" t="s">
        <v>74</v>
      </c>
      <c r="AH83" t="s">
        <v>74</v>
      </c>
      <c r="AI83" t="s">
        <v>74</v>
      </c>
      <c r="AJ83" t="s">
        <v>74</v>
      </c>
      <c r="AK83" t="s">
        <v>74</v>
      </c>
      <c r="AL83" t="s">
        <v>74</v>
      </c>
      <c r="AM83" t="s">
        <v>74</v>
      </c>
      <c r="AN83" t="s">
        <v>74</v>
      </c>
      <c r="AO83" t="s">
        <v>143</v>
      </c>
      <c r="AP83" t="s">
        <v>144</v>
      </c>
      <c r="AQ83" t="s">
        <v>74</v>
      </c>
      <c r="AR83" t="s">
        <v>74</v>
      </c>
      <c r="AS83" t="s">
        <v>74</v>
      </c>
      <c r="AT83" t="s">
        <v>204</v>
      </c>
      <c r="AU83">
        <v>2017</v>
      </c>
      <c r="AV83">
        <v>129</v>
      </c>
      <c r="AW83" t="s">
        <v>74</v>
      </c>
      <c r="AX83" t="s">
        <v>74</v>
      </c>
      <c r="AY83" t="s">
        <v>74</v>
      </c>
      <c r="AZ83" t="s">
        <v>74</v>
      </c>
      <c r="BA83" t="s">
        <v>74</v>
      </c>
      <c r="BB83">
        <v>229</v>
      </c>
      <c r="BC83">
        <v>236</v>
      </c>
      <c r="BD83" t="s">
        <v>74</v>
      </c>
      <c r="BE83" t="s">
        <v>1174</v>
      </c>
      <c r="BF83" t="str">
        <f>HYPERLINK("http://dx.doi.org/10.1016/j.anbehav.2017.05.018","http://dx.doi.org/10.1016/j.anbehav.2017.05.018")</f>
        <v>http://dx.doi.org/10.1016/j.anbehav.2017.05.018</v>
      </c>
      <c r="BG83" t="s">
        <v>74</v>
      </c>
      <c r="BH83" t="s">
        <v>74</v>
      </c>
      <c r="BI83" t="s">
        <v>74</v>
      </c>
      <c r="BJ83" t="s">
        <v>74</v>
      </c>
      <c r="BK83" t="s">
        <v>74</v>
      </c>
      <c r="BL83" t="s">
        <v>74</v>
      </c>
      <c r="BM83" t="s">
        <v>74</v>
      </c>
      <c r="BN83" t="s">
        <v>74</v>
      </c>
      <c r="BO83" t="s">
        <v>74</v>
      </c>
      <c r="BP83" t="s">
        <v>74</v>
      </c>
      <c r="BQ83" t="s">
        <v>74</v>
      </c>
      <c r="BR83" t="s">
        <v>74</v>
      </c>
      <c r="BS83" t="s">
        <v>1175</v>
      </c>
      <c r="BT83" t="str">
        <f>HYPERLINK("https%3A%2F%2Fwww.webofscience.com%2Fwos%2Fwoscc%2Ffull-record%2FWOS:000405821200025","View Full Record in Web of Science")</f>
        <v>View Full Record in Web of Science</v>
      </c>
    </row>
    <row r="84" spans="1:72" x14ac:dyDescent="0.4">
      <c r="A84" t="s">
        <v>72</v>
      </c>
      <c r="B84" t="s">
        <v>7974</v>
      </c>
      <c r="C84" t="s">
        <v>74</v>
      </c>
      <c r="D84" t="s">
        <v>74</v>
      </c>
      <c r="E84" t="s">
        <v>74</v>
      </c>
      <c r="F84" t="s">
        <v>7975</v>
      </c>
      <c r="G84" t="s">
        <v>74</v>
      </c>
      <c r="H84" t="s">
        <v>74</v>
      </c>
      <c r="I84" t="s">
        <v>7976</v>
      </c>
      <c r="J84" t="s">
        <v>6427</v>
      </c>
      <c r="K84" t="s">
        <v>74</v>
      </c>
      <c r="L84" t="s">
        <v>74</v>
      </c>
      <c r="M84" t="s">
        <v>74</v>
      </c>
      <c r="N84" t="s">
        <v>74</v>
      </c>
      <c r="O84" t="s">
        <v>74</v>
      </c>
      <c r="P84" t="s">
        <v>74</v>
      </c>
      <c r="Q84" t="s">
        <v>74</v>
      </c>
      <c r="R84" t="s">
        <v>74</v>
      </c>
      <c r="S84" t="s">
        <v>74</v>
      </c>
      <c r="T84" t="s">
        <v>74</v>
      </c>
      <c r="U84" t="s">
        <v>74</v>
      </c>
      <c r="V84" s="3" t="s">
        <v>7977</v>
      </c>
      <c r="W84" t="s">
        <v>74</v>
      </c>
      <c r="X84" t="s">
        <v>74</v>
      </c>
      <c r="Y84" t="s">
        <v>74</v>
      </c>
      <c r="Z84" t="s">
        <v>74</v>
      </c>
      <c r="AA84" t="s">
        <v>7978</v>
      </c>
      <c r="AB84" t="s">
        <v>7979</v>
      </c>
      <c r="AC84" t="s">
        <v>74</v>
      </c>
      <c r="AD84" t="s">
        <v>74</v>
      </c>
      <c r="AE84" t="s">
        <v>74</v>
      </c>
      <c r="AF84" t="s">
        <v>74</v>
      </c>
      <c r="AG84" t="s">
        <v>74</v>
      </c>
      <c r="AH84" t="s">
        <v>74</v>
      </c>
      <c r="AI84" t="s">
        <v>74</v>
      </c>
      <c r="AJ84" t="s">
        <v>74</v>
      </c>
      <c r="AK84" t="s">
        <v>74</v>
      </c>
      <c r="AL84" t="s">
        <v>74</v>
      </c>
      <c r="AM84" t="s">
        <v>74</v>
      </c>
      <c r="AN84" t="s">
        <v>74</v>
      </c>
      <c r="AO84" t="s">
        <v>6431</v>
      </c>
      <c r="AP84" t="s">
        <v>74</v>
      </c>
      <c r="AQ84" t="s">
        <v>74</v>
      </c>
      <c r="AR84" t="s">
        <v>74</v>
      </c>
      <c r="AS84" t="s">
        <v>74</v>
      </c>
      <c r="AT84" t="s">
        <v>7980</v>
      </c>
      <c r="AU84">
        <v>2014</v>
      </c>
      <c r="AV84">
        <v>50</v>
      </c>
      <c r="AW84">
        <v>3</v>
      </c>
      <c r="AX84" t="s">
        <v>74</v>
      </c>
      <c r="AY84" t="s">
        <v>74</v>
      </c>
      <c r="AZ84" t="s">
        <v>74</v>
      </c>
      <c r="BA84" t="s">
        <v>74</v>
      </c>
      <c r="BB84">
        <v>155</v>
      </c>
      <c r="BC84">
        <v>171</v>
      </c>
      <c r="BD84" t="s">
        <v>74</v>
      </c>
      <c r="BE84" t="s">
        <v>74</v>
      </c>
      <c r="BF84" t="s">
        <v>74</v>
      </c>
      <c r="BG84" t="s">
        <v>74</v>
      </c>
      <c r="BH84" t="s">
        <v>74</v>
      </c>
      <c r="BI84" t="s">
        <v>74</v>
      </c>
      <c r="BJ84" t="s">
        <v>74</v>
      </c>
      <c r="BK84" t="s">
        <v>74</v>
      </c>
      <c r="BL84" t="s">
        <v>74</v>
      </c>
      <c r="BM84" t="s">
        <v>74</v>
      </c>
      <c r="BN84" t="s">
        <v>74</v>
      </c>
      <c r="BO84" t="s">
        <v>74</v>
      </c>
      <c r="BP84" t="s">
        <v>74</v>
      </c>
      <c r="BQ84" t="s">
        <v>74</v>
      </c>
      <c r="BR84" t="s">
        <v>74</v>
      </c>
      <c r="BS84" t="s">
        <v>7981</v>
      </c>
      <c r="BT84" t="str">
        <f>HYPERLINK("https%3A%2F%2Fwww.webofscience.com%2Fwos%2Fwoscc%2Ffull-record%2FWOS:000344312600005","View Full Record in Web of Science")</f>
        <v>View Full Record in Web of Science</v>
      </c>
    </row>
    <row r="85" spans="1:72" x14ac:dyDescent="0.4">
      <c r="A85" t="s">
        <v>72</v>
      </c>
      <c r="B85" t="s">
        <v>4626</v>
      </c>
      <c r="C85" t="s">
        <v>74</v>
      </c>
      <c r="D85" t="s">
        <v>74</v>
      </c>
      <c r="E85" t="s">
        <v>74</v>
      </c>
      <c r="F85" t="s">
        <v>4627</v>
      </c>
      <c r="G85" t="s">
        <v>74</v>
      </c>
      <c r="H85" t="s">
        <v>74</v>
      </c>
      <c r="I85" t="s">
        <v>4628</v>
      </c>
      <c r="J85" t="s">
        <v>119</v>
      </c>
      <c r="K85" t="s">
        <v>74</v>
      </c>
      <c r="L85" t="s">
        <v>74</v>
      </c>
      <c r="M85" t="s">
        <v>74</v>
      </c>
      <c r="N85" t="s">
        <v>74</v>
      </c>
      <c r="O85" t="s">
        <v>74</v>
      </c>
      <c r="P85" t="s">
        <v>74</v>
      </c>
      <c r="Q85" t="s">
        <v>74</v>
      </c>
      <c r="R85" t="s">
        <v>74</v>
      </c>
      <c r="S85" t="s">
        <v>74</v>
      </c>
      <c r="T85" t="s">
        <v>74</v>
      </c>
      <c r="U85" t="s">
        <v>74</v>
      </c>
      <c r="V85" s="3" t="s">
        <v>4629</v>
      </c>
      <c r="W85" t="s">
        <v>74</v>
      </c>
      <c r="X85" t="s">
        <v>74</v>
      </c>
      <c r="Y85" t="s">
        <v>74</v>
      </c>
      <c r="Z85" t="s">
        <v>74</v>
      </c>
      <c r="AA85" t="s">
        <v>4630</v>
      </c>
      <c r="AB85" t="s">
        <v>4631</v>
      </c>
      <c r="AC85" t="s">
        <v>74</v>
      </c>
      <c r="AD85" t="s">
        <v>74</v>
      </c>
      <c r="AE85" t="s">
        <v>74</v>
      </c>
      <c r="AF85" t="s">
        <v>74</v>
      </c>
      <c r="AG85" t="s">
        <v>74</v>
      </c>
      <c r="AH85" t="s">
        <v>74</v>
      </c>
      <c r="AI85" t="s">
        <v>74</v>
      </c>
      <c r="AJ85" t="s">
        <v>74</v>
      </c>
      <c r="AK85" t="s">
        <v>74</v>
      </c>
      <c r="AL85" t="s">
        <v>74</v>
      </c>
      <c r="AM85" t="s">
        <v>74</v>
      </c>
      <c r="AN85" t="s">
        <v>74</v>
      </c>
      <c r="AO85" t="s">
        <v>121</v>
      </c>
      <c r="AP85" t="s">
        <v>122</v>
      </c>
      <c r="AQ85" t="s">
        <v>74</v>
      </c>
      <c r="AR85" t="s">
        <v>74</v>
      </c>
      <c r="AS85" t="s">
        <v>74</v>
      </c>
      <c r="AT85" t="s">
        <v>134</v>
      </c>
      <c r="AU85">
        <v>2017</v>
      </c>
      <c r="AV85">
        <v>138</v>
      </c>
      <c r="AW85" t="s">
        <v>74</v>
      </c>
      <c r="AX85" t="s">
        <v>74</v>
      </c>
      <c r="AY85" t="s">
        <v>74</v>
      </c>
      <c r="AZ85" t="s">
        <v>74</v>
      </c>
      <c r="BA85" t="s">
        <v>74</v>
      </c>
      <c r="BB85">
        <v>123</v>
      </c>
      <c r="BC85">
        <v>126</v>
      </c>
      <c r="BD85" t="s">
        <v>74</v>
      </c>
      <c r="BE85" t="s">
        <v>4632</v>
      </c>
      <c r="BF85" t="str">
        <f>HYPERLINK("http://dx.doi.org/10.1016/j.beproc.2017.03.001","http://dx.doi.org/10.1016/j.beproc.2017.03.001")</f>
        <v>http://dx.doi.org/10.1016/j.beproc.2017.03.001</v>
      </c>
      <c r="BG85" t="s">
        <v>74</v>
      </c>
      <c r="BH85" t="s">
        <v>74</v>
      </c>
      <c r="BI85" t="s">
        <v>74</v>
      </c>
      <c r="BJ85" t="s">
        <v>74</v>
      </c>
      <c r="BK85" t="s">
        <v>74</v>
      </c>
      <c r="BL85" t="s">
        <v>74</v>
      </c>
      <c r="BM85" t="s">
        <v>74</v>
      </c>
      <c r="BN85">
        <v>28274764</v>
      </c>
      <c r="BO85" t="s">
        <v>74</v>
      </c>
      <c r="BP85" t="s">
        <v>74</v>
      </c>
      <c r="BQ85" t="s">
        <v>74</v>
      </c>
      <c r="BR85" t="s">
        <v>74</v>
      </c>
      <c r="BS85" t="s">
        <v>4633</v>
      </c>
      <c r="BT85" t="str">
        <f>HYPERLINK("https%3A%2F%2Fwww.webofscience.com%2Fwos%2Fwoscc%2Ffull-record%2FWOS:000400878800016","View Full Record in Web of Science")</f>
        <v>View Full Record in Web of Science</v>
      </c>
    </row>
    <row r="86" spans="1:72" x14ac:dyDescent="0.4">
      <c r="A86" t="s">
        <v>72</v>
      </c>
      <c r="B86" t="s">
        <v>6399</v>
      </c>
      <c r="C86" t="s">
        <v>74</v>
      </c>
      <c r="D86" t="s">
        <v>74</v>
      </c>
      <c r="E86" t="s">
        <v>74</v>
      </c>
      <c r="F86" t="s">
        <v>6400</v>
      </c>
      <c r="G86" t="s">
        <v>74</v>
      </c>
      <c r="H86" t="s">
        <v>74</v>
      </c>
      <c r="I86" t="s">
        <v>6401</v>
      </c>
      <c r="J86" t="s">
        <v>6402</v>
      </c>
      <c r="K86" t="s">
        <v>74</v>
      </c>
      <c r="L86" t="s">
        <v>74</v>
      </c>
      <c r="M86" t="s">
        <v>74</v>
      </c>
      <c r="N86" t="s">
        <v>74</v>
      </c>
      <c r="O86" t="s">
        <v>74</v>
      </c>
      <c r="P86" t="s">
        <v>74</v>
      </c>
      <c r="Q86" t="s">
        <v>74</v>
      </c>
      <c r="R86" t="s">
        <v>74</v>
      </c>
      <c r="S86" t="s">
        <v>74</v>
      </c>
      <c r="T86" t="s">
        <v>74</v>
      </c>
      <c r="U86" t="s">
        <v>74</v>
      </c>
      <c r="V86" s="3" t="s">
        <v>6403</v>
      </c>
      <c r="W86" t="s">
        <v>74</v>
      </c>
      <c r="X86" t="s">
        <v>74</v>
      </c>
      <c r="Y86" t="s">
        <v>74</v>
      </c>
      <c r="Z86" t="s">
        <v>74</v>
      </c>
      <c r="AA86" t="s">
        <v>6404</v>
      </c>
      <c r="AB86" t="s">
        <v>6405</v>
      </c>
      <c r="AC86" t="s">
        <v>74</v>
      </c>
      <c r="AD86" t="s">
        <v>74</v>
      </c>
      <c r="AE86" t="s">
        <v>74</v>
      </c>
      <c r="AF86" t="s">
        <v>74</v>
      </c>
      <c r="AG86" t="s">
        <v>74</v>
      </c>
      <c r="AH86" t="s">
        <v>74</v>
      </c>
      <c r="AI86" t="s">
        <v>74</v>
      </c>
      <c r="AJ86" t="s">
        <v>74</v>
      </c>
      <c r="AK86" t="s">
        <v>74</v>
      </c>
      <c r="AL86" t="s">
        <v>74</v>
      </c>
      <c r="AM86" t="s">
        <v>74</v>
      </c>
      <c r="AN86" t="s">
        <v>74</v>
      </c>
      <c r="AO86" t="s">
        <v>6406</v>
      </c>
      <c r="AP86" t="s">
        <v>6407</v>
      </c>
      <c r="AQ86" t="s">
        <v>74</v>
      </c>
      <c r="AR86" t="s">
        <v>74</v>
      </c>
      <c r="AS86" t="s">
        <v>74</v>
      </c>
      <c r="AT86" t="s">
        <v>123</v>
      </c>
      <c r="AU86">
        <v>2014</v>
      </c>
      <c r="AV86">
        <v>169</v>
      </c>
      <c r="AW86" t="s">
        <v>74</v>
      </c>
      <c r="AX86" t="s">
        <v>74</v>
      </c>
      <c r="AY86" t="s">
        <v>74</v>
      </c>
      <c r="AZ86" t="s">
        <v>74</v>
      </c>
      <c r="BA86" t="s">
        <v>74</v>
      </c>
      <c r="BB86">
        <v>25</v>
      </c>
      <c r="BC86">
        <v>32</v>
      </c>
      <c r="BD86" t="s">
        <v>74</v>
      </c>
      <c r="BE86" t="s">
        <v>6408</v>
      </c>
      <c r="BF86" t="str">
        <f>HYPERLINK("http://dx.doi.org/10.1016/j.cbpa.2013.12.001","http://dx.doi.org/10.1016/j.cbpa.2013.12.001")</f>
        <v>http://dx.doi.org/10.1016/j.cbpa.2013.12.001</v>
      </c>
      <c r="BG86" t="s">
        <v>74</v>
      </c>
      <c r="BH86" t="s">
        <v>74</v>
      </c>
      <c r="BI86" t="s">
        <v>74</v>
      </c>
      <c r="BJ86" t="s">
        <v>74</v>
      </c>
      <c r="BK86" t="s">
        <v>74</v>
      </c>
      <c r="BL86" t="s">
        <v>74</v>
      </c>
      <c r="BM86" t="s">
        <v>74</v>
      </c>
      <c r="BN86">
        <v>24326244</v>
      </c>
      <c r="BO86" t="s">
        <v>74</v>
      </c>
      <c r="BP86" t="s">
        <v>74</v>
      </c>
      <c r="BQ86" t="s">
        <v>74</v>
      </c>
      <c r="BR86" t="s">
        <v>74</v>
      </c>
      <c r="BS86" t="s">
        <v>6409</v>
      </c>
      <c r="BT86" t="str">
        <f>HYPERLINK("https%3A%2F%2Fwww.webofscience.com%2Fwos%2Fwoscc%2Ffull-record%2FWOS:000331428700005","View Full Record in Web of Science")</f>
        <v>View Full Record in Web of Science</v>
      </c>
    </row>
    <row r="87" spans="1:72" x14ac:dyDescent="0.4">
      <c r="A87" t="s">
        <v>72</v>
      </c>
      <c r="B87" t="s">
        <v>2188</v>
      </c>
      <c r="C87" t="s">
        <v>74</v>
      </c>
      <c r="D87" t="s">
        <v>74</v>
      </c>
      <c r="E87" t="s">
        <v>74</v>
      </c>
      <c r="F87" t="s">
        <v>2189</v>
      </c>
      <c r="G87" t="s">
        <v>74</v>
      </c>
      <c r="H87" t="s">
        <v>74</v>
      </c>
      <c r="I87" t="s">
        <v>2190</v>
      </c>
      <c r="J87" t="s">
        <v>2191</v>
      </c>
      <c r="K87" t="s">
        <v>74</v>
      </c>
      <c r="L87" t="s">
        <v>74</v>
      </c>
      <c r="M87" t="s">
        <v>74</v>
      </c>
      <c r="N87" t="s">
        <v>74</v>
      </c>
      <c r="O87" t="s">
        <v>74</v>
      </c>
      <c r="P87" t="s">
        <v>74</v>
      </c>
      <c r="Q87" t="s">
        <v>74</v>
      </c>
      <c r="R87" t="s">
        <v>74</v>
      </c>
      <c r="S87" t="s">
        <v>74</v>
      </c>
      <c r="T87" t="s">
        <v>74</v>
      </c>
      <c r="U87" t="s">
        <v>74</v>
      </c>
      <c r="V87" s="3" t="s">
        <v>2192</v>
      </c>
      <c r="W87" t="s">
        <v>74</v>
      </c>
      <c r="X87" t="s">
        <v>74</v>
      </c>
      <c r="Y87" t="s">
        <v>74</v>
      </c>
      <c r="Z87" t="s">
        <v>74</v>
      </c>
      <c r="AA87" t="s">
        <v>74</v>
      </c>
      <c r="AB87" t="s">
        <v>74</v>
      </c>
      <c r="AC87" t="s">
        <v>74</v>
      </c>
      <c r="AD87" t="s">
        <v>74</v>
      </c>
      <c r="AE87" t="s">
        <v>74</v>
      </c>
      <c r="AF87" t="s">
        <v>74</v>
      </c>
      <c r="AG87" t="s">
        <v>74</v>
      </c>
      <c r="AH87" t="s">
        <v>74</v>
      </c>
      <c r="AI87" t="s">
        <v>74</v>
      </c>
      <c r="AJ87" t="s">
        <v>74</v>
      </c>
      <c r="AK87" t="s">
        <v>74</v>
      </c>
      <c r="AL87" t="s">
        <v>74</v>
      </c>
      <c r="AM87" t="s">
        <v>74</v>
      </c>
      <c r="AN87" t="s">
        <v>74</v>
      </c>
      <c r="AO87" t="s">
        <v>2193</v>
      </c>
      <c r="AP87" t="s">
        <v>2194</v>
      </c>
      <c r="AQ87" t="s">
        <v>74</v>
      </c>
      <c r="AR87" t="s">
        <v>74</v>
      </c>
      <c r="AS87" t="s">
        <v>74</v>
      </c>
      <c r="AT87" t="s">
        <v>352</v>
      </c>
      <c r="AU87">
        <v>2014</v>
      </c>
      <c r="AV87">
        <v>62</v>
      </c>
      <c r="AW87" t="s">
        <v>74</v>
      </c>
      <c r="AX87" t="s">
        <v>74</v>
      </c>
      <c r="AY87" t="s">
        <v>74</v>
      </c>
      <c r="AZ87" t="s">
        <v>74</v>
      </c>
      <c r="BA87" t="s">
        <v>74</v>
      </c>
      <c r="BB87">
        <v>49</v>
      </c>
      <c r="BC87">
        <v>53</v>
      </c>
      <c r="BD87" t="s">
        <v>74</v>
      </c>
      <c r="BE87" t="s">
        <v>2195</v>
      </c>
      <c r="BF87" t="str">
        <f>HYPERLINK("http://dx.doi.org/10.1016/j.aquaeng.2014.06.004","http://dx.doi.org/10.1016/j.aquaeng.2014.06.004")</f>
        <v>http://dx.doi.org/10.1016/j.aquaeng.2014.06.004</v>
      </c>
      <c r="BG87" t="s">
        <v>74</v>
      </c>
      <c r="BH87" t="s">
        <v>74</v>
      </c>
      <c r="BI87" t="s">
        <v>74</v>
      </c>
      <c r="BJ87" t="s">
        <v>74</v>
      </c>
      <c r="BK87" t="s">
        <v>74</v>
      </c>
      <c r="BL87" t="s">
        <v>74</v>
      </c>
      <c r="BM87" t="s">
        <v>74</v>
      </c>
      <c r="BN87" t="s">
        <v>74</v>
      </c>
      <c r="BO87" t="s">
        <v>74</v>
      </c>
      <c r="BP87" t="s">
        <v>74</v>
      </c>
      <c r="BQ87" t="s">
        <v>74</v>
      </c>
      <c r="BR87" t="s">
        <v>74</v>
      </c>
      <c r="BS87" t="s">
        <v>2196</v>
      </c>
      <c r="BT87" t="str">
        <f>HYPERLINK("https%3A%2F%2Fwww.webofscience.com%2Fwos%2Fwoscc%2Ffull-record%2FWOS:000342263700007","View Full Record in Web of Science")</f>
        <v>View Full Record in Web of Science</v>
      </c>
    </row>
    <row r="88" spans="1:72" x14ac:dyDescent="0.4">
      <c r="A88" t="s">
        <v>72</v>
      </c>
      <c r="B88" t="s">
        <v>2188</v>
      </c>
      <c r="C88" t="s">
        <v>74</v>
      </c>
      <c r="D88" t="s">
        <v>74</v>
      </c>
      <c r="E88" t="s">
        <v>74</v>
      </c>
      <c r="F88" t="s">
        <v>2189</v>
      </c>
      <c r="G88" t="s">
        <v>74</v>
      </c>
      <c r="H88" t="s">
        <v>74</v>
      </c>
      <c r="I88" t="s">
        <v>8563</v>
      </c>
      <c r="J88" t="s">
        <v>4551</v>
      </c>
      <c r="K88" t="s">
        <v>74</v>
      </c>
      <c r="L88" t="s">
        <v>74</v>
      </c>
      <c r="M88" t="s">
        <v>74</v>
      </c>
      <c r="N88" t="s">
        <v>74</v>
      </c>
      <c r="O88" t="s">
        <v>74</v>
      </c>
      <c r="P88" t="s">
        <v>74</v>
      </c>
      <c r="Q88" t="s">
        <v>74</v>
      </c>
      <c r="R88" t="s">
        <v>74</v>
      </c>
      <c r="S88" t="s">
        <v>74</v>
      </c>
      <c r="T88" t="s">
        <v>74</v>
      </c>
      <c r="U88" t="s">
        <v>74</v>
      </c>
      <c r="V88" s="3" t="s">
        <v>8564</v>
      </c>
      <c r="W88" t="s">
        <v>74</v>
      </c>
      <c r="X88" t="s">
        <v>74</v>
      </c>
      <c r="Y88" t="s">
        <v>74</v>
      </c>
      <c r="Z88" t="s">
        <v>74</v>
      </c>
      <c r="AA88" t="s">
        <v>74</v>
      </c>
      <c r="AB88" t="s">
        <v>74</v>
      </c>
      <c r="AC88" t="s">
        <v>74</v>
      </c>
      <c r="AD88" t="s">
        <v>74</v>
      </c>
      <c r="AE88" t="s">
        <v>74</v>
      </c>
      <c r="AF88" t="s">
        <v>74</v>
      </c>
      <c r="AG88" t="s">
        <v>74</v>
      </c>
      <c r="AH88" t="s">
        <v>74</v>
      </c>
      <c r="AI88" t="s">
        <v>74</v>
      </c>
      <c r="AJ88" t="s">
        <v>74</v>
      </c>
      <c r="AK88" t="s">
        <v>74</v>
      </c>
      <c r="AL88" t="s">
        <v>74</v>
      </c>
      <c r="AM88" t="s">
        <v>74</v>
      </c>
      <c r="AN88" t="s">
        <v>74</v>
      </c>
      <c r="AO88" t="s">
        <v>4555</v>
      </c>
      <c r="AP88" t="s">
        <v>4556</v>
      </c>
      <c r="AQ88" t="s">
        <v>74</v>
      </c>
      <c r="AR88" t="s">
        <v>74</v>
      </c>
      <c r="AS88" t="s">
        <v>74</v>
      </c>
      <c r="AT88" t="s">
        <v>8565</v>
      </c>
      <c r="AU88">
        <v>2012</v>
      </c>
      <c r="AV88">
        <v>370</v>
      </c>
      <c r="AW88" t="s">
        <v>74</v>
      </c>
      <c r="AX88" t="s">
        <v>74</v>
      </c>
      <c r="AY88" t="s">
        <v>74</v>
      </c>
      <c r="AZ88" t="s">
        <v>74</v>
      </c>
      <c r="BA88" t="s">
        <v>74</v>
      </c>
      <c r="BB88">
        <v>54</v>
      </c>
      <c r="BC88">
        <v>60</v>
      </c>
      <c r="BD88" t="s">
        <v>74</v>
      </c>
      <c r="BE88" t="s">
        <v>8566</v>
      </c>
      <c r="BF88" t="str">
        <f>HYPERLINK("http://dx.doi.org/10.1016/j.aquaculture.2012.10.005","http://dx.doi.org/10.1016/j.aquaculture.2012.10.005")</f>
        <v>http://dx.doi.org/10.1016/j.aquaculture.2012.10.005</v>
      </c>
      <c r="BG88" t="s">
        <v>74</v>
      </c>
      <c r="BH88" t="s">
        <v>74</v>
      </c>
      <c r="BI88" t="s">
        <v>74</v>
      </c>
      <c r="BJ88" t="s">
        <v>74</v>
      </c>
      <c r="BK88" t="s">
        <v>74</v>
      </c>
      <c r="BL88" t="s">
        <v>74</v>
      </c>
      <c r="BM88" t="s">
        <v>74</v>
      </c>
      <c r="BN88" t="s">
        <v>74</v>
      </c>
      <c r="BO88" t="s">
        <v>74</v>
      </c>
      <c r="BP88" t="s">
        <v>74</v>
      </c>
      <c r="BQ88" t="s">
        <v>74</v>
      </c>
      <c r="BR88" t="s">
        <v>74</v>
      </c>
      <c r="BS88" t="s">
        <v>8567</v>
      </c>
      <c r="BT88" t="str">
        <f>HYPERLINK("https%3A%2F%2Fwww.webofscience.com%2Fwos%2Fwoscc%2Ffull-record%2FWOS:000311215700008","View Full Record in Web of Science")</f>
        <v>View Full Record in Web of Science</v>
      </c>
    </row>
    <row r="89" spans="1:72" x14ac:dyDescent="0.4">
      <c r="A89" t="s">
        <v>72</v>
      </c>
      <c r="B89" t="s">
        <v>7654</v>
      </c>
      <c r="C89" t="s">
        <v>74</v>
      </c>
      <c r="D89" t="s">
        <v>74</v>
      </c>
      <c r="E89" t="s">
        <v>74</v>
      </c>
      <c r="F89" t="s">
        <v>7654</v>
      </c>
      <c r="G89" t="s">
        <v>74</v>
      </c>
      <c r="H89" t="s">
        <v>74</v>
      </c>
      <c r="I89" t="s">
        <v>7655</v>
      </c>
      <c r="J89" t="s">
        <v>140</v>
      </c>
      <c r="K89" t="s">
        <v>74</v>
      </c>
      <c r="L89" t="s">
        <v>74</v>
      </c>
      <c r="M89" t="s">
        <v>74</v>
      </c>
      <c r="N89" t="s">
        <v>74</v>
      </c>
      <c r="O89" t="s">
        <v>74</v>
      </c>
      <c r="P89" t="s">
        <v>74</v>
      </c>
      <c r="Q89" t="s">
        <v>74</v>
      </c>
      <c r="R89" t="s">
        <v>74</v>
      </c>
      <c r="S89" t="s">
        <v>74</v>
      </c>
      <c r="T89" t="s">
        <v>74</v>
      </c>
      <c r="U89" t="s">
        <v>74</v>
      </c>
      <c r="V89" s="3" t="s">
        <v>7656</v>
      </c>
      <c r="W89" t="s">
        <v>74</v>
      </c>
      <c r="X89" t="s">
        <v>74</v>
      </c>
      <c r="Y89" t="s">
        <v>74</v>
      </c>
      <c r="Z89" t="s">
        <v>74</v>
      </c>
      <c r="AA89" t="s">
        <v>74</v>
      </c>
      <c r="AB89" t="s">
        <v>74</v>
      </c>
      <c r="AC89" t="s">
        <v>74</v>
      </c>
      <c r="AD89" t="s">
        <v>74</v>
      </c>
      <c r="AE89" t="s">
        <v>74</v>
      </c>
      <c r="AF89" t="s">
        <v>74</v>
      </c>
      <c r="AG89" t="s">
        <v>74</v>
      </c>
      <c r="AH89" t="s">
        <v>74</v>
      </c>
      <c r="AI89" t="s">
        <v>74</v>
      </c>
      <c r="AJ89" t="s">
        <v>74</v>
      </c>
      <c r="AK89" t="s">
        <v>74</v>
      </c>
      <c r="AL89" t="s">
        <v>74</v>
      </c>
      <c r="AM89" t="s">
        <v>74</v>
      </c>
      <c r="AN89" t="s">
        <v>74</v>
      </c>
      <c r="AO89" t="s">
        <v>143</v>
      </c>
      <c r="AP89" t="s">
        <v>144</v>
      </c>
      <c r="AQ89" t="s">
        <v>74</v>
      </c>
      <c r="AR89" t="s">
        <v>74</v>
      </c>
      <c r="AS89" t="s">
        <v>74</v>
      </c>
      <c r="AT89" t="s">
        <v>633</v>
      </c>
      <c r="AU89">
        <v>1997</v>
      </c>
      <c r="AV89">
        <v>53</v>
      </c>
      <c r="AW89" t="s">
        <v>74</v>
      </c>
      <c r="AX89">
        <v>4</v>
      </c>
      <c r="AY89" t="s">
        <v>74</v>
      </c>
      <c r="AZ89" t="s">
        <v>74</v>
      </c>
      <c r="BA89" t="s">
        <v>74</v>
      </c>
      <c r="BB89">
        <v>819</v>
      </c>
      <c r="BC89">
        <v>833</v>
      </c>
      <c r="BD89" t="s">
        <v>74</v>
      </c>
      <c r="BE89" t="s">
        <v>7657</v>
      </c>
      <c r="BF89" t="str">
        <f>HYPERLINK("http://dx.doi.org/10.1006/anbe.1996.0347","http://dx.doi.org/10.1006/anbe.1996.0347")</f>
        <v>http://dx.doi.org/10.1006/anbe.1996.0347</v>
      </c>
      <c r="BG89" t="s">
        <v>74</v>
      </c>
      <c r="BH89" t="s">
        <v>74</v>
      </c>
      <c r="BI89" t="s">
        <v>74</v>
      </c>
      <c r="BJ89" t="s">
        <v>74</v>
      </c>
      <c r="BK89" t="s">
        <v>74</v>
      </c>
      <c r="BL89" t="s">
        <v>74</v>
      </c>
      <c r="BM89" t="s">
        <v>74</v>
      </c>
      <c r="BN89" t="s">
        <v>74</v>
      </c>
      <c r="BO89" t="s">
        <v>74</v>
      </c>
      <c r="BP89" t="s">
        <v>74</v>
      </c>
      <c r="BQ89" t="s">
        <v>74</v>
      </c>
      <c r="BR89" t="s">
        <v>74</v>
      </c>
      <c r="BS89" t="s">
        <v>7658</v>
      </c>
      <c r="BT89" t="str">
        <f>HYPERLINK("https%3A%2F%2Fwww.webofscience.com%2Fwos%2Fwoscc%2Ffull-record%2FWOS:A1997WW45300013","View Full Record in Web of Science")</f>
        <v>View Full Record in Web of Science</v>
      </c>
    </row>
    <row r="90" spans="1:72" x14ac:dyDescent="0.4">
      <c r="A90" t="s">
        <v>72</v>
      </c>
      <c r="B90" t="s">
        <v>4103</v>
      </c>
      <c r="C90" t="s">
        <v>74</v>
      </c>
      <c r="D90" t="s">
        <v>74</v>
      </c>
      <c r="E90" t="s">
        <v>74</v>
      </c>
      <c r="F90" t="s">
        <v>4104</v>
      </c>
      <c r="G90" t="s">
        <v>74</v>
      </c>
      <c r="H90" t="s">
        <v>74</v>
      </c>
      <c r="I90" t="s">
        <v>4105</v>
      </c>
      <c r="J90" t="s">
        <v>108</v>
      </c>
      <c r="K90" t="s">
        <v>74</v>
      </c>
      <c r="L90" t="s">
        <v>74</v>
      </c>
      <c r="M90" t="s">
        <v>74</v>
      </c>
      <c r="N90" t="s">
        <v>74</v>
      </c>
      <c r="O90" t="s">
        <v>74</v>
      </c>
      <c r="P90" t="s">
        <v>74</v>
      </c>
      <c r="Q90" t="s">
        <v>74</v>
      </c>
      <c r="R90" t="s">
        <v>74</v>
      </c>
      <c r="S90" t="s">
        <v>74</v>
      </c>
      <c r="T90" t="s">
        <v>74</v>
      </c>
      <c r="U90" t="s">
        <v>74</v>
      </c>
      <c r="V90" s="3" t="s">
        <v>4106</v>
      </c>
      <c r="W90" t="s">
        <v>74</v>
      </c>
      <c r="X90" t="s">
        <v>74</v>
      </c>
      <c r="Y90" t="s">
        <v>74</v>
      </c>
      <c r="Z90" t="s">
        <v>74</v>
      </c>
      <c r="AA90" t="s">
        <v>4107</v>
      </c>
      <c r="AB90" t="s">
        <v>4108</v>
      </c>
      <c r="AC90" t="s">
        <v>74</v>
      </c>
      <c r="AD90" t="s">
        <v>74</v>
      </c>
      <c r="AE90" t="s">
        <v>74</v>
      </c>
      <c r="AF90" t="s">
        <v>74</v>
      </c>
      <c r="AG90" t="s">
        <v>74</v>
      </c>
      <c r="AH90" t="s">
        <v>74</v>
      </c>
      <c r="AI90" t="s">
        <v>74</v>
      </c>
      <c r="AJ90" t="s">
        <v>74</v>
      </c>
      <c r="AK90" t="s">
        <v>74</v>
      </c>
      <c r="AL90" t="s">
        <v>74</v>
      </c>
      <c r="AM90" t="s">
        <v>74</v>
      </c>
      <c r="AN90" t="s">
        <v>74</v>
      </c>
      <c r="AO90" t="s">
        <v>111</v>
      </c>
      <c r="AP90" t="s">
        <v>112</v>
      </c>
      <c r="AQ90" t="s">
        <v>74</v>
      </c>
      <c r="AR90" t="s">
        <v>74</v>
      </c>
      <c r="AS90" t="s">
        <v>74</v>
      </c>
      <c r="AT90" t="s">
        <v>165</v>
      </c>
      <c r="AU90">
        <v>2011</v>
      </c>
      <c r="AV90">
        <v>278</v>
      </c>
      <c r="AW90">
        <v>1719</v>
      </c>
      <c r="AX90" t="s">
        <v>74</v>
      </c>
      <c r="AY90" t="s">
        <v>74</v>
      </c>
      <c r="AZ90" t="s">
        <v>74</v>
      </c>
      <c r="BA90" t="s">
        <v>74</v>
      </c>
      <c r="BB90">
        <v>2806</v>
      </c>
      <c r="BC90">
        <v>2813</v>
      </c>
      <c r="BD90" t="s">
        <v>74</v>
      </c>
      <c r="BE90" t="s">
        <v>4109</v>
      </c>
      <c r="BF90" t="str">
        <f>HYPERLINK("http://dx.doi.org/10.1098/rspb.2010.2659","http://dx.doi.org/10.1098/rspb.2010.2659")</f>
        <v>http://dx.doi.org/10.1098/rspb.2010.2659</v>
      </c>
      <c r="BG90" t="s">
        <v>74</v>
      </c>
      <c r="BH90" t="s">
        <v>74</v>
      </c>
      <c r="BI90" t="s">
        <v>74</v>
      </c>
      <c r="BJ90" t="s">
        <v>74</v>
      </c>
      <c r="BK90" t="s">
        <v>74</v>
      </c>
      <c r="BL90" t="s">
        <v>74</v>
      </c>
      <c r="BM90" t="s">
        <v>74</v>
      </c>
      <c r="BN90">
        <v>21288951</v>
      </c>
      <c r="BO90" t="s">
        <v>74</v>
      </c>
      <c r="BP90" t="s">
        <v>74</v>
      </c>
      <c r="BQ90" t="s">
        <v>74</v>
      </c>
      <c r="BR90" t="s">
        <v>74</v>
      </c>
      <c r="BS90" t="s">
        <v>4110</v>
      </c>
      <c r="BT90" t="str">
        <f>HYPERLINK("https%3A%2F%2Fwww.webofscience.com%2Fwos%2Fwoscc%2Ffull-record%2FWOS:000293733600015","View Full Record in Web of Science")</f>
        <v>View Full Record in Web of Science</v>
      </c>
    </row>
    <row r="91" spans="1:72" x14ac:dyDescent="0.4">
      <c r="A91" t="s">
        <v>72</v>
      </c>
      <c r="B91" t="s">
        <v>7085</v>
      </c>
      <c r="C91" t="s">
        <v>74</v>
      </c>
      <c r="D91" t="s">
        <v>74</v>
      </c>
      <c r="E91" t="s">
        <v>74</v>
      </c>
      <c r="F91" t="s">
        <v>7086</v>
      </c>
      <c r="G91" t="s">
        <v>74</v>
      </c>
      <c r="H91" t="s">
        <v>74</v>
      </c>
      <c r="I91" t="s">
        <v>7087</v>
      </c>
      <c r="J91" t="s">
        <v>7088</v>
      </c>
      <c r="K91" t="s">
        <v>74</v>
      </c>
      <c r="L91" t="s">
        <v>74</v>
      </c>
      <c r="M91" t="s">
        <v>74</v>
      </c>
      <c r="N91" t="s">
        <v>74</v>
      </c>
      <c r="O91" t="s">
        <v>74</v>
      </c>
      <c r="P91" t="s">
        <v>74</v>
      </c>
      <c r="Q91" t="s">
        <v>74</v>
      </c>
      <c r="R91" t="s">
        <v>74</v>
      </c>
      <c r="S91" t="s">
        <v>74</v>
      </c>
      <c r="T91" t="s">
        <v>74</v>
      </c>
      <c r="U91" t="s">
        <v>74</v>
      </c>
      <c r="V91" s="3" t="s">
        <v>7089</v>
      </c>
      <c r="W91" t="s">
        <v>74</v>
      </c>
      <c r="X91" t="s">
        <v>74</v>
      </c>
      <c r="Y91" t="s">
        <v>74</v>
      </c>
      <c r="Z91" t="s">
        <v>74</v>
      </c>
      <c r="AA91" t="s">
        <v>74</v>
      </c>
      <c r="AB91" t="s">
        <v>74</v>
      </c>
      <c r="AC91" t="s">
        <v>74</v>
      </c>
      <c r="AD91" t="s">
        <v>74</v>
      </c>
      <c r="AE91" t="s">
        <v>74</v>
      </c>
      <c r="AF91" t="s">
        <v>74</v>
      </c>
      <c r="AG91" t="s">
        <v>74</v>
      </c>
      <c r="AH91" t="s">
        <v>74</v>
      </c>
      <c r="AI91" t="s">
        <v>74</v>
      </c>
      <c r="AJ91" t="s">
        <v>74</v>
      </c>
      <c r="AK91" t="s">
        <v>74</v>
      </c>
      <c r="AL91" t="s">
        <v>74</v>
      </c>
      <c r="AM91" t="s">
        <v>74</v>
      </c>
      <c r="AN91" t="s">
        <v>74</v>
      </c>
      <c r="AO91" t="s">
        <v>7090</v>
      </c>
      <c r="AP91" t="s">
        <v>74</v>
      </c>
      <c r="AQ91" t="s">
        <v>74</v>
      </c>
      <c r="AR91" t="s">
        <v>74</v>
      </c>
      <c r="AS91" t="s">
        <v>74</v>
      </c>
      <c r="AT91" t="s">
        <v>74</v>
      </c>
      <c r="AU91">
        <v>2020</v>
      </c>
      <c r="AV91">
        <v>14</v>
      </c>
      <c r="AW91">
        <v>3</v>
      </c>
      <c r="AX91" t="s">
        <v>74</v>
      </c>
      <c r="AY91" t="s">
        <v>74</v>
      </c>
      <c r="AZ91" t="s">
        <v>74</v>
      </c>
      <c r="BA91" t="s">
        <v>74</v>
      </c>
      <c r="BB91">
        <v>231</v>
      </c>
      <c r="BC91">
        <v>250</v>
      </c>
      <c r="BD91" t="s">
        <v>7091</v>
      </c>
      <c r="BE91" t="s">
        <v>74</v>
      </c>
      <c r="BF91" t="s">
        <v>74</v>
      </c>
      <c r="BG91" t="s">
        <v>74</v>
      </c>
      <c r="BH91" t="s">
        <v>74</v>
      </c>
      <c r="BI91" t="s">
        <v>74</v>
      </c>
      <c r="BJ91" t="s">
        <v>74</v>
      </c>
      <c r="BK91" t="s">
        <v>74</v>
      </c>
      <c r="BL91" t="s">
        <v>74</v>
      </c>
      <c r="BM91" t="s">
        <v>74</v>
      </c>
      <c r="BN91" t="s">
        <v>74</v>
      </c>
      <c r="BO91" t="s">
        <v>74</v>
      </c>
      <c r="BP91" t="s">
        <v>74</v>
      </c>
      <c r="BQ91" t="s">
        <v>74</v>
      </c>
      <c r="BR91" t="s">
        <v>74</v>
      </c>
      <c r="BS91" t="s">
        <v>7092</v>
      </c>
      <c r="BT91" t="str">
        <f>HYPERLINK("https%3A%2F%2Fwww.webofscience.com%2Fwos%2Fwoscc%2Ffull-record%2FWOS:000620656500007","View Full Record in Web of Science")</f>
        <v>View Full Record in Web of Science</v>
      </c>
    </row>
    <row r="92" spans="1:72" x14ac:dyDescent="0.4">
      <c r="A92" t="s">
        <v>72</v>
      </c>
      <c r="B92" t="s">
        <v>2495</v>
      </c>
      <c r="C92" t="s">
        <v>74</v>
      </c>
      <c r="D92" t="s">
        <v>74</v>
      </c>
      <c r="E92" t="s">
        <v>74</v>
      </c>
      <c r="F92" t="s">
        <v>2495</v>
      </c>
      <c r="G92" t="s">
        <v>74</v>
      </c>
      <c r="H92" t="s">
        <v>74</v>
      </c>
      <c r="I92" t="s">
        <v>2496</v>
      </c>
      <c r="J92" t="s">
        <v>77</v>
      </c>
      <c r="K92" t="s">
        <v>74</v>
      </c>
      <c r="L92" t="s">
        <v>74</v>
      </c>
      <c r="M92" t="s">
        <v>74</v>
      </c>
      <c r="N92" t="s">
        <v>74</v>
      </c>
      <c r="O92" t="s">
        <v>74</v>
      </c>
      <c r="P92" t="s">
        <v>74</v>
      </c>
      <c r="Q92" t="s">
        <v>74</v>
      </c>
      <c r="R92" t="s">
        <v>74</v>
      </c>
      <c r="S92" t="s">
        <v>74</v>
      </c>
      <c r="T92" t="s">
        <v>74</v>
      </c>
      <c r="U92" t="s">
        <v>74</v>
      </c>
      <c r="V92" s="3" t="s">
        <v>2497</v>
      </c>
      <c r="W92" t="s">
        <v>74</v>
      </c>
      <c r="X92" t="s">
        <v>74</v>
      </c>
      <c r="Y92" t="s">
        <v>74</v>
      </c>
      <c r="Z92" t="s">
        <v>74</v>
      </c>
      <c r="AA92" t="s">
        <v>74</v>
      </c>
      <c r="AB92" t="s">
        <v>74</v>
      </c>
      <c r="AC92" t="s">
        <v>74</v>
      </c>
      <c r="AD92" t="s">
        <v>74</v>
      </c>
      <c r="AE92" t="s">
        <v>74</v>
      </c>
      <c r="AF92" t="s">
        <v>74</v>
      </c>
      <c r="AG92" t="s">
        <v>74</v>
      </c>
      <c r="AH92" t="s">
        <v>74</v>
      </c>
      <c r="AI92" t="s">
        <v>74</v>
      </c>
      <c r="AJ92" t="s">
        <v>74</v>
      </c>
      <c r="AK92" t="s">
        <v>74</v>
      </c>
      <c r="AL92" t="s">
        <v>74</v>
      </c>
      <c r="AM92" t="s">
        <v>74</v>
      </c>
      <c r="AN92" t="s">
        <v>74</v>
      </c>
      <c r="AO92" t="s">
        <v>81</v>
      </c>
      <c r="AP92" t="s">
        <v>74</v>
      </c>
      <c r="AQ92" t="s">
        <v>74</v>
      </c>
      <c r="AR92" t="s">
        <v>74</v>
      </c>
      <c r="AS92" t="s">
        <v>74</v>
      </c>
      <c r="AT92" t="s">
        <v>305</v>
      </c>
      <c r="AU92">
        <v>1994</v>
      </c>
      <c r="AV92">
        <v>131</v>
      </c>
      <c r="AW92" t="s">
        <v>74</v>
      </c>
      <c r="AX92" t="s">
        <v>1276</v>
      </c>
      <c r="AY92" t="s">
        <v>74</v>
      </c>
      <c r="AZ92" t="s">
        <v>74</v>
      </c>
      <c r="BA92" t="s">
        <v>74</v>
      </c>
      <c r="BB92">
        <v>207</v>
      </c>
      <c r="BC92">
        <v>224</v>
      </c>
      <c r="BD92" t="s">
        <v>74</v>
      </c>
      <c r="BE92" t="s">
        <v>2498</v>
      </c>
      <c r="BF92" t="str">
        <f>HYPERLINK("http://dx.doi.org/10.1163/156853994X00442","http://dx.doi.org/10.1163/156853994X00442")</f>
        <v>http://dx.doi.org/10.1163/156853994X00442</v>
      </c>
      <c r="BG92" t="s">
        <v>74</v>
      </c>
      <c r="BH92" t="s">
        <v>74</v>
      </c>
      <c r="BI92" t="s">
        <v>74</v>
      </c>
      <c r="BJ92" t="s">
        <v>74</v>
      </c>
      <c r="BK92" t="s">
        <v>74</v>
      </c>
      <c r="BL92" t="s">
        <v>74</v>
      </c>
      <c r="BM92" t="s">
        <v>74</v>
      </c>
      <c r="BN92" t="s">
        <v>74</v>
      </c>
      <c r="BO92" t="s">
        <v>74</v>
      </c>
      <c r="BP92" t="s">
        <v>74</v>
      </c>
      <c r="BQ92" t="s">
        <v>74</v>
      </c>
      <c r="BR92" t="s">
        <v>74</v>
      </c>
      <c r="BS92" t="s">
        <v>2499</v>
      </c>
      <c r="BT92" t="str">
        <f>HYPERLINK("https%3A%2F%2Fwww.webofscience.com%2Fwos%2Fwoscc%2Ffull-record%2FWOS:A1994QT85100005","View Full Record in Web of Science")</f>
        <v>View Full Record in Web of Science</v>
      </c>
    </row>
    <row r="93" spans="1:72" x14ac:dyDescent="0.4">
      <c r="A93" t="s">
        <v>72</v>
      </c>
      <c r="B93" t="s">
        <v>1016</v>
      </c>
      <c r="C93" t="s">
        <v>74</v>
      </c>
      <c r="D93" t="s">
        <v>74</v>
      </c>
      <c r="E93" t="s">
        <v>74</v>
      </c>
      <c r="F93" t="s">
        <v>1017</v>
      </c>
      <c r="G93" t="s">
        <v>74</v>
      </c>
      <c r="H93" t="s">
        <v>74</v>
      </c>
      <c r="I93" t="s">
        <v>1018</v>
      </c>
      <c r="J93" t="s">
        <v>140</v>
      </c>
      <c r="K93" t="s">
        <v>74</v>
      </c>
      <c r="L93" t="s">
        <v>74</v>
      </c>
      <c r="M93" t="s">
        <v>74</v>
      </c>
      <c r="N93" t="s">
        <v>74</v>
      </c>
      <c r="O93" t="s">
        <v>74</v>
      </c>
      <c r="P93" t="s">
        <v>74</v>
      </c>
      <c r="Q93" t="s">
        <v>74</v>
      </c>
      <c r="R93" t="s">
        <v>74</v>
      </c>
      <c r="S93" t="s">
        <v>74</v>
      </c>
      <c r="T93" t="s">
        <v>74</v>
      </c>
      <c r="U93" t="s">
        <v>74</v>
      </c>
      <c r="V93" s="3" t="s">
        <v>1019</v>
      </c>
      <c r="W93" t="s">
        <v>74</v>
      </c>
      <c r="X93" t="s">
        <v>74</v>
      </c>
      <c r="Y93" t="s">
        <v>74</v>
      </c>
      <c r="Z93" t="s">
        <v>74</v>
      </c>
      <c r="AA93" t="s">
        <v>74</v>
      </c>
      <c r="AB93" t="s">
        <v>1020</v>
      </c>
      <c r="AC93" t="s">
        <v>74</v>
      </c>
      <c r="AD93" t="s">
        <v>74</v>
      </c>
      <c r="AE93" t="s">
        <v>74</v>
      </c>
      <c r="AF93" t="s">
        <v>74</v>
      </c>
      <c r="AG93" t="s">
        <v>74</v>
      </c>
      <c r="AH93" t="s">
        <v>74</v>
      </c>
      <c r="AI93" t="s">
        <v>74</v>
      </c>
      <c r="AJ93" t="s">
        <v>74</v>
      </c>
      <c r="AK93" t="s">
        <v>74</v>
      </c>
      <c r="AL93" t="s">
        <v>74</v>
      </c>
      <c r="AM93" t="s">
        <v>74</v>
      </c>
      <c r="AN93" t="s">
        <v>74</v>
      </c>
      <c r="AO93" t="s">
        <v>143</v>
      </c>
      <c r="AP93" t="s">
        <v>144</v>
      </c>
      <c r="AQ93" t="s">
        <v>74</v>
      </c>
      <c r="AR93" t="s">
        <v>74</v>
      </c>
      <c r="AS93" t="s">
        <v>74</v>
      </c>
      <c r="AT93" t="s">
        <v>145</v>
      </c>
      <c r="AU93">
        <v>2018</v>
      </c>
      <c r="AV93">
        <v>142</v>
      </c>
      <c r="AW93" t="s">
        <v>74</v>
      </c>
      <c r="AX93" t="s">
        <v>74</v>
      </c>
      <c r="AY93" t="s">
        <v>74</v>
      </c>
      <c r="AZ93" t="s">
        <v>74</v>
      </c>
      <c r="BA93" t="s">
        <v>74</v>
      </c>
      <c r="BB93">
        <v>119</v>
      </c>
      <c r="BC93">
        <v>128</v>
      </c>
      <c r="BD93" t="s">
        <v>74</v>
      </c>
      <c r="BE93" t="s">
        <v>1021</v>
      </c>
      <c r="BF93" t="str">
        <f>HYPERLINK("http://dx.doi.org/10.1016/j.anbehav.2018.06.012","http://dx.doi.org/10.1016/j.anbehav.2018.06.012")</f>
        <v>http://dx.doi.org/10.1016/j.anbehav.2018.06.012</v>
      </c>
      <c r="BG93" t="s">
        <v>74</v>
      </c>
      <c r="BH93" t="s">
        <v>74</v>
      </c>
      <c r="BI93" t="s">
        <v>74</v>
      </c>
      <c r="BJ93" t="s">
        <v>74</v>
      </c>
      <c r="BK93" t="s">
        <v>74</v>
      </c>
      <c r="BL93" t="s">
        <v>74</v>
      </c>
      <c r="BM93" t="s">
        <v>74</v>
      </c>
      <c r="BN93" t="s">
        <v>74</v>
      </c>
      <c r="BO93" t="s">
        <v>74</v>
      </c>
      <c r="BP93" t="s">
        <v>74</v>
      </c>
      <c r="BQ93" t="s">
        <v>74</v>
      </c>
      <c r="BR93" t="s">
        <v>74</v>
      </c>
      <c r="BS93" t="s">
        <v>1022</v>
      </c>
      <c r="BT93" t="str">
        <f>HYPERLINK("https%3A%2F%2Fwww.webofscience.com%2Fwos%2Fwoscc%2Ffull-record%2FWOS:000441515500014","View Full Record in Web of Science")</f>
        <v>View Full Record in Web of Science</v>
      </c>
    </row>
    <row r="94" spans="1:72" x14ac:dyDescent="0.4">
      <c r="A94" t="s">
        <v>72</v>
      </c>
      <c r="B94" t="s">
        <v>199</v>
      </c>
      <c r="C94" t="s">
        <v>74</v>
      </c>
      <c r="D94" t="s">
        <v>74</v>
      </c>
      <c r="E94" t="s">
        <v>74</v>
      </c>
      <c r="F94" t="s">
        <v>199</v>
      </c>
      <c r="G94" t="s">
        <v>74</v>
      </c>
      <c r="H94" t="s">
        <v>74</v>
      </c>
      <c r="I94" t="s">
        <v>200</v>
      </c>
      <c r="J94" t="s">
        <v>201</v>
      </c>
      <c r="K94" t="s">
        <v>74</v>
      </c>
      <c r="L94" t="s">
        <v>74</v>
      </c>
      <c r="M94" t="s">
        <v>74</v>
      </c>
      <c r="N94" t="s">
        <v>74</v>
      </c>
      <c r="O94" t="s">
        <v>74</v>
      </c>
      <c r="P94" t="s">
        <v>74</v>
      </c>
      <c r="Q94" t="s">
        <v>74</v>
      </c>
      <c r="R94" t="s">
        <v>74</v>
      </c>
      <c r="S94" t="s">
        <v>74</v>
      </c>
      <c r="T94" t="s">
        <v>74</v>
      </c>
      <c r="U94" t="s">
        <v>74</v>
      </c>
      <c r="V94" s="3" t="s">
        <v>202</v>
      </c>
      <c r="W94" t="s">
        <v>74</v>
      </c>
      <c r="X94" t="s">
        <v>74</v>
      </c>
      <c r="Y94" t="s">
        <v>74</v>
      </c>
      <c r="Z94" t="s">
        <v>74</v>
      </c>
      <c r="AA94" t="s">
        <v>74</v>
      </c>
      <c r="AB94" t="s">
        <v>74</v>
      </c>
      <c r="AC94" t="s">
        <v>74</v>
      </c>
      <c r="AD94" t="s">
        <v>74</v>
      </c>
      <c r="AE94" t="s">
        <v>74</v>
      </c>
      <c r="AF94" t="s">
        <v>74</v>
      </c>
      <c r="AG94" t="s">
        <v>74</v>
      </c>
      <c r="AH94" t="s">
        <v>74</v>
      </c>
      <c r="AI94" t="s">
        <v>74</v>
      </c>
      <c r="AJ94" t="s">
        <v>74</v>
      </c>
      <c r="AK94" t="s">
        <v>74</v>
      </c>
      <c r="AL94" t="s">
        <v>74</v>
      </c>
      <c r="AM94" t="s">
        <v>74</v>
      </c>
      <c r="AN94" t="s">
        <v>74</v>
      </c>
      <c r="AO94" t="s">
        <v>203</v>
      </c>
      <c r="AP94" t="s">
        <v>74</v>
      </c>
      <c r="AQ94" t="s">
        <v>74</v>
      </c>
      <c r="AR94" t="s">
        <v>74</v>
      </c>
      <c r="AS94" t="s">
        <v>74</v>
      </c>
      <c r="AT94" t="s">
        <v>204</v>
      </c>
      <c r="AU94">
        <v>1995</v>
      </c>
      <c r="AV94">
        <v>47</v>
      </c>
      <c r="AW94">
        <v>1</v>
      </c>
      <c r="AX94" t="s">
        <v>74</v>
      </c>
      <c r="AY94" t="s">
        <v>74</v>
      </c>
      <c r="AZ94" t="s">
        <v>74</v>
      </c>
      <c r="BA94" t="s">
        <v>74</v>
      </c>
      <c r="BB94">
        <v>50</v>
      </c>
      <c r="BC94">
        <v>58</v>
      </c>
      <c r="BD94" t="s">
        <v>74</v>
      </c>
      <c r="BE94" t="s">
        <v>205</v>
      </c>
      <c r="BF94" t="str">
        <f>HYPERLINK("http://dx.doi.org/10.1111/j.1095-8649.1995.tb01872.x","http://dx.doi.org/10.1111/j.1095-8649.1995.tb01872.x")</f>
        <v>http://dx.doi.org/10.1111/j.1095-8649.1995.tb01872.x</v>
      </c>
      <c r="BG94" t="s">
        <v>74</v>
      </c>
      <c r="BH94" t="s">
        <v>74</v>
      </c>
      <c r="BI94" t="s">
        <v>74</v>
      </c>
      <c r="BJ94" t="s">
        <v>74</v>
      </c>
      <c r="BK94" t="s">
        <v>74</v>
      </c>
      <c r="BL94" t="s">
        <v>74</v>
      </c>
      <c r="BM94" t="s">
        <v>74</v>
      </c>
      <c r="BN94" t="s">
        <v>74</v>
      </c>
      <c r="BO94" t="s">
        <v>74</v>
      </c>
      <c r="BP94" t="s">
        <v>74</v>
      </c>
      <c r="BQ94" t="s">
        <v>74</v>
      </c>
      <c r="BR94" t="s">
        <v>74</v>
      </c>
      <c r="BS94" t="s">
        <v>206</v>
      </c>
      <c r="BT94" t="str">
        <f>HYPERLINK("https%3A%2F%2Fwww.webofscience.com%2Fwos%2Fwoscc%2Ffull-record%2FWOS:A1995RK16500006","View Full Record in Web of Science")</f>
        <v>View Full Record in Web of Science</v>
      </c>
    </row>
    <row r="95" spans="1:72" x14ac:dyDescent="0.4">
      <c r="A95" t="s">
        <v>72</v>
      </c>
      <c r="B95" t="s">
        <v>3874</v>
      </c>
      <c r="C95" t="s">
        <v>74</v>
      </c>
      <c r="D95" t="s">
        <v>74</v>
      </c>
      <c r="E95" t="s">
        <v>74</v>
      </c>
      <c r="F95" t="s">
        <v>3874</v>
      </c>
      <c r="G95" t="s">
        <v>74</v>
      </c>
      <c r="H95" t="s">
        <v>74</v>
      </c>
      <c r="I95" t="s">
        <v>3875</v>
      </c>
      <c r="J95" t="s">
        <v>140</v>
      </c>
      <c r="K95" t="s">
        <v>74</v>
      </c>
      <c r="L95" t="s">
        <v>74</v>
      </c>
      <c r="M95" t="s">
        <v>74</v>
      </c>
      <c r="N95" t="s">
        <v>74</v>
      </c>
      <c r="O95" t="s">
        <v>74</v>
      </c>
      <c r="P95" t="s">
        <v>74</v>
      </c>
      <c r="Q95" t="s">
        <v>74</v>
      </c>
      <c r="R95" t="s">
        <v>74</v>
      </c>
      <c r="S95" t="s">
        <v>74</v>
      </c>
      <c r="T95" t="s">
        <v>74</v>
      </c>
      <c r="U95" t="s">
        <v>74</v>
      </c>
      <c r="V95" s="3" t="s">
        <v>3876</v>
      </c>
      <c r="W95" t="s">
        <v>74</v>
      </c>
      <c r="X95" t="s">
        <v>74</v>
      </c>
      <c r="Y95" t="s">
        <v>74</v>
      </c>
      <c r="Z95" t="s">
        <v>74</v>
      </c>
      <c r="AA95" t="s">
        <v>74</v>
      </c>
      <c r="AB95" t="s">
        <v>74</v>
      </c>
      <c r="AC95" t="s">
        <v>74</v>
      </c>
      <c r="AD95" t="s">
        <v>74</v>
      </c>
      <c r="AE95" t="s">
        <v>74</v>
      </c>
      <c r="AF95" t="s">
        <v>74</v>
      </c>
      <c r="AG95" t="s">
        <v>74</v>
      </c>
      <c r="AH95" t="s">
        <v>74</v>
      </c>
      <c r="AI95" t="s">
        <v>74</v>
      </c>
      <c r="AJ95" t="s">
        <v>74</v>
      </c>
      <c r="AK95" t="s">
        <v>74</v>
      </c>
      <c r="AL95" t="s">
        <v>74</v>
      </c>
      <c r="AM95" t="s">
        <v>74</v>
      </c>
      <c r="AN95" t="s">
        <v>74</v>
      </c>
      <c r="AO95" t="s">
        <v>143</v>
      </c>
      <c r="AP95" t="s">
        <v>74</v>
      </c>
      <c r="AQ95" t="s">
        <v>74</v>
      </c>
      <c r="AR95" t="s">
        <v>74</v>
      </c>
      <c r="AS95" t="s">
        <v>74</v>
      </c>
      <c r="AT95" t="s">
        <v>175</v>
      </c>
      <c r="AU95">
        <v>1998</v>
      </c>
      <c r="AV95">
        <v>56</v>
      </c>
      <c r="AW95" t="s">
        <v>74</v>
      </c>
      <c r="AX95">
        <v>4</v>
      </c>
      <c r="AY95" t="s">
        <v>74</v>
      </c>
      <c r="AZ95" t="s">
        <v>74</v>
      </c>
      <c r="BA95" t="s">
        <v>74</v>
      </c>
      <c r="BB95">
        <v>1021</v>
      </c>
      <c r="BC95">
        <v>1026</v>
      </c>
      <c r="BD95" t="s">
        <v>74</v>
      </c>
      <c r="BE95" t="s">
        <v>3877</v>
      </c>
      <c r="BF95" t="str">
        <f>HYPERLINK("http://dx.doi.org/10.1006/anbe.1998.0868","http://dx.doi.org/10.1006/anbe.1998.0868")</f>
        <v>http://dx.doi.org/10.1006/anbe.1998.0868</v>
      </c>
      <c r="BG95" t="s">
        <v>74</v>
      </c>
      <c r="BH95" t="s">
        <v>74</v>
      </c>
      <c r="BI95" t="s">
        <v>74</v>
      </c>
      <c r="BJ95" t="s">
        <v>74</v>
      </c>
      <c r="BK95" t="s">
        <v>74</v>
      </c>
      <c r="BL95" t="s">
        <v>74</v>
      </c>
      <c r="BM95" t="s">
        <v>74</v>
      </c>
      <c r="BN95">
        <v>9790714</v>
      </c>
      <c r="BO95" t="s">
        <v>74</v>
      </c>
      <c r="BP95" t="s">
        <v>74</v>
      </c>
      <c r="BQ95" t="s">
        <v>74</v>
      </c>
      <c r="BR95" t="s">
        <v>74</v>
      </c>
      <c r="BS95" t="s">
        <v>3878</v>
      </c>
      <c r="BT95" t="str">
        <f>HYPERLINK("https%3A%2F%2Fwww.webofscience.com%2Fwos%2Fwoscc%2Ffull-record%2FWOS:000076755700025","View Full Record in Web of Science")</f>
        <v>View Full Record in Web of Science</v>
      </c>
    </row>
    <row r="96" spans="1:72" x14ac:dyDescent="0.4">
      <c r="A96" t="s">
        <v>72</v>
      </c>
      <c r="B96" t="s">
        <v>2039</v>
      </c>
      <c r="C96" t="s">
        <v>74</v>
      </c>
      <c r="D96" t="s">
        <v>74</v>
      </c>
      <c r="E96" t="s">
        <v>74</v>
      </c>
      <c r="F96" t="s">
        <v>2040</v>
      </c>
      <c r="G96" t="s">
        <v>74</v>
      </c>
      <c r="H96" t="s">
        <v>74</v>
      </c>
      <c r="I96" t="s">
        <v>2041</v>
      </c>
      <c r="J96" t="s">
        <v>2042</v>
      </c>
      <c r="K96" t="s">
        <v>74</v>
      </c>
      <c r="L96" t="s">
        <v>74</v>
      </c>
      <c r="M96" t="s">
        <v>74</v>
      </c>
      <c r="N96" t="s">
        <v>74</v>
      </c>
      <c r="O96" t="s">
        <v>74</v>
      </c>
      <c r="P96" t="s">
        <v>74</v>
      </c>
      <c r="Q96" t="s">
        <v>74</v>
      </c>
      <c r="R96" t="s">
        <v>74</v>
      </c>
      <c r="S96" t="s">
        <v>74</v>
      </c>
      <c r="T96" t="s">
        <v>74</v>
      </c>
      <c r="U96" t="s">
        <v>74</v>
      </c>
      <c r="V96" s="3" t="s">
        <v>2043</v>
      </c>
      <c r="W96" t="s">
        <v>74</v>
      </c>
      <c r="X96" t="s">
        <v>74</v>
      </c>
      <c r="Y96" t="s">
        <v>74</v>
      </c>
      <c r="Z96" t="s">
        <v>74</v>
      </c>
      <c r="AA96" t="s">
        <v>74</v>
      </c>
      <c r="AB96" t="s">
        <v>2044</v>
      </c>
      <c r="AC96" t="s">
        <v>74</v>
      </c>
      <c r="AD96" t="s">
        <v>74</v>
      </c>
      <c r="AE96" t="s">
        <v>74</v>
      </c>
      <c r="AF96" t="s">
        <v>74</v>
      </c>
      <c r="AG96" t="s">
        <v>74</v>
      </c>
      <c r="AH96" t="s">
        <v>74</v>
      </c>
      <c r="AI96" t="s">
        <v>74</v>
      </c>
      <c r="AJ96" t="s">
        <v>74</v>
      </c>
      <c r="AK96" t="s">
        <v>74</v>
      </c>
      <c r="AL96" t="s">
        <v>74</v>
      </c>
      <c r="AM96" t="s">
        <v>74</v>
      </c>
      <c r="AN96" t="s">
        <v>74</v>
      </c>
      <c r="AO96" t="s">
        <v>2045</v>
      </c>
      <c r="AP96" t="s">
        <v>2046</v>
      </c>
      <c r="AQ96" t="s">
        <v>74</v>
      </c>
      <c r="AR96" t="s">
        <v>74</v>
      </c>
      <c r="AS96" t="s">
        <v>74</v>
      </c>
      <c r="AT96" t="s">
        <v>204</v>
      </c>
      <c r="AU96">
        <v>2017</v>
      </c>
      <c r="AV96">
        <v>64</v>
      </c>
      <c r="AW96">
        <v>3</v>
      </c>
      <c r="AX96" t="s">
        <v>74</v>
      </c>
      <c r="AY96" t="s">
        <v>74</v>
      </c>
      <c r="AZ96" t="s">
        <v>74</v>
      </c>
      <c r="BA96" t="s">
        <v>74</v>
      </c>
      <c r="BB96">
        <v>301</v>
      </c>
      <c r="BC96">
        <v>307</v>
      </c>
      <c r="BD96" t="s">
        <v>74</v>
      </c>
      <c r="BE96" t="s">
        <v>2047</v>
      </c>
      <c r="BF96" t="str">
        <f>HYPERLINK("http://dx.doi.org/10.1007/s10228-016-0567-y","http://dx.doi.org/10.1007/s10228-016-0567-y")</f>
        <v>http://dx.doi.org/10.1007/s10228-016-0567-y</v>
      </c>
      <c r="BG96" t="s">
        <v>74</v>
      </c>
      <c r="BH96" t="s">
        <v>74</v>
      </c>
      <c r="BI96" t="s">
        <v>74</v>
      </c>
      <c r="BJ96" t="s">
        <v>74</v>
      </c>
      <c r="BK96" t="s">
        <v>74</v>
      </c>
      <c r="BL96" t="s">
        <v>74</v>
      </c>
      <c r="BM96" t="s">
        <v>74</v>
      </c>
      <c r="BN96" t="s">
        <v>74</v>
      </c>
      <c r="BO96" t="s">
        <v>74</v>
      </c>
      <c r="BP96" t="s">
        <v>74</v>
      </c>
      <c r="BQ96" t="s">
        <v>74</v>
      </c>
      <c r="BR96" t="s">
        <v>74</v>
      </c>
      <c r="BS96" t="s">
        <v>2048</v>
      </c>
      <c r="BT96" t="str">
        <f>HYPERLINK("https%3A%2F%2Fwww.webofscience.com%2Fwos%2Fwoscc%2Ffull-record%2FWOS:000404661100003","View Full Record in Web of Science")</f>
        <v>View Full Record in Web of Science</v>
      </c>
    </row>
    <row r="97" spans="1:72" x14ac:dyDescent="0.4">
      <c r="A97" t="s">
        <v>72</v>
      </c>
      <c r="B97" t="s">
        <v>3097</v>
      </c>
      <c r="C97" t="s">
        <v>74</v>
      </c>
      <c r="D97" t="s">
        <v>74</v>
      </c>
      <c r="E97" t="s">
        <v>74</v>
      </c>
      <c r="F97" t="s">
        <v>3098</v>
      </c>
      <c r="G97" t="s">
        <v>74</v>
      </c>
      <c r="H97" t="s">
        <v>74</v>
      </c>
      <c r="I97" t="s">
        <v>3099</v>
      </c>
      <c r="J97" t="s">
        <v>3100</v>
      </c>
      <c r="K97" t="s">
        <v>74</v>
      </c>
      <c r="L97" t="s">
        <v>74</v>
      </c>
      <c r="M97" t="s">
        <v>74</v>
      </c>
      <c r="N97" t="s">
        <v>74</v>
      </c>
      <c r="O97" t="s">
        <v>74</v>
      </c>
      <c r="P97" t="s">
        <v>74</v>
      </c>
      <c r="Q97" t="s">
        <v>74</v>
      </c>
      <c r="R97" t="s">
        <v>74</v>
      </c>
      <c r="S97" t="s">
        <v>74</v>
      </c>
      <c r="T97" t="s">
        <v>74</v>
      </c>
      <c r="U97" t="s">
        <v>74</v>
      </c>
      <c r="V97" s="3" t="s">
        <v>3101</v>
      </c>
      <c r="W97" t="s">
        <v>74</v>
      </c>
      <c r="X97" t="s">
        <v>74</v>
      </c>
      <c r="Y97" t="s">
        <v>74</v>
      </c>
      <c r="Z97" t="s">
        <v>74</v>
      </c>
      <c r="AA97" t="s">
        <v>3102</v>
      </c>
      <c r="AB97" t="s">
        <v>3103</v>
      </c>
      <c r="AC97" t="s">
        <v>74</v>
      </c>
      <c r="AD97" t="s">
        <v>74</v>
      </c>
      <c r="AE97" t="s">
        <v>74</v>
      </c>
      <c r="AF97" t="s">
        <v>74</v>
      </c>
      <c r="AG97" t="s">
        <v>74</v>
      </c>
      <c r="AH97" t="s">
        <v>74</v>
      </c>
      <c r="AI97" t="s">
        <v>74</v>
      </c>
      <c r="AJ97" t="s">
        <v>74</v>
      </c>
      <c r="AK97" t="s">
        <v>74</v>
      </c>
      <c r="AL97" t="s">
        <v>74</v>
      </c>
      <c r="AM97" t="s">
        <v>74</v>
      </c>
      <c r="AN97" t="s">
        <v>74</v>
      </c>
      <c r="AO97" t="s">
        <v>74</v>
      </c>
      <c r="AP97" t="s">
        <v>3104</v>
      </c>
      <c r="AQ97" t="s">
        <v>74</v>
      </c>
      <c r="AR97" t="s">
        <v>74</v>
      </c>
      <c r="AS97" t="s">
        <v>74</v>
      </c>
      <c r="AT97" t="s">
        <v>3105</v>
      </c>
      <c r="AU97">
        <v>2017</v>
      </c>
      <c r="AV97">
        <v>4</v>
      </c>
      <c r="AW97" t="s">
        <v>74</v>
      </c>
      <c r="AX97" t="s">
        <v>74</v>
      </c>
      <c r="AY97" t="s">
        <v>74</v>
      </c>
      <c r="AZ97" t="s">
        <v>74</v>
      </c>
      <c r="BA97" t="s">
        <v>74</v>
      </c>
      <c r="BB97" t="s">
        <v>74</v>
      </c>
      <c r="BC97" t="s">
        <v>74</v>
      </c>
      <c r="BD97">
        <v>188</v>
      </c>
      <c r="BE97" t="s">
        <v>3106</v>
      </c>
      <c r="BF97" t="str">
        <f>HYPERLINK("http://dx.doi.org/10.3389/fvets.2017.00188","http://dx.doi.org/10.3389/fvets.2017.00188")</f>
        <v>http://dx.doi.org/10.3389/fvets.2017.00188</v>
      </c>
      <c r="BG97" t="s">
        <v>74</v>
      </c>
      <c r="BH97" t="s">
        <v>74</v>
      </c>
      <c r="BI97" t="s">
        <v>74</v>
      </c>
      <c r="BJ97" t="s">
        <v>74</v>
      </c>
      <c r="BK97" t="s">
        <v>74</v>
      </c>
      <c r="BL97" t="s">
        <v>74</v>
      </c>
      <c r="BM97" t="s">
        <v>74</v>
      </c>
      <c r="BN97">
        <v>29164143</v>
      </c>
      <c r="BO97" t="s">
        <v>74</v>
      </c>
      <c r="BP97" t="s">
        <v>74</v>
      </c>
      <c r="BQ97" t="s">
        <v>74</v>
      </c>
      <c r="BR97" t="s">
        <v>74</v>
      </c>
      <c r="BS97" t="s">
        <v>3107</v>
      </c>
      <c r="BT97" t="str">
        <f>HYPERLINK("https%3A%2F%2Fwww.webofscience.com%2Fwos%2Fwoscc%2Ffull-record%2FWOS:000451800800002","View Full Record in Web of Science")</f>
        <v>View Full Record in Web of Science</v>
      </c>
    </row>
    <row r="98" spans="1:72" x14ac:dyDescent="0.4">
      <c r="A98" t="s">
        <v>72</v>
      </c>
      <c r="B98" t="s">
        <v>4646</v>
      </c>
      <c r="C98" t="s">
        <v>74</v>
      </c>
      <c r="D98" t="s">
        <v>74</v>
      </c>
      <c r="E98" t="s">
        <v>74</v>
      </c>
      <c r="F98" t="s">
        <v>4646</v>
      </c>
      <c r="G98" t="s">
        <v>74</v>
      </c>
      <c r="H98" t="s">
        <v>74</v>
      </c>
      <c r="I98" t="s">
        <v>4647</v>
      </c>
      <c r="J98" t="s">
        <v>1526</v>
      </c>
      <c r="K98" t="s">
        <v>74</v>
      </c>
      <c r="L98" t="s">
        <v>74</v>
      </c>
      <c r="M98" t="s">
        <v>74</v>
      </c>
      <c r="N98" t="s">
        <v>74</v>
      </c>
      <c r="O98" t="s">
        <v>74</v>
      </c>
      <c r="P98" t="s">
        <v>74</v>
      </c>
      <c r="Q98" t="s">
        <v>74</v>
      </c>
      <c r="R98" t="s">
        <v>74</v>
      </c>
      <c r="S98" t="s">
        <v>74</v>
      </c>
      <c r="T98" t="s">
        <v>74</v>
      </c>
      <c r="U98" t="s">
        <v>74</v>
      </c>
      <c r="V98" s="3" t="s">
        <v>4648</v>
      </c>
      <c r="W98" t="s">
        <v>74</v>
      </c>
      <c r="X98" t="s">
        <v>74</v>
      </c>
      <c r="Y98" t="s">
        <v>74</v>
      </c>
      <c r="Z98" t="s">
        <v>74</v>
      </c>
      <c r="AA98" t="s">
        <v>4649</v>
      </c>
      <c r="AB98" t="s">
        <v>4650</v>
      </c>
      <c r="AC98" t="s">
        <v>74</v>
      </c>
      <c r="AD98" t="s">
        <v>74</v>
      </c>
      <c r="AE98" t="s">
        <v>74</v>
      </c>
      <c r="AF98" t="s">
        <v>74</v>
      </c>
      <c r="AG98" t="s">
        <v>74</v>
      </c>
      <c r="AH98" t="s">
        <v>74</v>
      </c>
      <c r="AI98" t="s">
        <v>74</v>
      </c>
      <c r="AJ98" t="s">
        <v>74</v>
      </c>
      <c r="AK98" t="s">
        <v>74</v>
      </c>
      <c r="AL98" t="s">
        <v>74</v>
      </c>
      <c r="AM98" t="s">
        <v>74</v>
      </c>
      <c r="AN98" t="s">
        <v>74</v>
      </c>
      <c r="AO98" t="s">
        <v>1528</v>
      </c>
      <c r="AP98" t="s">
        <v>74</v>
      </c>
      <c r="AQ98" t="s">
        <v>74</v>
      </c>
      <c r="AR98" t="s">
        <v>74</v>
      </c>
      <c r="AS98" t="s">
        <v>74</v>
      </c>
      <c r="AT98" t="s">
        <v>145</v>
      </c>
      <c r="AU98">
        <v>1994</v>
      </c>
      <c r="AV98">
        <v>96</v>
      </c>
      <c r="AW98">
        <v>3</v>
      </c>
      <c r="AX98" t="s">
        <v>74</v>
      </c>
      <c r="AY98" t="s">
        <v>74</v>
      </c>
      <c r="AZ98" t="s">
        <v>74</v>
      </c>
      <c r="BA98" t="s">
        <v>74</v>
      </c>
      <c r="BB98">
        <v>614</v>
      </c>
      <c r="BC98">
        <v>625</v>
      </c>
      <c r="BD98" t="s">
        <v>74</v>
      </c>
      <c r="BE98" t="s">
        <v>4651</v>
      </c>
      <c r="BF98" t="str">
        <f>HYPERLINK("http://dx.doi.org/10.2307/1369464","http://dx.doi.org/10.2307/1369464")</f>
        <v>http://dx.doi.org/10.2307/1369464</v>
      </c>
      <c r="BG98" t="s">
        <v>74</v>
      </c>
      <c r="BH98" t="s">
        <v>74</v>
      </c>
      <c r="BI98" t="s">
        <v>74</v>
      </c>
      <c r="BJ98" t="s">
        <v>74</v>
      </c>
      <c r="BK98" t="s">
        <v>74</v>
      </c>
      <c r="BL98" t="s">
        <v>74</v>
      </c>
      <c r="BM98" t="s">
        <v>74</v>
      </c>
      <c r="BN98" t="s">
        <v>74</v>
      </c>
      <c r="BO98" t="s">
        <v>74</v>
      </c>
      <c r="BP98" t="s">
        <v>74</v>
      </c>
      <c r="BQ98" t="s">
        <v>74</v>
      </c>
      <c r="BR98" t="s">
        <v>74</v>
      </c>
      <c r="BS98" t="s">
        <v>4652</v>
      </c>
      <c r="BT98" t="str">
        <f>HYPERLINK("https%3A%2F%2Fwww.webofscience.com%2Fwos%2Fwoscc%2Ffull-record%2FWOS:A1994PE53800005","View Full Record in Web of Science")</f>
        <v>View Full Record in Web of Science</v>
      </c>
    </row>
    <row r="99" spans="1:72" x14ac:dyDescent="0.4">
      <c r="A99" t="s">
        <v>72</v>
      </c>
      <c r="B99" t="s">
        <v>3570</v>
      </c>
      <c r="C99" t="s">
        <v>74</v>
      </c>
      <c r="D99" t="s">
        <v>74</v>
      </c>
      <c r="E99" t="s">
        <v>74</v>
      </c>
      <c r="F99" t="s">
        <v>3571</v>
      </c>
      <c r="G99" t="s">
        <v>74</v>
      </c>
      <c r="H99" t="s">
        <v>74</v>
      </c>
      <c r="I99" t="s">
        <v>3572</v>
      </c>
      <c r="J99" t="s">
        <v>140</v>
      </c>
      <c r="K99" t="s">
        <v>74</v>
      </c>
      <c r="L99" t="s">
        <v>74</v>
      </c>
      <c r="M99" t="s">
        <v>74</v>
      </c>
      <c r="N99" t="s">
        <v>74</v>
      </c>
      <c r="O99" t="s">
        <v>74</v>
      </c>
      <c r="P99" t="s">
        <v>74</v>
      </c>
      <c r="Q99" t="s">
        <v>74</v>
      </c>
      <c r="R99" t="s">
        <v>74</v>
      </c>
      <c r="S99" t="s">
        <v>74</v>
      </c>
      <c r="T99" t="s">
        <v>74</v>
      </c>
      <c r="U99" t="s">
        <v>74</v>
      </c>
      <c r="V99" s="3" t="s">
        <v>3573</v>
      </c>
      <c r="W99" t="s">
        <v>74</v>
      </c>
      <c r="X99" t="s">
        <v>74</v>
      </c>
      <c r="Y99" t="s">
        <v>74</v>
      </c>
      <c r="Z99" t="s">
        <v>74</v>
      </c>
      <c r="AA99" t="s">
        <v>3574</v>
      </c>
      <c r="AB99" t="s">
        <v>3575</v>
      </c>
      <c r="AC99" t="s">
        <v>74</v>
      </c>
      <c r="AD99" t="s">
        <v>74</v>
      </c>
      <c r="AE99" t="s">
        <v>74</v>
      </c>
      <c r="AF99" t="s">
        <v>74</v>
      </c>
      <c r="AG99" t="s">
        <v>74</v>
      </c>
      <c r="AH99" t="s">
        <v>74</v>
      </c>
      <c r="AI99" t="s">
        <v>74</v>
      </c>
      <c r="AJ99" t="s">
        <v>74</v>
      </c>
      <c r="AK99" t="s">
        <v>74</v>
      </c>
      <c r="AL99" t="s">
        <v>74</v>
      </c>
      <c r="AM99" t="s">
        <v>74</v>
      </c>
      <c r="AN99" t="s">
        <v>74</v>
      </c>
      <c r="AO99" t="s">
        <v>143</v>
      </c>
      <c r="AP99" t="s">
        <v>144</v>
      </c>
      <c r="AQ99" t="s">
        <v>74</v>
      </c>
      <c r="AR99" t="s">
        <v>74</v>
      </c>
      <c r="AS99" t="s">
        <v>74</v>
      </c>
      <c r="AT99" t="s">
        <v>305</v>
      </c>
      <c r="AU99">
        <v>2021</v>
      </c>
      <c r="AV99">
        <v>182</v>
      </c>
      <c r="AW99" t="s">
        <v>74</v>
      </c>
      <c r="AX99" t="s">
        <v>74</v>
      </c>
      <c r="AY99" t="s">
        <v>74</v>
      </c>
      <c r="AZ99" t="s">
        <v>74</v>
      </c>
      <c r="BA99" t="s">
        <v>74</v>
      </c>
      <c r="BB99">
        <v>239</v>
      </c>
      <c r="BC99">
        <v>250</v>
      </c>
      <c r="BD99" t="s">
        <v>74</v>
      </c>
      <c r="BE99" t="s">
        <v>3576</v>
      </c>
      <c r="BF99" t="str">
        <f>HYPERLINK("http://dx.doi.org/10.1016/j.anbehav.2021.09.011","http://dx.doi.org/10.1016/j.anbehav.2021.09.011")</f>
        <v>http://dx.doi.org/10.1016/j.anbehav.2021.09.011</v>
      </c>
      <c r="BG99" t="s">
        <v>74</v>
      </c>
      <c r="BH99" t="s">
        <v>74</v>
      </c>
      <c r="BI99" t="s">
        <v>74</v>
      </c>
      <c r="BJ99" t="s">
        <v>74</v>
      </c>
      <c r="BK99" t="s">
        <v>74</v>
      </c>
      <c r="BL99" t="s">
        <v>74</v>
      </c>
      <c r="BM99" t="s">
        <v>74</v>
      </c>
      <c r="BN99" t="s">
        <v>74</v>
      </c>
      <c r="BO99" t="s">
        <v>74</v>
      </c>
      <c r="BP99" t="s">
        <v>74</v>
      </c>
      <c r="BQ99" t="s">
        <v>74</v>
      </c>
      <c r="BR99" t="s">
        <v>74</v>
      </c>
      <c r="BS99" t="s">
        <v>3577</v>
      </c>
      <c r="BT99" t="str">
        <f>HYPERLINK("https%3A%2F%2Fwww.webofscience.com%2Fwos%2Fwoscc%2Ffull-record%2FWOS:000907004000003","View Full Record in Web of Science")</f>
        <v>View Full Record in Web of Science</v>
      </c>
    </row>
    <row r="100" spans="1:72" x14ac:dyDescent="0.4">
      <c r="A100" t="s">
        <v>72</v>
      </c>
      <c r="B100" t="s">
        <v>5369</v>
      </c>
      <c r="C100" t="s">
        <v>74</v>
      </c>
      <c r="D100" t="s">
        <v>74</v>
      </c>
      <c r="E100" t="s">
        <v>74</v>
      </c>
      <c r="F100" t="s">
        <v>5370</v>
      </c>
      <c r="G100" t="s">
        <v>74</v>
      </c>
      <c r="H100" t="s">
        <v>74</v>
      </c>
      <c r="I100" t="s">
        <v>5371</v>
      </c>
      <c r="J100" t="s">
        <v>140</v>
      </c>
      <c r="K100" t="s">
        <v>74</v>
      </c>
      <c r="L100" t="s">
        <v>74</v>
      </c>
      <c r="M100" t="s">
        <v>74</v>
      </c>
      <c r="N100" t="s">
        <v>74</v>
      </c>
      <c r="O100" t="s">
        <v>74</v>
      </c>
      <c r="P100" t="s">
        <v>74</v>
      </c>
      <c r="Q100" t="s">
        <v>74</v>
      </c>
      <c r="R100" t="s">
        <v>74</v>
      </c>
      <c r="S100" t="s">
        <v>74</v>
      </c>
      <c r="T100" t="s">
        <v>74</v>
      </c>
      <c r="U100" t="s">
        <v>74</v>
      </c>
      <c r="V100" s="3" t="s">
        <v>5372</v>
      </c>
      <c r="W100" t="s">
        <v>74</v>
      </c>
      <c r="X100" t="s">
        <v>74</v>
      </c>
      <c r="Y100" t="s">
        <v>74</v>
      </c>
      <c r="Z100" t="s">
        <v>74</v>
      </c>
      <c r="AA100" t="s">
        <v>5373</v>
      </c>
      <c r="AB100" t="s">
        <v>5374</v>
      </c>
      <c r="AC100" t="s">
        <v>74</v>
      </c>
      <c r="AD100" t="s">
        <v>74</v>
      </c>
      <c r="AE100" t="s">
        <v>74</v>
      </c>
      <c r="AF100" t="s">
        <v>74</v>
      </c>
      <c r="AG100" t="s">
        <v>74</v>
      </c>
      <c r="AH100" t="s">
        <v>74</v>
      </c>
      <c r="AI100" t="s">
        <v>74</v>
      </c>
      <c r="AJ100" t="s">
        <v>74</v>
      </c>
      <c r="AK100" t="s">
        <v>74</v>
      </c>
      <c r="AL100" t="s">
        <v>74</v>
      </c>
      <c r="AM100" t="s">
        <v>74</v>
      </c>
      <c r="AN100" t="s">
        <v>74</v>
      </c>
      <c r="AO100" t="s">
        <v>143</v>
      </c>
      <c r="AP100" t="s">
        <v>144</v>
      </c>
      <c r="AQ100" t="s">
        <v>74</v>
      </c>
      <c r="AR100" t="s">
        <v>74</v>
      </c>
      <c r="AS100" t="s">
        <v>74</v>
      </c>
      <c r="AT100" t="s">
        <v>352</v>
      </c>
      <c r="AU100">
        <v>2021</v>
      </c>
      <c r="AV100">
        <v>179</v>
      </c>
      <c r="AW100" t="s">
        <v>74</v>
      </c>
      <c r="AX100" t="s">
        <v>74</v>
      </c>
      <c r="AY100" t="s">
        <v>74</v>
      </c>
      <c r="AZ100" t="s">
        <v>74</v>
      </c>
      <c r="BA100" t="s">
        <v>74</v>
      </c>
      <c r="BB100">
        <v>307</v>
      </c>
      <c r="BC100">
        <v>315</v>
      </c>
      <c r="BD100" t="s">
        <v>74</v>
      </c>
      <c r="BE100" t="s">
        <v>5375</v>
      </c>
      <c r="BF100" t="str">
        <f>HYPERLINK("http://dx.doi.org/10.1016/j.anbehav.2021.07.016","http://dx.doi.org/10.1016/j.anbehav.2021.07.016")</f>
        <v>http://dx.doi.org/10.1016/j.anbehav.2021.07.016</v>
      </c>
      <c r="BG100" t="s">
        <v>74</v>
      </c>
      <c r="BH100" t="s">
        <v>4990</v>
      </c>
      <c r="BI100" t="s">
        <v>74</v>
      </c>
      <c r="BJ100" t="s">
        <v>74</v>
      </c>
      <c r="BK100" t="s">
        <v>74</v>
      </c>
      <c r="BL100" t="s">
        <v>74</v>
      </c>
      <c r="BM100" t="s">
        <v>74</v>
      </c>
      <c r="BN100" t="s">
        <v>74</v>
      </c>
      <c r="BO100" t="s">
        <v>74</v>
      </c>
      <c r="BP100" t="s">
        <v>74</v>
      </c>
      <c r="BQ100" t="s">
        <v>74</v>
      </c>
      <c r="BR100" t="s">
        <v>74</v>
      </c>
      <c r="BS100" t="s">
        <v>5376</v>
      </c>
      <c r="BT100" t="str">
        <f>HYPERLINK("https%3A%2F%2Fwww.webofscience.com%2Fwos%2Fwoscc%2Ffull-record%2FWOS:000693411000026","View Full Record in Web of Science")</f>
        <v>View Full Record in Web of Science</v>
      </c>
    </row>
    <row r="101" spans="1:72" x14ac:dyDescent="0.4">
      <c r="A101" t="s">
        <v>72</v>
      </c>
      <c r="B101" t="s">
        <v>1632</v>
      </c>
      <c r="C101" t="s">
        <v>74</v>
      </c>
      <c r="D101" t="s">
        <v>74</v>
      </c>
      <c r="E101" t="s">
        <v>74</v>
      </c>
      <c r="F101" t="s">
        <v>1633</v>
      </c>
      <c r="G101" t="s">
        <v>74</v>
      </c>
      <c r="H101" t="s">
        <v>74</v>
      </c>
      <c r="I101" t="s">
        <v>1634</v>
      </c>
      <c r="J101" t="s">
        <v>1635</v>
      </c>
      <c r="K101" t="s">
        <v>74</v>
      </c>
      <c r="L101" t="s">
        <v>74</v>
      </c>
      <c r="M101" t="s">
        <v>74</v>
      </c>
      <c r="N101" t="s">
        <v>74</v>
      </c>
      <c r="O101" t="s">
        <v>74</v>
      </c>
      <c r="P101" t="s">
        <v>74</v>
      </c>
      <c r="Q101" t="s">
        <v>74</v>
      </c>
      <c r="R101" t="s">
        <v>74</v>
      </c>
      <c r="S101" t="s">
        <v>74</v>
      </c>
      <c r="T101" t="s">
        <v>74</v>
      </c>
      <c r="U101" t="s">
        <v>74</v>
      </c>
      <c r="V101" s="3" t="s">
        <v>1636</v>
      </c>
      <c r="W101" t="s">
        <v>74</v>
      </c>
      <c r="X101" t="s">
        <v>74</v>
      </c>
      <c r="Y101" t="s">
        <v>74</v>
      </c>
      <c r="Z101" t="s">
        <v>74</v>
      </c>
      <c r="AA101" t="s">
        <v>1637</v>
      </c>
      <c r="AB101" t="s">
        <v>1638</v>
      </c>
      <c r="AC101" t="s">
        <v>74</v>
      </c>
      <c r="AD101" t="s">
        <v>74</v>
      </c>
      <c r="AE101" t="s">
        <v>74</v>
      </c>
      <c r="AF101" t="s">
        <v>74</v>
      </c>
      <c r="AG101" t="s">
        <v>74</v>
      </c>
      <c r="AH101" t="s">
        <v>74</v>
      </c>
      <c r="AI101" t="s">
        <v>74</v>
      </c>
      <c r="AJ101" t="s">
        <v>74</v>
      </c>
      <c r="AK101" t="s">
        <v>74</v>
      </c>
      <c r="AL101" t="s">
        <v>74</v>
      </c>
      <c r="AM101" t="s">
        <v>74</v>
      </c>
      <c r="AN101" t="s">
        <v>74</v>
      </c>
      <c r="AO101" t="s">
        <v>1639</v>
      </c>
      <c r="AP101" t="s">
        <v>1640</v>
      </c>
      <c r="AQ101" t="s">
        <v>74</v>
      </c>
      <c r="AR101" t="s">
        <v>74</v>
      </c>
      <c r="AS101" t="s">
        <v>74</v>
      </c>
      <c r="AT101" t="s">
        <v>1641</v>
      </c>
      <c r="AU101">
        <v>2021</v>
      </c>
      <c r="AV101">
        <v>376</v>
      </c>
      <c r="AW101">
        <v>1824</v>
      </c>
      <c r="AX101" t="s">
        <v>74</v>
      </c>
      <c r="AY101" t="s">
        <v>74</v>
      </c>
      <c r="AZ101" t="s">
        <v>74</v>
      </c>
      <c r="BA101" t="s">
        <v>74</v>
      </c>
      <c r="BB101" t="s">
        <v>74</v>
      </c>
      <c r="BC101" t="s">
        <v>74</v>
      </c>
      <c r="BD101">
        <v>20200188</v>
      </c>
      <c r="BE101" t="s">
        <v>1642</v>
      </c>
      <c r="BF101" t="str">
        <f>HYPERLINK("http://dx.doi.org/10.1098/rstb.2020.0188","http://dx.doi.org/10.1098/rstb.2020.0188")</f>
        <v>http://dx.doi.org/10.1098/rstb.2020.0188</v>
      </c>
      <c r="BG101" t="s">
        <v>74</v>
      </c>
      <c r="BH101" t="s">
        <v>74</v>
      </c>
      <c r="BI101" t="s">
        <v>74</v>
      </c>
      <c r="BJ101" t="s">
        <v>74</v>
      </c>
      <c r="BK101" t="s">
        <v>74</v>
      </c>
      <c r="BL101" t="s">
        <v>74</v>
      </c>
      <c r="BM101" t="s">
        <v>74</v>
      </c>
      <c r="BN101">
        <v>33745319</v>
      </c>
      <c r="BO101" t="s">
        <v>74</v>
      </c>
      <c r="BP101" t="s">
        <v>74</v>
      </c>
      <c r="BQ101" t="s">
        <v>74</v>
      </c>
      <c r="BR101" t="s">
        <v>74</v>
      </c>
      <c r="BS101" t="s">
        <v>1643</v>
      </c>
      <c r="BT101" t="str">
        <f>HYPERLINK("https%3A%2F%2Fwww.webofscience.com%2Fwos%2Fwoscc%2Ffull-record%2FWOS:000631504800001","View Full Record in Web of Science")</f>
        <v>View Full Record in Web of Science</v>
      </c>
    </row>
    <row r="102" spans="1:72" x14ac:dyDescent="0.4">
      <c r="A102" t="s">
        <v>72</v>
      </c>
      <c r="B102" t="s">
        <v>5226</v>
      </c>
      <c r="C102" t="s">
        <v>74</v>
      </c>
      <c r="D102" t="s">
        <v>74</v>
      </c>
      <c r="E102" t="s">
        <v>74</v>
      </c>
      <c r="F102" t="s">
        <v>5227</v>
      </c>
      <c r="G102" t="s">
        <v>74</v>
      </c>
      <c r="H102" t="s">
        <v>74</v>
      </c>
      <c r="I102" t="s">
        <v>5228</v>
      </c>
      <c r="J102" t="s">
        <v>119</v>
      </c>
      <c r="K102" t="s">
        <v>74</v>
      </c>
      <c r="L102" t="s">
        <v>74</v>
      </c>
      <c r="M102" t="s">
        <v>74</v>
      </c>
      <c r="N102" t="s">
        <v>74</v>
      </c>
      <c r="O102" t="s">
        <v>74</v>
      </c>
      <c r="P102" t="s">
        <v>74</v>
      </c>
      <c r="Q102" t="s">
        <v>74</v>
      </c>
      <c r="R102" t="s">
        <v>74</v>
      </c>
      <c r="S102" t="s">
        <v>74</v>
      </c>
      <c r="T102" t="s">
        <v>74</v>
      </c>
      <c r="U102" t="s">
        <v>74</v>
      </c>
      <c r="V102" s="3" t="s">
        <v>5229</v>
      </c>
      <c r="W102" t="s">
        <v>74</v>
      </c>
      <c r="X102" t="s">
        <v>74</v>
      </c>
      <c r="Y102" t="s">
        <v>74</v>
      </c>
      <c r="Z102" t="s">
        <v>74</v>
      </c>
      <c r="AA102" t="s">
        <v>5230</v>
      </c>
      <c r="AB102" t="s">
        <v>5231</v>
      </c>
      <c r="AC102" t="s">
        <v>74</v>
      </c>
      <c r="AD102" t="s">
        <v>74</v>
      </c>
      <c r="AE102" t="s">
        <v>74</v>
      </c>
      <c r="AF102" t="s">
        <v>74</v>
      </c>
      <c r="AG102" t="s">
        <v>74</v>
      </c>
      <c r="AH102" t="s">
        <v>74</v>
      </c>
      <c r="AI102" t="s">
        <v>74</v>
      </c>
      <c r="AJ102" t="s">
        <v>74</v>
      </c>
      <c r="AK102" t="s">
        <v>74</v>
      </c>
      <c r="AL102" t="s">
        <v>74</v>
      </c>
      <c r="AM102" t="s">
        <v>74</v>
      </c>
      <c r="AN102" t="s">
        <v>74</v>
      </c>
      <c r="AO102" t="s">
        <v>121</v>
      </c>
      <c r="AP102" t="s">
        <v>122</v>
      </c>
      <c r="AQ102" t="s">
        <v>74</v>
      </c>
      <c r="AR102" t="s">
        <v>74</v>
      </c>
      <c r="AS102" t="s">
        <v>74</v>
      </c>
      <c r="AT102" t="s">
        <v>213</v>
      </c>
      <c r="AU102">
        <v>2015</v>
      </c>
      <c r="AV102">
        <v>120</v>
      </c>
      <c r="AW102" t="s">
        <v>74</v>
      </c>
      <c r="AX102" t="s">
        <v>74</v>
      </c>
      <c r="AY102" t="s">
        <v>74</v>
      </c>
      <c r="AZ102" t="s">
        <v>74</v>
      </c>
      <c r="BA102" t="s">
        <v>74</v>
      </c>
      <c r="BB102">
        <v>128</v>
      </c>
      <c r="BC102">
        <v>134</v>
      </c>
      <c r="BD102" t="s">
        <v>74</v>
      </c>
      <c r="BE102" t="s">
        <v>5232</v>
      </c>
      <c r="BF102" t="str">
        <f>HYPERLINK("http://dx.doi.org/10.1016/j.beproc.2015.09.015","http://dx.doi.org/10.1016/j.beproc.2015.09.015")</f>
        <v>http://dx.doi.org/10.1016/j.beproc.2015.09.015</v>
      </c>
      <c r="BG102" t="s">
        <v>74</v>
      </c>
      <c r="BH102" t="s">
        <v>74</v>
      </c>
      <c r="BI102" t="s">
        <v>74</v>
      </c>
      <c r="BJ102" t="s">
        <v>74</v>
      </c>
      <c r="BK102" t="s">
        <v>74</v>
      </c>
      <c r="BL102" t="s">
        <v>74</v>
      </c>
      <c r="BM102" t="s">
        <v>74</v>
      </c>
      <c r="BN102">
        <v>26449315</v>
      </c>
      <c r="BO102" t="s">
        <v>74</v>
      </c>
      <c r="BP102" t="s">
        <v>74</v>
      </c>
      <c r="BQ102" t="s">
        <v>74</v>
      </c>
      <c r="BR102" t="s">
        <v>74</v>
      </c>
      <c r="BS102" t="s">
        <v>5233</v>
      </c>
      <c r="BT102" t="str">
        <f>HYPERLINK("https%3A%2F%2Fwww.webofscience.com%2Fwos%2Fwoscc%2Ffull-record%2FWOS:000364503300018","View Full Record in Web of Science")</f>
        <v>View Full Record in Web of Science</v>
      </c>
    </row>
    <row r="103" spans="1:72" x14ac:dyDescent="0.4">
      <c r="A103" t="s">
        <v>72</v>
      </c>
      <c r="B103" t="s">
        <v>7547</v>
      </c>
      <c r="C103" t="s">
        <v>74</v>
      </c>
      <c r="D103" t="s">
        <v>74</v>
      </c>
      <c r="E103" t="s">
        <v>74</v>
      </c>
      <c r="F103" t="s">
        <v>7548</v>
      </c>
      <c r="G103" t="s">
        <v>74</v>
      </c>
      <c r="H103" t="s">
        <v>74</v>
      </c>
      <c r="I103" t="s">
        <v>7549</v>
      </c>
      <c r="J103" t="s">
        <v>7550</v>
      </c>
      <c r="K103" t="s">
        <v>74</v>
      </c>
      <c r="L103" t="s">
        <v>74</v>
      </c>
      <c r="M103" t="s">
        <v>74</v>
      </c>
      <c r="N103" t="s">
        <v>74</v>
      </c>
      <c r="O103" t="s">
        <v>74</v>
      </c>
      <c r="P103" t="s">
        <v>74</v>
      </c>
      <c r="Q103" t="s">
        <v>74</v>
      </c>
      <c r="R103" t="s">
        <v>74</v>
      </c>
      <c r="S103" t="s">
        <v>74</v>
      </c>
      <c r="T103" t="s">
        <v>74</v>
      </c>
      <c r="U103" t="s">
        <v>74</v>
      </c>
      <c r="V103" s="3" t="s">
        <v>7551</v>
      </c>
      <c r="W103" t="s">
        <v>74</v>
      </c>
      <c r="X103" t="s">
        <v>74</v>
      </c>
      <c r="Y103" t="s">
        <v>74</v>
      </c>
      <c r="Z103" t="s">
        <v>74</v>
      </c>
      <c r="AA103" t="s">
        <v>74</v>
      </c>
      <c r="AB103" t="s">
        <v>74</v>
      </c>
      <c r="AC103" t="s">
        <v>74</v>
      </c>
      <c r="AD103" t="s">
        <v>74</v>
      </c>
      <c r="AE103" t="s">
        <v>74</v>
      </c>
      <c r="AF103" t="s">
        <v>74</v>
      </c>
      <c r="AG103" t="s">
        <v>74</v>
      </c>
      <c r="AH103" t="s">
        <v>74</v>
      </c>
      <c r="AI103" t="s">
        <v>74</v>
      </c>
      <c r="AJ103" t="s">
        <v>74</v>
      </c>
      <c r="AK103" t="s">
        <v>74</v>
      </c>
      <c r="AL103" t="s">
        <v>74</v>
      </c>
      <c r="AM103" t="s">
        <v>74</v>
      </c>
      <c r="AN103" t="s">
        <v>74</v>
      </c>
      <c r="AO103" t="s">
        <v>7552</v>
      </c>
      <c r="AP103" t="s">
        <v>7553</v>
      </c>
      <c r="AQ103" t="s">
        <v>74</v>
      </c>
      <c r="AR103" t="s">
        <v>74</v>
      </c>
      <c r="AS103" t="s">
        <v>74</v>
      </c>
      <c r="AT103" t="s">
        <v>74</v>
      </c>
      <c r="AU103">
        <v>2015</v>
      </c>
      <c r="AV103">
        <v>144</v>
      </c>
      <c r="AW103">
        <v>4</v>
      </c>
      <c r="AX103" t="s">
        <v>74</v>
      </c>
      <c r="AY103" t="s">
        <v>74</v>
      </c>
      <c r="AZ103" t="s">
        <v>74</v>
      </c>
      <c r="BA103" t="s">
        <v>74</v>
      </c>
      <c r="BB103">
        <v>717</v>
      </c>
      <c r="BC103">
        <v>723</v>
      </c>
      <c r="BD103" t="s">
        <v>74</v>
      </c>
      <c r="BE103" t="s">
        <v>7554</v>
      </c>
      <c r="BF103" t="str">
        <f>HYPERLINK("http://dx.doi.org/10.1080/00028487.2015.1037017","http://dx.doi.org/10.1080/00028487.2015.1037017")</f>
        <v>http://dx.doi.org/10.1080/00028487.2015.1037017</v>
      </c>
      <c r="BG103" t="s">
        <v>74</v>
      </c>
      <c r="BH103" t="s">
        <v>74</v>
      </c>
      <c r="BI103" t="s">
        <v>74</v>
      </c>
      <c r="BJ103" t="s">
        <v>74</v>
      </c>
      <c r="BK103" t="s">
        <v>74</v>
      </c>
      <c r="BL103" t="s">
        <v>74</v>
      </c>
      <c r="BM103" t="s">
        <v>74</v>
      </c>
      <c r="BN103" t="s">
        <v>74</v>
      </c>
      <c r="BO103" t="s">
        <v>74</v>
      </c>
      <c r="BP103" t="s">
        <v>74</v>
      </c>
      <c r="BQ103" t="s">
        <v>74</v>
      </c>
      <c r="BR103" t="s">
        <v>74</v>
      </c>
      <c r="BS103" t="s">
        <v>7555</v>
      </c>
      <c r="BT103" t="str">
        <f>HYPERLINK("https%3A%2F%2Fwww.webofscience.com%2Fwos%2Fwoscc%2Ffull-record%2FWOS:000358854700006","View Full Record in Web of Science")</f>
        <v>View Full Record in Web of Science</v>
      </c>
    </row>
    <row r="104" spans="1:72" x14ac:dyDescent="0.4">
      <c r="A104" t="s">
        <v>72</v>
      </c>
      <c r="B104" t="s">
        <v>5735</v>
      </c>
      <c r="C104" t="s">
        <v>74</v>
      </c>
      <c r="D104" t="s">
        <v>74</v>
      </c>
      <c r="E104" t="s">
        <v>74</v>
      </c>
      <c r="F104" t="s">
        <v>5736</v>
      </c>
      <c r="G104" t="s">
        <v>74</v>
      </c>
      <c r="H104" t="s">
        <v>74</v>
      </c>
      <c r="I104" t="s">
        <v>5737</v>
      </c>
      <c r="J104" t="s">
        <v>5738</v>
      </c>
      <c r="K104" t="s">
        <v>74</v>
      </c>
      <c r="L104" t="s">
        <v>74</v>
      </c>
      <c r="M104" t="s">
        <v>74</v>
      </c>
      <c r="N104" t="s">
        <v>74</v>
      </c>
      <c r="O104" t="s">
        <v>74</v>
      </c>
      <c r="P104" t="s">
        <v>74</v>
      </c>
      <c r="Q104" t="s">
        <v>74</v>
      </c>
      <c r="R104" t="s">
        <v>74</v>
      </c>
      <c r="S104" t="s">
        <v>74</v>
      </c>
      <c r="T104" t="s">
        <v>74</v>
      </c>
      <c r="U104" t="s">
        <v>74</v>
      </c>
      <c r="V104" s="3" t="s">
        <v>5739</v>
      </c>
      <c r="W104" t="s">
        <v>74</v>
      </c>
      <c r="X104" t="s">
        <v>74</v>
      </c>
      <c r="Y104" t="s">
        <v>74</v>
      </c>
      <c r="Z104" t="s">
        <v>74</v>
      </c>
      <c r="AA104" t="s">
        <v>74</v>
      </c>
      <c r="AB104" t="s">
        <v>74</v>
      </c>
      <c r="AC104" t="s">
        <v>74</v>
      </c>
      <c r="AD104" t="s">
        <v>74</v>
      </c>
      <c r="AE104" t="s">
        <v>74</v>
      </c>
      <c r="AF104" t="s">
        <v>74</v>
      </c>
      <c r="AG104" t="s">
        <v>74</v>
      </c>
      <c r="AH104" t="s">
        <v>74</v>
      </c>
      <c r="AI104" t="s">
        <v>74</v>
      </c>
      <c r="AJ104" t="s">
        <v>74</v>
      </c>
      <c r="AK104" t="s">
        <v>74</v>
      </c>
      <c r="AL104" t="s">
        <v>74</v>
      </c>
      <c r="AM104" t="s">
        <v>74</v>
      </c>
      <c r="AN104" t="s">
        <v>74</v>
      </c>
      <c r="AO104" t="s">
        <v>5740</v>
      </c>
      <c r="AP104" t="s">
        <v>74</v>
      </c>
      <c r="AQ104" t="s">
        <v>74</v>
      </c>
      <c r="AR104" t="s">
        <v>74</v>
      </c>
      <c r="AS104" t="s">
        <v>74</v>
      </c>
      <c r="AT104" t="s">
        <v>74</v>
      </c>
      <c r="AU104">
        <v>2016</v>
      </c>
      <c r="AV104">
        <v>33</v>
      </c>
      <c r="AW104">
        <v>2</v>
      </c>
      <c r="AX104" t="s">
        <v>74</v>
      </c>
      <c r="AY104" t="s">
        <v>74</v>
      </c>
      <c r="AZ104" t="s">
        <v>74</v>
      </c>
      <c r="BA104" t="s">
        <v>74</v>
      </c>
      <c r="BB104" t="s">
        <v>74</v>
      </c>
      <c r="BC104" t="s">
        <v>74</v>
      </c>
      <c r="BD104" t="s">
        <v>5741</v>
      </c>
      <c r="BE104" t="s">
        <v>5742</v>
      </c>
      <c r="BF104" t="str">
        <f>HYPERLINK("http://dx.doi.org/10.1590/S1984-4689zool-20150190","http://dx.doi.org/10.1590/S1984-4689zool-20150190")</f>
        <v>http://dx.doi.org/10.1590/S1984-4689zool-20150190</v>
      </c>
      <c r="BG104" t="s">
        <v>74</v>
      </c>
      <c r="BH104" t="s">
        <v>74</v>
      </c>
      <c r="BI104" t="s">
        <v>74</v>
      </c>
      <c r="BJ104" t="s">
        <v>74</v>
      </c>
      <c r="BK104" t="s">
        <v>74</v>
      </c>
      <c r="BL104" t="s">
        <v>74</v>
      </c>
      <c r="BM104" t="s">
        <v>74</v>
      </c>
      <c r="BN104" t="s">
        <v>74</v>
      </c>
      <c r="BO104" t="s">
        <v>74</v>
      </c>
      <c r="BP104" t="s">
        <v>74</v>
      </c>
      <c r="BQ104" t="s">
        <v>74</v>
      </c>
      <c r="BR104" t="s">
        <v>74</v>
      </c>
      <c r="BS104" t="s">
        <v>5743</v>
      </c>
      <c r="BT104" t="str">
        <f>HYPERLINK("https%3A%2F%2Fwww.webofscience.com%2Fwos%2Fwoscc%2Ffull-record%2FWOS:000376449900006","View Full Record in Web of Science")</f>
        <v>View Full Record in Web of Science</v>
      </c>
    </row>
    <row r="105" spans="1:72" x14ac:dyDescent="0.4">
      <c r="A105" t="s">
        <v>72</v>
      </c>
      <c r="B105" t="s">
        <v>8013</v>
      </c>
      <c r="C105" t="s">
        <v>74</v>
      </c>
      <c r="D105" t="s">
        <v>74</v>
      </c>
      <c r="E105" t="s">
        <v>74</v>
      </c>
      <c r="F105" t="s">
        <v>8014</v>
      </c>
      <c r="G105" t="s">
        <v>74</v>
      </c>
      <c r="H105" t="s">
        <v>74</v>
      </c>
      <c r="I105" t="s">
        <v>8015</v>
      </c>
      <c r="J105" t="s">
        <v>1437</v>
      </c>
      <c r="K105" t="s">
        <v>74</v>
      </c>
      <c r="L105" t="s">
        <v>74</v>
      </c>
      <c r="M105" t="s">
        <v>74</v>
      </c>
      <c r="N105" t="s">
        <v>74</v>
      </c>
      <c r="O105" t="s">
        <v>74</v>
      </c>
      <c r="P105" t="s">
        <v>74</v>
      </c>
      <c r="Q105" t="s">
        <v>74</v>
      </c>
      <c r="R105" t="s">
        <v>74</v>
      </c>
      <c r="S105" t="s">
        <v>74</v>
      </c>
      <c r="T105" t="s">
        <v>74</v>
      </c>
      <c r="U105" t="s">
        <v>74</v>
      </c>
      <c r="V105" s="3" t="s">
        <v>8016</v>
      </c>
      <c r="W105" t="s">
        <v>74</v>
      </c>
      <c r="X105" t="s">
        <v>74</v>
      </c>
      <c r="Y105" t="s">
        <v>74</v>
      </c>
      <c r="Z105" t="s">
        <v>74</v>
      </c>
      <c r="AA105" t="s">
        <v>8017</v>
      </c>
      <c r="AB105" t="s">
        <v>8018</v>
      </c>
      <c r="AC105" t="s">
        <v>74</v>
      </c>
      <c r="AD105" t="s">
        <v>74</v>
      </c>
      <c r="AE105" t="s">
        <v>74</v>
      </c>
      <c r="AF105" t="s">
        <v>74</v>
      </c>
      <c r="AG105" t="s">
        <v>74</v>
      </c>
      <c r="AH105" t="s">
        <v>74</v>
      </c>
      <c r="AI105" t="s">
        <v>74</v>
      </c>
      <c r="AJ105" t="s">
        <v>74</v>
      </c>
      <c r="AK105" t="s">
        <v>74</v>
      </c>
      <c r="AL105" t="s">
        <v>74</v>
      </c>
      <c r="AM105" t="s">
        <v>74</v>
      </c>
      <c r="AN105" t="s">
        <v>74</v>
      </c>
      <c r="AO105" t="s">
        <v>1440</v>
      </c>
      <c r="AP105" t="s">
        <v>3347</v>
      </c>
      <c r="AQ105" t="s">
        <v>74</v>
      </c>
      <c r="AR105" t="s">
        <v>74</v>
      </c>
      <c r="AS105" t="s">
        <v>74</v>
      </c>
      <c r="AT105" t="s">
        <v>204</v>
      </c>
      <c r="AU105">
        <v>2015</v>
      </c>
      <c r="AV105">
        <v>115</v>
      </c>
      <c r="AW105">
        <v>1</v>
      </c>
      <c r="AX105" t="s">
        <v>74</v>
      </c>
      <c r="AY105" t="s">
        <v>74</v>
      </c>
      <c r="AZ105" t="s">
        <v>74</v>
      </c>
      <c r="BA105" t="s">
        <v>74</v>
      </c>
      <c r="BB105">
        <v>47</v>
      </c>
      <c r="BC105">
        <v>55</v>
      </c>
      <c r="BD105" t="s">
        <v>74</v>
      </c>
      <c r="BE105" t="s">
        <v>8019</v>
      </c>
      <c r="BF105" t="str">
        <f>HYPERLINK("http://dx.doi.org/10.1038/hdy.2015.15","http://dx.doi.org/10.1038/hdy.2015.15")</f>
        <v>http://dx.doi.org/10.1038/hdy.2015.15</v>
      </c>
      <c r="BG105" t="s">
        <v>74</v>
      </c>
      <c r="BH105" t="s">
        <v>74</v>
      </c>
      <c r="BI105" t="s">
        <v>74</v>
      </c>
      <c r="BJ105" t="s">
        <v>74</v>
      </c>
      <c r="BK105" t="s">
        <v>74</v>
      </c>
      <c r="BL105" t="s">
        <v>74</v>
      </c>
      <c r="BM105" t="s">
        <v>74</v>
      </c>
      <c r="BN105">
        <v>26059968</v>
      </c>
      <c r="BO105" t="s">
        <v>74</v>
      </c>
      <c r="BP105" t="s">
        <v>74</v>
      </c>
      <c r="BQ105" t="s">
        <v>74</v>
      </c>
      <c r="BR105" t="s">
        <v>74</v>
      </c>
      <c r="BS105" t="s">
        <v>8020</v>
      </c>
      <c r="BT105" t="str">
        <f>HYPERLINK("https%3A%2F%2Fwww.webofscience.com%2Fwos%2Fwoscc%2Ffull-record%2FWOS:000356024900007","View Full Record in Web of Science")</f>
        <v>View Full Record in Web of Science</v>
      </c>
    </row>
    <row r="106" spans="1:72" x14ac:dyDescent="0.4">
      <c r="A106" t="s">
        <v>72</v>
      </c>
      <c r="B106" t="s">
        <v>1242</v>
      </c>
      <c r="C106" t="s">
        <v>74</v>
      </c>
      <c r="D106" t="s">
        <v>74</v>
      </c>
      <c r="E106" t="s">
        <v>74</v>
      </c>
      <c r="F106" t="s">
        <v>1242</v>
      </c>
      <c r="G106" t="s">
        <v>74</v>
      </c>
      <c r="H106" t="s">
        <v>74</v>
      </c>
      <c r="I106" t="s">
        <v>1243</v>
      </c>
      <c r="J106" t="s">
        <v>1244</v>
      </c>
      <c r="K106" t="s">
        <v>74</v>
      </c>
      <c r="L106" t="s">
        <v>74</v>
      </c>
      <c r="M106" t="s">
        <v>74</v>
      </c>
      <c r="N106" t="s">
        <v>74</v>
      </c>
      <c r="O106" t="s">
        <v>74</v>
      </c>
      <c r="P106" t="s">
        <v>74</v>
      </c>
      <c r="Q106" t="s">
        <v>74</v>
      </c>
      <c r="R106" t="s">
        <v>74</v>
      </c>
      <c r="S106" t="s">
        <v>74</v>
      </c>
      <c r="T106" t="s">
        <v>74</v>
      </c>
      <c r="U106" t="s">
        <v>74</v>
      </c>
      <c r="V106" s="3" t="s">
        <v>1245</v>
      </c>
      <c r="W106" t="s">
        <v>74</v>
      </c>
      <c r="X106" t="s">
        <v>74</v>
      </c>
      <c r="Y106" t="s">
        <v>74</v>
      </c>
      <c r="Z106" t="s">
        <v>74</v>
      </c>
      <c r="AA106" t="s">
        <v>74</v>
      </c>
      <c r="AB106" t="s">
        <v>74</v>
      </c>
      <c r="AC106" t="s">
        <v>74</v>
      </c>
      <c r="AD106" t="s">
        <v>74</v>
      </c>
      <c r="AE106" t="s">
        <v>74</v>
      </c>
      <c r="AF106" t="s">
        <v>74</v>
      </c>
      <c r="AG106" t="s">
        <v>74</v>
      </c>
      <c r="AH106" t="s">
        <v>74</v>
      </c>
      <c r="AI106" t="s">
        <v>74</v>
      </c>
      <c r="AJ106" t="s">
        <v>74</v>
      </c>
      <c r="AK106" t="s">
        <v>74</v>
      </c>
      <c r="AL106" t="s">
        <v>74</v>
      </c>
      <c r="AM106" t="s">
        <v>74</v>
      </c>
      <c r="AN106" t="s">
        <v>74</v>
      </c>
      <c r="AO106" t="s">
        <v>1246</v>
      </c>
      <c r="AP106" t="s">
        <v>74</v>
      </c>
      <c r="AQ106" t="s">
        <v>74</v>
      </c>
      <c r="AR106" t="s">
        <v>74</v>
      </c>
      <c r="AS106" t="s">
        <v>74</v>
      </c>
      <c r="AT106" t="s">
        <v>1247</v>
      </c>
      <c r="AU106">
        <v>2004</v>
      </c>
      <c r="AV106">
        <v>33</v>
      </c>
      <c r="AW106">
        <v>2</v>
      </c>
      <c r="AX106" t="s">
        <v>74</v>
      </c>
      <c r="AY106" t="s">
        <v>74</v>
      </c>
      <c r="AZ106" t="s">
        <v>74</v>
      </c>
      <c r="BA106" t="s">
        <v>74</v>
      </c>
      <c r="BB106">
        <v>147</v>
      </c>
      <c r="BC106">
        <v>156</v>
      </c>
      <c r="BD106" t="s">
        <v>74</v>
      </c>
      <c r="BE106" t="s">
        <v>74</v>
      </c>
      <c r="BF106" t="s">
        <v>74</v>
      </c>
      <c r="BG106" t="s">
        <v>74</v>
      </c>
      <c r="BH106" t="s">
        <v>74</v>
      </c>
      <c r="BI106" t="s">
        <v>74</v>
      </c>
      <c r="BJ106" t="s">
        <v>74</v>
      </c>
      <c r="BK106" t="s">
        <v>74</v>
      </c>
      <c r="BL106" t="s">
        <v>74</v>
      </c>
      <c r="BM106" t="s">
        <v>74</v>
      </c>
      <c r="BN106" t="s">
        <v>74</v>
      </c>
      <c r="BO106" t="s">
        <v>74</v>
      </c>
      <c r="BP106" t="s">
        <v>74</v>
      </c>
      <c r="BQ106" t="s">
        <v>74</v>
      </c>
      <c r="BR106" t="s">
        <v>74</v>
      </c>
      <c r="BS106" t="s">
        <v>1248</v>
      </c>
      <c r="BT106" t="str">
        <f>HYPERLINK("https%3A%2F%2Fwww.webofscience.com%2Fwos%2Fwoscc%2Ffull-record%2FWOS:000221702600002","View Full Record in Web of Science")</f>
        <v>View Full Record in Web of Science</v>
      </c>
    </row>
    <row r="107" spans="1:72" x14ac:dyDescent="0.4">
      <c r="A107" t="s">
        <v>72</v>
      </c>
      <c r="B107" t="s">
        <v>5707</v>
      </c>
      <c r="C107" t="s">
        <v>74</v>
      </c>
      <c r="D107" t="s">
        <v>74</v>
      </c>
      <c r="E107" t="s">
        <v>74</v>
      </c>
      <c r="F107" t="s">
        <v>5708</v>
      </c>
      <c r="G107" t="s">
        <v>74</v>
      </c>
      <c r="H107" t="s">
        <v>74</v>
      </c>
      <c r="I107" t="s">
        <v>5709</v>
      </c>
      <c r="J107" t="s">
        <v>5710</v>
      </c>
      <c r="K107" t="s">
        <v>74</v>
      </c>
      <c r="L107" t="s">
        <v>74</v>
      </c>
      <c r="M107" t="s">
        <v>74</v>
      </c>
      <c r="N107" t="s">
        <v>74</v>
      </c>
      <c r="O107" t="s">
        <v>74</v>
      </c>
      <c r="P107" t="s">
        <v>74</v>
      </c>
      <c r="Q107" t="s">
        <v>74</v>
      </c>
      <c r="R107" t="s">
        <v>74</v>
      </c>
      <c r="S107" t="s">
        <v>74</v>
      </c>
      <c r="T107" t="s">
        <v>74</v>
      </c>
      <c r="U107" t="s">
        <v>74</v>
      </c>
      <c r="V107" s="3" t="s">
        <v>5711</v>
      </c>
      <c r="W107" t="s">
        <v>74</v>
      </c>
      <c r="X107" t="s">
        <v>74</v>
      </c>
      <c r="Y107" t="s">
        <v>74</v>
      </c>
      <c r="Z107" t="s">
        <v>74</v>
      </c>
      <c r="AA107" t="s">
        <v>5712</v>
      </c>
      <c r="AB107" t="s">
        <v>5713</v>
      </c>
      <c r="AC107" t="s">
        <v>74</v>
      </c>
      <c r="AD107" t="s">
        <v>74</v>
      </c>
      <c r="AE107" t="s">
        <v>74</v>
      </c>
      <c r="AF107" t="s">
        <v>74</v>
      </c>
      <c r="AG107" t="s">
        <v>74</v>
      </c>
      <c r="AH107" t="s">
        <v>74</v>
      </c>
      <c r="AI107" t="s">
        <v>74</v>
      </c>
      <c r="AJ107" t="s">
        <v>74</v>
      </c>
      <c r="AK107" t="s">
        <v>74</v>
      </c>
      <c r="AL107" t="s">
        <v>74</v>
      </c>
      <c r="AM107" t="s">
        <v>74</v>
      </c>
      <c r="AN107" t="s">
        <v>74</v>
      </c>
      <c r="AO107" t="s">
        <v>5714</v>
      </c>
      <c r="AP107" t="s">
        <v>5715</v>
      </c>
      <c r="AQ107" t="s">
        <v>74</v>
      </c>
      <c r="AR107" t="s">
        <v>74</v>
      </c>
      <c r="AS107" t="s">
        <v>74</v>
      </c>
      <c r="AT107" t="s">
        <v>74</v>
      </c>
      <c r="AU107">
        <v>2015</v>
      </c>
      <c r="AV107">
        <v>65</v>
      </c>
      <c r="AW107">
        <v>1</v>
      </c>
      <c r="AX107" t="s">
        <v>74</v>
      </c>
      <c r="AY107" t="s">
        <v>74</v>
      </c>
      <c r="AZ107" t="s">
        <v>74</v>
      </c>
      <c r="BA107" t="s">
        <v>74</v>
      </c>
      <c r="BB107">
        <v>21</v>
      </c>
      <c r="BC107">
        <v>39</v>
      </c>
      <c r="BD107" t="s">
        <v>74</v>
      </c>
      <c r="BE107" t="s">
        <v>5716</v>
      </c>
      <c r="BF107" t="str">
        <f>HYPERLINK("http://dx.doi.org/10.3161/00034541ANZ2015.65.1.003","http://dx.doi.org/10.3161/00034541ANZ2015.65.1.003")</f>
        <v>http://dx.doi.org/10.3161/00034541ANZ2015.65.1.003</v>
      </c>
      <c r="BG107" t="s">
        <v>74</v>
      </c>
      <c r="BH107" t="s">
        <v>74</v>
      </c>
      <c r="BI107" t="s">
        <v>74</v>
      </c>
      <c r="BJ107" t="s">
        <v>74</v>
      </c>
      <c r="BK107" t="s">
        <v>74</v>
      </c>
      <c r="BL107" t="s">
        <v>74</v>
      </c>
      <c r="BM107" t="s">
        <v>74</v>
      </c>
      <c r="BN107" t="s">
        <v>74</v>
      </c>
      <c r="BO107" t="s">
        <v>74</v>
      </c>
      <c r="BP107" t="s">
        <v>74</v>
      </c>
      <c r="BQ107" t="s">
        <v>74</v>
      </c>
      <c r="BR107" t="s">
        <v>74</v>
      </c>
      <c r="BS107" t="s">
        <v>5717</v>
      </c>
      <c r="BT107" t="str">
        <f>HYPERLINK("https%3A%2F%2Fwww.webofscience.com%2Fwos%2Fwoscc%2Ffull-record%2FWOS:000353527500003","View Full Record in Web of Science")</f>
        <v>View Full Record in Web of Science</v>
      </c>
    </row>
    <row r="108" spans="1:72" x14ac:dyDescent="0.4">
      <c r="A108" t="s">
        <v>72</v>
      </c>
      <c r="B108" t="s">
        <v>573</v>
      </c>
      <c r="C108" t="s">
        <v>74</v>
      </c>
      <c r="D108" t="s">
        <v>74</v>
      </c>
      <c r="E108" t="s">
        <v>74</v>
      </c>
      <c r="F108" t="s">
        <v>574</v>
      </c>
      <c r="G108" t="s">
        <v>74</v>
      </c>
      <c r="H108" t="s">
        <v>74</v>
      </c>
      <c r="I108" t="s">
        <v>575</v>
      </c>
      <c r="J108" t="s">
        <v>576</v>
      </c>
      <c r="K108" t="s">
        <v>74</v>
      </c>
      <c r="L108" t="s">
        <v>74</v>
      </c>
      <c r="M108" t="s">
        <v>74</v>
      </c>
      <c r="N108" t="s">
        <v>74</v>
      </c>
      <c r="O108" t="s">
        <v>74</v>
      </c>
      <c r="P108" t="s">
        <v>74</v>
      </c>
      <c r="Q108" t="s">
        <v>74</v>
      </c>
      <c r="R108" t="s">
        <v>74</v>
      </c>
      <c r="S108" t="s">
        <v>74</v>
      </c>
      <c r="T108" t="s">
        <v>74</v>
      </c>
      <c r="U108" t="s">
        <v>74</v>
      </c>
      <c r="V108" s="3" t="s">
        <v>577</v>
      </c>
      <c r="W108" t="s">
        <v>74</v>
      </c>
      <c r="X108" t="s">
        <v>74</v>
      </c>
      <c r="Y108" t="s">
        <v>74</v>
      </c>
      <c r="Z108" t="s">
        <v>74</v>
      </c>
      <c r="AA108" t="s">
        <v>74</v>
      </c>
      <c r="AB108" t="s">
        <v>578</v>
      </c>
      <c r="AC108" t="s">
        <v>74</v>
      </c>
      <c r="AD108" t="s">
        <v>74</v>
      </c>
      <c r="AE108" t="s">
        <v>74</v>
      </c>
      <c r="AF108" t="s">
        <v>74</v>
      </c>
      <c r="AG108" t="s">
        <v>74</v>
      </c>
      <c r="AH108" t="s">
        <v>74</v>
      </c>
      <c r="AI108" t="s">
        <v>74</v>
      </c>
      <c r="AJ108" t="s">
        <v>74</v>
      </c>
      <c r="AK108" t="s">
        <v>74</v>
      </c>
      <c r="AL108" t="s">
        <v>74</v>
      </c>
      <c r="AM108" t="s">
        <v>74</v>
      </c>
      <c r="AN108" t="s">
        <v>74</v>
      </c>
      <c r="AO108" t="s">
        <v>579</v>
      </c>
      <c r="AP108" t="s">
        <v>580</v>
      </c>
      <c r="AQ108" t="s">
        <v>74</v>
      </c>
      <c r="AR108" t="s">
        <v>74</v>
      </c>
      <c r="AS108" t="s">
        <v>74</v>
      </c>
      <c r="AT108" t="s">
        <v>581</v>
      </c>
      <c r="AU108">
        <v>2024</v>
      </c>
      <c r="AV108" t="s">
        <v>74</v>
      </c>
      <c r="AW108" t="s">
        <v>74</v>
      </c>
      <c r="AX108" t="s">
        <v>74</v>
      </c>
      <c r="AY108" t="s">
        <v>74</v>
      </c>
      <c r="AZ108" t="s">
        <v>74</v>
      </c>
      <c r="BA108" t="s">
        <v>74</v>
      </c>
      <c r="BB108" t="s">
        <v>74</v>
      </c>
      <c r="BC108" t="s">
        <v>74</v>
      </c>
      <c r="BD108" t="s">
        <v>74</v>
      </c>
      <c r="BE108" t="s">
        <v>582</v>
      </c>
      <c r="BF108" t="str">
        <f>HYPERLINK("http://dx.doi.org/10.1007/s10682-023-10285-x","http://dx.doi.org/10.1007/s10682-023-10285-x")</f>
        <v>http://dx.doi.org/10.1007/s10682-023-10285-x</v>
      </c>
      <c r="BG108" t="s">
        <v>74</v>
      </c>
      <c r="BH108" t="s">
        <v>583</v>
      </c>
      <c r="BI108" t="s">
        <v>74</v>
      </c>
      <c r="BJ108" t="s">
        <v>74</v>
      </c>
      <c r="BK108" t="s">
        <v>74</v>
      </c>
      <c r="BL108" t="s">
        <v>74</v>
      </c>
      <c r="BM108" t="s">
        <v>74</v>
      </c>
      <c r="BN108" t="s">
        <v>74</v>
      </c>
      <c r="BO108" t="s">
        <v>74</v>
      </c>
      <c r="BP108" t="s">
        <v>74</v>
      </c>
      <c r="BQ108" t="s">
        <v>74</v>
      </c>
      <c r="BR108" t="s">
        <v>74</v>
      </c>
      <c r="BS108" t="s">
        <v>584</v>
      </c>
      <c r="BT108" t="str">
        <f>HYPERLINK("https%3A%2F%2Fwww.webofscience.com%2Fwos%2Fwoscc%2Ffull-record%2FWOS:001150340400001","View Full Record in Web of Science")</f>
        <v>View Full Record in Web of Science</v>
      </c>
    </row>
    <row r="109" spans="1:72" x14ac:dyDescent="0.4">
      <c r="A109" t="s">
        <v>72</v>
      </c>
      <c r="B109" t="s">
        <v>7966</v>
      </c>
      <c r="C109" t="s">
        <v>74</v>
      </c>
      <c r="D109" t="s">
        <v>74</v>
      </c>
      <c r="E109" t="s">
        <v>74</v>
      </c>
      <c r="F109" t="s">
        <v>7967</v>
      </c>
      <c r="G109" t="s">
        <v>74</v>
      </c>
      <c r="H109" t="s">
        <v>74</v>
      </c>
      <c r="I109" t="s">
        <v>7968</v>
      </c>
      <c r="J109" t="s">
        <v>3353</v>
      </c>
      <c r="K109" t="s">
        <v>74</v>
      </c>
      <c r="L109" t="s">
        <v>74</v>
      </c>
      <c r="M109" t="s">
        <v>74</v>
      </c>
      <c r="N109" t="s">
        <v>74</v>
      </c>
      <c r="O109" t="s">
        <v>74</v>
      </c>
      <c r="P109" t="s">
        <v>74</v>
      </c>
      <c r="Q109" t="s">
        <v>74</v>
      </c>
      <c r="R109" t="s">
        <v>74</v>
      </c>
      <c r="S109" t="s">
        <v>74</v>
      </c>
      <c r="T109" t="s">
        <v>74</v>
      </c>
      <c r="U109" t="s">
        <v>74</v>
      </c>
      <c r="V109" s="3" t="s">
        <v>7969</v>
      </c>
      <c r="W109" t="s">
        <v>74</v>
      </c>
      <c r="X109" t="s">
        <v>74</v>
      </c>
      <c r="Y109" t="s">
        <v>74</v>
      </c>
      <c r="Z109" t="s">
        <v>74</v>
      </c>
      <c r="AA109" t="s">
        <v>7970</v>
      </c>
      <c r="AB109" t="s">
        <v>7971</v>
      </c>
      <c r="AC109" t="s">
        <v>74</v>
      </c>
      <c r="AD109" t="s">
        <v>74</v>
      </c>
      <c r="AE109" t="s">
        <v>74</v>
      </c>
      <c r="AF109" t="s">
        <v>74</v>
      </c>
      <c r="AG109" t="s">
        <v>74</v>
      </c>
      <c r="AH109" t="s">
        <v>74</v>
      </c>
      <c r="AI109" t="s">
        <v>74</v>
      </c>
      <c r="AJ109" t="s">
        <v>74</v>
      </c>
      <c r="AK109" t="s">
        <v>74</v>
      </c>
      <c r="AL109" t="s">
        <v>74</v>
      </c>
      <c r="AM109" t="s">
        <v>74</v>
      </c>
      <c r="AN109" t="s">
        <v>74</v>
      </c>
      <c r="AO109" t="s">
        <v>3357</v>
      </c>
      <c r="AP109" t="s">
        <v>3358</v>
      </c>
      <c r="AQ109" t="s">
        <v>74</v>
      </c>
      <c r="AR109" t="s">
        <v>74</v>
      </c>
      <c r="AS109" t="s">
        <v>74</v>
      </c>
      <c r="AT109" t="s">
        <v>633</v>
      </c>
      <c r="AU109">
        <v>2013</v>
      </c>
      <c r="AV109">
        <v>38</v>
      </c>
      <c r="AW109">
        <v>2</v>
      </c>
      <c r="AX109" t="s">
        <v>74</v>
      </c>
      <c r="AY109" t="s">
        <v>74</v>
      </c>
      <c r="AZ109" t="s">
        <v>74</v>
      </c>
      <c r="BA109" t="s">
        <v>74</v>
      </c>
      <c r="BB109">
        <v>169</v>
      </c>
      <c r="BC109">
        <v>176</v>
      </c>
      <c r="BD109" t="s">
        <v>74</v>
      </c>
      <c r="BE109" t="s">
        <v>7972</v>
      </c>
      <c r="BF109" t="str">
        <f>HYPERLINK("http://dx.doi.org/10.1111/j.1442-9993.2012.02389.x","http://dx.doi.org/10.1111/j.1442-9993.2012.02389.x")</f>
        <v>http://dx.doi.org/10.1111/j.1442-9993.2012.02389.x</v>
      </c>
      <c r="BG109" t="s">
        <v>74</v>
      </c>
      <c r="BH109" t="s">
        <v>74</v>
      </c>
      <c r="BI109" t="s">
        <v>74</v>
      </c>
      <c r="BJ109" t="s">
        <v>74</v>
      </c>
      <c r="BK109" t="s">
        <v>74</v>
      </c>
      <c r="BL109" t="s">
        <v>74</v>
      </c>
      <c r="BM109" t="s">
        <v>74</v>
      </c>
      <c r="BN109" t="s">
        <v>74</v>
      </c>
      <c r="BO109" t="s">
        <v>74</v>
      </c>
      <c r="BP109" t="s">
        <v>74</v>
      </c>
      <c r="BQ109" t="s">
        <v>74</v>
      </c>
      <c r="BR109" t="s">
        <v>74</v>
      </c>
      <c r="BS109" t="s">
        <v>7973</v>
      </c>
      <c r="BT109" t="str">
        <f>HYPERLINK("https%3A%2F%2Fwww.webofscience.com%2Fwos%2Fwoscc%2Ffull-record%2FWOS:000316623400006","View Full Record in Web of Science")</f>
        <v>View Full Record in Web of Science</v>
      </c>
    </row>
    <row r="110" spans="1:72" x14ac:dyDescent="0.4">
      <c r="A110" t="s">
        <v>72</v>
      </c>
      <c r="B110" t="s">
        <v>682</v>
      </c>
      <c r="C110" t="s">
        <v>74</v>
      </c>
      <c r="D110" t="s">
        <v>74</v>
      </c>
      <c r="E110" t="s">
        <v>74</v>
      </c>
      <c r="F110" t="s">
        <v>683</v>
      </c>
      <c r="G110" t="s">
        <v>74</v>
      </c>
      <c r="H110" t="s">
        <v>74</v>
      </c>
      <c r="I110" t="s">
        <v>684</v>
      </c>
      <c r="J110" t="s">
        <v>140</v>
      </c>
      <c r="K110" t="s">
        <v>74</v>
      </c>
      <c r="L110" t="s">
        <v>74</v>
      </c>
      <c r="M110" t="s">
        <v>74</v>
      </c>
      <c r="N110" t="s">
        <v>74</v>
      </c>
      <c r="O110" t="s">
        <v>74</v>
      </c>
      <c r="P110" t="s">
        <v>74</v>
      </c>
      <c r="Q110" t="s">
        <v>74</v>
      </c>
      <c r="R110" t="s">
        <v>74</v>
      </c>
      <c r="S110" t="s">
        <v>74</v>
      </c>
      <c r="T110" t="s">
        <v>74</v>
      </c>
      <c r="U110" t="s">
        <v>74</v>
      </c>
      <c r="V110" s="3" t="s">
        <v>685</v>
      </c>
      <c r="W110" t="s">
        <v>74</v>
      </c>
      <c r="X110" t="s">
        <v>74</v>
      </c>
      <c r="Y110" t="s">
        <v>74</v>
      </c>
      <c r="Z110" t="s">
        <v>74</v>
      </c>
      <c r="AA110" t="s">
        <v>74</v>
      </c>
      <c r="AB110" t="s">
        <v>686</v>
      </c>
      <c r="AC110" t="s">
        <v>74</v>
      </c>
      <c r="AD110" t="s">
        <v>74</v>
      </c>
      <c r="AE110" t="s">
        <v>74</v>
      </c>
      <c r="AF110" t="s">
        <v>74</v>
      </c>
      <c r="AG110" t="s">
        <v>74</v>
      </c>
      <c r="AH110" t="s">
        <v>74</v>
      </c>
      <c r="AI110" t="s">
        <v>74</v>
      </c>
      <c r="AJ110" t="s">
        <v>74</v>
      </c>
      <c r="AK110" t="s">
        <v>74</v>
      </c>
      <c r="AL110" t="s">
        <v>74</v>
      </c>
      <c r="AM110" t="s">
        <v>74</v>
      </c>
      <c r="AN110" t="s">
        <v>74</v>
      </c>
      <c r="AO110" t="s">
        <v>143</v>
      </c>
      <c r="AP110" t="s">
        <v>144</v>
      </c>
      <c r="AQ110" t="s">
        <v>74</v>
      </c>
      <c r="AR110" t="s">
        <v>74</v>
      </c>
      <c r="AS110" t="s">
        <v>74</v>
      </c>
      <c r="AT110" t="s">
        <v>102</v>
      </c>
      <c r="AU110">
        <v>2016</v>
      </c>
      <c r="AV110">
        <v>116</v>
      </c>
      <c r="AW110" t="s">
        <v>74</v>
      </c>
      <c r="AX110" t="s">
        <v>74</v>
      </c>
      <c r="AY110" t="s">
        <v>74</v>
      </c>
      <c r="AZ110" t="s">
        <v>74</v>
      </c>
      <c r="BA110" t="s">
        <v>74</v>
      </c>
      <c r="BB110">
        <v>213</v>
      </c>
      <c r="BC110">
        <v>221</v>
      </c>
      <c r="BD110" t="s">
        <v>74</v>
      </c>
      <c r="BE110" t="s">
        <v>687</v>
      </c>
      <c r="BF110" t="str">
        <f>HYPERLINK("http://dx.doi.org/10.1016/j.anbehav.2016.03.035","http://dx.doi.org/10.1016/j.anbehav.2016.03.035")</f>
        <v>http://dx.doi.org/10.1016/j.anbehav.2016.03.035</v>
      </c>
      <c r="BG110" t="s">
        <v>74</v>
      </c>
      <c r="BH110" t="s">
        <v>74</v>
      </c>
      <c r="BI110" t="s">
        <v>74</v>
      </c>
      <c r="BJ110" t="s">
        <v>74</v>
      </c>
      <c r="BK110" t="s">
        <v>74</v>
      </c>
      <c r="BL110" t="s">
        <v>74</v>
      </c>
      <c r="BM110" t="s">
        <v>74</v>
      </c>
      <c r="BN110" t="s">
        <v>74</v>
      </c>
      <c r="BO110" t="s">
        <v>74</v>
      </c>
      <c r="BP110" t="s">
        <v>74</v>
      </c>
      <c r="BQ110" t="s">
        <v>74</v>
      </c>
      <c r="BR110" t="s">
        <v>74</v>
      </c>
      <c r="BS110" t="s">
        <v>688</v>
      </c>
      <c r="BT110" t="str">
        <f>HYPERLINK("https%3A%2F%2Fwww.webofscience.com%2Fwos%2Fwoscc%2Ffull-record%2FWOS:000377286700023","View Full Record in Web of Science")</f>
        <v>View Full Record in Web of Science</v>
      </c>
    </row>
    <row r="111" spans="1:72" x14ac:dyDescent="0.4">
      <c r="A111" t="s">
        <v>72</v>
      </c>
      <c r="B111" t="s">
        <v>2820</v>
      </c>
      <c r="C111" t="s">
        <v>74</v>
      </c>
      <c r="D111" t="s">
        <v>74</v>
      </c>
      <c r="E111" t="s">
        <v>74</v>
      </c>
      <c r="F111" t="s">
        <v>2821</v>
      </c>
      <c r="G111" t="s">
        <v>74</v>
      </c>
      <c r="H111" t="s">
        <v>74</v>
      </c>
      <c r="I111" t="s">
        <v>2822</v>
      </c>
      <c r="J111" t="s">
        <v>1656</v>
      </c>
      <c r="K111" t="s">
        <v>74</v>
      </c>
      <c r="L111" t="s">
        <v>74</v>
      </c>
      <c r="M111" t="s">
        <v>74</v>
      </c>
      <c r="N111" t="s">
        <v>74</v>
      </c>
      <c r="O111" t="s">
        <v>74</v>
      </c>
      <c r="P111" t="s">
        <v>74</v>
      </c>
      <c r="Q111" t="s">
        <v>74</v>
      </c>
      <c r="R111" t="s">
        <v>74</v>
      </c>
      <c r="S111" t="s">
        <v>74</v>
      </c>
      <c r="T111" t="s">
        <v>74</v>
      </c>
      <c r="U111" t="s">
        <v>74</v>
      </c>
      <c r="V111" s="3" t="s">
        <v>2823</v>
      </c>
      <c r="W111" t="s">
        <v>74</v>
      </c>
      <c r="X111" t="s">
        <v>74</v>
      </c>
      <c r="Y111" t="s">
        <v>74</v>
      </c>
      <c r="Z111" t="s">
        <v>74</v>
      </c>
      <c r="AA111" t="s">
        <v>74</v>
      </c>
      <c r="AB111" t="s">
        <v>74</v>
      </c>
      <c r="AC111" t="s">
        <v>74</v>
      </c>
      <c r="AD111" t="s">
        <v>74</v>
      </c>
      <c r="AE111" t="s">
        <v>74</v>
      </c>
      <c r="AF111" t="s">
        <v>74</v>
      </c>
      <c r="AG111" t="s">
        <v>74</v>
      </c>
      <c r="AH111" t="s">
        <v>74</v>
      </c>
      <c r="AI111" t="s">
        <v>74</v>
      </c>
      <c r="AJ111" t="s">
        <v>74</v>
      </c>
      <c r="AK111" t="s">
        <v>74</v>
      </c>
      <c r="AL111" t="s">
        <v>74</v>
      </c>
      <c r="AM111" t="s">
        <v>74</v>
      </c>
      <c r="AN111" t="s">
        <v>74</v>
      </c>
      <c r="AO111" t="s">
        <v>1658</v>
      </c>
      <c r="AP111" t="s">
        <v>1659</v>
      </c>
      <c r="AQ111" t="s">
        <v>74</v>
      </c>
      <c r="AR111" t="s">
        <v>74</v>
      </c>
      <c r="AS111" t="s">
        <v>74</v>
      </c>
      <c r="AT111" t="s">
        <v>2824</v>
      </c>
      <c r="AU111">
        <v>2011</v>
      </c>
      <c r="AV111" t="s">
        <v>74</v>
      </c>
      <c r="AW111">
        <v>3110</v>
      </c>
      <c r="AX111" t="s">
        <v>74</v>
      </c>
      <c r="AY111" t="s">
        <v>74</v>
      </c>
      <c r="AZ111" t="s">
        <v>74</v>
      </c>
      <c r="BA111" t="s">
        <v>74</v>
      </c>
      <c r="BB111">
        <v>53</v>
      </c>
      <c r="BC111">
        <v>60</v>
      </c>
      <c r="BD111" t="s">
        <v>74</v>
      </c>
      <c r="BE111" t="s">
        <v>74</v>
      </c>
      <c r="BF111" t="s">
        <v>74</v>
      </c>
      <c r="BG111" t="s">
        <v>74</v>
      </c>
      <c r="BH111" t="s">
        <v>74</v>
      </c>
      <c r="BI111" t="s">
        <v>74</v>
      </c>
      <c r="BJ111" t="s">
        <v>74</v>
      </c>
      <c r="BK111" t="s">
        <v>74</v>
      </c>
      <c r="BL111" t="s">
        <v>74</v>
      </c>
      <c r="BM111" t="s">
        <v>74</v>
      </c>
      <c r="BN111" t="s">
        <v>74</v>
      </c>
      <c r="BO111" t="s">
        <v>74</v>
      </c>
      <c r="BP111" t="s">
        <v>74</v>
      </c>
      <c r="BQ111" t="s">
        <v>74</v>
      </c>
      <c r="BR111" t="s">
        <v>74</v>
      </c>
      <c r="BS111" t="s">
        <v>2825</v>
      </c>
      <c r="BT111" t="str">
        <f>HYPERLINK("https%3A%2F%2Fwww.webofscience.com%2Fwos%2Fwoscc%2Ffull-record%2FWOS:000297328000005","View Full Record in Web of Science")</f>
        <v>View Full Record in Web of Science</v>
      </c>
    </row>
    <row r="112" spans="1:72" x14ac:dyDescent="0.4">
      <c r="A112" t="s">
        <v>72</v>
      </c>
      <c r="B112" t="s">
        <v>6352</v>
      </c>
      <c r="C112" t="s">
        <v>74</v>
      </c>
      <c r="D112" t="s">
        <v>74</v>
      </c>
      <c r="E112" t="s">
        <v>74</v>
      </c>
      <c r="F112" t="s">
        <v>6352</v>
      </c>
      <c r="G112" t="s">
        <v>74</v>
      </c>
      <c r="H112" t="s">
        <v>74</v>
      </c>
      <c r="I112" t="s">
        <v>6353</v>
      </c>
      <c r="J112" t="s">
        <v>3498</v>
      </c>
      <c r="K112" t="s">
        <v>74</v>
      </c>
      <c r="L112" t="s">
        <v>74</v>
      </c>
      <c r="M112" t="s">
        <v>74</v>
      </c>
      <c r="N112" t="s">
        <v>74</v>
      </c>
      <c r="O112" t="s">
        <v>74</v>
      </c>
      <c r="P112" t="s">
        <v>74</v>
      </c>
      <c r="Q112" t="s">
        <v>74</v>
      </c>
      <c r="R112" t="s">
        <v>74</v>
      </c>
      <c r="S112" t="s">
        <v>74</v>
      </c>
      <c r="T112" t="s">
        <v>74</v>
      </c>
      <c r="U112" t="s">
        <v>74</v>
      </c>
      <c r="V112" s="3" t="s">
        <v>6354</v>
      </c>
      <c r="W112" t="s">
        <v>74</v>
      </c>
      <c r="X112" t="s">
        <v>74</v>
      </c>
      <c r="Y112" t="s">
        <v>74</v>
      </c>
      <c r="Z112" t="s">
        <v>74</v>
      </c>
      <c r="AA112" t="s">
        <v>74</v>
      </c>
      <c r="AB112" t="s">
        <v>74</v>
      </c>
      <c r="AC112" t="s">
        <v>74</v>
      </c>
      <c r="AD112" t="s">
        <v>74</v>
      </c>
      <c r="AE112" t="s">
        <v>74</v>
      </c>
      <c r="AF112" t="s">
        <v>74</v>
      </c>
      <c r="AG112" t="s">
        <v>74</v>
      </c>
      <c r="AH112" t="s">
        <v>74</v>
      </c>
      <c r="AI112" t="s">
        <v>74</v>
      </c>
      <c r="AJ112" t="s">
        <v>74</v>
      </c>
      <c r="AK112" t="s">
        <v>74</v>
      </c>
      <c r="AL112" t="s">
        <v>74</v>
      </c>
      <c r="AM112" t="s">
        <v>74</v>
      </c>
      <c r="AN112" t="s">
        <v>74</v>
      </c>
      <c r="AO112" t="s">
        <v>3501</v>
      </c>
      <c r="AP112" t="s">
        <v>3502</v>
      </c>
      <c r="AQ112" t="s">
        <v>74</v>
      </c>
      <c r="AR112" t="s">
        <v>74</v>
      </c>
      <c r="AS112" t="s">
        <v>74</v>
      </c>
      <c r="AT112" t="s">
        <v>305</v>
      </c>
      <c r="AU112">
        <v>2005</v>
      </c>
      <c r="AV112">
        <v>34</v>
      </c>
      <c r="AW112">
        <v>6</v>
      </c>
      <c r="AX112" t="s">
        <v>74</v>
      </c>
      <c r="AY112" t="s">
        <v>74</v>
      </c>
      <c r="AZ112" t="s">
        <v>74</v>
      </c>
      <c r="BA112" t="s">
        <v>74</v>
      </c>
      <c r="BB112">
        <v>1524</v>
      </c>
      <c r="BC112">
        <v>1533</v>
      </c>
      <c r="BD112" t="s">
        <v>74</v>
      </c>
      <c r="BE112" t="s">
        <v>6355</v>
      </c>
      <c r="BF112" t="str">
        <f>HYPERLINK("http://dx.doi.org/10.1603/0046-225X-34.6.1524","http://dx.doi.org/10.1603/0046-225X-34.6.1524")</f>
        <v>http://dx.doi.org/10.1603/0046-225X-34.6.1524</v>
      </c>
      <c r="BG112" t="s">
        <v>74</v>
      </c>
      <c r="BH112" t="s">
        <v>74</v>
      </c>
      <c r="BI112" t="s">
        <v>74</v>
      </c>
      <c r="BJ112" t="s">
        <v>74</v>
      </c>
      <c r="BK112" t="s">
        <v>74</v>
      </c>
      <c r="BL112" t="s">
        <v>74</v>
      </c>
      <c r="BM112" t="s">
        <v>74</v>
      </c>
      <c r="BN112" t="s">
        <v>74</v>
      </c>
      <c r="BO112" t="s">
        <v>74</v>
      </c>
      <c r="BP112" t="s">
        <v>74</v>
      </c>
      <c r="BQ112" t="s">
        <v>74</v>
      </c>
      <c r="BR112" t="s">
        <v>74</v>
      </c>
      <c r="BS112" t="s">
        <v>6356</v>
      </c>
      <c r="BT112" t="str">
        <f>HYPERLINK("https%3A%2F%2Fwww.webofscience.com%2Fwos%2Fwoscc%2Ffull-record%2FWOS:000234031400020","View Full Record in Web of Science")</f>
        <v>View Full Record in Web of Science</v>
      </c>
    </row>
    <row r="113" spans="1:72" x14ac:dyDescent="0.4">
      <c r="A113" t="s">
        <v>72</v>
      </c>
      <c r="B113" t="s">
        <v>7711</v>
      </c>
      <c r="C113" t="s">
        <v>74</v>
      </c>
      <c r="D113" t="s">
        <v>74</v>
      </c>
      <c r="E113" t="s">
        <v>74</v>
      </c>
      <c r="F113" t="s">
        <v>7712</v>
      </c>
      <c r="G113" t="s">
        <v>74</v>
      </c>
      <c r="H113" t="s">
        <v>74</v>
      </c>
      <c r="I113" t="s">
        <v>7713</v>
      </c>
      <c r="J113" t="s">
        <v>108</v>
      </c>
      <c r="K113" t="s">
        <v>74</v>
      </c>
      <c r="L113" t="s">
        <v>74</v>
      </c>
      <c r="M113" t="s">
        <v>74</v>
      </c>
      <c r="N113" t="s">
        <v>74</v>
      </c>
      <c r="O113" t="s">
        <v>74</v>
      </c>
      <c r="P113" t="s">
        <v>74</v>
      </c>
      <c r="Q113" t="s">
        <v>74</v>
      </c>
      <c r="R113" t="s">
        <v>74</v>
      </c>
      <c r="S113" t="s">
        <v>74</v>
      </c>
      <c r="T113" t="s">
        <v>74</v>
      </c>
      <c r="U113" t="s">
        <v>74</v>
      </c>
      <c r="V113" s="3" t="s">
        <v>7714</v>
      </c>
      <c r="W113" t="s">
        <v>74</v>
      </c>
      <c r="X113" t="s">
        <v>74</v>
      </c>
      <c r="Y113" t="s">
        <v>74</v>
      </c>
      <c r="Z113" t="s">
        <v>74</v>
      </c>
      <c r="AA113" t="s">
        <v>7715</v>
      </c>
      <c r="AB113" t="s">
        <v>7716</v>
      </c>
      <c r="AC113" t="s">
        <v>74</v>
      </c>
      <c r="AD113" t="s">
        <v>74</v>
      </c>
      <c r="AE113" t="s">
        <v>74</v>
      </c>
      <c r="AF113" t="s">
        <v>74</v>
      </c>
      <c r="AG113" t="s">
        <v>74</v>
      </c>
      <c r="AH113" t="s">
        <v>74</v>
      </c>
      <c r="AI113" t="s">
        <v>74</v>
      </c>
      <c r="AJ113" t="s">
        <v>74</v>
      </c>
      <c r="AK113" t="s">
        <v>74</v>
      </c>
      <c r="AL113" t="s">
        <v>74</v>
      </c>
      <c r="AM113" t="s">
        <v>74</v>
      </c>
      <c r="AN113" t="s">
        <v>74</v>
      </c>
      <c r="AO113" t="s">
        <v>111</v>
      </c>
      <c r="AP113" t="s">
        <v>112</v>
      </c>
      <c r="AQ113" t="s">
        <v>74</v>
      </c>
      <c r="AR113" t="s">
        <v>74</v>
      </c>
      <c r="AS113" t="s">
        <v>74</v>
      </c>
      <c r="AT113" t="s">
        <v>7717</v>
      </c>
      <c r="AU113">
        <v>2023</v>
      </c>
      <c r="AV113">
        <v>290</v>
      </c>
      <c r="AW113">
        <v>1991</v>
      </c>
      <c r="AX113" t="s">
        <v>74</v>
      </c>
      <c r="AY113" t="s">
        <v>74</v>
      </c>
      <c r="AZ113" t="s">
        <v>74</v>
      </c>
      <c r="BA113" t="s">
        <v>74</v>
      </c>
      <c r="BB113" t="s">
        <v>74</v>
      </c>
      <c r="BC113" t="s">
        <v>74</v>
      </c>
      <c r="BD113">
        <v>20221862</v>
      </c>
      <c r="BE113" t="s">
        <v>7718</v>
      </c>
      <c r="BF113" t="str">
        <f>HYPERLINK("http://dx.doi.org/10.1098/rspb.2022.1862","http://dx.doi.org/10.1098/rspb.2022.1862")</f>
        <v>http://dx.doi.org/10.1098/rspb.2022.1862</v>
      </c>
      <c r="BG113" t="s">
        <v>74</v>
      </c>
      <c r="BH113" t="s">
        <v>74</v>
      </c>
      <c r="BI113" t="s">
        <v>74</v>
      </c>
      <c r="BJ113" t="s">
        <v>74</v>
      </c>
      <c r="BK113" t="s">
        <v>74</v>
      </c>
      <c r="BL113" t="s">
        <v>74</v>
      </c>
      <c r="BM113" t="s">
        <v>74</v>
      </c>
      <c r="BN113">
        <v>36651041</v>
      </c>
      <c r="BO113" t="s">
        <v>74</v>
      </c>
      <c r="BP113" t="s">
        <v>74</v>
      </c>
      <c r="BQ113" t="s">
        <v>74</v>
      </c>
      <c r="BR113" t="s">
        <v>74</v>
      </c>
      <c r="BS113" t="s">
        <v>7719</v>
      </c>
      <c r="BT113" t="str">
        <f>HYPERLINK("https%3A%2F%2Fwww.webofscience.com%2Fwos%2Fwoscc%2Ffull-record%2FWOS:000914748200003","View Full Record in Web of Science")</f>
        <v>View Full Record in Web of Science</v>
      </c>
    </row>
    <row r="114" spans="1:72" x14ac:dyDescent="0.4">
      <c r="A114" t="s">
        <v>72</v>
      </c>
      <c r="B114" t="s">
        <v>4992</v>
      </c>
      <c r="C114" t="s">
        <v>74</v>
      </c>
      <c r="D114" t="s">
        <v>74</v>
      </c>
      <c r="E114" t="s">
        <v>74</v>
      </c>
      <c r="F114" t="s">
        <v>4993</v>
      </c>
      <c r="G114" t="s">
        <v>74</v>
      </c>
      <c r="H114" t="s">
        <v>74</v>
      </c>
      <c r="I114" t="s">
        <v>4994</v>
      </c>
      <c r="J114" t="s">
        <v>108</v>
      </c>
      <c r="K114" t="s">
        <v>74</v>
      </c>
      <c r="L114" t="s">
        <v>74</v>
      </c>
      <c r="M114" t="s">
        <v>74</v>
      </c>
      <c r="N114" t="s">
        <v>74</v>
      </c>
      <c r="O114" t="s">
        <v>74</v>
      </c>
      <c r="P114" t="s">
        <v>74</v>
      </c>
      <c r="Q114" t="s">
        <v>74</v>
      </c>
      <c r="R114" t="s">
        <v>74</v>
      </c>
      <c r="S114" t="s">
        <v>74</v>
      </c>
      <c r="T114" t="s">
        <v>74</v>
      </c>
      <c r="U114" t="s">
        <v>74</v>
      </c>
      <c r="V114" s="3" t="s">
        <v>4995</v>
      </c>
      <c r="W114" t="s">
        <v>74</v>
      </c>
      <c r="X114" t="s">
        <v>74</v>
      </c>
      <c r="Y114" t="s">
        <v>74</v>
      </c>
      <c r="Z114" t="s">
        <v>74</v>
      </c>
      <c r="AA114" t="s">
        <v>4996</v>
      </c>
      <c r="AB114" t="s">
        <v>4997</v>
      </c>
      <c r="AC114" t="s">
        <v>74</v>
      </c>
      <c r="AD114" t="s">
        <v>74</v>
      </c>
      <c r="AE114" t="s">
        <v>74</v>
      </c>
      <c r="AF114" t="s">
        <v>74</v>
      </c>
      <c r="AG114" t="s">
        <v>74</v>
      </c>
      <c r="AH114" t="s">
        <v>74</v>
      </c>
      <c r="AI114" t="s">
        <v>74</v>
      </c>
      <c r="AJ114" t="s">
        <v>74</v>
      </c>
      <c r="AK114" t="s">
        <v>74</v>
      </c>
      <c r="AL114" t="s">
        <v>74</v>
      </c>
      <c r="AM114" t="s">
        <v>74</v>
      </c>
      <c r="AN114" t="s">
        <v>74</v>
      </c>
      <c r="AO114" t="s">
        <v>111</v>
      </c>
      <c r="AP114" t="s">
        <v>112</v>
      </c>
      <c r="AQ114" t="s">
        <v>74</v>
      </c>
      <c r="AR114" t="s">
        <v>74</v>
      </c>
      <c r="AS114" t="s">
        <v>74</v>
      </c>
      <c r="AT114" t="s">
        <v>4998</v>
      </c>
      <c r="AU114">
        <v>2015</v>
      </c>
      <c r="AV114">
        <v>282</v>
      </c>
      <c r="AW114">
        <v>1798</v>
      </c>
      <c r="AX114" t="s">
        <v>74</v>
      </c>
      <c r="AY114" t="s">
        <v>74</v>
      </c>
      <c r="AZ114" t="s">
        <v>74</v>
      </c>
      <c r="BA114" t="s">
        <v>74</v>
      </c>
      <c r="BB114" t="s">
        <v>74</v>
      </c>
      <c r="BC114" t="s">
        <v>74</v>
      </c>
      <c r="BD114">
        <v>20142321</v>
      </c>
      <c r="BE114" t="s">
        <v>4999</v>
      </c>
      <c r="BF114" t="str">
        <f>HYPERLINK("http://dx.doi.org/10.1098/rspb.2014.2321","http://dx.doi.org/10.1098/rspb.2014.2321")</f>
        <v>http://dx.doi.org/10.1098/rspb.2014.2321</v>
      </c>
      <c r="BG114" t="s">
        <v>74</v>
      </c>
      <c r="BH114" t="s">
        <v>74</v>
      </c>
      <c r="BI114" t="s">
        <v>74</v>
      </c>
      <c r="BJ114" t="s">
        <v>74</v>
      </c>
      <c r="BK114" t="s">
        <v>74</v>
      </c>
      <c r="BL114" t="s">
        <v>74</v>
      </c>
      <c r="BM114" t="s">
        <v>74</v>
      </c>
      <c r="BN114">
        <v>25429020</v>
      </c>
      <c r="BO114" t="s">
        <v>74</v>
      </c>
      <c r="BP114" t="s">
        <v>74</v>
      </c>
      <c r="BQ114" t="s">
        <v>74</v>
      </c>
      <c r="BR114" t="s">
        <v>74</v>
      </c>
      <c r="BS114" t="s">
        <v>5000</v>
      </c>
      <c r="BT114" t="str">
        <f>HYPERLINK("https%3A%2F%2Fwww.webofscience.com%2Fwos%2Fwoscc%2Ffull-record%2FWOS:000347160800015","View Full Record in Web of Science")</f>
        <v>View Full Record in Web of Science</v>
      </c>
    </row>
    <row r="115" spans="1:72" x14ac:dyDescent="0.4">
      <c r="A115" t="s">
        <v>72</v>
      </c>
      <c r="B115" t="s">
        <v>3652</v>
      </c>
      <c r="C115" t="s">
        <v>74</v>
      </c>
      <c r="D115" t="s">
        <v>74</v>
      </c>
      <c r="E115" t="s">
        <v>74</v>
      </c>
      <c r="F115" t="s">
        <v>3653</v>
      </c>
      <c r="G115" t="s">
        <v>74</v>
      </c>
      <c r="H115" t="s">
        <v>74</v>
      </c>
      <c r="I115" t="s">
        <v>3654</v>
      </c>
      <c r="J115" t="s">
        <v>229</v>
      </c>
      <c r="K115" t="s">
        <v>74</v>
      </c>
      <c r="L115" t="s">
        <v>74</v>
      </c>
      <c r="M115" t="s">
        <v>74</v>
      </c>
      <c r="N115" t="s">
        <v>74</v>
      </c>
      <c r="O115" t="s">
        <v>74</v>
      </c>
      <c r="P115" t="s">
        <v>74</v>
      </c>
      <c r="Q115" t="s">
        <v>74</v>
      </c>
      <c r="R115" t="s">
        <v>74</v>
      </c>
      <c r="S115" t="s">
        <v>74</v>
      </c>
      <c r="T115" t="s">
        <v>74</v>
      </c>
      <c r="U115" t="s">
        <v>74</v>
      </c>
      <c r="V115" s="3" t="s">
        <v>3655</v>
      </c>
      <c r="W115" t="s">
        <v>74</v>
      </c>
      <c r="X115" t="s">
        <v>74</v>
      </c>
      <c r="Y115" t="s">
        <v>74</v>
      </c>
      <c r="Z115" t="s">
        <v>74</v>
      </c>
      <c r="AA115" t="s">
        <v>3656</v>
      </c>
      <c r="AB115" t="s">
        <v>3657</v>
      </c>
      <c r="AC115" t="s">
        <v>74</v>
      </c>
      <c r="AD115" t="s">
        <v>74</v>
      </c>
      <c r="AE115" t="s">
        <v>74</v>
      </c>
      <c r="AF115" t="s">
        <v>74</v>
      </c>
      <c r="AG115" t="s">
        <v>74</v>
      </c>
      <c r="AH115" t="s">
        <v>74</v>
      </c>
      <c r="AI115" t="s">
        <v>74</v>
      </c>
      <c r="AJ115" t="s">
        <v>74</v>
      </c>
      <c r="AK115" t="s">
        <v>74</v>
      </c>
      <c r="AL115" t="s">
        <v>74</v>
      </c>
      <c r="AM115" t="s">
        <v>74</v>
      </c>
      <c r="AN115" t="s">
        <v>74</v>
      </c>
      <c r="AO115" t="s">
        <v>233</v>
      </c>
      <c r="AP115" t="s">
        <v>234</v>
      </c>
      <c r="AQ115" t="s">
        <v>74</v>
      </c>
      <c r="AR115" t="s">
        <v>74</v>
      </c>
      <c r="AS115" t="s">
        <v>74</v>
      </c>
      <c r="AT115" t="s">
        <v>1475</v>
      </c>
      <c r="AU115">
        <v>2010</v>
      </c>
      <c r="AV115">
        <v>36</v>
      </c>
      <c r="AW115">
        <v>1</v>
      </c>
      <c r="AX115" t="s">
        <v>74</v>
      </c>
      <c r="AY115" t="s">
        <v>74</v>
      </c>
      <c r="AZ115" t="s">
        <v>74</v>
      </c>
      <c r="BA115" t="s">
        <v>74</v>
      </c>
      <c r="BB115">
        <v>1</v>
      </c>
      <c r="BC115">
        <v>13</v>
      </c>
      <c r="BD115" t="s">
        <v>74</v>
      </c>
      <c r="BE115" t="s">
        <v>3658</v>
      </c>
      <c r="BF115" t="str">
        <f>HYPERLINK("http://dx.doi.org/10.1002/ab.20329","http://dx.doi.org/10.1002/ab.20329")</f>
        <v>http://dx.doi.org/10.1002/ab.20329</v>
      </c>
      <c r="BG115" t="s">
        <v>74</v>
      </c>
      <c r="BH115" t="s">
        <v>74</v>
      </c>
      <c r="BI115" t="s">
        <v>74</v>
      </c>
      <c r="BJ115" t="s">
        <v>74</v>
      </c>
      <c r="BK115" t="s">
        <v>74</v>
      </c>
      <c r="BL115" t="s">
        <v>74</v>
      </c>
      <c r="BM115" t="s">
        <v>74</v>
      </c>
      <c r="BN115">
        <v>19859912</v>
      </c>
      <c r="BO115" t="s">
        <v>74</v>
      </c>
      <c r="BP115" t="s">
        <v>74</v>
      </c>
      <c r="BQ115" t="s">
        <v>74</v>
      </c>
      <c r="BR115" t="s">
        <v>74</v>
      </c>
      <c r="BS115" t="s">
        <v>3659</v>
      </c>
      <c r="BT115" t="str">
        <f>HYPERLINK("https%3A%2F%2Fwww.webofscience.com%2Fwos%2Fwoscc%2Ffull-record%2FWOS:000272728400001","View Full Record in Web of Science")</f>
        <v>View Full Record in Web of Science</v>
      </c>
    </row>
    <row r="116" spans="1:72" x14ac:dyDescent="0.4">
      <c r="A116" t="s">
        <v>72</v>
      </c>
      <c r="B116" t="s">
        <v>1485</v>
      </c>
      <c r="C116" t="s">
        <v>74</v>
      </c>
      <c r="D116" t="s">
        <v>74</v>
      </c>
      <c r="E116" t="s">
        <v>74</v>
      </c>
      <c r="F116" t="s">
        <v>1486</v>
      </c>
      <c r="G116" t="s">
        <v>74</v>
      </c>
      <c r="H116" t="s">
        <v>74</v>
      </c>
      <c r="I116" t="s">
        <v>1487</v>
      </c>
      <c r="J116" t="s">
        <v>333</v>
      </c>
      <c r="K116" t="s">
        <v>74</v>
      </c>
      <c r="L116" t="s">
        <v>74</v>
      </c>
      <c r="M116" t="s">
        <v>74</v>
      </c>
      <c r="N116" t="s">
        <v>74</v>
      </c>
      <c r="O116" t="s">
        <v>74</v>
      </c>
      <c r="P116" t="s">
        <v>74</v>
      </c>
      <c r="Q116" t="s">
        <v>74</v>
      </c>
      <c r="R116" t="s">
        <v>74</v>
      </c>
      <c r="S116" t="s">
        <v>74</v>
      </c>
      <c r="T116" t="s">
        <v>74</v>
      </c>
      <c r="U116" t="s">
        <v>74</v>
      </c>
      <c r="V116" s="3" t="s">
        <v>1488</v>
      </c>
      <c r="W116" t="s">
        <v>74</v>
      </c>
      <c r="X116" t="s">
        <v>74</v>
      </c>
      <c r="Y116" t="s">
        <v>74</v>
      </c>
      <c r="Z116" t="s">
        <v>74</v>
      </c>
      <c r="AA116" t="s">
        <v>74</v>
      </c>
      <c r="AB116" t="s">
        <v>74</v>
      </c>
      <c r="AC116" t="s">
        <v>74</v>
      </c>
      <c r="AD116" t="s">
        <v>74</v>
      </c>
      <c r="AE116" t="s">
        <v>74</v>
      </c>
      <c r="AF116" t="s">
        <v>74</v>
      </c>
      <c r="AG116" t="s">
        <v>74</v>
      </c>
      <c r="AH116" t="s">
        <v>74</v>
      </c>
      <c r="AI116" t="s">
        <v>74</v>
      </c>
      <c r="AJ116" t="s">
        <v>74</v>
      </c>
      <c r="AK116" t="s">
        <v>74</v>
      </c>
      <c r="AL116" t="s">
        <v>74</v>
      </c>
      <c r="AM116" t="s">
        <v>74</v>
      </c>
      <c r="AN116" t="s">
        <v>74</v>
      </c>
      <c r="AO116" t="s">
        <v>337</v>
      </c>
      <c r="AP116" t="s">
        <v>338</v>
      </c>
      <c r="AQ116" t="s">
        <v>74</v>
      </c>
      <c r="AR116" t="s">
        <v>74</v>
      </c>
      <c r="AS116" t="s">
        <v>74</v>
      </c>
      <c r="AT116" t="s">
        <v>1475</v>
      </c>
      <c r="AU116">
        <v>2009</v>
      </c>
      <c r="AV116">
        <v>20</v>
      </c>
      <c r="AW116">
        <v>1</v>
      </c>
      <c r="AX116" t="s">
        <v>74</v>
      </c>
      <c r="AY116" t="s">
        <v>74</v>
      </c>
      <c r="AZ116" t="s">
        <v>74</v>
      </c>
      <c r="BA116" t="s">
        <v>74</v>
      </c>
      <c r="BB116">
        <v>180</v>
      </c>
      <c r="BC116">
        <v>185</v>
      </c>
      <c r="BD116" t="s">
        <v>74</v>
      </c>
      <c r="BE116" t="s">
        <v>1489</v>
      </c>
      <c r="BF116" t="str">
        <f>HYPERLINK("http://dx.doi.org/10.1093/beheco/arn132","http://dx.doi.org/10.1093/beheco/arn132")</f>
        <v>http://dx.doi.org/10.1093/beheco/arn132</v>
      </c>
      <c r="BG116" t="s">
        <v>74</v>
      </c>
      <c r="BH116" t="s">
        <v>74</v>
      </c>
      <c r="BI116" t="s">
        <v>74</v>
      </c>
      <c r="BJ116" t="s">
        <v>74</v>
      </c>
      <c r="BK116" t="s">
        <v>74</v>
      </c>
      <c r="BL116" t="s">
        <v>74</v>
      </c>
      <c r="BM116" t="s">
        <v>74</v>
      </c>
      <c r="BN116" t="s">
        <v>74</v>
      </c>
      <c r="BO116" t="s">
        <v>74</v>
      </c>
      <c r="BP116" t="s">
        <v>74</v>
      </c>
      <c r="BQ116" t="s">
        <v>74</v>
      </c>
      <c r="BR116" t="s">
        <v>74</v>
      </c>
      <c r="BS116" t="s">
        <v>1490</v>
      </c>
      <c r="BT116" t="str">
        <f>HYPERLINK("https%3A%2F%2Fwww.webofscience.com%2Fwos%2Fwoscc%2Ffull-record%2FWOS:000262152300024","View Full Record in Web of Science")</f>
        <v>View Full Record in Web of Science</v>
      </c>
    </row>
    <row r="117" spans="1:72" x14ac:dyDescent="0.4">
      <c r="A117" t="s">
        <v>72</v>
      </c>
      <c r="B117" t="s">
        <v>8340</v>
      </c>
      <c r="C117" t="s">
        <v>74</v>
      </c>
      <c r="D117" t="s">
        <v>74</v>
      </c>
      <c r="E117" t="s">
        <v>74</v>
      </c>
      <c r="F117" t="s">
        <v>8341</v>
      </c>
      <c r="G117" t="s">
        <v>74</v>
      </c>
      <c r="H117" t="s">
        <v>74</v>
      </c>
      <c r="I117" t="s">
        <v>8342</v>
      </c>
      <c r="J117" t="s">
        <v>119</v>
      </c>
      <c r="K117" t="s">
        <v>74</v>
      </c>
      <c r="L117" t="s">
        <v>74</v>
      </c>
      <c r="M117" t="s">
        <v>74</v>
      </c>
      <c r="N117" t="s">
        <v>74</v>
      </c>
      <c r="O117" t="s">
        <v>74</v>
      </c>
      <c r="P117" t="s">
        <v>74</v>
      </c>
      <c r="Q117" t="s">
        <v>74</v>
      </c>
      <c r="R117" t="s">
        <v>74</v>
      </c>
      <c r="S117" t="s">
        <v>74</v>
      </c>
      <c r="T117" t="s">
        <v>74</v>
      </c>
      <c r="U117" t="s">
        <v>74</v>
      </c>
      <c r="V117" s="3" t="s">
        <v>8343</v>
      </c>
      <c r="W117" t="s">
        <v>74</v>
      </c>
      <c r="X117" t="s">
        <v>74</v>
      </c>
      <c r="Y117" t="s">
        <v>74</v>
      </c>
      <c r="Z117" t="s">
        <v>74</v>
      </c>
      <c r="AA117" t="s">
        <v>74</v>
      </c>
      <c r="AB117" t="s">
        <v>74</v>
      </c>
      <c r="AC117" t="s">
        <v>74</v>
      </c>
      <c r="AD117" t="s">
        <v>74</v>
      </c>
      <c r="AE117" t="s">
        <v>74</v>
      </c>
      <c r="AF117" t="s">
        <v>74</v>
      </c>
      <c r="AG117" t="s">
        <v>74</v>
      </c>
      <c r="AH117" t="s">
        <v>74</v>
      </c>
      <c r="AI117" t="s">
        <v>74</v>
      </c>
      <c r="AJ117" t="s">
        <v>74</v>
      </c>
      <c r="AK117" t="s">
        <v>74</v>
      </c>
      <c r="AL117" t="s">
        <v>74</v>
      </c>
      <c r="AM117" t="s">
        <v>74</v>
      </c>
      <c r="AN117" t="s">
        <v>74</v>
      </c>
      <c r="AO117" t="s">
        <v>121</v>
      </c>
      <c r="AP117" t="s">
        <v>122</v>
      </c>
      <c r="AQ117" t="s">
        <v>74</v>
      </c>
      <c r="AR117" t="s">
        <v>74</v>
      </c>
      <c r="AS117" t="s">
        <v>74</v>
      </c>
      <c r="AT117" t="s">
        <v>255</v>
      </c>
      <c r="AU117">
        <v>2011</v>
      </c>
      <c r="AV117">
        <v>86</v>
      </c>
      <c r="AW117">
        <v>1</v>
      </c>
      <c r="AX117" t="s">
        <v>74</v>
      </c>
      <c r="AY117" t="s">
        <v>74</v>
      </c>
      <c r="AZ117" t="s">
        <v>74</v>
      </c>
      <c r="BA117" t="s">
        <v>74</v>
      </c>
      <c r="BB117">
        <v>109</v>
      </c>
      <c r="BC117">
        <v>118</v>
      </c>
      <c r="BD117" t="s">
        <v>74</v>
      </c>
      <c r="BE117" t="s">
        <v>8344</v>
      </c>
      <c r="BF117" t="str">
        <f>HYPERLINK("http://dx.doi.org/10.1016/j.beproc.2010.10.002","http://dx.doi.org/10.1016/j.beproc.2010.10.002")</f>
        <v>http://dx.doi.org/10.1016/j.beproc.2010.10.002</v>
      </c>
      <c r="BG117" t="s">
        <v>74</v>
      </c>
      <c r="BH117" t="s">
        <v>74</v>
      </c>
      <c r="BI117" t="s">
        <v>74</v>
      </c>
      <c r="BJ117" t="s">
        <v>74</v>
      </c>
      <c r="BK117" t="s">
        <v>74</v>
      </c>
      <c r="BL117" t="s">
        <v>74</v>
      </c>
      <c r="BM117" t="s">
        <v>74</v>
      </c>
      <c r="BN117">
        <v>20971169</v>
      </c>
      <c r="BO117" t="s">
        <v>74</v>
      </c>
      <c r="BP117" t="s">
        <v>74</v>
      </c>
      <c r="BQ117" t="s">
        <v>74</v>
      </c>
      <c r="BR117" t="s">
        <v>74</v>
      </c>
      <c r="BS117" t="s">
        <v>8345</v>
      </c>
      <c r="BT117" t="str">
        <f>HYPERLINK("https%3A%2F%2Fwww.webofscience.com%2Fwos%2Fwoscc%2Ffull-record%2FWOS:000286861200015","View Full Record in Web of Science")</f>
        <v>View Full Record in Web of Science</v>
      </c>
    </row>
    <row r="118" spans="1:72" x14ac:dyDescent="0.4">
      <c r="A118" t="s">
        <v>72</v>
      </c>
      <c r="B118" t="s">
        <v>3208</v>
      </c>
      <c r="C118" t="s">
        <v>74</v>
      </c>
      <c r="D118" t="s">
        <v>74</v>
      </c>
      <c r="E118" t="s">
        <v>74</v>
      </c>
      <c r="F118" t="s">
        <v>3209</v>
      </c>
      <c r="G118" t="s">
        <v>74</v>
      </c>
      <c r="H118" t="s">
        <v>74</v>
      </c>
      <c r="I118" t="s">
        <v>3210</v>
      </c>
      <c r="J118" t="s">
        <v>3211</v>
      </c>
      <c r="K118" t="s">
        <v>74</v>
      </c>
      <c r="L118" t="s">
        <v>74</v>
      </c>
      <c r="M118" t="s">
        <v>74</v>
      </c>
      <c r="N118" t="s">
        <v>74</v>
      </c>
      <c r="O118" t="s">
        <v>74</v>
      </c>
      <c r="P118" t="s">
        <v>74</v>
      </c>
      <c r="Q118" t="s">
        <v>74</v>
      </c>
      <c r="R118" t="s">
        <v>74</v>
      </c>
      <c r="S118" t="s">
        <v>74</v>
      </c>
      <c r="T118" t="s">
        <v>74</v>
      </c>
      <c r="U118" t="s">
        <v>74</v>
      </c>
      <c r="V118" s="3" t="s">
        <v>3212</v>
      </c>
      <c r="W118" t="s">
        <v>74</v>
      </c>
      <c r="X118" t="s">
        <v>74</v>
      </c>
      <c r="Y118" t="s">
        <v>74</v>
      </c>
      <c r="Z118" t="s">
        <v>74</v>
      </c>
      <c r="AA118" t="s">
        <v>74</v>
      </c>
      <c r="AB118" t="s">
        <v>74</v>
      </c>
      <c r="AC118" t="s">
        <v>74</v>
      </c>
      <c r="AD118" t="s">
        <v>74</v>
      </c>
      <c r="AE118" t="s">
        <v>74</v>
      </c>
      <c r="AF118" t="s">
        <v>74</v>
      </c>
      <c r="AG118" t="s">
        <v>74</v>
      </c>
      <c r="AH118" t="s">
        <v>74</v>
      </c>
      <c r="AI118" t="s">
        <v>74</v>
      </c>
      <c r="AJ118" t="s">
        <v>74</v>
      </c>
      <c r="AK118" t="s">
        <v>74</v>
      </c>
      <c r="AL118" t="s">
        <v>74</v>
      </c>
      <c r="AM118" t="s">
        <v>74</v>
      </c>
      <c r="AN118" t="s">
        <v>74</v>
      </c>
      <c r="AO118" t="s">
        <v>3213</v>
      </c>
      <c r="AP118" t="s">
        <v>3214</v>
      </c>
      <c r="AQ118" t="s">
        <v>74</v>
      </c>
      <c r="AR118" t="s">
        <v>74</v>
      </c>
      <c r="AS118" t="s">
        <v>74</v>
      </c>
      <c r="AT118" t="s">
        <v>175</v>
      </c>
      <c r="AU118">
        <v>2017</v>
      </c>
      <c r="AV118">
        <v>178</v>
      </c>
      <c r="AW118">
        <v>2</v>
      </c>
      <c r="AX118" t="s">
        <v>74</v>
      </c>
      <c r="AY118" t="s">
        <v>74</v>
      </c>
      <c r="AZ118" t="s">
        <v>74</v>
      </c>
      <c r="BA118" t="s">
        <v>74</v>
      </c>
      <c r="BB118">
        <v>226</v>
      </c>
      <c r="BC118">
        <v>236</v>
      </c>
      <c r="BD118" t="s">
        <v>74</v>
      </c>
      <c r="BE118" t="s">
        <v>3215</v>
      </c>
      <c r="BF118" t="str">
        <f>HYPERLINK("http://dx.doi.org/10.1674/0003-0031-178.2.226","http://dx.doi.org/10.1674/0003-0031-178.2.226")</f>
        <v>http://dx.doi.org/10.1674/0003-0031-178.2.226</v>
      </c>
      <c r="BG118" t="s">
        <v>74</v>
      </c>
      <c r="BH118" t="s">
        <v>74</v>
      </c>
      <c r="BI118" t="s">
        <v>74</v>
      </c>
      <c r="BJ118" t="s">
        <v>74</v>
      </c>
      <c r="BK118" t="s">
        <v>74</v>
      </c>
      <c r="BL118" t="s">
        <v>74</v>
      </c>
      <c r="BM118" t="s">
        <v>74</v>
      </c>
      <c r="BN118" t="s">
        <v>74</v>
      </c>
      <c r="BO118" t="s">
        <v>74</v>
      </c>
      <c r="BP118" t="s">
        <v>74</v>
      </c>
      <c r="BQ118" t="s">
        <v>74</v>
      </c>
      <c r="BR118" t="s">
        <v>74</v>
      </c>
      <c r="BS118" t="s">
        <v>3216</v>
      </c>
      <c r="BT118" t="str">
        <f>HYPERLINK("https%3A%2F%2Fwww.webofscience.com%2Fwos%2Fwoscc%2Ffull-record%2FWOS:000416392800005","View Full Record in Web of Science")</f>
        <v>View Full Record in Web of Science</v>
      </c>
    </row>
    <row r="119" spans="1:72" x14ac:dyDescent="0.4">
      <c r="A119" t="s">
        <v>72</v>
      </c>
      <c r="B119" t="s">
        <v>1140</v>
      </c>
      <c r="C119" t="s">
        <v>74</v>
      </c>
      <c r="D119" t="s">
        <v>74</v>
      </c>
      <c r="E119" t="s">
        <v>74</v>
      </c>
      <c r="F119" t="s">
        <v>1141</v>
      </c>
      <c r="G119" t="s">
        <v>74</v>
      </c>
      <c r="H119" t="s">
        <v>74</v>
      </c>
      <c r="I119" t="s">
        <v>1142</v>
      </c>
      <c r="J119" t="s">
        <v>88</v>
      </c>
      <c r="K119" t="s">
        <v>74</v>
      </c>
      <c r="L119" t="s">
        <v>74</v>
      </c>
      <c r="M119" t="s">
        <v>74</v>
      </c>
      <c r="N119" t="s">
        <v>74</v>
      </c>
      <c r="O119" t="s">
        <v>74</v>
      </c>
      <c r="P119" t="s">
        <v>74</v>
      </c>
      <c r="Q119" t="s">
        <v>74</v>
      </c>
      <c r="R119" t="s">
        <v>74</v>
      </c>
      <c r="S119" t="s">
        <v>74</v>
      </c>
      <c r="T119" t="s">
        <v>74</v>
      </c>
      <c r="U119" t="s">
        <v>74</v>
      </c>
      <c r="V119" s="3" t="s">
        <v>1143</v>
      </c>
      <c r="W119" t="s">
        <v>74</v>
      </c>
      <c r="X119" t="s">
        <v>74</v>
      </c>
      <c r="Y119" t="s">
        <v>74</v>
      </c>
      <c r="Z119" t="s">
        <v>74</v>
      </c>
      <c r="AA119" t="s">
        <v>1144</v>
      </c>
      <c r="AB119" t="s">
        <v>1145</v>
      </c>
      <c r="AC119" t="s">
        <v>74</v>
      </c>
      <c r="AD119" t="s">
        <v>74</v>
      </c>
      <c r="AE119" t="s">
        <v>74</v>
      </c>
      <c r="AF119" t="s">
        <v>74</v>
      </c>
      <c r="AG119" t="s">
        <v>74</v>
      </c>
      <c r="AH119" t="s">
        <v>74</v>
      </c>
      <c r="AI119" t="s">
        <v>74</v>
      </c>
      <c r="AJ119" t="s">
        <v>74</v>
      </c>
      <c r="AK119" t="s">
        <v>74</v>
      </c>
      <c r="AL119" t="s">
        <v>74</v>
      </c>
      <c r="AM119" t="s">
        <v>74</v>
      </c>
      <c r="AN119" t="s">
        <v>74</v>
      </c>
      <c r="AO119" t="s">
        <v>91</v>
      </c>
      <c r="AP119" t="s">
        <v>92</v>
      </c>
      <c r="AQ119" t="s">
        <v>74</v>
      </c>
      <c r="AR119" t="s">
        <v>74</v>
      </c>
      <c r="AS119" t="s">
        <v>74</v>
      </c>
      <c r="AT119" t="s">
        <v>1146</v>
      </c>
      <c r="AU119">
        <v>2016</v>
      </c>
      <c r="AV119">
        <v>12</v>
      </c>
      <c r="AW119">
        <v>8</v>
      </c>
      <c r="AX119" t="s">
        <v>74</v>
      </c>
      <c r="AY119" t="s">
        <v>74</v>
      </c>
      <c r="AZ119" t="s">
        <v>74</v>
      </c>
      <c r="BA119" t="s">
        <v>74</v>
      </c>
      <c r="BB119" t="s">
        <v>74</v>
      </c>
      <c r="BC119" t="s">
        <v>74</v>
      </c>
      <c r="BD119">
        <v>20160467</v>
      </c>
      <c r="BE119" t="s">
        <v>1147</v>
      </c>
      <c r="BF119" t="str">
        <f>HYPERLINK("http://dx.doi.org/10.1098/rsbl.2016.0467","http://dx.doi.org/10.1098/rsbl.2016.0467")</f>
        <v>http://dx.doi.org/10.1098/rsbl.2016.0467</v>
      </c>
      <c r="BG119" t="s">
        <v>74</v>
      </c>
      <c r="BH119" t="s">
        <v>74</v>
      </c>
      <c r="BI119" t="s">
        <v>74</v>
      </c>
      <c r="BJ119" t="s">
        <v>74</v>
      </c>
      <c r="BK119" t="s">
        <v>74</v>
      </c>
      <c r="BL119" t="s">
        <v>74</v>
      </c>
      <c r="BM119" t="s">
        <v>74</v>
      </c>
      <c r="BN119">
        <v>27512135</v>
      </c>
      <c r="BO119" t="s">
        <v>74</v>
      </c>
      <c r="BP119" t="s">
        <v>74</v>
      </c>
      <c r="BQ119" t="s">
        <v>74</v>
      </c>
      <c r="BR119" t="s">
        <v>74</v>
      </c>
      <c r="BS119" t="s">
        <v>1148</v>
      </c>
      <c r="BT119" t="str">
        <f>HYPERLINK("https%3A%2F%2Fwww.webofscience.com%2Fwos%2Fwoscc%2Ffull-record%2FWOS:000390331600027","View Full Record in Web of Science")</f>
        <v>View Full Record in Web of Science</v>
      </c>
    </row>
    <row r="120" spans="1:72" x14ac:dyDescent="0.4">
      <c r="A120" t="s">
        <v>72</v>
      </c>
      <c r="B120" t="s">
        <v>3034</v>
      </c>
      <c r="C120" t="s">
        <v>74</v>
      </c>
      <c r="D120" t="s">
        <v>74</v>
      </c>
      <c r="E120" t="s">
        <v>74</v>
      </c>
      <c r="F120" t="s">
        <v>3034</v>
      </c>
      <c r="G120" t="s">
        <v>74</v>
      </c>
      <c r="H120" t="s">
        <v>74</v>
      </c>
      <c r="I120" t="s">
        <v>3035</v>
      </c>
      <c r="J120" t="s">
        <v>140</v>
      </c>
      <c r="K120" t="s">
        <v>74</v>
      </c>
      <c r="L120" t="s">
        <v>74</v>
      </c>
      <c r="M120" t="s">
        <v>74</v>
      </c>
      <c r="N120" t="s">
        <v>74</v>
      </c>
      <c r="O120" t="s">
        <v>74</v>
      </c>
      <c r="P120" t="s">
        <v>74</v>
      </c>
      <c r="Q120" t="s">
        <v>74</v>
      </c>
      <c r="R120" t="s">
        <v>74</v>
      </c>
      <c r="S120" t="s">
        <v>74</v>
      </c>
      <c r="T120" t="s">
        <v>74</v>
      </c>
      <c r="U120" t="s">
        <v>74</v>
      </c>
      <c r="V120" s="3" t="s">
        <v>3036</v>
      </c>
      <c r="W120" t="s">
        <v>74</v>
      </c>
      <c r="X120" t="s">
        <v>74</v>
      </c>
      <c r="Y120" t="s">
        <v>74</v>
      </c>
      <c r="Z120" t="s">
        <v>74</v>
      </c>
      <c r="AA120" t="s">
        <v>74</v>
      </c>
      <c r="AB120" t="s">
        <v>74</v>
      </c>
      <c r="AC120" t="s">
        <v>74</v>
      </c>
      <c r="AD120" t="s">
        <v>74</v>
      </c>
      <c r="AE120" t="s">
        <v>74</v>
      </c>
      <c r="AF120" t="s">
        <v>74</v>
      </c>
      <c r="AG120" t="s">
        <v>74</v>
      </c>
      <c r="AH120" t="s">
        <v>74</v>
      </c>
      <c r="AI120" t="s">
        <v>74</v>
      </c>
      <c r="AJ120" t="s">
        <v>74</v>
      </c>
      <c r="AK120" t="s">
        <v>74</v>
      </c>
      <c r="AL120" t="s">
        <v>74</v>
      </c>
      <c r="AM120" t="s">
        <v>74</v>
      </c>
      <c r="AN120" t="s">
        <v>74</v>
      </c>
      <c r="AO120" t="s">
        <v>143</v>
      </c>
      <c r="AP120" t="s">
        <v>74</v>
      </c>
      <c r="AQ120" t="s">
        <v>74</v>
      </c>
      <c r="AR120" t="s">
        <v>74</v>
      </c>
      <c r="AS120" t="s">
        <v>74</v>
      </c>
      <c r="AT120" t="s">
        <v>213</v>
      </c>
      <c r="AU120">
        <v>1996</v>
      </c>
      <c r="AV120">
        <v>52</v>
      </c>
      <c r="AW120" t="s">
        <v>74</v>
      </c>
      <c r="AX120">
        <v>5</v>
      </c>
      <c r="AY120" t="s">
        <v>74</v>
      </c>
      <c r="AZ120" t="s">
        <v>74</v>
      </c>
      <c r="BA120" t="s">
        <v>74</v>
      </c>
      <c r="BB120">
        <v>923</v>
      </c>
      <c r="BC120">
        <v>927</v>
      </c>
      <c r="BD120" t="s">
        <v>74</v>
      </c>
      <c r="BE120" t="s">
        <v>3037</v>
      </c>
      <c r="BF120" t="str">
        <f>HYPERLINK("http://dx.doi.org/10.1006/anbe.1996.0240","http://dx.doi.org/10.1006/anbe.1996.0240")</f>
        <v>http://dx.doi.org/10.1006/anbe.1996.0240</v>
      </c>
      <c r="BG120" t="s">
        <v>74</v>
      </c>
      <c r="BH120" t="s">
        <v>74</v>
      </c>
      <c r="BI120" t="s">
        <v>74</v>
      </c>
      <c r="BJ120" t="s">
        <v>74</v>
      </c>
      <c r="BK120" t="s">
        <v>74</v>
      </c>
      <c r="BL120" t="s">
        <v>74</v>
      </c>
      <c r="BM120" t="s">
        <v>74</v>
      </c>
      <c r="BN120" t="s">
        <v>74</v>
      </c>
      <c r="BO120" t="s">
        <v>74</v>
      </c>
      <c r="BP120" t="s">
        <v>74</v>
      </c>
      <c r="BQ120" t="s">
        <v>74</v>
      </c>
      <c r="BR120" t="s">
        <v>74</v>
      </c>
      <c r="BS120" t="s">
        <v>3038</v>
      </c>
      <c r="BT120" t="str">
        <f>HYPERLINK("https%3A%2F%2Fwww.webofscience.com%2Fwos%2Fwoscc%2Ffull-record%2FWOS:A1996VT21600007","View Full Record in Web of Science")</f>
        <v>View Full Record in Web of Science</v>
      </c>
    </row>
    <row r="121" spans="1:72" x14ac:dyDescent="0.4">
      <c r="A121" t="s">
        <v>72</v>
      </c>
      <c r="B121" t="s">
        <v>6410</v>
      </c>
      <c r="C121" t="s">
        <v>74</v>
      </c>
      <c r="D121" t="s">
        <v>74</v>
      </c>
      <c r="E121" t="s">
        <v>74</v>
      </c>
      <c r="F121" t="s">
        <v>6411</v>
      </c>
      <c r="G121" t="s">
        <v>74</v>
      </c>
      <c r="H121" t="s">
        <v>74</v>
      </c>
      <c r="I121" t="s">
        <v>6412</v>
      </c>
      <c r="J121" t="s">
        <v>530</v>
      </c>
      <c r="K121" t="s">
        <v>74</v>
      </c>
      <c r="L121" t="s">
        <v>74</v>
      </c>
      <c r="M121" t="s">
        <v>74</v>
      </c>
      <c r="N121" t="s">
        <v>74</v>
      </c>
      <c r="O121" t="s">
        <v>74</v>
      </c>
      <c r="P121" t="s">
        <v>74</v>
      </c>
      <c r="Q121" t="s">
        <v>74</v>
      </c>
      <c r="R121" t="s">
        <v>74</v>
      </c>
      <c r="S121" t="s">
        <v>74</v>
      </c>
      <c r="T121" t="s">
        <v>74</v>
      </c>
      <c r="U121" t="s">
        <v>74</v>
      </c>
      <c r="V121" s="3" t="s">
        <v>6413</v>
      </c>
      <c r="W121" t="s">
        <v>74</v>
      </c>
      <c r="X121" t="s">
        <v>74</v>
      </c>
      <c r="Y121" t="s">
        <v>74</v>
      </c>
      <c r="Z121" t="s">
        <v>74</v>
      </c>
      <c r="AA121" t="s">
        <v>74</v>
      </c>
      <c r="AB121" t="s">
        <v>74</v>
      </c>
      <c r="AC121" t="s">
        <v>74</v>
      </c>
      <c r="AD121" t="s">
        <v>74</v>
      </c>
      <c r="AE121" t="s">
        <v>74</v>
      </c>
      <c r="AF121" t="s">
        <v>74</v>
      </c>
      <c r="AG121" t="s">
        <v>74</v>
      </c>
      <c r="AH121" t="s">
        <v>74</v>
      </c>
      <c r="AI121" t="s">
        <v>74</v>
      </c>
      <c r="AJ121" t="s">
        <v>74</v>
      </c>
      <c r="AK121" t="s">
        <v>74</v>
      </c>
      <c r="AL121" t="s">
        <v>74</v>
      </c>
      <c r="AM121" t="s">
        <v>74</v>
      </c>
      <c r="AN121" t="s">
        <v>74</v>
      </c>
      <c r="AO121" t="s">
        <v>532</v>
      </c>
      <c r="AP121" t="s">
        <v>533</v>
      </c>
      <c r="AQ121" t="s">
        <v>74</v>
      </c>
      <c r="AR121" t="s">
        <v>74</v>
      </c>
      <c r="AS121" t="s">
        <v>74</v>
      </c>
      <c r="AT121" t="s">
        <v>102</v>
      </c>
      <c r="AU121">
        <v>2006</v>
      </c>
      <c r="AV121">
        <v>149</v>
      </c>
      <c r="AW121">
        <v>3</v>
      </c>
      <c r="AX121" t="s">
        <v>74</v>
      </c>
      <c r="AY121" t="s">
        <v>74</v>
      </c>
      <c r="AZ121" t="s">
        <v>74</v>
      </c>
      <c r="BA121" t="s">
        <v>74</v>
      </c>
      <c r="BB121">
        <v>423</v>
      </c>
      <c r="BC121">
        <v>433</v>
      </c>
      <c r="BD121" t="s">
        <v>74</v>
      </c>
      <c r="BE121" t="s">
        <v>6414</v>
      </c>
      <c r="BF121" t="str">
        <f>HYPERLINK("http://dx.doi.org/10.1007/s00227-005-0233-9","http://dx.doi.org/10.1007/s00227-005-0233-9")</f>
        <v>http://dx.doi.org/10.1007/s00227-005-0233-9</v>
      </c>
      <c r="BG121" t="s">
        <v>74</v>
      </c>
      <c r="BH121" t="s">
        <v>74</v>
      </c>
      <c r="BI121" t="s">
        <v>74</v>
      </c>
      <c r="BJ121" t="s">
        <v>74</v>
      </c>
      <c r="BK121" t="s">
        <v>74</v>
      </c>
      <c r="BL121" t="s">
        <v>74</v>
      </c>
      <c r="BM121" t="s">
        <v>74</v>
      </c>
      <c r="BN121" t="s">
        <v>74</v>
      </c>
      <c r="BO121" t="s">
        <v>74</v>
      </c>
      <c r="BP121" t="s">
        <v>74</v>
      </c>
      <c r="BQ121" t="s">
        <v>74</v>
      </c>
      <c r="BR121" t="s">
        <v>74</v>
      </c>
      <c r="BS121" t="s">
        <v>6415</v>
      </c>
      <c r="BT121" t="str">
        <f>HYPERLINK("https%3A%2F%2Fwww.webofscience.com%2Fwos%2Fwoscc%2Ffull-record%2FWOS:000238327200002","View Full Record in Web of Science")</f>
        <v>View Full Record in Web of Science</v>
      </c>
    </row>
    <row r="122" spans="1:72" x14ac:dyDescent="0.4">
      <c r="A122" t="s">
        <v>72</v>
      </c>
      <c r="B122" t="s">
        <v>2473</v>
      </c>
      <c r="C122" t="s">
        <v>74</v>
      </c>
      <c r="D122" t="s">
        <v>74</v>
      </c>
      <c r="E122" t="s">
        <v>74</v>
      </c>
      <c r="F122" t="s">
        <v>2474</v>
      </c>
      <c r="G122" t="s">
        <v>74</v>
      </c>
      <c r="H122" t="s">
        <v>74</v>
      </c>
      <c r="I122" t="s">
        <v>2475</v>
      </c>
      <c r="J122" t="s">
        <v>333</v>
      </c>
      <c r="K122" t="s">
        <v>74</v>
      </c>
      <c r="L122" t="s">
        <v>74</v>
      </c>
      <c r="M122" t="s">
        <v>74</v>
      </c>
      <c r="N122" t="s">
        <v>74</v>
      </c>
      <c r="O122" t="s">
        <v>74</v>
      </c>
      <c r="P122" t="s">
        <v>74</v>
      </c>
      <c r="Q122" t="s">
        <v>74</v>
      </c>
      <c r="R122" t="s">
        <v>74</v>
      </c>
      <c r="S122" t="s">
        <v>74</v>
      </c>
      <c r="T122" t="s">
        <v>74</v>
      </c>
      <c r="U122" t="s">
        <v>74</v>
      </c>
      <c r="V122" s="3" t="s">
        <v>2476</v>
      </c>
      <c r="W122" t="s">
        <v>74</v>
      </c>
      <c r="X122" t="s">
        <v>74</v>
      </c>
      <c r="Y122" t="s">
        <v>74</v>
      </c>
      <c r="Z122" t="s">
        <v>74</v>
      </c>
      <c r="AA122" t="s">
        <v>2477</v>
      </c>
      <c r="AB122" t="s">
        <v>2478</v>
      </c>
      <c r="AC122" t="s">
        <v>74</v>
      </c>
      <c r="AD122" t="s">
        <v>74</v>
      </c>
      <c r="AE122" t="s">
        <v>74</v>
      </c>
      <c r="AF122" t="s">
        <v>74</v>
      </c>
      <c r="AG122" t="s">
        <v>74</v>
      </c>
      <c r="AH122" t="s">
        <v>74</v>
      </c>
      <c r="AI122" t="s">
        <v>74</v>
      </c>
      <c r="AJ122" t="s">
        <v>74</v>
      </c>
      <c r="AK122" t="s">
        <v>74</v>
      </c>
      <c r="AL122" t="s">
        <v>74</v>
      </c>
      <c r="AM122" t="s">
        <v>74</v>
      </c>
      <c r="AN122" t="s">
        <v>74</v>
      </c>
      <c r="AO122" t="s">
        <v>337</v>
      </c>
      <c r="AP122" t="s">
        <v>338</v>
      </c>
      <c r="AQ122" t="s">
        <v>74</v>
      </c>
      <c r="AR122" t="s">
        <v>74</v>
      </c>
      <c r="AS122" t="s">
        <v>74</v>
      </c>
      <c r="AT122" t="s">
        <v>1038</v>
      </c>
      <c r="AU122">
        <v>2019</v>
      </c>
      <c r="AV122">
        <v>30</v>
      </c>
      <c r="AW122">
        <v>2</v>
      </c>
      <c r="AX122" t="s">
        <v>74</v>
      </c>
      <c r="AY122" t="s">
        <v>74</v>
      </c>
      <c r="AZ122" t="s">
        <v>74</v>
      </c>
      <c r="BA122" t="s">
        <v>74</v>
      </c>
      <c r="BB122">
        <v>490</v>
      </c>
      <c r="BC122">
        <v>499</v>
      </c>
      <c r="BD122" t="s">
        <v>74</v>
      </c>
      <c r="BE122" t="s">
        <v>2479</v>
      </c>
      <c r="BF122" t="str">
        <f>HYPERLINK("http://dx.doi.org/10.1093/beheco/ary189","http://dx.doi.org/10.1093/beheco/ary189")</f>
        <v>http://dx.doi.org/10.1093/beheco/ary189</v>
      </c>
      <c r="BG122" t="s">
        <v>74</v>
      </c>
      <c r="BH122" t="s">
        <v>74</v>
      </c>
      <c r="BI122" t="s">
        <v>74</v>
      </c>
      <c r="BJ122" t="s">
        <v>74</v>
      </c>
      <c r="BK122" t="s">
        <v>74</v>
      </c>
      <c r="BL122" t="s">
        <v>74</v>
      </c>
      <c r="BM122" t="s">
        <v>74</v>
      </c>
      <c r="BN122" t="s">
        <v>74</v>
      </c>
      <c r="BO122" t="s">
        <v>74</v>
      </c>
      <c r="BP122" t="s">
        <v>74</v>
      </c>
      <c r="BQ122" t="s">
        <v>74</v>
      </c>
      <c r="BR122" t="s">
        <v>74</v>
      </c>
      <c r="BS122" t="s">
        <v>2480</v>
      </c>
      <c r="BT122" t="str">
        <f>HYPERLINK("https%3A%2F%2Fwww.webofscience.com%2Fwos%2Fwoscc%2Ffull-record%2FWOS:000464932900025","View Full Record in Web of Science")</f>
        <v>View Full Record in Web of Science</v>
      </c>
    </row>
    <row r="123" spans="1:72" x14ac:dyDescent="0.4">
      <c r="A123" t="s">
        <v>72</v>
      </c>
      <c r="B123" t="s">
        <v>2155</v>
      </c>
      <c r="C123" t="s">
        <v>74</v>
      </c>
      <c r="D123" t="s">
        <v>74</v>
      </c>
      <c r="E123" t="s">
        <v>74</v>
      </c>
      <c r="F123" t="s">
        <v>2156</v>
      </c>
      <c r="G123" t="s">
        <v>74</v>
      </c>
      <c r="H123" t="s">
        <v>74</v>
      </c>
      <c r="I123" t="s">
        <v>2157</v>
      </c>
      <c r="J123" t="s">
        <v>1673</v>
      </c>
      <c r="K123" t="s">
        <v>74</v>
      </c>
      <c r="L123" t="s">
        <v>74</v>
      </c>
      <c r="M123" t="s">
        <v>74</v>
      </c>
      <c r="N123" t="s">
        <v>74</v>
      </c>
      <c r="O123" t="s">
        <v>74</v>
      </c>
      <c r="P123" t="s">
        <v>74</v>
      </c>
      <c r="Q123" t="s">
        <v>74</v>
      </c>
      <c r="R123" t="s">
        <v>74</v>
      </c>
      <c r="S123" t="s">
        <v>74</v>
      </c>
      <c r="T123" t="s">
        <v>74</v>
      </c>
      <c r="U123" t="s">
        <v>74</v>
      </c>
      <c r="V123" s="3" t="s">
        <v>2158</v>
      </c>
      <c r="W123" t="s">
        <v>74</v>
      </c>
      <c r="X123" t="s">
        <v>74</v>
      </c>
      <c r="Y123" t="s">
        <v>74</v>
      </c>
      <c r="Z123" t="s">
        <v>74</v>
      </c>
      <c r="AA123" t="s">
        <v>2159</v>
      </c>
      <c r="AB123" t="s">
        <v>2160</v>
      </c>
      <c r="AC123" t="s">
        <v>74</v>
      </c>
      <c r="AD123" t="s">
        <v>74</v>
      </c>
      <c r="AE123" t="s">
        <v>74</v>
      </c>
      <c r="AF123" t="s">
        <v>74</v>
      </c>
      <c r="AG123" t="s">
        <v>74</v>
      </c>
      <c r="AH123" t="s">
        <v>74</v>
      </c>
      <c r="AI123" t="s">
        <v>74</v>
      </c>
      <c r="AJ123" t="s">
        <v>74</v>
      </c>
      <c r="AK123" t="s">
        <v>74</v>
      </c>
      <c r="AL123" t="s">
        <v>74</v>
      </c>
      <c r="AM123" t="s">
        <v>74</v>
      </c>
      <c r="AN123" t="s">
        <v>74</v>
      </c>
      <c r="AO123" t="s">
        <v>1239</v>
      </c>
      <c r="AP123" t="s">
        <v>1675</v>
      </c>
      <c r="AQ123" t="s">
        <v>74</v>
      </c>
      <c r="AR123" t="s">
        <v>74</v>
      </c>
      <c r="AS123" t="s">
        <v>74</v>
      </c>
      <c r="AT123" t="s">
        <v>123</v>
      </c>
      <c r="AU123">
        <v>2017</v>
      </c>
      <c r="AV123">
        <v>95</v>
      </c>
      <c r="AW123">
        <v>3</v>
      </c>
      <c r="AX123" t="s">
        <v>74</v>
      </c>
      <c r="AY123" t="s">
        <v>74</v>
      </c>
      <c r="AZ123" t="s">
        <v>74</v>
      </c>
      <c r="BA123" t="s">
        <v>74</v>
      </c>
      <c r="BB123">
        <v>213</v>
      </c>
      <c r="BC123">
        <v>219</v>
      </c>
      <c r="BD123" t="s">
        <v>74</v>
      </c>
      <c r="BE123" t="s">
        <v>2161</v>
      </c>
      <c r="BF123" t="str">
        <f>HYPERLINK("http://dx.doi.org/10.1139/cjz-2016-0200","http://dx.doi.org/10.1139/cjz-2016-0200")</f>
        <v>http://dx.doi.org/10.1139/cjz-2016-0200</v>
      </c>
      <c r="BG123" t="s">
        <v>74</v>
      </c>
      <c r="BH123" t="s">
        <v>74</v>
      </c>
      <c r="BI123" t="s">
        <v>74</v>
      </c>
      <c r="BJ123" t="s">
        <v>74</v>
      </c>
      <c r="BK123" t="s">
        <v>74</v>
      </c>
      <c r="BL123" t="s">
        <v>74</v>
      </c>
      <c r="BM123" t="s">
        <v>74</v>
      </c>
      <c r="BN123" t="s">
        <v>74</v>
      </c>
      <c r="BO123" t="s">
        <v>74</v>
      </c>
      <c r="BP123" t="s">
        <v>74</v>
      </c>
      <c r="BQ123" t="s">
        <v>74</v>
      </c>
      <c r="BR123" t="s">
        <v>74</v>
      </c>
      <c r="BS123" t="s">
        <v>2162</v>
      </c>
      <c r="BT123" t="str">
        <f>HYPERLINK("https%3A%2F%2Fwww.webofscience.com%2Fwos%2Fwoscc%2Ffull-record%2FWOS:000398092400009","View Full Record in Web of Science")</f>
        <v>View Full Record in Web of Science</v>
      </c>
    </row>
    <row r="124" spans="1:72" x14ac:dyDescent="0.4">
      <c r="A124" t="s">
        <v>72</v>
      </c>
      <c r="B124" t="s">
        <v>528</v>
      </c>
      <c r="C124" t="s">
        <v>74</v>
      </c>
      <c r="D124" t="s">
        <v>74</v>
      </c>
      <c r="E124" t="s">
        <v>74</v>
      </c>
      <c r="F124" t="s">
        <v>528</v>
      </c>
      <c r="G124" t="s">
        <v>74</v>
      </c>
      <c r="H124" t="s">
        <v>74</v>
      </c>
      <c r="I124" t="s">
        <v>529</v>
      </c>
      <c r="J124" t="s">
        <v>530</v>
      </c>
      <c r="K124" t="s">
        <v>74</v>
      </c>
      <c r="L124" t="s">
        <v>74</v>
      </c>
      <c r="M124" t="s">
        <v>74</v>
      </c>
      <c r="N124" t="s">
        <v>74</v>
      </c>
      <c r="O124" t="s">
        <v>74</v>
      </c>
      <c r="P124" t="s">
        <v>74</v>
      </c>
      <c r="Q124" t="s">
        <v>74</v>
      </c>
      <c r="R124" t="s">
        <v>74</v>
      </c>
      <c r="S124" t="s">
        <v>74</v>
      </c>
      <c r="T124" t="s">
        <v>74</v>
      </c>
      <c r="U124" t="s">
        <v>74</v>
      </c>
      <c r="V124" s="3" t="s">
        <v>531</v>
      </c>
      <c r="W124" t="s">
        <v>74</v>
      </c>
      <c r="X124" t="s">
        <v>74</v>
      </c>
      <c r="Y124" t="s">
        <v>74</v>
      </c>
      <c r="Z124" t="s">
        <v>74</v>
      </c>
      <c r="AA124" t="s">
        <v>74</v>
      </c>
      <c r="AB124" t="s">
        <v>74</v>
      </c>
      <c r="AC124" t="s">
        <v>74</v>
      </c>
      <c r="AD124" t="s">
        <v>74</v>
      </c>
      <c r="AE124" t="s">
        <v>74</v>
      </c>
      <c r="AF124" t="s">
        <v>74</v>
      </c>
      <c r="AG124" t="s">
        <v>74</v>
      </c>
      <c r="AH124" t="s">
        <v>74</v>
      </c>
      <c r="AI124" t="s">
        <v>74</v>
      </c>
      <c r="AJ124" t="s">
        <v>74</v>
      </c>
      <c r="AK124" t="s">
        <v>74</v>
      </c>
      <c r="AL124" t="s">
        <v>74</v>
      </c>
      <c r="AM124" t="s">
        <v>74</v>
      </c>
      <c r="AN124" t="s">
        <v>74</v>
      </c>
      <c r="AO124" t="s">
        <v>532</v>
      </c>
      <c r="AP124" t="s">
        <v>533</v>
      </c>
      <c r="AQ124" t="s">
        <v>74</v>
      </c>
      <c r="AR124" t="s">
        <v>74</v>
      </c>
      <c r="AS124" t="s">
        <v>74</v>
      </c>
      <c r="AT124" t="s">
        <v>74</v>
      </c>
      <c r="AU124">
        <v>1981</v>
      </c>
      <c r="AV124">
        <v>64</v>
      </c>
      <c r="AW124">
        <v>1</v>
      </c>
      <c r="AX124" t="s">
        <v>74</v>
      </c>
      <c r="AY124" t="s">
        <v>74</v>
      </c>
      <c r="AZ124" t="s">
        <v>74</v>
      </c>
      <c r="BA124" t="s">
        <v>74</v>
      </c>
      <c r="BB124">
        <v>85</v>
      </c>
      <c r="BC124">
        <v>93</v>
      </c>
      <c r="BD124" t="s">
        <v>74</v>
      </c>
      <c r="BE124" t="s">
        <v>534</v>
      </c>
      <c r="BF124" t="str">
        <f>HYPERLINK("http://dx.doi.org/10.1007/BF00394084","http://dx.doi.org/10.1007/BF00394084")</f>
        <v>http://dx.doi.org/10.1007/BF00394084</v>
      </c>
      <c r="BG124" t="s">
        <v>74</v>
      </c>
      <c r="BH124" t="s">
        <v>74</v>
      </c>
      <c r="BI124" t="s">
        <v>74</v>
      </c>
      <c r="BJ124" t="s">
        <v>74</v>
      </c>
      <c r="BK124" t="s">
        <v>74</v>
      </c>
      <c r="BL124" t="s">
        <v>74</v>
      </c>
      <c r="BM124" t="s">
        <v>74</v>
      </c>
      <c r="BN124" t="s">
        <v>74</v>
      </c>
      <c r="BO124" t="s">
        <v>74</v>
      </c>
      <c r="BP124" t="s">
        <v>74</v>
      </c>
      <c r="BQ124" t="s">
        <v>74</v>
      </c>
      <c r="BR124" t="s">
        <v>74</v>
      </c>
      <c r="BS124" t="s">
        <v>535</v>
      </c>
      <c r="BT124" t="str">
        <f>HYPERLINK("https%3A%2F%2Fwww.webofscience.com%2Fwos%2Fwoscc%2Ffull-record%2FWOS:A1981MG93600010","View Full Record in Web of Science")</f>
        <v>View Full Record in Web of Science</v>
      </c>
    </row>
    <row r="125" spans="1:72" x14ac:dyDescent="0.4">
      <c r="A125" t="s">
        <v>72</v>
      </c>
      <c r="B125" t="s">
        <v>722</v>
      </c>
      <c r="C125" t="s">
        <v>74</v>
      </c>
      <c r="D125" t="s">
        <v>74</v>
      </c>
      <c r="E125" t="s">
        <v>74</v>
      </c>
      <c r="F125" t="s">
        <v>722</v>
      </c>
      <c r="G125" t="s">
        <v>74</v>
      </c>
      <c r="H125" t="s">
        <v>74</v>
      </c>
      <c r="I125" t="s">
        <v>723</v>
      </c>
      <c r="J125" t="s">
        <v>140</v>
      </c>
      <c r="K125" t="s">
        <v>74</v>
      </c>
      <c r="L125" t="s">
        <v>74</v>
      </c>
      <c r="M125" t="s">
        <v>74</v>
      </c>
      <c r="N125" t="s">
        <v>74</v>
      </c>
      <c r="O125" t="s">
        <v>74</v>
      </c>
      <c r="P125" t="s">
        <v>74</v>
      </c>
      <c r="Q125" t="s">
        <v>74</v>
      </c>
      <c r="R125" t="s">
        <v>74</v>
      </c>
      <c r="S125" t="s">
        <v>74</v>
      </c>
      <c r="T125" t="s">
        <v>74</v>
      </c>
      <c r="U125" t="s">
        <v>74</v>
      </c>
      <c r="V125" s="3" t="s">
        <v>724</v>
      </c>
      <c r="W125" t="s">
        <v>74</v>
      </c>
      <c r="X125" t="s">
        <v>74</v>
      </c>
      <c r="Y125" t="s">
        <v>74</v>
      </c>
      <c r="Z125" t="s">
        <v>74</v>
      </c>
      <c r="AA125" t="s">
        <v>725</v>
      </c>
      <c r="AB125" t="s">
        <v>74</v>
      </c>
      <c r="AC125" t="s">
        <v>74</v>
      </c>
      <c r="AD125" t="s">
        <v>74</v>
      </c>
      <c r="AE125" t="s">
        <v>74</v>
      </c>
      <c r="AF125" t="s">
        <v>74</v>
      </c>
      <c r="AG125" t="s">
        <v>74</v>
      </c>
      <c r="AH125" t="s">
        <v>74</v>
      </c>
      <c r="AI125" t="s">
        <v>74</v>
      </c>
      <c r="AJ125" t="s">
        <v>74</v>
      </c>
      <c r="AK125" t="s">
        <v>74</v>
      </c>
      <c r="AL125" t="s">
        <v>74</v>
      </c>
      <c r="AM125" t="s">
        <v>74</v>
      </c>
      <c r="AN125" t="s">
        <v>74</v>
      </c>
      <c r="AO125" t="s">
        <v>143</v>
      </c>
      <c r="AP125" t="s">
        <v>144</v>
      </c>
      <c r="AQ125" t="s">
        <v>74</v>
      </c>
      <c r="AR125" t="s">
        <v>74</v>
      </c>
      <c r="AS125" t="s">
        <v>74</v>
      </c>
      <c r="AT125" t="s">
        <v>74</v>
      </c>
      <c r="AU125">
        <v>1979</v>
      </c>
      <c r="AV125">
        <v>27</v>
      </c>
      <c r="AW125" t="s">
        <v>134</v>
      </c>
      <c r="AX125" t="s">
        <v>74</v>
      </c>
      <c r="AY125" t="s">
        <v>74</v>
      </c>
      <c r="AZ125" t="s">
        <v>74</v>
      </c>
      <c r="BA125" t="s">
        <v>74</v>
      </c>
      <c r="BB125">
        <v>553</v>
      </c>
      <c r="BC125" t="s">
        <v>726</v>
      </c>
      <c r="BD125" t="s">
        <v>74</v>
      </c>
      <c r="BE125" t="s">
        <v>727</v>
      </c>
      <c r="BF125" t="str">
        <f>HYPERLINK("http://dx.doi.org/10.1016/0003-3472(79)90190-8","http://dx.doi.org/10.1016/0003-3472(79)90190-8")</f>
        <v>http://dx.doi.org/10.1016/0003-3472(79)90190-8</v>
      </c>
      <c r="BG125" t="s">
        <v>74</v>
      </c>
      <c r="BH125" t="s">
        <v>74</v>
      </c>
      <c r="BI125" t="s">
        <v>74</v>
      </c>
      <c r="BJ125" t="s">
        <v>74</v>
      </c>
      <c r="BK125" t="s">
        <v>74</v>
      </c>
      <c r="BL125" t="s">
        <v>74</v>
      </c>
      <c r="BM125" t="s">
        <v>74</v>
      </c>
      <c r="BN125" t="s">
        <v>74</v>
      </c>
      <c r="BO125" t="s">
        <v>74</v>
      </c>
      <c r="BP125" t="s">
        <v>74</v>
      </c>
      <c r="BQ125" t="s">
        <v>74</v>
      </c>
      <c r="BR125" t="s">
        <v>74</v>
      </c>
      <c r="BS125" t="s">
        <v>728</v>
      </c>
      <c r="BT125" t="str">
        <f>HYPERLINK("https%3A%2F%2Fwww.webofscience.com%2Fwos%2Fwoscc%2Ffull-record%2FWOS:A1979HE66900025","View Full Record in Web of Science")</f>
        <v>View Full Record in Web of Science</v>
      </c>
    </row>
    <row r="126" spans="1:72" x14ac:dyDescent="0.4">
      <c r="A126" t="s">
        <v>72</v>
      </c>
      <c r="B126" t="s">
        <v>3603</v>
      </c>
      <c r="C126" t="s">
        <v>74</v>
      </c>
      <c r="D126" t="s">
        <v>74</v>
      </c>
      <c r="E126" t="s">
        <v>74</v>
      </c>
      <c r="F126" t="s">
        <v>3603</v>
      </c>
      <c r="G126" t="s">
        <v>74</v>
      </c>
      <c r="H126" t="s">
        <v>74</v>
      </c>
      <c r="I126" t="s">
        <v>3604</v>
      </c>
      <c r="J126" t="s">
        <v>3605</v>
      </c>
      <c r="K126" t="s">
        <v>74</v>
      </c>
      <c r="L126" t="s">
        <v>74</v>
      </c>
      <c r="M126" t="s">
        <v>74</v>
      </c>
      <c r="N126" t="s">
        <v>74</v>
      </c>
      <c r="O126" t="s">
        <v>74</v>
      </c>
      <c r="P126" t="s">
        <v>74</v>
      </c>
      <c r="Q126" t="s">
        <v>74</v>
      </c>
      <c r="R126" t="s">
        <v>74</v>
      </c>
      <c r="S126" t="s">
        <v>74</v>
      </c>
      <c r="T126" t="s">
        <v>74</v>
      </c>
      <c r="U126" t="s">
        <v>74</v>
      </c>
      <c r="V126" s="3" t="s">
        <v>3606</v>
      </c>
      <c r="W126" t="s">
        <v>74</v>
      </c>
      <c r="X126" t="s">
        <v>74</v>
      </c>
      <c r="Y126" t="s">
        <v>74</v>
      </c>
      <c r="Z126" t="s">
        <v>74</v>
      </c>
      <c r="AA126" t="s">
        <v>74</v>
      </c>
      <c r="AB126" t="s">
        <v>74</v>
      </c>
      <c r="AC126" t="s">
        <v>74</v>
      </c>
      <c r="AD126" t="s">
        <v>74</v>
      </c>
      <c r="AE126" t="s">
        <v>74</v>
      </c>
      <c r="AF126" t="s">
        <v>74</v>
      </c>
      <c r="AG126" t="s">
        <v>74</v>
      </c>
      <c r="AH126" t="s">
        <v>74</v>
      </c>
      <c r="AI126" t="s">
        <v>74</v>
      </c>
      <c r="AJ126" t="s">
        <v>74</v>
      </c>
      <c r="AK126" t="s">
        <v>74</v>
      </c>
      <c r="AL126" t="s">
        <v>74</v>
      </c>
      <c r="AM126" t="s">
        <v>74</v>
      </c>
      <c r="AN126" t="s">
        <v>74</v>
      </c>
      <c r="AO126" t="s">
        <v>3607</v>
      </c>
      <c r="AP126" t="s">
        <v>3608</v>
      </c>
      <c r="AQ126" t="s">
        <v>74</v>
      </c>
      <c r="AR126" t="s">
        <v>74</v>
      </c>
      <c r="AS126" t="s">
        <v>74</v>
      </c>
      <c r="AT126" t="s">
        <v>134</v>
      </c>
      <c r="AU126">
        <v>1989</v>
      </c>
      <c r="AV126">
        <v>69</v>
      </c>
      <c r="AW126">
        <v>2</v>
      </c>
      <c r="AX126" t="s">
        <v>74</v>
      </c>
      <c r="AY126" t="s">
        <v>74</v>
      </c>
      <c r="AZ126" t="s">
        <v>74</v>
      </c>
      <c r="BA126" t="s">
        <v>74</v>
      </c>
      <c r="BB126">
        <v>273</v>
      </c>
      <c r="BC126">
        <v>278</v>
      </c>
      <c r="BD126" t="s">
        <v>74</v>
      </c>
      <c r="BE126" t="s">
        <v>3609</v>
      </c>
      <c r="BF126" t="str">
        <f>HYPERLINK("http://dx.doi.org/10.1017/S0025315400029398","http://dx.doi.org/10.1017/S0025315400029398")</f>
        <v>http://dx.doi.org/10.1017/S0025315400029398</v>
      </c>
      <c r="BG126" t="s">
        <v>74</v>
      </c>
      <c r="BH126" t="s">
        <v>74</v>
      </c>
      <c r="BI126" t="s">
        <v>74</v>
      </c>
      <c r="BJ126" t="s">
        <v>74</v>
      </c>
      <c r="BK126" t="s">
        <v>74</v>
      </c>
      <c r="BL126" t="s">
        <v>74</v>
      </c>
      <c r="BM126" t="s">
        <v>74</v>
      </c>
      <c r="BN126" t="s">
        <v>74</v>
      </c>
      <c r="BO126" t="s">
        <v>74</v>
      </c>
      <c r="BP126" t="s">
        <v>74</v>
      </c>
      <c r="BQ126" t="s">
        <v>74</v>
      </c>
      <c r="BR126" t="s">
        <v>74</v>
      </c>
      <c r="BS126" t="s">
        <v>3610</v>
      </c>
      <c r="BT126" t="str">
        <f>HYPERLINK("https%3A%2F%2Fwww.webofscience.com%2Fwos%2Fwoscc%2Ffull-record%2FWOS:A1989AD16200003","View Full Record in Web of Science")</f>
        <v>View Full Record in Web of Science</v>
      </c>
    </row>
    <row r="127" spans="1:72" x14ac:dyDescent="0.4">
      <c r="A127" t="s">
        <v>72</v>
      </c>
      <c r="B127" t="s">
        <v>950</v>
      </c>
      <c r="C127" t="s">
        <v>74</v>
      </c>
      <c r="D127" t="s">
        <v>74</v>
      </c>
      <c r="E127" t="s">
        <v>74</v>
      </c>
      <c r="F127" t="s">
        <v>950</v>
      </c>
      <c r="G127" t="s">
        <v>74</v>
      </c>
      <c r="H127" t="s">
        <v>74</v>
      </c>
      <c r="I127" t="s">
        <v>951</v>
      </c>
      <c r="J127" t="s">
        <v>192</v>
      </c>
      <c r="K127" t="s">
        <v>74</v>
      </c>
      <c r="L127" t="s">
        <v>74</v>
      </c>
      <c r="M127" t="s">
        <v>74</v>
      </c>
      <c r="N127" t="s">
        <v>74</v>
      </c>
      <c r="O127" t="s">
        <v>952</v>
      </c>
      <c r="P127" t="s">
        <v>953</v>
      </c>
      <c r="Q127" t="s">
        <v>954</v>
      </c>
      <c r="R127" t="s">
        <v>74</v>
      </c>
      <c r="S127" t="s">
        <v>955</v>
      </c>
      <c r="T127" t="s">
        <v>74</v>
      </c>
      <c r="U127" t="s">
        <v>74</v>
      </c>
      <c r="V127" s="3" t="s">
        <v>956</v>
      </c>
      <c r="W127" t="s">
        <v>74</v>
      </c>
      <c r="X127" t="s">
        <v>74</v>
      </c>
      <c r="Y127" t="s">
        <v>74</v>
      </c>
      <c r="Z127" t="s">
        <v>74</v>
      </c>
      <c r="AA127" t="s">
        <v>74</v>
      </c>
      <c r="AB127" t="s">
        <v>74</v>
      </c>
      <c r="AC127" t="s">
        <v>74</v>
      </c>
      <c r="AD127" t="s">
        <v>74</v>
      </c>
      <c r="AE127" t="s">
        <v>74</v>
      </c>
      <c r="AF127" t="s">
        <v>74</v>
      </c>
      <c r="AG127" t="s">
        <v>74</v>
      </c>
      <c r="AH127" t="s">
        <v>74</v>
      </c>
      <c r="AI127" t="s">
        <v>74</v>
      </c>
      <c r="AJ127" t="s">
        <v>74</v>
      </c>
      <c r="AK127" t="s">
        <v>74</v>
      </c>
      <c r="AL127" t="s">
        <v>74</v>
      </c>
      <c r="AM127" t="s">
        <v>74</v>
      </c>
      <c r="AN127" t="s">
        <v>74</v>
      </c>
      <c r="AO127" t="s">
        <v>195</v>
      </c>
      <c r="AP127" t="s">
        <v>74</v>
      </c>
      <c r="AQ127" t="s">
        <v>74</v>
      </c>
      <c r="AR127" t="s">
        <v>74</v>
      </c>
      <c r="AS127" t="s">
        <v>74</v>
      </c>
      <c r="AT127" t="s">
        <v>957</v>
      </c>
      <c r="AU127">
        <v>1991</v>
      </c>
      <c r="AV127">
        <v>216</v>
      </c>
      <c r="AW127" t="s">
        <v>74</v>
      </c>
      <c r="AX127" t="s">
        <v>74</v>
      </c>
      <c r="AY127" t="s">
        <v>74</v>
      </c>
      <c r="AZ127" t="s">
        <v>74</v>
      </c>
      <c r="BA127" t="s">
        <v>74</v>
      </c>
      <c r="BB127">
        <v>533</v>
      </c>
      <c r="BC127">
        <v>537</v>
      </c>
      <c r="BD127" t="s">
        <v>74</v>
      </c>
      <c r="BE127" t="s">
        <v>958</v>
      </c>
      <c r="BF127" t="str">
        <f>HYPERLINK("http://dx.doi.org/10.1007/BF00026510","http://dx.doi.org/10.1007/BF00026510")</f>
        <v>http://dx.doi.org/10.1007/BF00026510</v>
      </c>
      <c r="BG127" t="s">
        <v>74</v>
      </c>
      <c r="BH127" t="s">
        <v>74</v>
      </c>
      <c r="BI127" t="s">
        <v>74</v>
      </c>
      <c r="BJ127" t="s">
        <v>74</v>
      </c>
      <c r="BK127" t="s">
        <v>74</v>
      </c>
      <c r="BL127" t="s">
        <v>74</v>
      </c>
      <c r="BM127" t="s">
        <v>74</v>
      </c>
      <c r="BN127" t="s">
        <v>74</v>
      </c>
      <c r="BO127" t="s">
        <v>74</v>
      </c>
      <c r="BP127" t="s">
        <v>74</v>
      </c>
      <c r="BQ127" t="s">
        <v>74</v>
      </c>
      <c r="BR127" t="s">
        <v>74</v>
      </c>
      <c r="BS127" t="s">
        <v>959</v>
      </c>
      <c r="BT127" t="str">
        <f>HYPERLINK("https%3A%2F%2Fwww.webofscience.com%2Fwos%2Fwoscc%2Ffull-record%2FWOS:A1991GP24400079","View Full Record in Web of Science")</f>
        <v>View Full Record in Web of Science</v>
      </c>
    </row>
    <row r="128" spans="1:72" x14ac:dyDescent="0.4">
      <c r="A128" t="s">
        <v>6684</v>
      </c>
      <c r="B128" t="s">
        <v>6685</v>
      </c>
      <c r="C128" t="s">
        <v>74</v>
      </c>
      <c r="D128" t="s">
        <v>6686</v>
      </c>
      <c r="E128" t="s">
        <v>74</v>
      </c>
      <c r="F128" t="s">
        <v>6685</v>
      </c>
      <c r="G128" t="s">
        <v>74</v>
      </c>
      <c r="H128" t="s">
        <v>74</v>
      </c>
      <c r="I128" t="s">
        <v>6687</v>
      </c>
      <c r="J128" t="s">
        <v>6688</v>
      </c>
      <c r="K128" t="s">
        <v>6689</v>
      </c>
      <c r="L128" t="s">
        <v>74</v>
      </c>
      <c r="M128" t="s">
        <v>74</v>
      </c>
      <c r="N128" t="s">
        <v>74</v>
      </c>
      <c r="O128" t="s">
        <v>6690</v>
      </c>
      <c r="P128" t="s">
        <v>6691</v>
      </c>
      <c r="Q128" t="s">
        <v>6692</v>
      </c>
      <c r="R128" t="s">
        <v>6693</v>
      </c>
      <c r="S128" t="s">
        <v>74</v>
      </c>
      <c r="T128" t="s">
        <v>74</v>
      </c>
      <c r="U128" t="s">
        <v>74</v>
      </c>
      <c r="V128" s="3" t="s">
        <v>6694</v>
      </c>
      <c r="W128" t="s">
        <v>74</v>
      </c>
      <c r="X128" t="s">
        <v>74</v>
      </c>
      <c r="Y128" t="s">
        <v>74</v>
      </c>
      <c r="Z128" t="s">
        <v>74</v>
      </c>
      <c r="AA128" t="s">
        <v>74</v>
      </c>
      <c r="AB128" t="s">
        <v>74</v>
      </c>
      <c r="AC128" t="s">
        <v>74</v>
      </c>
      <c r="AD128" t="s">
        <v>74</v>
      </c>
      <c r="AE128" t="s">
        <v>74</v>
      </c>
      <c r="AF128" t="s">
        <v>74</v>
      </c>
      <c r="AG128" t="s">
        <v>74</v>
      </c>
      <c r="AH128" t="s">
        <v>74</v>
      </c>
      <c r="AI128" t="s">
        <v>74</v>
      </c>
      <c r="AJ128" t="s">
        <v>74</v>
      </c>
      <c r="AK128" t="s">
        <v>74</v>
      </c>
      <c r="AL128" t="s">
        <v>74</v>
      </c>
      <c r="AM128" t="s">
        <v>74</v>
      </c>
      <c r="AN128" t="s">
        <v>74</v>
      </c>
      <c r="AO128" t="s">
        <v>6695</v>
      </c>
      <c r="AP128" t="s">
        <v>74</v>
      </c>
      <c r="AQ128" t="s">
        <v>6696</v>
      </c>
      <c r="AR128" t="s">
        <v>74</v>
      </c>
      <c r="AS128" t="s">
        <v>74</v>
      </c>
      <c r="AT128" t="s">
        <v>74</v>
      </c>
      <c r="AU128">
        <v>2004</v>
      </c>
      <c r="AV128">
        <v>1036</v>
      </c>
      <c r="AW128" t="s">
        <v>74</v>
      </c>
      <c r="AX128" t="s">
        <v>74</v>
      </c>
      <c r="AY128" t="s">
        <v>74</v>
      </c>
      <c r="AZ128" t="s">
        <v>74</v>
      </c>
      <c r="BA128" t="s">
        <v>74</v>
      </c>
      <c r="BB128">
        <v>85</v>
      </c>
      <c r="BC128">
        <v>105</v>
      </c>
      <c r="BD128" t="s">
        <v>74</v>
      </c>
      <c r="BE128" t="s">
        <v>6697</v>
      </c>
      <c r="BF128" t="str">
        <f>HYPERLINK("http://dx.doi.org/10.1196/annals.1330.005","http://dx.doi.org/10.1196/annals.1330.005")</f>
        <v>http://dx.doi.org/10.1196/annals.1330.005</v>
      </c>
      <c r="BG128" t="s">
        <v>74</v>
      </c>
      <c r="BH128" t="s">
        <v>74</v>
      </c>
      <c r="BI128" t="s">
        <v>74</v>
      </c>
      <c r="BJ128" t="s">
        <v>74</v>
      </c>
      <c r="BK128" t="s">
        <v>74</v>
      </c>
      <c r="BL128" t="s">
        <v>74</v>
      </c>
      <c r="BM128" t="s">
        <v>74</v>
      </c>
      <c r="BN128">
        <v>15817732</v>
      </c>
      <c r="BO128" t="s">
        <v>74</v>
      </c>
      <c r="BP128" t="s">
        <v>74</v>
      </c>
      <c r="BQ128" t="s">
        <v>74</v>
      </c>
      <c r="BR128" t="s">
        <v>74</v>
      </c>
      <c r="BS128" t="s">
        <v>6698</v>
      </c>
      <c r="BT128" t="str">
        <f>HYPERLINK("https%3A%2F%2Fwww.webofscience.com%2Fwos%2Fwoscc%2Ffull-record%2FWOS:000229993700006","View Full Record in Web of Science")</f>
        <v>View Full Record in Web of Science</v>
      </c>
    </row>
    <row r="129" spans="1:72" x14ac:dyDescent="0.4">
      <c r="A129" t="s">
        <v>72</v>
      </c>
      <c r="B129" t="s">
        <v>4270</v>
      </c>
      <c r="C129" t="s">
        <v>74</v>
      </c>
      <c r="D129" t="s">
        <v>74</v>
      </c>
      <c r="E129" t="s">
        <v>74</v>
      </c>
      <c r="F129" t="s">
        <v>4270</v>
      </c>
      <c r="G129" t="s">
        <v>74</v>
      </c>
      <c r="H129" t="s">
        <v>74</v>
      </c>
      <c r="I129" t="s">
        <v>4271</v>
      </c>
      <c r="J129" t="s">
        <v>1112</v>
      </c>
      <c r="K129" t="s">
        <v>74</v>
      </c>
      <c r="L129" t="s">
        <v>74</v>
      </c>
      <c r="M129" t="s">
        <v>74</v>
      </c>
      <c r="N129" t="s">
        <v>74</v>
      </c>
      <c r="O129" t="s">
        <v>74</v>
      </c>
      <c r="P129" t="s">
        <v>74</v>
      </c>
      <c r="Q129" t="s">
        <v>74</v>
      </c>
      <c r="R129" t="s">
        <v>74</v>
      </c>
      <c r="S129" t="s">
        <v>74</v>
      </c>
      <c r="T129" t="s">
        <v>74</v>
      </c>
      <c r="U129" t="s">
        <v>74</v>
      </c>
      <c r="V129" s="3" t="s">
        <v>4272</v>
      </c>
      <c r="W129" t="s">
        <v>74</v>
      </c>
      <c r="X129" t="s">
        <v>74</v>
      </c>
      <c r="Y129" t="s">
        <v>74</v>
      </c>
      <c r="Z129" t="s">
        <v>74</v>
      </c>
      <c r="AA129" t="s">
        <v>74</v>
      </c>
      <c r="AB129" t="s">
        <v>74</v>
      </c>
      <c r="AC129" t="s">
        <v>74</v>
      </c>
      <c r="AD129" t="s">
        <v>74</v>
      </c>
      <c r="AE129" t="s">
        <v>74</v>
      </c>
      <c r="AF129" t="s">
        <v>74</v>
      </c>
      <c r="AG129" t="s">
        <v>74</v>
      </c>
      <c r="AH129" t="s">
        <v>74</v>
      </c>
      <c r="AI129" t="s">
        <v>74</v>
      </c>
      <c r="AJ129" t="s">
        <v>74</v>
      </c>
      <c r="AK129" t="s">
        <v>74</v>
      </c>
      <c r="AL129" t="s">
        <v>74</v>
      </c>
      <c r="AM129" t="s">
        <v>74</v>
      </c>
      <c r="AN129" t="s">
        <v>74</v>
      </c>
      <c r="AO129" t="s">
        <v>1114</v>
      </c>
      <c r="AP129" t="s">
        <v>74</v>
      </c>
      <c r="AQ129" t="s">
        <v>74</v>
      </c>
      <c r="AR129" t="s">
        <v>74</v>
      </c>
      <c r="AS129" t="s">
        <v>74</v>
      </c>
      <c r="AT129" t="s">
        <v>352</v>
      </c>
      <c r="AU129">
        <v>1992</v>
      </c>
      <c r="AV129">
        <v>34</v>
      </c>
      <c r="AW129">
        <v>4</v>
      </c>
      <c r="AX129" t="s">
        <v>74</v>
      </c>
      <c r="AY129" t="s">
        <v>74</v>
      </c>
      <c r="AZ129" t="s">
        <v>74</v>
      </c>
      <c r="BA129" t="s">
        <v>74</v>
      </c>
      <c r="BB129">
        <v>359</v>
      </c>
      <c r="BC129">
        <v>363</v>
      </c>
      <c r="BD129" t="s">
        <v>74</v>
      </c>
      <c r="BE129" t="s">
        <v>4273</v>
      </c>
      <c r="BF129" t="str">
        <f>HYPERLINK("http://dx.doi.org/10.1016/S0168-1591(05)80095-4","http://dx.doi.org/10.1016/S0168-1591(05)80095-4")</f>
        <v>http://dx.doi.org/10.1016/S0168-1591(05)80095-4</v>
      </c>
      <c r="BG129" t="s">
        <v>74</v>
      </c>
      <c r="BH129" t="s">
        <v>74</v>
      </c>
      <c r="BI129" t="s">
        <v>74</v>
      </c>
      <c r="BJ129" t="s">
        <v>74</v>
      </c>
      <c r="BK129" t="s">
        <v>74</v>
      </c>
      <c r="BL129" t="s">
        <v>74</v>
      </c>
      <c r="BM129" t="s">
        <v>74</v>
      </c>
      <c r="BN129" t="s">
        <v>74</v>
      </c>
      <c r="BO129" t="s">
        <v>74</v>
      </c>
      <c r="BP129" t="s">
        <v>74</v>
      </c>
      <c r="BQ129" t="s">
        <v>74</v>
      </c>
      <c r="BR129" t="s">
        <v>74</v>
      </c>
      <c r="BS129" t="s">
        <v>4274</v>
      </c>
      <c r="BT129" t="str">
        <f>HYPERLINK("https%3A%2F%2Fwww.webofscience.com%2Fwos%2Fwoscc%2Ffull-record%2FWOS:A1992JL53300007","View Full Record in Web of Science")</f>
        <v>View Full Record in Web of Science</v>
      </c>
    </row>
    <row r="130" spans="1:72" x14ac:dyDescent="0.4">
      <c r="A130" t="s">
        <v>72</v>
      </c>
      <c r="B130" t="s">
        <v>3879</v>
      </c>
      <c r="C130" t="s">
        <v>74</v>
      </c>
      <c r="D130" t="s">
        <v>74</v>
      </c>
      <c r="E130" t="s">
        <v>74</v>
      </c>
      <c r="F130" t="s">
        <v>3879</v>
      </c>
      <c r="G130" t="s">
        <v>74</v>
      </c>
      <c r="H130" t="s">
        <v>74</v>
      </c>
      <c r="I130" t="s">
        <v>3880</v>
      </c>
      <c r="J130" t="s">
        <v>129</v>
      </c>
      <c r="K130" t="s">
        <v>74</v>
      </c>
      <c r="L130" t="s">
        <v>74</v>
      </c>
      <c r="M130" t="s">
        <v>74</v>
      </c>
      <c r="N130" t="s">
        <v>74</v>
      </c>
      <c r="O130" t="s">
        <v>74</v>
      </c>
      <c r="P130" t="s">
        <v>74</v>
      </c>
      <c r="Q130" t="s">
        <v>74</v>
      </c>
      <c r="R130" t="s">
        <v>74</v>
      </c>
      <c r="S130" t="s">
        <v>74</v>
      </c>
      <c r="T130" t="s">
        <v>74</v>
      </c>
      <c r="U130" t="s">
        <v>74</v>
      </c>
      <c r="V130" s="3" t="s">
        <v>3881</v>
      </c>
      <c r="W130" t="s">
        <v>74</v>
      </c>
      <c r="X130" t="s">
        <v>74</v>
      </c>
      <c r="Y130" t="s">
        <v>74</v>
      </c>
      <c r="Z130" t="s">
        <v>74</v>
      </c>
      <c r="AA130" t="s">
        <v>3882</v>
      </c>
      <c r="AB130" t="s">
        <v>3883</v>
      </c>
      <c r="AC130" t="s">
        <v>74</v>
      </c>
      <c r="AD130" t="s">
        <v>74</v>
      </c>
      <c r="AE130" t="s">
        <v>74</v>
      </c>
      <c r="AF130" t="s">
        <v>74</v>
      </c>
      <c r="AG130" t="s">
        <v>74</v>
      </c>
      <c r="AH130" t="s">
        <v>74</v>
      </c>
      <c r="AI130" t="s">
        <v>74</v>
      </c>
      <c r="AJ130" t="s">
        <v>74</v>
      </c>
      <c r="AK130" t="s">
        <v>74</v>
      </c>
      <c r="AL130" t="s">
        <v>74</v>
      </c>
      <c r="AM130" t="s">
        <v>74</v>
      </c>
      <c r="AN130" t="s">
        <v>74</v>
      </c>
      <c r="AO130" t="s">
        <v>132</v>
      </c>
      <c r="AP130" t="s">
        <v>74</v>
      </c>
      <c r="AQ130" t="s">
        <v>74</v>
      </c>
      <c r="AR130" t="s">
        <v>74</v>
      </c>
      <c r="AS130" t="s">
        <v>74</v>
      </c>
      <c r="AT130" t="s">
        <v>134</v>
      </c>
      <c r="AU130">
        <v>2000</v>
      </c>
      <c r="AV130">
        <v>47</v>
      </c>
      <c r="AW130">
        <v>6</v>
      </c>
      <c r="AX130" t="s">
        <v>74</v>
      </c>
      <c r="AY130" t="s">
        <v>74</v>
      </c>
      <c r="AZ130" t="s">
        <v>74</v>
      </c>
      <c r="BA130" t="s">
        <v>74</v>
      </c>
      <c r="BB130">
        <v>413</v>
      </c>
      <c r="BC130">
        <v>416</v>
      </c>
      <c r="BD130" t="s">
        <v>74</v>
      </c>
      <c r="BE130" t="s">
        <v>3884</v>
      </c>
      <c r="BF130" t="str">
        <f>HYPERLINK("http://dx.doi.org/10.1007/s002650050684","http://dx.doi.org/10.1007/s002650050684")</f>
        <v>http://dx.doi.org/10.1007/s002650050684</v>
      </c>
      <c r="BG130" t="s">
        <v>74</v>
      </c>
      <c r="BH130" t="s">
        <v>74</v>
      </c>
      <c r="BI130" t="s">
        <v>74</v>
      </c>
      <c r="BJ130" t="s">
        <v>74</v>
      </c>
      <c r="BK130" t="s">
        <v>74</v>
      </c>
      <c r="BL130" t="s">
        <v>74</v>
      </c>
      <c r="BM130" t="s">
        <v>74</v>
      </c>
      <c r="BN130" t="s">
        <v>74</v>
      </c>
      <c r="BO130" t="s">
        <v>74</v>
      </c>
      <c r="BP130" t="s">
        <v>74</v>
      </c>
      <c r="BQ130" t="s">
        <v>74</v>
      </c>
      <c r="BR130" t="s">
        <v>74</v>
      </c>
      <c r="BS130" t="s">
        <v>3885</v>
      </c>
      <c r="BT130" t="str">
        <f>HYPERLINK("https%3A%2F%2Fwww.webofscience.com%2Fwos%2Fwoscc%2Ffull-record%2FWOS:000087531600006","View Full Record in Web of Science")</f>
        <v>View Full Record in Web of Science</v>
      </c>
    </row>
    <row r="131" spans="1:72" x14ac:dyDescent="0.4">
      <c r="A131" t="s">
        <v>72</v>
      </c>
      <c r="B131" t="s">
        <v>7865</v>
      </c>
      <c r="C131" t="s">
        <v>74</v>
      </c>
      <c r="D131" t="s">
        <v>74</v>
      </c>
      <c r="E131" t="s">
        <v>74</v>
      </c>
      <c r="F131" t="s">
        <v>7866</v>
      </c>
      <c r="G131" t="s">
        <v>74</v>
      </c>
      <c r="H131" t="s">
        <v>74</v>
      </c>
      <c r="I131" t="s">
        <v>7867</v>
      </c>
      <c r="J131" t="s">
        <v>5937</v>
      </c>
      <c r="K131" t="s">
        <v>74</v>
      </c>
      <c r="L131" t="s">
        <v>74</v>
      </c>
      <c r="M131" t="s">
        <v>74</v>
      </c>
      <c r="N131" t="s">
        <v>74</v>
      </c>
      <c r="O131" t="s">
        <v>74</v>
      </c>
      <c r="P131" t="s">
        <v>74</v>
      </c>
      <c r="Q131" t="s">
        <v>74</v>
      </c>
      <c r="R131" t="s">
        <v>74</v>
      </c>
      <c r="S131" t="s">
        <v>74</v>
      </c>
      <c r="T131" t="s">
        <v>74</v>
      </c>
      <c r="U131" t="s">
        <v>74</v>
      </c>
      <c r="V131" s="3" t="s">
        <v>7868</v>
      </c>
      <c r="W131" t="s">
        <v>74</v>
      </c>
      <c r="X131" t="s">
        <v>74</v>
      </c>
      <c r="Y131" t="s">
        <v>74</v>
      </c>
      <c r="Z131" t="s">
        <v>74</v>
      </c>
      <c r="AA131" t="s">
        <v>74</v>
      </c>
      <c r="AB131" t="s">
        <v>74</v>
      </c>
      <c r="AC131" t="s">
        <v>74</v>
      </c>
      <c r="AD131" t="s">
        <v>74</v>
      </c>
      <c r="AE131" t="s">
        <v>74</v>
      </c>
      <c r="AF131" t="s">
        <v>74</v>
      </c>
      <c r="AG131" t="s">
        <v>74</v>
      </c>
      <c r="AH131" t="s">
        <v>74</v>
      </c>
      <c r="AI131" t="s">
        <v>74</v>
      </c>
      <c r="AJ131" t="s">
        <v>74</v>
      </c>
      <c r="AK131" t="s">
        <v>74</v>
      </c>
      <c r="AL131" t="s">
        <v>74</v>
      </c>
      <c r="AM131" t="s">
        <v>74</v>
      </c>
      <c r="AN131" t="s">
        <v>74</v>
      </c>
      <c r="AO131" t="s">
        <v>5941</v>
      </c>
      <c r="AP131" t="s">
        <v>74</v>
      </c>
      <c r="AQ131" t="s">
        <v>74</v>
      </c>
      <c r="AR131" t="s">
        <v>74</v>
      </c>
      <c r="AS131" t="s">
        <v>74</v>
      </c>
      <c r="AT131" t="s">
        <v>204</v>
      </c>
      <c r="AU131">
        <v>2021</v>
      </c>
      <c r="AV131">
        <v>11</v>
      </c>
      <c r="AW131">
        <v>7</v>
      </c>
      <c r="AX131" t="s">
        <v>74</v>
      </c>
      <c r="AY131" t="s">
        <v>74</v>
      </c>
      <c r="AZ131" t="s">
        <v>74</v>
      </c>
      <c r="BA131" t="s">
        <v>74</v>
      </c>
      <c r="BB131" t="s">
        <v>74</v>
      </c>
      <c r="BC131" t="s">
        <v>74</v>
      </c>
      <c r="BD131">
        <v>2070</v>
      </c>
      <c r="BE131" t="s">
        <v>7869</v>
      </c>
      <c r="BF131" t="str">
        <f>HYPERLINK("http://dx.doi.org/10.3390/ani11072070","http://dx.doi.org/10.3390/ani11072070")</f>
        <v>http://dx.doi.org/10.3390/ani11072070</v>
      </c>
      <c r="BG131" t="s">
        <v>74</v>
      </c>
      <c r="BH131" t="s">
        <v>74</v>
      </c>
      <c r="BI131" t="s">
        <v>74</v>
      </c>
      <c r="BJ131" t="s">
        <v>74</v>
      </c>
      <c r="BK131" t="s">
        <v>74</v>
      </c>
      <c r="BL131" t="s">
        <v>74</v>
      </c>
      <c r="BM131" t="s">
        <v>74</v>
      </c>
      <c r="BN131">
        <v>34359198</v>
      </c>
      <c r="BO131" t="s">
        <v>74</v>
      </c>
      <c r="BP131" t="s">
        <v>74</v>
      </c>
      <c r="BQ131" t="s">
        <v>74</v>
      </c>
      <c r="BR131" t="s">
        <v>74</v>
      </c>
      <c r="BS131" t="s">
        <v>7870</v>
      </c>
      <c r="BT131" t="str">
        <f>HYPERLINK("https%3A%2F%2Fwww.webofscience.com%2Fwos%2Fwoscc%2Ffull-record%2FWOS:000675936800001","View Full Record in Web of Science")</f>
        <v>View Full Record in Web of Science</v>
      </c>
    </row>
    <row r="132" spans="1:72" x14ac:dyDescent="0.4">
      <c r="A132" t="s">
        <v>72</v>
      </c>
      <c r="B132" t="s">
        <v>7359</v>
      </c>
      <c r="C132" t="s">
        <v>74</v>
      </c>
      <c r="D132" t="s">
        <v>74</v>
      </c>
      <c r="E132" t="s">
        <v>74</v>
      </c>
      <c r="F132" t="s">
        <v>7360</v>
      </c>
      <c r="G132" t="s">
        <v>74</v>
      </c>
      <c r="H132" t="s">
        <v>74</v>
      </c>
      <c r="I132" t="s">
        <v>7361</v>
      </c>
      <c r="J132" t="s">
        <v>882</v>
      </c>
      <c r="K132" t="s">
        <v>74</v>
      </c>
      <c r="L132" t="s">
        <v>74</v>
      </c>
      <c r="M132" t="s">
        <v>74</v>
      </c>
      <c r="N132" t="s">
        <v>74</v>
      </c>
      <c r="O132" t="s">
        <v>74</v>
      </c>
      <c r="P132" t="s">
        <v>74</v>
      </c>
      <c r="Q132" t="s">
        <v>74</v>
      </c>
      <c r="R132" t="s">
        <v>74</v>
      </c>
      <c r="S132" t="s">
        <v>74</v>
      </c>
      <c r="T132" t="s">
        <v>74</v>
      </c>
      <c r="U132" t="s">
        <v>74</v>
      </c>
      <c r="V132" s="3" t="s">
        <v>7362</v>
      </c>
      <c r="W132" t="s">
        <v>74</v>
      </c>
      <c r="X132" t="s">
        <v>74</v>
      </c>
      <c r="Y132" t="s">
        <v>74</v>
      </c>
      <c r="Z132" t="s">
        <v>74</v>
      </c>
      <c r="AA132" t="s">
        <v>7363</v>
      </c>
      <c r="AB132" t="s">
        <v>7364</v>
      </c>
      <c r="AC132" t="s">
        <v>74</v>
      </c>
      <c r="AD132" t="s">
        <v>74</v>
      </c>
      <c r="AE132" t="s">
        <v>74</v>
      </c>
      <c r="AF132" t="s">
        <v>74</v>
      </c>
      <c r="AG132" t="s">
        <v>74</v>
      </c>
      <c r="AH132" t="s">
        <v>74</v>
      </c>
      <c r="AI132" t="s">
        <v>74</v>
      </c>
      <c r="AJ132" t="s">
        <v>74</v>
      </c>
      <c r="AK132" t="s">
        <v>74</v>
      </c>
      <c r="AL132" t="s">
        <v>74</v>
      </c>
      <c r="AM132" t="s">
        <v>74</v>
      </c>
      <c r="AN132" t="s">
        <v>74</v>
      </c>
      <c r="AO132" t="s">
        <v>886</v>
      </c>
      <c r="AP132" t="s">
        <v>887</v>
      </c>
      <c r="AQ132" t="s">
        <v>74</v>
      </c>
      <c r="AR132" t="s">
        <v>74</v>
      </c>
      <c r="AS132" t="s">
        <v>74</v>
      </c>
      <c r="AT132" t="s">
        <v>74</v>
      </c>
      <c r="AU132">
        <v>2019</v>
      </c>
      <c r="AV132">
        <v>28</v>
      </c>
      <c r="AW132" t="s">
        <v>74</v>
      </c>
      <c r="AX132" t="s">
        <v>74</v>
      </c>
      <c r="AY132" t="s">
        <v>74</v>
      </c>
      <c r="AZ132" t="s">
        <v>74</v>
      </c>
      <c r="BA132" t="s">
        <v>74</v>
      </c>
      <c r="BB132">
        <v>127</v>
      </c>
      <c r="BC132">
        <v>136</v>
      </c>
      <c r="BD132" t="s">
        <v>74</v>
      </c>
      <c r="BE132" t="s">
        <v>7365</v>
      </c>
      <c r="BF132" t="str">
        <f>HYPERLINK("http://dx.doi.org/10.3354/ab00718","http://dx.doi.org/10.3354/ab00718")</f>
        <v>http://dx.doi.org/10.3354/ab00718</v>
      </c>
      <c r="BG132" t="s">
        <v>74</v>
      </c>
      <c r="BH132" t="s">
        <v>74</v>
      </c>
      <c r="BI132" t="s">
        <v>74</v>
      </c>
      <c r="BJ132" t="s">
        <v>74</v>
      </c>
      <c r="BK132" t="s">
        <v>74</v>
      </c>
      <c r="BL132" t="s">
        <v>74</v>
      </c>
      <c r="BM132" t="s">
        <v>74</v>
      </c>
      <c r="BN132" t="s">
        <v>74</v>
      </c>
      <c r="BO132" t="s">
        <v>74</v>
      </c>
      <c r="BP132" t="s">
        <v>74</v>
      </c>
      <c r="BQ132" t="s">
        <v>74</v>
      </c>
      <c r="BR132" t="s">
        <v>74</v>
      </c>
      <c r="BS132" t="s">
        <v>7366</v>
      </c>
      <c r="BT132" t="str">
        <f>HYPERLINK("https%3A%2F%2Fwww.webofscience.com%2Fwos%2Fwoscc%2Ffull-record%2FWOS:000518432200009","View Full Record in Web of Science")</f>
        <v>View Full Record in Web of Science</v>
      </c>
    </row>
    <row r="133" spans="1:72" x14ac:dyDescent="0.4">
      <c r="A133" t="s">
        <v>72</v>
      </c>
      <c r="B133" t="s">
        <v>148</v>
      </c>
      <c r="C133" t="s">
        <v>74</v>
      </c>
      <c r="D133" t="s">
        <v>74</v>
      </c>
      <c r="E133" t="s">
        <v>74</v>
      </c>
      <c r="F133" t="s">
        <v>149</v>
      </c>
      <c r="G133" t="s">
        <v>74</v>
      </c>
      <c r="H133" t="s">
        <v>74</v>
      </c>
      <c r="I133" t="s">
        <v>150</v>
      </c>
      <c r="J133" t="s">
        <v>151</v>
      </c>
      <c r="K133" t="s">
        <v>74</v>
      </c>
      <c r="L133" t="s">
        <v>74</v>
      </c>
      <c r="M133" t="s">
        <v>74</v>
      </c>
      <c r="N133" t="s">
        <v>74</v>
      </c>
      <c r="O133" t="s">
        <v>74</v>
      </c>
      <c r="P133" t="s">
        <v>74</v>
      </c>
      <c r="Q133" t="s">
        <v>74</v>
      </c>
      <c r="R133" t="s">
        <v>74</v>
      </c>
      <c r="S133" t="s">
        <v>74</v>
      </c>
      <c r="T133" t="s">
        <v>74</v>
      </c>
      <c r="U133" t="s">
        <v>74</v>
      </c>
      <c r="V133" s="3" t="s">
        <v>152</v>
      </c>
      <c r="W133" t="s">
        <v>74</v>
      </c>
      <c r="X133" t="s">
        <v>74</v>
      </c>
      <c r="Y133" t="s">
        <v>74</v>
      </c>
      <c r="Z133" t="s">
        <v>74</v>
      </c>
      <c r="AA133" t="s">
        <v>153</v>
      </c>
      <c r="AB133" t="s">
        <v>154</v>
      </c>
      <c r="AC133" t="s">
        <v>74</v>
      </c>
      <c r="AD133" t="s">
        <v>74</v>
      </c>
      <c r="AE133" t="s">
        <v>74</v>
      </c>
      <c r="AF133" t="s">
        <v>74</v>
      </c>
      <c r="AG133" t="s">
        <v>74</v>
      </c>
      <c r="AH133" t="s">
        <v>74</v>
      </c>
      <c r="AI133" t="s">
        <v>74</v>
      </c>
      <c r="AJ133" t="s">
        <v>74</v>
      </c>
      <c r="AK133" t="s">
        <v>74</v>
      </c>
      <c r="AL133" t="s">
        <v>74</v>
      </c>
      <c r="AM133" t="s">
        <v>74</v>
      </c>
      <c r="AN133" t="s">
        <v>74</v>
      </c>
      <c r="AO133" t="s">
        <v>155</v>
      </c>
      <c r="AP133" t="s">
        <v>156</v>
      </c>
      <c r="AQ133" t="s">
        <v>74</v>
      </c>
      <c r="AR133" t="s">
        <v>74</v>
      </c>
      <c r="AS133" t="s">
        <v>74</v>
      </c>
      <c r="AT133" t="s">
        <v>74</v>
      </c>
      <c r="AU133">
        <v>2014</v>
      </c>
      <c r="AV133">
        <v>504</v>
      </c>
      <c r="AW133" t="s">
        <v>74</v>
      </c>
      <c r="AX133" t="s">
        <v>74</v>
      </c>
      <c r="AY133" t="s">
        <v>74</v>
      </c>
      <c r="AZ133" t="s">
        <v>74</v>
      </c>
      <c r="BA133" t="s">
        <v>74</v>
      </c>
      <c r="BB133">
        <v>277</v>
      </c>
      <c r="BC133">
        <v>286</v>
      </c>
      <c r="BD133" t="s">
        <v>74</v>
      </c>
      <c r="BE133" t="s">
        <v>157</v>
      </c>
      <c r="BF133" t="str">
        <f>HYPERLINK("http://dx.doi.org/10.3354/meps10760","http://dx.doi.org/10.3354/meps10760")</f>
        <v>http://dx.doi.org/10.3354/meps10760</v>
      </c>
      <c r="BG133" t="s">
        <v>74</v>
      </c>
      <c r="BH133" t="s">
        <v>74</v>
      </c>
      <c r="BI133" t="s">
        <v>74</v>
      </c>
      <c r="BJ133" t="s">
        <v>74</v>
      </c>
      <c r="BK133" t="s">
        <v>74</v>
      </c>
      <c r="BL133" t="s">
        <v>74</v>
      </c>
      <c r="BM133" t="s">
        <v>74</v>
      </c>
      <c r="BN133" t="s">
        <v>74</v>
      </c>
      <c r="BO133" t="s">
        <v>74</v>
      </c>
      <c r="BP133" t="s">
        <v>74</v>
      </c>
      <c r="BQ133" t="s">
        <v>74</v>
      </c>
      <c r="BR133" t="s">
        <v>74</v>
      </c>
      <c r="BS133" t="s">
        <v>158</v>
      </c>
      <c r="BT133" t="str">
        <f>HYPERLINK("https%3A%2F%2Fwww.webofscience.com%2Fwos%2Fwoscc%2Ffull-record%2FWOS:000335963100021","View Full Record in Web of Science")</f>
        <v>View Full Record in Web of Science</v>
      </c>
    </row>
    <row r="134" spans="1:72" x14ac:dyDescent="0.4">
      <c r="A134" t="s">
        <v>72</v>
      </c>
      <c r="B134" t="s">
        <v>4220</v>
      </c>
      <c r="C134" t="s">
        <v>74</v>
      </c>
      <c r="D134" t="s">
        <v>74</v>
      </c>
      <c r="E134" t="s">
        <v>74</v>
      </c>
      <c r="F134" t="s">
        <v>4221</v>
      </c>
      <c r="G134" t="s">
        <v>74</v>
      </c>
      <c r="H134" t="s">
        <v>74</v>
      </c>
      <c r="I134" t="s">
        <v>4222</v>
      </c>
      <c r="J134" t="s">
        <v>1384</v>
      </c>
      <c r="K134" t="s">
        <v>74</v>
      </c>
      <c r="L134" t="s">
        <v>74</v>
      </c>
      <c r="M134" t="s">
        <v>74</v>
      </c>
      <c r="N134" t="s">
        <v>74</v>
      </c>
      <c r="O134" t="s">
        <v>74</v>
      </c>
      <c r="P134" t="s">
        <v>74</v>
      </c>
      <c r="Q134" t="s">
        <v>74</v>
      </c>
      <c r="R134" t="s">
        <v>74</v>
      </c>
      <c r="S134" t="s">
        <v>74</v>
      </c>
      <c r="T134" t="s">
        <v>74</v>
      </c>
      <c r="U134" t="s">
        <v>74</v>
      </c>
      <c r="V134" s="3" t="s">
        <v>4223</v>
      </c>
      <c r="W134" t="s">
        <v>74</v>
      </c>
      <c r="X134" t="s">
        <v>74</v>
      </c>
      <c r="Y134" t="s">
        <v>74</v>
      </c>
      <c r="Z134" t="s">
        <v>74</v>
      </c>
      <c r="AA134" t="s">
        <v>4224</v>
      </c>
      <c r="AB134" t="s">
        <v>74</v>
      </c>
      <c r="AC134" t="s">
        <v>74</v>
      </c>
      <c r="AD134" t="s">
        <v>74</v>
      </c>
      <c r="AE134" t="s">
        <v>74</v>
      </c>
      <c r="AF134" t="s">
        <v>74</v>
      </c>
      <c r="AG134" t="s">
        <v>74</v>
      </c>
      <c r="AH134" t="s">
        <v>74</v>
      </c>
      <c r="AI134" t="s">
        <v>74</v>
      </c>
      <c r="AJ134" t="s">
        <v>74</v>
      </c>
      <c r="AK134" t="s">
        <v>74</v>
      </c>
      <c r="AL134" t="s">
        <v>74</v>
      </c>
      <c r="AM134" t="s">
        <v>74</v>
      </c>
      <c r="AN134" t="s">
        <v>74</v>
      </c>
      <c r="AO134" t="s">
        <v>1388</v>
      </c>
      <c r="AP134" t="s">
        <v>74</v>
      </c>
      <c r="AQ134" t="s">
        <v>74</v>
      </c>
      <c r="AR134" t="s">
        <v>74</v>
      </c>
      <c r="AS134" t="s">
        <v>74</v>
      </c>
      <c r="AT134" t="s">
        <v>255</v>
      </c>
      <c r="AU134">
        <v>2013</v>
      </c>
      <c r="AV134">
        <v>155</v>
      </c>
      <c r="AW134">
        <v>1</v>
      </c>
      <c r="AX134" t="s">
        <v>74</v>
      </c>
      <c r="AY134" t="s">
        <v>74</v>
      </c>
      <c r="AZ134" t="s">
        <v>74</v>
      </c>
      <c r="BA134" t="s">
        <v>74</v>
      </c>
      <c r="BB134">
        <v>189</v>
      </c>
      <c r="BC134">
        <v>193</v>
      </c>
      <c r="BD134" t="s">
        <v>74</v>
      </c>
      <c r="BE134" t="s">
        <v>4225</v>
      </c>
      <c r="BF134" t="str">
        <f>HYPERLINK("http://dx.doi.org/10.1111/j.1474-919X.2012.01264.x","http://dx.doi.org/10.1111/j.1474-919X.2012.01264.x")</f>
        <v>http://dx.doi.org/10.1111/j.1474-919X.2012.01264.x</v>
      </c>
      <c r="BG134" t="s">
        <v>74</v>
      </c>
      <c r="BH134" t="s">
        <v>74</v>
      </c>
      <c r="BI134" t="s">
        <v>74</v>
      </c>
      <c r="BJ134" t="s">
        <v>74</v>
      </c>
      <c r="BK134" t="s">
        <v>74</v>
      </c>
      <c r="BL134" t="s">
        <v>74</v>
      </c>
      <c r="BM134" t="s">
        <v>74</v>
      </c>
      <c r="BN134" t="s">
        <v>74</v>
      </c>
      <c r="BO134" t="s">
        <v>74</v>
      </c>
      <c r="BP134" t="s">
        <v>74</v>
      </c>
      <c r="BQ134" t="s">
        <v>74</v>
      </c>
      <c r="BR134" t="s">
        <v>74</v>
      </c>
      <c r="BS134" t="s">
        <v>4226</v>
      </c>
      <c r="BT134" t="str">
        <f>HYPERLINK("https%3A%2F%2Fwww.webofscience.com%2Fwos%2Fwoscc%2Ffull-record%2FWOS:000316326600017","View Full Record in Web of Science")</f>
        <v>View Full Record in Web of Science</v>
      </c>
    </row>
    <row r="135" spans="1:72" x14ac:dyDescent="0.4">
      <c r="A135" t="s">
        <v>72</v>
      </c>
      <c r="B135" t="s">
        <v>3260</v>
      </c>
      <c r="C135" t="s">
        <v>74</v>
      </c>
      <c r="D135" t="s">
        <v>74</v>
      </c>
      <c r="E135" t="s">
        <v>74</v>
      </c>
      <c r="F135" t="s">
        <v>3261</v>
      </c>
      <c r="G135" t="s">
        <v>74</v>
      </c>
      <c r="H135" t="s">
        <v>74</v>
      </c>
      <c r="I135" t="s">
        <v>3262</v>
      </c>
      <c r="J135" t="s">
        <v>576</v>
      </c>
      <c r="K135" t="s">
        <v>74</v>
      </c>
      <c r="L135" t="s">
        <v>74</v>
      </c>
      <c r="M135" t="s">
        <v>74</v>
      </c>
      <c r="N135" t="s">
        <v>74</v>
      </c>
      <c r="O135" t="s">
        <v>74</v>
      </c>
      <c r="P135" t="s">
        <v>74</v>
      </c>
      <c r="Q135" t="s">
        <v>74</v>
      </c>
      <c r="R135" t="s">
        <v>74</v>
      </c>
      <c r="S135" t="s">
        <v>74</v>
      </c>
      <c r="T135" t="s">
        <v>74</v>
      </c>
      <c r="U135" t="s">
        <v>74</v>
      </c>
      <c r="V135" s="3" t="s">
        <v>3263</v>
      </c>
      <c r="W135" t="s">
        <v>74</v>
      </c>
      <c r="X135" t="s">
        <v>74</v>
      </c>
      <c r="Y135" t="s">
        <v>74</v>
      </c>
      <c r="Z135" t="s">
        <v>74</v>
      </c>
      <c r="AA135" t="s">
        <v>3264</v>
      </c>
      <c r="AB135" t="s">
        <v>434</v>
      </c>
      <c r="AC135" t="s">
        <v>74</v>
      </c>
      <c r="AD135" t="s">
        <v>74</v>
      </c>
      <c r="AE135" t="s">
        <v>74</v>
      </c>
      <c r="AF135" t="s">
        <v>74</v>
      </c>
      <c r="AG135" t="s">
        <v>74</v>
      </c>
      <c r="AH135" t="s">
        <v>74</v>
      </c>
      <c r="AI135" t="s">
        <v>74</v>
      </c>
      <c r="AJ135" t="s">
        <v>74</v>
      </c>
      <c r="AK135" t="s">
        <v>74</v>
      </c>
      <c r="AL135" t="s">
        <v>74</v>
      </c>
      <c r="AM135" t="s">
        <v>74</v>
      </c>
      <c r="AN135" t="s">
        <v>74</v>
      </c>
      <c r="AO135" t="s">
        <v>579</v>
      </c>
      <c r="AP135" t="s">
        <v>580</v>
      </c>
      <c r="AQ135" t="s">
        <v>74</v>
      </c>
      <c r="AR135" t="s">
        <v>74</v>
      </c>
      <c r="AS135" t="s">
        <v>74</v>
      </c>
      <c r="AT135" t="s">
        <v>213</v>
      </c>
      <c r="AU135">
        <v>2013</v>
      </c>
      <c r="AV135">
        <v>27</v>
      </c>
      <c r="AW135">
        <v>6</v>
      </c>
      <c r="AX135" t="s">
        <v>74</v>
      </c>
      <c r="AY135" t="s">
        <v>74</v>
      </c>
      <c r="AZ135" t="s">
        <v>74</v>
      </c>
      <c r="BA135" t="s">
        <v>74</v>
      </c>
      <c r="BB135">
        <v>1189</v>
      </c>
      <c r="BC135">
        <v>1198</v>
      </c>
      <c r="BD135" t="s">
        <v>74</v>
      </c>
      <c r="BE135" t="s">
        <v>3265</v>
      </c>
      <c r="BF135" t="str">
        <f>HYPERLINK("http://dx.doi.org/10.1007/s10682-013-9651-1","http://dx.doi.org/10.1007/s10682-013-9651-1")</f>
        <v>http://dx.doi.org/10.1007/s10682-013-9651-1</v>
      </c>
      <c r="BG135" t="s">
        <v>74</v>
      </c>
      <c r="BH135" t="s">
        <v>74</v>
      </c>
      <c r="BI135" t="s">
        <v>74</v>
      </c>
      <c r="BJ135" t="s">
        <v>74</v>
      </c>
      <c r="BK135" t="s">
        <v>74</v>
      </c>
      <c r="BL135" t="s">
        <v>74</v>
      </c>
      <c r="BM135" t="s">
        <v>74</v>
      </c>
      <c r="BN135" t="s">
        <v>74</v>
      </c>
      <c r="BO135" t="s">
        <v>74</v>
      </c>
      <c r="BP135" t="s">
        <v>74</v>
      </c>
      <c r="BQ135" t="s">
        <v>74</v>
      </c>
      <c r="BR135" t="s">
        <v>74</v>
      </c>
      <c r="BS135" t="s">
        <v>3266</v>
      </c>
      <c r="BT135" t="str">
        <f>HYPERLINK("https%3A%2F%2Fwww.webofscience.com%2Fwos%2Fwoscc%2Ffull-record%2FWOS:000326897500010","View Full Record in Web of Science")</f>
        <v>View Full Record in Web of Science</v>
      </c>
    </row>
    <row r="136" spans="1:72" x14ac:dyDescent="0.4">
      <c r="A136" t="s">
        <v>72</v>
      </c>
      <c r="B136" t="s">
        <v>7578</v>
      </c>
      <c r="C136" t="s">
        <v>74</v>
      </c>
      <c r="D136" t="s">
        <v>74</v>
      </c>
      <c r="E136" t="s">
        <v>74</v>
      </c>
      <c r="F136" t="s">
        <v>7579</v>
      </c>
      <c r="G136" t="s">
        <v>74</v>
      </c>
      <c r="H136" t="s">
        <v>74</v>
      </c>
      <c r="I136" t="s">
        <v>7580</v>
      </c>
      <c r="J136" t="s">
        <v>6899</v>
      </c>
      <c r="K136" t="s">
        <v>74</v>
      </c>
      <c r="L136" t="s">
        <v>74</v>
      </c>
      <c r="M136" t="s">
        <v>74</v>
      </c>
      <c r="N136" t="s">
        <v>74</v>
      </c>
      <c r="O136" t="s">
        <v>74</v>
      </c>
      <c r="P136" t="s">
        <v>74</v>
      </c>
      <c r="Q136" t="s">
        <v>74</v>
      </c>
      <c r="R136" t="s">
        <v>74</v>
      </c>
      <c r="S136" t="s">
        <v>74</v>
      </c>
      <c r="T136" t="s">
        <v>74</v>
      </c>
      <c r="U136" t="s">
        <v>74</v>
      </c>
      <c r="V136" s="3" t="s">
        <v>7581</v>
      </c>
      <c r="W136" t="s">
        <v>74</v>
      </c>
      <c r="X136" t="s">
        <v>74</v>
      </c>
      <c r="Y136" t="s">
        <v>74</v>
      </c>
      <c r="Z136" t="s">
        <v>74</v>
      </c>
      <c r="AA136" t="s">
        <v>7582</v>
      </c>
      <c r="AB136" t="s">
        <v>7583</v>
      </c>
      <c r="AC136" t="s">
        <v>74</v>
      </c>
      <c r="AD136" t="s">
        <v>74</v>
      </c>
      <c r="AE136" t="s">
        <v>74</v>
      </c>
      <c r="AF136" t="s">
        <v>74</v>
      </c>
      <c r="AG136" t="s">
        <v>74</v>
      </c>
      <c r="AH136" t="s">
        <v>74</v>
      </c>
      <c r="AI136" t="s">
        <v>74</v>
      </c>
      <c r="AJ136" t="s">
        <v>74</v>
      </c>
      <c r="AK136" t="s">
        <v>74</v>
      </c>
      <c r="AL136" t="s">
        <v>74</v>
      </c>
      <c r="AM136" t="s">
        <v>74</v>
      </c>
      <c r="AN136" t="s">
        <v>74</v>
      </c>
      <c r="AO136" t="s">
        <v>6903</v>
      </c>
      <c r="AP136" t="s">
        <v>7584</v>
      </c>
      <c r="AQ136" t="s">
        <v>74</v>
      </c>
      <c r="AR136" t="s">
        <v>74</v>
      </c>
      <c r="AS136" t="s">
        <v>74</v>
      </c>
      <c r="AT136" t="s">
        <v>213</v>
      </c>
      <c r="AU136">
        <v>2009</v>
      </c>
      <c r="AV136">
        <v>133</v>
      </c>
      <c r="AW136">
        <v>2</v>
      </c>
      <c r="AX136" t="s">
        <v>74</v>
      </c>
      <c r="AY136" t="s">
        <v>74</v>
      </c>
      <c r="AZ136" t="s">
        <v>74</v>
      </c>
      <c r="BA136" t="s">
        <v>74</v>
      </c>
      <c r="BB136">
        <v>165</v>
      </c>
      <c r="BC136">
        <v>173</v>
      </c>
      <c r="BD136" t="s">
        <v>74</v>
      </c>
      <c r="BE136" t="s">
        <v>7585</v>
      </c>
      <c r="BF136" t="str">
        <f>HYPERLINK("http://dx.doi.org/10.1111/j.1570-7458.2009.00913.x","http://dx.doi.org/10.1111/j.1570-7458.2009.00913.x")</f>
        <v>http://dx.doi.org/10.1111/j.1570-7458.2009.00913.x</v>
      </c>
      <c r="BG136" t="s">
        <v>74</v>
      </c>
      <c r="BH136" t="s">
        <v>74</v>
      </c>
      <c r="BI136" t="s">
        <v>74</v>
      </c>
      <c r="BJ136" t="s">
        <v>74</v>
      </c>
      <c r="BK136" t="s">
        <v>74</v>
      </c>
      <c r="BL136" t="s">
        <v>74</v>
      </c>
      <c r="BM136" t="s">
        <v>74</v>
      </c>
      <c r="BN136" t="s">
        <v>74</v>
      </c>
      <c r="BO136" t="s">
        <v>74</v>
      </c>
      <c r="BP136" t="s">
        <v>74</v>
      </c>
      <c r="BQ136" t="s">
        <v>74</v>
      </c>
      <c r="BR136" t="s">
        <v>74</v>
      </c>
      <c r="BS136" t="s">
        <v>7586</v>
      </c>
      <c r="BT136" t="str">
        <f>HYPERLINK("https%3A%2F%2Fwww.webofscience.com%2Fwos%2Fwoscc%2Ffull-record%2FWOS:000270648800007","View Full Record in Web of Science")</f>
        <v>View Full Record in Web of Science</v>
      </c>
    </row>
    <row r="137" spans="1:72" x14ac:dyDescent="0.4">
      <c r="A137" t="s">
        <v>72</v>
      </c>
      <c r="B137" t="s">
        <v>8306</v>
      </c>
      <c r="C137" t="s">
        <v>74</v>
      </c>
      <c r="D137" t="s">
        <v>74</v>
      </c>
      <c r="E137" t="s">
        <v>74</v>
      </c>
      <c r="F137" t="s">
        <v>8306</v>
      </c>
      <c r="G137" t="s">
        <v>74</v>
      </c>
      <c r="H137" t="s">
        <v>74</v>
      </c>
      <c r="I137" t="s">
        <v>8307</v>
      </c>
      <c r="J137" t="s">
        <v>140</v>
      </c>
      <c r="K137" t="s">
        <v>74</v>
      </c>
      <c r="L137" t="s">
        <v>74</v>
      </c>
      <c r="M137" t="s">
        <v>74</v>
      </c>
      <c r="N137" t="s">
        <v>74</v>
      </c>
      <c r="O137" t="s">
        <v>74</v>
      </c>
      <c r="P137" t="s">
        <v>74</v>
      </c>
      <c r="Q137" t="s">
        <v>74</v>
      </c>
      <c r="R137" t="s">
        <v>74</v>
      </c>
      <c r="S137" t="s">
        <v>74</v>
      </c>
      <c r="T137" t="s">
        <v>74</v>
      </c>
      <c r="U137" t="s">
        <v>74</v>
      </c>
      <c r="V137" s="3" t="s">
        <v>8308</v>
      </c>
      <c r="W137" t="s">
        <v>74</v>
      </c>
      <c r="X137" t="s">
        <v>74</v>
      </c>
      <c r="Y137" t="s">
        <v>74</v>
      </c>
      <c r="Z137" t="s">
        <v>74</v>
      </c>
      <c r="AA137" t="s">
        <v>74</v>
      </c>
      <c r="AB137" t="s">
        <v>74</v>
      </c>
      <c r="AC137" t="s">
        <v>74</v>
      </c>
      <c r="AD137" t="s">
        <v>74</v>
      </c>
      <c r="AE137" t="s">
        <v>74</v>
      </c>
      <c r="AF137" t="s">
        <v>74</v>
      </c>
      <c r="AG137" t="s">
        <v>74</v>
      </c>
      <c r="AH137" t="s">
        <v>74</v>
      </c>
      <c r="AI137" t="s">
        <v>74</v>
      </c>
      <c r="AJ137" t="s">
        <v>74</v>
      </c>
      <c r="AK137" t="s">
        <v>74</v>
      </c>
      <c r="AL137" t="s">
        <v>74</v>
      </c>
      <c r="AM137" t="s">
        <v>74</v>
      </c>
      <c r="AN137" t="s">
        <v>74</v>
      </c>
      <c r="AO137" t="s">
        <v>143</v>
      </c>
      <c r="AP137" t="s">
        <v>74</v>
      </c>
      <c r="AQ137" t="s">
        <v>74</v>
      </c>
      <c r="AR137" t="s">
        <v>74</v>
      </c>
      <c r="AS137" t="s">
        <v>74</v>
      </c>
      <c r="AT137" t="s">
        <v>145</v>
      </c>
      <c r="AU137">
        <v>2002</v>
      </c>
      <c r="AV137">
        <v>64</v>
      </c>
      <c r="AW137" t="s">
        <v>74</v>
      </c>
      <c r="AX137">
        <v>2</v>
      </c>
      <c r="AY137" t="s">
        <v>74</v>
      </c>
      <c r="AZ137" t="s">
        <v>74</v>
      </c>
      <c r="BA137" t="s">
        <v>74</v>
      </c>
      <c r="BB137">
        <v>207</v>
      </c>
      <c r="BC137">
        <v>213</v>
      </c>
      <c r="BD137" t="s">
        <v>74</v>
      </c>
      <c r="BE137" t="s">
        <v>8309</v>
      </c>
      <c r="BF137" t="str">
        <f>HYPERLINK("http://dx.doi.org/10.1006/anbe.2002.3042","http://dx.doi.org/10.1006/anbe.2002.3042")</f>
        <v>http://dx.doi.org/10.1006/anbe.2002.3042</v>
      </c>
      <c r="BG137" t="s">
        <v>74</v>
      </c>
      <c r="BH137" t="s">
        <v>74</v>
      </c>
      <c r="BI137" t="s">
        <v>74</v>
      </c>
      <c r="BJ137" t="s">
        <v>74</v>
      </c>
      <c r="BK137" t="s">
        <v>74</v>
      </c>
      <c r="BL137" t="s">
        <v>74</v>
      </c>
      <c r="BM137" t="s">
        <v>74</v>
      </c>
      <c r="BN137" t="s">
        <v>74</v>
      </c>
      <c r="BO137" t="s">
        <v>74</v>
      </c>
      <c r="BP137" t="s">
        <v>74</v>
      </c>
      <c r="BQ137" t="s">
        <v>74</v>
      </c>
      <c r="BR137" t="s">
        <v>74</v>
      </c>
      <c r="BS137" t="s">
        <v>8310</v>
      </c>
      <c r="BT137" t="str">
        <f>HYPERLINK("https%3A%2F%2Fwww.webofscience.com%2Fwos%2Fwoscc%2Ffull-record%2FWOS:000179248600006","View Full Record in Web of Science")</f>
        <v>View Full Record in Web of Science</v>
      </c>
    </row>
    <row r="138" spans="1:72" x14ac:dyDescent="0.4">
      <c r="A138" t="s">
        <v>72</v>
      </c>
      <c r="B138" t="s">
        <v>5827</v>
      </c>
      <c r="C138" t="s">
        <v>74</v>
      </c>
      <c r="D138" t="s">
        <v>74</v>
      </c>
      <c r="E138" t="s">
        <v>74</v>
      </c>
      <c r="F138" t="s">
        <v>5827</v>
      </c>
      <c r="G138" t="s">
        <v>74</v>
      </c>
      <c r="H138" t="s">
        <v>74</v>
      </c>
      <c r="I138" t="s">
        <v>5828</v>
      </c>
      <c r="J138" t="s">
        <v>5829</v>
      </c>
      <c r="K138" t="s">
        <v>74</v>
      </c>
      <c r="L138" t="s">
        <v>74</v>
      </c>
      <c r="M138" t="s">
        <v>74</v>
      </c>
      <c r="N138" t="s">
        <v>74</v>
      </c>
      <c r="O138" t="s">
        <v>74</v>
      </c>
      <c r="P138" t="s">
        <v>74</v>
      </c>
      <c r="Q138" t="s">
        <v>74</v>
      </c>
      <c r="R138" t="s">
        <v>74</v>
      </c>
      <c r="S138" t="s">
        <v>74</v>
      </c>
      <c r="T138" t="s">
        <v>74</v>
      </c>
      <c r="U138" t="s">
        <v>74</v>
      </c>
      <c r="V138" s="3" t="s">
        <v>5830</v>
      </c>
      <c r="W138" t="s">
        <v>74</v>
      </c>
      <c r="X138" t="s">
        <v>74</v>
      </c>
      <c r="Y138" t="s">
        <v>74</v>
      </c>
      <c r="Z138" t="s">
        <v>74</v>
      </c>
      <c r="AA138" t="s">
        <v>5831</v>
      </c>
      <c r="AB138" t="s">
        <v>5832</v>
      </c>
      <c r="AC138" t="s">
        <v>74</v>
      </c>
      <c r="AD138" t="s">
        <v>74</v>
      </c>
      <c r="AE138" t="s">
        <v>74</v>
      </c>
      <c r="AF138" t="s">
        <v>74</v>
      </c>
      <c r="AG138" t="s">
        <v>74</v>
      </c>
      <c r="AH138" t="s">
        <v>74</v>
      </c>
      <c r="AI138" t="s">
        <v>74</v>
      </c>
      <c r="AJ138" t="s">
        <v>74</v>
      </c>
      <c r="AK138" t="s">
        <v>74</v>
      </c>
      <c r="AL138" t="s">
        <v>74</v>
      </c>
      <c r="AM138" t="s">
        <v>74</v>
      </c>
      <c r="AN138" t="s">
        <v>74</v>
      </c>
      <c r="AO138" t="s">
        <v>5833</v>
      </c>
      <c r="AP138" t="s">
        <v>74</v>
      </c>
      <c r="AQ138" t="s">
        <v>74</v>
      </c>
      <c r="AR138" t="s">
        <v>74</v>
      </c>
      <c r="AS138" t="s">
        <v>74</v>
      </c>
      <c r="AT138" t="s">
        <v>633</v>
      </c>
      <c r="AU138">
        <v>1999</v>
      </c>
      <c r="AV138">
        <v>34</v>
      </c>
      <c r="AW138">
        <v>2</v>
      </c>
      <c r="AX138" t="s">
        <v>74</v>
      </c>
      <c r="AY138" t="s">
        <v>74</v>
      </c>
      <c r="AZ138" t="s">
        <v>74</v>
      </c>
      <c r="BA138" t="s">
        <v>74</v>
      </c>
      <c r="BB138">
        <v>48</v>
      </c>
      <c r="BC138">
        <v>52</v>
      </c>
      <c r="BD138" t="s">
        <v>74</v>
      </c>
      <c r="BE138" t="s">
        <v>74</v>
      </c>
      <c r="BF138" t="s">
        <v>74</v>
      </c>
      <c r="BG138" t="s">
        <v>74</v>
      </c>
      <c r="BH138" t="s">
        <v>74</v>
      </c>
      <c r="BI138" t="s">
        <v>74</v>
      </c>
      <c r="BJ138" t="s">
        <v>74</v>
      </c>
      <c r="BK138" t="s">
        <v>74</v>
      </c>
      <c r="BL138" t="s">
        <v>74</v>
      </c>
      <c r="BM138" t="s">
        <v>74</v>
      </c>
      <c r="BN138" t="s">
        <v>74</v>
      </c>
      <c r="BO138" t="s">
        <v>74</v>
      </c>
      <c r="BP138" t="s">
        <v>74</v>
      </c>
      <c r="BQ138" t="s">
        <v>74</v>
      </c>
      <c r="BR138" t="s">
        <v>74</v>
      </c>
      <c r="BS138" t="s">
        <v>5834</v>
      </c>
      <c r="BT138" t="str">
        <f>HYPERLINK("https%3A%2F%2Fwww.webofscience.com%2Fwos%2Fwoscc%2Ffull-record%2FWOS:000080718600002","View Full Record in Web of Science")</f>
        <v>View Full Record in Web of Science</v>
      </c>
    </row>
    <row r="139" spans="1:72" x14ac:dyDescent="0.4">
      <c r="A139" t="s">
        <v>72</v>
      </c>
      <c r="B139" t="s">
        <v>1862</v>
      </c>
      <c r="C139" t="s">
        <v>74</v>
      </c>
      <c r="D139" t="s">
        <v>74</v>
      </c>
      <c r="E139" t="s">
        <v>74</v>
      </c>
      <c r="F139" t="s">
        <v>1863</v>
      </c>
      <c r="G139" t="s">
        <v>74</v>
      </c>
      <c r="H139" t="s">
        <v>74</v>
      </c>
      <c r="I139" t="s">
        <v>1864</v>
      </c>
      <c r="J139" t="s">
        <v>77</v>
      </c>
      <c r="K139" t="s">
        <v>74</v>
      </c>
      <c r="L139" t="s">
        <v>74</v>
      </c>
      <c r="M139" t="s">
        <v>74</v>
      </c>
      <c r="N139" t="s">
        <v>74</v>
      </c>
      <c r="O139" t="s">
        <v>74</v>
      </c>
      <c r="P139" t="s">
        <v>74</v>
      </c>
      <c r="Q139" t="s">
        <v>74</v>
      </c>
      <c r="R139" t="s">
        <v>74</v>
      </c>
      <c r="S139" t="s">
        <v>74</v>
      </c>
      <c r="T139" t="s">
        <v>74</v>
      </c>
      <c r="U139" t="s">
        <v>74</v>
      </c>
      <c r="V139" s="3" t="s">
        <v>1865</v>
      </c>
      <c r="W139" t="s">
        <v>74</v>
      </c>
      <c r="X139" t="s">
        <v>74</v>
      </c>
      <c r="Y139" t="s">
        <v>74</v>
      </c>
      <c r="Z139" t="s">
        <v>74</v>
      </c>
      <c r="AA139" t="s">
        <v>74</v>
      </c>
      <c r="AB139" t="s">
        <v>74</v>
      </c>
      <c r="AC139" t="s">
        <v>74</v>
      </c>
      <c r="AD139" t="s">
        <v>74</v>
      </c>
      <c r="AE139" t="s">
        <v>74</v>
      </c>
      <c r="AF139" t="s">
        <v>74</v>
      </c>
      <c r="AG139" t="s">
        <v>74</v>
      </c>
      <c r="AH139" t="s">
        <v>74</v>
      </c>
      <c r="AI139" t="s">
        <v>74</v>
      </c>
      <c r="AJ139" t="s">
        <v>74</v>
      </c>
      <c r="AK139" t="s">
        <v>74</v>
      </c>
      <c r="AL139" t="s">
        <v>74</v>
      </c>
      <c r="AM139" t="s">
        <v>74</v>
      </c>
      <c r="AN139" t="s">
        <v>74</v>
      </c>
      <c r="AO139" t="s">
        <v>81</v>
      </c>
      <c r="AP139" t="s">
        <v>82</v>
      </c>
      <c r="AQ139" t="s">
        <v>74</v>
      </c>
      <c r="AR139" t="s">
        <v>74</v>
      </c>
      <c r="AS139" t="s">
        <v>74</v>
      </c>
      <c r="AT139" t="s">
        <v>74</v>
      </c>
      <c r="AU139">
        <v>2018</v>
      </c>
      <c r="AV139">
        <v>155</v>
      </c>
      <c r="AW139">
        <v>6</v>
      </c>
      <c r="AX139" t="s">
        <v>74</v>
      </c>
      <c r="AY139" t="s">
        <v>74</v>
      </c>
      <c r="AZ139" t="s">
        <v>74</v>
      </c>
      <c r="BA139" t="s">
        <v>74</v>
      </c>
      <c r="BB139">
        <v>443</v>
      </c>
      <c r="BC139">
        <v>463</v>
      </c>
      <c r="BD139" t="s">
        <v>74</v>
      </c>
      <c r="BE139" t="s">
        <v>1866</v>
      </c>
      <c r="BF139" t="str">
        <f>HYPERLINK("http://dx.doi.org/10.1163/1568539X-00003498","http://dx.doi.org/10.1163/1568539X-00003498")</f>
        <v>http://dx.doi.org/10.1163/1568539X-00003498</v>
      </c>
      <c r="BG139" t="s">
        <v>74</v>
      </c>
      <c r="BH139" t="s">
        <v>74</v>
      </c>
      <c r="BI139" t="s">
        <v>74</v>
      </c>
      <c r="BJ139" t="s">
        <v>74</v>
      </c>
      <c r="BK139" t="s">
        <v>74</v>
      </c>
      <c r="BL139" t="s">
        <v>74</v>
      </c>
      <c r="BM139" t="s">
        <v>74</v>
      </c>
      <c r="BN139" t="s">
        <v>74</v>
      </c>
      <c r="BO139" t="s">
        <v>74</v>
      </c>
      <c r="BP139" t="s">
        <v>74</v>
      </c>
      <c r="BQ139" t="s">
        <v>74</v>
      </c>
      <c r="BR139" t="s">
        <v>74</v>
      </c>
      <c r="BS139" t="s">
        <v>1867</v>
      </c>
      <c r="BT139" t="str">
        <f>HYPERLINK("https%3A%2F%2Fwww.webofscience.com%2Fwos%2Fwoscc%2Ffull-record%2FWOS:000437348800001","View Full Record in Web of Science")</f>
        <v>View Full Record in Web of Science</v>
      </c>
    </row>
    <row r="140" spans="1:72" x14ac:dyDescent="0.4">
      <c r="A140" t="s">
        <v>72</v>
      </c>
      <c r="B140" t="s">
        <v>8497</v>
      </c>
      <c r="C140" t="s">
        <v>74</v>
      </c>
      <c r="D140" t="s">
        <v>74</v>
      </c>
      <c r="E140" t="s">
        <v>74</v>
      </c>
      <c r="F140" t="s">
        <v>8498</v>
      </c>
      <c r="G140" t="s">
        <v>74</v>
      </c>
      <c r="H140" t="s">
        <v>74</v>
      </c>
      <c r="I140" t="s">
        <v>8499</v>
      </c>
      <c r="J140" t="s">
        <v>1656</v>
      </c>
      <c r="K140" t="s">
        <v>74</v>
      </c>
      <c r="L140" t="s">
        <v>74</v>
      </c>
      <c r="M140" t="s">
        <v>74</v>
      </c>
      <c r="N140" t="s">
        <v>74</v>
      </c>
      <c r="O140" t="s">
        <v>74</v>
      </c>
      <c r="P140" t="s">
        <v>74</v>
      </c>
      <c r="Q140" t="s">
        <v>74</v>
      </c>
      <c r="R140" t="s">
        <v>74</v>
      </c>
      <c r="S140" t="s">
        <v>74</v>
      </c>
      <c r="T140" t="s">
        <v>74</v>
      </c>
      <c r="U140" t="s">
        <v>74</v>
      </c>
      <c r="V140" s="3" t="s">
        <v>8500</v>
      </c>
      <c r="W140" t="s">
        <v>74</v>
      </c>
      <c r="X140" t="s">
        <v>74</v>
      </c>
      <c r="Y140" t="s">
        <v>74</v>
      </c>
      <c r="Z140" t="s">
        <v>74</v>
      </c>
      <c r="AA140" t="s">
        <v>8501</v>
      </c>
      <c r="AB140" t="s">
        <v>8502</v>
      </c>
      <c r="AC140" t="s">
        <v>74</v>
      </c>
      <c r="AD140" t="s">
        <v>74</v>
      </c>
      <c r="AE140" t="s">
        <v>74</v>
      </c>
      <c r="AF140" t="s">
        <v>74</v>
      </c>
      <c r="AG140" t="s">
        <v>74</v>
      </c>
      <c r="AH140" t="s">
        <v>74</v>
      </c>
      <c r="AI140" t="s">
        <v>74</v>
      </c>
      <c r="AJ140" t="s">
        <v>74</v>
      </c>
      <c r="AK140" t="s">
        <v>74</v>
      </c>
      <c r="AL140" t="s">
        <v>74</v>
      </c>
      <c r="AM140" t="s">
        <v>74</v>
      </c>
      <c r="AN140" t="s">
        <v>74</v>
      </c>
      <c r="AO140" t="s">
        <v>1658</v>
      </c>
      <c r="AP140" t="s">
        <v>1659</v>
      </c>
      <c r="AQ140" t="s">
        <v>74</v>
      </c>
      <c r="AR140" t="s">
        <v>74</v>
      </c>
      <c r="AS140" t="s">
        <v>74</v>
      </c>
      <c r="AT140" t="s">
        <v>5768</v>
      </c>
      <c r="AU140">
        <v>2011</v>
      </c>
      <c r="AV140" t="s">
        <v>74</v>
      </c>
      <c r="AW140">
        <v>3083</v>
      </c>
      <c r="AX140" t="s">
        <v>74</v>
      </c>
      <c r="AY140" t="s">
        <v>74</v>
      </c>
      <c r="AZ140" t="s">
        <v>74</v>
      </c>
      <c r="BA140" t="s">
        <v>74</v>
      </c>
      <c r="BB140">
        <v>1</v>
      </c>
      <c r="BC140">
        <v>120</v>
      </c>
      <c r="BD140" t="s">
        <v>74</v>
      </c>
      <c r="BE140" t="s">
        <v>74</v>
      </c>
      <c r="BF140" t="s">
        <v>74</v>
      </c>
      <c r="BG140" t="s">
        <v>74</v>
      </c>
      <c r="BH140" t="s">
        <v>74</v>
      </c>
      <c r="BI140" t="s">
        <v>74</v>
      </c>
      <c r="BJ140" t="s">
        <v>74</v>
      </c>
      <c r="BK140" t="s">
        <v>74</v>
      </c>
      <c r="BL140" t="s">
        <v>74</v>
      </c>
      <c r="BM140" t="s">
        <v>74</v>
      </c>
      <c r="BN140" t="s">
        <v>74</v>
      </c>
      <c r="BO140" t="s">
        <v>74</v>
      </c>
      <c r="BP140" t="s">
        <v>74</v>
      </c>
      <c r="BQ140" t="s">
        <v>74</v>
      </c>
      <c r="BR140" t="s">
        <v>74</v>
      </c>
      <c r="BS140" t="s">
        <v>8503</v>
      </c>
      <c r="BT140" t="str">
        <f>HYPERLINK("https%3A%2F%2Fwww.webofscience.com%2Fwos%2Fwoscc%2Ffull-record%2FWOS:000296876100001","View Full Record in Web of Science")</f>
        <v>View Full Record in Web of Science</v>
      </c>
    </row>
    <row r="141" spans="1:72" x14ac:dyDescent="0.4">
      <c r="A141" t="s">
        <v>72</v>
      </c>
      <c r="B141" t="s">
        <v>2240</v>
      </c>
      <c r="C141" t="s">
        <v>74</v>
      </c>
      <c r="D141" t="s">
        <v>74</v>
      </c>
      <c r="E141" t="s">
        <v>74</v>
      </c>
      <c r="F141" t="s">
        <v>2240</v>
      </c>
      <c r="G141" t="s">
        <v>74</v>
      </c>
      <c r="H141" t="s">
        <v>74</v>
      </c>
      <c r="I141" t="s">
        <v>2241</v>
      </c>
      <c r="J141" t="s">
        <v>367</v>
      </c>
      <c r="K141" t="s">
        <v>74</v>
      </c>
      <c r="L141" t="s">
        <v>74</v>
      </c>
      <c r="M141" t="s">
        <v>74</v>
      </c>
      <c r="N141" t="s">
        <v>74</v>
      </c>
      <c r="O141" t="s">
        <v>74</v>
      </c>
      <c r="P141" t="s">
        <v>74</v>
      </c>
      <c r="Q141" t="s">
        <v>74</v>
      </c>
      <c r="R141" t="s">
        <v>74</v>
      </c>
      <c r="S141" t="s">
        <v>74</v>
      </c>
      <c r="T141" t="s">
        <v>74</v>
      </c>
      <c r="U141" t="s">
        <v>74</v>
      </c>
      <c r="V141" s="3" t="s">
        <v>2242</v>
      </c>
      <c r="W141" t="s">
        <v>74</v>
      </c>
      <c r="X141" t="s">
        <v>74</v>
      </c>
      <c r="Y141" t="s">
        <v>74</v>
      </c>
      <c r="Z141" t="s">
        <v>74</v>
      </c>
      <c r="AA141" t="s">
        <v>74</v>
      </c>
      <c r="AB141" t="s">
        <v>74</v>
      </c>
      <c r="AC141" t="s">
        <v>74</v>
      </c>
      <c r="AD141" t="s">
        <v>74</v>
      </c>
      <c r="AE141" t="s">
        <v>74</v>
      </c>
      <c r="AF141" t="s">
        <v>74</v>
      </c>
      <c r="AG141" t="s">
        <v>74</v>
      </c>
      <c r="AH141" t="s">
        <v>74</v>
      </c>
      <c r="AI141" t="s">
        <v>74</v>
      </c>
      <c r="AJ141" t="s">
        <v>74</v>
      </c>
      <c r="AK141" t="s">
        <v>74</v>
      </c>
      <c r="AL141" t="s">
        <v>74</v>
      </c>
      <c r="AM141" t="s">
        <v>74</v>
      </c>
      <c r="AN141" t="s">
        <v>74</v>
      </c>
      <c r="AO141" t="s">
        <v>371</v>
      </c>
      <c r="AP141" t="s">
        <v>74</v>
      </c>
      <c r="AQ141" t="s">
        <v>74</v>
      </c>
      <c r="AR141" t="s">
        <v>74</v>
      </c>
      <c r="AS141" t="s">
        <v>74</v>
      </c>
      <c r="AT141" t="s">
        <v>352</v>
      </c>
      <c r="AU141">
        <v>1992</v>
      </c>
      <c r="AV141">
        <v>106</v>
      </c>
      <c r="AW141">
        <v>3</v>
      </c>
      <c r="AX141" t="s">
        <v>74</v>
      </c>
      <c r="AY141" t="s">
        <v>74</v>
      </c>
      <c r="AZ141" t="s">
        <v>74</v>
      </c>
      <c r="BA141" t="s">
        <v>74</v>
      </c>
      <c r="BB141">
        <v>203</v>
      </c>
      <c r="BC141">
        <v>216</v>
      </c>
      <c r="BD141" t="s">
        <v>74</v>
      </c>
      <c r="BE141" t="s">
        <v>2243</v>
      </c>
      <c r="BF141" t="str">
        <f>HYPERLINK("http://dx.doi.org/10.1037/0735-7036.106.3.203","http://dx.doi.org/10.1037/0735-7036.106.3.203")</f>
        <v>http://dx.doi.org/10.1037/0735-7036.106.3.203</v>
      </c>
      <c r="BG141" t="s">
        <v>74</v>
      </c>
      <c r="BH141" t="s">
        <v>74</v>
      </c>
      <c r="BI141" t="s">
        <v>74</v>
      </c>
      <c r="BJ141" t="s">
        <v>74</v>
      </c>
      <c r="BK141" t="s">
        <v>74</v>
      </c>
      <c r="BL141" t="s">
        <v>74</v>
      </c>
      <c r="BM141" t="s">
        <v>74</v>
      </c>
      <c r="BN141">
        <v>1395490</v>
      </c>
      <c r="BO141" t="s">
        <v>74</v>
      </c>
      <c r="BP141" t="s">
        <v>74</v>
      </c>
      <c r="BQ141" t="s">
        <v>74</v>
      </c>
      <c r="BR141" t="s">
        <v>74</v>
      </c>
      <c r="BS141" t="s">
        <v>2244</v>
      </c>
      <c r="BT141" t="str">
        <f>HYPERLINK("https%3A%2F%2Fwww.webofscience.com%2Fwos%2Fwoscc%2Ffull-record%2FWOS:A1992JK69600001","View Full Record in Web of Science")</f>
        <v>View Full Record in Web of Science</v>
      </c>
    </row>
    <row r="142" spans="1:72" x14ac:dyDescent="0.4">
      <c r="A142" t="s">
        <v>72</v>
      </c>
      <c r="B142" t="s">
        <v>643</v>
      </c>
      <c r="C142" t="s">
        <v>74</v>
      </c>
      <c r="D142" t="s">
        <v>74</v>
      </c>
      <c r="E142" t="s">
        <v>74</v>
      </c>
      <c r="F142" t="s">
        <v>644</v>
      </c>
      <c r="G142" t="s">
        <v>74</v>
      </c>
      <c r="H142" t="s">
        <v>74</v>
      </c>
      <c r="I142" t="s">
        <v>645</v>
      </c>
      <c r="J142" t="s">
        <v>129</v>
      </c>
      <c r="K142" t="s">
        <v>74</v>
      </c>
      <c r="L142" t="s">
        <v>74</v>
      </c>
      <c r="M142" t="s">
        <v>74</v>
      </c>
      <c r="N142" t="s">
        <v>74</v>
      </c>
      <c r="O142" t="s">
        <v>74</v>
      </c>
      <c r="P142" t="s">
        <v>74</v>
      </c>
      <c r="Q142" t="s">
        <v>74</v>
      </c>
      <c r="R142" t="s">
        <v>74</v>
      </c>
      <c r="S142" t="s">
        <v>74</v>
      </c>
      <c r="T142" t="s">
        <v>74</v>
      </c>
      <c r="U142" t="s">
        <v>74</v>
      </c>
      <c r="V142" s="3" t="s">
        <v>646</v>
      </c>
      <c r="W142" t="s">
        <v>74</v>
      </c>
      <c r="X142" t="s">
        <v>74</v>
      </c>
      <c r="Y142" t="s">
        <v>74</v>
      </c>
      <c r="Z142" t="s">
        <v>74</v>
      </c>
      <c r="AA142" t="s">
        <v>647</v>
      </c>
      <c r="AB142" t="s">
        <v>648</v>
      </c>
      <c r="AC142" t="s">
        <v>74</v>
      </c>
      <c r="AD142" t="s">
        <v>74</v>
      </c>
      <c r="AE142" t="s">
        <v>74</v>
      </c>
      <c r="AF142" t="s">
        <v>74</v>
      </c>
      <c r="AG142" t="s">
        <v>74</v>
      </c>
      <c r="AH142" t="s">
        <v>74</v>
      </c>
      <c r="AI142" t="s">
        <v>74</v>
      </c>
      <c r="AJ142" t="s">
        <v>74</v>
      </c>
      <c r="AK142" t="s">
        <v>74</v>
      </c>
      <c r="AL142" t="s">
        <v>74</v>
      </c>
      <c r="AM142" t="s">
        <v>74</v>
      </c>
      <c r="AN142" t="s">
        <v>74</v>
      </c>
      <c r="AO142" t="s">
        <v>132</v>
      </c>
      <c r="AP142" t="s">
        <v>133</v>
      </c>
      <c r="AQ142" t="s">
        <v>74</v>
      </c>
      <c r="AR142" t="s">
        <v>74</v>
      </c>
      <c r="AS142" t="s">
        <v>74</v>
      </c>
      <c r="AT142" t="s">
        <v>102</v>
      </c>
      <c r="AU142">
        <v>2019</v>
      </c>
      <c r="AV142">
        <v>73</v>
      </c>
      <c r="AW142">
        <v>6</v>
      </c>
      <c r="AX142" t="s">
        <v>74</v>
      </c>
      <c r="AY142" t="s">
        <v>74</v>
      </c>
      <c r="AZ142" t="s">
        <v>74</v>
      </c>
      <c r="BA142" t="s">
        <v>74</v>
      </c>
      <c r="BB142" t="s">
        <v>74</v>
      </c>
      <c r="BC142" t="s">
        <v>74</v>
      </c>
      <c r="BD142">
        <v>72</v>
      </c>
      <c r="BE142" t="s">
        <v>649</v>
      </c>
      <c r="BF142" t="str">
        <f>HYPERLINK("http://dx.doi.org/10.1007/s00265-019-2673-0","http://dx.doi.org/10.1007/s00265-019-2673-0")</f>
        <v>http://dx.doi.org/10.1007/s00265-019-2673-0</v>
      </c>
      <c r="BG142" t="s">
        <v>74</v>
      </c>
      <c r="BH142" t="s">
        <v>74</v>
      </c>
      <c r="BI142" t="s">
        <v>74</v>
      </c>
      <c r="BJ142" t="s">
        <v>74</v>
      </c>
      <c r="BK142" t="s">
        <v>74</v>
      </c>
      <c r="BL142" t="s">
        <v>74</v>
      </c>
      <c r="BM142" t="s">
        <v>74</v>
      </c>
      <c r="BN142" t="s">
        <v>74</v>
      </c>
      <c r="BO142" t="s">
        <v>74</v>
      </c>
      <c r="BP142" t="s">
        <v>74</v>
      </c>
      <c r="BQ142" t="s">
        <v>74</v>
      </c>
      <c r="BR142" t="s">
        <v>74</v>
      </c>
      <c r="BS142" t="s">
        <v>650</v>
      </c>
      <c r="BT142" t="str">
        <f>HYPERLINK("https%3A%2F%2Fwww.webofscience.com%2Fwos%2Fwoscc%2Ffull-record%2FWOS:000467390400001","View Full Record in Web of Science")</f>
        <v>View Full Record in Web of Science</v>
      </c>
    </row>
    <row r="143" spans="1:72" x14ac:dyDescent="0.4">
      <c r="A143" t="s">
        <v>72</v>
      </c>
      <c r="B143" t="s">
        <v>2879</v>
      </c>
      <c r="C143" t="s">
        <v>74</v>
      </c>
      <c r="D143" t="s">
        <v>74</v>
      </c>
      <c r="E143" t="s">
        <v>74</v>
      </c>
      <c r="F143" t="s">
        <v>2879</v>
      </c>
      <c r="G143" t="s">
        <v>74</v>
      </c>
      <c r="H143" t="s">
        <v>74</v>
      </c>
      <c r="I143" t="s">
        <v>2880</v>
      </c>
      <c r="J143" t="s">
        <v>1526</v>
      </c>
      <c r="K143" t="s">
        <v>74</v>
      </c>
      <c r="L143" t="s">
        <v>74</v>
      </c>
      <c r="M143" t="s">
        <v>74</v>
      </c>
      <c r="N143" t="s">
        <v>74</v>
      </c>
      <c r="O143" t="s">
        <v>74</v>
      </c>
      <c r="P143" t="s">
        <v>74</v>
      </c>
      <c r="Q143" t="s">
        <v>74</v>
      </c>
      <c r="R143" t="s">
        <v>74</v>
      </c>
      <c r="S143" t="s">
        <v>74</v>
      </c>
      <c r="T143" t="s">
        <v>74</v>
      </c>
      <c r="U143" t="s">
        <v>74</v>
      </c>
      <c r="V143" s="3" t="s">
        <v>2881</v>
      </c>
      <c r="W143" t="s">
        <v>74</v>
      </c>
      <c r="X143" t="s">
        <v>74</v>
      </c>
      <c r="Y143" t="s">
        <v>74</v>
      </c>
      <c r="Z143" t="s">
        <v>74</v>
      </c>
      <c r="AA143" t="s">
        <v>2882</v>
      </c>
      <c r="AB143" t="s">
        <v>2883</v>
      </c>
      <c r="AC143" t="s">
        <v>74</v>
      </c>
      <c r="AD143" t="s">
        <v>74</v>
      </c>
      <c r="AE143" t="s">
        <v>74</v>
      </c>
      <c r="AF143" t="s">
        <v>74</v>
      </c>
      <c r="AG143" t="s">
        <v>74</v>
      </c>
      <c r="AH143" t="s">
        <v>74</v>
      </c>
      <c r="AI143" t="s">
        <v>74</v>
      </c>
      <c r="AJ143" t="s">
        <v>74</v>
      </c>
      <c r="AK143" t="s">
        <v>74</v>
      </c>
      <c r="AL143" t="s">
        <v>74</v>
      </c>
      <c r="AM143" t="s">
        <v>74</v>
      </c>
      <c r="AN143" t="s">
        <v>74</v>
      </c>
      <c r="AO143" t="s">
        <v>1528</v>
      </c>
      <c r="AP143" t="s">
        <v>74</v>
      </c>
      <c r="AQ143" t="s">
        <v>74</v>
      </c>
      <c r="AR143" t="s">
        <v>74</v>
      </c>
      <c r="AS143" t="s">
        <v>74</v>
      </c>
      <c r="AT143" t="s">
        <v>134</v>
      </c>
      <c r="AU143">
        <v>2001</v>
      </c>
      <c r="AV143">
        <v>103</v>
      </c>
      <c r="AW143">
        <v>2</v>
      </c>
      <c r="AX143" t="s">
        <v>74</v>
      </c>
      <c r="AY143" t="s">
        <v>74</v>
      </c>
      <c r="AZ143" t="s">
        <v>74</v>
      </c>
      <c r="BA143" t="s">
        <v>74</v>
      </c>
      <c r="BB143">
        <v>248</v>
      </c>
      <c r="BC143">
        <v>258</v>
      </c>
      <c r="BD143" t="s">
        <v>74</v>
      </c>
      <c r="BE143" t="s">
        <v>2884</v>
      </c>
      <c r="BF143" t="str">
        <f>HYPERLINK("http://dx.doi.org/10.1650/0010-5422(2001)103[0248:PRIBMP]2.0.CO;2","http://dx.doi.org/10.1650/0010-5422(2001)103[0248:PRIBMP]2.0.CO;2")</f>
        <v>http://dx.doi.org/10.1650/0010-5422(2001)103[0248:PRIBMP]2.0.CO;2</v>
      </c>
      <c r="BG143" t="s">
        <v>74</v>
      </c>
      <c r="BH143" t="s">
        <v>74</v>
      </c>
      <c r="BI143" t="s">
        <v>74</v>
      </c>
      <c r="BJ143" t="s">
        <v>74</v>
      </c>
      <c r="BK143" t="s">
        <v>74</v>
      </c>
      <c r="BL143" t="s">
        <v>74</v>
      </c>
      <c r="BM143" t="s">
        <v>74</v>
      </c>
      <c r="BN143" t="s">
        <v>74</v>
      </c>
      <c r="BO143" t="s">
        <v>74</v>
      </c>
      <c r="BP143" t="s">
        <v>74</v>
      </c>
      <c r="BQ143" t="s">
        <v>74</v>
      </c>
      <c r="BR143" t="s">
        <v>74</v>
      </c>
      <c r="BS143" t="s">
        <v>2885</v>
      </c>
      <c r="BT143" t="str">
        <f>HYPERLINK("https%3A%2F%2Fwww.webofscience.com%2Fwos%2Fwoscc%2Ffull-record%2FWOS:000168569600005","View Full Record in Web of Science")</f>
        <v>View Full Record in Web of Science</v>
      </c>
    </row>
    <row r="144" spans="1:72" x14ac:dyDescent="0.4">
      <c r="A144" t="s">
        <v>72</v>
      </c>
      <c r="B144" t="s">
        <v>1069</v>
      </c>
      <c r="C144" t="s">
        <v>74</v>
      </c>
      <c r="D144" t="s">
        <v>74</v>
      </c>
      <c r="E144" t="s">
        <v>74</v>
      </c>
      <c r="F144" t="s">
        <v>1070</v>
      </c>
      <c r="G144" t="s">
        <v>74</v>
      </c>
      <c r="H144" t="s">
        <v>74</v>
      </c>
      <c r="I144" t="s">
        <v>1071</v>
      </c>
      <c r="J144" t="s">
        <v>229</v>
      </c>
      <c r="K144" t="s">
        <v>74</v>
      </c>
      <c r="L144" t="s">
        <v>74</v>
      </c>
      <c r="M144" t="s">
        <v>74</v>
      </c>
      <c r="N144" t="s">
        <v>74</v>
      </c>
      <c r="O144" t="s">
        <v>74</v>
      </c>
      <c r="P144" t="s">
        <v>74</v>
      </c>
      <c r="Q144" t="s">
        <v>74</v>
      </c>
      <c r="R144" t="s">
        <v>74</v>
      </c>
      <c r="S144" t="s">
        <v>74</v>
      </c>
      <c r="T144" t="s">
        <v>74</v>
      </c>
      <c r="U144" t="s">
        <v>74</v>
      </c>
      <c r="V144" s="3" t="s">
        <v>1072</v>
      </c>
      <c r="W144" t="s">
        <v>74</v>
      </c>
      <c r="X144" t="s">
        <v>74</v>
      </c>
      <c r="Y144" t="s">
        <v>74</v>
      </c>
      <c r="Z144" t="s">
        <v>74</v>
      </c>
      <c r="AA144" t="s">
        <v>1073</v>
      </c>
      <c r="AB144" t="s">
        <v>1074</v>
      </c>
      <c r="AC144" t="s">
        <v>74</v>
      </c>
      <c r="AD144" t="s">
        <v>74</v>
      </c>
      <c r="AE144" t="s">
        <v>74</v>
      </c>
      <c r="AF144" t="s">
        <v>74</v>
      </c>
      <c r="AG144" t="s">
        <v>74</v>
      </c>
      <c r="AH144" t="s">
        <v>74</v>
      </c>
      <c r="AI144" t="s">
        <v>74</v>
      </c>
      <c r="AJ144" t="s">
        <v>74</v>
      </c>
      <c r="AK144" t="s">
        <v>74</v>
      </c>
      <c r="AL144" t="s">
        <v>74</v>
      </c>
      <c r="AM144" t="s">
        <v>74</v>
      </c>
      <c r="AN144" t="s">
        <v>74</v>
      </c>
      <c r="AO144" t="s">
        <v>233</v>
      </c>
      <c r="AP144" t="s">
        <v>234</v>
      </c>
      <c r="AQ144" t="s">
        <v>74</v>
      </c>
      <c r="AR144" t="s">
        <v>74</v>
      </c>
      <c r="AS144" t="s">
        <v>74</v>
      </c>
      <c r="AT144" t="s">
        <v>1075</v>
      </c>
      <c r="AU144">
        <v>2018</v>
      </c>
      <c r="AV144">
        <v>44</v>
      </c>
      <c r="AW144">
        <v>6</v>
      </c>
      <c r="AX144" t="s">
        <v>74</v>
      </c>
      <c r="AY144" t="s">
        <v>74</v>
      </c>
      <c r="AZ144" t="s">
        <v>74</v>
      </c>
      <c r="BA144" t="s">
        <v>74</v>
      </c>
      <c r="BB144">
        <v>624</v>
      </c>
      <c r="BC144">
        <v>637</v>
      </c>
      <c r="BD144" t="s">
        <v>74</v>
      </c>
      <c r="BE144" t="s">
        <v>1076</v>
      </c>
      <c r="BF144" t="str">
        <f>HYPERLINK("http://dx.doi.org/10.1002/ab.21787","http://dx.doi.org/10.1002/ab.21787")</f>
        <v>http://dx.doi.org/10.1002/ab.21787</v>
      </c>
      <c r="BG144" t="s">
        <v>74</v>
      </c>
      <c r="BH144" t="s">
        <v>74</v>
      </c>
      <c r="BI144" t="s">
        <v>74</v>
      </c>
      <c r="BJ144" t="s">
        <v>74</v>
      </c>
      <c r="BK144" t="s">
        <v>74</v>
      </c>
      <c r="BL144" t="s">
        <v>74</v>
      </c>
      <c r="BM144" t="s">
        <v>74</v>
      </c>
      <c r="BN144">
        <v>30141188</v>
      </c>
      <c r="BO144" t="s">
        <v>74</v>
      </c>
      <c r="BP144" t="s">
        <v>74</v>
      </c>
      <c r="BQ144" t="s">
        <v>74</v>
      </c>
      <c r="BR144" t="s">
        <v>74</v>
      </c>
      <c r="BS144" t="s">
        <v>1077</v>
      </c>
      <c r="BT144" t="str">
        <f>HYPERLINK("https%3A%2F%2Fwww.webofscience.com%2Fwos%2Fwoscc%2Ffull-record%2FWOS:000446552400008","View Full Record in Web of Science")</f>
        <v>View Full Record in Web of Science</v>
      </c>
    </row>
    <row r="145" spans="1:72" x14ac:dyDescent="0.4">
      <c r="A145" t="s">
        <v>72</v>
      </c>
      <c r="B145" t="s">
        <v>2601</v>
      </c>
      <c r="C145" t="s">
        <v>74</v>
      </c>
      <c r="D145" t="s">
        <v>74</v>
      </c>
      <c r="E145" t="s">
        <v>74</v>
      </c>
      <c r="F145" t="s">
        <v>2601</v>
      </c>
      <c r="G145" t="s">
        <v>74</v>
      </c>
      <c r="H145" t="s">
        <v>74</v>
      </c>
      <c r="I145" t="s">
        <v>2602</v>
      </c>
      <c r="J145" t="s">
        <v>281</v>
      </c>
      <c r="K145" t="s">
        <v>74</v>
      </c>
      <c r="L145" t="s">
        <v>74</v>
      </c>
      <c r="M145" t="s">
        <v>74</v>
      </c>
      <c r="N145" t="s">
        <v>74</v>
      </c>
      <c r="O145" t="s">
        <v>74</v>
      </c>
      <c r="P145" t="s">
        <v>74</v>
      </c>
      <c r="Q145" t="s">
        <v>74</v>
      </c>
      <c r="R145" t="s">
        <v>74</v>
      </c>
      <c r="S145" t="s">
        <v>74</v>
      </c>
      <c r="T145" t="s">
        <v>74</v>
      </c>
      <c r="U145" t="s">
        <v>74</v>
      </c>
      <c r="V145" s="3" t="s">
        <v>2603</v>
      </c>
      <c r="W145" t="s">
        <v>74</v>
      </c>
      <c r="X145" t="s">
        <v>74</v>
      </c>
      <c r="Y145" t="s">
        <v>74</v>
      </c>
      <c r="Z145" t="s">
        <v>74</v>
      </c>
      <c r="AA145" t="s">
        <v>2604</v>
      </c>
      <c r="AB145" t="s">
        <v>2605</v>
      </c>
      <c r="AC145" t="s">
        <v>74</v>
      </c>
      <c r="AD145" t="s">
        <v>74</v>
      </c>
      <c r="AE145" t="s">
        <v>74</v>
      </c>
      <c r="AF145" t="s">
        <v>74</v>
      </c>
      <c r="AG145" t="s">
        <v>74</v>
      </c>
      <c r="AH145" t="s">
        <v>74</v>
      </c>
      <c r="AI145" t="s">
        <v>74</v>
      </c>
      <c r="AJ145" t="s">
        <v>74</v>
      </c>
      <c r="AK145" t="s">
        <v>74</v>
      </c>
      <c r="AL145" t="s">
        <v>74</v>
      </c>
      <c r="AM145" t="s">
        <v>74</v>
      </c>
      <c r="AN145" t="s">
        <v>74</v>
      </c>
      <c r="AO145" t="s">
        <v>285</v>
      </c>
      <c r="AP145" t="s">
        <v>286</v>
      </c>
      <c r="AQ145" t="s">
        <v>74</v>
      </c>
      <c r="AR145" t="s">
        <v>74</v>
      </c>
      <c r="AS145" t="s">
        <v>74</v>
      </c>
      <c r="AT145" t="s">
        <v>633</v>
      </c>
      <c r="AU145">
        <v>2004</v>
      </c>
      <c r="AV145">
        <v>7</v>
      </c>
      <c r="AW145">
        <v>2</v>
      </c>
      <c r="AX145" t="s">
        <v>74</v>
      </c>
      <c r="AY145" t="s">
        <v>74</v>
      </c>
      <c r="AZ145" t="s">
        <v>74</v>
      </c>
      <c r="BA145" t="s">
        <v>74</v>
      </c>
      <c r="BB145">
        <v>69</v>
      </c>
      <c r="BC145">
        <v>76</v>
      </c>
      <c r="BD145" t="s">
        <v>74</v>
      </c>
      <c r="BE145" t="s">
        <v>2606</v>
      </c>
      <c r="BF145" t="str">
        <f>HYPERLINK("http://dx.doi.org/10.1007/s10071-003-0189-4","http://dx.doi.org/10.1007/s10071-003-0189-4")</f>
        <v>http://dx.doi.org/10.1007/s10071-003-0189-4</v>
      </c>
      <c r="BG145" t="s">
        <v>74</v>
      </c>
      <c r="BH145" t="s">
        <v>74</v>
      </c>
      <c r="BI145" t="s">
        <v>74</v>
      </c>
      <c r="BJ145" t="s">
        <v>74</v>
      </c>
      <c r="BK145" t="s">
        <v>74</v>
      </c>
      <c r="BL145" t="s">
        <v>74</v>
      </c>
      <c r="BM145" t="s">
        <v>74</v>
      </c>
      <c r="BN145">
        <v>15069605</v>
      </c>
      <c r="BO145" t="s">
        <v>74</v>
      </c>
      <c r="BP145" t="s">
        <v>74</v>
      </c>
      <c r="BQ145" t="s">
        <v>74</v>
      </c>
      <c r="BR145" t="s">
        <v>74</v>
      </c>
      <c r="BS145" t="s">
        <v>2607</v>
      </c>
      <c r="BT145" t="str">
        <f>HYPERLINK("https%3A%2F%2Fwww.webofscience.com%2Fwos%2Fwoscc%2Ffull-record%2FWOS:000221649900001","View Full Record in Web of Science")</f>
        <v>View Full Record in Web of Science</v>
      </c>
    </row>
    <row r="146" spans="1:72" x14ac:dyDescent="0.4">
      <c r="A146" t="s">
        <v>72</v>
      </c>
      <c r="B146" t="s">
        <v>6542</v>
      </c>
      <c r="C146" t="s">
        <v>74</v>
      </c>
      <c r="D146" t="s">
        <v>74</v>
      </c>
      <c r="E146" t="s">
        <v>74</v>
      </c>
      <c r="F146" t="s">
        <v>6543</v>
      </c>
      <c r="G146" t="s">
        <v>74</v>
      </c>
      <c r="H146" t="s">
        <v>74</v>
      </c>
      <c r="I146" t="s">
        <v>6544</v>
      </c>
      <c r="J146" t="s">
        <v>970</v>
      </c>
      <c r="K146" t="s">
        <v>74</v>
      </c>
      <c r="L146" t="s">
        <v>74</v>
      </c>
      <c r="M146" t="s">
        <v>74</v>
      </c>
      <c r="N146" t="s">
        <v>74</v>
      </c>
      <c r="O146" t="s">
        <v>74</v>
      </c>
      <c r="P146" t="s">
        <v>74</v>
      </c>
      <c r="Q146" t="s">
        <v>74</v>
      </c>
      <c r="R146" t="s">
        <v>74</v>
      </c>
      <c r="S146" t="s">
        <v>74</v>
      </c>
      <c r="T146" t="s">
        <v>74</v>
      </c>
      <c r="U146" t="s">
        <v>74</v>
      </c>
      <c r="V146" s="3" t="s">
        <v>6545</v>
      </c>
      <c r="W146" t="s">
        <v>74</v>
      </c>
      <c r="X146" t="s">
        <v>74</v>
      </c>
      <c r="Y146" t="s">
        <v>74</v>
      </c>
      <c r="Z146" t="s">
        <v>74</v>
      </c>
      <c r="AA146" t="s">
        <v>6546</v>
      </c>
      <c r="AB146" t="s">
        <v>6547</v>
      </c>
      <c r="AC146" t="s">
        <v>74</v>
      </c>
      <c r="AD146" t="s">
        <v>74</v>
      </c>
      <c r="AE146" t="s">
        <v>74</v>
      </c>
      <c r="AF146" t="s">
        <v>74</v>
      </c>
      <c r="AG146" t="s">
        <v>74</v>
      </c>
      <c r="AH146" t="s">
        <v>74</v>
      </c>
      <c r="AI146" t="s">
        <v>74</v>
      </c>
      <c r="AJ146" t="s">
        <v>74</v>
      </c>
      <c r="AK146" t="s">
        <v>74</v>
      </c>
      <c r="AL146" t="s">
        <v>74</v>
      </c>
      <c r="AM146" t="s">
        <v>74</v>
      </c>
      <c r="AN146" t="s">
        <v>74</v>
      </c>
      <c r="AO146" t="s">
        <v>974</v>
      </c>
      <c r="AP146" t="s">
        <v>975</v>
      </c>
      <c r="AQ146" t="s">
        <v>74</v>
      </c>
      <c r="AR146" t="s">
        <v>74</v>
      </c>
      <c r="AS146" t="s">
        <v>74</v>
      </c>
      <c r="AT146" t="s">
        <v>633</v>
      </c>
      <c r="AU146">
        <v>2020</v>
      </c>
      <c r="AV146">
        <v>161</v>
      </c>
      <c r="AW146">
        <v>2</v>
      </c>
      <c r="AX146" t="s">
        <v>74</v>
      </c>
      <c r="AY146" t="s">
        <v>74</v>
      </c>
      <c r="AZ146" t="s">
        <v>74</v>
      </c>
      <c r="BA146" t="s">
        <v>74</v>
      </c>
      <c r="BB146">
        <v>341</v>
      </c>
      <c r="BC146">
        <v>350</v>
      </c>
      <c r="BD146" t="s">
        <v>74</v>
      </c>
      <c r="BE146" t="s">
        <v>6548</v>
      </c>
      <c r="BF146" t="str">
        <f>HYPERLINK("http://dx.doi.org/10.1007/s10336-019-01730-2","http://dx.doi.org/10.1007/s10336-019-01730-2")</f>
        <v>http://dx.doi.org/10.1007/s10336-019-01730-2</v>
      </c>
      <c r="BG146" t="s">
        <v>74</v>
      </c>
      <c r="BH146" t="s">
        <v>2283</v>
      </c>
      <c r="BI146" t="s">
        <v>74</v>
      </c>
      <c r="BJ146" t="s">
        <v>74</v>
      </c>
      <c r="BK146" t="s">
        <v>74</v>
      </c>
      <c r="BL146" t="s">
        <v>74</v>
      </c>
      <c r="BM146" t="s">
        <v>74</v>
      </c>
      <c r="BN146" t="s">
        <v>74</v>
      </c>
      <c r="BO146" t="s">
        <v>74</v>
      </c>
      <c r="BP146" t="s">
        <v>74</v>
      </c>
      <c r="BQ146" t="s">
        <v>74</v>
      </c>
      <c r="BR146" t="s">
        <v>74</v>
      </c>
      <c r="BS146" t="s">
        <v>6549</v>
      </c>
      <c r="BT146" t="str">
        <f>HYPERLINK("https%3A%2F%2Fwww.webofscience.com%2Fwos%2Fwoscc%2Ffull-record%2FWOS:000493944300001","View Full Record in Web of Science")</f>
        <v>View Full Record in Web of Science</v>
      </c>
    </row>
    <row r="147" spans="1:72" x14ac:dyDescent="0.4">
      <c r="A147" t="s">
        <v>72</v>
      </c>
      <c r="B147" t="s">
        <v>7896</v>
      </c>
      <c r="C147" t="s">
        <v>74</v>
      </c>
      <c r="D147" t="s">
        <v>74</v>
      </c>
      <c r="E147" t="s">
        <v>74</v>
      </c>
      <c r="F147" t="s">
        <v>7897</v>
      </c>
      <c r="G147" t="s">
        <v>74</v>
      </c>
      <c r="H147" t="s">
        <v>74</v>
      </c>
      <c r="I147" t="s">
        <v>7898</v>
      </c>
      <c r="J147" t="s">
        <v>842</v>
      </c>
      <c r="K147" t="s">
        <v>74</v>
      </c>
      <c r="L147" t="s">
        <v>74</v>
      </c>
      <c r="M147" t="s">
        <v>74</v>
      </c>
      <c r="N147" t="s">
        <v>74</v>
      </c>
      <c r="O147" t="s">
        <v>74</v>
      </c>
      <c r="P147" t="s">
        <v>74</v>
      </c>
      <c r="Q147" t="s">
        <v>74</v>
      </c>
      <c r="R147" t="s">
        <v>74</v>
      </c>
      <c r="S147" t="s">
        <v>74</v>
      </c>
      <c r="T147" t="s">
        <v>74</v>
      </c>
      <c r="U147" t="s">
        <v>74</v>
      </c>
      <c r="V147" s="3" t="s">
        <v>7899</v>
      </c>
      <c r="W147" t="s">
        <v>74</v>
      </c>
      <c r="X147" t="s">
        <v>74</v>
      </c>
      <c r="Y147" t="s">
        <v>74</v>
      </c>
      <c r="Z147" t="s">
        <v>74</v>
      </c>
      <c r="AA147" t="s">
        <v>7900</v>
      </c>
      <c r="AB147" t="s">
        <v>74</v>
      </c>
      <c r="AC147" t="s">
        <v>74</v>
      </c>
      <c r="AD147" t="s">
        <v>74</v>
      </c>
      <c r="AE147" t="s">
        <v>74</v>
      </c>
      <c r="AF147" t="s">
        <v>74</v>
      </c>
      <c r="AG147" t="s">
        <v>74</v>
      </c>
      <c r="AH147" t="s">
        <v>74</v>
      </c>
      <c r="AI147" t="s">
        <v>74</v>
      </c>
      <c r="AJ147" t="s">
        <v>74</v>
      </c>
      <c r="AK147" t="s">
        <v>74</v>
      </c>
      <c r="AL147" t="s">
        <v>74</v>
      </c>
      <c r="AM147" t="s">
        <v>74</v>
      </c>
      <c r="AN147" t="s">
        <v>74</v>
      </c>
      <c r="AO147" t="s">
        <v>846</v>
      </c>
      <c r="AP147" t="s">
        <v>847</v>
      </c>
      <c r="AQ147" t="s">
        <v>74</v>
      </c>
      <c r="AR147" t="s">
        <v>74</v>
      </c>
      <c r="AS147" t="s">
        <v>74</v>
      </c>
      <c r="AT147" t="s">
        <v>305</v>
      </c>
      <c r="AU147">
        <v>2017</v>
      </c>
      <c r="AV147">
        <v>79</v>
      </c>
      <c r="AW147">
        <v>12</v>
      </c>
      <c r="AX147" t="s">
        <v>74</v>
      </c>
      <c r="AY147" t="s">
        <v>74</v>
      </c>
      <c r="AZ147" t="s">
        <v>74</v>
      </c>
      <c r="BA147" t="s">
        <v>74</v>
      </c>
      <c r="BB147" t="s">
        <v>74</v>
      </c>
      <c r="BC147" t="s">
        <v>74</v>
      </c>
      <c r="BD147" t="s">
        <v>7901</v>
      </c>
      <c r="BE147" t="s">
        <v>7902</v>
      </c>
      <c r="BF147" t="str">
        <f>HYPERLINK("http://dx.doi.org/10.1002/ajp.22726","http://dx.doi.org/10.1002/ajp.22726")</f>
        <v>http://dx.doi.org/10.1002/ajp.22726</v>
      </c>
      <c r="BG147" t="s">
        <v>74</v>
      </c>
      <c r="BH147" t="s">
        <v>74</v>
      </c>
      <c r="BI147" t="s">
        <v>74</v>
      </c>
      <c r="BJ147" t="s">
        <v>74</v>
      </c>
      <c r="BK147" t="s">
        <v>74</v>
      </c>
      <c r="BL147" t="s">
        <v>74</v>
      </c>
      <c r="BM147" t="s">
        <v>74</v>
      </c>
      <c r="BN147">
        <v>29095514</v>
      </c>
      <c r="BO147" t="s">
        <v>74</v>
      </c>
      <c r="BP147" t="s">
        <v>74</v>
      </c>
      <c r="BQ147" t="s">
        <v>74</v>
      </c>
      <c r="BR147" t="s">
        <v>74</v>
      </c>
      <c r="BS147" t="s">
        <v>7903</v>
      </c>
      <c r="BT147" t="str">
        <f>HYPERLINK("https%3A%2F%2Fwww.webofscience.com%2Fwos%2Fwoscc%2Ffull-record%2FWOS:000417173400004","View Full Record in Web of Science")</f>
        <v>View Full Record in Web of Science</v>
      </c>
    </row>
    <row r="148" spans="1:72" x14ac:dyDescent="0.4">
      <c r="A148" t="s">
        <v>72</v>
      </c>
      <c r="B148" t="s">
        <v>662</v>
      </c>
      <c r="C148" t="s">
        <v>74</v>
      </c>
      <c r="D148" t="s">
        <v>74</v>
      </c>
      <c r="E148" t="s">
        <v>74</v>
      </c>
      <c r="F148" t="s">
        <v>662</v>
      </c>
      <c r="G148" t="s">
        <v>74</v>
      </c>
      <c r="H148" t="s">
        <v>74</v>
      </c>
      <c r="I148" t="s">
        <v>663</v>
      </c>
      <c r="J148" t="s">
        <v>140</v>
      </c>
      <c r="K148" t="s">
        <v>74</v>
      </c>
      <c r="L148" t="s">
        <v>74</v>
      </c>
      <c r="M148" t="s">
        <v>74</v>
      </c>
      <c r="N148" t="s">
        <v>74</v>
      </c>
      <c r="O148" t="s">
        <v>74</v>
      </c>
      <c r="P148" t="s">
        <v>74</v>
      </c>
      <c r="Q148" t="s">
        <v>74</v>
      </c>
      <c r="R148" t="s">
        <v>74</v>
      </c>
      <c r="S148" t="s">
        <v>74</v>
      </c>
      <c r="T148" t="s">
        <v>74</v>
      </c>
      <c r="U148" t="s">
        <v>74</v>
      </c>
      <c r="V148" s="3" t="s">
        <v>664</v>
      </c>
      <c r="W148" t="s">
        <v>74</v>
      </c>
      <c r="X148" t="s">
        <v>74</v>
      </c>
      <c r="Y148" t="s">
        <v>74</v>
      </c>
      <c r="Z148" t="s">
        <v>74</v>
      </c>
      <c r="AA148" t="s">
        <v>665</v>
      </c>
      <c r="AB148" t="s">
        <v>666</v>
      </c>
      <c r="AC148" t="s">
        <v>74</v>
      </c>
      <c r="AD148" t="s">
        <v>74</v>
      </c>
      <c r="AE148" t="s">
        <v>74</v>
      </c>
      <c r="AF148" t="s">
        <v>74</v>
      </c>
      <c r="AG148" t="s">
        <v>74</v>
      </c>
      <c r="AH148" t="s">
        <v>74</v>
      </c>
      <c r="AI148" t="s">
        <v>74</v>
      </c>
      <c r="AJ148" t="s">
        <v>74</v>
      </c>
      <c r="AK148" t="s">
        <v>74</v>
      </c>
      <c r="AL148" t="s">
        <v>74</v>
      </c>
      <c r="AM148" t="s">
        <v>74</v>
      </c>
      <c r="AN148" t="s">
        <v>74</v>
      </c>
      <c r="AO148" t="s">
        <v>143</v>
      </c>
      <c r="AP148" t="s">
        <v>144</v>
      </c>
      <c r="AQ148" t="s">
        <v>74</v>
      </c>
      <c r="AR148" t="s">
        <v>74</v>
      </c>
      <c r="AS148" t="s">
        <v>74</v>
      </c>
      <c r="AT148" t="s">
        <v>74</v>
      </c>
      <c r="AU148">
        <v>1982</v>
      </c>
      <c r="AV148">
        <v>30</v>
      </c>
      <c r="AW148" t="s">
        <v>134</v>
      </c>
      <c r="AX148" t="s">
        <v>74</v>
      </c>
      <c r="AY148" t="s">
        <v>74</v>
      </c>
      <c r="AZ148" t="s">
        <v>74</v>
      </c>
      <c r="BA148" t="s">
        <v>74</v>
      </c>
      <c r="BB148">
        <v>444</v>
      </c>
      <c r="BC148">
        <v>455</v>
      </c>
      <c r="BD148" t="s">
        <v>74</v>
      </c>
      <c r="BE148" t="s">
        <v>667</v>
      </c>
      <c r="BF148" t="str">
        <f>HYPERLINK("http://dx.doi.org/10.1016/S0003-3472(82)80055-9","http://dx.doi.org/10.1016/S0003-3472(82)80055-9")</f>
        <v>http://dx.doi.org/10.1016/S0003-3472(82)80055-9</v>
      </c>
      <c r="BG148" t="s">
        <v>74</v>
      </c>
      <c r="BH148" t="s">
        <v>74</v>
      </c>
      <c r="BI148" t="s">
        <v>74</v>
      </c>
      <c r="BJ148" t="s">
        <v>74</v>
      </c>
      <c r="BK148" t="s">
        <v>74</v>
      </c>
      <c r="BL148" t="s">
        <v>74</v>
      </c>
      <c r="BM148" t="s">
        <v>74</v>
      </c>
      <c r="BN148" t="s">
        <v>74</v>
      </c>
      <c r="BO148" t="s">
        <v>74</v>
      </c>
      <c r="BP148" t="s">
        <v>74</v>
      </c>
      <c r="BQ148" t="s">
        <v>74</v>
      </c>
      <c r="BR148" t="s">
        <v>74</v>
      </c>
      <c r="BS148" t="s">
        <v>668</v>
      </c>
      <c r="BT148" t="str">
        <f>HYPERLINK("https%3A%2F%2Fwww.webofscience.com%2Fwos%2Fwoscc%2Ffull-record%2FWOS:A1982NQ92800014","View Full Record in Web of Science")</f>
        <v>View Full Record in Web of Science</v>
      </c>
    </row>
    <row r="149" spans="1:72" x14ac:dyDescent="0.4">
      <c r="A149" t="s">
        <v>72</v>
      </c>
      <c r="B149" t="s">
        <v>6112</v>
      </c>
      <c r="C149" t="s">
        <v>74</v>
      </c>
      <c r="D149" t="s">
        <v>74</v>
      </c>
      <c r="E149" t="s">
        <v>74</v>
      </c>
      <c r="F149" t="s">
        <v>6112</v>
      </c>
      <c r="G149" t="s">
        <v>74</v>
      </c>
      <c r="H149" t="s">
        <v>74</v>
      </c>
      <c r="I149" t="s">
        <v>6113</v>
      </c>
      <c r="J149" t="s">
        <v>4655</v>
      </c>
      <c r="K149" t="s">
        <v>74</v>
      </c>
      <c r="L149" t="s">
        <v>74</v>
      </c>
      <c r="M149" t="s">
        <v>74</v>
      </c>
      <c r="N149" t="s">
        <v>74</v>
      </c>
      <c r="O149" t="s">
        <v>74</v>
      </c>
      <c r="P149" t="s">
        <v>74</v>
      </c>
      <c r="Q149" t="s">
        <v>74</v>
      </c>
      <c r="R149" t="s">
        <v>74</v>
      </c>
      <c r="S149" t="s">
        <v>74</v>
      </c>
      <c r="T149" t="s">
        <v>74</v>
      </c>
      <c r="U149" t="s">
        <v>74</v>
      </c>
      <c r="V149" s="3" t="s">
        <v>6114</v>
      </c>
      <c r="W149" t="s">
        <v>74</v>
      </c>
      <c r="X149" t="s">
        <v>74</v>
      </c>
      <c r="Y149" t="s">
        <v>74</v>
      </c>
      <c r="Z149" t="s">
        <v>74</v>
      </c>
      <c r="AA149" t="s">
        <v>74</v>
      </c>
      <c r="AB149" t="s">
        <v>74</v>
      </c>
      <c r="AC149" t="s">
        <v>74</v>
      </c>
      <c r="AD149" t="s">
        <v>74</v>
      </c>
      <c r="AE149" t="s">
        <v>74</v>
      </c>
      <c r="AF149" t="s">
        <v>74</v>
      </c>
      <c r="AG149" t="s">
        <v>74</v>
      </c>
      <c r="AH149" t="s">
        <v>74</v>
      </c>
      <c r="AI149" t="s">
        <v>74</v>
      </c>
      <c r="AJ149" t="s">
        <v>74</v>
      </c>
      <c r="AK149" t="s">
        <v>74</v>
      </c>
      <c r="AL149" t="s">
        <v>74</v>
      </c>
      <c r="AM149" t="s">
        <v>74</v>
      </c>
      <c r="AN149" t="s">
        <v>74</v>
      </c>
      <c r="AO149" t="s">
        <v>4657</v>
      </c>
      <c r="AP149" t="s">
        <v>74</v>
      </c>
      <c r="AQ149" t="s">
        <v>74</v>
      </c>
      <c r="AR149" t="s">
        <v>74</v>
      </c>
      <c r="AS149" t="s">
        <v>74</v>
      </c>
      <c r="AT149" t="s">
        <v>352</v>
      </c>
      <c r="AU149">
        <v>2000</v>
      </c>
      <c r="AV149">
        <v>112</v>
      </c>
      <c r="AW149">
        <v>3</v>
      </c>
      <c r="AX149" t="s">
        <v>74</v>
      </c>
      <c r="AY149" t="s">
        <v>74</v>
      </c>
      <c r="AZ149" t="s">
        <v>74</v>
      </c>
      <c r="BA149" t="s">
        <v>74</v>
      </c>
      <c r="BB149">
        <v>313</v>
      </c>
      <c r="BC149">
        <v>317</v>
      </c>
      <c r="BD149" t="s">
        <v>74</v>
      </c>
      <c r="BE149" t="s">
        <v>6115</v>
      </c>
      <c r="BF149" t="str">
        <f>HYPERLINK("http://dx.doi.org/10.1676/0043-5643(2000)112[0313:NROFAS]2.0.CO;2","http://dx.doi.org/10.1676/0043-5643(2000)112[0313:NROFAS]2.0.CO;2")</f>
        <v>http://dx.doi.org/10.1676/0043-5643(2000)112[0313:NROFAS]2.0.CO;2</v>
      </c>
      <c r="BG149" t="s">
        <v>74</v>
      </c>
      <c r="BH149" t="s">
        <v>74</v>
      </c>
      <c r="BI149" t="s">
        <v>74</v>
      </c>
      <c r="BJ149" t="s">
        <v>74</v>
      </c>
      <c r="BK149" t="s">
        <v>74</v>
      </c>
      <c r="BL149" t="s">
        <v>74</v>
      </c>
      <c r="BM149" t="s">
        <v>74</v>
      </c>
      <c r="BN149" t="s">
        <v>74</v>
      </c>
      <c r="BO149" t="s">
        <v>74</v>
      </c>
      <c r="BP149" t="s">
        <v>74</v>
      </c>
      <c r="BQ149" t="s">
        <v>74</v>
      </c>
      <c r="BR149" t="s">
        <v>74</v>
      </c>
      <c r="BS149" t="s">
        <v>6116</v>
      </c>
      <c r="BT149" t="str">
        <f>HYPERLINK("https%3A%2F%2Fwww.webofscience.com%2Fwos%2Fwoscc%2Ffull-record%2FWOS:000089097200002","View Full Record in Web of Science")</f>
        <v>View Full Record in Web of Science</v>
      </c>
    </row>
    <row r="150" spans="1:72" x14ac:dyDescent="0.4">
      <c r="A150" t="s">
        <v>72</v>
      </c>
      <c r="B150" t="s">
        <v>1372</v>
      </c>
      <c r="C150" t="s">
        <v>74</v>
      </c>
      <c r="D150" t="s">
        <v>74</v>
      </c>
      <c r="E150" t="s">
        <v>74</v>
      </c>
      <c r="F150" t="s">
        <v>1373</v>
      </c>
      <c r="G150" t="s">
        <v>74</v>
      </c>
      <c r="H150" t="s">
        <v>74</v>
      </c>
      <c r="I150" t="s">
        <v>1374</v>
      </c>
      <c r="J150" t="s">
        <v>1375</v>
      </c>
      <c r="K150" t="s">
        <v>74</v>
      </c>
      <c r="L150" t="s">
        <v>74</v>
      </c>
      <c r="M150" t="s">
        <v>74</v>
      </c>
      <c r="N150" t="s">
        <v>74</v>
      </c>
      <c r="O150" t="s">
        <v>74</v>
      </c>
      <c r="P150" t="s">
        <v>74</v>
      </c>
      <c r="Q150" t="s">
        <v>74</v>
      </c>
      <c r="R150" t="s">
        <v>74</v>
      </c>
      <c r="S150" t="s">
        <v>74</v>
      </c>
      <c r="T150" t="s">
        <v>74</v>
      </c>
      <c r="U150" t="s">
        <v>74</v>
      </c>
      <c r="V150" s="3" t="s">
        <v>1376</v>
      </c>
      <c r="W150" t="s">
        <v>74</v>
      </c>
      <c r="X150" t="s">
        <v>74</v>
      </c>
      <c r="Y150" t="s">
        <v>74</v>
      </c>
      <c r="Z150" t="s">
        <v>74</v>
      </c>
      <c r="AA150" t="s">
        <v>74</v>
      </c>
      <c r="AB150" t="s">
        <v>1377</v>
      </c>
      <c r="AC150" t="s">
        <v>74</v>
      </c>
      <c r="AD150" t="s">
        <v>74</v>
      </c>
      <c r="AE150" t="s">
        <v>74</v>
      </c>
      <c r="AF150" t="s">
        <v>74</v>
      </c>
      <c r="AG150" t="s">
        <v>74</v>
      </c>
      <c r="AH150" t="s">
        <v>74</v>
      </c>
      <c r="AI150" t="s">
        <v>74</v>
      </c>
      <c r="AJ150" t="s">
        <v>74</v>
      </c>
      <c r="AK150" t="s">
        <v>74</v>
      </c>
      <c r="AL150" t="s">
        <v>74</v>
      </c>
      <c r="AM150" t="s">
        <v>74</v>
      </c>
      <c r="AN150" t="s">
        <v>74</v>
      </c>
      <c r="AO150" t="s">
        <v>1378</v>
      </c>
      <c r="AP150" t="s">
        <v>74</v>
      </c>
      <c r="AQ150" t="s">
        <v>74</v>
      </c>
      <c r="AR150" t="s">
        <v>74</v>
      </c>
      <c r="AS150" t="s">
        <v>74</v>
      </c>
      <c r="AT150" t="s">
        <v>74</v>
      </c>
      <c r="AU150">
        <v>2023</v>
      </c>
      <c r="AV150">
        <v>14</v>
      </c>
      <c r="AW150" t="s">
        <v>74</v>
      </c>
      <c r="AX150" t="s">
        <v>74</v>
      </c>
      <c r="AY150" t="s">
        <v>74</v>
      </c>
      <c r="AZ150" t="s">
        <v>74</v>
      </c>
      <c r="BA150" t="s">
        <v>74</v>
      </c>
      <c r="BB150" t="s">
        <v>74</v>
      </c>
      <c r="BC150" t="s">
        <v>74</v>
      </c>
      <c r="BD150">
        <v>100077</v>
      </c>
      <c r="BE150" t="s">
        <v>1379</v>
      </c>
      <c r="BF150" t="str">
        <f>HYPERLINK("http://dx.doi.org/10.1016/j.avrs.2023.100077","http://dx.doi.org/10.1016/j.avrs.2023.100077")</f>
        <v>http://dx.doi.org/10.1016/j.avrs.2023.100077</v>
      </c>
      <c r="BG150" t="s">
        <v>74</v>
      </c>
      <c r="BH150" t="s">
        <v>74</v>
      </c>
      <c r="BI150" t="s">
        <v>74</v>
      </c>
      <c r="BJ150" t="s">
        <v>74</v>
      </c>
      <c r="BK150" t="s">
        <v>74</v>
      </c>
      <c r="BL150" t="s">
        <v>74</v>
      </c>
      <c r="BM150" t="s">
        <v>74</v>
      </c>
      <c r="BN150" t="s">
        <v>74</v>
      </c>
      <c r="BO150" t="s">
        <v>74</v>
      </c>
      <c r="BP150" t="s">
        <v>74</v>
      </c>
      <c r="BQ150" t="s">
        <v>74</v>
      </c>
      <c r="BR150" t="s">
        <v>74</v>
      </c>
      <c r="BS150" t="s">
        <v>1380</v>
      </c>
      <c r="BT150" t="str">
        <f>HYPERLINK("https%3A%2F%2Fwww.webofscience.com%2Fwos%2Fwoscc%2Ffull-record%2FWOS:000933848900001","View Full Record in Web of Science")</f>
        <v>View Full Record in Web of Science</v>
      </c>
    </row>
    <row r="151" spans="1:72" x14ac:dyDescent="0.4">
      <c r="A151" t="s">
        <v>72</v>
      </c>
      <c r="B151" t="s">
        <v>2067</v>
      </c>
      <c r="C151" t="s">
        <v>74</v>
      </c>
      <c r="D151" t="s">
        <v>74</v>
      </c>
      <c r="E151" t="s">
        <v>74</v>
      </c>
      <c r="F151" t="s">
        <v>2068</v>
      </c>
      <c r="G151" t="s">
        <v>74</v>
      </c>
      <c r="H151" t="s">
        <v>74</v>
      </c>
      <c r="I151" t="s">
        <v>2069</v>
      </c>
      <c r="J151" t="s">
        <v>2070</v>
      </c>
      <c r="K151" t="s">
        <v>74</v>
      </c>
      <c r="L151" t="s">
        <v>74</v>
      </c>
      <c r="M151" t="s">
        <v>74</v>
      </c>
      <c r="N151" t="s">
        <v>74</v>
      </c>
      <c r="O151" t="s">
        <v>74</v>
      </c>
      <c r="P151" t="s">
        <v>74</v>
      </c>
      <c r="Q151" t="s">
        <v>74</v>
      </c>
      <c r="R151" t="s">
        <v>74</v>
      </c>
      <c r="S151" t="s">
        <v>74</v>
      </c>
      <c r="T151" t="s">
        <v>74</v>
      </c>
      <c r="U151" t="s">
        <v>74</v>
      </c>
      <c r="V151" s="3" t="s">
        <v>2071</v>
      </c>
      <c r="W151" t="s">
        <v>74</v>
      </c>
      <c r="X151" t="s">
        <v>74</v>
      </c>
      <c r="Y151" t="s">
        <v>74</v>
      </c>
      <c r="Z151" t="s">
        <v>74</v>
      </c>
      <c r="AA151" t="s">
        <v>74</v>
      </c>
      <c r="AB151" t="s">
        <v>274</v>
      </c>
      <c r="AC151" t="s">
        <v>74</v>
      </c>
      <c r="AD151" t="s">
        <v>74</v>
      </c>
      <c r="AE151" t="s">
        <v>74</v>
      </c>
      <c r="AF151" t="s">
        <v>74</v>
      </c>
      <c r="AG151" t="s">
        <v>74</v>
      </c>
      <c r="AH151" t="s">
        <v>74</v>
      </c>
      <c r="AI151" t="s">
        <v>74</v>
      </c>
      <c r="AJ151" t="s">
        <v>74</v>
      </c>
      <c r="AK151" t="s">
        <v>74</v>
      </c>
      <c r="AL151" t="s">
        <v>74</v>
      </c>
      <c r="AM151" t="s">
        <v>74</v>
      </c>
      <c r="AN151" t="s">
        <v>74</v>
      </c>
      <c r="AO151" t="s">
        <v>2072</v>
      </c>
      <c r="AP151" t="s">
        <v>2073</v>
      </c>
      <c r="AQ151" t="s">
        <v>74</v>
      </c>
      <c r="AR151" t="s">
        <v>74</v>
      </c>
      <c r="AS151" t="s">
        <v>74</v>
      </c>
      <c r="AT151" t="s">
        <v>145</v>
      </c>
      <c r="AU151">
        <v>2007</v>
      </c>
      <c r="AV151">
        <v>177</v>
      </c>
      <c r="AW151">
        <v>6</v>
      </c>
      <c r="AX151" t="s">
        <v>74</v>
      </c>
      <c r="AY151" t="s">
        <v>74</v>
      </c>
      <c r="AZ151" t="s">
        <v>74</v>
      </c>
      <c r="BA151" t="s">
        <v>74</v>
      </c>
      <c r="BB151">
        <v>641</v>
      </c>
      <c r="BC151">
        <v>654</v>
      </c>
      <c r="BD151" t="s">
        <v>74</v>
      </c>
      <c r="BE151" t="s">
        <v>2074</v>
      </c>
      <c r="BF151" t="str">
        <f>HYPERLINK("http://dx.doi.org/10.1007/s00360-007-0162-7","http://dx.doi.org/10.1007/s00360-007-0162-7")</f>
        <v>http://dx.doi.org/10.1007/s00360-007-0162-7</v>
      </c>
      <c r="BG151" t="s">
        <v>74</v>
      </c>
      <c r="BH151" t="s">
        <v>74</v>
      </c>
      <c r="BI151" t="s">
        <v>74</v>
      </c>
      <c r="BJ151" t="s">
        <v>74</v>
      </c>
      <c r="BK151" t="s">
        <v>74</v>
      </c>
      <c r="BL151" t="s">
        <v>74</v>
      </c>
      <c r="BM151" t="s">
        <v>74</v>
      </c>
      <c r="BN151">
        <v>17520263</v>
      </c>
      <c r="BO151" t="s">
        <v>74</v>
      </c>
      <c r="BP151" t="s">
        <v>74</v>
      </c>
      <c r="BQ151" t="s">
        <v>74</v>
      </c>
      <c r="BR151" t="s">
        <v>74</v>
      </c>
      <c r="BS151" t="s">
        <v>2075</v>
      </c>
      <c r="BT151" t="str">
        <f>HYPERLINK("https%3A%2F%2Fwww.webofscience.com%2Fwos%2Fwoscc%2Ffull-record%2FWOS:000248301500005","View Full Record in Web of Science")</f>
        <v>View Full Record in Web of Science</v>
      </c>
    </row>
    <row r="152" spans="1:72" x14ac:dyDescent="0.4">
      <c r="A152" t="s">
        <v>72</v>
      </c>
      <c r="B152" t="s">
        <v>6668</v>
      </c>
      <c r="C152" t="s">
        <v>74</v>
      </c>
      <c r="D152" t="s">
        <v>74</v>
      </c>
      <c r="E152" t="s">
        <v>74</v>
      </c>
      <c r="F152" t="s">
        <v>6669</v>
      </c>
      <c r="G152" t="s">
        <v>74</v>
      </c>
      <c r="H152" t="s">
        <v>74</v>
      </c>
      <c r="I152" t="s">
        <v>6670</v>
      </c>
      <c r="J152" t="s">
        <v>129</v>
      </c>
      <c r="K152" t="s">
        <v>74</v>
      </c>
      <c r="L152" t="s">
        <v>74</v>
      </c>
      <c r="M152" t="s">
        <v>74</v>
      </c>
      <c r="N152" t="s">
        <v>74</v>
      </c>
      <c r="O152" t="s">
        <v>74</v>
      </c>
      <c r="P152" t="s">
        <v>74</v>
      </c>
      <c r="Q152" t="s">
        <v>74</v>
      </c>
      <c r="R152" t="s">
        <v>74</v>
      </c>
      <c r="S152" t="s">
        <v>74</v>
      </c>
      <c r="T152" t="s">
        <v>74</v>
      </c>
      <c r="U152" t="s">
        <v>74</v>
      </c>
      <c r="V152" s="3" t="s">
        <v>6671</v>
      </c>
      <c r="W152" t="s">
        <v>74</v>
      </c>
      <c r="X152" t="s">
        <v>74</v>
      </c>
      <c r="Y152" t="s">
        <v>74</v>
      </c>
      <c r="Z152" t="s">
        <v>74</v>
      </c>
      <c r="AA152" t="s">
        <v>6672</v>
      </c>
      <c r="AB152" t="s">
        <v>6673</v>
      </c>
      <c r="AC152" t="s">
        <v>74</v>
      </c>
      <c r="AD152" t="s">
        <v>74</v>
      </c>
      <c r="AE152" t="s">
        <v>74</v>
      </c>
      <c r="AF152" t="s">
        <v>74</v>
      </c>
      <c r="AG152" t="s">
        <v>74</v>
      </c>
      <c r="AH152" t="s">
        <v>74</v>
      </c>
      <c r="AI152" t="s">
        <v>74</v>
      </c>
      <c r="AJ152" t="s">
        <v>74</v>
      </c>
      <c r="AK152" t="s">
        <v>74</v>
      </c>
      <c r="AL152" t="s">
        <v>74</v>
      </c>
      <c r="AM152" t="s">
        <v>74</v>
      </c>
      <c r="AN152" t="s">
        <v>74</v>
      </c>
      <c r="AO152" t="s">
        <v>132</v>
      </c>
      <c r="AP152" t="s">
        <v>133</v>
      </c>
      <c r="AQ152" t="s">
        <v>74</v>
      </c>
      <c r="AR152" t="s">
        <v>74</v>
      </c>
      <c r="AS152" t="s">
        <v>74</v>
      </c>
      <c r="AT152" t="s">
        <v>204</v>
      </c>
      <c r="AU152">
        <v>2013</v>
      </c>
      <c r="AV152">
        <v>67</v>
      </c>
      <c r="AW152">
        <v>7</v>
      </c>
      <c r="AX152" t="s">
        <v>74</v>
      </c>
      <c r="AY152" t="s">
        <v>74</v>
      </c>
      <c r="AZ152" t="s">
        <v>74</v>
      </c>
      <c r="BA152" t="s">
        <v>74</v>
      </c>
      <c r="BB152">
        <v>1163</v>
      </c>
      <c r="BC152">
        <v>1167</v>
      </c>
      <c r="BD152" t="s">
        <v>74</v>
      </c>
      <c r="BE152" t="s">
        <v>6674</v>
      </c>
      <c r="BF152" t="str">
        <f>HYPERLINK("http://dx.doi.org/10.1007/s00265-013-1541-6","http://dx.doi.org/10.1007/s00265-013-1541-6")</f>
        <v>http://dx.doi.org/10.1007/s00265-013-1541-6</v>
      </c>
      <c r="BG152" t="s">
        <v>74</v>
      </c>
      <c r="BH152" t="s">
        <v>74</v>
      </c>
      <c r="BI152" t="s">
        <v>74</v>
      </c>
      <c r="BJ152" t="s">
        <v>74</v>
      </c>
      <c r="BK152" t="s">
        <v>74</v>
      </c>
      <c r="BL152" t="s">
        <v>74</v>
      </c>
      <c r="BM152" t="s">
        <v>74</v>
      </c>
      <c r="BN152" t="s">
        <v>74</v>
      </c>
      <c r="BO152" t="s">
        <v>74</v>
      </c>
      <c r="BP152" t="s">
        <v>74</v>
      </c>
      <c r="BQ152" t="s">
        <v>74</v>
      </c>
      <c r="BR152" t="s">
        <v>74</v>
      </c>
      <c r="BS152" t="s">
        <v>6675</v>
      </c>
      <c r="BT152" t="str">
        <f>HYPERLINK("https%3A%2F%2Fwww.webofscience.com%2Fwos%2Fwoscc%2Ffull-record%2FWOS:000320024200013","View Full Record in Web of Science")</f>
        <v>View Full Record in Web of Science</v>
      </c>
    </row>
    <row r="153" spans="1:72" x14ac:dyDescent="0.4">
      <c r="A153" t="s">
        <v>72</v>
      </c>
      <c r="B153" t="s">
        <v>4848</v>
      </c>
      <c r="C153" t="s">
        <v>74</v>
      </c>
      <c r="D153" t="s">
        <v>74</v>
      </c>
      <c r="E153" t="s">
        <v>74</v>
      </c>
      <c r="F153" t="s">
        <v>4848</v>
      </c>
      <c r="G153" t="s">
        <v>74</v>
      </c>
      <c r="H153" t="s">
        <v>74</v>
      </c>
      <c r="I153" t="s">
        <v>4849</v>
      </c>
      <c r="J153" t="s">
        <v>241</v>
      </c>
      <c r="K153" t="s">
        <v>74</v>
      </c>
      <c r="L153" t="s">
        <v>74</v>
      </c>
      <c r="M153" t="s">
        <v>74</v>
      </c>
      <c r="N153" t="s">
        <v>74</v>
      </c>
      <c r="O153" t="s">
        <v>74</v>
      </c>
      <c r="P153" t="s">
        <v>74</v>
      </c>
      <c r="Q153" t="s">
        <v>74</v>
      </c>
      <c r="R153" t="s">
        <v>74</v>
      </c>
      <c r="S153" t="s">
        <v>74</v>
      </c>
      <c r="T153" t="s">
        <v>74</v>
      </c>
      <c r="U153" t="s">
        <v>74</v>
      </c>
      <c r="V153" s="3" t="s">
        <v>4850</v>
      </c>
      <c r="W153" t="s">
        <v>74</v>
      </c>
      <c r="X153" t="s">
        <v>74</v>
      </c>
      <c r="Y153" t="s">
        <v>74</v>
      </c>
      <c r="Z153" t="s">
        <v>74</v>
      </c>
      <c r="AA153" t="s">
        <v>74</v>
      </c>
      <c r="AB153" t="s">
        <v>4851</v>
      </c>
      <c r="AC153" t="s">
        <v>74</v>
      </c>
      <c r="AD153" t="s">
        <v>74</v>
      </c>
      <c r="AE153" t="s">
        <v>74</v>
      </c>
      <c r="AF153" t="s">
        <v>74</v>
      </c>
      <c r="AG153" t="s">
        <v>74</v>
      </c>
      <c r="AH153" t="s">
        <v>74</v>
      </c>
      <c r="AI153" t="s">
        <v>74</v>
      </c>
      <c r="AJ153" t="s">
        <v>74</v>
      </c>
      <c r="AK153" t="s">
        <v>74</v>
      </c>
      <c r="AL153" t="s">
        <v>74</v>
      </c>
      <c r="AM153" t="s">
        <v>74</v>
      </c>
      <c r="AN153" t="s">
        <v>74</v>
      </c>
      <c r="AO153" t="s">
        <v>245</v>
      </c>
      <c r="AP153" t="s">
        <v>246</v>
      </c>
      <c r="AQ153" t="s">
        <v>74</v>
      </c>
      <c r="AR153" t="s">
        <v>74</v>
      </c>
      <c r="AS153" t="s">
        <v>74</v>
      </c>
      <c r="AT153" t="s">
        <v>145</v>
      </c>
      <c r="AU153">
        <v>2002</v>
      </c>
      <c r="AV153">
        <v>132</v>
      </c>
      <c r="AW153">
        <v>3</v>
      </c>
      <c r="AX153" t="s">
        <v>74</v>
      </c>
      <c r="AY153" t="s">
        <v>74</v>
      </c>
      <c r="AZ153" t="s">
        <v>74</v>
      </c>
      <c r="BA153" t="s">
        <v>74</v>
      </c>
      <c r="BB153">
        <v>468</v>
      </c>
      <c r="BC153">
        <v>477</v>
      </c>
      <c r="BD153" t="s">
        <v>74</v>
      </c>
      <c r="BE153" t="s">
        <v>4852</v>
      </c>
      <c r="BF153" t="str">
        <f>HYPERLINK("http://dx.doi.org/10.1007/s00442-002-0975-8","http://dx.doi.org/10.1007/s00442-002-0975-8")</f>
        <v>http://dx.doi.org/10.1007/s00442-002-0975-8</v>
      </c>
      <c r="BG153" t="s">
        <v>74</v>
      </c>
      <c r="BH153" t="s">
        <v>74</v>
      </c>
      <c r="BI153" t="s">
        <v>74</v>
      </c>
      <c r="BJ153" t="s">
        <v>74</v>
      </c>
      <c r="BK153" t="s">
        <v>74</v>
      </c>
      <c r="BL153" t="s">
        <v>74</v>
      </c>
      <c r="BM153" t="s">
        <v>74</v>
      </c>
      <c r="BN153">
        <v>28547426</v>
      </c>
      <c r="BO153" t="s">
        <v>74</v>
      </c>
      <c r="BP153" t="s">
        <v>74</v>
      </c>
      <c r="BQ153" t="s">
        <v>74</v>
      </c>
      <c r="BR153" t="s">
        <v>74</v>
      </c>
      <c r="BS153" t="s">
        <v>4853</v>
      </c>
      <c r="BT153" t="str">
        <f>HYPERLINK("https%3A%2F%2Fwww.webofscience.com%2Fwos%2Fwoscc%2Ffull-record%2FWOS:000177752500018","View Full Record in Web of Science")</f>
        <v>View Full Record in Web of Science</v>
      </c>
    </row>
    <row r="154" spans="1:72" x14ac:dyDescent="0.4">
      <c r="A154" t="s">
        <v>72</v>
      </c>
      <c r="B154" t="s">
        <v>4499</v>
      </c>
      <c r="C154" t="s">
        <v>74</v>
      </c>
      <c r="D154" t="s">
        <v>74</v>
      </c>
      <c r="E154" t="s">
        <v>74</v>
      </c>
      <c r="F154" t="s">
        <v>4500</v>
      </c>
      <c r="G154" t="s">
        <v>74</v>
      </c>
      <c r="H154" t="s">
        <v>74</v>
      </c>
      <c r="I154" t="s">
        <v>4501</v>
      </c>
      <c r="J154" t="s">
        <v>281</v>
      </c>
      <c r="K154" t="s">
        <v>74</v>
      </c>
      <c r="L154" t="s">
        <v>74</v>
      </c>
      <c r="M154" t="s">
        <v>74</v>
      </c>
      <c r="N154" t="s">
        <v>74</v>
      </c>
      <c r="O154" t="s">
        <v>74</v>
      </c>
      <c r="P154" t="s">
        <v>74</v>
      </c>
      <c r="Q154" t="s">
        <v>74</v>
      </c>
      <c r="R154" t="s">
        <v>74</v>
      </c>
      <c r="S154" t="s">
        <v>74</v>
      </c>
      <c r="T154" t="s">
        <v>74</v>
      </c>
      <c r="U154" t="s">
        <v>74</v>
      </c>
      <c r="V154" s="3" t="s">
        <v>4502</v>
      </c>
      <c r="W154" t="s">
        <v>74</v>
      </c>
      <c r="X154" t="s">
        <v>74</v>
      </c>
      <c r="Y154" t="s">
        <v>74</v>
      </c>
      <c r="Z154" t="s">
        <v>74</v>
      </c>
      <c r="AA154" t="s">
        <v>4503</v>
      </c>
      <c r="AB154" t="s">
        <v>4504</v>
      </c>
      <c r="AC154" t="s">
        <v>74</v>
      </c>
      <c r="AD154" t="s">
        <v>74</v>
      </c>
      <c r="AE154" t="s">
        <v>74</v>
      </c>
      <c r="AF154" t="s">
        <v>74</v>
      </c>
      <c r="AG154" t="s">
        <v>74</v>
      </c>
      <c r="AH154" t="s">
        <v>74</v>
      </c>
      <c r="AI154" t="s">
        <v>74</v>
      </c>
      <c r="AJ154" t="s">
        <v>74</v>
      </c>
      <c r="AK154" t="s">
        <v>74</v>
      </c>
      <c r="AL154" t="s">
        <v>74</v>
      </c>
      <c r="AM154" t="s">
        <v>74</v>
      </c>
      <c r="AN154" t="s">
        <v>74</v>
      </c>
      <c r="AO154" t="s">
        <v>285</v>
      </c>
      <c r="AP154" t="s">
        <v>286</v>
      </c>
      <c r="AQ154" t="s">
        <v>74</v>
      </c>
      <c r="AR154" t="s">
        <v>74</v>
      </c>
      <c r="AS154" t="s">
        <v>74</v>
      </c>
      <c r="AT154" t="s">
        <v>213</v>
      </c>
      <c r="AU154">
        <v>2021</v>
      </c>
      <c r="AV154">
        <v>24</v>
      </c>
      <c r="AW154">
        <v>6</v>
      </c>
      <c r="AX154" t="s">
        <v>74</v>
      </c>
      <c r="AY154" t="s">
        <v>74</v>
      </c>
      <c r="AZ154" t="s">
        <v>74</v>
      </c>
      <c r="BA154" t="s">
        <v>74</v>
      </c>
      <c r="BB154">
        <v>1267</v>
      </c>
      <c r="BC154">
        <v>1277</v>
      </c>
      <c r="BD154" t="s">
        <v>74</v>
      </c>
      <c r="BE154" t="s">
        <v>4505</v>
      </c>
      <c r="BF154" t="str">
        <f>HYPERLINK("http://dx.doi.org/10.1007/s10071-021-01519-y","http://dx.doi.org/10.1007/s10071-021-01519-y")</f>
        <v>http://dx.doi.org/10.1007/s10071-021-01519-y</v>
      </c>
      <c r="BG154" t="s">
        <v>74</v>
      </c>
      <c r="BH154" t="s">
        <v>571</v>
      </c>
      <c r="BI154" t="s">
        <v>74</v>
      </c>
      <c r="BJ154" t="s">
        <v>74</v>
      </c>
      <c r="BK154" t="s">
        <v>74</v>
      </c>
      <c r="BL154" t="s">
        <v>74</v>
      </c>
      <c r="BM154" t="s">
        <v>74</v>
      </c>
      <c r="BN154">
        <v>33959875</v>
      </c>
      <c r="BO154" t="s">
        <v>74</v>
      </c>
      <c r="BP154" t="s">
        <v>74</v>
      </c>
      <c r="BQ154" t="s">
        <v>74</v>
      </c>
      <c r="BR154" t="s">
        <v>74</v>
      </c>
      <c r="BS154" t="s">
        <v>4506</v>
      </c>
      <c r="BT154" t="str">
        <f>HYPERLINK("https%3A%2F%2Fwww.webofscience.com%2Fwos%2Fwoscc%2Ffull-record%2FWOS:000647849200001","View Full Record in Web of Science")</f>
        <v>View Full Record in Web of Science</v>
      </c>
    </row>
    <row r="155" spans="1:72" x14ac:dyDescent="0.4">
      <c r="A155" t="s">
        <v>72</v>
      </c>
      <c r="B155" t="s">
        <v>364</v>
      </c>
      <c r="C155" t="s">
        <v>74</v>
      </c>
      <c r="D155" t="s">
        <v>74</v>
      </c>
      <c r="E155" t="s">
        <v>74</v>
      </c>
      <c r="F155" t="s">
        <v>2899</v>
      </c>
      <c r="G155" t="s">
        <v>74</v>
      </c>
      <c r="H155" t="s">
        <v>74</v>
      </c>
      <c r="I155" t="s">
        <v>2900</v>
      </c>
      <c r="J155" t="s">
        <v>2901</v>
      </c>
      <c r="K155" t="s">
        <v>74</v>
      </c>
      <c r="L155" t="s">
        <v>74</v>
      </c>
      <c r="M155" t="s">
        <v>74</v>
      </c>
      <c r="N155" t="s">
        <v>74</v>
      </c>
      <c r="O155" t="s">
        <v>74</v>
      </c>
      <c r="P155" t="s">
        <v>74</v>
      </c>
      <c r="Q155" t="s">
        <v>74</v>
      </c>
      <c r="R155" t="s">
        <v>74</v>
      </c>
      <c r="S155" t="s">
        <v>74</v>
      </c>
      <c r="T155" t="s">
        <v>74</v>
      </c>
      <c r="U155" t="s">
        <v>74</v>
      </c>
      <c r="V155" s="3" t="s">
        <v>2902</v>
      </c>
      <c r="W155" t="s">
        <v>74</v>
      </c>
      <c r="X155" t="s">
        <v>74</v>
      </c>
      <c r="Y155" t="s">
        <v>74</v>
      </c>
      <c r="Z155" t="s">
        <v>74</v>
      </c>
      <c r="AA155" t="s">
        <v>369</v>
      </c>
      <c r="AB155" t="s">
        <v>370</v>
      </c>
      <c r="AC155" t="s">
        <v>74</v>
      </c>
      <c r="AD155" t="s">
        <v>74</v>
      </c>
      <c r="AE155" t="s">
        <v>74</v>
      </c>
      <c r="AF155" t="s">
        <v>74</v>
      </c>
      <c r="AG155" t="s">
        <v>74</v>
      </c>
      <c r="AH155" t="s">
        <v>74</v>
      </c>
      <c r="AI155" t="s">
        <v>74</v>
      </c>
      <c r="AJ155" t="s">
        <v>74</v>
      </c>
      <c r="AK155" t="s">
        <v>74</v>
      </c>
      <c r="AL155" t="s">
        <v>74</v>
      </c>
      <c r="AM155" t="s">
        <v>74</v>
      </c>
      <c r="AN155" t="s">
        <v>74</v>
      </c>
      <c r="AO155" t="s">
        <v>2903</v>
      </c>
      <c r="AP155" t="s">
        <v>2904</v>
      </c>
      <c r="AQ155" t="s">
        <v>74</v>
      </c>
      <c r="AR155" t="s">
        <v>74</v>
      </c>
      <c r="AS155" t="s">
        <v>74</v>
      </c>
      <c r="AT155" t="s">
        <v>74</v>
      </c>
      <c r="AU155">
        <v>2010</v>
      </c>
      <c r="AV155">
        <v>22</v>
      </c>
      <c r="AW155">
        <v>2</v>
      </c>
      <c r="AX155" t="s">
        <v>74</v>
      </c>
      <c r="AY155" t="s">
        <v>74</v>
      </c>
      <c r="AZ155" t="s">
        <v>74</v>
      </c>
      <c r="BA155" t="s">
        <v>74</v>
      </c>
      <c r="BB155">
        <v>167</v>
      </c>
      <c r="BC155">
        <v>181</v>
      </c>
      <c r="BD155" t="s">
        <v>2905</v>
      </c>
      <c r="BE155" t="s">
        <v>2906</v>
      </c>
      <c r="BF155" t="str">
        <f>HYPERLINK("http://dx.doi.org/10.1080/03949371003707885","http://dx.doi.org/10.1080/03949371003707885")</f>
        <v>http://dx.doi.org/10.1080/03949371003707885</v>
      </c>
      <c r="BG155" t="s">
        <v>74</v>
      </c>
      <c r="BH155" t="s">
        <v>74</v>
      </c>
      <c r="BI155" t="s">
        <v>74</v>
      </c>
      <c r="BJ155" t="s">
        <v>74</v>
      </c>
      <c r="BK155" t="s">
        <v>74</v>
      </c>
      <c r="BL155" t="s">
        <v>74</v>
      </c>
      <c r="BM155" t="s">
        <v>74</v>
      </c>
      <c r="BN155" t="s">
        <v>74</v>
      </c>
      <c r="BO155" t="s">
        <v>74</v>
      </c>
      <c r="BP155" t="s">
        <v>74</v>
      </c>
      <c r="BQ155" t="s">
        <v>74</v>
      </c>
      <c r="BR155" t="s">
        <v>74</v>
      </c>
      <c r="BS155" t="s">
        <v>2907</v>
      </c>
      <c r="BT155" t="str">
        <f>HYPERLINK("https%3A%2F%2Fwww.webofscience.com%2Fwos%2Fwoscc%2Ffull-record%2FWOS:000277606200006","View Full Record in Web of Science")</f>
        <v>View Full Record in Web of Science</v>
      </c>
    </row>
    <row r="156" spans="1:72" x14ac:dyDescent="0.4">
      <c r="A156" t="s">
        <v>72</v>
      </c>
      <c r="B156" t="s">
        <v>3471</v>
      </c>
      <c r="C156" t="s">
        <v>74</v>
      </c>
      <c r="D156" t="s">
        <v>74</v>
      </c>
      <c r="E156" t="s">
        <v>74</v>
      </c>
      <c r="F156" t="s">
        <v>3472</v>
      </c>
      <c r="G156" t="s">
        <v>74</v>
      </c>
      <c r="H156" t="s">
        <v>74</v>
      </c>
      <c r="I156" t="s">
        <v>3473</v>
      </c>
      <c r="J156" t="s">
        <v>218</v>
      </c>
      <c r="K156" t="s">
        <v>74</v>
      </c>
      <c r="L156" t="s">
        <v>74</v>
      </c>
      <c r="M156" t="s">
        <v>74</v>
      </c>
      <c r="N156" t="s">
        <v>74</v>
      </c>
      <c r="O156" t="s">
        <v>74</v>
      </c>
      <c r="P156" t="s">
        <v>74</v>
      </c>
      <c r="Q156" t="s">
        <v>74</v>
      </c>
      <c r="R156" t="s">
        <v>74</v>
      </c>
      <c r="S156" t="s">
        <v>74</v>
      </c>
      <c r="T156" t="s">
        <v>74</v>
      </c>
      <c r="U156" t="s">
        <v>74</v>
      </c>
      <c r="V156" s="3" t="s">
        <v>3474</v>
      </c>
      <c r="W156" t="s">
        <v>74</v>
      </c>
      <c r="X156" t="s">
        <v>74</v>
      </c>
      <c r="Y156" t="s">
        <v>74</v>
      </c>
      <c r="Z156" t="s">
        <v>74</v>
      </c>
      <c r="AA156" t="s">
        <v>1724</v>
      </c>
      <c r="AB156" t="s">
        <v>1725</v>
      </c>
      <c r="AC156" t="s">
        <v>74</v>
      </c>
      <c r="AD156" t="s">
        <v>74</v>
      </c>
      <c r="AE156" t="s">
        <v>74</v>
      </c>
      <c r="AF156" t="s">
        <v>74</v>
      </c>
      <c r="AG156" t="s">
        <v>74</v>
      </c>
      <c r="AH156" t="s">
        <v>74</v>
      </c>
      <c r="AI156" t="s">
        <v>74</v>
      </c>
      <c r="AJ156" t="s">
        <v>74</v>
      </c>
      <c r="AK156" t="s">
        <v>74</v>
      </c>
      <c r="AL156" t="s">
        <v>74</v>
      </c>
      <c r="AM156" t="s">
        <v>74</v>
      </c>
      <c r="AN156" t="s">
        <v>74</v>
      </c>
      <c r="AO156" t="s">
        <v>221</v>
      </c>
      <c r="AP156" t="s">
        <v>222</v>
      </c>
      <c r="AQ156" t="s">
        <v>74</v>
      </c>
      <c r="AR156" t="s">
        <v>74</v>
      </c>
      <c r="AS156" t="s">
        <v>74</v>
      </c>
      <c r="AT156" t="s">
        <v>964</v>
      </c>
      <c r="AU156">
        <v>2014</v>
      </c>
      <c r="AV156">
        <v>27</v>
      </c>
      <c r="AW156">
        <v>2</v>
      </c>
      <c r="AX156" t="s">
        <v>74</v>
      </c>
      <c r="AY156" t="s">
        <v>74</v>
      </c>
      <c r="AZ156" t="s">
        <v>74</v>
      </c>
      <c r="BA156" t="s">
        <v>74</v>
      </c>
      <c r="BB156">
        <v>325</v>
      </c>
      <c r="BC156">
        <v>336</v>
      </c>
      <c r="BD156" t="s">
        <v>74</v>
      </c>
      <c r="BE156" t="s">
        <v>3475</v>
      </c>
      <c r="BF156" t="str">
        <f>HYPERLINK("http://dx.doi.org/10.1111/jeb.12295","http://dx.doi.org/10.1111/jeb.12295")</f>
        <v>http://dx.doi.org/10.1111/jeb.12295</v>
      </c>
      <c r="BG156" t="s">
        <v>74</v>
      </c>
      <c r="BH156" t="s">
        <v>74</v>
      </c>
      <c r="BI156" t="s">
        <v>74</v>
      </c>
      <c r="BJ156" t="s">
        <v>74</v>
      </c>
      <c r="BK156" t="s">
        <v>74</v>
      </c>
      <c r="BL156" t="s">
        <v>74</v>
      </c>
      <c r="BM156" t="s">
        <v>74</v>
      </c>
      <c r="BN156">
        <v>24341383</v>
      </c>
      <c r="BO156" t="s">
        <v>74</v>
      </c>
      <c r="BP156" t="s">
        <v>74</v>
      </c>
      <c r="BQ156" t="s">
        <v>74</v>
      </c>
      <c r="BR156" t="s">
        <v>74</v>
      </c>
      <c r="BS156" t="s">
        <v>3476</v>
      </c>
      <c r="BT156" t="str">
        <f>HYPERLINK("https%3A%2F%2Fwww.webofscience.com%2Fwos%2Fwoscc%2Ffull-record%2FWOS:000330016400008","View Full Record in Web of Science")</f>
        <v>View Full Record in Web of Science</v>
      </c>
    </row>
    <row r="157" spans="1:72" x14ac:dyDescent="0.4">
      <c r="A157" t="s">
        <v>72</v>
      </c>
      <c r="B157" t="s">
        <v>364</v>
      </c>
      <c r="C157" t="s">
        <v>74</v>
      </c>
      <c r="D157" t="s">
        <v>74</v>
      </c>
      <c r="E157" t="s">
        <v>74</v>
      </c>
      <c r="F157" t="s">
        <v>365</v>
      </c>
      <c r="G157" t="s">
        <v>74</v>
      </c>
      <c r="H157" t="s">
        <v>74</v>
      </c>
      <c r="I157" t="s">
        <v>366</v>
      </c>
      <c r="J157" t="s">
        <v>367</v>
      </c>
      <c r="K157" t="s">
        <v>74</v>
      </c>
      <c r="L157" t="s">
        <v>74</v>
      </c>
      <c r="M157" t="s">
        <v>74</v>
      </c>
      <c r="N157" t="s">
        <v>74</v>
      </c>
      <c r="O157" t="s">
        <v>74</v>
      </c>
      <c r="P157" t="s">
        <v>74</v>
      </c>
      <c r="Q157" t="s">
        <v>74</v>
      </c>
      <c r="R157" t="s">
        <v>74</v>
      </c>
      <c r="S157" t="s">
        <v>74</v>
      </c>
      <c r="T157" t="s">
        <v>74</v>
      </c>
      <c r="U157" t="s">
        <v>74</v>
      </c>
      <c r="V157" s="3" t="s">
        <v>368</v>
      </c>
      <c r="W157" t="s">
        <v>74</v>
      </c>
      <c r="X157" t="s">
        <v>74</v>
      </c>
      <c r="Y157" t="s">
        <v>74</v>
      </c>
      <c r="Z157" t="s">
        <v>74</v>
      </c>
      <c r="AA157" t="s">
        <v>369</v>
      </c>
      <c r="AB157" t="s">
        <v>370</v>
      </c>
      <c r="AC157" t="s">
        <v>74</v>
      </c>
      <c r="AD157" t="s">
        <v>74</v>
      </c>
      <c r="AE157" t="s">
        <v>74</v>
      </c>
      <c r="AF157" t="s">
        <v>74</v>
      </c>
      <c r="AG157" t="s">
        <v>74</v>
      </c>
      <c r="AH157" t="s">
        <v>74</v>
      </c>
      <c r="AI157" t="s">
        <v>74</v>
      </c>
      <c r="AJ157" t="s">
        <v>74</v>
      </c>
      <c r="AK157" t="s">
        <v>74</v>
      </c>
      <c r="AL157" t="s">
        <v>74</v>
      </c>
      <c r="AM157" t="s">
        <v>74</v>
      </c>
      <c r="AN157" t="s">
        <v>74</v>
      </c>
      <c r="AO157" t="s">
        <v>371</v>
      </c>
      <c r="AP157" t="s">
        <v>372</v>
      </c>
      <c r="AQ157" t="s">
        <v>74</v>
      </c>
      <c r="AR157" t="s">
        <v>74</v>
      </c>
      <c r="AS157" t="s">
        <v>74</v>
      </c>
      <c r="AT157" t="s">
        <v>145</v>
      </c>
      <c r="AU157">
        <v>2009</v>
      </c>
      <c r="AV157">
        <v>123</v>
      </c>
      <c r="AW157">
        <v>3</v>
      </c>
      <c r="AX157" t="s">
        <v>74</v>
      </c>
      <c r="AY157" t="s">
        <v>74</v>
      </c>
      <c r="AZ157" t="s">
        <v>74</v>
      </c>
      <c r="BA157" t="s">
        <v>74</v>
      </c>
      <c r="BB157">
        <v>310</v>
      </c>
      <c r="BC157">
        <v>315</v>
      </c>
      <c r="BD157" t="s">
        <v>74</v>
      </c>
      <c r="BE157" t="s">
        <v>373</v>
      </c>
      <c r="BF157" t="str">
        <f>HYPERLINK("http://dx.doi.org/10.1037/a0015837","http://dx.doi.org/10.1037/a0015837")</f>
        <v>http://dx.doi.org/10.1037/a0015837</v>
      </c>
      <c r="BG157" t="s">
        <v>74</v>
      </c>
      <c r="BH157" t="s">
        <v>74</v>
      </c>
      <c r="BI157" t="s">
        <v>74</v>
      </c>
      <c r="BJ157" t="s">
        <v>74</v>
      </c>
      <c r="BK157" t="s">
        <v>74</v>
      </c>
      <c r="BL157" t="s">
        <v>74</v>
      </c>
      <c r="BM157" t="s">
        <v>74</v>
      </c>
      <c r="BN157">
        <v>19685973</v>
      </c>
      <c r="BO157" t="s">
        <v>74</v>
      </c>
      <c r="BP157" t="s">
        <v>74</v>
      </c>
      <c r="BQ157" t="s">
        <v>74</v>
      </c>
      <c r="BR157" t="s">
        <v>74</v>
      </c>
      <c r="BS157" t="s">
        <v>374</v>
      </c>
      <c r="BT157" t="str">
        <f>HYPERLINK("https%3A%2F%2Fwww.webofscience.com%2Fwos%2Fwoscc%2Ffull-record%2FWOS:000268963900010","View Full Record in Web of Science")</f>
        <v>View Full Record in Web of Science</v>
      </c>
    </row>
    <row r="158" spans="1:72" x14ac:dyDescent="0.4">
      <c r="A158" t="s">
        <v>72</v>
      </c>
      <c r="B158" t="s">
        <v>364</v>
      </c>
      <c r="C158" t="s">
        <v>74</v>
      </c>
      <c r="D158" t="s">
        <v>74</v>
      </c>
      <c r="E158" t="s">
        <v>74</v>
      </c>
      <c r="F158" t="s">
        <v>365</v>
      </c>
      <c r="G158" t="s">
        <v>74</v>
      </c>
      <c r="H158" t="s">
        <v>74</v>
      </c>
      <c r="I158" t="s">
        <v>5467</v>
      </c>
      <c r="J158" t="s">
        <v>119</v>
      </c>
      <c r="K158" t="s">
        <v>74</v>
      </c>
      <c r="L158" t="s">
        <v>74</v>
      </c>
      <c r="M158" t="s">
        <v>74</v>
      </c>
      <c r="N158" t="s">
        <v>74</v>
      </c>
      <c r="O158" t="s">
        <v>74</v>
      </c>
      <c r="P158" t="s">
        <v>74</v>
      </c>
      <c r="Q158" t="s">
        <v>74</v>
      </c>
      <c r="R158" t="s">
        <v>74</v>
      </c>
      <c r="S158" t="s">
        <v>74</v>
      </c>
      <c r="T158" t="s">
        <v>74</v>
      </c>
      <c r="U158" t="s">
        <v>74</v>
      </c>
      <c r="V158" s="3" t="s">
        <v>5468</v>
      </c>
      <c r="W158" t="s">
        <v>74</v>
      </c>
      <c r="X158" t="s">
        <v>74</v>
      </c>
      <c r="Y158" t="s">
        <v>74</v>
      </c>
      <c r="Z158" t="s">
        <v>74</v>
      </c>
      <c r="AA158" t="s">
        <v>369</v>
      </c>
      <c r="AB158" t="s">
        <v>370</v>
      </c>
      <c r="AC158" t="s">
        <v>74</v>
      </c>
      <c r="AD158" t="s">
        <v>74</v>
      </c>
      <c r="AE158" t="s">
        <v>74</v>
      </c>
      <c r="AF158" t="s">
        <v>74</v>
      </c>
      <c r="AG158" t="s">
        <v>74</v>
      </c>
      <c r="AH158" t="s">
        <v>74</v>
      </c>
      <c r="AI158" t="s">
        <v>74</v>
      </c>
      <c r="AJ158" t="s">
        <v>74</v>
      </c>
      <c r="AK158" t="s">
        <v>74</v>
      </c>
      <c r="AL158" t="s">
        <v>74</v>
      </c>
      <c r="AM158" t="s">
        <v>74</v>
      </c>
      <c r="AN158" t="s">
        <v>74</v>
      </c>
      <c r="AO158" t="s">
        <v>121</v>
      </c>
      <c r="AP158" t="s">
        <v>122</v>
      </c>
      <c r="AQ158" t="s">
        <v>74</v>
      </c>
      <c r="AR158" t="s">
        <v>74</v>
      </c>
      <c r="AS158" t="s">
        <v>74</v>
      </c>
      <c r="AT158" t="s">
        <v>255</v>
      </c>
      <c r="AU158">
        <v>2009</v>
      </c>
      <c r="AV158">
        <v>80</v>
      </c>
      <c r="AW158">
        <v>1</v>
      </c>
      <c r="AX158" t="s">
        <v>74</v>
      </c>
      <c r="AY158" t="s">
        <v>74</v>
      </c>
      <c r="AZ158" t="s">
        <v>74</v>
      </c>
      <c r="BA158" t="s">
        <v>74</v>
      </c>
      <c r="BB158">
        <v>90</v>
      </c>
      <c r="BC158">
        <v>98</v>
      </c>
      <c r="BD158" t="s">
        <v>74</v>
      </c>
      <c r="BE158" t="s">
        <v>5469</v>
      </c>
      <c r="BF158" t="str">
        <f>HYPERLINK("http://dx.doi.org/10.1016/j.beproc.2008.10.007","http://dx.doi.org/10.1016/j.beproc.2008.10.007")</f>
        <v>http://dx.doi.org/10.1016/j.beproc.2008.10.007</v>
      </c>
      <c r="BG158" t="s">
        <v>74</v>
      </c>
      <c r="BH158" t="s">
        <v>74</v>
      </c>
      <c r="BI158" t="s">
        <v>74</v>
      </c>
      <c r="BJ158" t="s">
        <v>74</v>
      </c>
      <c r="BK158" t="s">
        <v>74</v>
      </c>
      <c r="BL158" t="s">
        <v>74</v>
      </c>
      <c r="BM158" t="s">
        <v>74</v>
      </c>
      <c r="BN158">
        <v>19010401</v>
      </c>
      <c r="BO158" t="s">
        <v>74</v>
      </c>
      <c r="BP158" t="s">
        <v>74</v>
      </c>
      <c r="BQ158" t="s">
        <v>74</v>
      </c>
      <c r="BR158" t="s">
        <v>74</v>
      </c>
      <c r="BS158" t="s">
        <v>5470</v>
      </c>
      <c r="BT158" t="str">
        <f>HYPERLINK("https%3A%2F%2Fwww.webofscience.com%2Fwos%2Fwoscc%2Ffull-record%2FWOS:000262546900014","View Full Record in Web of Science")</f>
        <v>View Full Record in Web of Science</v>
      </c>
    </row>
    <row r="159" spans="1:72" x14ac:dyDescent="0.4">
      <c r="A159" t="s">
        <v>72</v>
      </c>
      <c r="B159" t="s">
        <v>4862</v>
      </c>
      <c r="C159" t="s">
        <v>74</v>
      </c>
      <c r="D159" t="s">
        <v>74</v>
      </c>
      <c r="E159" t="s">
        <v>74</v>
      </c>
      <c r="F159" t="s">
        <v>4863</v>
      </c>
      <c r="G159" t="s">
        <v>74</v>
      </c>
      <c r="H159" t="s">
        <v>74</v>
      </c>
      <c r="I159" t="s">
        <v>4864</v>
      </c>
      <c r="J159" t="s">
        <v>610</v>
      </c>
      <c r="K159" t="s">
        <v>74</v>
      </c>
      <c r="L159" t="s">
        <v>74</v>
      </c>
      <c r="M159" t="s">
        <v>74</v>
      </c>
      <c r="N159" t="s">
        <v>74</v>
      </c>
      <c r="O159" t="s">
        <v>74</v>
      </c>
      <c r="P159" t="s">
        <v>74</v>
      </c>
      <c r="Q159" t="s">
        <v>74</v>
      </c>
      <c r="R159" t="s">
        <v>74</v>
      </c>
      <c r="S159" t="s">
        <v>74</v>
      </c>
      <c r="T159" t="s">
        <v>74</v>
      </c>
      <c r="U159" t="s">
        <v>74</v>
      </c>
      <c r="V159" s="3" t="s">
        <v>4865</v>
      </c>
      <c r="W159" t="s">
        <v>74</v>
      </c>
      <c r="X159" t="s">
        <v>74</v>
      </c>
      <c r="Y159" t="s">
        <v>74</v>
      </c>
      <c r="Z159" t="s">
        <v>74</v>
      </c>
      <c r="AA159" t="s">
        <v>4866</v>
      </c>
      <c r="AB159" t="s">
        <v>4867</v>
      </c>
      <c r="AC159" t="s">
        <v>74</v>
      </c>
      <c r="AD159" t="s">
        <v>74</v>
      </c>
      <c r="AE159" t="s">
        <v>74</v>
      </c>
      <c r="AF159" t="s">
        <v>74</v>
      </c>
      <c r="AG159" t="s">
        <v>74</v>
      </c>
      <c r="AH159" t="s">
        <v>74</v>
      </c>
      <c r="AI159" t="s">
        <v>74</v>
      </c>
      <c r="AJ159" t="s">
        <v>74</v>
      </c>
      <c r="AK159" t="s">
        <v>74</v>
      </c>
      <c r="AL159" t="s">
        <v>74</v>
      </c>
      <c r="AM159" t="s">
        <v>74</v>
      </c>
      <c r="AN159" t="s">
        <v>74</v>
      </c>
      <c r="AO159" t="s">
        <v>614</v>
      </c>
      <c r="AP159" t="s">
        <v>615</v>
      </c>
      <c r="AQ159" t="s">
        <v>74</v>
      </c>
      <c r="AR159" t="s">
        <v>74</v>
      </c>
      <c r="AS159" t="s">
        <v>74</v>
      </c>
      <c r="AT159" t="s">
        <v>255</v>
      </c>
      <c r="AU159">
        <v>2009</v>
      </c>
      <c r="AV159">
        <v>115</v>
      </c>
      <c r="AW159">
        <v>1</v>
      </c>
      <c r="AX159" t="s">
        <v>74</v>
      </c>
      <c r="AY159" t="s">
        <v>74</v>
      </c>
      <c r="AZ159" t="s">
        <v>74</v>
      </c>
      <c r="BA159" t="s">
        <v>74</v>
      </c>
      <c r="BB159">
        <v>23</v>
      </c>
      <c r="BC159">
        <v>32</v>
      </c>
      <c r="BD159" t="s">
        <v>74</v>
      </c>
      <c r="BE159" t="s">
        <v>4868</v>
      </c>
      <c r="BF159" t="str">
        <f>HYPERLINK("http://dx.doi.org/10.1111/j.1439-0310.2008.01584.x","http://dx.doi.org/10.1111/j.1439-0310.2008.01584.x")</f>
        <v>http://dx.doi.org/10.1111/j.1439-0310.2008.01584.x</v>
      </c>
      <c r="BG159" t="s">
        <v>74</v>
      </c>
      <c r="BH159" t="s">
        <v>74</v>
      </c>
      <c r="BI159" t="s">
        <v>74</v>
      </c>
      <c r="BJ159" t="s">
        <v>74</v>
      </c>
      <c r="BK159" t="s">
        <v>74</v>
      </c>
      <c r="BL159" t="s">
        <v>74</v>
      </c>
      <c r="BM159" t="s">
        <v>74</v>
      </c>
      <c r="BN159" t="s">
        <v>74</v>
      </c>
      <c r="BO159" t="s">
        <v>74</v>
      </c>
      <c r="BP159" t="s">
        <v>74</v>
      </c>
      <c r="BQ159" t="s">
        <v>74</v>
      </c>
      <c r="BR159" t="s">
        <v>74</v>
      </c>
      <c r="BS159" t="s">
        <v>4869</v>
      </c>
      <c r="BT159" t="str">
        <f>HYPERLINK("https%3A%2F%2Fwww.webofscience.com%2Fwos%2Fwoscc%2Ffull-record%2FWOS:000261836000004","View Full Record in Web of Science")</f>
        <v>View Full Record in Web of Science</v>
      </c>
    </row>
    <row r="160" spans="1:72" x14ac:dyDescent="0.4">
      <c r="A160" t="s">
        <v>72</v>
      </c>
      <c r="B160" t="s">
        <v>6759</v>
      </c>
      <c r="C160" t="s">
        <v>74</v>
      </c>
      <c r="D160" t="s">
        <v>74</v>
      </c>
      <c r="E160" t="s">
        <v>74</v>
      </c>
      <c r="F160" t="s">
        <v>6759</v>
      </c>
      <c r="G160" t="s">
        <v>74</v>
      </c>
      <c r="H160" t="s">
        <v>74</v>
      </c>
      <c r="I160" t="s">
        <v>6760</v>
      </c>
      <c r="J160" t="s">
        <v>312</v>
      </c>
      <c r="K160" t="s">
        <v>74</v>
      </c>
      <c r="L160" t="s">
        <v>74</v>
      </c>
      <c r="M160" t="s">
        <v>74</v>
      </c>
      <c r="N160" t="s">
        <v>74</v>
      </c>
      <c r="O160" t="s">
        <v>74</v>
      </c>
      <c r="P160" t="s">
        <v>74</v>
      </c>
      <c r="Q160" t="s">
        <v>74</v>
      </c>
      <c r="R160" t="s">
        <v>74</v>
      </c>
      <c r="S160" t="s">
        <v>74</v>
      </c>
      <c r="T160" t="s">
        <v>74</v>
      </c>
      <c r="U160" t="s">
        <v>74</v>
      </c>
      <c r="V160" s="3" t="s">
        <v>6761</v>
      </c>
      <c r="W160" t="s">
        <v>74</v>
      </c>
      <c r="X160" t="s">
        <v>74</v>
      </c>
      <c r="Y160" t="s">
        <v>74</v>
      </c>
      <c r="Z160" t="s">
        <v>74</v>
      </c>
      <c r="AA160" t="s">
        <v>1724</v>
      </c>
      <c r="AB160" t="s">
        <v>1725</v>
      </c>
      <c r="AC160" t="s">
        <v>74</v>
      </c>
      <c r="AD160" t="s">
        <v>74</v>
      </c>
      <c r="AE160" t="s">
        <v>74</v>
      </c>
      <c r="AF160" t="s">
        <v>74</v>
      </c>
      <c r="AG160" t="s">
        <v>74</v>
      </c>
      <c r="AH160" t="s">
        <v>74</v>
      </c>
      <c r="AI160" t="s">
        <v>74</v>
      </c>
      <c r="AJ160" t="s">
        <v>74</v>
      </c>
      <c r="AK160" t="s">
        <v>74</v>
      </c>
      <c r="AL160" t="s">
        <v>74</v>
      </c>
      <c r="AM160" t="s">
        <v>74</v>
      </c>
      <c r="AN160" t="s">
        <v>74</v>
      </c>
      <c r="AO160" t="s">
        <v>314</v>
      </c>
      <c r="AP160" t="s">
        <v>74</v>
      </c>
      <c r="AQ160" t="s">
        <v>74</v>
      </c>
      <c r="AR160" t="s">
        <v>74</v>
      </c>
      <c r="AS160" t="s">
        <v>74</v>
      </c>
      <c r="AT160" t="s">
        <v>134</v>
      </c>
      <c r="AU160">
        <v>2002</v>
      </c>
      <c r="AV160">
        <v>159</v>
      </c>
      <c r="AW160">
        <v>5</v>
      </c>
      <c r="AX160" t="s">
        <v>74</v>
      </c>
      <c r="AY160" t="s">
        <v>74</v>
      </c>
      <c r="AZ160" t="s">
        <v>74</v>
      </c>
      <c r="BA160" t="s">
        <v>74</v>
      </c>
      <c r="BB160">
        <v>438</v>
      </c>
      <c r="BC160">
        <v>450</v>
      </c>
      <c r="BD160" t="s">
        <v>74</v>
      </c>
      <c r="BE160" t="s">
        <v>6762</v>
      </c>
      <c r="BF160" t="str">
        <f>HYPERLINK("http://dx.doi.org/10.1086/339457","http://dx.doi.org/10.1086/339457")</f>
        <v>http://dx.doi.org/10.1086/339457</v>
      </c>
      <c r="BG160" t="s">
        <v>74</v>
      </c>
      <c r="BH160" t="s">
        <v>74</v>
      </c>
      <c r="BI160" t="s">
        <v>74</v>
      </c>
      <c r="BJ160" t="s">
        <v>74</v>
      </c>
      <c r="BK160" t="s">
        <v>74</v>
      </c>
      <c r="BL160" t="s">
        <v>74</v>
      </c>
      <c r="BM160" t="s">
        <v>74</v>
      </c>
      <c r="BN160">
        <v>18707428</v>
      </c>
      <c r="BO160" t="s">
        <v>74</v>
      </c>
      <c r="BP160" t="s">
        <v>74</v>
      </c>
      <c r="BQ160" t="s">
        <v>74</v>
      </c>
      <c r="BR160" t="s">
        <v>74</v>
      </c>
      <c r="BS160" t="s">
        <v>6763</v>
      </c>
      <c r="BT160" t="str">
        <f>HYPERLINK("https%3A%2F%2Fwww.webofscience.com%2Fwos%2Fwoscc%2Ffull-record%2FWOS:000175302800002","View Full Record in Web of Science")</f>
        <v>View Full Record in Web of Science</v>
      </c>
    </row>
    <row r="161" spans="1:72" x14ac:dyDescent="0.4">
      <c r="A161" t="s">
        <v>72</v>
      </c>
      <c r="B161" t="s">
        <v>8168</v>
      </c>
      <c r="C161" t="s">
        <v>74</v>
      </c>
      <c r="D161" t="s">
        <v>74</v>
      </c>
      <c r="E161" t="s">
        <v>74</v>
      </c>
      <c r="F161" t="s">
        <v>8168</v>
      </c>
      <c r="G161" t="s">
        <v>74</v>
      </c>
      <c r="H161" t="s">
        <v>74</v>
      </c>
      <c r="I161" t="s">
        <v>8169</v>
      </c>
      <c r="J161" t="s">
        <v>171</v>
      </c>
      <c r="K161" t="s">
        <v>74</v>
      </c>
      <c r="L161" t="s">
        <v>74</v>
      </c>
      <c r="M161" t="s">
        <v>74</v>
      </c>
      <c r="N161" t="s">
        <v>74</v>
      </c>
      <c r="O161" t="s">
        <v>74</v>
      </c>
      <c r="P161" t="s">
        <v>74</v>
      </c>
      <c r="Q161" t="s">
        <v>74</v>
      </c>
      <c r="R161" t="s">
        <v>74</v>
      </c>
      <c r="S161" t="s">
        <v>74</v>
      </c>
      <c r="T161" t="s">
        <v>74</v>
      </c>
      <c r="U161" t="s">
        <v>74</v>
      </c>
      <c r="V161" s="3" t="s">
        <v>8170</v>
      </c>
      <c r="W161" t="s">
        <v>74</v>
      </c>
      <c r="X161" t="s">
        <v>74</v>
      </c>
      <c r="Y161" t="s">
        <v>74</v>
      </c>
      <c r="Z161" t="s">
        <v>74</v>
      </c>
      <c r="AA161" t="s">
        <v>8171</v>
      </c>
      <c r="AB161" t="s">
        <v>8172</v>
      </c>
      <c r="AC161" t="s">
        <v>74</v>
      </c>
      <c r="AD161" t="s">
        <v>74</v>
      </c>
      <c r="AE161" t="s">
        <v>74</v>
      </c>
      <c r="AF161" t="s">
        <v>74</v>
      </c>
      <c r="AG161" t="s">
        <v>74</v>
      </c>
      <c r="AH161" t="s">
        <v>74</v>
      </c>
      <c r="AI161" t="s">
        <v>74</v>
      </c>
      <c r="AJ161" t="s">
        <v>74</v>
      </c>
      <c r="AK161" t="s">
        <v>74</v>
      </c>
      <c r="AL161" t="s">
        <v>74</v>
      </c>
      <c r="AM161" t="s">
        <v>74</v>
      </c>
      <c r="AN161" t="s">
        <v>74</v>
      </c>
      <c r="AO161" t="s">
        <v>173</v>
      </c>
      <c r="AP161" t="s">
        <v>174</v>
      </c>
      <c r="AQ161" t="s">
        <v>74</v>
      </c>
      <c r="AR161" t="s">
        <v>74</v>
      </c>
      <c r="AS161" t="s">
        <v>74</v>
      </c>
      <c r="AT161" t="s">
        <v>305</v>
      </c>
      <c r="AU161">
        <v>1998</v>
      </c>
      <c r="AV161">
        <v>52</v>
      </c>
      <c r="AW161">
        <v>6</v>
      </c>
      <c r="AX161" t="s">
        <v>74</v>
      </c>
      <c r="AY161" t="s">
        <v>74</v>
      </c>
      <c r="AZ161" t="s">
        <v>74</v>
      </c>
      <c r="BA161" t="s">
        <v>74</v>
      </c>
      <c r="BB161">
        <v>1602</v>
      </c>
      <c r="BC161">
        <v>1611</v>
      </c>
      <c r="BD161" t="s">
        <v>74</v>
      </c>
      <c r="BE161" t="s">
        <v>8173</v>
      </c>
      <c r="BF161" t="str">
        <f>HYPERLINK("http://dx.doi.org/10.1111/j.1558-5646.1998.tb02241.x","http://dx.doi.org/10.1111/j.1558-5646.1998.tb02241.x")</f>
        <v>http://dx.doi.org/10.1111/j.1558-5646.1998.tb02241.x</v>
      </c>
      <c r="BG161" t="s">
        <v>74</v>
      </c>
      <c r="BH161" t="s">
        <v>74</v>
      </c>
      <c r="BI161" t="s">
        <v>74</v>
      </c>
      <c r="BJ161" t="s">
        <v>74</v>
      </c>
      <c r="BK161" t="s">
        <v>74</v>
      </c>
      <c r="BL161" t="s">
        <v>74</v>
      </c>
      <c r="BM161" t="s">
        <v>74</v>
      </c>
      <c r="BN161">
        <v>28565336</v>
      </c>
      <c r="BO161" t="s">
        <v>74</v>
      </c>
      <c r="BP161" t="s">
        <v>74</v>
      </c>
      <c r="BQ161" t="s">
        <v>74</v>
      </c>
      <c r="BR161" t="s">
        <v>74</v>
      </c>
      <c r="BS161" t="s">
        <v>8174</v>
      </c>
      <c r="BT161" t="str">
        <f>HYPERLINK("https%3A%2F%2Fwww.webofscience.com%2Fwos%2Fwoscc%2Ffull-record%2FWOS:000078076700007","View Full Record in Web of Science")</f>
        <v>View Full Record in Web of Science</v>
      </c>
    </row>
    <row r="162" spans="1:72" x14ac:dyDescent="0.4">
      <c r="A162" t="s">
        <v>72</v>
      </c>
      <c r="B162" t="s">
        <v>4640</v>
      </c>
      <c r="C162" t="s">
        <v>74</v>
      </c>
      <c r="D162" t="s">
        <v>74</v>
      </c>
      <c r="E162" t="s">
        <v>74</v>
      </c>
      <c r="F162" t="s">
        <v>4640</v>
      </c>
      <c r="G162" t="s">
        <v>74</v>
      </c>
      <c r="H162" t="s">
        <v>74</v>
      </c>
      <c r="I162" t="s">
        <v>4641</v>
      </c>
      <c r="J162" t="s">
        <v>140</v>
      </c>
      <c r="K162" t="s">
        <v>74</v>
      </c>
      <c r="L162" t="s">
        <v>74</v>
      </c>
      <c r="M162" t="s">
        <v>74</v>
      </c>
      <c r="N162" t="s">
        <v>74</v>
      </c>
      <c r="O162" t="s">
        <v>74</v>
      </c>
      <c r="P162" t="s">
        <v>74</v>
      </c>
      <c r="Q162" t="s">
        <v>74</v>
      </c>
      <c r="R162" t="s">
        <v>74</v>
      </c>
      <c r="S162" t="s">
        <v>74</v>
      </c>
      <c r="T162" t="s">
        <v>74</v>
      </c>
      <c r="U162" t="s">
        <v>74</v>
      </c>
      <c r="V162" s="3" t="s">
        <v>4642</v>
      </c>
      <c r="W162" t="s">
        <v>74</v>
      </c>
      <c r="X162" t="s">
        <v>74</v>
      </c>
      <c r="Y162" t="s">
        <v>74</v>
      </c>
      <c r="Z162" t="s">
        <v>74</v>
      </c>
      <c r="AA162" t="s">
        <v>4643</v>
      </c>
      <c r="AB162" t="s">
        <v>74</v>
      </c>
      <c r="AC162" t="s">
        <v>74</v>
      </c>
      <c r="AD162" t="s">
        <v>74</v>
      </c>
      <c r="AE162" t="s">
        <v>74</v>
      </c>
      <c r="AF162" t="s">
        <v>74</v>
      </c>
      <c r="AG162" t="s">
        <v>74</v>
      </c>
      <c r="AH162" t="s">
        <v>74</v>
      </c>
      <c r="AI162" t="s">
        <v>74</v>
      </c>
      <c r="AJ162" t="s">
        <v>74</v>
      </c>
      <c r="AK162" t="s">
        <v>74</v>
      </c>
      <c r="AL162" t="s">
        <v>74</v>
      </c>
      <c r="AM162" t="s">
        <v>74</v>
      </c>
      <c r="AN162" t="s">
        <v>74</v>
      </c>
      <c r="AO162" t="s">
        <v>143</v>
      </c>
      <c r="AP162" t="s">
        <v>74</v>
      </c>
      <c r="AQ162" t="s">
        <v>74</v>
      </c>
      <c r="AR162" t="s">
        <v>74</v>
      </c>
      <c r="AS162" t="s">
        <v>74</v>
      </c>
      <c r="AT162" t="s">
        <v>204</v>
      </c>
      <c r="AU162">
        <v>1999</v>
      </c>
      <c r="AV162">
        <v>58</v>
      </c>
      <c r="AW162" t="s">
        <v>74</v>
      </c>
      <c r="AX162">
        <v>1</v>
      </c>
      <c r="AY162" t="s">
        <v>74</v>
      </c>
      <c r="AZ162" t="s">
        <v>74</v>
      </c>
      <c r="BA162" t="s">
        <v>74</v>
      </c>
      <c r="BB162">
        <v>151</v>
      </c>
      <c r="BC162">
        <v>158</v>
      </c>
      <c r="BD162" t="s">
        <v>74</v>
      </c>
      <c r="BE162" t="s">
        <v>4644</v>
      </c>
      <c r="BF162" t="str">
        <f>HYPERLINK("http://dx.doi.org/10.1006/anbe.1999.1121","http://dx.doi.org/10.1006/anbe.1999.1121")</f>
        <v>http://dx.doi.org/10.1006/anbe.1999.1121</v>
      </c>
      <c r="BG162" t="s">
        <v>74</v>
      </c>
      <c r="BH162" t="s">
        <v>74</v>
      </c>
      <c r="BI162" t="s">
        <v>74</v>
      </c>
      <c r="BJ162" t="s">
        <v>74</v>
      </c>
      <c r="BK162" t="s">
        <v>74</v>
      </c>
      <c r="BL162" t="s">
        <v>74</v>
      </c>
      <c r="BM162" t="s">
        <v>74</v>
      </c>
      <c r="BN162">
        <v>10413551</v>
      </c>
      <c r="BO162" t="s">
        <v>74</v>
      </c>
      <c r="BP162" t="s">
        <v>74</v>
      </c>
      <c r="BQ162" t="s">
        <v>74</v>
      </c>
      <c r="BR162" t="s">
        <v>74</v>
      </c>
      <c r="BS162" t="s">
        <v>4645</v>
      </c>
      <c r="BT162" t="str">
        <f>HYPERLINK("https%3A%2F%2Fwww.webofscience.com%2Fwos%2Fwoscc%2Ffull-record%2FWOS:000081982700017","View Full Record in Web of Science")</f>
        <v>View Full Record in Web of Science</v>
      </c>
    </row>
    <row r="163" spans="1:72" x14ac:dyDescent="0.4">
      <c r="A163" t="s">
        <v>72</v>
      </c>
      <c r="B163" t="s">
        <v>8216</v>
      </c>
      <c r="C163" t="s">
        <v>74</v>
      </c>
      <c r="D163" t="s">
        <v>74</v>
      </c>
      <c r="E163" t="s">
        <v>74</v>
      </c>
      <c r="F163" t="s">
        <v>8217</v>
      </c>
      <c r="G163" t="s">
        <v>74</v>
      </c>
      <c r="H163" t="s">
        <v>74</v>
      </c>
      <c r="I163" t="s">
        <v>8218</v>
      </c>
      <c r="J163" t="s">
        <v>1574</v>
      </c>
      <c r="K163" t="s">
        <v>74</v>
      </c>
      <c r="L163" t="s">
        <v>74</v>
      </c>
      <c r="M163" t="s">
        <v>74</v>
      </c>
      <c r="N163" t="s">
        <v>74</v>
      </c>
      <c r="O163" t="s">
        <v>74</v>
      </c>
      <c r="P163" t="s">
        <v>74</v>
      </c>
      <c r="Q163" t="s">
        <v>74</v>
      </c>
      <c r="R163" t="s">
        <v>74</v>
      </c>
      <c r="S163" t="s">
        <v>74</v>
      </c>
      <c r="T163" t="s">
        <v>74</v>
      </c>
      <c r="U163" t="s">
        <v>74</v>
      </c>
      <c r="V163" s="3" t="s">
        <v>8219</v>
      </c>
      <c r="W163" t="s">
        <v>74</v>
      </c>
      <c r="X163" t="s">
        <v>74</v>
      </c>
      <c r="Y163" t="s">
        <v>74</v>
      </c>
      <c r="Z163" t="s">
        <v>74</v>
      </c>
      <c r="AA163" t="s">
        <v>74</v>
      </c>
      <c r="AB163" t="s">
        <v>74</v>
      </c>
      <c r="AC163" t="s">
        <v>74</v>
      </c>
      <c r="AD163" t="s">
        <v>74</v>
      </c>
      <c r="AE163" t="s">
        <v>74</v>
      </c>
      <c r="AF163" t="s">
        <v>74</v>
      </c>
      <c r="AG163" t="s">
        <v>74</v>
      </c>
      <c r="AH163" t="s">
        <v>74</v>
      </c>
      <c r="AI163" t="s">
        <v>74</v>
      </c>
      <c r="AJ163" t="s">
        <v>74</v>
      </c>
      <c r="AK163" t="s">
        <v>74</v>
      </c>
      <c r="AL163" t="s">
        <v>74</v>
      </c>
      <c r="AM163" t="s">
        <v>74</v>
      </c>
      <c r="AN163" t="s">
        <v>74</v>
      </c>
      <c r="AO163" t="s">
        <v>1576</v>
      </c>
      <c r="AP163" t="s">
        <v>1577</v>
      </c>
      <c r="AQ163" t="s">
        <v>74</v>
      </c>
      <c r="AR163" t="s">
        <v>74</v>
      </c>
      <c r="AS163" t="s">
        <v>74</v>
      </c>
      <c r="AT163" t="s">
        <v>204</v>
      </c>
      <c r="AU163">
        <v>2022</v>
      </c>
      <c r="AV163">
        <v>97</v>
      </c>
      <c r="AW163" t="s">
        <v>1276</v>
      </c>
      <c r="AX163" t="s">
        <v>74</v>
      </c>
      <c r="AY163" t="s">
        <v>74</v>
      </c>
      <c r="AZ163" t="s">
        <v>74</v>
      </c>
      <c r="BA163" t="s">
        <v>74</v>
      </c>
      <c r="BB163">
        <v>184</v>
      </c>
      <c r="BC163">
        <v>196</v>
      </c>
      <c r="BD163" t="s">
        <v>74</v>
      </c>
      <c r="BE163" t="s">
        <v>8220</v>
      </c>
      <c r="BF163" t="str">
        <f>HYPERLINK("http://dx.doi.org/10.1159/000524217","http://dx.doi.org/10.1159/000524217")</f>
        <v>http://dx.doi.org/10.1159/000524217</v>
      </c>
      <c r="BG163" t="s">
        <v>74</v>
      </c>
      <c r="BH163" t="s">
        <v>74</v>
      </c>
      <c r="BI163" t="s">
        <v>74</v>
      </c>
      <c r="BJ163" t="s">
        <v>74</v>
      </c>
      <c r="BK163" t="s">
        <v>74</v>
      </c>
      <c r="BL163" t="s">
        <v>74</v>
      </c>
      <c r="BM163" t="s">
        <v>74</v>
      </c>
      <c r="BN163">
        <v>35320812</v>
      </c>
      <c r="BO163" t="s">
        <v>74</v>
      </c>
      <c r="BP163" t="s">
        <v>74</v>
      </c>
      <c r="BQ163" t="s">
        <v>74</v>
      </c>
      <c r="BR163" t="s">
        <v>74</v>
      </c>
      <c r="BS163" t="s">
        <v>8221</v>
      </c>
      <c r="BT163" t="str">
        <f>HYPERLINK("https%3A%2F%2Fwww.webofscience.com%2Fwos%2Fwoscc%2Ffull-record%2FWOS:000840266300008","View Full Record in Web of Science")</f>
        <v>View Full Record in Web of Science</v>
      </c>
    </row>
    <row r="164" spans="1:72" x14ac:dyDescent="0.4">
      <c r="A164" t="s">
        <v>72</v>
      </c>
      <c r="B164" t="s">
        <v>3913</v>
      </c>
      <c r="C164" t="s">
        <v>74</v>
      </c>
      <c r="D164" t="s">
        <v>74</v>
      </c>
      <c r="E164" t="s">
        <v>74</v>
      </c>
      <c r="F164" t="s">
        <v>3914</v>
      </c>
      <c r="G164" t="s">
        <v>74</v>
      </c>
      <c r="H164" t="s">
        <v>74</v>
      </c>
      <c r="I164" t="s">
        <v>3915</v>
      </c>
      <c r="J164" t="s">
        <v>1995</v>
      </c>
      <c r="K164" t="s">
        <v>74</v>
      </c>
      <c r="L164" t="s">
        <v>74</v>
      </c>
      <c r="M164" t="s">
        <v>74</v>
      </c>
      <c r="N164" t="s">
        <v>74</v>
      </c>
      <c r="O164" t="s">
        <v>74</v>
      </c>
      <c r="P164" t="s">
        <v>74</v>
      </c>
      <c r="Q164" t="s">
        <v>74</v>
      </c>
      <c r="R164" t="s">
        <v>74</v>
      </c>
      <c r="S164" t="s">
        <v>74</v>
      </c>
      <c r="T164" t="s">
        <v>74</v>
      </c>
      <c r="U164" t="s">
        <v>74</v>
      </c>
      <c r="V164" s="3" t="s">
        <v>3916</v>
      </c>
      <c r="W164" t="s">
        <v>74</v>
      </c>
      <c r="X164" t="s">
        <v>74</v>
      </c>
      <c r="Y164" t="s">
        <v>74</v>
      </c>
      <c r="Z164" t="s">
        <v>74</v>
      </c>
      <c r="AA164" t="s">
        <v>74</v>
      </c>
      <c r="AB164" t="s">
        <v>74</v>
      </c>
      <c r="AC164" t="s">
        <v>74</v>
      </c>
      <c r="AD164" t="s">
        <v>74</v>
      </c>
      <c r="AE164" t="s">
        <v>74</v>
      </c>
      <c r="AF164" t="s">
        <v>74</v>
      </c>
      <c r="AG164" t="s">
        <v>74</v>
      </c>
      <c r="AH164" t="s">
        <v>74</v>
      </c>
      <c r="AI164" t="s">
        <v>74</v>
      </c>
      <c r="AJ164" t="s">
        <v>74</v>
      </c>
      <c r="AK164" t="s">
        <v>74</v>
      </c>
      <c r="AL164" t="s">
        <v>74</v>
      </c>
      <c r="AM164" t="s">
        <v>74</v>
      </c>
      <c r="AN164" t="s">
        <v>74</v>
      </c>
      <c r="AO164" t="s">
        <v>1997</v>
      </c>
      <c r="AP164" t="s">
        <v>3917</v>
      </c>
      <c r="AQ164" t="s">
        <v>74</v>
      </c>
      <c r="AR164" t="s">
        <v>74</v>
      </c>
      <c r="AS164" t="s">
        <v>74</v>
      </c>
      <c r="AT164" t="s">
        <v>102</v>
      </c>
      <c r="AU164">
        <v>2009</v>
      </c>
      <c r="AV164">
        <v>80</v>
      </c>
      <c r="AW164">
        <v>2</v>
      </c>
      <c r="AX164" t="s">
        <v>74</v>
      </c>
      <c r="AY164" t="s">
        <v>74</v>
      </c>
      <c r="AZ164" t="s">
        <v>74</v>
      </c>
      <c r="BA164" t="s">
        <v>74</v>
      </c>
      <c r="BB164">
        <v>163</v>
      </c>
      <c r="BC164">
        <v>170</v>
      </c>
      <c r="BD164" t="s">
        <v>74</v>
      </c>
      <c r="BE164" t="s">
        <v>3918</v>
      </c>
      <c r="BF164" t="str">
        <f>HYPERLINK("http://dx.doi.org/10.1111/j.1557-9263.2009.00218.x","http://dx.doi.org/10.1111/j.1557-9263.2009.00218.x")</f>
        <v>http://dx.doi.org/10.1111/j.1557-9263.2009.00218.x</v>
      </c>
      <c r="BG164" t="s">
        <v>74</v>
      </c>
      <c r="BH164" t="s">
        <v>74</v>
      </c>
      <c r="BI164" t="s">
        <v>74</v>
      </c>
      <c r="BJ164" t="s">
        <v>74</v>
      </c>
      <c r="BK164" t="s">
        <v>74</v>
      </c>
      <c r="BL164" t="s">
        <v>74</v>
      </c>
      <c r="BM164" t="s">
        <v>74</v>
      </c>
      <c r="BN164" t="s">
        <v>74</v>
      </c>
      <c r="BO164" t="s">
        <v>74</v>
      </c>
      <c r="BP164" t="s">
        <v>74</v>
      </c>
      <c r="BQ164" t="s">
        <v>74</v>
      </c>
      <c r="BR164" t="s">
        <v>74</v>
      </c>
      <c r="BS164" t="s">
        <v>3919</v>
      </c>
      <c r="BT164" t="str">
        <f>HYPERLINK("https%3A%2F%2Fwww.webofscience.com%2Fwos%2Fwoscc%2Ffull-record%2FWOS:000266465200007","View Full Record in Web of Science")</f>
        <v>View Full Record in Web of Science</v>
      </c>
    </row>
    <row r="165" spans="1:72" x14ac:dyDescent="0.4">
      <c r="A165" t="s">
        <v>72</v>
      </c>
      <c r="B165" t="s">
        <v>4769</v>
      </c>
      <c r="C165" t="s">
        <v>74</v>
      </c>
      <c r="D165" t="s">
        <v>74</v>
      </c>
      <c r="E165" t="s">
        <v>74</v>
      </c>
      <c r="F165" t="s">
        <v>4770</v>
      </c>
      <c r="G165" t="s">
        <v>74</v>
      </c>
      <c r="H165" t="s">
        <v>74</v>
      </c>
      <c r="I165" t="s">
        <v>4771</v>
      </c>
      <c r="J165" t="s">
        <v>4772</v>
      </c>
      <c r="K165" t="s">
        <v>74</v>
      </c>
      <c r="L165" t="s">
        <v>74</v>
      </c>
      <c r="M165" t="s">
        <v>74</v>
      </c>
      <c r="N165" t="s">
        <v>74</v>
      </c>
      <c r="O165" t="s">
        <v>74</v>
      </c>
      <c r="P165" t="s">
        <v>74</v>
      </c>
      <c r="Q165" t="s">
        <v>74</v>
      </c>
      <c r="R165" t="s">
        <v>74</v>
      </c>
      <c r="S165" t="s">
        <v>74</v>
      </c>
      <c r="T165" t="s">
        <v>74</v>
      </c>
      <c r="U165" t="s">
        <v>74</v>
      </c>
      <c r="V165" s="3" t="s">
        <v>4773</v>
      </c>
      <c r="W165" t="s">
        <v>74</v>
      </c>
      <c r="X165" t="s">
        <v>74</v>
      </c>
      <c r="Y165" t="s">
        <v>74</v>
      </c>
      <c r="Z165" t="s">
        <v>74</v>
      </c>
      <c r="AA165" t="s">
        <v>74</v>
      </c>
      <c r="AB165" t="s">
        <v>74</v>
      </c>
      <c r="AC165" t="s">
        <v>74</v>
      </c>
      <c r="AD165" t="s">
        <v>74</v>
      </c>
      <c r="AE165" t="s">
        <v>74</v>
      </c>
      <c r="AF165" t="s">
        <v>74</v>
      </c>
      <c r="AG165" t="s">
        <v>74</v>
      </c>
      <c r="AH165" t="s">
        <v>74</v>
      </c>
      <c r="AI165" t="s">
        <v>74</v>
      </c>
      <c r="AJ165" t="s">
        <v>74</v>
      </c>
      <c r="AK165" t="s">
        <v>74</v>
      </c>
      <c r="AL165" t="s">
        <v>74</v>
      </c>
      <c r="AM165" t="s">
        <v>74</v>
      </c>
      <c r="AN165" t="s">
        <v>74</v>
      </c>
      <c r="AO165" t="s">
        <v>4774</v>
      </c>
      <c r="AP165" t="s">
        <v>74</v>
      </c>
      <c r="AQ165" t="s">
        <v>74</v>
      </c>
      <c r="AR165" t="s">
        <v>74</v>
      </c>
      <c r="AS165" t="s">
        <v>74</v>
      </c>
      <c r="AT165" t="s">
        <v>204</v>
      </c>
      <c r="AU165">
        <v>2010</v>
      </c>
      <c r="AV165">
        <v>49</v>
      </c>
      <c r="AW165">
        <v>4</v>
      </c>
      <c r="AX165" t="s">
        <v>74</v>
      </c>
      <c r="AY165" t="s">
        <v>74</v>
      </c>
      <c r="AZ165" t="s">
        <v>74</v>
      </c>
      <c r="BA165" t="s">
        <v>74</v>
      </c>
      <c r="BB165">
        <v>336</v>
      </c>
      <c r="BC165">
        <v>344</v>
      </c>
      <c r="BD165" t="s">
        <v>74</v>
      </c>
      <c r="BE165" t="s">
        <v>4775</v>
      </c>
      <c r="BF165" t="str">
        <f>HYPERLINK("http://dx.doi.org/10.2216/09-19.1","http://dx.doi.org/10.2216/09-19.1")</f>
        <v>http://dx.doi.org/10.2216/09-19.1</v>
      </c>
      <c r="BG165" t="s">
        <v>74</v>
      </c>
      <c r="BH165" t="s">
        <v>74</v>
      </c>
      <c r="BI165" t="s">
        <v>74</v>
      </c>
      <c r="BJ165" t="s">
        <v>74</v>
      </c>
      <c r="BK165" t="s">
        <v>74</v>
      </c>
      <c r="BL165" t="s">
        <v>74</v>
      </c>
      <c r="BM165" t="s">
        <v>74</v>
      </c>
      <c r="BN165" t="s">
        <v>74</v>
      </c>
      <c r="BO165" t="s">
        <v>74</v>
      </c>
      <c r="BP165" t="s">
        <v>74</v>
      </c>
      <c r="BQ165" t="s">
        <v>74</v>
      </c>
      <c r="BR165" t="s">
        <v>74</v>
      </c>
      <c r="BS165" t="s">
        <v>4776</v>
      </c>
      <c r="BT165" t="str">
        <f>HYPERLINK("https%3A%2F%2Fwww.webofscience.com%2Fwos%2Fwoscc%2Ffull-record%2FWOS:000280232300004","View Full Record in Web of Science")</f>
        <v>View Full Record in Web of Science</v>
      </c>
    </row>
    <row r="166" spans="1:72" x14ac:dyDescent="0.4">
      <c r="A166" t="s">
        <v>72</v>
      </c>
      <c r="B166" t="s">
        <v>6800</v>
      </c>
      <c r="C166" t="s">
        <v>74</v>
      </c>
      <c r="D166" t="s">
        <v>74</v>
      </c>
      <c r="E166" t="s">
        <v>74</v>
      </c>
      <c r="F166" t="s">
        <v>6800</v>
      </c>
      <c r="G166" t="s">
        <v>74</v>
      </c>
      <c r="H166" t="s">
        <v>74</v>
      </c>
      <c r="I166" t="s">
        <v>6801</v>
      </c>
      <c r="J166" t="s">
        <v>1198</v>
      </c>
      <c r="K166" t="s">
        <v>74</v>
      </c>
      <c r="L166" t="s">
        <v>74</v>
      </c>
      <c r="M166" t="s">
        <v>74</v>
      </c>
      <c r="N166" t="s">
        <v>74</v>
      </c>
      <c r="O166" t="s">
        <v>74</v>
      </c>
      <c r="P166" t="s">
        <v>74</v>
      </c>
      <c r="Q166" t="s">
        <v>74</v>
      </c>
      <c r="R166" t="s">
        <v>74</v>
      </c>
      <c r="S166" t="s">
        <v>74</v>
      </c>
      <c r="T166" t="s">
        <v>74</v>
      </c>
      <c r="U166" t="s">
        <v>74</v>
      </c>
      <c r="V166" s="3" t="s">
        <v>6802</v>
      </c>
      <c r="W166" t="s">
        <v>74</v>
      </c>
      <c r="X166" t="s">
        <v>74</v>
      </c>
      <c r="Y166" t="s">
        <v>74</v>
      </c>
      <c r="Z166" t="s">
        <v>74</v>
      </c>
      <c r="AA166" t="s">
        <v>74</v>
      </c>
      <c r="AB166" t="s">
        <v>74</v>
      </c>
      <c r="AC166" t="s">
        <v>74</v>
      </c>
      <c r="AD166" t="s">
        <v>74</v>
      </c>
      <c r="AE166" t="s">
        <v>74</v>
      </c>
      <c r="AF166" t="s">
        <v>74</v>
      </c>
      <c r="AG166" t="s">
        <v>74</v>
      </c>
      <c r="AH166" t="s">
        <v>74</v>
      </c>
      <c r="AI166" t="s">
        <v>74</v>
      </c>
      <c r="AJ166" t="s">
        <v>74</v>
      </c>
      <c r="AK166" t="s">
        <v>74</v>
      </c>
      <c r="AL166" t="s">
        <v>74</v>
      </c>
      <c r="AM166" t="s">
        <v>74</v>
      </c>
      <c r="AN166" t="s">
        <v>74</v>
      </c>
      <c r="AO166" t="s">
        <v>1202</v>
      </c>
      <c r="AP166" t="s">
        <v>1203</v>
      </c>
      <c r="AQ166" t="s">
        <v>74</v>
      </c>
      <c r="AR166" t="s">
        <v>74</v>
      </c>
      <c r="AS166" t="s">
        <v>74</v>
      </c>
      <c r="AT166" t="s">
        <v>102</v>
      </c>
      <c r="AU166">
        <v>1997</v>
      </c>
      <c r="AV166">
        <v>53</v>
      </c>
      <c r="AW166">
        <v>2</v>
      </c>
      <c r="AX166" t="s">
        <v>74</v>
      </c>
      <c r="AY166" t="s">
        <v>74</v>
      </c>
      <c r="AZ166" t="s">
        <v>74</v>
      </c>
      <c r="BA166" t="s">
        <v>74</v>
      </c>
      <c r="BB166">
        <v>206</v>
      </c>
      <c r="BC166">
        <v>217</v>
      </c>
      <c r="BD166" t="s">
        <v>74</v>
      </c>
      <c r="BE166" t="s">
        <v>74</v>
      </c>
      <c r="BF166" t="s">
        <v>74</v>
      </c>
      <c r="BG166" t="s">
        <v>74</v>
      </c>
      <c r="BH166" t="s">
        <v>74</v>
      </c>
      <c r="BI166" t="s">
        <v>74</v>
      </c>
      <c r="BJ166" t="s">
        <v>74</v>
      </c>
      <c r="BK166" t="s">
        <v>74</v>
      </c>
      <c r="BL166" t="s">
        <v>74</v>
      </c>
      <c r="BM166" t="s">
        <v>74</v>
      </c>
      <c r="BN166" t="s">
        <v>74</v>
      </c>
      <c r="BO166" t="s">
        <v>74</v>
      </c>
      <c r="BP166" t="s">
        <v>74</v>
      </c>
      <c r="BQ166" t="s">
        <v>74</v>
      </c>
      <c r="BR166" t="s">
        <v>74</v>
      </c>
      <c r="BS166" t="s">
        <v>6803</v>
      </c>
      <c r="BT166" t="str">
        <f>HYPERLINK("https%3A%2F%2Fwww.webofscience.com%2Fwos%2Fwoscc%2Ffull-record%2FWOS:A1997XC82700006","View Full Record in Web of Science")</f>
        <v>View Full Record in Web of Science</v>
      </c>
    </row>
    <row r="167" spans="1:72" x14ac:dyDescent="0.4">
      <c r="A167" t="s">
        <v>72</v>
      </c>
      <c r="B167" t="s">
        <v>8646</v>
      </c>
      <c r="C167" t="s">
        <v>74</v>
      </c>
      <c r="D167" t="s">
        <v>74</v>
      </c>
      <c r="E167" t="s">
        <v>74</v>
      </c>
      <c r="F167" t="s">
        <v>8647</v>
      </c>
      <c r="G167" t="s">
        <v>74</v>
      </c>
      <c r="H167" t="s">
        <v>74</v>
      </c>
      <c r="I167" t="s">
        <v>8648</v>
      </c>
      <c r="J167" t="s">
        <v>3605</v>
      </c>
      <c r="K167" t="s">
        <v>74</v>
      </c>
      <c r="L167" t="s">
        <v>74</v>
      </c>
      <c r="M167" t="s">
        <v>74</v>
      </c>
      <c r="N167" t="s">
        <v>74</v>
      </c>
      <c r="O167" t="s">
        <v>74</v>
      </c>
      <c r="P167" t="s">
        <v>74</v>
      </c>
      <c r="Q167" t="s">
        <v>74</v>
      </c>
      <c r="R167" t="s">
        <v>74</v>
      </c>
      <c r="S167" t="s">
        <v>74</v>
      </c>
      <c r="T167" t="s">
        <v>74</v>
      </c>
      <c r="U167" t="s">
        <v>74</v>
      </c>
      <c r="V167" s="3" t="s">
        <v>8649</v>
      </c>
      <c r="W167" t="s">
        <v>74</v>
      </c>
      <c r="X167" t="s">
        <v>74</v>
      </c>
      <c r="Y167" t="s">
        <v>74</v>
      </c>
      <c r="Z167" t="s">
        <v>74</v>
      </c>
      <c r="AA167" t="s">
        <v>8650</v>
      </c>
      <c r="AB167" t="s">
        <v>8651</v>
      </c>
      <c r="AC167" t="s">
        <v>74</v>
      </c>
      <c r="AD167" t="s">
        <v>74</v>
      </c>
      <c r="AE167" t="s">
        <v>74</v>
      </c>
      <c r="AF167" t="s">
        <v>74</v>
      </c>
      <c r="AG167" t="s">
        <v>74</v>
      </c>
      <c r="AH167" t="s">
        <v>74</v>
      </c>
      <c r="AI167" t="s">
        <v>74</v>
      </c>
      <c r="AJ167" t="s">
        <v>74</v>
      </c>
      <c r="AK167" t="s">
        <v>74</v>
      </c>
      <c r="AL167" t="s">
        <v>74</v>
      </c>
      <c r="AM167" t="s">
        <v>74</v>
      </c>
      <c r="AN167" t="s">
        <v>74</v>
      </c>
      <c r="AO167" t="s">
        <v>3607</v>
      </c>
      <c r="AP167" t="s">
        <v>3608</v>
      </c>
      <c r="AQ167" t="s">
        <v>74</v>
      </c>
      <c r="AR167" t="s">
        <v>74</v>
      </c>
      <c r="AS167" t="s">
        <v>74</v>
      </c>
      <c r="AT167" t="s">
        <v>352</v>
      </c>
      <c r="AU167">
        <v>2019</v>
      </c>
      <c r="AV167">
        <v>99</v>
      </c>
      <c r="AW167">
        <v>6</v>
      </c>
      <c r="AX167" t="s">
        <v>74</v>
      </c>
      <c r="AY167" t="s">
        <v>74</v>
      </c>
      <c r="AZ167" t="s">
        <v>74</v>
      </c>
      <c r="BA167" t="s">
        <v>74</v>
      </c>
      <c r="BB167">
        <v>1267</v>
      </c>
      <c r="BC167">
        <v>1271</v>
      </c>
      <c r="BD167" t="s">
        <v>8652</v>
      </c>
      <c r="BE167" t="s">
        <v>8653</v>
      </c>
      <c r="BF167" t="str">
        <f>HYPERLINK("http://dx.doi.org/10.1017/S0025315419000171","http://dx.doi.org/10.1017/S0025315419000171")</f>
        <v>http://dx.doi.org/10.1017/S0025315419000171</v>
      </c>
      <c r="BG167" t="s">
        <v>74</v>
      </c>
      <c r="BH167" t="s">
        <v>74</v>
      </c>
      <c r="BI167" t="s">
        <v>74</v>
      </c>
      <c r="BJ167" t="s">
        <v>74</v>
      </c>
      <c r="BK167" t="s">
        <v>74</v>
      </c>
      <c r="BL167" t="s">
        <v>74</v>
      </c>
      <c r="BM167" t="s">
        <v>74</v>
      </c>
      <c r="BN167" t="s">
        <v>74</v>
      </c>
      <c r="BO167" t="s">
        <v>74</v>
      </c>
      <c r="BP167" t="s">
        <v>74</v>
      </c>
      <c r="BQ167" t="s">
        <v>74</v>
      </c>
      <c r="BR167" t="s">
        <v>74</v>
      </c>
      <c r="BS167" t="s">
        <v>8654</v>
      </c>
      <c r="BT167" t="str">
        <f>HYPERLINK("https%3A%2F%2Fwww.webofscience.com%2Fwos%2Fwoscc%2Ffull-record%2FWOS:000482975700004","View Full Record in Web of Science")</f>
        <v>View Full Record in Web of Science</v>
      </c>
    </row>
    <row r="168" spans="1:72" x14ac:dyDescent="0.4">
      <c r="A168" t="s">
        <v>72</v>
      </c>
      <c r="B168" t="s">
        <v>5088</v>
      </c>
      <c r="C168" t="s">
        <v>74</v>
      </c>
      <c r="D168" t="s">
        <v>74</v>
      </c>
      <c r="E168" t="s">
        <v>74</v>
      </c>
      <c r="F168" t="s">
        <v>5089</v>
      </c>
      <c r="G168" t="s">
        <v>74</v>
      </c>
      <c r="H168" t="s">
        <v>74</v>
      </c>
      <c r="I168" t="s">
        <v>5090</v>
      </c>
      <c r="J168" t="s">
        <v>1635</v>
      </c>
      <c r="K168" t="s">
        <v>74</v>
      </c>
      <c r="L168" t="s">
        <v>74</v>
      </c>
      <c r="M168" t="s">
        <v>74</v>
      </c>
      <c r="N168" t="s">
        <v>74</v>
      </c>
      <c r="O168" t="s">
        <v>74</v>
      </c>
      <c r="P168" t="s">
        <v>74</v>
      </c>
      <c r="Q168" t="s">
        <v>74</v>
      </c>
      <c r="R168" t="s">
        <v>74</v>
      </c>
      <c r="S168" t="s">
        <v>74</v>
      </c>
      <c r="T168" t="s">
        <v>74</v>
      </c>
      <c r="U168" t="s">
        <v>74</v>
      </c>
      <c r="V168" s="3" t="s">
        <v>5091</v>
      </c>
      <c r="W168" t="s">
        <v>74</v>
      </c>
      <c r="X168" t="s">
        <v>74</v>
      </c>
      <c r="Y168" t="s">
        <v>74</v>
      </c>
      <c r="Z168" t="s">
        <v>74</v>
      </c>
      <c r="AA168" t="s">
        <v>74</v>
      </c>
      <c r="AB168" t="s">
        <v>74</v>
      </c>
      <c r="AC168" t="s">
        <v>74</v>
      </c>
      <c r="AD168" t="s">
        <v>74</v>
      </c>
      <c r="AE168" t="s">
        <v>74</v>
      </c>
      <c r="AF168" t="s">
        <v>74</v>
      </c>
      <c r="AG168" t="s">
        <v>74</v>
      </c>
      <c r="AH168" t="s">
        <v>74</v>
      </c>
      <c r="AI168" t="s">
        <v>74</v>
      </c>
      <c r="AJ168" t="s">
        <v>74</v>
      </c>
      <c r="AK168" t="s">
        <v>74</v>
      </c>
      <c r="AL168" t="s">
        <v>74</v>
      </c>
      <c r="AM168" t="s">
        <v>74</v>
      </c>
      <c r="AN168" t="s">
        <v>74</v>
      </c>
      <c r="AO168" t="s">
        <v>1639</v>
      </c>
      <c r="AP168" t="s">
        <v>1640</v>
      </c>
      <c r="AQ168" t="s">
        <v>74</v>
      </c>
      <c r="AR168" t="s">
        <v>74</v>
      </c>
      <c r="AS168" t="s">
        <v>74</v>
      </c>
      <c r="AT168" t="s">
        <v>5092</v>
      </c>
      <c r="AU168">
        <v>2009</v>
      </c>
      <c r="AV168">
        <v>364</v>
      </c>
      <c r="AW168">
        <v>1516</v>
      </c>
      <c r="AX168" t="s">
        <v>74</v>
      </c>
      <c r="AY168" t="s">
        <v>74</v>
      </c>
      <c r="AZ168" t="s">
        <v>74</v>
      </c>
      <c r="BA168" t="s">
        <v>74</v>
      </c>
      <c r="BB168">
        <v>537</v>
      </c>
      <c r="BC168">
        <v>548</v>
      </c>
      <c r="BD168" t="s">
        <v>74</v>
      </c>
      <c r="BE168" t="s">
        <v>5093</v>
      </c>
      <c r="BF168" t="str">
        <f>HYPERLINK("http://dx.doi.org/10.1098/rstb.2008.0221","http://dx.doi.org/10.1098/rstb.2008.0221")</f>
        <v>http://dx.doi.org/10.1098/rstb.2008.0221</v>
      </c>
      <c r="BG168" t="s">
        <v>74</v>
      </c>
      <c r="BH168" t="s">
        <v>74</v>
      </c>
      <c r="BI168" t="s">
        <v>74</v>
      </c>
      <c r="BJ168" t="s">
        <v>74</v>
      </c>
      <c r="BK168" t="s">
        <v>74</v>
      </c>
      <c r="BL168" t="s">
        <v>74</v>
      </c>
      <c r="BM168" t="s">
        <v>74</v>
      </c>
      <c r="BN168">
        <v>18990666</v>
      </c>
      <c r="BO168" t="s">
        <v>74</v>
      </c>
      <c r="BP168" t="s">
        <v>74</v>
      </c>
      <c r="BQ168" t="s">
        <v>74</v>
      </c>
      <c r="BR168" t="s">
        <v>74</v>
      </c>
      <c r="BS168" t="s">
        <v>5094</v>
      </c>
      <c r="BT168" t="str">
        <f>HYPERLINK("https%3A%2F%2Fwww.webofscience.com%2Fwos%2Fwoscc%2Ffull-record%2FWOS:000262353500014","View Full Record in Web of Science")</f>
        <v>View Full Record in Web of Science</v>
      </c>
    </row>
    <row r="169" spans="1:72" x14ac:dyDescent="0.4">
      <c r="A169" t="s">
        <v>72</v>
      </c>
      <c r="B169" t="s">
        <v>8739</v>
      </c>
      <c r="C169" t="s">
        <v>74</v>
      </c>
      <c r="D169" t="s">
        <v>74</v>
      </c>
      <c r="E169" t="s">
        <v>74</v>
      </c>
      <c r="F169" t="s">
        <v>8740</v>
      </c>
      <c r="G169" t="s">
        <v>74</v>
      </c>
      <c r="H169" t="s">
        <v>74</v>
      </c>
      <c r="I169" t="s">
        <v>8741</v>
      </c>
      <c r="J169" t="s">
        <v>8742</v>
      </c>
      <c r="K169" t="s">
        <v>74</v>
      </c>
      <c r="L169" t="s">
        <v>74</v>
      </c>
      <c r="M169" t="s">
        <v>74</v>
      </c>
      <c r="N169" t="s">
        <v>74</v>
      </c>
      <c r="O169" t="s">
        <v>74</v>
      </c>
      <c r="P169" t="s">
        <v>74</v>
      </c>
      <c r="Q169" t="s">
        <v>74</v>
      </c>
      <c r="R169" t="s">
        <v>74</v>
      </c>
      <c r="S169" t="s">
        <v>74</v>
      </c>
      <c r="T169" t="s">
        <v>74</v>
      </c>
      <c r="U169" t="s">
        <v>74</v>
      </c>
      <c r="V169" s="3" t="s">
        <v>8743</v>
      </c>
      <c r="W169" t="s">
        <v>74</v>
      </c>
      <c r="X169" t="s">
        <v>74</v>
      </c>
      <c r="Y169" t="s">
        <v>74</v>
      </c>
      <c r="Z169" t="s">
        <v>74</v>
      </c>
      <c r="AA169" t="s">
        <v>8744</v>
      </c>
      <c r="AB169" t="s">
        <v>74</v>
      </c>
      <c r="AC169" t="s">
        <v>74</v>
      </c>
      <c r="AD169" t="s">
        <v>74</v>
      </c>
      <c r="AE169" t="s">
        <v>74</v>
      </c>
      <c r="AF169" t="s">
        <v>74</v>
      </c>
      <c r="AG169" t="s">
        <v>74</v>
      </c>
      <c r="AH169" t="s">
        <v>74</v>
      </c>
      <c r="AI169" t="s">
        <v>74</v>
      </c>
      <c r="AJ169" t="s">
        <v>74</v>
      </c>
      <c r="AK169" t="s">
        <v>74</v>
      </c>
      <c r="AL169" t="s">
        <v>74</v>
      </c>
      <c r="AM169" t="s">
        <v>74</v>
      </c>
      <c r="AN169" t="s">
        <v>74</v>
      </c>
      <c r="AO169" t="s">
        <v>8745</v>
      </c>
      <c r="AP169" t="s">
        <v>74</v>
      </c>
      <c r="AQ169" t="s">
        <v>74</v>
      </c>
      <c r="AR169" t="s">
        <v>74</v>
      </c>
      <c r="AS169" t="s">
        <v>74</v>
      </c>
      <c r="AT169" t="s">
        <v>1146</v>
      </c>
      <c r="AU169">
        <v>2014</v>
      </c>
      <c r="AV169">
        <v>8</v>
      </c>
      <c r="AW169" t="s">
        <v>74</v>
      </c>
      <c r="AX169" t="s">
        <v>74</v>
      </c>
      <c r="AY169" t="s">
        <v>74</v>
      </c>
      <c r="AZ169" t="s">
        <v>74</v>
      </c>
      <c r="BA169" t="s">
        <v>74</v>
      </c>
      <c r="BB169" t="s">
        <v>74</v>
      </c>
      <c r="BC169" t="s">
        <v>74</v>
      </c>
      <c r="BD169">
        <v>259</v>
      </c>
      <c r="BE169" t="s">
        <v>8746</v>
      </c>
      <c r="BF169" t="str">
        <f>HYPERLINK("http://dx.doi.org/10.3389/fnbeh.2014.00259","http://dx.doi.org/10.3389/fnbeh.2014.00259")</f>
        <v>http://dx.doi.org/10.3389/fnbeh.2014.00259</v>
      </c>
      <c r="BG169" t="s">
        <v>74</v>
      </c>
      <c r="BH169" t="s">
        <v>74</v>
      </c>
      <c r="BI169" t="s">
        <v>74</v>
      </c>
      <c r="BJ169" t="s">
        <v>74</v>
      </c>
      <c r="BK169" t="s">
        <v>74</v>
      </c>
      <c r="BL169" t="s">
        <v>74</v>
      </c>
      <c r="BM169" t="s">
        <v>74</v>
      </c>
      <c r="BN169">
        <v>25136298</v>
      </c>
      <c r="BO169" t="s">
        <v>74</v>
      </c>
      <c r="BP169" t="s">
        <v>74</v>
      </c>
      <c r="BQ169" t="s">
        <v>74</v>
      </c>
      <c r="BR169" t="s">
        <v>74</v>
      </c>
      <c r="BS169" t="s">
        <v>8747</v>
      </c>
      <c r="BT169" t="str">
        <f>HYPERLINK("https%3A%2F%2Fwww.webofscience.com%2Fwos%2Fwoscc%2Ffull-record%2FWOS:000340901400001","View Full Record in Web of Science")</f>
        <v>View Full Record in Web of Science</v>
      </c>
    </row>
    <row r="170" spans="1:72" x14ac:dyDescent="0.4">
      <c r="A170" t="s">
        <v>72</v>
      </c>
      <c r="B170" t="s">
        <v>2615</v>
      </c>
      <c r="C170" t="s">
        <v>74</v>
      </c>
      <c r="D170" t="s">
        <v>74</v>
      </c>
      <c r="E170" t="s">
        <v>74</v>
      </c>
      <c r="F170" t="s">
        <v>2615</v>
      </c>
      <c r="G170" t="s">
        <v>74</v>
      </c>
      <c r="H170" t="s">
        <v>74</v>
      </c>
      <c r="I170" t="s">
        <v>2616</v>
      </c>
      <c r="J170" t="s">
        <v>1812</v>
      </c>
      <c r="K170" t="s">
        <v>74</v>
      </c>
      <c r="L170" t="s">
        <v>74</v>
      </c>
      <c r="M170" t="s">
        <v>74</v>
      </c>
      <c r="N170" t="s">
        <v>74</v>
      </c>
      <c r="O170" t="s">
        <v>74</v>
      </c>
      <c r="P170" t="s">
        <v>74</v>
      </c>
      <c r="Q170" t="s">
        <v>74</v>
      </c>
      <c r="R170" t="s">
        <v>74</v>
      </c>
      <c r="S170" t="s">
        <v>74</v>
      </c>
      <c r="T170" t="s">
        <v>74</v>
      </c>
      <c r="U170" t="s">
        <v>74</v>
      </c>
      <c r="V170" s="3" t="s">
        <v>2617</v>
      </c>
      <c r="W170" t="s">
        <v>74</v>
      </c>
      <c r="X170" t="s">
        <v>74</v>
      </c>
      <c r="Y170" t="s">
        <v>74</v>
      </c>
      <c r="Z170" t="s">
        <v>74</v>
      </c>
      <c r="AA170" t="s">
        <v>74</v>
      </c>
      <c r="AB170" t="s">
        <v>74</v>
      </c>
      <c r="AC170" t="s">
        <v>74</v>
      </c>
      <c r="AD170" t="s">
        <v>74</v>
      </c>
      <c r="AE170" t="s">
        <v>74</v>
      </c>
      <c r="AF170" t="s">
        <v>74</v>
      </c>
      <c r="AG170" t="s">
        <v>74</v>
      </c>
      <c r="AH170" t="s">
        <v>74</v>
      </c>
      <c r="AI170" t="s">
        <v>74</v>
      </c>
      <c r="AJ170" t="s">
        <v>74</v>
      </c>
      <c r="AK170" t="s">
        <v>74</v>
      </c>
      <c r="AL170" t="s">
        <v>74</v>
      </c>
      <c r="AM170" t="s">
        <v>74</v>
      </c>
      <c r="AN170" t="s">
        <v>74</v>
      </c>
      <c r="AO170" t="s">
        <v>1814</v>
      </c>
      <c r="AP170" t="s">
        <v>74</v>
      </c>
      <c r="AQ170" t="s">
        <v>74</v>
      </c>
      <c r="AR170" t="s">
        <v>74</v>
      </c>
      <c r="AS170" t="s">
        <v>74</v>
      </c>
      <c r="AT170" t="s">
        <v>123</v>
      </c>
      <c r="AU170">
        <v>1995</v>
      </c>
      <c r="AV170">
        <v>29</v>
      </c>
      <c r="AW170">
        <v>1</v>
      </c>
      <c r="AX170" t="s">
        <v>74</v>
      </c>
      <c r="AY170" t="s">
        <v>74</v>
      </c>
      <c r="AZ170" t="s">
        <v>74</v>
      </c>
      <c r="BA170" t="s">
        <v>74</v>
      </c>
      <c r="BB170">
        <v>7</v>
      </c>
      <c r="BC170">
        <v>13</v>
      </c>
      <c r="BD170" t="s">
        <v>74</v>
      </c>
      <c r="BE170" t="s">
        <v>2618</v>
      </c>
      <c r="BF170" t="str">
        <f>HYPERLINK("http://dx.doi.org/10.2307/1565079","http://dx.doi.org/10.2307/1565079")</f>
        <v>http://dx.doi.org/10.2307/1565079</v>
      </c>
      <c r="BG170" t="s">
        <v>74</v>
      </c>
      <c r="BH170" t="s">
        <v>74</v>
      </c>
      <c r="BI170" t="s">
        <v>74</v>
      </c>
      <c r="BJ170" t="s">
        <v>74</v>
      </c>
      <c r="BK170" t="s">
        <v>74</v>
      </c>
      <c r="BL170" t="s">
        <v>74</v>
      </c>
      <c r="BM170" t="s">
        <v>74</v>
      </c>
      <c r="BN170" t="s">
        <v>74</v>
      </c>
      <c r="BO170" t="s">
        <v>74</v>
      </c>
      <c r="BP170" t="s">
        <v>74</v>
      </c>
      <c r="BQ170" t="s">
        <v>74</v>
      </c>
      <c r="BR170" t="s">
        <v>74</v>
      </c>
      <c r="BS170" t="s">
        <v>2619</v>
      </c>
      <c r="BT170" t="str">
        <f>HYPERLINK("https%3A%2F%2Fwww.webofscience.com%2Fwos%2Fwoscc%2Ffull-record%2FWOS:A1995QM52600002","View Full Record in Web of Science")</f>
        <v>View Full Record in Web of Science</v>
      </c>
    </row>
    <row r="171" spans="1:72" x14ac:dyDescent="0.4">
      <c r="A171" t="s">
        <v>72</v>
      </c>
      <c r="B171" t="s">
        <v>7904</v>
      </c>
      <c r="C171" t="s">
        <v>74</v>
      </c>
      <c r="D171" t="s">
        <v>74</v>
      </c>
      <c r="E171" t="s">
        <v>74</v>
      </c>
      <c r="F171" t="s">
        <v>7905</v>
      </c>
      <c r="G171" t="s">
        <v>74</v>
      </c>
      <c r="H171" t="s">
        <v>74</v>
      </c>
      <c r="I171" t="s">
        <v>7906</v>
      </c>
      <c r="J171" t="s">
        <v>99</v>
      </c>
      <c r="K171" t="s">
        <v>74</v>
      </c>
      <c r="L171" t="s">
        <v>74</v>
      </c>
      <c r="M171" t="s">
        <v>74</v>
      </c>
      <c r="N171" t="s">
        <v>74</v>
      </c>
      <c r="O171" t="s">
        <v>74</v>
      </c>
      <c r="P171" t="s">
        <v>74</v>
      </c>
      <c r="Q171" t="s">
        <v>74</v>
      </c>
      <c r="R171" t="s">
        <v>74</v>
      </c>
      <c r="S171" t="s">
        <v>74</v>
      </c>
      <c r="T171" t="s">
        <v>74</v>
      </c>
      <c r="U171" t="s">
        <v>74</v>
      </c>
      <c r="V171" s="3" t="s">
        <v>7907</v>
      </c>
      <c r="W171" t="s">
        <v>74</v>
      </c>
      <c r="X171" t="s">
        <v>74</v>
      </c>
      <c r="Y171" t="s">
        <v>74</v>
      </c>
      <c r="Z171" t="s">
        <v>74</v>
      </c>
      <c r="AA171" t="s">
        <v>74</v>
      </c>
      <c r="AB171" t="s">
        <v>74</v>
      </c>
      <c r="AC171" t="s">
        <v>74</v>
      </c>
      <c r="AD171" t="s">
        <v>74</v>
      </c>
      <c r="AE171" t="s">
        <v>74</v>
      </c>
      <c r="AF171" t="s">
        <v>74</v>
      </c>
      <c r="AG171" t="s">
        <v>74</v>
      </c>
      <c r="AH171" t="s">
        <v>74</v>
      </c>
      <c r="AI171" t="s">
        <v>74</v>
      </c>
      <c r="AJ171" t="s">
        <v>74</v>
      </c>
      <c r="AK171" t="s">
        <v>74</v>
      </c>
      <c r="AL171" t="s">
        <v>74</v>
      </c>
      <c r="AM171" t="s">
        <v>74</v>
      </c>
      <c r="AN171" t="s">
        <v>74</v>
      </c>
      <c r="AO171" t="s">
        <v>101</v>
      </c>
      <c r="AP171" t="s">
        <v>1218</v>
      </c>
      <c r="AQ171" t="s">
        <v>74</v>
      </c>
      <c r="AR171" t="s">
        <v>74</v>
      </c>
      <c r="AS171" t="s">
        <v>74</v>
      </c>
      <c r="AT171" t="s">
        <v>102</v>
      </c>
      <c r="AU171">
        <v>2020</v>
      </c>
      <c r="AV171">
        <v>132</v>
      </c>
      <c r="AW171">
        <v>2</v>
      </c>
      <c r="AX171" t="s">
        <v>74</v>
      </c>
      <c r="AY171" t="s">
        <v>74</v>
      </c>
      <c r="AZ171" t="s">
        <v>74</v>
      </c>
      <c r="BA171" t="s">
        <v>74</v>
      </c>
      <c r="BB171">
        <v>295</v>
      </c>
      <c r="BC171">
        <v>305</v>
      </c>
      <c r="BD171" t="s">
        <v>74</v>
      </c>
      <c r="BE171" t="s">
        <v>7908</v>
      </c>
      <c r="BF171" t="str">
        <f>HYPERLINK("http://dx.doi.org/10.1676/1559-4491-132.2.295","http://dx.doi.org/10.1676/1559-4491-132.2.295")</f>
        <v>http://dx.doi.org/10.1676/1559-4491-132.2.295</v>
      </c>
      <c r="BG171" t="s">
        <v>74</v>
      </c>
      <c r="BH171" t="s">
        <v>74</v>
      </c>
      <c r="BI171" t="s">
        <v>74</v>
      </c>
      <c r="BJ171" t="s">
        <v>74</v>
      </c>
      <c r="BK171" t="s">
        <v>74</v>
      </c>
      <c r="BL171" t="s">
        <v>74</v>
      </c>
      <c r="BM171" t="s">
        <v>74</v>
      </c>
      <c r="BN171" t="s">
        <v>74</v>
      </c>
      <c r="BO171" t="s">
        <v>74</v>
      </c>
      <c r="BP171" t="s">
        <v>74</v>
      </c>
      <c r="BQ171" t="s">
        <v>74</v>
      </c>
      <c r="BR171" t="s">
        <v>74</v>
      </c>
      <c r="BS171" t="s">
        <v>7909</v>
      </c>
      <c r="BT171" t="str">
        <f>HYPERLINK("https%3A%2F%2Fwww.webofscience.com%2Fwos%2Fwoscc%2Ffull-record%2FWOS:000617763600006","View Full Record in Web of Science")</f>
        <v>View Full Record in Web of Science</v>
      </c>
    </row>
    <row r="172" spans="1:72" x14ac:dyDescent="0.4">
      <c r="A172" t="s">
        <v>72</v>
      </c>
      <c r="B172" t="s">
        <v>5482</v>
      </c>
      <c r="C172" t="s">
        <v>74</v>
      </c>
      <c r="D172" t="s">
        <v>74</v>
      </c>
      <c r="E172" t="s">
        <v>74</v>
      </c>
      <c r="F172" t="s">
        <v>5483</v>
      </c>
      <c r="G172" t="s">
        <v>74</v>
      </c>
      <c r="H172" t="s">
        <v>74</v>
      </c>
      <c r="I172" t="s">
        <v>5484</v>
      </c>
      <c r="J172" t="s">
        <v>129</v>
      </c>
      <c r="K172" t="s">
        <v>74</v>
      </c>
      <c r="L172" t="s">
        <v>74</v>
      </c>
      <c r="M172" t="s">
        <v>74</v>
      </c>
      <c r="N172" t="s">
        <v>74</v>
      </c>
      <c r="O172" t="s">
        <v>74</v>
      </c>
      <c r="P172" t="s">
        <v>74</v>
      </c>
      <c r="Q172" t="s">
        <v>74</v>
      </c>
      <c r="R172" t="s">
        <v>74</v>
      </c>
      <c r="S172" t="s">
        <v>74</v>
      </c>
      <c r="T172" t="s">
        <v>74</v>
      </c>
      <c r="U172" t="s">
        <v>74</v>
      </c>
      <c r="V172" s="3" t="s">
        <v>5485</v>
      </c>
      <c r="W172" t="s">
        <v>74</v>
      </c>
      <c r="X172" t="s">
        <v>74</v>
      </c>
      <c r="Y172" t="s">
        <v>74</v>
      </c>
      <c r="Z172" t="s">
        <v>74</v>
      </c>
      <c r="AA172" t="s">
        <v>5486</v>
      </c>
      <c r="AB172" t="s">
        <v>5487</v>
      </c>
      <c r="AC172" t="s">
        <v>74</v>
      </c>
      <c r="AD172" t="s">
        <v>74</v>
      </c>
      <c r="AE172" t="s">
        <v>74</v>
      </c>
      <c r="AF172" t="s">
        <v>74</v>
      </c>
      <c r="AG172" t="s">
        <v>74</v>
      </c>
      <c r="AH172" t="s">
        <v>74</v>
      </c>
      <c r="AI172" t="s">
        <v>74</v>
      </c>
      <c r="AJ172" t="s">
        <v>74</v>
      </c>
      <c r="AK172" t="s">
        <v>74</v>
      </c>
      <c r="AL172" t="s">
        <v>74</v>
      </c>
      <c r="AM172" t="s">
        <v>74</v>
      </c>
      <c r="AN172" t="s">
        <v>74</v>
      </c>
      <c r="AO172" t="s">
        <v>132</v>
      </c>
      <c r="AP172" t="s">
        <v>133</v>
      </c>
      <c r="AQ172" t="s">
        <v>74</v>
      </c>
      <c r="AR172" t="s">
        <v>74</v>
      </c>
      <c r="AS172" t="s">
        <v>74</v>
      </c>
      <c r="AT172" t="s">
        <v>102</v>
      </c>
      <c r="AU172">
        <v>2022</v>
      </c>
      <c r="AV172">
        <v>76</v>
      </c>
      <c r="AW172">
        <v>6</v>
      </c>
      <c r="AX172" t="s">
        <v>74</v>
      </c>
      <c r="AY172" t="s">
        <v>74</v>
      </c>
      <c r="AZ172" t="s">
        <v>74</v>
      </c>
      <c r="BA172" t="s">
        <v>74</v>
      </c>
      <c r="BB172" t="s">
        <v>74</v>
      </c>
      <c r="BC172" t="s">
        <v>74</v>
      </c>
      <c r="BD172">
        <v>77</v>
      </c>
      <c r="BE172" t="s">
        <v>5488</v>
      </c>
      <c r="BF172" t="str">
        <f>HYPERLINK("http://dx.doi.org/10.1007/s00265-022-03181-x","http://dx.doi.org/10.1007/s00265-022-03181-x")</f>
        <v>http://dx.doi.org/10.1007/s00265-022-03181-x</v>
      </c>
      <c r="BG172" t="s">
        <v>74</v>
      </c>
      <c r="BH172" t="s">
        <v>74</v>
      </c>
      <c r="BI172" t="s">
        <v>74</v>
      </c>
      <c r="BJ172" t="s">
        <v>74</v>
      </c>
      <c r="BK172" t="s">
        <v>74</v>
      </c>
      <c r="BL172" t="s">
        <v>74</v>
      </c>
      <c r="BM172" t="s">
        <v>74</v>
      </c>
      <c r="BN172" t="s">
        <v>74</v>
      </c>
      <c r="BO172" t="s">
        <v>74</v>
      </c>
      <c r="BP172" t="s">
        <v>74</v>
      </c>
      <c r="BQ172" t="s">
        <v>74</v>
      </c>
      <c r="BR172" t="s">
        <v>74</v>
      </c>
      <c r="BS172" t="s">
        <v>5489</v>
      </c>
      <c r="BT172" t="str">
        <f>HYPERLINK("https%3A%2F%2Fwww.webofscience.com%2Fwos%2Fwoscc%2Ffull-record%2FWOS:000804747400001","View Full Record in Web of Science")</f>
        <v>View Full Record in Web of Science</v>
      </c>
    </row>
    <row r="173" spans="1:72" x14ac:dyDescent="0.4">
      <c r="A173" t="s">
        <v>72</v>
      </c>
      <c r="B173" t="s">
        <v>1892</v>
      </c>
      <c r="C173" t="s">
        <v>74</v>
      </c>
      <c r="D173" t="s">
        <v>74</v>
      </c>
      <c r="E173" t="s">
        <v>74</v>
      </c>
      <c r="F173" t="s">
        <v>1893</v>
      </c>
      <c r="G173" t="s">
        <v>74</v>
      </c>
      <c r="H173" t="s">
        <v>74</v>
      </c>
      <c r="I173" t="s">
        <v>1894</v>
      </c>
      <c r="J173" t="s">
        <v>1384</v>
      </c>
      <c r="K173" t="s">
        <v>74</v>
      </c>
      <c r="L173" t="s">
        <v>74</v>
      </c>
      <c r="M173" t="s">
        <v>74</v>
      </c>
      <c r="N173" t="s">
        <v>74</v>
      </c>
      <c r="O173" t="s">
        <v>74</v>
      </c>
      <c r="P173" t="s">
        <v>74</v>
      </c>
      <c r="Q173" t="s">
        <v>74</v>
      </c>
      <c r="R173" t="s">
        <v>74</v>
      </c>
      <c r="S173" t="s">
        <v>74</v>
      </c>
      <c r="T173" t="s">
        <v>74</v>
      </c>
      <c r="U173" t="s">
        <v>74</v>
      </c>
      <c r="V173" s="3" t="s">
        <v>1895</v>
      </c>
      <c r="W173" t="s">
        <v>74</v>
      </c>
      <c r="X173" t="s">
        <v>74</v>
      </c>
      <c r="Y173" t="s">
        <v>74</v>
      </c>
      <c r="Z173" t="s">
        <v>74</v>
      </c>
      <c r="AA173" t="s">
        <v>1896</v>
      </c>
      <c r="AB173" t="s">
        <v>1897</v>
      </c>
      <c r="AC173" t="s">
        <v>74</v>
      </c>
      <c r="AD173" t="s">
        <v>74</v>
      </c>
      <c r="AE173" t="s">
        <v>74</v>
      </c>
      <c r="AF173" t="s">
        <v>74</v>
      </c>
      <c r="AG173" t="s">
        <v>74</v>
      </c>
      <c r="AH173" t="s">
        <v>74</v>
      </c>
      <c r="AI173" t="s">
        <v>74</v>
      </c>
      <c r="AJ173" t="s">
        <v>74</v>
      </c>
      <c r="AK173" t="s">
        <v>74</v>
      </c>
      <c r="AL173" t="s">
        <v>74</v>
      </c>
      <c r="AM173" t="s">
        <v>74</v>
      </c>
      <c r="AN173" t="s">
        <v>74</v>
      </c>
      <c r="AO173" t="s">
        <v>1388</v>
      </c>
      <c r="AP173" t="s">
        <v>1389</v>
      </c>
      <c r="AQ173" t="s">
        <v>74</v>
      </c>
      <c r="AR173" t="s">
        <v>74</v>
      </c>
      <c r="AS173" t="s">
        <v>74</v>
      </c>
      <c r="AT173" t="s">
        <v>175</v>
      </c>
      <c r="AU173">
        <v>2009</v>
      </c>
      <c r="AV173">
        <v>151</v>
      </c>
      <c r="AW173">
        <v>4</v>
      </c>
      <c r="AX173" t="s">
        <v>74</v>
      </c>
      <c r="AY173" t="s">
        <v>74</v>
      </c>
      <c r="AZ173" t="s">
        <v>74</v>
      </c>
      <c r="BA173" t="s">
        <v>74</v>
      </c>
      <c r="BB173">
        <v>689</v>
      </c>
      <c r="BC173">
        <v>698</v>
      </c>
      <c r="BD173" t="s">
        <v>74</v>
      </c>
      <c r="BE173" t="s">
        <v>1898</v>
      </c>
      <c r="BF173" t="str">
        <f>HYPERLINK("http://dx.doi.org/10.1111/j.1474-919X.2009.00953.x","http://dx.doi.org/10.1111/j.1474-919X.2009.00953.x")</f>
        <v>http://dx.doi.org/10.1111/j.1474-919X.2009.00953.x</v>
      </c>
      <c r="BG173" t="s">
        <v>74</v>
      </c>
      <c r="BH173" t="s">
        <v>74</v>
      </c>
      <c r="BI173" t="s">
        <v>74</v>
      </c>
      <c r="BJ173" t="s">
        <v>74</v>
      </c>
      <c r="BK173" t="s">
        <v>74</v>
      </c>
      <c r="BL173" t="s">
        <v>74</v>
      </c>
      <c r="BM173" t="s">
        <v>74</v>
      </c>
      <c r="BN173" t="s">
        <v>74</v>
      </c>
      <c r="BO173" t="s">
        <v>74</v>
      </c>
      <c r="BP173" t="s">
        <v>74</v>
      </c>
      <c r="BQ173" t="s">
        <v>74</v>
      </c>
      <c r="BR173" t="s">
        <v>74</v>
      </c>
      <c r="BS173" t="s">
        <v>1899</v>
      </c>
      <c r="BT173" t="str">
        <f>HYPERLINK("https%3A%2F%2Fwww.webofscience.com%2Fwos%2Fwoscc%2Ffull-record%2FWOS:000269977000006","View Full Record in Web of Science")</f>
        <v>View Full Record in Web of Science</v>
      </c>
    </row>
    <row r="174" spans="1:72" x14ac:dyDescent="0.4">
      <c r="A174" t="s">
        <v>72</v>
      </c>
      <c r="B174" t="s">
        <v>1264</v>
      </c>
      <c r="C174" t="s">
        <v>74</v>
      </c>
      <c r="D174" t="s">
        <v>74</v>
      </c>
      <c r="E174" t="s">
        <v>74</v>
      </c>
      <c r="F174" t="s">
        <v>1265</v>
      </c>
      <c r="G174" t="s">
        <v>74</v>
      </c>
      <c r="H174" t="s">
        <v>74</v>
      </c>
      <c r="I174" t="s">
        <v>1266</v>
      </c>
      <c r="J174" t="s">
        <v>88</v>
      </c>
      <c r="K174" t="s">
        <v>74</v>
      </c>
      <c r="L174" t="s">
        <v>74</v>
      </c>
      <c r="M174" t="s">
        <v>74</v>
      </c>
      <c r="N174" t="s">
        <v>74</v>
      </c>
      <c r="O174" t="s">
        <v>74</v>
      </c>
      <c r="P174" t="s">
        <v>74</v>
      </c>
      <c r="Q174" t="s">
        <v>74</v>
      </c>
      <c r="R174" t="s">
        <v>74</v>
      </c>
      <c r="S174" t="s">
        <v>74</v>
      </c>
      <c r="T174" t="s">
        <v>74</v>
      </c>
      <c r="U174" t="s">
        <v>74</v>
      </c>
      <c r="V174" s="3" t="s">
        <v>1267</v>
      </c>
      <c r="W174" t="s">
        <v>74</v>
      </c>
      <c r="X174" t="s">
        <v>74</v>
      </c>
      <c r="Y174" t="s">
        <v>74</v>
      </c>
      <c r="Z174" t="s">
        <v>74</v>
      </c>
      <c r="AA174" t="s">
        <v>1268</v>
      </c>
      <c r="AB174" t="s">
        <v>1269</v>
      </c>
      <c r="AC174" t="s">
        <v>74</v>
      </c>
      <c r="AD174" t="s">
        <v>74</v>
      </c>
      <c r="AE174" t="s">
        <v>74</v>
      </c>
      <c r="AF174" t="s">
        <v>74</v>
      </c>
      <c r="AG174" t="s">
        <v>74</v>
      </c>
      <c r="AH174" t="s">
        <v>74</v>
      </c>
      <c r="AI174" t="s">
        <v>74</v>
      </c>
      <c r="AJ174" t="s">
        <v>74</v>
      </c>
      <c r="AK174" t="s">
        <v>74</v>
      </c>
      <c r="AL174" t="s">
        <v>74</v>
      </c>
      <c r="AM174" t="s">
        <v>74</v>
      </c>
      <c r="AN174" t="s">
        <v>74</v>
      </c>
      <c r="AO174" t="s">
        <v>91</v>
      </c>
      <c r="AP174" t="s">
        <v>74</v>
      </c>
      <c r="AQ174" t="s">
        <v>74</v>
      </c>
      <c r="AR174" t="s">
        <v>74</v>
      </c>
      <c r="AS174" t="s">
        <v>74</v>
      </c>
      <c r="AT174" t="s">
        <v>895</v>
      </c>
      <c r="AU174">
        <v>2008</v>
      </c>
      <c r="AV174">
        <v>4</v>
      </c>
      <c r="AW174">
        <v>5</v>
      </c>
      <c r="AX174" t="s">
        <v>74</v>
      </c>
      <c r="AY174" t="s">
        <v>74</v>
      </c>
      <c r="AZ174" t="s">
        <v>74</v>
      </c>
      <c r="BA174" t="s">
        <v>74</v>
      </c>
      <c r="BB174">
        <v>515</v>
      </c>
      <c r="BC174">
        <v>517</v>
      </c>
      <c r="BD174" t="s">
        <v>74</v>
      </c>
      <c r="BE174" t="s">
        <v>1270</v>
      </c>
      <c r="BF174" t="str">
        <f>HYPERLINK("http://dx.doi.org/10.1098/rsbl.2008.0279","http://dx.doi.org/10.1098/rsbl.2008.0279")</f>
        <v>http://dx.doi.org/10.1098/rsbl.2008.0279</v>
      </c>
      <c r="BG174" t="s">
        <v>74</v>
      </c>
      <c r="BH174" t="s">
        <v>74</v>
      </c>
      <c r="BI174" t="s">
        <v>74</v>
      </c>
      <c r="BJ174" t="s">
        <v>74</v>
      </c>
      <c r="BK174" t="s">
        <v>74</v>
      </c>
      <c r="BL174" t="s">
        <v>74</v>
      </c>
      <c r="BM174" t="s">
        <v>74</v>
      </c>
      <c r="BN174">
        <v>18593669</v>
      </c>
      <c r="BO174" t="s">
        <v>74</v>
      </c>
      <c r="BP174" t="s">
        <v>74</v>
      </c>
      <c r="BQ174" t="s">
        <v>74</v>
      </c>
      <c r="BR174" t="s">
        <v>74</v>
      </c>
      <c r="BS174" t="s">
        <v>1271</v>
      </c>
      <c r="BT174" t="str">
        <f>HYPERLINK("https%3A%2F%2Fwww.webofscience.com%2Fwos%2Fwoscc%2Ffull-record%2FWOS:000259085900022","View Full Record in Web of Science")</f>
        <v>View Full Record in Web of Science</v>
      </c>
    </row>
    <row r="175" spans="1:72" x14ac:dyDescent="0.4">
      <c r="A175" t="s">
        <v>72</v>
      </c>
      <c r="B175" t="s">
        <v>116</v>
      </c>
      <c r="C175" t="s">
        <v>74</v>
      </c>
      <c r="D175" t="s">
        <v>74</v>
      </c>
      <c r="E175" t="s">
        <v>74</v>
      </c>
      <c r="F175" t="s">
        <v>117</v>
      </c>
      <c r="G175" t="s">
        <v>74</v>
      </c>
      <c r="H175" t="s">
        <v>74</v>
      </c>
      <c r="I175" t="s">
        <v>118</v>
      </c>
      <c r="J175" t="s">
        <v>119</v>
      </c>
      <c r="K175" t="s">
        <v>74</v>
      </c>
      <c r="L175" t="s">
        <v>74</v>
      </c>
      <c r="M175" t="s">
        <v>74</v>
      </c>
      <c r="N175" t="s">
        <v>74</v>
      </c>
      <c r="O175" t="s">
        <v>74</v>
      </c>
      <c r="P175" t="s">
        <v>74</v>
      </c>
      <c r="Q175" t="s">
        <v>74</v>
      </c>
      <c r="R175" t="s">
        <v>74</v>
      </c>
      <c r="S175" t="s">
        <v>74</v>
      </c>
      <c r="T175" t="s">
        <v>74</v>
      </c>
      <c r="U175" t="s">
        <v>74</v>
      </c>
      <c r="V175" s="3" t="s">
        <v>120</v>
      </c>
      <c r="W175" t="s">
        <v>74</v>
      </c>
      <c r="X175" t="s">
        <v>74</v>
      </c>
      <c r="Y175" t="s">
        <v>74</v>
      </c>
      <c r="Z175" t="s">
        <v>74</v>
      </c>
      <c r="AA175" t="s">
        <v>74</v>
      </c>
      <c r="AB175" t="s">
        <v>74</v>
      </c>
      <c r="AC175" t="s">
        <v>74</v>
      </c>
      <c r="AD175" t="s">
        <v>74</v>
      </c>
      <c r="AE175" t="s">
        <v>74</v>
      </c>
      <c r="AF175" t="s">
        <v>74</v>
      </c>
      <c r="AG175" t="s">
        <v>74</v>
      </c>
      <c r="AH175" t="s">
        <v>74</v>
      </c>
      <c r="AI175" t="s">
        <v>74</v>
      </c>
      <c r="AJ175" t="s">
        <v>74</v>
      </c>
      <c r="AK175" t="s">
        <v>74</v>
      </c>
      <c r="AL175" t="s">
        <v>74</v>
      </c>
      <c r="AM175" t="s">
        <v>74</v>
      </c>
      <c r="AN175" t="s">
        <v>74</v>
      </c>
      <c r="AO175" t="s">
        <v>121</v>
      </c>
      <c r="AP175" t="s">
        <v>122</v>
      </c>
      <c r="AQ175" t="s">
        <v>74</v>
      </c>
      <c r="AR175" t="s">
        <v>74</v>
      </c>
      <c r="AS175" t="s">
        <v>74</v>
      </c>
      <c r="AT175" t="s">
        <v>123</v>
      </c>
      <c r="AU175">
        <v>2017</v>
      </c>
      <c r="AV175">
        <v>136</v>
      </c>
      <c r="AW175" t="s">
        <v>74</v>
      </c>
      <c r="AX175" t="s">
        <v>74</v>
      </c>
      <c r="AY175" t="s">
        <v>74</v>
      </c>
      <c r="AZ175" t="s">
        <v>74</v>
      </c>
      <c r="BA175" t="s">
        <v>74</v>
      </c>
      <c r="BB175">
        <v>64</v>
      </c>
      <c r="BC175">
        <v>72</v>
      </c>
      <c r="BD175" t="s">
        <v>74</v>
      </c>
      <c r="BE175" t="s">
        <v>124</v>
      </c>
      <c r="BF175" t="str">
        <f>HYPERLINK("http://dx.doi.org/10.1016/j.beproc.2017.01.011","http://dx.doi.org/10.1016/j.beproc.2017.01.011")</f>
        <v>http://dx.doi.org/10.1016/j.beproc.2017.01.011</v>
      </c>
      <c r="BG175" t="s">
        <v>74</v>
      </c>
      <c r="BH175" t="s">
        <v>74</v>
      </c>
      <c r="BI175" t="s">
        <v>74</v>
      </c>
      <c r="BJ175" t="s">
        <v>74</v>
      </c>
      <c r="BK175" t="s">
        <v>74</v>
      </c>
      <c r="BL175" t="s">
        <v>74</v>
      </c>
      <c r="BM175" t="s">
        <v>74</v>
      </c>
      <c r="BN175">
        <v>28143722</v>
      </c>
      <c r="BO175" t="s">
        <v>74</v>
      </c>
      <c r="BP175" t="s">
        <v>74</v>
      </c>
      <c r="BQ175" t="s">
        <v>74</v>
      </c>
      <c r="BR175" t="s">
        <v>74</v>
      </c>
      <c r="BS175" t="s">
        <v>125</v>
      </c>
      <c r="BT175" t="str">
        <f>HYPERLINK("https%3A%2F%2Fwww.webofscience.com%2Fwos%2Fwoscc%2Ffull-record%2FWOS:000395844600010","View Full Record in Web of Science")</f>
        <v>View Full Record in Web of Science</v>
      </c>
    </row>
    <row r="176" spans="1:72" x14ac:dyDescent="0.4">
      <c r="A176" t="s">
        <v>72</v>
      </c>
      <c r="B176" t="s">
        <v>619</v>
      </c>
      <c r="C176" t="s">
        <v>74</v>
      </c>
      <c r="D176" t="s">
        <v>74</v>
      </c>
      <c r="E176" t="s">
        <v>74</v>
      </c>
      <c r="F176" t="s">
        <v>620</v>
      </c>
      <c r="G176" t="s">
        <v>74</v>
      </c>
      <c r="H176" t="s">
        <v>74</v>
      </c>
      <c r="I176" t="s">
        <v>621</v>
      </c>
      <c r="J176" t="s">
        <v>610</v>
      </c>
      <c r="K176" t="s">
        <v>74</v>
      </c>
      <c r="L176" t="s">
        <v>74</v>
      </c>
      <c r="M176" t="s">
        <v>74</v>
      </c>
      <c r="N176" t="s">
        <v>74</v>
      </c>
      <c r="O176" t="s">
        <v>74</v>
      </c>
      <c r="P176" t="s">
        <v>74</v>
      </c>
      <c r="Q176" t="s">
        <v>74</v>
      </c>
      <c r="R176" t="s">
        <v>74</v>
      </c>
      <c r="S176" t="s">
        <v>74</v>
      </c>
      <c r="T176" t="s">
        <v>74</v>
      </c>
      <c r="U176" t="s">
        <v>74</v>
      </c>
      <c r="V176" s="3" t="s">
        <v>622</v>
      </c>
      <c r="W176" t="s">
        <v>74</v>
      </c>
      <c r="X176" t="s">
        <v>74</v>
      </c>
      <c r="Y176" t="s">
        <v>74</v>
      </c>
      <c r="Z176" t="s">
        <v>74</v>
      </c>
      <c r="AA176" t="s">
        <v>623</v>
      </c>
      <c r="AB176" t="s">
        <v>624</v>
      </c>
      <c r="AC176" t="s">
        <v>74</v>
      </c>
      <c r="AD176" t="s">
        <v>74</v>
      </c>
      <c r="AE176" t="s">
        <v>74</v>
      </c>
      <c r="AF176" t="s">
        <v>74</v>
      </c>
      <c r="AG176" t="s">
        <v>74</v>
      </c>
      <c r="AH176" t="s">
        <v>74</v>
      </c>
      <c r="AI176" t="s">
        <v>74</v>
      </c>
      <c r="AJ176" t="s">
        <v>74</v>
      </c>
      <c r="AK176" t="s">
        <v>74</v>
      </c>
      <c r="AL176" t="s">
        <v>74</v>
      </c>
      <c r="AM176" t="s">
        <v>74</v>
      </c>
      <c r="AN176" t="s">
        <v>74</v>
      </c>
      <c r="AO176" t="s">
        <v>614</v>
      </c>
      <c r="AP176" t="s">
        <v>615</v>
      </c>
      <c r="AQ176" t="s">
        <v>74</v>
      </c>
      <c r="AR176" t="s">
        <v>74</v>
      </c>
      <c r="AS176" t="s">
        <v>74</v>
      </c>
      <c r="AT176" t="s">
        <v>352</v>
      </c>
      <c r="AU176">
        <v>2018</v>
      </c>
      <c r="AV176">
        <v>124</v>
      </c>
      <c r="AW176">
        <v>9</v>
      </c>
      <c r="AX176" t="s">
        <v>74</v>
      </c>
      <c r="AY176" t="s">
        <v>74</v>
      </c>
      <c r="AZ176" t="s">
        <v>74</v>
      </c>
      <c r="BA176" t="s">
        <v>74</v>
      </c>
      <c r="BB176">
        <v>667</v>
      </c>
      <c r="BC176">
        <v>673</v>
      </c>
      <c r="BD176" t="s">
        <v>74</v>
      </c>
      <c r="BE176" t="s">
        <v>625</v>
      </c>
      <c r="BF176" t="str">
        <f>HYPERLINK("http://dx.doi.org/10.1111/eth.12771","http://dx.doi.org/10.1111/eth.12771")</f>
        <v>http://dx.doi.org/10.1111/eth.12771</v>
      </c>
      <c r="BG176" t="s">
        <v>74</v>
      </c>
      <c r="BH176" t="s">
        <v>74</v>
      </c>
      <c r="BI176" t="s">
        <v>74</v>
      </c>
      <c r="BJ176" t="s">
        <v>74</v>
      </c>
      <c r="BK176" t="s">
        <v>74</v>
      </c>
      <c r="BL176" t="s">
        <v>74</v>
      </c>
      <c r="BM176" t="s">
        <v>74</v>
      </c>
      <c r="BN176" t="s">
        <v>74</v>
      </c>
      <c r="BO176" t="s">
        <v>74</v>
      </c>
      <c r="BP176" t="s">
        <v>74</v>
      </c>
      <c r="BQ176" t="s">
        <v>74</v>
      </c>
      <c r="BR176" t="s">
        <v>74</v>
      </c>
      <c r="BS176" t="s">
        <v>626</v>
      </c>
      <c r="BT176" t="str">
        <f>HYPERLINK("https%3A%2F%2Fwww.webofscience.com%2Fwos%2Fwoscc%2Ffull-record%2FWOS:000440649700006","View Full Record in Web of Science")</f>
        <v>View Full Record in Web of Science</v>
      </c>
    </row>
    <row r="177" spans="1:72" x14ac:dyDescent="0.4">
      <c r="A177" t="s">
        <v>72</v>
      </c>
      <c r="B177" t="s">
        <v>7993</v>
      </c>
      <c r="C177" t="s">
        <v>74</v>
      </c>
      <c r="D177" t="s">
        <v>74</v>
      </c>
      <c r="E177" t="s">
        <v>74</v>
      </c>
      <c r="F177" t="s">
        <v>7994</v>
      </c>
      <c r="G177" t="s">
        <v>74</v>
      </c>
      <c r="H177" t="s">
        <v>74</v>
      </c>
      <c r="I177" t="s">
        <v>7995</v>
      </c>
      <c r="J177" t="s">
        <v>408</v>
      </c>
      <c r="K177" t="s">
        <v>74</v>
      </c>
      <c r="L177" t="s">
        <v>74</v>
      </c>
      <c r="M177" t="s">
        <v>74</v>
      </c>
      <c r="N177" t="s">
        <v>74</v>
      </c>
      <c r="O177" t="s">
        <v>74</v>
      </c>
      <c r="P177" t="s">
        <v>74</v>
      </c>
      <c r="Q177" t="s">
        <v>74</v>
      </c>
      <c r="R177" t="s">
        <v>74</v>
      </c>
      <c r="S177" t="s">
        <v>74</v>
      </c>
      <c r="T177" t="s">
        <v>74</v>
      </c>
      <c r="U177" t="s">
        <v>74</v>
      </c>
      <c r="V177" s="3" t="s">
        <v>7996</v>
      </c>
      <c r="W177" t="s">
        <v>74</v>
      </c>
      <c r="X177" t="s">
        <v>74</v>
      </c>
      <c r="Y177" t="s">
        <v>74</v>
      </c>
      <c r="Z177" t="s">
        <v>74</v>
      </c>
      <c r="AA177" t="s">
        <v>74</v>
      </c>
      <c r="AB177" t="s">
        <v>74</v>
      </c>
      <c r="AC177" t="s">
        <v>74</v>
      </c>
      <c r="AD177" t="s">
        <v>74</v>
      </c>
      <c r="AE177" t="s">
        <v>74</v>
      </c>
      <c r="AF177" t="s">
        <v>74</v>
      </c>
      <c r="AG177" t="s">
        <v>74</v>
      </c>
      <c r="AH177" t="s">
        <v>74</v>
      </c>
      <c r="AI177" t="s">
        <v>74</v>
      </c>
      <c r="AJ177" t="s">
        <v>74</v>
      </c>
      <c r="AK177" t="s">
        <v>74</v>
      </c>
      <c r="AL177" t="s">
        <v>74</v>
      </c>
      <c r="AM177" t="s">
        <v>74</v>
      </c>
      <c r="AN177" t="s">
        <v>74</v>
      </c>
      <c r="AO177" t="s">
        <v>412</v>
      </c>
      <c r="AP177" t="s">
        <v>413</v>
      </c>
      <c r="AQ177" t="s">
        <v>74</v>
      </c>
      <c r="AR177" t="s">
        <v>74</v>
      </c>
      <c r="AS177" t="s">
        <v>74</v>
      </c>
      <c r="AT177" t="s">
        <v>5887</v>
      </c>
      <c r="AU177">
        <v>2023</v>
      </c>
      <c r="AV177">
        <v>139</v>
      </c>
      <c r="AW177">
        <v>3</v>
      </c>
      <c r="AX177" t="s">
        <v>74</v>
      </c>
      <c r="AY177" t="s">
        <v>74</v>
      </c>
      <c r="AZ177" t="s">
        <v>74</v>
      </c>
      <c r="BA177" t="s">
        <v>74</v>
      </c>
      <c r="BB177">
        <v>214</v>
      </c>
      <c r="BC177">
        <v>230</v>
      </c>
      <c r="BD177" t="s">
        <v>74</v>
      </c>
      <c r="BE177" t="s">
        <v>7997</v>
      </c>
      <c r="BF177" t="str">
        <f>HYPERLINK("http://dx.doi.org/10.1093/biolinnean/blad051","http://dx.doi.org/10.1093/biolinnean/blad051")</f>
        <v>http://dx.doi.org/10.1093/biolinnean/blad051</v>
      </c>
      <c r="BG177" t="s">
        <v>74</v>
      </c>
      <c r="BH177" t="s">
        <v>5120</v>
      </c>
      <c r="BI177" t="s">
        <v>74</v>
      </c>
      <c r="BJ177" t="s">
        <v>74</v>
      </c>
      <c r="BK177" t="s">
        <v>74</v>
      </c>
      <c r="BL177" t="s">
        <v>74</v>
      </c>
      <c r="BM177" t="s">
        <v>74</v>
      </c>
      <c r="BN177" t="s">
        <v>74</v>
      </c>
      <c r="BO177" t="s">
        <v>74</v>
      </c>
      <c r="BP177" t="s">
        <v>74</v>
      </c>
      <c r="BQ177" t="s">
        <v>74</v>
      </c>
      <c r="BR177" t="s">
        <v>74</v>
      </c>
      <c r="BS177" t="s">
        <v>7998</v>
      </c>
      <c r="BT177" t="str">
        <f>HYPERLINK("https%3A%2F%2Fwww.webofscience.com%2Fwos%2Fwoscc%2Ffull-record%2FWOS:001004104800001","View Full Record in Web of Science")</f>
        <v>View Full Record in Web of Science</v>
      </c>
    </row>
    <row r="178" spans="1:72" x14ac:dyDescent="0.4">
      <c r="A178" t="s">
        <v>72</v>
      </c>
      <c r="B178" t="s">
        <v>1843</v>
      </c>
      <c r="C178" t="s">
        <v>74</v>
      </c>
      <c r="D178" t="s">
        <v>74</v>
      </c>
      <c r="E178" t="s">
        <v>74</v>
      </c>
      <c r="F178" t="s">
        <v>1844</v>
      </c>
      <c r="G178" t="s">
        <v>74</v>
      </c>
      <c r="H178" t="s">
        <v>74</v>
      </c>
      <c r="I178" t="s">
        <v>1845</v>
      </c>
      <c r="J178" t="s">
        <v>241</v>
      </c>
      <c r="K178" t="s">
        <v>74</v>
      </c>
      <c r="L178" t="s">
        <v>74</v>
      </c>
      <c r="M178" t="s">
        <v>74</v>
      </c>
      <c r="N178" t="s">
        <v>74</v>
      </c>
      <c r="O178" t="s">
        <v>74</v>
      </c>
      <c r="P178" t="s">
        <v>74</v>
      </c>
      <c r="Q178" t="s">
        <v>74</v>
      </c>
      <c r="R178" t="s">
        <v>74</v>
      </c>
      <c r="S178" t="s">
        <v>74</v>
      </c>
      <c r="T178" t="s">
        <v>74</v>
      </c>
      <c r="U178" t="s">
        <v>74</v>
      </c>
      <c r="V178" s="3" t="s">
        <v>1846</v>
      </c>
      <c r="W178" t="s">
        <v>74</v>
      </c>
      <c r="X178" t="s">
        <v>74</v>
      </c>
      <c r="Y178" t="s">
        <v>74</v>
      </c>
      <c r="Z178" t="s">
        <v>74</v>
      </c>
      <c r="AA178" t="s">
        <v>1847</v>
      </c>
      <c r="AB178" t="s">
        <v>1848</v>
      </c>
      <c r="AC178" t="s">
        <v>74</v>
      </c>
      <c r="AD178" t="s">
        <v>74</v>
      </c>
      <c r="AE178" t="s">
        <v>74</v>
      </c>
      <c r="AF178" t="s">
        <v>74</v>
      </c>
      <c r="AG178" t="s">
        <v>74</v>
      </c>
      <c r="AH178" t="s">
        <v>74</v>
      </c>
      <c r="AI178" t="s">
        <v>74</v>
      </c>
      <c r="AJ178" t="s">
        <v>74</v>
      </c>
      <c r="AK178" t="s">
        <v>74</v>
      </c>
      <c r="AL178" t="s">
        <v>74</v>
      </c>
      <c r="AM178" t="s">
        <v>74</v>
      </c>
      <c r="AN178" t="s">
        <v>74</v>
      </c>
      <c r="AO178" t="s">
        <v>245</v>
      </c>
      <c r="AP178" t="s">
        <v>246</v>
      </c>
      <c r="AQ178" t="s">
        <v>74</v>
      </c>
      <c r="AR178" t="s">
        <v>74</v>
      </c>
      <c r="AS178" t="s">
        <v>74</v>
      </c>
      <c r="AT178" t="s">
        <v>175</v>
      </c>
      <c r="AU178">
        <v>2018</v>
      </c>
      <c r="AV178">
        <v>188</v>
      </c>
      <c r="AW178">
        <v>2</v>
      </c>
      <c r="AX178" t="s">
        <v>74</v>
      </c>
      <c r="AY178" t="s">
        <v>74</v>
      </c>
      <c r="AZ178" t="s">
        <v>74</v>
      </c>
      <c r="BA178" t="s">
        <v>74</v>
      </c>
      <c r="BB178">
        <v>501</v>
      </c>
      <c r="BC178">
        <v>513</v>
      </c>
      <c r="BD178" t="s">
        <v>74</v>
      </c>
      <c r="BE178" t="s">
        <v>1849</v>
      </c>
      <c r="BF178" t="str">
        <f>HYPERLINK("http://dx.doi.org/10.1007/s00442-018-4239-7","http://dx.doi.org/10.1007/s00442-018-4239-7")</f>
        <v>http://dx.doi.org/10.1007/s00442-018-4239-7</v>
      </c>
      <c r="BG178" t="s">
        <v>74</v>
      </c>
      <c r="BH178" t="s">
        <v>74</v>
      </c>
      <c r="BI178" t="s">
        <v>74</v>
      </c>
      <c r="BJ178" t="s">
        <v>74</v>
      </c>
      <c r="BK178" t="s">
        <v>74</v>
      </c>
      <c r="BL178" t="s">
        <v>74</v>
      </c>
      <c r="BM178" t="s">
        <v>74</v>
      </c>
      <c r="BN178">
        <v>30099605</v>
      </c>
      <c r="BO178" t="s">
        <v>74</v>
      </c>
      <c r="BP178" t="s">
        <v>74</v>
      </c>
      <c r="BQ178" t="s">
        <v>74</v>
      </c>
      <c r="BR178" t="s">
        <v>74</v>
      </c>
      <c r="BS178" t="s">
        <v>1850</v>
      </c>
      <c r="BT178" t="str">
        <f>HYPERLINK("https%3A%2F%2Fwww.webofscience.com%2Fwos%2Fwoscc%2Ffull-record%2FWOS:000445426400015","View Full Record in Web of Science")</f>
        <v>View Full Record in Web of Science</v>
      </c>
    </row>
    <row r="179" spans="1:72" x14ac:dyDescent="0.4">
      <c r="A179" t="s">
        <v>72</v>
      </c>
      <c r="B179" t="s">
        <v>760</v>
      </c>
      <c r="C179" t="s">
        <v>74</v>
      </c>
      <c r="D179" t="s">
        <v>74</v>
      </c>
      <c r="E179" t="s">
        <v>74</v>
      </c>
      <c r="F179" t="s">
        <v>761</v>
      </c>
      <c r="G179" t="s">
        <v>74</v>
      </c>
      <c r="H179" t="s">
        <v>74</v>
      </c>
      <c r="I179" t="s">
        <v>762</v>
      </c>
      <c r="J179" t="s">
        <v>763</v>
      </c>
      <c r="K179" t="s">
        <v>74</v>
      </c>
      <c r="L179" t="s">
        <v>74</v>
      </c>
      <c r="M179" t="s">
        <v>74</v>
      </c>
      <c r="N179" t="s">
        <v>74</v>
      </c>
      <c r="O179" t="s">
        <v>74</v>
      </c>
      <c r="P179" t="s">
        <v>74</v>
      </c>
      <c r="Q179" t="s">
        <v>74</v>
      </c>
      <c r="R179" t="s">
        <v>74</v>
      </c>
      <c r="S179" t="s">
        <v>74</v>
      </c>
      <c r="T179" t="s">
        <v>74</v>
      </c>
      <c r="U179" t="s">
        <v>74</v>
      </c>
      <c r="V179" s="3" t="s">
        <v>764</v>
      </c>
      <c r="W179" t="s">
        <v>74</v>
      </c>
      <c r="X179" t="s">
        <v>74</v>
      </c>
      <c r="Y179" t="s">
        <v>74</v>
      </c>
      <c r="Z179" t="s">
        <v>74</v>
      </c>
      <c r="AA179" t="s">
        <v>765</v>
      </c>
      <c r="AB179" t="s">
        <v>766</v>
      </c>
      <c r="AC179" t="s">
        <v>74</v>
      </c>
      <c r="AD179" t="s">
        <v>74</v>
      </c>
      <c r="AE179" t="s">
        <v>74</v>
      </c>
      <c r="AF179" t="s">
        <v>74</v>
      </c>
      <c r="AG179" t="s">
        <v>74</v>
      </c>
      <c r="AH179" t="s">
        <v>74</v>
      </c>
      <c r="AI179" t="s">
        <v>74</v>
      </c>
      <c r="AJ179" t="s">
        <v>74</v>
      </c>
      <c r="AK179" t="s">
        <v>74</v>
      </c>
      <c r="AL179" t="s">
        <v>74</v>
      </c>
      <c r="AM179" t="s">
        <v>74</v>
      </c>
      <c r="AN179" t="s">
        <v>74</v>
      </c>
      <c r="AO179" t="s">
        <v>767</v>
      </c>
      <c r="AP179" t="s">
        <v>768</v>
      </c>
      <c r="AQ179" t="s">
        <v>74</v>
      </c>
      <c r="AR179" t="s">
        <v>74</v>
      </c>
      <c r="AS179" t="s">
        <v>74</v>
      </c>
      <c r="AT179" t="s">
        <v>769</v>
      </c>
      <c r="AU179">
        <v>2016</v>
      </c>
      <c r="AV179">
        <v>219</v>
      </c>
      <c r="AW179">
        <v>4</v>
      </c>
      <c r="AX179" t="s">
        <v>74</v>
      </c>
      <c r="AY179" t="s">
        <v>74</v>
      </c>
      <c r="AZ179" t="s">
        <v>74</v>
      </c>
      <c r="BA179" t="s">
        <v>74</v>
      </c>
      <c r="BB179">
        <v>597</v>
      </c>
      <c r="BC179">
        <v>608</v>
      </c>
      <c r="BD179" t="s">
        <v>74</v>
      </c>
      <c r="BE179" t="s">
        <v>770</v>
      </c>
      <c r="BF179" t="str">
        <f>HYPERLINK("http://dx.doi.org/10.1242/jeb.122275","http://dx.doi.org/10.1242/jeb.122275")</f>
        <v>http://dx.doi.org/10.1242/jeb.122275</v>
      </c>
      <c r="BG179" t="s">
        <v>74</v>
      </c>
      <c r="BH179" t="s">
        <v>74</v>
      </c>
      <c r="BI179" t="s">
        <v>74</v>
      </c>
      <c r="BJ179" t="s">
        <v>74</v>
      </c>
      <c r="BK179" t="s">
        <v>74</v>
      </c>
      <c r="BL179" t="s">
        <v>74</v>
      </c>
      <c r="BM179" t="s">
        <v>74</v>
      </c>
      <c r="BN179">
        <v>26747903</v>
      </c>
      <c r="BO179" t="s">
        <v>74</v>
      </c>
      <c r="BP179" t="s">
        <v>74</v>
      </c>
      <c r="BQ179" t="s">
        <v>74</v>
      </c>
      <c r="BR179" t="s">
        <v>74</v>
      </c>
      <c r="BS179" t="s">
        <v>771</v>
      </c>
      <c r="BT179" t="str">
        <f>HYPERLINK("https%3A%2F%2Fwww.webofscience.com%2Fwos%2Fwoscc%2Ffull-record%2FWOS:000370238000021","View Full Record in Web of Science")</f>
        <v>View Full Record in Web of Science</v>
      </c>
    </row>
    <row r="180" spans="1:72" x14ac:dyDescent="0.4">
      <c r="A180" t="s">
        <v>72</v>
      </c>
      <c r="B180" t="s">
        <v>5038</v>
      </c>
      <c r="C180" t="s">
        <v>74</v>
      </c>
      <c r="D180" t="s">
        <v>74</v>
      </c>
      <c r="E180" t="s">
        <v>74</v>
      </c>
      <c r="F180" t="s">
        <v>5039</v>
      </c>
      <c r="G180" t="s">
        <v>74</v>
      </c>
      <c r="H180" t="s">
        <v>74</v>
      </c>
      <c r="I180" t="s">
        <v>5040</v>
      </c>
      <c r="J180" t="s">
        <v>108</v>
      </c>
      <c r="K180" t="s">
        <v>74</v>
      </c>
      <c r="L180" t="s">
        <v>74</v>
      </c>
      <c r="M180" t="s">
        <v>74</v>
      </c>
      <c r="N180" t="s">
        <v>74</v>
      </c>
      <c r="O180" t="s">
        <v>74</v>
      </c>
      <c r="P180" t="s">
        <v>74</v>
      </c>
      <c r="Q180" t="s">
        <v>74</v>
      </c>
      <c r="R180" t="s">
        <v>74</v>
      </c>
      <c r="S180" t="s">
        <v>74</v>
      </c>
      <c r="T180" t="s">
        <v>74</v>
      </c>
      <c r="U180" t="s">
        <v>74</v>
      </c>
      <c r="V180" s="3" t="s">
        <v>5041</v>
      </c>
      <c r="W180" t="s">
        <v>74</v>
      </c>
      <c r="X180" t="s">
        <v>74</v>
      </c>
      <c r="Y180" t="s">
        <v>74</v>
      </c>
      <c r="Z180" t="s">
        <v>74</v>
      </c>
      <c r="AA180" t="s">
        <v>5042</v>
      </c>
      <c r="AB180" t="s">
        <v>5043</v>
      </c>
      <c r="AC180" t="s">
        <v>74</v>
      </c>
      <c r="AD180" t="s">
        <v>74</v>
      </c>
      <c r="AE180" t="s">
        <v>74</v>
      </c>
      <c r="AF180" t="s">
        <v>74</v>
      </c>
      <c r="AG180" t="s">
        <v>74</v>
      </c>
      <c r="AH180" t="s">
        <v>74</v>
      </c>
      <c r="AI180" t="s">
        <v>74</v>
      </c>
      <c r="AJ180" t="s">
        <v>74</v>
      </c>
      <c r="AK180" t="s">
        <v>74</v>
      </c>
      <c r="AL180" t="s">
        <v>74</v>
      </c>
      <c r="AM180" t="s">
        <v>74</v>
      </c>
      <c r="AN180" t="s">
        <v>74</v>
      </c>
      <c r="AO180" t="s">
        <v>111</v>
      </c>
      <c r="AP180" t="s">
        <v>112</v>
      </c>
      <c r="AQ180" t="s">
        <v>74</v>
      </c>
      <c r="AR180" t="s">
        <v>74</v>
      </c>
      <c r="AS180" t="s">
        <v>74</v>
      </c>
      <c r="AT180" t="s">
        <v>5044</v>
      </c>
      <c r="AU180">
        <v>2017</v>
      </c>
      <c r="AV180">
        <v>284</v>
      </c>
      <c r="AW180">
        <v>1854</v>
      </c>
      <c r="AX180" t="s">
        <v>74</v>
      </c>
      <c r="AY180" t="s">
        <v>74</v>
      </c>
      <c r="AZ180" t="s">
        <v>74</v>
      </c>
      <c r="BA180" t="s">
        <v>74</v>
      </c>
      <c r="BB180" t="s">
        <v>74</v>
      </c>
      <c r="BC180" t="s">
        <v>74</v>
      </c>
      <c r="BD180">
        <v>20170272</v>
      </c>
      <c r="BE180" t="s">
        <v>5045</v>
      </c>
      <c r="BF180" t="str">
        <f>HYPERLINK("http://dx.doi.org/10.1098/rspb.2017.0272","http://dx.doi.org/10.1098/rspb.2017.0272")</f>
        <v>http://dx.doi.org/10.1098/rspb.2017.0272</v>
      </c>
      <c r="BG180" t="s">
        <v>74</v>
      </c>
      <c r="BH180" t="s">
        <v>74</v>
      </c>
      <c r="BI180" t="s">
        <v>74</v>
      </c>
      <c r="BJ180" t="s">
        <v>74</v>
      </c>
      <c r="BK180" t="s">
        <v>74</v>
      </c>
      <c r="BL180" t="s">
        <v>74</v>
      </c>
      <c r="BM180" t="s">
        <v>74</v>
      </c>
      <c r="BN180">
        <v>28515202</v>
      </c>
      <c r="BO180" t="s">
        <v>74</v>
      </c>
      <c r="BP180" t="s">
        <v>74</v>
      </c>
      <c r="BQ180" t="s">
        <v>74</v>
      </c>
      <c r="BR180" t="s">
        <v>74</v>
      </c>
      <c r="BS180" t="s">
        <v>5046</v>
      </c>
      <c r="BT180" t="str">
        <f>HYPERLINK("https%3A%2F%2Fwww.webofscience.com%2Fwos%2Fwoscc%2Ffull-record%2FWOS:000404425100019","View Full Record in Web of Science")</f>
        <v>View Full Record in Web of Science</v>
      </c>
    </row>
    <row r="181" spans="1:72" x14ac:dyDescent="0.4">
      <c r="A181" t="s">
        <v>72</v>
      </c>
      <c r="B181" t="s">
        <v>7143</v>
      </c>
      <c r="C181" t="s">
        <v>74</v>
      </c>
      <c r="D181" t="s">
        <v>74</v>
      </c>
      <c r="E181" t="s">
        <v>74</v>
      </c>
      <c r="F181" t="s">
        <v>7144</v>
      </c>
      <c r="G181" t="s">
        <v>74</v>
      </c>
      <c r="H181" t="s">
        <v>74</v>
      </c>
      <c r="I181" t="s">
        <v>7145</v>
      </c>
      <c r="J181" t="s">
        <v>7146</v>
      </c>
      <c r="K181" t="s">
        <v>74</v>
      </c>
      <c r="L181" t="s">
        <v>74</v>
      </c>
      <c r="M181" t="s">
        <v>74</v>
      </c>
      <c r="N181" t="s">
        <v>74</v>
      </c>
      <c r="O181" t="s">
        <v>74</v>
      </c>
      <c r="P181" t="s">
        <v>74</v>
      </c>
      <c r="Q181" t="s">
        <v>74</v>
      </c>
      <c r="R181" t="s">
        <v>74</v>
      </c>
      <c r="S181" t="s">
        <v>74</v>
      </c>
      <c r="T181" t="s">
        <v>74</v>
      </c>
      <c r="U181" t="s">
        <v>74</v>
      </c>
      <c r="V181" s="3" t="s">
        <v>7147</v>
      </c>
      <c r="W181" t="s">
        <v>74</v>
      </c>
      <c r="X181" t="s">
        <v>74</v>
      </c>
      <c r="Y181" t="s">
        <v>74</v>
      </c>
      <c r="Z181" t="s">
        <v>74</v>
      </c>
      <c r="AA181" t="s">
        <v>7148</v>
      </c>
      <c r="AB181" t="s">
        <v>7149</v>
      </c>
      <c r="AC181" t="s">
        <v>74</v>
      </c>
      <c r="AD181" t="s">
        <v>74</v>
      </c>
      <c r="AE181" t="s">
        <v>74</v>
      </c>
      <c r="AF181" t="s">
        <v>74</v>
      </c>
      <c r="AG181" t="s">
        <v>74</v>
      </c>
      <c r="AH181" t="s">
        <v>74</v>
      </c>
      <c r="AI181" t="s">
        <v>74</v>
      </c>
      <c r="AJ181" t="s">
        <v>74</v>
      </c>
      <c r="AK181" t="s">
        <v>74</v>
      </c>
      <c r="AL181" t="s">
        <v>74</v>
      </c>
      <c r="AM181" t="s">
        <v>74</v>
      </c>
      <c r="AN181" t="s">
        <v>74</v>
      </c>
      <c r="AO181" t="s">
        <v>7150</v>
      </c>
      <c r="AP181" t="s">
        <v>7151</v>
      </c>
      <c r="AQ181" t="s">
        <v>74</v>
      </c>
      <c r="AR181" t="s">
        <v>74</v>
      </c>
      <c r="AS181" t="s">
        <v>74</v>
      </c>
      <c r="AT181" t="s">
        <v>352</v>
      </c>
      <c r="AU181">
        <v>2014</v>
      </c>
      <c r="AV181">
        <v>62</v>
      </c>
      <c r="AW181">
        <v>3</v>
      </c>
      <c r="AX181" t="s">
        <v>74</v>
      </c>
      <c r="AY181" t="s">
        <v>74</v>
      </c>
      <c r="AZ181" t="s">
        <v>74</v>
      </c>
      <c r="BA181" t="s">
        <v>74</v>
      </c>
      <c r="BB181">
        <v>977</v>
      </c>
      <c r="BC181">
        <v>985</v>
      </c>
      <c r="BD181" t="s">
        <v>74</v>
      </c>
      <c r="BE181" t="s">
        <v>7152</v>
      </c>
      <c r="BF181" t="str">
        <f>HYPERLINK("http://dx.doi.org/10.15517/rbt.v62i3.11643","http://dx.doi.org/10.15517/rbt.v62i3.11643")</f>
        <v>http://dx.doi.org/10.15517/rbt.v62i3.11643</v>
      </c>
      <c r="BG181" t="s">
        <v>74</v>
      </c>
      <c r="BH181" t="s">
        <v>74</v>
      </c>
      <c r="BI181" t="s">
        <v>74</v>
      </c>
      <c r="BJ181" t="s">
        <v>74</v>
      </c>
      <c r="BK181" t="s">
        <v>74</v>
      </c>
      <c r="BL181" t="s">
        <v>74</v>
      </c>
      <c r="BM181" t="s">
        <v>74</v>
      </c>
      <c r="BN181">
        <v>25412530</v>
      </c>
      <c r="BO181" t="s">
        <v>74</v>
      </c>
      <c r="BP181" t="s">
        <v>74</v>
      </c>
      <c r="BQ181" t="s">
        <v>74</v>
      </c>
      <c r="BR181" t="s">
        <v>74</v>
      </c>
      <c r="BS181" t="s">
        <v>7153</v>
      </c>
      <c r="BT181" t="str">
        <f>HYPERLINK("https%3A%2F%2Fwww.webofscience.com%2Fwos%2Fwoscc%2Ffull-record%2FWOS:000343187200014","View Full Record in Web of Science")</f>
        <v>View Full Record in Web of Science</v>
      </c>
    </row>
    <row r="182" spans="1:72" x14ac:dyDescent="0.4">
      <c r="A182" t="s">
        <v>72</v>
      </c>
      <c r="B182" t="s">
        <v>4026</v>
      </c>
      <c r="C182" t="s">
        <v>74</v>
      </c>
      <c r="D182" t="s">
        <v>74</v>
      </c>
      <c r="E182" t="s">
        <v>74</v>
      </c>
      <c r="F182" t="s">
        <v>4027</v>
      </c>
      <c r="G182" t="s">
        <v>74</v>
      </c>
      <c r="H182" t="s">
        <v>74</v>
      </c>
      <c r="I182" t="s">
        <v>4028</v>
      </c>
      <c r="J182" t="s">
        <v>140</v>
      </c>
      <c r="K182" t="s">
        <v>74</v>
      </c>
      <c r="L182" t="s">
        <v>74</v>
      </c>
      <c r="M182" t="s">
        <v>74</v>
      </c>
      <c r="N182" t="s">
        <v>74</v>
      </c>
      <c r="O182" t="s">
        <v>74</v>
      </c>
      <c r="P182" t="s">
        <v>74</v>
      </c>
      <c r="Q182" t="s">
        <v>74</v>
      </c>
      <c r="R182" t="s">
        <v>74</v>
      </c>
      <c r="S182" t="s">
        <v>74</v>
      </c>
      <c r="T182" t="s">
        <v>74</v>
      </c>
      <c r="U182" t="s">
        <v>74</v>
      </c>
      <c r="V182" s="3" t="s">
        <v>4029</v>
      </c>
      <c r="W182" t="s">
        <v>74</v>
      </c>
      <c r="X182" t="s">
        <v>74</v>
      </c>
      <c r="Y182" t="s">
        <v>74</v>
      </c>
      <c r="Z182" t="s">
        <v>74</v>
      </c>
      <c r="AA182" t="s">
        <v>4030</v>
      </c>
      <c r="AB182" t="s">
        <v>74</v>
      </c>
      <c r="AC182" t="s">
        <v>74</v>
      </c>
      <c r="AD182" t="s">
        <v>74</v>
      </c>
      <c r="AE182" t="s">
        <v>74</v>
      </c>
      <c r="AF182" t="s">
        <v>74</v>
      </c>
      <c r="AG182" t="s">
        <v>74</v>
      </c>
      <c r="AH182" t="s">
        <v>74</v>
      </c>
      <c r="AI182" t="s">
        <v>74</v>
      </c>
      <c r="AJ182" t="s">
        <v>74</v>
      </c>
      <c r="AK182" t="s">
        <v>74</v>
      </c>
      <c r="AL182" t="s">
        <v>74</v>
      </c>
      <c r="AM182" t="s">
        <v>74</v>
      </c>
      <c r="AN182" t="s">
        <v>74</v>
      </c>
      <c r="AO182" t="s">
        <v>143</v>
      </c>
      <c r="AP182" t="s">
        <v>144</v>
      </c>
      <c r="AQ182" t="s">
        <v>74</v>
      </c>
      <c r="AR182" t="s">
        <v>74</v>
      </c>
      <c r="AS182" t="s">
        <v>74</v>
      </c>
      <c r="AT182" t="s">
        <v>352</v>
      </c>
      <c r="AU182">
        <v>2008</v>
      </c>
      <c r="AV182">
        <v>76</v>
      </c>
      <c r="AW182" t="s">
        <v>74</v>
      </c>
      <c r="AX182">
        <v>3</v>
      </c>
      <c r="AY182" t="s">
        <v>74</v>
      </c>
      <c r="AZ182" t="s">
        <v>74</v>
      </c>
      <c r="BA182" t="s">
        <v>74</v>
      </c>
      <c r="BB182">
        <v>657</v>
      </c>
      <c r="BC182">
        <v>667</v>
      </c>
      <c r="BD182" t="s">
        <v>74</v>
      </c>
      <c r="BE182" t="s">
        <v>4031</v>
      </c>
      <c r="BF182" t="str">
        <f>HYPERLINK("http://dx.doi.org/10.1016/j.anbehav.2008.03.014","http://dx.doi.org/10.1016/j.anbehav.2008.03.014")</f>
        <v>http://dx.doi.org/10.1016/j.anbehav.2008.03.014</v>
      </c>
      <c r="BG182" t="s">
        <v>74</v>
      </c>
      <c r="BH182" t="s">
        <v>74</v>
      </c>
      <c r="BI182" t="s">
        <v>74</v>
      </c>
      <c r="BJ182" t="s">
        <v>74</v>
      </c>
      <c r="BK182" t="s">
        <v>74</v>
      </c>
      <c r="BL182" t="s">
        <v>74</v>
      </c>
      <c r="BM182" t="s">
        <v>74</v>
      </c>
      <c r="BN182" t="s">
        <v>74</v>
      </c>
      <c r="BO182" t="s">
        <v>74</v>
      </c>
      <c r="BP182" t="s">
        <v>74</v>
      </c>
      <c r="BQ182" t="s">
        <v>74</v>
      </c>
      <c r="BR182" t="s">
        <v>74</v>
      </c>
      <c r="BS182" t="s">
        <v>4032</v>
      </c>
      <c r="BT182" t="str">
        <f>HYPERLINK("https%3A%2F%2Fwww.webofscience.com%2Fwos%2Fwoscc%2Ffull-record%2FWOS:000258490800016","View Full Record in Web of Science")</f>
        <v>View Full Record in Web of Science</v>
      </c>
    </row>
    <row r="183" spans="1:72" x14ac:dyDescent="0.4">
      <c r="A183" t="s">
        <v>72</v>
      </c>
      <c r="B183" t="s">
        <v>4373</v>
      </c>
      <c r="C183" t="s">
        <v>74</v>
      </c>
      <c r="D183" t="s">
        <v>74</v>
      </c>
      <c r="E183" t="s">
        <v>74</v>
      </c>
      <c r="F183" t="s">
        <v>4374</v>
      </c>
      <c r="G183" t="s">
        <v>74</v>
      </c>
      <c r="H183" t="s">
        <v>74</v>
      </c>
      <c r="I183" t="s">
        <v>4375</v>
      </c>
      <c r="J183" t="s">
        <v>140</v>
      </c>
      <c r="K183" t="s">
        <v>74</v>
      </c>
      <c r="L183" t="s">
        <v>74</v>
      </c>
      <c r="M183" t="s">
        <v>74</v>
      </c>
      <c r="N183" t="s">
        <v>74</v>
      </c>
      <c r="O183" t="s">
        <v>74</v>
      </c>
      <c r="P183" t="s">
        <v>74</v>
      </c>
      <c r="Q183" t="s">
        <v>74</v>
      </c>
      <c r="R183" t="s">
        <v>74</v>
      </c>
      <c r="S183" t="s">
        <v>74</v>
      </c>
      <c r="T183" t="s">
        <v>74</v>
      </c>
      <c r="U183" t="s">
        <v>74</v>
      </c>
      <c r="V183" s="3" t="s">
        <v>4376</v>
      </c>
      <c r="W183" t="s">
        <v>74</v>
      </c>
      <c r="X183" t="s">
        <v>74</v>
      </c>
      <c r="Y183" t="s">
        <v>74</v>
      </c>
      <c r="Z183" t="s">
        <v>74</v>
      </c>
      <c r="AA183" t="s">
        <v>4030</v>
      </c>
      <c r="AB183" t="s">
        <v>74</v>
      </c>
      <c r="AC183" t="s">
        <v>74</v>
      </c>
      <c r="AD183" t="s">
        <v>74</v>
      </c>
      <c r="AE183" t="s">
        <v>74</v>
      </c>
      <c r="AF183" t="s">
        <v>74</v>
      </c>
      <c r="AG183" t="s">
        <v>74</v>
      </c>
      <c r="AH183" t="s">
        <v>74</v>
      </c>
      <c r="AI183" t="s">
        <v>74</v>
      </c>
      <c r="AJ183" t="s">
        <v>74</v>
      </c>
      <c r="AK183" t="s">
        <v>74</v>
      </c>
      <c r="AL183" t="s">
        <v>74</v>
      </c>
      <c r="AM183" t="s">
        <v>74</v>
      </c>
      <c r="AN183" t="s">
        <v>74</v>
      </c>
      <c r="AO183" t="s">
        <v>143</v>
      </c>
      <c r="AP183" t="s">
        <v>144</v>
      </c>
      <c r="AQ183" t="s">
        <v>74</v>
      </c>
      <c r="AR183" t="s">
        <v>74</v>
      </c>
      <c r="AS183" t="s">
        <v>74</v>
      </c>
      <c r="AT183" t="s">
        <v>964</v>
      </c>
      <c r="AU183">
        <v>2011</v>
      </c>
      <c r="AV183">
        <v>81</v>
      </c>
      <c r="AW183">
        <v>2</v>
      </c>
      <c r="AX183" t="s">
        <v>74</v>
      </c>
      <c r="AY183" t="s">
        <v>74</v>
      </c>
      <c r="AZ183" t="s">
        <v>74</v>
      </c>
      <c r="BA183" t="s">
        <v>74</v>
      </c>
      <c r="BB183">
        <v>447</v>
      </c>
      <c r="BC183">
        <v>453</v>
      </c>
      <c r="BD183" t="s">
        <v>74</v>
      </c>
      <c r="BE183" t="s">
        <v>4377</v>
      </c>
      <c r="BF183" t="str">
        <f>HYPERLINK("http://dx.doi.org/10.1016/j.anbehav.2010.11.016","http://dx.doi.org/10.1016/j.anbehav.2010.11.016")</f>
        <v>http://dx.doi.org/10.1016/j.anbehav.2010.11.016</v>
      </c>
      <c r="BG183" t="s">
        <v>74</v>
      </c>
      <c r="BH183" t="s">
        <v>74</v>
      </c>
      <c r="BI183" t="s">
        <v>74</v>
      </c>
      <c r="BJ183" t="s">
        <v>74</v>
      </c>
      <c r="BK183" t="s">
        <v>74</v>
      </c>
      <c r="BL183" t="s">
        <v>74</v>
      </c>
      <c r="BM183" t="s">
        <v>74</v>
      </c>
      <c r="BN183" t="s">
        <v>74</v>
      </c>
      <c r="BO183" t="s">
        <v>74</v>
      </c>
      <c r="BP183" t="s">
        <v>74</v>
      </c>
      <c r="BQ183" t="s">
        <v>74</v>
      </c>
      <c r="BR183" t="s">
        <v>74</v>
      </c>
      <c r="BS183" t="s">
        <v>4378</v>
      </c>
      <c r="BT183" t="str">
        <f>HYPERLINK("https%3A%2F%2Fwww.webofscience.com%2Fwos%2Fwoscc%2Ffull-record%2FWOS:000286455400012","View Full Record in Web of Science")</f>
        <v>View Full Record in Web of Science</v>
      </c>
    </row>
    <row r="184" spans="1:72" x14ac:dyDescent="0.4">
      <c r="A184" t="s">
        <v>72</v>
      </c>
      <c r="B184" t="s">
        <v>5238</v>
      </c>
      <c r="C184" t="s">
        <v>74</v>
      </c>
      <c r="D184" t="s">
        <v>74</v>
      </c>
      <c r="E184" t="s">
        <v>74</v>
      </c>
      <c r="F184" t="s">
        <v>5239</v>
      </c>
      <c r="G184" t="s">
        <v>74</v>
      </c>
      <c r="H184" t="s">
        <v>74</v>
      </c>
      <c r="I184" t="s">
        <v>5240</v>
      </c>
      <c r="J184" t="s">
        <v>824</v>
      </c>
      <c r="K184" t="s">
        <v>74</v>
      </c>
      <c r="L184" t="s">
        <v>74</v>
      </c>
      <c r="M184" t="s">
        <v>74</v>
      </c>
      <c r="N184" t="s">
        <v>74</v>
      </c>
      <c r="O184" t="s">
        <v>74</v>
      </c>
      <c r="P184" t="s">
        <v>74</v>
      </c>
      <c r="Q184" t="s">
        <v>74</v>
      </c>
      <c r="R184" t="s">
        <v>74</v>
      </c>
      <c r="S184" t="s">
        <v>74</v>
      </c>
      <c r="T184" t="s">
        <v>74</v>
      </c>
      <c r="U184" t="s">
        <v>74</v>
      </c>
      <c r="V184" s="3" t="s">
        <v>5241</v>
      </c>
      <c r="W184" t="s">
        <v>74</v>
      </c>
      <c r="X184" t="s">
        <v>74</v>
      </c>
      <c r="Y184" t="s">
        <v>74</v>
      </c>
      <c r="Z184" t="s">
        <v>74</v>
      </c>
      <c r="AA184" t="s">
        <v>5242</v>
      </c>
      <c r="AB184" t="s">
        <v>5243</v>
      </c>
      <c r="AC184" t="s">
        <v>74</v>
      </c>
      <c r="AD184" t="s">
        <v>74</v>
      </c>
      <c r="AE184" t="s">
        <v>74</v>
      </c>
      <c r="AF184" t="s">
        <v>74</v>
      </c>
      <c r="AG184" t="s">
        <v>74</v>
      </c>
      <c r="AH184" t="s">
        <v>74</v>
      </c>
      <c r="AI184" t="s">
        <v>74</v>
      </c>
      <c r="AJ184" t="s">
        <v>74</v>
      </c>
      <c r="AK184" t="s">
        <v>74</v>
      </c>
      <c r="AL184" t="s">
        <v>74</v>
      </c>
      <c r="AM184" t="s">
        <v>74</v>
      </c>
      <c r="AN184" t="s">
        <v>74</v>
      </c>
      <c r="AO184" t="s">
        <v>828</v>
      </c>
      <c r="AP184" t="s">
        <v>829</v>
      </c>
      <c r="AQ184" t="s">
        <v>74</v>
      </c>
      <c r="AR184" t="s">
        <v>74</v>
      </c>
      <c r="AS184" t="s">
        <v>74</v>
      </c>
      <c r="AT184" t="s">
        <v>123</v>
      </c>
      <c r="AU184">
        <v>2009</v>
      </c>
      <c r="AV184">
        <v>78</v>
      </c>
      <c r="AW184">
        <v>2</v>
      </c>
      <c r="AX184" t="s">
        <v>74</v>
      </c>
      <c r="AY184" t="s">
        <v>74</v>
      </c>
      <c r="AZ184" t="s">
        <v>74</v>
      </c>
      <c r="BA184" t="s">
        <v>74</v>
      </c>
      <c r="BB184">
        <v>476</v>
      </c>
      <c r="BC184">
        <v>484</v>
      </c>
      <c r="BD184" t="s">
        <v>74</v>
      </c>
      <c r="BE184" t="s">
        <v>5244</v>
      </c>
      <c r="BF184" t="str">
        <f>HYPERLINK("http://dx.doi.org/10.1111/j.1365-2656.2008.01496.x","http://dx.doi.org/10.1111/j.1365-2656.2008.01496.x")</f>
        <v>http://dx.doi.org/10.1111/j.1365-2656.2008.01496.x</v>
      </c>
      <c r="BG184" t="s">
        <v>74</v>
      </c>
      <c r="BH184" t="s">
        <v>74</v>
      </c>
      <c r="BI184" t="s">
        <v>74</v>
      </c>
      <c r="BJ184" t="s">
        <v>74</v>
      </c>
      <c r="BK184" t="s">
        <v>74</v>
      </c>
      <c r="BL184" t="s">
        <v>74</v>
      </c>
      <c r="BM184" t="s">
        <v>74</v>
      </c>
      <c r="BN184">
        <v>19021784</v>
      </c>
      <c r="BO184" t="s">
        <v>74</v>
      </c>
      <c r="BP184" t="s">
        <v>74</v>
      </c>
      <c r="BQ184" t="s">
        <v>74</v>
      </c>
      <c r="BR184" t="s">
        <v>74</v>
      </c>
      <c r="BS184" t="s">
        <v>5245</v>
      </c>
      <c r="BT184" t="str">
        <f>HYPERLINK("https%3A%2F%2Fwww.webofscience.com%2Fwos%2Fwoscc%2Ffull-record%2FWOS:000263038800020","View Full Record in Web of Science")</f>
        <v>View Full Record in Web of Science</v>
      </c>
    </row>
    <row r="185" spans="1:72" x14ac:dyDescent="0.4">
      <c r="A185" t="s">
        <v>72</v>
      </c>
      <c r="B185" t="s">
        <v>5865</v>
      </c>
      <c r="C185" t="s">
        <v>74</v>
      </c>
      <c r="D185" t="s">
        <v>74</v>
      </c>
      <c r="E185" t="s">
        <v>74</v>
      </c>
      <c r="F185" t="s">
        <v>5865</v>
      </c>
      <c r="G185" t="s">
        <v>74</v>
      </c>
      <c r="H185" t="s">
        <v>74</v>
      </c>
      <c r="I185" t="s">
        <v>5866</v>
      </c>
      <c r="J185" t="s">
        <v>1673</v>
      </c>
      <c r="K185" t="s">
        <v>74</v>
      </c>
      <c r="L185" t="s">
        <v>74</v>
      </c>
      <c r="M185" t="s">
        <v>74</v>
      </c>
      <c r="N185" t="s">
        <v>74</v>
      </c>
      <c r="O185" t="s">
        <v>74</v>
      </c>
      <c r="P185" t="s">
        <v>74</v>
      </c>
      <c r="Q185" t="s">
        <v>74</v>
      </c>
      <c r="R185" t="s">
        <v>74</v>
      </c>
      <c r="S185" t="s">
        <v>74</v>
      </c>
      <c r="T185" t="s">
        <v>74</v>
      </c>
      <c r="U185" t="s">
        <v>74</v>
      </c>
      <c r="V185" s="3" t="s">
        <v>5867</v>
      </c>
      <c r="W185" t="s">
        <v>74</v>
      </c>
      <c r="X185" t="s">
        <v>74</v>
      </c>
      <c r="Y185" t="s">
        <v>74</v>
      </c>
      <c r="Z185" t="s">
        <v>74</v>
      </c>
      <c r="AA185" t="s">
        <v>74</v>
      </c>
      <c r="AB185" t="s">
        <v>74</v>
      </c>
      <c r="AC185" t="s">
        <v>74</v>
      </c>
      <c r="AD185" t="s">
        <v>74</v>
      </c>
      <c r="AE185" t="s">
        <v>74</v>
      </c>
      <c r="AF185" t="s">
        <v>74</v>
      </c>
      <c r="AG185" t="s">
        <v>74</v>
      </c>
      <c r="AH185" t="s">
        <v>74</v>
      </c>
      <c r="AI185" t="s">
        <v>74</v>
      </c>
      <c r="AJ185" t="s">
        <v>74</v>
      </c>
      <c r="AK185" t="s">
        <v>74</v>
      </c>
      <c r="AL185" t="s">
        <v>74</v>
      </c>
      <c r="AM185" t="s">
        <v>74</v>
      </c>
      <c r="AN185" t="s">
        <v>74</v>
      </c>
      <c r="AO185" t="s">
        <v>1239</v>
      </c>
      <c r="AP185" t="s">
        <v>1675</v>
      </c>
      <c r="AQ185" t="s">
        <v>74</v>
      </c>
      <c r="AR185" t="s">
        <v>74</v>
      </c>
      <c r="AS185" t="s">
        <v>74</v>
      </c>
      <c r="AT185" t="s">
        <v>204</v>
      </c>
      <c r="AU185">
        <v>1986</v>
      </c>
      <c r="AV185">
        <v>64</v>
      </c>
      <c r="AW185">
        <v>7</v>
      </c>
      <c r="AX185" t="s">
        <v>74</v>
      </c>
      <c r="AY185" t="s">
        <v>74</v>
      </c>
      <c r="AZ185" t="s">
        <v>74</v>
      </c>
      <c r="BA185" t="s">
        <v>74</v>
      </c>
      <c r="BB185">
        <v>1416</v>
      </c>
      <c r="BC185">
        <v>1421</v>
      </c>
      <c r="BD185" t="s">
        <v>74</v>
      </c>
      <c r="BE185" t="s">
        <v>5868</v>
      </c>
      <c r="BF185" t="str">
        <f>HYPERLINK("http://dx.doi.org/10.1139/z86-211","http://dx.doi.org/10.1139/z86-211")</f>
        <v>http://dx.doi.org/10.1139/z86-211</v>
      </c>
      <c r="BG185" t="s">
        <v>74</v>
      </c>
      <c r="BH185" t="s">
        <v>74</v>
      </c>
      <c r="BI185" t="s">
        <v>74</v>
      </c>
      <c r="BJ185" t="s">
        <v>74</v>
      </c>
      <c r="BK185" t="s">
        <v>74</v>
      </c>
      <c r="BL185" t="s">
        <v>74</v>
      </c>
      <c r="BM185" t="s">
        <v>74</v>
      </c>
      <c r="BN185" t="s">
        <v>74</v>
      </c>
      <c r="BO185" t="s">
        <v>74</v>
      </c>
      <c r="BP185" t="s">
        <v>74</v>
      </c>
      <c r="BQ185" t="s">
        <v>74</v>
      </c>
      <c r="BR185" t="s">
        <v>74</v>
      </c>
      <c r="BS185" t="s">
        <v>5869</v>
      </c>
      <c r="BT185" t="str">
        <f>HYPERLINK("https%3A%2F%2Fwww.webofscience.com%2Fwos%2Fwoscc%2Ffull-record%2FWOS:A1986D643700006","View Full Record in Web of Science")</f>
        <v>View Full Record in Web of Science</v>
      </c>
    </row>
    <row r="186" spans="1:72" x14ac:dyDescent="0.4">
      <c r="A186" t="s">
        <v>72</v>
      </c>
      <c r="B186" t="s">
        <v>6290</v>
      </c>
      <c r="C186" t="s">
        <v>74</v>
      </c>
      <c r="D186" t="s">
        <v>74</v>
      </c>
      <c r="E186" t="s">
        <v>74</v>
      </c>
      <c r="F186" t="s">
        <v>6290</v>
      </c>
      <c r="G186" t="s">
        <v>74</v>
      </c>
      <c r="H186" t="s">
        <v>74</v>
      </c>
      <c r="I186" t="s">
        <v>6291</v>
      </c>
      <c r="J186" t="s">
        <v>4333</v>
      </c>
      <c r="K186" t="s">
        <v>74</v>
      </c>
      <c r="L186" t="s">
        <v>74</v>
      </c>
      <c r="M186" t="s">
        <v>74</v>
      </c>
      <c r="N186" t="s">
        <v>74</v>
      </c>
      <c r="O186" t="s">
        <v>74</v>
      </c>
      <c r="P186" t="s">
        <v>74</v>
      </c>
      <c r="Q186" t="s">
        <v>74</v>
      </c>
      <c r="R186" t="s">
        <v>74</v>
      </c>
      <c r="S186" t="s">
        <v>74</v>
      </c>
      <c r="T186" t="s">
        <v>74</v>
      </c>
      <c r="U186" t="s">
        <v>74</v>
      </c>
      <c r="V186" s="3" t="s">
        <v>6292</v>
      </c>
      <c r="W186" t="s">
        <v>74</v>
      </c>
      <c r="X186" t="s">
        <v>74</v>
      </c>
      <c r="Y186" t="s">
        <v>74</v>
      </c>
      <c r="Z186" t="s">
        <v>74</v>
      </c>
      <c r="AA186" t="s">
        <v>74</v>
      </c>
      <c r="AB186" t="s">
        <v>74</v>
      </c>
      <c r="AC186" t="s">
        <v>74</v>
      </c>
      <c r="AD186" t="s">
        <v>74</v>
      </c>
      <c r="AE186" t="s">
        <v>74</v>
      </c>
      <c r="AF186" t="s">
        <v>74</v>
      </c>
      <c r="AG186" t="s">
        <v>74</v>
      </c>
      <c r="AH186" t="s">
        <v>74</v>
      </c>
      <c r="AI186" t="s">
        <v>74</v>
      </c>
      <c r="AJ186" t="s">
        <v>74</v>
      </c>
      <c r="AK186" t="s">
        <v>74</v>
      </c>
      <c r="AL186" t="s">
        <v>74</v>
      </c>
      <c r="AM186" t="s">
        <v>74</v>
      </c>
      <c r="AN186" t="s">
        <v>74</v>
      </c>
      <c r="AO186" t="s">
        <v>4335</v>
      </c>
      <c r="AP186" t="s">
        <v>74</v>
      </c>
      <c r="AQ186" t="s">
        <v>74</v>
      </c>
      <c r="AR186" t="s">
        <v>74</v>
      </c>
      <c r="AS186" t="s">
        <v>74</v>
      </c>
      <c r="AT186" t="s">
        <v>74</v>
      </c>
      <c r="AU186">
        <v>1978</v>
      </c>
      <c r="AV186">
        <v>3</v>
      </c>
      <c r="AW186">
        <v>3</v>
      </c>
      <c r="AX186" t="s">
        <v>74</v>
      </c>
      <c r="AY186" t="s">
        <v>74</v>
      </c>
      <c r="AZ186" t="s">
        <v>74</v>
      </c>
      <c r="BA186" t="s">
        <v>74</v>
      </c>
      <c r="BB186">
        <v>233</v>
      </c>
      <c r="BC186">
        <v>241</v>
      </c>
      <c r="BD186" t="s">
        <v>74</v>
      </c>
      <c r="BE186" t="s">
        <v>74</v>
      </c>
      <c r="BF186" t="s">
        <v>74</v>
      </c>
      <c r="BG186" t="s">
        <v>74</v>
      </c>
      <c r="BH186" t="s">
        <v>74</v>
      </c>
      <c r="BI186" t="s">
        <v>74</v>
      </c>
      <c r="BJ186" t="s">
        <v>74</v>
      </c>
      <c r="BK186" t="s">
        <v>74</v>
      </c>
      <c r="BL186" t="s">
        <v>74</v>
      </c>
      <c r="BM186" t="s">
        <v>74</v>
      </c>
      <c r="BN186" t="s">
        <v>74</v>
      </c>
      <c r="BO186" t="s">
        <v>74</v>
      </c>
      <c r="BP186" t="s">
        <v>74</v>
      </c>
      <c r="BQ186" t="s">
        <v>74</v>
      </c>
      <c r="BR186" t="s">
        <v>74</v>
      </c>
      <c r="BS186" t="s">
        <v>6293</v>
      </c>
      <c r="BT186" t="str">
        <f>HYPERLINK("https%3A%2F%2Fwww.webofscience.com%2Fwos%2Fwoscc%2Ffull-record%2FWOS:A1978FR83100004","View Full Record in Web of Science")</f>
        <v>View Full Record in Web of Science</v>
      </c>
    </row>
    <row r="187" spans="1:72" x14ac:dyDescent="0.4">
      <c r="A187" t="s">
        <v>72</v>
      </c>
      <c r="B187" t="s">
        <v>2348</v>
      </c>
      <c r="C187" t="s">
        <v>74</v>
      </c>
      <c r="D187" t="s">
        <v>74</v>
      </c>
      <c r="E187" t="s">
        <v>74</v>
      </c>
      <c r="F187" t="s">
        <v>2349</v>
      </c>
      <c r="G187" t="s">
        <v>74</v>
      </c>
      <c r="H187" t="s">
        <v>74</v>
      </c>
      <c r="I187" t="s">
        <v>2350</v>
      </c>
      <c r="J187" t="s">
        <v>1812</v>
      </c>
      <c r="K187" t="s">
        <v>74</v>
      </c>
      <c r="L187" t="s">
        <v>74</v>
      </c>
      <c r="M187" t="s">
        <v>74</v>
      </c>
      <c r="N187" t="s">
        <v>74</v>
      </c>
      <c r="O187" t="s">
        <v>74</v>
      </c>
      <c r="P187" t="s">
        <v>74</v>
      </c>
      <c r="Q187" t="s">
        <v>74</v>
      </c>
      <c r="R187" t="s">
        <v>74</v>
      </c>
      <c r="S187" t="s">
        <v>74</v>
      </c>
      <c r="T187" t="s">
        <v>74</v>
      </c>
      <c r="U187" t="s">
        <v>74</v>
      </c>
      <c r="V187" s="3" t="s">
        <v>2351</v>
      </c>
      <c r="W187" t="s">
        <v>74</v>
      </c>
      <c r="X187" t="s">
        <v>74</v>
      </c>
      <c r="Y187" t="s">
        <v>74</v>
      </c>
      <c r="Z187" t="s">
        <v>74</v>
      </c>
      <c r="AA187" t="s">
        <v>2352</v>
      </c>
      <c r="AB187" t="s">
        <v>2353</v>
      </c>
      <c r="AC187" t="s">
        <v>74</v>
      </c>
      <c r="AD187" t="s">
        <v>74</v>
      </c>
      <c r="AE187" t="s">
        <v>74</v>
      </c>
      <c r="AF187" t="s">
        <v>74</v>
      </c>
      <c r="AG187" t="s">
        <v>74</v>
      </c>
      <c r="AH187" t="s">
        <v>74</v>
      </c>
      <c r="AI187" t="s">
        <v>74</v>
      </c>
      <c r="AJ187" t="s">
        <v>74</v>
      </c>
      <c r="AK187" t="s">
        <v>74</v>
      </c>
      <c r="AL187" t="s">
        <v>74</v>
      </c>
      <c r="AM187" t="s">
        <v>74</v>
      </c>
      <c r="AN187" t="s">
        <v>74</v>
      </c>
      <c r="AO187" t="s">
        <v>1814</v>
      </c>
      <c r="AP187" t="s">
        <v>1815</v>
      </c>
      <c r="AQ187" t="s">
        <v>74</v>
      </c>
      <c r="AR187" t="s">
        <v>74</v>
      </c>
      <c r="AS187" t="s">
        <v>74</v>
      </c>
      <c r="AT187" t="s">
        <v>352</v>
      </c>
      <c r="AU187">
        <v>2020</v>
      </c>
      <c r="AV187">
        <v>54</v>
      </c>
      <c r="AW187">
        <v>3</v>
      </c>
      <c r="AX187" t="s">
        <v>74</v>
      </c>
      <c r="AY187" t="s">
        <v>74</v>
      </c>
      <c r="AZ187" t="s">
        <v>74</v>
      </c>
      <c r="BA187" t="s">
        <v>74</v>
      </c>
      <c r="BB187">
        <v>361</v>
      </c>
      <c r="BC187">
        <v>370</v>
      </c>
      <c r="BD187" t="s">
        <v>74</v>
      </c>
      <c r="BE187" t="s">
        <v>2354</v>
      </c>
      <c r="BF187" t="str">
        <f>HYPERLINK("http://dx.doi.org/10.1670/19-110","http://dx.doi.org/10.1670/19-110")</f>
        <v>http://dx.doi.org/10.1670/19-110</v>
      </c>
      <c r="BG187" t="s">
        <v>74</v>
      </c>
      <c r="BH187" t="s">
        <v>74</v>
      </c>
      <c r="BI187" t="s">
        <v>74</v>
      </c>
      <c r="BJ187" t="s">
        <v>74</v>
      </c>
      <c r="BK187" t="s">
        <v>74</v>
      </c>
      <c r="BL187" t="s">
        <v>74</v>
      </c>
      <c r="BM187" t="s">
        <v>74</v>
      </c>
      <c r="BN187" t="s">
        <v>74</v>
      </c>
      <c r="BO187" t="s">
        <v>74</v>
      </c>
      <c r="BP187" t="s">
        <v>74</v>
      </c>
      <c r="BQ187" t="s">
        <v>74</v>
      </c>
      <c r="BR187" t="s">
        <v>74</v>
      </c>
      <c r="BS187" t="s">
        <v>2355</v>
      </c>
      <c r="BT187" t="str">
        <f>HYPERLINK("https%3A%2F%2Fwww.webofscience.com%2Fwos%2Fwoscc%2Ffull-record%2FWOS:000589893000013","View Full Record in Web of Science")</f>
        <v>View Full Record in Web of Science</v>
      </c>
    </row>
    <row r="188" spans="1:72" x14ac:dyDescent="0.4">
      <c r="A188" t="s">
        <v>72</v>
      </c>
      <c r="B188" t="s">
        <v>1572</v>
      </c>
      <c r="C188" t="s">
        <v>74</v>
      </c>
      <c r="D188" t="s">
        <v>74</v>
      </c>
      <c r="E188" t="s">
        <v>74</v>
      </c>
      <c r="F188" t="s">
        <v>1572</v>
      </c>
      <c r="G188" t="s">
        <v>74</v>
      </c>
      <c r="H188" t="s">
        <v>74</v>
      </c>
      <c r="I188" t="s">
        <v>1573</v>
      </c>
      <c r="J188" t="s">
        <v>1574</v>
      </c>
      <c r="K188" t="s">
        <v>74</v>
      </c>
      <c r="L188" t="s">
        <v>74</v>
      </c>
      <c r="M188" t="s">
        <v>74</v>
      </c>
      <c r="N188" t="s">
        <v>74</v>
      </c>
      <c r="O188" t="s">
        <v>74</v>
      </c>
      <c r="P188" t="s">
        <v>74</v>
      </c>
      <c r="Q188" t="s">
        <v>74</v>
      </c>
      <c r="R188" t="s">
        <v>74</v>
      </c>
      <c r="S188" t="s">
        <v>74</v>
      </c>
      <c r="T188" t="s">
        <v>74</v>
      </c>
      <c r="U188" t="s">
        <v>74</v>
      </c>
      <c r="V188" s="3" t="s">
        <v>1575</v>
      </c>
      <c r="W188" t="s">
        <v>74</v>
      </c>
      <c r="X188" t="s">
        <v>74</v>
      </c>
      <c r="Y188" t="s">
        <v>74</v>
      </c>
      <c r="Z188" t="s">
        <v>74</v>
      </c>
      <c r="AA188" t="s">
        <v>74</v>
      </c>
      <c r="AB188" t="s">
        <v>74</v>
      </c>
      <c r="AC188" t="s">
        <v>74</v>
      </c>
      <c r="AD188" t="s">
        <v>74</v>
      </c>
      <c r="AE188" t="s">
        <v>74</v>
      </c>
      <c r="AF188" t="s">
        <v>74</v>
      </c>
      <c r="AG188" t="s">
        <v>74</v>
      </c>
      <c r="AH188" t="s">
        <v>74</v>
      </c>
      <c r="AI188" t="s">
        <v>74</v>
      </c>
      <c r="AJ188" t="s">
        <v>74</v>
      </c>
      <c r="AK188" t="s">
        <v>74</v>
      </c>
      <c r="AL188" t="s">
        <v>74</v>
      </c>
      <c r="AM188" t="s">
        <v>74</v>
      </c>
      <c r="AN188" t="s">
        <v>74</v>
      </c>
      <c r="AO188" t="s">
        <v>1576</v>
      </c>
      <c r="AP188" t="s">
        <v>1577</v>
      </c>
      <c r="AQ188" t="s">
        <v>74</v>
      </c>
      <c r="AR188" t="s">
        <v>74</v>
      </c>
      <c r="AS188" t="s">
        <v>74</v>
      </c>
      <c r="AT188" t="s">
        <v>74</v>
      </c>
      <c r="AU188">
        <v>2005</v>
      </c>
      <c r="AV188">
        <v>66</v>
      </c>
      <c r="AW188">
        <v>2</v>
      </c>
      <c r="AX188" t="s">
        <v>74</v>
      </c>
      <c r="AY188" t="s">
        <v>74</v>
      </c>
      <c r="AZ188" t="s">
        <v>74</v>
      </c>
      <c r="BA188" t="s">
        <v>74</v>
      </c>
      <c r="BB188">
        <v>99</v>
      </c>
      <c r="BC188">
        <v>113</v>
      </c>
      <c r="BD188" t="s">
        <v>74</v>
      </c>
      <c r="BE188" t="s">
        <v>1578</v>
      </c>
      <c r="BF188" t="str">
        <f>HYPERLINK("http://dx.doi.org/10.1159/000086229","http://dx.doi.org/10.1159/000086229")</f>
        <v>http://dx.doi.org/10.1159/000086229</v>
      </c>
      <c r="BG188" t="s">
        <v>74</v>
      </c>
      <c r="BH188" t="s">
        <v>74</v>
      </c>
      <c r="BI188" t="s">
        <v>74</v>
      </c>
      <c r="BJ188" t="s">
        <v>74</v>
      </c>
      <c r="BK188" t="s">
        <v>74</v>
      </c>
      <c r="BL188" t="s">
        <v>74</v>
      </c>
      <c r="BM188" t="s">
        <v>74</v>
      </c>
      <c r="BN188">
        <v>15942161</v>
      </c>
      <c r="BO188" t="s">
        <v>74</v>
      </c>
      <c r="BP188" t="s">
        <v>74</v>
      </c>
      <c r="BQ188" t="s">
        <v>74</v>
      </c>
      <c r="BR188" t="s">
        <v>74</v>
      </c>
      <c r="BS188" t="s">
        <v>1579</v>
      </c>
      <c r="BT188" t="str">
        <f>HYPERLINK("https%3A%2F%2Fwww.webofscience.com%2Fwos%2Fwoscc%2Ffull-record%2FWOS:000230679800003","View Full Record in Web of Science")</f>
        <v>View Full Record in Web of Science</v>
      </c>
    </row>
    <row r="189" spans="1:72" x14ac:dyDescent="0.4">
      <c r="A189" t="s">
        <v>72</v>
      </c>
      <c r="B189" t="s">
        <v>2413</v>
      </c>
      <c r="C189" t="s">
        <v>74</v>
      </c>
      <c r="D189" t="s">
        <v>74</v>
      </c>
      <c r="E189" t="s">
        <v>74</v>
      </c>
      <c r="F189" t="s">
        <v>2414</v>
      </c>
      <c r="G189" t="s">
        <v>74</v>
      </c>
      <c r="H189" t="s">
        <v>74</v>
      </c>
      <c r="I189" t="s">
        <v>2415</v>
      </c>
      <c r="J189" t="s">
        <v>1557</v>
      </c>
      <c r="K189" t="s">
        <v>74</v>
      </c>
      <c r="L189" t="s">
        <v>74</v>
      </c>
      <c r="M189" t="s">
        <v>74</v>
      </c>
      <c r="N189" t="s">
        <v>74</v>
      </c>
      <c r="O189" t="s">
        <v>74</v>
      </c>
      <c r="P189" t="s">
        <v>74</v>
      </c>
      <c r="Q189" t="s">
        <v>74</v>
      </c>
      <c r="R189" t="s">
        <v>74</v>
      </c>
      <c r="S189" t="s">
        <v>74</v>
      </c>
      <c r="T189" t="s">
        <v>74</v>
      </c>
      <c r="U189" t="s">
        <v>74</v>
      </c>
      <c r="V189" s="3" t="s">
        <v>2416</v>
      </c>
      <c r="W189" t="s">
        <v>74</v>
      </c>
      <c r="X189" t="s">
        <v>74</v>
      </c>
      <c r="Y189" t="s">
        <v>74</v>
      </c>
      <c r="Z189" t="s">
        <v>74</v>
      </c>
      <c r="AA189" t="s">
        <v>74</v>
      </c>
      <c r="AB189" t="s">
        <v>2417</v>
      </c>
      <c r="AC189" t="s">
        <v>74</v>
      </c>
      <c r="AD189" t="s">
        <v>74</v>
      </c>
      <c r="AE189" t="s">
        <v>74</v>
      </c>
      <c r="AF189" t="s">
        <v>74</v>
      </c>
      <c r="AG189" t="s">
        <v>74</v>
      </c>
      <c r="AH189" t="s">
        <v>74</v>
      </c>
      <c r="AI189" t="s">
        <v>74</v>
      </c>
      <c r="AJ189" t="s">
        <v>74</v>
      </c>
      <c r="AK189" t="s">
        <v>74</v>
      </c>
      <c r="AL189" t="s">
        <v>74</v>
      </c>
      <c r="AM189" t="s">
        <v>74</v>
      </c>
      <c r="AN189" t="s">
        <v>74</v>
      </c>
      <c r="AO189" t="s">
        <v>1561</v>
      </c>
      <c r="AP189" t="s">
        <v>74</v>
      </c>
      <c r="AQ189" t="s">
        <v>74</v>
      </c>
      <c r="AR189" t="s">
        <v>74</v>
      </c>
      <c r="AS189" t="s">
        <v>74</v>
      </c>
      <c r="AT189" t="s">
        <v>74</v>
      </c>
      <c r="AU189">
        <v>2009</v>
      </c>
      <c r="AV189">
        <v>42</v>
      </c>
      <c r="AW189">
        <v>4</v>
      </c>
      <c r="AX189" t="s">
        <v>74</v>
      </c>
      <c r="AY189" t="s">
        <v>74</v>
      </c>
      <c r="AZ189" t="s">
        <v>74</v>
      </c>
      <c r="BA189" t="s">
        <v>74</v>
      </c>
      <c r="BB189">
        <v>219</v>
      </c>
      <c r="BC189">
        <v>232</v>
      </c>
      <c r="BD189" t="s">
        <v>74</v>
      </c>
      <c r="BE189" t="s">
        <v>2418</v>
      </c>
      <c r="BF189" t="str">
        <f>HYPERLINK("http://dx.doi.org/10.1080/10236240903169222","http://dx.doi.org/10.1080/10236240903169222")</f>
        <v>http://dx.doi.org/10.1080/10236240903169222</v>
      </c>
      <c r="BG189" t="s">
        <v>74</v>
      </c>
      <c r="BH189" t="s">
        <v>74</v>
      </c>
      <c r="BI189" t="s">
        <v>74</v>
      </c>
      <c r="BJ189" t="s">
        <v>74</v>
      </c>
      <c r="BK189" t="s">
        <v>74</v>
      </c>
      <c r="BL189" t="s">
        <v>74</v>
      </c>
      <c r="BM189" t="s">
        <v>74</v>
      </c>
      <c r="BN189" t="s">
        <v>74</v>
      </c>
      <c r="BO189" t="s">
        <v>74</v>
      </c>
      <c r="BP189" t="s">
        <v>74</v>
      </c>
      <c r="BQ189" t="s">
        <v>74</v>
      </c>
      <c r="BR189" t="s">
        <v>74</v>
      </c>
      <c r="BS189" t="s">
        <v>2419</v>
      </c>
      <c r="BT189" t="str">
        <f>HYPERLINK("https%3A%2F%2Fwww.webofscience.com%2Fwos%2Fwoscc%2Ffull-record%2FWOS:000271013700001","View Full Record in Web of Science")</f>
        <v>View Full Record in Web of Science</v>
      </c>
    </row>
    <row r="190" spans="1:72" x14ac:dyDescent="0.4">
      <c r="A190" t="s">
        <v>72</v>
      </c>
      <c r="B190" t="s">
        <v>5730</v>
      </c>
      <c r="C190" t="s">
        <v>74</v>
      </c>
      <c r="D190" t="s">
        <v>74</v>
      </c>
      <c r="E190" t="s">
        <v>74</v>
      </c>
      <c r="F190" t="s">
        <v>5730</v>
      </c>
      <c r="G190" t="s">
        <v>74</v>
      </c>
      <c r="H190" t="s">
        <v>74</v>
      </c>
      <c r="I190" t="s">
        <v>5731</v>
      </c>
      <c r="J190" t="s">
        <v>456</v>
      </c>
      <c r="K190" t="s">
        <v>74</v>
      </c>
      <c r="L190" t="s">
        <v>74</v>
      </c>
      <c r="M190" t="s">
        <v>74</v>
      </c>
      <c r="N190" t="s">
        <v>74</v>
      </c>
      <c r="O190" t="s">
        <v>74</v>
      </c>
      <c r="P190" t="s">
        <v>74</v>
      </c>
      <c r="Q190" t="s">
        <v>74</v>
      </c>
      <c r="R190" t="s">
        <v>74</v>
      </c>
      <c r="S190" t="s">
        <v>74</v>
      </c>
      <c r="T190" t="s">
        <v>74</v>
      </c>
      <c r="U190" t="s">
        <v>74</v>
      </c>
      <c r="V190" s="3" t="s">
        <v>5732</v>
      </c>
      <c r="W190" t="s">
        <v>74</v>
      </c>
      <c r="X190" t="s">
        <v>74</v>
      </c>
      <c r="Y190" t="s">
        <v>74</v>
      </c>
      <c r="Z190" t="s">
        <v>74</v>
      </c>
      <c r="AA190" t="s">
        <v>74</v>
      </c>
      <c r="AB190" t="s">
        <v>74</v>
      </c>
      <c r="AC190" t="s">
        <v>74</v>
      </c>
      <c r="AD190" t="s">
        <v>74</v>
      </c>
      <c r="AE190" t="s">
        <v>74</v>
      </c>
      <c r="AF190" t="s">
        <v>74</v>
      </c>
      <c r="AG190" t="s">
        <v>74</v>
      </c>
      <c r="AH190" t="s">
        <v>74</v>
      </c>
      <c r="AI190" t="s">
        <v>74</v>
      </c>
      <c r="AJ190" t="s">
        <v>74</v>
      </c>
      <c r="AK190" t="s">
        <v>74</v>
      </c>
      <c r="AL190" t="s">
        <v>74</v>
      </c>
      <c r="AM190" t="s">
        <v>74</v>
      </c>
      <c r="AN190" t="s">
        <v>74</v>
      </c>
      <c r="AO190" t="s">
        <v>460</v>
      </c>
      <c r="AP190" t="s">
        <v>461</v>
      </c>
      <c r="AQ190" t="s">
        <v>74</v>
      </c>
      <c r="AR190" t="s">
        <v>74</v>
      </c>
      <c r="AS190" t="s">
        <v>74</v>
      </c>
      <c r="AT190" t="s">
        <v>175</v>
      </c>
      <c r="AU190">
        <v>1998</v>
      </c>
      <c r="AV190">
        <v>246</v>
      </c>
      <c r="AW190" t="s">
        <v>74</v>
      </c>
      <c r="AX190">
        <v>2</v>
      </c>
      <c r="AY190" t="s">
        <v>74</v>
      </c>
      <c r="AZ190" t="s">
        <v>74</v>
      </c>
      <c r="BA190" t="s">
        <v>74</v>
      </c>
      <c r="BB190">
        <v>215</v>
      </c>
      <c r="BC190">
        <v>231</v>
      </c>
      <c r="BD190" t="s">
        <v>74</v>
      </c>
      <c r="BE190" t="s">
        <v>5733</v>
      </c>
      <c r="BF190" t="str">
        <f>HYPERLINK("http://dx.doi.org/10.1111/j.1469-7998.1998.tb00150.x","http://dx.doi.org/10.1111/j.1469-7998.1998.tb00150.x")</f>
        <v>http://dx.doi.org/10.1111/j.1469-7998.1998.tb00150.x</v>
      </c>
      <c r="BG190" t="s">
        <v>74</v>
      </c>
      <c r="BH190" t="s">
        <v>74</v>
      </c>
      <c r="BI190" t="s">
        <v>74</v>
      </c>
      <c r="BJ190" t="s">
        <v>74</v>
      </c>
      <c r="BK190" t="s">
        <v>74</v>
      </c>
      <c r="BL190" t="s">
        <v>74</v>
      </c>
      <c r="BM190" t="s">
        <v>74</v>
      </c>
      <c r="BN190" t="s">
        <v>74</v>
      </c>
      <c r="BO190" t="s">
        <v>74</v>
      </c>
      <c r="BP190" t="s">
        <v>74</v>
      </c>
      <c r="BQ190" t="s">
        <v>74</v>
      </c>
      <c r="BR190" t="s">
        <v>74</v>
      </c>
      <c r="BS190" t="s">
        <v>5734</v>
      </c>
      <c r="BT190" t="str">
        <f>HYPERLINK("https%3A%2F%2Fwww.webofscience.com%2Fwos%2Fwoscc%2Ffull-record%2FWOS:000077191700010","View Full Record in Web of Science")</f>
        <v>View Full Record in Web of Science</v>
      </c>
    </row>
    <row r="191" spans="1:72" x14ac:dyDescent="0.4">
      <c r="A191" t="s">
        <v>72</v>
      </c>
      <c r="B191" t="s">
        <v>4304</v>
      </c>
      <c r="C191" t="s">
        <v>74</v>
      </c>
      <c r="D191" t="s">
        <v>74</v>
      </c>
      <c r="E191" t="s">
        <v>74</v>
      </c>
      <c r="F191" t="s">
        <v>4305</v>
      </c>
      <c r="G191" t="s">
        <v>74</v>
      </c>
      <c r="H191" t="s">
        <v>74</v>
      </c>
      <c r="I191" t="s">
        <v>4306</v>
      </c>
      <c r="J191" t="s">
        <v>1126</v>
      </c>
      <c r="K191" t="s">
        <v>74</v>
      </c>
      <c r="L191" t="s">
        <v>74</v>
      </c>
      <c r="M191" t="s">
        <v>74</v>
      </c>
      <c r="N191" t="s">
        <v>74</v>
      </c>
      <c r="O191" t="s">
        <v>74</v>
      </c>
      <c r="P191" t="s">
        <v>74</v>
      </c>
      <c r="Q191" t="s">
        <v>74</v>
      </c>
      <c r="R191" t="s">
        <v>74</v>
      </c>
      <c r="S191" t="s">
        <v>74</v>
      </c>
      <c r="T191" t="s">
        <v>74</v>
      </c>
      <c r="U191" t="s">
        <v>74</v>
      </c>
      <c r="V191" s="3" t="s">
        <v>4307</v>
      </c>
      <c r="W191" t="s">
        <v>74</v>
      </c>
      <c r="X191" t="s">
        <v>74</v>
      </c>
      <c r="Y191" t="s">
        <v>74</v>
      </c>
      <c r="Z191" t="s">
        <v>74</v>
      </c>
      <c r="AA191" t="s">
        <v>379</v>
      </c>
      <c r="AB191" t="s">
        <v>74</v>
      </c>
      <c r="AC191" t="s">
        <v>74</v>
      </c>
      <c r="AD191" t="s">
        <v>74</v>
      </c>
      <c r="AE191" t="s">
        <v>74</v>
      </c>
      <c r="AF191" t="s">
        <v>74</v>
      </c>
      <c r="AG191" t="s">
        <v>74</v>
      </c>
      <c r="AH191" t="s">
        <v>74</v>
      </c>
      <c r="AI191" t="s">
        <v>74</v>
      </c>
      <c r="AJ191" t="s">
        <v>74</v>
      </c>
      <c r="AK191" t="s">
        <v>74</v>
      </c>
      <c r="AL191" t="s">
        <v>74</v>
      </c>
      <c r="AM191" t="s">
        <v>74</v>
      </c>
      <c r="AN191" t="s">
        <v>74</v>
      </c>
      <c r="AO191" t="s">
        <v>1128</v>
      </c>
      <c r="AP191" t="s">
        <v>1129</v>
      </c>
      <c r="AQ191" t="s">
        <v>74</v>
      </c>
      <c r="AR191" t="s">
        <v>74</v>
      </c>
      <c r="AS191" t="s">
        <v>74</v>
      </c>
      <c r="AT191" t="s">
        <v>123</v>
      </c>
      <c r="AU191">
        <v>2013</v>
      </c>
      <c r="AV191" t="s">
        <v>74</v>
      </c>
      <c r="AW191">
        <v>1</v>
      </c>
      <c r="AX191" t="s">
        <v>74</v>
      </c>
      <c r="AY191" t="s">
        <v>74</v>
      </c>
      <c r="AZ191" t="s">
        <v>74</v>
      </c>
      <c r="BA191" t="s">
        <v>74</v>
      </c>
      <c r="BB191">
        <v>154</v>
      </c>
      <c r="BC191">
        <v>159</v>
      </c>
      <c r="BD191" t="s">
        <v>74</v>
      </c>
      <c r="BE191" t="s">
        <v>4308</v>
      </c>
      <c r="BF191" t="str">
        <f>HYPERLINK("http://dx.doi.org/10.1643/CE-12-056","http://dx.doi.org/10.1643/CE-12-056")</f>
        <v>http://dx.doi.org/10.1643/CE-12-056</v>
      </c>
      <c r="BG191" t="s">
        <v>74</v>
      </c>
      <c r="BH191" t="s">
        <v>74</v>
      </c>
      <c r="BI191" t="s">
        <v>74</v>
      </c>
      <c r="BJ191" t="s">
        <v>74</v>
      </c>
      <c r="BK191" t="s">
        <v>74</v>
      </c>
      <c r="BL191" t="s">
        <v>74</v>
      </c>
      <c r="BM191" t="s">
        <v>74</v>
      </c>
      <c r="BN191" t="s">
        <v>74</v>
      </c>
      <c r="BO191" t="s">
        <v>74</v>
      </c>
      <c r="BP191" t="s">
        <v>74</v>
      </c>
      <c r="BQ191" t="s">
        <v>74</v>
      </c>
      <c r="BR191" t="s">
        <v>74</v>
      </c>
      <c r="BS191" t="s">
        <v>4309</v>
      </c>
      <c r="BT191" t="str">
        <f>HYPERLINK("https%3A%2F%2Fwww.webofscience.com%2Fwos%2Fwoscc%2Ffull-record%2FWOS:000411881100019","View Full Record in Web of Science")</f>
        <v>View Full Record in Web of Science</v>
      </c>
    </row>
    <row r="192" spans="1:72" x14ac:dyDescent="0.4">
      <c r="A192" t="s">
        <v>72</v>
      </c>
      <c r="B192" t="s">
        <v>8472</v>
      </c>
      <c r="C192" t="s">
        <v>74</v>
      </c>
      <c r="D192" t="s">
        <v>74</v>
      </c>
      <c r="E192" t="s">
        <v>74</v>
      </c>
      <c r="F192" t="s">
        <v>8473</v>
      </c>
      <c r="G192" t="s">
        <v>74</v>
      </c>
      <c r="H192" t="s">
        <v>74</v>
      </c>
      <c r="I192" t="s">
        <v>8474</v>
      </c>
      <c r="J192" t="s">
        <v>576</v>
      </c>
      <c r="K192" t="s">
        <v>74</v>
      </c>
      <c r="L192" t="s">
        <v>74</v>
      </c>
      <c r="M192" t="s">
        <v>74</v>
      </c>
      <c r="N192" t="s">
        <v>74</v>
      </c>
      <c r="O192" t="s">
        <v>74</v>
      </c>
      <c r="P192" t="s">
        <v>74</v>
      </c>
      <c r="Q192" t="s">
        <v>74</v>
      </c>
      <c r="R192" t="s">
        <v>74</v>
      </c>
      <c r="S192" t="s">
        <v>74</v>
      </c>
      <c r="T192" t="s">
        <v>74</v>
      </c>
      <c r="U192" t="s">
        <v>74</v>
      </c>
      <c r="V192" s="3" t="s">
        <v>8475</v>
      </c>
      <c r="W192" t="s">
        <v>74</v>
      </c>
      <c r="X192" t="s">
        <v>74</v>
      </c>
      <c r="Y192" t="s">
        <v>74</v>
      </c>
      <c r="Z192" t="s">
        <v>74</v>
      </c>
      <c r="AA192" t="s">
        <v>8476</v>
      </c>
      <c r="AB192" t="s">
        <v>8477</v>
      </c>
      <c r="AC192" t="s">
        <v>74</v>
      </c>
      <c r="AD192" t="s">
        <v>74</v>
      </c>
      <c r="AE192" t="s">
        <v>74</v>
      </c>
      <c r="AF192" t="s">
        <v>74</v>
      </c>
      <c r="AG192" t="s">
        <v>74</v>
      </c>
      <c r="AH192" t="s">
        <v>74</v>
      </c>
      <c r="AI192" t="s">
        <v>74</v>
      </c>
      <c r="AJ192" t="s">
        <v>74</v>
      </c>
      <c r="AK192" t="s">
        <v>74</v>
      </c>
      <c r="AL192" t="s">
        <v>74</v>
      </c>
      <c r="AM192" t="s">
        <v>74</v>
      </c>
      <c r="AN192" t="s">
        <v>74</v>
      </c>
      <c r="AO192" t="s">
        <v>579</v>
      </c>
      <c r="AP192" t="s">
        <v>580</v>
      </c>
      <c r="AQ192" t="s">
        <v>74</v>
      </c>
      <c r="AR192" t="s">
        <v>74</v>
      </c>
      <c r="AS192" t="s">
        <v>74</v>
      </c>
      <c r="AT192" t="s">
        <v>352</v>
      </c>
      <c r="AU192">
        <v>2014</v>
      </c>
      <c r="AV192">
        <v>28</v>
      </c>
      <c r="AW192">
        <v>5</v>
      </c>
      <c r="AX192" t="s">
        <v>74</v>
      </c>
      <c r="AY192" t="s">
        <v>74</v>
      </c>
      <c r="AZ192" t="s">
        <v>74</v>
      </c>
      <c r="BA192" t="s">
        <v>74</v>
      </c>
      <c r="BB192">
        <v>941</v>
      </c>
      <c r="BC192">
        <v>956</v>
      </c>
      <c r="BD192" t="s">
        <v>74</v>
      </c>
      <c r="BE192" t="s">
        <v>8478</v>
      </c>
      <c r="BF192" t="str">
        <f>HYPERLINK("http://dx.doi.org/10.1007/s10682-014-9711-1","http://dx.doi.org/10.1007/s10682-014-9711-1")</f>
        <v>http://dx.doi.org/10.1007/s10682-014-9711-1</v>
      </c>
      <c r="BG192" t="s">
        <v>74</v>
      </c>
      <c r="BH192" t="s">
        <v>74</v>
      </c>
      <c r="BI192" t="s">
        <v>74</v>
      </c>
      <c r="BJ192" t="s">
        <v>74</v>
      </c>
      <c r="BK192" t="s">
        <v>74</v>
      </c>
      <c r="BL192" t="s">
        <v>74</v>
      </c>
      <c r="BM192" t="s">
        <v>74</v>
      </c>
      <c r="BN192" t="s">
        <v>74</v>
      </c>
      <c r="BO192" t="s">
        <v>74</v>
      </c>
      <c r="BP192" t="s">
        <v>74</v>
      </c>
      <c r="BQ192" t="s">
        <v>74</v>
      </c>
      <c r="BR192" t="s">
        <v>74</v>
      </c>
      <c r="BS192" t="s">
        <v>8479</v>
      </c>
      <c r="BT192" t="str">
        <f>HYPERLINK("https%3A%2F%2Fwww.webofscience.com%2Fwos%2Fwoscc%2Ffull-record%2FWOS:000340496000009","View Full Record in Web of Science")</f>
        <v>View Full Record in Web of Science</v>
      </c>
    </row>
    <row r="193" spans="1:72" x14ac:dyDescent="0.4">
      <c r="A193" t="s">
        <v>72</v>
      </c>
      <c r="B193" t="s">
        <v>1195</v>
      </c>
      <c r="C193" t="s">
        <v>74</v>
      </c>
      <c r="D193" t="s">
        <v>74</v>
      </c>
      <c r="E193" t="s">
        <v>74</v>
      </c>
      <c r="F193" t="s">
        <v>1196</v>
      </c>
      <c r="G193" t="s">
        <v>74</v>
      </c>
      <c r="H193" t="s">
        <v>74</v>
      </c>
      <c r="I193" t="s">
        <v>1197</v>
      </c>
      <c r="J193" t="s">
        <v>1198</v>
      </c>
      <c r="K193" t="s">
        <v>74</v>
      </c>
      <c r="L193" t="s">
        <v>74</v>
      </c>
      <c r="M193" t="s">
        <v>74</v>
      </c>
      <c r="N193" t="s">
        <v>74</v>
      </c>
      <c r="O193" t="s">
        <v>74</v>
      </c>
      <c r="P193" t="s">
        <v>74</v>
      </c>
      <c r="Q193" t="s">
        <v>74</v>
      </c>
      <c r="R193" t="s">
        <v>74</v>
      </c>
      <c r="S193" t="s">
        <v>74</v>
      </c>
      <c r="T193" t="s">
        <v>74</v>
      </c>
      <c r="U193" t="s">
        <v>74</v>
      </c>
      <c r="V193" s="3" t="s">
        <v>1199</v>
      </c>
      <c r="W193" t="s">
        <v>74</v>
      </c>
      <c r="X193" t="s">
        <v>74</v>
      </c>
      <c r="Y193" t="s">
        <v>74</v>
      </c>
      <c r="Z193" t="s">
        <v>74</v>
      </c>
      <c r="AA193" t="s">
        <v>1200</v>
      </c>
      <c r="AB193" t="s">
        <v>1201</v>
      </c>
      <c r="AC193" t="s">
        <v>74</v>
      </c>
      <c r="AD193" t="s">
        <v>74</v>
      </c>
      <c r="AE193" t="s">
        <v>74</v>
      </c>
      <c r="AF193" t="s">
        <v>74</v>
      </c>
      <c r="AG193" t="s">
        <v>74</v>
      </c>
      <c r="AH193" t="s">
        <v>74</v>
      </c>
      <c r="AI193" t="s">
        <v>74</v>
      </c>
      <c r="AJ193" t="s">
        <v>74</v>
      </c>
      <c r="AK193" t="s">
        <v>74</v>
      </c>
      <c r="AL193" t="s">
        <v>74</v>
      </c>
      <c r="AM193" t="s">
        <v>74</v>
      </c>
      <c r="AN193" t="s">
        <v>74</v>
      </c>
      <c r="AO193" t="s">
        <v>1202</v>
      </c>
      <c r="AP193" t="s">
        <v>1203</v>
      </c>
      <c r="AQ193" t="s">
        <v>74</v>
      </c>
      <c r="AR193" t="s">
        <v>74</v>
      </c>
      <c r="AS193" t="s">
        <v>74</v>
      </c>
      <c r="AT193" t="s">
        <v>123</v>
      </c>
      <c r="AU193">
        <v>2023</v>
      </c>
      <c r="AV193">
        <v>79</v>
      </c>
      <c r="AW193">
        <v>1</v>
      </c>
      <c r="AX193" t="s">
        <v>74</v>
      </c>
      <c r="AY193" t="s">
        <v>74</v>
      </c>
      <c r="AZ193" t="s">
        <v>74</v>
      </c>
      <c r="BA193" t="s">
        <v>74</v>
      </c>
      <c r="BB193">
        <v>37</v>
      </c>
      <c r="BC193">
        <v>47</v>
      </c>
      <c r="BD193" t="s">
        <v>74</v>
      </c>
      <c r="BE193" t="s">
        <v>74</v>
      </c>
      <c r="BF193" t="s">
        <v>74</v>
      </c>
      <c r="BG193" t="s">
        <v>74</v>
      </c>
      <c r="BH193" t="s">
        <v>74</v>
      </c>
      <c r="BI193" t="s">
        <v>74</v>
      </c>
      <c r="BJ193" t="s">
        <v>74</v>
      </c>
      <c r="BK193" t="s">
        <v>74</v>
      </c>
      <c r="BL193" t="s">
        <v>74</v>
      </c>
      <c r="BM193" t="s">
        <v>74</v>
      </c>
      <c r="BN193" t="s">
        <v>74</v>
      </c>
      <c r="BO193" t="s">
        <v>74</v>
      </c>
      <c r="BP193" t="s">
        <v>74</v>
      </c>
      <c r="BQ193" t="s">
        <v>74</v>
      </c>
      <c r="BR193" t="s">
        <v>74</v>
      </c>
      <c r="BS193" t="s">
        <v>1204</v>
      </c>
      <c r="BT193" t="str">
        <f>HYPERLINK("https%3A%2F%2Fwww.webofscience.com%2Fwos%2Fwoscc%2Ffull-record%2FWOS:000948166800005","View Full Record in Web of Science")</f>
        <v>View Full Record in Web of Science</v>
      </c>
    </row>
    <row r="194" spans="1:72" x14ac:dyDescent="0.4">
      <c r="A194" t="s">
        <v>72</v>
      </c>
      <c r="B194" t="s">
        <v>5849</v>
      </c>
      <c r="C194" t="s">
        <v>74</v>
      </c>
      <c r="D194" t="s">
        <v>74</v>
      </c>
      <c r="E194" t="s">
        <v>74</v>
      </c>
      <c r="F194" t="s">
        <v>5850</v>
      </c>
      <c r="G194" t="s">
        <v>74</v>
      </c>
      <c r="H194" t="s">
        <v>74</v>
      </c>
      <c r="I194" t="s">
        <v>5851</v>
      </c>
      <c r="J194" t="s">
        <v>140</v>
      </c>
      <c r="K194" t="s">
        <v>74</v>
      </c>
      <c r="L194" t="s">
        <v>74</v>
      </c>
      <c r="M194" t="s">
        <v>74</v>
      </c>
      <c r="N194" t="s">
        <v>74</v>
      </c>
      <c r="O194" t="s">
        <v>74</v>
      </c>
      <c r="P194" t="s">
        <v>74</v>
      </c>
      <c r="Q194" t="s">
        <v>74</v>
      </c>
      <c r="R194" t="s">
        <v>74</v>
      </c>
      <c r="S194" t="s">
        <v>74</v>
      </c>
      <c r="T194" t="s">
        <v>74</v>
      </c>
      <c r="U194" t="s">
        <v>74</v>
      </c>
      <c r="V194" s="3" t="s">
        <v>5852</v>
      </c>
      <c r="W194" t="s">
        <v>74</v>
      </c>
      <c r="X194" t="s">
        <v>74</v>
      </c>
      <c r="Y194" t="s">
        <v>74</v>
      </c>
      <c r="Z194" t="s">
        <v>74</v>
      </c>
      <c r="AA194" t="s">
        <v>5853</v>
      </c>
      <c r="AB194" t="s">
        <v>5854</v>
      </c>
      <c r="AC194" t="s">
        <v>74</v>
      </c>
      <c r="AD194" t="s">
        <v>74</v>
      </c>
      <c r="AE194" t="s">
        <v>74</v>
      </c>
      <c r="AF194" t="s">
        <v>74</v>
      </c>
      <c r="AG194" t="s">
        <v>74</v>
      </c>
      <c r="AH194" t="s">
        <v>74</v>
      </c>
      <c r="AI194" t="s">
        <v>74</v>
      </c>
      <c r="AJ194" t="s">
        <v>74</v>
      </c>
      <c r="AK194" t="s">
        <v>74</v>
      </c>
      <c r="AL194" t="s">
        <v>74</v>
      </c>
      <c r="AM194" t="s">
        <v>74</v>
      </c>
      <c r="AN194" t="s">
        <v>74</v>
      </c>
      <c r="AO194" t="s">
        <v>143</v>
      </c>
      <c r="AP194" t="s">
        <v>144</v>
      </c>
      <c r="AQ194" t="s">
        <v>74</v>
      </c>
      <c r="AR194" t="s">
        <v>74</v>
      </c>
      <c r="AS194" t="s">
        <v>74</v>
      </c>
      <c r="AT194" t="s">
        <v>213</v>
      </c>
      <c r="AU194">
        <v>2015</v>
      </c>
      <c r="AV194">
        <v>109</v>
      </c>
      <c r="AW194" t="s">
        <v>74</v>
      </c>
      <c r="AX194" t="s">
        <v>74</v>
      </c>
      <c r="AY194" t="s">
        <v>74</v>
      </c>
      <c r="AZ194" t="s">
        <v>74</v>
      </c>
      <c r="BA194" t="s">
        <v>74</v>
      </c>
      <c r="BB194">
        <v>33</v>
      </c>
      <c r="BC194">
        <v>44</v>
      </c>
      <c r="BD194" t="s">
        <v>74</v>
      </c>
      <c r="BE194" t="s">
        <v>5855</v>
      </c>
      <c r="BF194" t="str">
        <f>HYPERLINK("http://dx.doi.org/10.1016/j.anbehav.2015.08.002","http://dx.doi.org/10.1016/j.anbehav.2015.08.002")</f>
        <v>http://dx.doi.org/10.1016/j.anbehav.2015.08.002</v>
      </c>
      <c r="BG194" t="s">
        <v>74</v>
      </c>
      <c r="BH194" t="s">
        <v>74</v>
      </c>
      <c r="BI194" t="s">
        <v>74</v>
      </c>
      <c r="BJ194" t="s">
        <v>74</v>
      </c>
      <c r="BK194" t="s">
        <v>74</v>
      </c>
      <c r="BL194" t="s">
        <v>74</v>
      </c>
      <c r="BM194" t="s">
        <v>74</v>
      </c>
      <c r="BN194" t="s">
        <v>74</v>
      </c>
      <c r="BO194" t="s">
        <v>74</v>
      </c>
      <c r="BP194" t="s">
        <v>74</v>
      </c>
      <c r="BQ194" t="s">
        <v>74</v>
      </c>
      <c r="BR194" t="s">
        <v>74</v>
      </c>
      <c r="BS194" t="s">
        <v>5856</v>
      </c>
      <c r="BT194" t="str">
        <f>HYPERLINK("https%3A%2F%2Fwww.webofscience.com%2Fwos%2Fwoscc%2Ffull-record%2FWOS:000363268300007","View Full Record in Web of Science")</f>
        <v>View Full Record in Web of Science</v>
      </c>
    </row>
    <row r="195" spans="1:72" x14ac:dyDescent="0.4">
      <c r="A195" t="s">
        <v>72</v>
      </c>
      <c r="B195" t="s">
        <v>6750</v>
      </c>
      <c r="C195" t="s">
        <v>74</v>
      </c>
      <c r="D195" t="s">
        <v>74</v>
      </c>
      <c r="E195" t="s">
        <v>74</v>
      </c>
      <c r="F195" t="s">
        <v>6751</v>
      </c>
      <c r="G195" t="s">
        <v>74</v>
      </c>
      <c r="H195" t="s">
        <v>74</v>
      </c>
      <c r="I195" t="s">
        <v>6752</v>
      </c>
      <c r="J195" t="s">
        <v>610</v>
      </c>
      <c r="K195" t="s">
        <v>74</v>
      </c>
      <c r="L195" t="s">
        <v>74</v>
      </c>
      <c r="M195" t="s">
        <v>74</v>
      </c>
      <c r="N195" t="s">
        <v>74</v>
      </c>
      <c r="O195" t="s">
        <v>74</v>
      </c>
      <c r="P195" t="s">
        <v>74</v>
      </c>
      <c r="Q195" t="s">
        <v>74</v>
      </c>
      <c r="R195" t="s">
        <v>74</v>
      </c>
      <c r="S195" t="s">
        <v>74</v>
      </c>
      <c r="T195" t="s">
        <v>74</v>
      </c>
      <c r="U195" t="s">
        <v>74</v>
      </c>
      <c r="V195" s="3" t="s">
        <v>6753</v>
      </c>
      <c r="W195" t="s">
        <v>74</v>
      </c>
      <c r="X195" t="s">
        <v>74</v>
      </c>
      <c r="Y195" t="s">
        <v>74</v>
      </c>
      <c r="Z195" t="s">
        <v>74</v>
      </c>
      <c r="AA195" t="s">
        <v>6754</v>
      </c>
      <c r="AB195" t="s">
        <v>6755</v>
      </c>
      <c r="AC195" t="s">
        <v>74</v>
      </c>
      <c r="AD195" t="s">
        <v>74</v>
      </c>
      <c r="AE195" t="s">
        <v>74</v>
      </c>
      <c r="AF195" t="s">
        <v>74</v>
      </c>
      <c r="AG195" t="s">
        <v>74</v>
      </c>
      <c r="AH195" t="s">
        <v>74</v>
      </c>
      <c r="AI195" t="s">
        <v>74</v>
      </c>
      <c r="AJ195" t="s">
        <v>74</v>
      </c>
      <c r="AK195" t="s">
        <v>74</v>
      </c>
      <c r="AL195" t="s">
        <v>74</v>
      </c>
      <c r="AM195" t="s">
        <v>74</v>
      </c>
      <c r="AN195" t="s">
        <v>74</v>
      </c>
      <c r="AO195" t="s">
        <v>614</v>
      </c>
      <c r="AP195" t="s">
        <v>615</v>
      </c>
      <c r="AQ195" t="s">
        <v>74</v>
      </c>
      <c r="AR195" t="s">
        <v>74</v>
      </c>
      <c r="AS195" t="s">
        <v>74</v>
      </c>
      <c r="AT195" t="s">
        <v>964</v>
      </c>
      <c r="AU195">
        <v>2020</v>
      </c>
      <c r="AV195">
        <v>126</v>
      </c>
      <c r="AW195">
        <v>2</v>
      </c>
      <c r="AX195" t="s">
        <v>74</v>
      </c>
      <c r="AY195" t="s">
        <v>74</v>
      </c>
      <c r="AZ195" t="s">
        <v>848</v>
      </c>
      <c r="BA195" t="s">
        <v>74</v>
      </c>
      <c r="BB195">
        <v>140</v>
      </c>
      <c r="BC195">
        <v>152</v>
      </c>
      <c r="BD195" t="s">
        <v>74</v>
      </c>
      <c r="BE195" t="s">
        <v>6756</v>
      </c>
      <c r="BF195" t="str">
        <f>HYPERLINK("http://dx.doi.org/10.1111/eth.12954","http://dx.doi.org/10.1111/eth.12954")</f>
        <v>http://dx.doi.org/10.1111/eth.12954</v>
      </c>
      <c r="BG195" t="s">
        <v>74</v>
      </c>
      <c r="BH195" t="s">
        <v>6757</v>
      </c>
      <c r="BI195" t="s">
        <v>74</v>
      </c>
      <c r="BJ195" t="s">
        <v>74</v>
      </c>
      <c r="BK195" t="s">
        <v>74</v>
      </c>
      <c r="BL195" t="s">
        <v>74</v>
      </c>
      <c r="BM195" t="s">
        <v>74</v>
      </c>
      <c r="BN195" t="s">
        <v>74</v>
      </c>
      <c r="BO195" t="s">
        <v>74</v>
      </c>
      <c r="BP195" t="s">
        <v>74</v>
      </c>
      <c r="BQ195" t="s">
        <v>74</v>
      </c>
      <c r="BR195" t="s">
        <v>74</v>
      </c>
      <c r="BS195" t="s">
        <v>6758</v>
      </c>
      <c r="BT195" t="str">
        <f>HYPERLINK("https%3A%2F%2Fwww.webofscience.com%2Fwos%2Fwoscc%2Ffull-record%2FWOS:000488374300001","View Full Record in Web of Science")</f>
        <v>View Full Record in Web of Science</v>
      </c>
    </row>
    <row r="196" spans="1:72" x14ac:dyDescent="0.4">
      <c r="A196" t="s">
        <v>72</v>
      </c>
      <c r="B196" t="s">
        <v>5771</v>
      </c>
      <c r="C196" t="s">
        <v>74</v>
      </c>
      <c r="D196" t="s">
        <v>74</v>
      </c>
      <c r="E196" t="s">
        <v>74</v>
      </c>
      <c r="F196" t="s">
        <v>5772</v>
      </c>
      <c r="G196" t="s">
        <v>74</v>
      </c>
      <c r="H196" t="s">
        <v>74</v>
      </c>
      <c r="I196" t="s">
        <v>5773</v>
      </c>
      <c r="J196" t="s">
        <v>5774</v>
      </c>
      <c r="K196" t="s">
        <v>74</v>
      </c>
      <c r="L196" t="s">
        <v>74</v>
      </c>
      <c r="M196" t="s">
        <v>74</v>
      </c>
      <c r="N196" t="s">
        <v>74</v>
      </c>
      <c r="O196" t="s">
        <v>74</v>
      </c>
      <c r="P196" t="s">
        <v>74</v>
      </c>
      <c r="Q196" t="s">
        <v>74</v>
      </c>
      <c r="R196" t="s">
        <v>74</v>
      </c>
      <c r="S196" t="s">
        <v>74</v>
      </c>
      <c r="T196" t="s">
        <v>74</v>
      </c>
      <c r="U196" t="s">
        <v>74</v>
      </c>
      <c r="V196" s="3" t="s">
        <v>5775</v>
      </c>
      <c r="W196" t="s">
        <v>74</v>
      </c>
      <c r="X196" t="s">
        <v>74</v>
      </c>
      <c r="Y196" t="s">
        <v>74</v>
      </c>
      <c r="Z196" t="s">
        <v>74</v>
      </c>
      <c r="AA196" t="s">
        <v>4828</v>
      </c>
      <c r="AB196" t="s">
        <v>4829</v>
      </c>
      <c r="AC196" t="s">
        <v>74</v>
      </c>
      <c r="AD196" t="s">
        <v>74</v>
      </c>
      <c r="AE196" t="s">
        <v>74</v>
      </c>
      <c r="AF196" t="s">
        <v>74</v>
      </c>
      <c r="AG196" t="s">
        <v>74</v>
      </c>
      <c r="AH196" t="s">
        <v>74</v>
      </c>
      <c r="AI196" t="s">
        <v>74</v>
      </c>
      <c r="AJ196" t="s">
        <v>74</v>
      </c>
      <c r="AK196" t="s">
        <v>74</v>
      </c>
      <c r="AL196" t="s">
        <v>74</v>
      </c>
      <c r="AM196" t="s">
        <v>74</v>
      </c>
      <c r="AN196" t="s">
        <v>74</v>
      </c>
      <c r="AO196" t="s">
        <v>5776</v>
      </c>
      <c r="AP196" t="s">
        <v>74</v>
      </c>
      <c r="AQ196" t="s">
        <v>74</v>
      </c>
      <c r="AR196" t="s">
        <v>74</v>
      </c>
      <c r="AS196" t="s">
        <v>74</v>
      </c>
      <c r="AT196" t="s">
        <v>102</v>
      </c>
      <c r="AU196">
        <v>2009</v>
      </c>
      <c r="AV196">
        <v>20</v>
      </c>
      <c r="AW196">
        <v>2</v>
      </c>
      <c r="AX196" t="s">
        <v>74</v>
      </c>
      <c r="AY196" t="s">
        <v>74</v>
      </c>
      <c r="AZ196" t="s">
        <v>74</v>
      </c>
      <c r="BA196" t="s">
        <v>74</v>
      </c>
      <c r="BB196">
        <v>163</v>
      </c>
      <c r="BC196">
        <v>178</v>
      </c>
      <c r="BD196" t="s">
        <v>74</v>
      </c>
      <c r="BE196" t="s">
        <v>74</v>
      </c>
      <c r="BF196" t="s">
        <v>74</v>
      </c>
      <c r="BG196" t="s">
        <v>74</v>
      </c>
      <c r="BH196" t="s">
        <v>74</v>
      </c>
      <c r="BI196" t="s">
        <v>74</v>
      </c>
      <c r="BJ196" t="s">
        <v>74</v>
      </c>
      <c r="BK196" t="s">
        <v>74</v>
      </c>
      <c r="BL196" t="s">
        <v>74</v>
      </c>
      <c r="BM196" t="s">
        <v>74</v>
      </c>
      <c r="BN196" t="s">
        <v>74</v>
      </c>
      <c r="BO196" t="s">
        <v>74</v>
      </c>
      <c r="BP196" t="s">
        <v>74</v>
      </c>
      <c r="BQ196" t="s">
        <v>74</v>
      </c>
      <c r="BR196" t="s">
        <v>74</v>
      </c>
      <c r="BS196" t="s">
        <v>5777</v>
      </c>
      <c r="BT196" t="str">
        <f>HYPERLINK("https%3A%2F%2Fwww.webofscience.com%2Fwos%2Fwoscc%2Ffull-record%2FWOS:000269324600006","View Full Record in Web of Science")</f>
        <v>View Full Record in Web of Science</v>
      </c>
    </row>
    <row r="197" spans="1:72" x14ac:dyDescent="0.4">
      <c r="A197" t="s">
        <v>72</v>
      </c>
      <c r="B197" t="s">
        <v>3203</v>
      </c>
      <c r="C197" t="s">
        <v>74</v>
      </c>
      <c r="D197" t="s">
        <v>74</v>
      </c>
      <c r="E197" t="s">
        <v>74</v>
      </c>
      <c r="F197" t="s">
        <v>3203</v>
      </c>
      <c r="G197" t="s">
        <v>74</v>
      </c>
      <c r="H197" t="s">
        <v>74</v>
      </c>
      <c r="I197" t="s">
        <v>3204</v>
      </c>
      <c r="J197" t="s">
        <v>509</v>
      </c>
      <c r="K197" t="s">
        <v>74</v>
      </c>
      <c r="L197" t="s">
        <v>74</v>
      </c>
      <c r="M197" t="s">
        <v>74</v>
      </c>
      <c r="N197" t="s">
        <v>74</v>
      </c>
      <c r="O197" t="s">
        <v>74</v>
      </c>
      <c r="P197" t="s">
        <v>74</v>
      </c>
      <c r="Q197" t="s">
        <v>74</v>
      </c>
      <c r="R197" t="s">
        <v>74</v>
      </c>
      <c r="S197" t="s">
        <v>74</v>
      </c>
      <c r="T197" t="s">
        <v>74</v>
      </c>
      <c r="U197" t="s">
        <v>74</v>
      </c>
      <c r="V197" s="3" t="s">
        <v>3205</v>
      </c>
      <c r="W197" t="s">
        <v>74</v>
      </c>
      <c r="X197" t="s">
        <v>74</v>
      </c>
      <c r="Y197" t="s">
        <v>74</v>
      </c>
      <c r="Z197" t="s">
        <v>74</v>
      </c>
      <c r="AA197" t="s">
        <v>74</v>
      </c>
      <c r="AB197" t="s">
        <v>74</v>
      </c>
      <c r="AC197" t="s">
        <v>74</v>
      </c>
      <c r="AD197" t="s">
        <v>74</v>
      </c>
      <c r="AE197" t="s">
        <v>74</v>
      </c>
      <c r="AF197" t="s">
        <v>74</v>
      </c>
      <c r="AG197" t="s">
        <v>74</v>
      </c>
      <c r="AH197" t="s">
        <v>74</v>
      </c>
      <c r="AI197" t="s">
        <v>74</v>
      </c>
      <c r="AJ197" t="s">
        <v>74</v>
      </c>
      <c r="AK197" t="s">
        <v>74</v>
      </c>
      <c r="AL197" t="s">
        <v>74</v>
      </c>
      <c r="AM197" t="s">
        <v>74</v>
      </c>
      <c r="AN197" t="s">
        <v>74</v>
      </c>
      <c r="AO197" t="s">
        <v>511</v>
      </c>
      <c r="AP197" t="s">
        <v>512</v>
      </c>
      <c r="AQ197" t="s">
        <v>74</v>
      </c>
      <c r="AR197" t="s">
        <v>74</v>
      </c>
      <c r="AS197" t="s">
        <v>74</v>
      </c>
      <c r="AT197" t="s">
        <v>123</v>
      </c>
      <c r="AU197">
        <v>2005</v>
      </c>
      <c r="AV197">
        <v>47</v>
      </c>
      <c r="AW197">
        <v>3</v>
      </c>
      <c r="AX197" t="s">
        <v>74</v>
      </c>
      <c r="AY197" t="s">
        <v>74</v>
      </c>
      <c r="AZ197" t="s">
        <v>74</v>
      </c>
      <c r="BA197" t="s">
        <v>74</v>
      </c>
      <c r="BB197">
        <v>336</v>
      </c>
      <c r="BC197">
        <v>342</v>
      </c>
      <c r="BD197" t="s">
        <v>74</v>
      </c>
      <c r="BE197" t="s">
        <v>3206</v>
      </c>
      <c r="BF197" t="str">
        <f>HYPERLINK("http://dx.doi.org/10.1016/j.yhbeh.2004.11.014","http://dx.doi.org/10.1016/j.yhbeh.2004.11.014")</f>
        <v>http://dx.doi.org/10.1016/j.yhbeh.2004.11.014</v>
      </c>
      <c r="BG197" t="s">
        <v>74</v>
      </c>
      <c r="BH197" t="s">
        <v>74</v>
      </c>
      <c r="BI197" t="s">
        <v>74</v>
      </c>
      <c r="BJ197" t="s">
        <v>74</v>
      </c>
      <c r="BK197" t="s">
        <v>74</v>
      </c>
      <c r="BL197" t="s">
        <v>74</v>
      </c>
      <c r="BM197" t="s">
        <v>74</v>
      </c>
      <c r="BN197">
        <v>15708763</v>
      </c>
      <c r="BO197" t="s">
        <v>74</v>
      </c>
      <c r="BP197" t="s">
        <v>74</v>
      </c>
      <c r="BQ197" t="s">
        <v>74</v>
      </c>
      <c r="BR197" t="s">
        <v>74</v>
      </c>
      <c r="BS197" t="s">
        <v>3207</v>
      </c>
      <c r="BT197" t="str">
        <f>HYPERLINK("https%3A%2F%2Fwww.webofscience.com%2Fwos%2Fwoscc%2Ffull-record%2FWOS:000227326100013","View Full Record in Web of Science")</f>
        <v>View Full Record in Web of Science</v>
      </c>
    </row>
    <row r="198" spans="1:72" x14ac:dyDescent="0.4">
      <c r="A198" t="s">
        <v>72</v>
      </c>
      <c r="B198" t="s">
        <v>6416</v>
      </c>
      <c r="C198" t="s">
        <v>74</v>
      </c>
      <c r="D198" t="s">
        <v>74</v>
      </c>
      <c r="E198" t="s">
        <v>74</v>
      </c>
      <c r="F198" t="s">
        <v>6417</v>
      </c>
      <c r="G198" t="s">
        <v>74</v>
      </c>
      <c r="H198" t="s">
        <v>74</v>
      </c>
      <c r="I198" t="s">
        <v>6418</v>
      </c>
      <c r="J198" t="s">
        <v>1812</v>
      </c>
      <c r="K198" t="s">
        <v>74</v>
      </c>
      <c r="L198" t="s">
        <v>74</v>
      </c>
      <c r="M198" t="s">
        <v>74</v>
      </c>
      <c r="N198" t="s">
        <v>74</v>
      </c>
      <c r="O198" t="s">
        <v>74</v>
      </c>
      <c r="P198" t="s">
        <v>74</v>
      </c>
      <c r="Q198" t="s">
        <v>74</v>
      </c>
      <c r="R198" t="s">
        <v>74</v>
      </c>
      <c r="S198" t="s">
        <v>74</v>
      </c>
      <c r="T198" t="s">
        <v>74</v>
      </c>
      <c r="U198" t="s">
        <v>74</v>
      </c>
      <c r="V198" s="3" t="s">
        <v>6419</v>
      </c>
      <c r="W198" t="s">
        <v>74</v>
      </c>
      <c r="X198" t="s">
        <v>74</v>
      </c>
      <c r="Y198" t="s">
        <v>74</v>
      </c>
      <c r="Z198" t="s">
        <v>74</v>
      </c>
      <c r="AA198" t="s">
        <v>6420</v>
      </c>
      <c r="AB198" t="s">
        <v>6421</v>
      </c>
      <c r="AC198" t="s">
        <v>74</v>
      </c>
      <c r="AD198" t="s">
        <v>74</v>
      </c>
      <c r="AE198" t="s">
        <v>74</v>
      </c>
      <c r="AF198" t="s">
        <v>74</v>
      </c>
      <c r="AG198" t="s">
        <v>74</v>
      </c>
      <c r="AH198" t="s">
        <v>74</v>
      </c>
      <c r="AI198" t="s">
        <v>74</v>
      </c>
      <c r="AJ198" t="s">
        <v>74</v>
      </c>
      <c r="AK198" t="s">
        <v>74</v>
      </c>
      <c r="AL198" t="s">
        <v>74</v>
      </c>
      <c r="AM198" t="s">
        <v>74</v>
      </c>
      <c r="AN198" t="s">
        <v>74</v>
      </c>
      <c r="AO198" t="s">
        <v>1814</v>
      </c>
      <c r="AP198" t="s">
        <v>1815</v>
      </c>
      <c r="AQ198" t="s">
        <v>74</v>
      </c>
      <c r="AR198" t="s">
        <v>74</v>
      </c>
      <c r="AS198" t="s">
        <v>74</v>
      </c>
      <c r="AT198" t="s">
        <v>123</v>
      </c>
      <c r="AU198">
        <v>2016</v>
      </c>
      <c r="AV198">
        <v>50</v>
      </c>
      <c r="AW198">
        <v>1</v>
      </c>
      <c r="AX198" t="s">
        <v>74</v>
      </c>
      <c r="AY198" t="s">
        <v>74</v>
      </c>
      <c r="AZ198" t="s">
        <v>74</v>
      </c>
      <c r="BA198" t="s">
        <v>74</v>
      </c>
      <c r="BB198">
        <v>169</v>
      </c>
      <c r="BC198">
        <v>178</v>
      </c>
      <c r="BD198" t="s">
        <v>74</v>
      </c>
      <c r="BE198" t="s">
        <v>6422</v>
      </c>
      <c r="BF198" t="str">
        <f>HYPERLINK("http://dx.doi.org/10.1670/14-119","http://dx.doi.org/10.1670/14-119")</f>
        <v>http://dx.doi.org/10.1670/14-119</v>
      </c>
      <c r="BG198" t="s">
        <v>74</v>
      </c>
      <c r="BH198" t="s">
        <v>74</v>
      </c>
      <c r="BI198" t="s">
        <v>74</v>
      </c>
      <c r="BJ198" t="s">
        <v>74</v>
      </c>
      <c r="BK198" t="s">
        <v>74</v>
      </c>
      <c r="BL198" t="s">
        <v>74</v>
      </c>
      <c r="BM198" t="s">
        <v>74</v>
      </c>
      <c r="BN198" t="s">
        <v>74</v>
      </c>
      <c r="BO198" t="s">
        <v>74</v>
      </c>
      <c r="BP198" t="s">
        <v>74</v>
      </c>
      <c r="BQ198" t="s">
        <v>74</v>
      </c>
      <c r="BR198" t="s">
        <v>74</v>
      </c>
      <c r="BS198" t="s">
        <v>6423</v>
      </c>
      <c r="BT198" t="str">
        <f>HYPERLINK("https%3A%2F%2Fwww.webofscience.com%2Fwos%2Fwoscc%2Ffull-record%2FWOS:000371617900026","View Full Record in Web of Science")</f>
        <v>View Full Record in Web of Science</v>
      </c>
    </row>
    <row r="199" spans="1:72" x14ac:dyDescent="0.4">
      <c r="A199" t="s">
        <v>72</v>
      </c>
      <c r="B199" t="s">
        <v>5308</v>
      </c>
      <c r="C199" t="s">
        <v>74</v>
      </c>
      <c r="D199" t="s">
        <v>74</v>
      </c>
      <c r="E199" t="s">
        <v>74</v>
      </c>
      <c r="F199" t="s">
        <v>5309</v>
      </c>
      <c r="G199" t="s">
        <v>74</v>
      </c>
      <c r="H199" t="s">
        <v>74</v>
      </c>
      <c r="I199" t="s">
        <v>5310</v>
      </c>
      <c r="J199" t="s">
        <v>119</v>
      </c>
      <c r="K199" t="s">
        <v>74</v>
      </c>
      <c r="L199" t="s">
        <v>74</v>
      </c>
      <c r="M199" t="s">
        <v>74</v>
      </c>
      <c r="N199" t="s">
        <v>74</v>
      </c>
      <c r="O199" t="s">
        <v>74</v>
      </c>
      <c r="P199" t="s">
        <v>74</v>
      </c>
      <c r="Q199" t="s">
        <v>74</v>
      </c>
      <c r="R199" t="s">
        <v>74</v>
      </c>
      <c r="S199" t="s">
        <v>74</v>
      </c>
      <c r="T199" t="s">
        <v>74</v>
      </c>
      <c r="U199" t="s">
        <v>74</v>
      </c>
      <c r="V199" s="3" t="s">
        <v>5311</v>
      </c>
      <c r="W199" t="s">
        <v>74</v>
      </c>
      <c r="X199" t="s">
        <v>74</v>
      </c>
      <c r="Y199" t="s">
        <v>74</v>
      </c>
      <c r="Z199" t="s">
        <v>74</v>
      </c>
      <c r="AA199" t="s">
        <v>74</v>
      </c>
      <c r="AB199" t="s">
        <v>74</v>
      </c>
      <c r="AC199" t="s">
        <v>74</v>
      </c>
      <c r="AD199" t="s">
        <v>74</v>
      </c>
      <c r="AE199" t="s">
        <v>74</v>
      </c>
      <c r="AF199" t="s">
        <v>74</v>
      </c>
      <c r="AG199" t="s">
        <v>74</v>
      </c>
      <c r="AH199" t="s">
        <v>74</v>
      </c>
      <c r="AI199" t="s">
        <v>74</v>
      </c>
      <c r="AJ199" t="s">
        <v>74</v>
      </c>
      <c r="AK199" t="s">
        <v>74</v>
      </c>
      <c r="AL199" t="s">
        <v>74</v>
      </c>
      <c r="AM199" t="s">
        <v>74</v>
      </c>
      <c r="AN199" t="s">
        <v>74</v>
      </c>
      <c r="AO199" t="s">
        <v>121</v>
      </c>
      <c r="AP199" t="s">
        <v>122</v>
      </c>
      <c r="AQ199" t="s">
        <v>74</v>
      </c>
      <c r="AR199" t="s">
        <v>74</v>
      </c>
      <c r="AS199" t="s">
        <v>74</v>
      </c>
      <c r="AT199" t="s">
        <v>255</v>
      </c>
      <c r="AU199">
        <v>2009</v>
      </c>
      <c r="AV199">
        <v>80</v>
      </c>
      <c r="AW199">
        <v>1</v>
      </c>
      <c r="AX199" t="s">
        <v>74</v>
      </c>
      <c r="AY199" t="s">
        <v>74</v>
      </c>
      <c r="AZ199" t="s">
        <v>74</v>
      </c>
      <c r="BA199" t="s">
        <v>74</v>
      </c>
      <c r="BB199">
        <v>46</v>
      </c>
      <c r="BC199">
        <v>50</v>
      </c>
      <c r="BD199" t="s">
        <v>74</v>
      </c>
      <c r="BE199" t="s">
        <v>5312</v>
      </c>
      <c r="BF199" t="str">
        <f>HYPERLINK("http://dx.doi.org/10.1016/j.beproc.2008.09.007","http://dx.doi.org/10.1016/j.beproc.2008.09.007")</f>
        <v>http://dx.doi.org/10.1016/j.beproc.2008.09.007</v>
      </c>
      <c r="BG199" t="s">
        <v>74</v>
      </c>
      <c r="BH199" t="s">
        <v>74</v>
      </c>
      <c r="BI199" t="s">
        <v>74</v>
      </c>
      <c r="BJ199" t="s">
        <v>74</v>
      </c>
      <c r="BK199" t="s">
        <v>74</v>
      </c>
      <c r="BL199" t="s">
        <v>74</v>
      </c>
      <c r="BM199" t="s">
        <v>74</v>
      </c>
      <c r="BN199">
        <v>18929629</v>
      </c>
      <c r="BO199" t="s">
        <v>74</v>
      </c>
      <c r="BP199" t="s">
        <v>74</v>
      </c>
      <c r="BQ199" t="s">
        <v>74</v>
      </c>
      <c r="BR199" t="s">
        <v>74</v>
      </c>
      <c r="BS199" t="s">
        <v>5313</v>
      </c>
      <c r="BT199" t="str">
        <f>HYPERLINK("https%3A%2F%2Fwww.webofscience.com%2Fwos%2Fwoscc%2Ffull-record%2FWOS:000262546900008","View Full Record in Web of Science")</f>
        <v>View Full Record in Web of Science</v>
      </c>
    </row>
    <row r="200" spans="1:72" x14ac:dyDescent="0.4">
      <c r="A200" t="s">
        <v>72</v>
      </c>
      <c r="B200" t="s">
        <v>6625</v>
      </c>
      <c r="C200" t="s">
        <v>74</v>
      </c>
      <c r="D200" t="s">
        <v>74</v>
      </c>
      <c r="E200" t="s">
        <v>74</v>
      </c>
      <c r="F200" t="s">
        <v>6625</v>
      </c>
      <c r="G200" t="s">
        <v>74</v>
      </c>
      <c r="H200" t="s">
        <v>74</v>
      </c>
      <c r="I200" t="s">
        <v>6626</v>
      </c>
      <c r="J200" t="s">
        <v>814</v>
      </c>
      <c r="K200" t="s">
        <v>74</v>
      </c>
      <c r="L200" t="s">
        <v>74</v>
      </c>
      <c r="M200" t="s">
        <v>74</v>
      </c>
      <c r="N200" t="s">
        <v>74</v>
      </c>
      <c r="O200" t="s">
        <v>74</v>
      </c>
      <c r="P200" t="s">
        <v>74</v>
      </c>
      <c r="Q200" t="s">
        <v>74</v>
      </c>
      <c r="R200" t="s">
        <v>74</v>
      </c>
      <c r="S200" t="s">
        <v>74</v>
      </c>
      <c r="T200" t="s">
        <v>74</v>
      </c>
      <c r="U200" t="s">
        <v>74</v>
      </c>
      <c r="V200" s="3" t="s">
        <v>6627</v>
      </c>
      <c r="W200" t="s">
        <v>74</v>
      </c>
      <c r="X200" t="s">
        <v>74</v>
      </c>
      <c r="Y200" t="s">
        <v>74</v>
      </c>
      <c r="Z200" t="s">
        <v>74</v>
      </c>
      <c r="AA200" t="s">
        <v>74</v>
      </c>
      <c r="AB200" t="s">
        <v>74</v>
      </c>
      <c r="AC200" t="s">
        <v>74</v>
      </c>
      <c r="AD200" t="s">
        <v>74</v>
      </c>
      <c r="AE200" t="s">
        <v>74</v>
      </c>
      <c r="AF200" t="s">
        <v>74</v>
      </c>
      <c r="AG200" t="s">
        <v>74</v>
      </c>
      <c r="AH200" t="s">
        <v>74</v>
      </c>
      <c r="AI200" t="s">
        <v>74</v>
      </c>
      <c r="AJ200" t="s">
        <v>74</v>
      </c>
      <c r="AK200" t="s">
        <v>74</v>
      </c>
      <c r="AL200" t="s">
        <v>74</v>
      </c>
      <c r="AM200" t="s">
        <v>74</v>
      </c>
      <c r="AN200" t="s">
        <v>74</v>
      </c>
      <c r="AO200" t="s">
        <v>818</v>
      </c>
      <c r="AP200" t="s">
        <v>74</v>
      </c>
      <c r="AQ200" t="s">
        <v>74</v>
      </c>
      <c r="AR200" t="s">
        <v>74</v>
      </c>
      <c r="AS200" t="s">
        <v>74</v>
      </c>
      <c r="AT200" t="s">
        <v>74</v>
      </c>
      <c r="AU200">
        <v>2005</v>
      </c>
      <c r="AV200">
        <v>108</v>
      </c>
      <c r="AW200">
        <v>1</v>
      </c>
      <c r="AX200" t="s">
        <v>74</v>
      </c>
      <c r="AY200" t="s">
        <v>74</v>
      </c>
      <c r="AZ200" t="s">
        <v>74</v>
      </c>
      <c r="BA200" t="s">
        <v>74</v>
      </c>
      <c r="BB200">
        <v>27</v>
      </c>
      <c r="BC200">
        <v>39</v>
      </c>
      <c r="BD200" t="s">
        <v>74</v>
      </c>
      <c r="BE200" t="s">
        <v>6628</v>
      </c>
      <c r="BF200" t="str">
        <f>HYPERLINK("http://dx.doi.org/10.1016/j.zool.2004.07.007","http://dx.doi.org/10.1016/j.zool.2004.07.007")</f>
        <v>http://dx.doi.org/10.1016/j.zool.2004.07.007</v>
      </c>
      <c r="BG200" t="s">
        <v>74</v>
      </c>
      <c r="BH200" t="s">
        <v>74</v>
      </c>
      <c r="BI200" t="s">
        <v>74</v>
      </c>
      <c r="BJ200" t="s">
        <v>74</v>
      </c>
      <c r="BK200" t="s">
        <v>74</v>
      </c>
      <c r="BL200" t="s">
        <v>74</v>
      </c>
      <c r="BM200" t="s">
        <v>74</v>
      </c>
      <c r="BN200">
        <v>16351952</v>
      </c>
      <c r="BO200" t="s">
        <v>74</v>
      </c>
      <c r="BP200" t="s">
        <v>74</v>
      </c>
      <c r="BQ200" t="s">
        <v>74</v>
      </c>
      <c r="BR200" t="s">
        <v>74</v>
      </c>
      <c r="BS200" t="s">
        <v>6629</v>
      </c>
      <c r="BT200" t="str">
        <f>HYPERLINK("https%3A%2F%2Fwww.webofscience.com%2Fwos%2Fwoscc%2Ffull-record%2FWOS:000228395300003","View Full Record in Web of Science")</f>
        <v>View Full Record in Web of Science</v>
      </c>
    </row>
    <row r="201" spans="1:72" x14ac:dyDescent="0.4">
      <c r="A201" t="s">
        <v>72</v>
      </c>
      <c r="B201" t="s">
        <v>96</v>
      </c>
      <c r="C201" t="s">
        <v>74</v>
      </c>
      <c r="D201" t="s">
        <v>74</v>
      </c>
      <c r="E201" t="s">
        <v>74</v>
      </c>
      <c r="F201" t="s">
        <v>97</v>
      </c>
      <c r="G201" t="s">
        <v>74</v>
      </c>
      <c r="H201" t="s">
        <v>74</v>
      </c>
      <c r="I201" t="s">
        <v>98</v>
      </c>
      <c r="J201" t="s">
        <v>99</v>
      </c>
      <c r="K201" t="s">
        <v>74</v>
      </c>
      <c r="L201" t="s">
        <v>74</v>
      </c>
      <c r="M201" t="s">
        <v>74</v>
      </c>
      <c r="N201" t="s">
        <v>74</v>
      </c>
      <c r="O201" t="s">
        <v>74</v>
      </c>
      <c r="P201" t="s">
        <v>74</v>
      </c>
      <c r="Q201" t="s">
        <v>74</v>
      </c>
      <c r="R201" t="s">
        <v>74</v>
      </c>
      <c r="S201" t="s">
        <v>74</v>
      </c>
      <c r="T201" t="s">
        <v>74</v>
      </c>
      <c r="U201" t="s">
        <v>74</v>
      </c>
      <c r="V201" s="3" t="s">
        <v>100</v>
      </c>
      <c r="W201" t="s">
        <v>74</v>
      </c>
      <c r="X201" t="s">
        <v>74</v>
      </c>
      <c r="Y201" t="s">
        <v>74</v>
      </c>
      <c r="Z201" t="s">
        <v>74</v>
      </c>
      <c r="AA201" t="s">
        <v>74</v>
      </c>
      <c r="AB201" t="s">
        <v>74</v>
      </c>
      <c r="AC201" t="s">
        <v>74</v>
      </c>
      <c r="AD201" t="s">
        <v>74</v>
      </c>
      <c r="AE201" t="s">
        <v>74</v>
      </c>
      <c r="AF201" t="s">
        <v>74</v>
      </c>
      <c r="AG201" t="s">
        <v>74</v>
      </c>
      <c r="AH201" t="s">
        <v>74</v>
      </c>
      <c r="AI201" t="s">
        <v>74</v>
      </c>
      <c r="AJ201" t="s">
        <v>74</v>
      </c>
      <c r="AK201" t="s">
        <v>74</v>
      </c>
      <c r="AL201" t="s">
        <v>74</v>
      </c>
      <c r="AM201" t="s">
        <v>74</v>
      </c>
      <c r="AN201" t="s">
        <v>74</v>
      </c>
      <c r="AO201" t="s">
        <v>101</v>
      </c>
      <c r="AP201" t="s">
        <v>74</v>
      </c>
      <c r="AQ201" t="s">
        <v>74</v>
      </c>
      <c r="AR201" t="s">
        <v>74</v>
      </c>
      <c r="AS201" t="s">
        <v>74</v>
      </c>
      <c r="AT201" t="s">
        <v>102</v>
      </c>
      <c r="AU201">
        <v>2013</v>
      </c>
      <c r="AV201">
        <v>125</v>
      </c>
      <c r="AW201">
        <v>2</v>
      </c>
      <c r="AX201" t="s">
        <v>74</v>
      </c>
      <c r="AY201" t="s">
        <v>74</v>
      </c>
      <c r="AZ201" t="s">
        <v>74</v>
      </c>
      <c r="BA201" t="s">
        <v>74</v>
      </c>
      <c r="BB201">
        <v>348</v>
      </c>
      <c r="BC201">
        <v>357</v>
      </c>
      <c r="BD201" t="s">
        <v>74</v>
      </c>
      <c r="BE201" t="s">
        <v>103</v>
      </c>
      <c r="BF201" t="str">
        <f>HYPERLINK("http://dx.doi.org/10.1676/12-155.1","http://dx.doi.org/10.1676/12-155.1")</f>
        <v>http://dx.doi.org/10.1676/12-155.1</v>
      </c>
      <c r="BG201" t="s">
        <v>74</v>
      </c>
      <c r="BH201" t="s">
        <v>74</v>
      </c>
      <c r="BI201" t="s">
        <v>74</v>
      </c>
      <c r="BJ201" t="s">
        <v>74</v>
      </c>
      <c r="BK201" t="s">
        <v>74</v>
      </c>
      <c r="BL201" t="s">
        <v>74</v>
      </c>
      <c r="BM201" t="s">
        <v>74</v>
      </c>
      <c r="BN201" t="s">
        <v>74</v>
      </c>
      <c r="BO201" t="s">
        <v>74</v>
      </c>
      <c r="BP201" t="s">
        <v>74</v>
      </c>
      <c r="BQ201" t="s">
        <v>74</v>
      </c>
      <c r="BR201" t="s">
        <v>74</v>
      </c>
      <c r="BS201" t="s">
        <v>104</v>
      </c>
      <c r="BT201" t="str">
        <f>HYPERLINK("https%3A%2F%2Fwww.webofscience.com%2Fwos%2Fwoscc%2Ffull-record%2FWOS:000320893300015","View Full Record in Web of Science")</f>
        <v>View Full Record in Web of Science</v>
      </c>
    </row>
    <row r="202" spans="1:72" x14ac:dyDescent="0.4">
      <c r="A202" t="s">
        <v>72</v>
      </c>
      <c r="B202" t="s">
        <v>3530</v>
      </c>
      <c r="C202" t="s">
        <v>74</v>
      </c>
      <c r="D202" t="s">
        <v>74</v>
      </c>
      <c r="E202" t="s">
        <v>74</v>
      </c>
      <c r="F202" t="s">
        <v>3531</v>
      </c>
      <c r="G202" t="s">
        <v>74</v>
      </c>
      <c r="H202" t="s">
        <v>74</v>
      </c>
      <c r="I202" t="s">
        <v>3532</v>
      </c>
      <c r="J202" t="s">
        <v>1112</v>
      </c>
      <c r="K202" t="s">
        <v>74</v>
      </c>
      <c r="L202" t="s">
        <v>74</v>
      </c>
      <c r="M202" t="s">
        <v>74</v>
      </c>
      <c r="N202" t="s">
        <v>74</v>
      </c>
      <c r="O202" t="s">
        <v>74</v>
      </c>
      <c r="P202" t="s">
        <v>74</v>
      </c>
      <c r="Q202" t="s">
        <v>74</v>
      </c>
      <c r="R202" t="s">
        <v>74</v>
      </c>
      <c r="S202" t="s">
        <v>74</v>
      </c>
      <c r="T202" t="s">
        <v>74</v>
      </c>
      <c r="U202" t="s">
        <v>74</v>
      </c>
      <c r="V202" s="3" t="s">
        <v>3533</v>
      </c>
      <c r="W202" t="s">
        <v>74</v>
      </c>
      <c r="X202" t="s">
        <v>74</v>
      </c>
      <c r="Y202" t="s">
        <v>74</v>
      </c>
      <c r="Z202" t="s">
        <v>74</v>
      </c>
      <c r="AA202" t="s">
        <v>3534</v>
      </c>
      <c r="AB202" t="s">
        <v>3535</v>
      </c>
      <c r="AC202" t="s">
        <v>74</v>
      </c>
      <c r="AD202" t="s">
        <v>74</v>
      </c>
      <c r="AE202" t="s">
        <v>74</v>
      </c>
      <c r="AF202" t="s">
        <v>74</v>
      </c>
      <c r="AG202" t="s">
        <v>74</v>
      </c>
      <c r="AH202" t="s">
        <v>74</v>
      </c>
      <c r="AI202" t="s">
        <v>74</v>
      </c>
      <c r="AJ202" t="s">
        <v>74</v>
      </c>
      <c r="AK202" t="s">
        <v>74</v>
      </c>
      <c r="AL202" t="s">
        <v>74</v>
      </c>
      <c r="AM202" t="s">
        <v>74</v>
      </c>
      <c r="AN202" t="s">
        <v>74</v>
      </c>
      <c r="AO202" t="s">
        <v>1114</v>
      </c>
      <c r="AP202" t="s">
        <v>1115</v>
      </c>
      <c r="AQ202" t="s">
        <v>74</v>
      </c>
      <c r="AR202" t="s">
        <v>74</v>
      </c>
      <c r="AS202" t="s">
        <v>74</v>
      </c>
      <c r="AT202" t="s">
        <v>123</v>
      </c>
      <c r="AU202">
        <v>2020</v>
      </c>
      <c r="AV202">
        <v>224</v>
      </c>
      <c r="AW202" t="s">
        <v>74</v>
      </c>
      <c r="AX202" t="s">
        <v>74</v>
      </c>
      <c r="AY202" t="s">
        <v>74</v>
      </c>
      <c r="AZ202" t="s">
        <v>74</v>
      </c>
      <c r="BA202" t="s">
        <v>74</v>
      </c>
      <c r="BB202" t="s">
        <v>74</v>
      </c>
      <c r="BC202" t="s">
        <v>74</v>
      </c>
      <c r="BD202">
        <v>104947</v>
      </c>
      <c r="BE202" t="s">
        <v>3536</v>
      </c>
      <c r="BF202" t="str">
        <f>HYPERLINK("http://dx.doi.org/10.1016/j.applanim.2020.104947","http://dx.doi.org/10.1016/j.applanim.2020.104947")</f>
        <v>http://dx.doi.org/10.1016/j.applanim.2020.104947</v>
      </c>
      <c r="BG202" t="s">
        <v>74</v>
      </c>
      <c r="BH202" t="s">
        <v>74</v>
      </c>
      <c r="BI202" t="s">
        <v>74</v>
      </c>
      <c r="BJ202" t="s">
        <v>74</v>
      </c>
      <c r="BK202" t="s">
        <v>74</v>
      </c>
      <c r="BL202" t="s">
        <v>74</v>
      </c>
      <c r="BM202" t="s">
        <v>74</v>
      </c>
      <c r="BN202" t="s">
        <v>74</v>
      </c>
      <c r="BO202" t="s">
        <v>74</v>
      </c>
      <c r="BP202" t="s">
        <v>74</v>
      </c>
      <c r="BQ202" t="s">
        <v>74</v>
      </c>
      <c r="BR202" t="s">
        <v>74</v>
      </c>
      <c r="BS202" t="s">
        <v>3537</v>
      </c>
      <c r="BT202" t="str">
        <f>HYPERLINK("https%3A%2F%2Fwww.webofscience.com%2Fwos%2Fwoscc%2Ffull-record%2FWOS:000524493000016","View Full Record in Web of Science")</f>
        <v>View Full Record in Web of Science</v>
      </c>
    </row>
    <row r="203" spans="1:72" x14ac:dyDescent="0.4">
      <c r="A203" t="s">
        <v>72</v>
      </c>
      <c r="B203" t="s">
        <v>2728</v>
      </c>
      <c r="C203" t="s">
        <v>74</v>
      </c>
      <c r="D203" t="s">
        <v>74</v>
      </c>
      <c r="E203" t="s">
        <v>74</v>
      </c>
      <c r="F203" t="s">
        <v>2728</v>
      </c>
      <c r="G203" t="s">
        <v>74</v>
      </c>
      <c r="H203" t="s">
        <v>74</v>
      </c>
      <c r="I203" t="s">
        <v>2729</v>
      </c>
      <c r="J203" t="s">
        <v>431</v>
      </c>
      <c r="K203" t="s">
        <v>74</v>
      </c>
      <c r="L203" t="s">
        <v>74</v>
      </c>
      <c r="M203" t="s">
        <v>74</v>
      </c>
      <c r="N203" t="s">
        <v>74</v>
      </c>
      <c r="O203" t="s">
        <v>74</v>
      </c>
      <c r="P203" t="s">
        <v>74</v>
      </c>
      <c r="Q203" t="s">
        <v>74</v>
      </c>
      <c r="R203" t="s">
        <v>74</v>
      </c>
      <c r="S203" t="s">
        <v>74</v>
      </c>
      <c r="T203" t="s">
        <v>74</v>
      </c>
      <c r="U203" t="s">
        <v>74</v>
      </c>
      <c r="V203" s="3" t="s">
        <v>2730</v>
      </c>
      <c r="W203" t="s">
        <v>74</v>
      </c>
      <c r="X203" t="s">
        <v>74</v>
      </c>
      <c r="Y203" t="s">
        <v>74</v>
      </c>
      <c r="Z203" t="s">
        <v>74</v>
      </c>
      <c r="AA203" t="s">
        <v>74</v>
      </c>
      <c r="AB203" t="s">
        <v>74</v>
      </c>
      <c r="AC203" t="s">
        <v>74</v>
      </c>
      <c r="AD203" t="s">
        <v>74</v>
      </c>
      <c r="AE203" t="s">
        <v>74</v>
      </c>
      <c r="AF203" t="s">
        <v>74</v>
      </c>
      <c r="AG203" t="s">
        <v>74</v>
      </c>
      <c r="AH203" t="s">
        <v>74</v>
      </c>
      <c r="AI203" t="s">
        <v>74</v>
      </c>
      <c r="AJ203" t="s">
        <v>74</v>
      </c>
      <c r="AK203" t="s">
        <v>74</v>
      </c>
      <c r="AL203" t="s">
        <v>74</v>
      </c>
      <c r="AM203" t="s">
        <v>74</v>
      </c>
      <c r="AN203" t="s">
        <v>74</v>
      </c>
      <c r="AO203" t="s">
        <v>1458</v>
      </c>
      <c r="AP203" t="s">
        <v>435</v>
      </c>
      <c r="AQ203" t="s">
        <v>74</v>
      </c>
      <c r="AR203" t="s">
        <v>74</v>
      </c>
      <c r="AS203" t="s">
        <v>74</v>
      </c>
      <c r="AT203" t="s">
        <v>175</v>
      </c>
      <c r="AU203">
        <v>1993</v>
      </c>
      <c r="AV203">
        <v>110</v>
      </c>
      <c r="AW203">
        <v>4</v>
      </c>
      <c r="AX203" t="s">
        <v>74</v>
      </c>
      <c r="AY203" t="s">
        <v>74</v>
      </c>
      <c r="AZ203" t="s">
        <v>74</v>
      </c>
      <c r="BA203" t="s">
        <v>74</v>
      </c>
      <c r="BB203">
        <v>683</v>
      </c>
      <c r="BC203">
        <v>692</v>
      </c>
      <c r="BD203" t="s">
        <v>74</v>
      </c>
      <c r="BE203" t="s">
        <v>2731</v>
      </c>
      <c r="BF203" t="str">
        <f>HYPERLINK("http://dx.doi.org/10.2307/4088624","http://dx.doi.org/10.2307/4088624")</f>
        <v>http://dx.doi.org/10.2307/4088624</v>
      </c>
      <c r="BG203" t="s">
        <v>74</v>
      </c>
      <c r="BH203" t="s">
        <v>74</v>
      </c>
      <c r="BI203" t="s">
        <v>74</v>
      </c>
      <c r="BJ203" t="s">
        <v>74</v>
      </c>
      <c r="BK203" t="s">
        <v>74</v>
      </c>
      <c r="BL203" t="s">
        <v>74</v>
      </c>
      <c r="BM203" t="s">
        <v>74</v>
      </c>
      <c r="BN203" t="s">
        <v>74</v>
      </c>
      <c r="BO203" t="s">
        <v>74</v>
      </c>
      <c r="BP203" t="s">
        <v>74</v>
      </c>
      <c r="BQ203" t="s">
        <v>74</v>
      </c>
      <c r="BR203" t="s">
        <v>74</v>
      </c>
      <c r="BS203" t="s">
        <v>2732</v>
      </c>
      <c r="BT203" t="str">
        <f>HYPERLINK("https%3A%2F%2Fwww.webofscience.com%2Fwos%2Fwoscc%2Ffull-record%2FWOS:A1993NL01100001","View Full Record in Web of Science")</f>
        <v>View Full Record in Web of Science</v>
      </c>
    </row>
    <row r="204" spans="1:72" x14ac:dyDescent="0.4">
      <c r="A204" t="s">
        <v>72</v>
      </c>
      <c r="B204" t="s">
        <v>7272</v>
      </c>
      <c r="C204" t="s">
        <v>74</v>
      </c>
      <c r="D204" t="s">
        <v>74</v>
      </c>
      <c r="E204" t="s">
        <v>74</v>
      </c>
      <c r="F204" t="s">
        <v>7272</v>
      </c>
      <c r="G204" t="s">
        <v>74</v>
      </c>
      <c r="H204" t="s">
        <v>74</v>
      </c>
      <c r="I204" t="s">
        <v>7273</v>
      </c>
      <c r="J204" t="s">
        <v>431</v>
      </c>
      <c r="K204" t="s">
        <v>74</v>
      </c>
      <c r="L204" t="s">
        <v>74</v>
      </c>
      <c r="M204" t="s">
        <v>74</v>
      </c>
      <c r="N204" t="s">
        <v>74</v>
      </c>
      <c r="O204" t="s">
        <v>74</v>
      </c>
      <c r="P204" t="s">
        <v>74</v>
      </c>
      <c r="Q204" t="s">
        <v>74</v>
      </c>
      <c r="R204" t="s">
        <v>74</v>
      </c>
      <c r="S204" t="s">
        <v>74</v>
      </c>
      <c r="T204" t="s">
        <v>74</v>
      </c>
      <c r="U204" t="s">
        <v>74</v>
      </c>
      <c r="V204" s="3" t="s">
        <v>7274</v>
      </c>
      <c r="W204" t="s">
        <v>74</v>
      </c>
      <c r="X204" t="s">
        <v>74</v>
      </c>
      <c r="Y204" t="s">
        <v>74</v>
      </c>
      <c r="Z204" t="s">
        <v>74</v>
      </c>
      <c r="AA204" t="s">
        <v>74</v>
      </c>
      <c r="AB204" t="s">
        <v>74</v>
      </c>
      <c r="AC204" t="s">
        <v>74</v>
      </c>
      <c r="AD204" t="s">
        <v>74</v>
      </c>
      <c r="AE204" t="s">
        <v>74</v>
      </c>
      <c r="AF204" t="s">
        <v>74</v>
      </c>
      <c r="AG204" t="s">
        <v>74</v>
      </c>
      <c r="AH204" t="s">
        <v>74</v>
      </c>
      <c r="AI204" t="s">
        <v>74</v>
      </c>
      <c r="AJ204" t="s">
        <v>74</v>
      </c>
      <c r="AK204" t="s">
        <v>74</v>
      </c>
      <c r="AL204" t="s">
        <v>74</v>
      </c>
      <c r="AM204" t="s">
        <v>74</v>
      </c>
      <c r="AN204" t="s">
        <v>74</v>
      </c>
      <c r="AO204" t="s">
        <v>74</v>
      </c>
      <c r="AP204" t="s">
        <v>435</v>
      </c>
      <c r="AQ204" t="s">
        <v>74</v>
      </c>
      <c r="AR204" t="s">
        <v>74</v>
      </c>
      <c r="AS204" t="s">
        <v>74</v>
      </c>
      <c r="AT204" t="s">
        <v>74</v>
      </c>
      <c r="AU204">
        <v>1980</v>
      </c>
      <c r="AV204">
        <v>97</v>
      </c>
      <c r="AW204">
        <v>2</v>
      </c>
      <c r="AX204" t="s">
        <v>74</v>
      </c>
      <c r="AY204" t="s">
        <v>74</v>
      </c>
      <c r="AZ204" t="s">
        <v>74</v>
      </c>
      <c r="BA204" t="s">
        <v>74</v>
      </c>
      <c r="BB204">
        <v>213</v>
      </c>
      <c r="BC204">
        <v>226</v>
      </c>
      <c r="BD204" t="s">
        <v>74</v>
      </c>
      <c r="BE204" t="s">
        <v>74</v>
      </c>
      <c r="BF204" t="s">
        <v>74</v>
      </c>
      <c r="BG204" t="s">
        <v>74</v>
      </c>
      <c r="BH204" t="s">
        <v>74</v>
      </c>
      <c r="BI204" t="s">
        <v>74</v>
      </c>
      <c r="BJ204" t="s">
        <v>74</v>
      </c>
      <c r="BK204" t="s">
        <v>74</v>
      </c>
      <c r="BL204" t="s">
        <v>74</v>
      </c>
      <c r="BM204" t="s">
        <v>74</v>
      </c>
      <c r="BN204" t="s">
        <v>74</v>
      </c>
      <c r="BO204" t="s">
        <v>74</v>
      </c>
      <c r="BP204" t="s">
        <v>74</v>
      </c>
      <c r="BQ204" t="s">
        <v>74</v>
      </c>
      <c r="BR204" t="s">
        <v>74</v>
      </c>
      <c r="BS204" t="s">
        <v>7275</v>
      </c>
      <c r="BT204" t="str">
        <f>HYPERLINK("https%3A%2F%2Fwww.webofscience.com%2Fwos%2Fwoscc%2Ffull-record%2FWOS:A1980JR68800001","View Full Record in Web of Science")</f>
        <v>View Full Record in Web of Science</v>
      </c>
    </row>
    <row r="205" spans="1:72" x14ac:dyDescent="0.4">
      <c r="A205" t="s">
        <v>72</v>
      </c>
      <c r="B205" t="s">
        <v>1524</v>
      </c>
      <c r="C205" t="s">
        <v>74</v>
      </c>
      <c r="D205" t="s">
        <v>74</v>
      </c>
      <c r="E205" t="s">
        <v>74</v>
      </c>
      <c r="F205" t="s">
        <v>1524</v>
      </c>
      <c r="G205" t="s">
        <v>74</v>
      </c>
      <c r="H205" t="s">
        <v>74</v>
      </c>
      <c r="I205" t="s">
        <v>1525</v>
      </c>
      <c r="J205" t="s">
        <v>1526</v>
      </c>
      <c r="K205" t="s">
        <v>74</v>
      </c>
      <c r="L205" t="s">
        <v>74</v>
      </c>
      <c r="M205" t="s">
        <v>74</v>
      </c>
      <c r="N205" t="s">
        <v>74</v>
      </c>
      <c r="O205" t="s">
        <v>74</v>
      </c>
      <c r="P205" t="s">
        <v>74</v>
      </c>
      <c r="Q205" t="s">
        <v>74</v>
      </c>
      <c r="R205" t="s">
        <v>74</v>
      </c>
      <c r="S205" t="s">
        <v>74</v>
      </c>
      <c r="T205" t="s">
        <v>74</v>
      </c>
      <c r="U205" t="s">
        <v>74</v>
      </c>
      <c r="V205" s="3" t="s">
        <v>1527</v>
      </c>
      <c r="W205" t="s">
        <v>74</v>
      </c>
      <c r="X205" t="s">
        <v>74</v>
      </c>
      <c r="Y205" t="s">
        <v>74</v>
      </c>
      <c r="Z205" t="s">
        <v>74</v>
      </c>
      <c r="AA205" t="s">
        <v>74</v>
      </c>
      <c r="AB205" t="s">
        <v>74</v>
      </c>
      <c r="AC205" t="s">
        <v>74</v>
      </c>
      <c r="AD205" t="s">
        <v>74</v>
      </c>
      <c r="AE205" t="s">
        <v>74</v>
      </c>
      <c r="AF205" t="s">
        <v>74</v>
      </c>
      <c r="AG205" t="s">
        <v>74</v>
      </c>
      <c r="AH205" t="s">
        <v>74</v>
      </c>
      <c r="AI205" t="s">
        <v>74</v>
      </c>
      <c r="AJ205" t="s">
        <v>74</v>
      </c>
      <c r="AK205" t="s">
        <v>74</v>
      </c>
      <c r="AL205" t="s">
        <v>74</v>
      </c>
      <c r="AM205" t="s">
        <v>74</v>
      </c>
      <c r="AN205" t="s">
        <v>74</v>
      </c>
      <c r="AO205" t="s">
        <v>1528</v>
      </c>
      <c r="AP205" t="s">
        <v>74</v>
      </c>
      <c r="AQ205" t="s">
        <v>74</v>
      </c>
      <c r="AR205" t="s">
        <v>74</v>
      </c>
      <c r="AS205" t="s">
        <v>74</v>
      </c>
      <c r="AT205" t="s">
        <v>213</v>
      </c>
      <c r="AU205">
        <v>1999</v>
      </c>
      <c r="AV205">
        <v>101</v>
      </c>
      <c r="AW205">
        <v>4</v>
      </c>
      <c r="AX205" t="s">
        <v>74</v>
      </c>
      <c r="AY205" t="s">
        <v>74</v>
      </c>
      <c r="AZ205" t="s">
        <v>74</v>
      </c>
      <c r="BA205" t="s">
        <v>74</v>
      </c>
      <c r="BB205">
        <v>842</v>
      </c>
      <c r="BC205">
        <v>845</v>
      </c>
      <c r="BD205" t="s">
        <v>74</v>
      </c>
      <c r="BE205" t="s">
        <v>1529</v>
      </c>
      <c r="BF205" t="str">
        <f>HYPERLINK("http://dx.doi.org/10.2307/1370072","http://dx.doi.org/10.2307/1370072")</f>
        <v>http://dx.doi.org/10.2307/1370072</v>
      </c>
      <c r="BG205" t="s">
        <v>74</v>
      </c>
      <c r="BH205" t="s">
        <v>74</v>
      </c>
      <c r="BI205" t="s">
        <v>74</v>
      </c>
      <c r="BJ205" t="s">
        <v>74</v>
      </c>
      <c r="BK205" t="s">
        <v>74</v>
      </c>
      <c r="BL205" t="s">
        <v>74</v>
      </c>
      <c r="BM205" t="s">
        <v>74</v>
      </c>
      <c r="BN205" t="s">
        <v>74</v>
      </c>
      <c r="BO205" t="s">
        <v>74</v>
      </c>
      <c r="BP205" t="s">
        <v>74</v>
      </c>
      <c r="BQ205" t="s">
        <v>74</v>
      </c>
      <c r="BR205" t="s">
        <v>74</v>
      </c>
      <c r="BS205" t="s">
        <v>1530</v>
      </c>
      <c r="BT205" t="str">
        <f>HYPERLINK("https%3A%2F%2Fwww.webofscience.com%2Fwos%2Fwoscc%2Ffull-record%2FWOS:000083884100014","View Full Record in Web of Science")</f>
        <v>View Full Record in Web of Science</v>
      </c>
    </row>
    <row r="206" spans="1:72" x14ac:dyDescent="0.4">
      <c r="A206" t="s">
        <v>72</v>
      </c>
      <c r="B206" t="s">
        <v>2844</v>
      </c>
      <c r="C206" t="s">
        <v>74</v>
      </c>
      <c r="D206" t="s">
        <v>74</v>
      </c>
      <c r="E206" t="s">
        <v>74</v>
      </c>
      <c r="F206" t="s">
        <v>2845</v>
      </c>
      <c r="G206" t="s">
        <v>74</v>
      </c>
      <c r="H206" t="s">
        <v>74</v>
      </c>
      <c r="I206" t="s">
        <v>2846</v>
      </c>
      <c r="J206" t="s">
        <v>2847</v>
      </c>
      <c r="K206" t="s">
        <v>74</v>
      </c>
      <c r="L206" t="s">
        <v>74</v>
      </c>
      <c r="M206" t="s">
        <v>74</v>
      </c>
      <c r="N206" t="s">
        <v>74</v>
      </c>
      <c r="O206" t="s">
        <v>74</v>
      </c>
      <c r="P206" t="s">
        <v>74</v>
      </c>
      <c r="Q206" t="s">
        <v>74</v>
      </c>
      <c r="R206" t="s">
        <v>74</v>
      </c>
      <c r="S206" t="s">
        <v>74</v>
      </c>
      <c r="T206" t="s">
        <v>74</v>
      </c>
      <c r="U206" t="s">
        <v>74</v>
      </c>
      <c r="V206" s="3" t="s">
        <v>2848</v>
      </c>
      <c r="W206" t="s">
        <v>74</v>
      </c>
      <c r="X206" t="s">
        <v>74</v>
      </c>
      <c r="Y206" t="s">
        <v>74</v>
      </c>
      <c r="Z206" t="s">
        <v>74</v>
      </c>
      <c r="AA206" t="s">
        <v>74</v>
      </c>
      <c r="AB206" t="s">
        <v>74</v>
      </c>
      <c r="AC206" t="s">
        <v>74</v>
      </c>
      <c r="AD206" t="s">
        <v>74</v>
      </c>
      <c r="AE206" t="s">
        <v>74</v>
      </c>
      <c r="AF206" t="s">
        <v>74</v>
      </c>
      <c r="AG206" t="s">
        <v>74</v>
      </c>
      <c r="AH206" t="s">
        <v>74</v>
      </c>
      <c r="AI206" t="s">
        <v>74</v>
      </c>
      <c r="AJ206" t="s">
        <v>74</v>
      </c>
      <c r="AK206" t="s">
        <v>74</v>
      </c>
      <c r="AL206" t="s">
        <v>74</v>
      </c>
      <c r="AM206" t="s">
        <v>74</v>
      </c>
      <c r="AN206" t="s">
        <v>74</v>
      </c>
      <c r="AO206" t="s">
        <v>2849</v>
      </c>
      <c r="AP206" t="s">
        <v>2850</v>
      </c>
      <c r="AQ206" t="s">
        <v>74</v>
      </c>
      <c r="AR206" t="s">
        <v>74</v>
      </c>
      <c r="AS206" t="s">
        <v>74</v>
      </c>
      <c r="AT206" t="s">
        <v>213</v>
      </c>
      <c r="AU206">
        <v>2017</v>
      </c>
      <c r="AV206">
        <v>496</v>
      </c>
      <c r="AW206" t="s">
        <v>74</v>
      </c>
      <c r="AX206" t="s">
        <v>74</v>
      </c>
      <c r="AY206" t="s">
        <v>74</v>
      </c>
      <c r="AZ206" t="s">
        <v>74</v>
      </c>
      <c r="BA206" t="s">
        <v>74</v>
      </c>
      <c r="BB206">
        <v>29</v>
      </c>
      <c r="BC206">
        <v>36</v>
      </c>
      <c r="BD206" t="s">
        <v>74</v>
      </c>
      <c r="BE206" t="s">
        <v>2851</v>
      </c>
      <c r="BF206" t="str">
        <f>HYPERLINK("http://dx.doi.org/10.1016/j.jembe.2017.07.011","http://dx.doi.org/10.1016/j.jembe.2017.07.011")</f>
        <v>http://dx.doi.org/10.1016/j.jembe.2017.07.011</v>
      </c>
      <c r="BG206" t="s">
        <v>74</v>
      </c>
      <c r="BH206" t="s">
        <v>74</v>
      </c>
      <c r="BI206" t="s">
        <v>74</v>
      </c>
      <c r="BJ206" t="s">
        <v>74</v>
      </c>
      <c r="BK206" t="s">
        <v>74</v>
      </c>
      <c r="BL206" t="s">
        <v>74</v>
      </c>
      <c r="BM206" t="s">
        <v>74</v>
      </c>
      <c r="BN206" t="s">
        <v>74</v>
      </c>
      <c r="BO206" t="s">
        <v>74</v>
      </c>
      <c r="BP206" t="s">
        <v>74</v>
      </c>
      <c r="BQ206" t="s">
        <v>74</v>
      </c>
      <c r="BR206" t="s">
        <v>74</v>
      </c>
      <c r="BS206" t="s">
        <v>2852</v>
      </c>
      <c r="BT206" t="str">
        <f>HYPERLINK("https%3A%2F%2Fwww.webofscience.com%2Fwos%2Fwoscc%2Ffull-record%2FWOS:000412252700005","View Full Record in Web of Science")</f>
        <v>View Full Record in Web of Science</v>
      </c>
    </row>
    <row r="207" spans="1:72" x14ac:dyDescent="0.4">
      <c r="A207" t="s">
        <v>72</v>
      </c>
      <c r="B207" t="s">
        <v>6945</v>
      </c>
      <c r="C207" t="s">
        <v>74</v>
      </c>
      <c r="D207" t="s">
        <v>74</v>
      </c>
      <c r="E207" t="s">
        <v>74</v>
      </c>
      <c r="F207" t="s">
        <v>6946</v>
      </c>
      <c r="G207" t="s">
        <v>74</v>
      </c>
      <c r="H207" t="s">
        <v>74</v>
      </c>
      <c r="I207" t="s">
        <v>6947</v>
      </c>
      <c r="J207" t="s">
        <v>1480</v>
      </c>
      <c r="K207" t="s">
        <v>74</v>
      </c>
      <c r="L207" t="s">
        <v>74</v>
      </c>
      <c r="M207" t="s">
        <v>74</v>
      </c>
      <c r="N207" t="s">
        <v>74</v>
      </c>
      <c r="O207" t="s">
        <v>74</v>
      </c>
      <c r="P207" t="s">
        <v>74</v>
      </c>
      <c r="Q207" t="s">
        <v>74</v>
      </c>
      <c r="R207" t="s">
        <v>74</v>
      </c>
      <c r="S207" t="s">
        <v>74</v>
      </c>
      <c r="T207" t="s">
        <v>74</v>
      </c>
      <c r="U207" t="s">
        <v>74</v>
      </c>
      <c r="V207" s="3" t="s">
        <v>6948</v>
      </c>
      <c r="W207" t="s">
        <v>74</v>
      </c>
      <c r="X207" t="s">
        <v>74</v>
      </c>
      <c r="Y207" t="s">
        <v>74</v>
      </c>
      <c r="Z207" t="s">
        <v>74</v>
      </c>
      <c r="AA207" t="s">
        <v>74</v>
      </c>
      <c r="AB207" t="s">
        <v>74</v>
      </c>
      <c r="AC207" t="s">
        <v>74</v>
      </c>
      <c r="AD207" t="s">
        <v>74</v>
      </c>
      <c r="AE207" t="s">
        <v>74</v>
      </c>
      <c r="AF207" t="s">
        <v>74</v>
      </c>
      <c r="AG207" t="s">
        <v>74</v>
      </c>
      <c r="AH207" t="s">
        <v>74</v>
      </c>
      <c r="AI207" t="s">
        <v>74</v>
      </c>
      <c r="AJ207" t="s">
        <v>74</v>
      </c>
      <c r="AK207" t="s">
        <v>74</v>
      </c>
      <c r="AL207" t="s">
        <v>74</v>
      </c>
      <c r="AM207" t="s">
        <v>74</v>
      </c>
      <c r="AN207" t="s">
        <v>74</v>
      </c>
      <c r="AO207" t="s">
        <v>1482</v>
      </c>
      <c r="AP207" t="s">
        <v>6949</v>
      </c>
      <c r="AQ207" t="s">
        <v>74</v>
      </c>
      <c r="AR207" t="s">
        <v>74</v>
      </c>
      <c r="AS207" t="s">
        <v>74</v>
      </c>
      <c r="AT207" t="s">
        <v>352</v>
      </c>
      <c r="AU207">
        <v>2014</v>
      </c>
      <c r="AV207">
        <v>93</v>
      </c>
      <c r="AW207">
        <v>9</v>
      </c>
      <c r="AX207" t="s">
        <v>74</v>
      </c>
      <c r="AY207" t="s">
        <v>74</v>
      </c>
      <c r="AZ207" t="s">
        <v>74</v>
      </c>
      <c r="BA207" t="s">
        <v>74</v>
      </c>
      <c r="BB207">
        <v>2143</v>
      </c>
      <c r="BC207">
        <v>2150</v>
      </c>
      <c r="BD207" t="s">
        <v>74</v>
      </c>
      <c r="BE207" t="s">
        <v>6950</v>
      </c>
      <c r="BF207" t="str">
        <f>HYPERLINK("http://dx.doi.org/10.3382/ps.2014-03885","http://dx.doi.org/10.3382/ps.2014-03885")</f>
        <v>http://dx.doi.org/10.3382/ps.2014-03885</v>
      </c>
      <c r="BG207" t="s">
        <v>74</v>
      </c>
      <c r="BH207" t="s">
        <v>74</v>
      </c>
      <c r="BI207" t="s">
        <v>74</v>
      </c>
      <c r="BJ207" t="s">
        <v>74</v>
      </c>
      <c r="BK207" t="s">
        <v>74</v>
      </c>
      <c r="BL207" t="s">
        <v>74</v>
      </c>
      <c r="BM207" t="s">
        <v>74</v>
      </c>
      <c r="BN207">
        <v>25037824</v>
      </c>
      <c r="BO207" t="s">
        <v>74</v>
      </c>
      <c r="BP207" t="s">
        <v>74</v>
      </c>
      <c r="BQ207" t="s">
        <v>74</v>
      </c>
      <c r="BR207" t="s">
        <v>74</v>
      </c>
      <c r="BS207" t="s">
        <v>6951</v>
      </c>
      <c r="BT207" t="str">
        <f>HYPERLINK("https%3A%2F%2Fwww.webofscience.com%2Fwos%2Fwoscc%2Ffull-record%2FWOS:000341309600001","View Full Record in Web of Science")</f>
        <v>View Full Record in Web of Science</v>
      </c>
    </row>
    <row r="208" spans="1:72" x14ac:dyDescent="0.4">
      <c r="A208" t="s">
        <v>72</v>
      </c>
      <c r="B208" t="s">
        <v>8398</v>
      </c>
      <c r="C208" t="s">
        <v>74</v>
      </c>
      <c r="D208" t="s">
        <v>74</v>
      </c>
      <c r="E208" t="s">
        <v>74</v>
      </c>
      <c r="F208" t="s">
        <v>8399</v>
      </c>
      <c r="G208" t="s">
        <v>74</v>
      </c>
      <c r="H208" t="s">
        <v>74</v>
      </c>
      <c r="I208" t="s">
        <v>8400</v>
      </c>
      <c r="J208" t="s">
        <v>5961</v>
      </c>
      <c r="K208" t="s">
        <v>74</v>
      </c>
      <c r="L208" t="s">
        <v>74</v>
      </c>
      <c r="M208" t="s">
        <v>74</v>
      </c>
      <c r="N208" t="s">
        <v>74</v>
      </c>
      <c r="O208" t="s">
        <v>74</v>
      </c>
      <c r="P208" t="s">
        <v>74</v>
      </c>
      <c r="Q208" t="s">
        <v>74</v>
      </c>
      <c r="R208" t="s">
        <v>74</v>
      </c>
      <c r="S208" t="s">
        <v>74</v>
      </c>
      <c r="T208" t="s">
        <v>74</v>
      </c>
      <c r="U208" t="s">
        <v>74</v>
      </c>
      <c r="V208" s="3" t="s">
        <v>8401</v>
      </c>
      <c r="W208" t="s">
        <v>74</v>
      </c>
      <c r="X208" t="s">
        <v>74</v>
      </c>
      <c r="Y208" t="s">
        <v>74</v>
      </c>
      <c r="Z208" t="s">
        <v>74</v>
      </c>
      <c r="AA208" t="s">
        <v>74</v>
      </c>
      <c r="AB208" t="s">
        <v>8402</v>
      </c>
      <c r="AC208" t="s">
        <v>74</v>
      </c>
      <c r="AD208" t="s">
        <v>74</v>
      </c>
      <c r="AE208" t="s">
        <v>74</v>
      </c>
      <c r="AF208" t="s">
        <v>74</v>
      </c>
      <c r="AG208" t="s">
        <v>74</v>
      </c>
      <c r="AH208" t="s">
        <v>74</v>
      </c>
      <c r="AI208" t="s">
        <v>74</v>
      </c>
      <c r="AJ208" t="s">
        <v>74</v>
      </c>
      <c r="AK208" t="s">
        <v>74</v>
      </c>
      <c r="AL208" t="s">
        <v>74</v>
      </c>
      <c r="AM208" t="s">
        <v>74</v>
      </c>
      <c r="AN208" t="s">
        <v>74</v>
      </c>
      <c r="AO208" t="s">
        <v>5965</v>
      </c>
      <c r="AP208" t="s">
        <v>5966</v>
      </c>
      <c r="AQ208" t="s">
        <v>74</v>
      </c>
      <c r="AR208" t="s">
        <v>74</v>
      </c>
      <c r="AS208" t="s">
        <v>74</v>
      </c>
      <c r="AT208" t="s">
        <v>175</v>
      </c>
      <c r="AU208">
        <v>2020</v>
      </c>
      <c r="AV208">
        <v>45</v>
      </c>
      <c r="AW208">
        <v>4</v>
      </c>
      <c r="AX208" t="s">
        <v>74</v>
      </c>
      <c r="AY208" t="s">
        <v>74</v>
      </c>
      <c r="AZ208" t="s">
        <v>74</v>
      </c>
      <c r="BA208" t="s">
        <v>74</v>
      </c>
      <c r="BB208">
        <v>803</v>
      </c>
      <c r="BC208">
        <v>837</v>
      </c>
      <c r="BD208" t="s">
        <v>74</v>
      </c>
      <c r="BE208" t="s">
        <v>8403</v>
      </c>
      <c r="BF208" t="str">
        <f>HYPERLINK("http://dx.doi.org/10.1111/syen.12428","http://dx.doi.org/10.1111/syen.12428")</f>
        <v>http://dx.doi.org/10.1111/syen.12428</v>
      </c>
      <c r="BG208" t="s">
        <v>74</v>
      </c>
      <c r="BH208" t="s">
        <v>8404</v>
      </c>
      <c r="BI208" t="s">
        <v>74</v>
      </c>
      <c r="BJ208" t="s">
        <v>74</v>
      </c>
      <c r="BK208" t="s">
        <v>74</v>
      </c>
      <c r="BL208" t="s">
        <v>74</v>
      </c>
      <c r="BM208" t="s">
        <v>74</v>
      </c>
      <c r="BN208">
        <v>34744257</v>
      </c>
      <c r="BO208" t="s">
        <v>74</v>
      </c>
      <c r="BP208" t="s">
        <v>74</v>
      </c>
      <c r="BQ208" t="s">
        <v>74</v>
      </c>
      <c r="BR208" t="s">
        <v>74</v>
      </c>
      <c r="BS208" t="s">
        <v>8405</v>
      </c>
      <c r="BT208" t="str">
        <f>HYPERLINK("https%3A%2F%2Fwww.webofscience.com%2Fwos%2Fwoscc%2Ffull-record%2FWOS:000516977500001","View Full Record in Web of Science")</f>
        <v>View Full Record in Web of Science</v>
      </c>
    </row>
    <row r="209" spans="1:72" x14ac:dyDescent="0.4">
      <c r="A209" t="s">
        <v>72</v>
      </c>
      <c r="B209" t="s">
        <v>3611</v>
      </c>
      <c r="C209" t="s">
        <v>74</v>
      </c>
      <c r="D209" t="s">
        <v>74</v>
      </c>
      <c r="E209" t="s">
        <v>74</v>
      </c>
      <c r="F209" t="s">
        <v>3612</v>
      </c>
      <c r="G209" t="s">
        <v>74</v>
      </c>
      <c r="H209" t="s">
        <v>74</v>
      </c>
      <c r="I209" t="s">
        <v>3613</v>
      </c>
      <c r="J209" t="s">
        <v>610</v>
      </c>
      <c r="K209" t="s">
        <v>74</v>
      </c>
      <c r="L209" t="s">
        <v>74</v>
      </c>
      <c r="M209" t="s">
        <v>74</v>
      </c>
      <c r="N209" t="s">
        <v>74</v>
      </c>
      <c r="O209" t="s">
        <v>74</v>
      </c>
      <c r="P209" t="s">
        <v>74</v>
      </c>
      <c r="Q209" t="s">
        <v>74</v>
      </c>
      <c r="R209" t="s">
        <v>74</v>
      </c>
      <c r="S209" t="s">
        <v>74</v>
      </c>
      <c r="T209" t="s">
        <v>74</v>
      </c>
      <c r="U209" t="s">
        <v>74</v>
      </c>
      <c r="V209" s="3" t="s">
        <v>3614</v>
      </c>
      <c r="W209" t="s">
        <v>74</v>
      </c>
      <c r="X209" t="s">
        <v>74</v>
      </c>
      <c r="Y209" t="s">
        <v>74</v>
      </c>
      <c r="Z209" t="s">
        <v>74</v>
      </c>
      <c r="AA209" t="s">
        <v>3615</v>
      </c>
      <c r="AB209" t="s">
        <v>3616</v>
      </c>
      <c r="AC209" t="s">
        <v>74</v>
      </c>
      <c r="AD209" t="s">
        <v>74</v>
      </c>
      <c r="AE209" t="s">
        <v>74</v>
      </c>
      <c r="AF209" t="s">
        <v>74</v>
      </c>
      <c r="AG209" t="s">
        <v>74</v>
      </c>
      <c r="AH209" t="s">
        <v>74</v>
      </c>
      <c r="AI209" t="s">
        <v>74</v>
      </c>
      <c r="AJ209" t="s">
        <v>74</v>
      </c>
      <c r="AK209" t="s">
        <v>74</v>
      </c>
      <c r="AL209" t="s">
        <v>74</v>
      </c>
      <c r="AM209" t="s">
        <v>74</v>
      </c>
      <c r="AN209" t="s">
        <v>74</v>
      </c>
      <c r="AO209" t="s">
        <v>614</v>
      </c>
      <c r="AP209" t="s">
        <v>615</v>
      </c>
      <c r="AQ209" t="s">
        <v>74</v>
      </c>
      <c r="AR209" t="s">
        <v>74</v>
      </c>
      <c r="AS209" t="s">
        <v>74</v>
      </c>
      <c r="AT209" t="s">
        <v>175</v>
      </c>
      <c r="AU209">
        <v>2007</v>
      </c>
      <c r="AV209">
        <v>113</v>
      </c>
      <c r="AW209">
        <v>10</v>
      </c>
      <c r="AX209" t="s">
        <v>74</v>
      </c>
      <c r="AY209" t="s">
        <v>74</v>
      </c>
      <c r="AZ209" t="s">
        <v>74</v>
      </c>
      <c r="BA209" t="s">
        <v>74</v>
      </c>
      <c r="BB209">
        <v>944</v>
      </c>
      <c r="BC209">
        <v>952</v>
      </c>
      <c r="BD209" t="s">
        <v>74</v>
      </c>
      <c r="BE209" t="s">
        <v>3617</v>
      </c>
      <c r="BF209" t="str">
        <f>HYPERLINK("http://dx.doi.org/10.1111/j.1439-0310.2007.01402.x","http://dx.doi.org/10.1111/j.1439-0310.2007.01402.x")</f>
        <v>http://dx.doi.org/10.1111/j.1439-0310.2007.01402.x</v>
      </c>
      <c r="BG209" t="s">
        <v>74</v>
      </c>
      <c r="BH209" t="s">
        <v>74</v>
      </c>
      <c r="BI209" t="s">
        <v>74</v>
      </c>
      <c r="BJ209" t="s">
        <v>74</v>
      </c>
      <c r="BK209" t="s">
        <v>74</v>
      </c>
      <c r="BL209" t="s">
        <v>74</v>
      </c>
      <c r="BM209" t="s">
        <v>74</v>
      </c>
      <c r="BN209" t="s">
        <v>74</v>
      </c>
      <c r="BO209" t="s">
        <v>74</v>
      </c>
      <c r="BP209" t="s">
        <v>74</v>
      </c>
      <c r="BQ209" t="s">
        <v>74</v>
      </c>
      <c r="BR209" t="s">
        <v>74</v>
      </c>
      <c r="BS209" t="s">
        <v>3618</v>
      </c>
      <c r="BT209" t="str">
        <f>HYPERLINK("https%3A%2F%2Fwww.webofscience.com%2Fwos%2Fwoscc%2Ffull-record%2FWOS:000249661000004","View Full Record in Web of Science")</f>
        <v>View Full Record in Web of Science</v>
      </c>
    </row>
    <row r="210" spans="1:72" x14ac:dyDescent="0.4">
      <c r="A210" t="s">
        <v>72</v>
      </c>
      <c r="B210" t="s">
        <v>265</v>
      </c>
      <c r="C210" t="s">
        <v>74</v>
      </c>
      <c r="D210" t="s">
        <v>74</v>
      </c>
      <c r="E210" t="s">
        <v>74</v>
      </c>
      <c r="F210" t="s">
        <v>266</v>
      </c>
      <c r="G210" t="s">
        <v>74</v>
      </c>
      <c r="H210" t="s">
        <v>74</v>
      </c>
      <c r="I210" t="s">
        <v>267</v>
      </c>
      <c r="J210" t="s">
        <v>192</v>
      </c>
      <c r="K210" t="s">
        <v>74</v>
      </c>
      <c r="L210" t="s">
        <v>74</v>
      </c>
      <c r="M210" t="s">
        <v>74</v>
      </c>
      <c r="N210" t="s">
        <v>74</v>
      </c>
      <c r="O210" t="s">
        <v>74</v>
      </c>
      <c r="P210" t="s">
        <v>74</v>
      </c>
      <c r="Q210" t="s">
        <v>74</v>
      </c>
      <c r="R210" t="s">
        <v>74</v>
      </c>
      <c r="S210" t="s">
        <v>74</v>
      </c>
      <c r="T210" t="s">
        <v>74</v>
      </c>
      <c r="U210" t="s">
        <v>74</v>
      </c>
      <c r="V210" s="3" t="s">
        <v>268</v>
      </c>
      <c r="W210" t="s">
        <v>74</v>
      </c>
      <c r="X210" t="s">
        <v>74</v>
      </c>
      <c r="Y210" t="s">
        <v>74</v>
      </c>
      <c r="Z210" t="s">
        <v>74</v>
      </c>
      <c r="AA210" t="s">
        <v>74</v>
      </c>
      <c r="AB210" t="s">
        <v>74</v>
      </c>
      <c r="AC210" t="s">
        <v>74</v>
      </c>
      <c r="AD210" t="s">
        <v>74</v>
      </c>
      <c r="AE210" t="s">
        <v>74</v>
      </c>
      <c r="AF210" t="s">
        <v>74</v>
      </c>
      <c r="AG210" t="s">
        <v>74</v>
      </c>
      <c r="AH210" t="s">
        <v>74</v>
      </c>
      <c r="AI210" t="s">
        <v>74</v>
      </c>
      <c r="AJ210" t="s">
        <v>74</v>
      </c>
      <c r="AK210" t="s">
        <v>74</v>
      </c>
      <c r="AL210" t="s">
        <v>74</v>
      </c>
      <c r="AM210" t="s">
        <v>74</v>
      </c>
      <c r="AN210" t="s">
        <v>74</v>
      </c>
      <c r="AO210" t="s">
        <v>195</v>
      </c>
      <c r="AP210" t="s">
        <v>196</v>
      </c>
      <c r="AQ210" t="s">
        <v>74</v>
      </c>
      <c r="AR210" t="s">
        <v>74</v>
      </c>
      <c r="AS210" t="s">
        <v>74</v>
      </c>
      <c r="AT210" t="s">
        <v>123</v>
      </c>
      <c r="AU210">
        <v>2018</v>
      </c>
      <c r="AV210">
        <v>809</v>
      </c>
      <c r="AW210">
        <v>1</v>
      </c>
      <c r="AX210" t="s">
        <v>74</v>
      </c>
      <c r="AY210" t="s">
        <v>74</v>
      </c>
      <c r="AZ210" t="s">
        <v>74</v>
      </c>
      <c r="BA210" t="s">
        <v>74</v>
      </c>
      <c r="BB210">
        <v>31</v>
      </c>
      <c r="BC210">
        <v>40</v>
      </c>
      <c r="BD210" t="s">
        <v>74</v>
      </c>
      <c r="BE210" t="s">
        <v>269</v>
      </c>
      <c r="BF210" t="str">
        <f>HYPERLINK("http://dx.doi.org/10.1007/s10750-017-3442-6","http://dx.doi.org/10.1007/s10750-017-3442-6")</f>
        <v>http://dx.doi.org/10.1007/s10750-017-3442-6</v>
      </c>
      <c r="BG210" t="s">
        <v>74</v>
      </c>
      <c r="BH210" t="s">
        <v>74</v>
      </c>
      <c r="BI210" t="s">
        <v>74</v>
      </c>
      <c r="BJ210" t="s">
        <v>74</v>
      </c>
      <c r="BK210" t="s">
        <v>74</v>
      </c>
      <c r="BL210" t="s">
        <v>74</v>
      </c>
      <c r="BM210" t="s">
        <v>74</v>
      </c>
      <c r="BN210" t="s">
        <v>74</v>
      </c>
      <c r="BO210" t="s">
        <v>74</v>
      </c>
      <c r="BP210" t="s">
        <v>74</v>
      </c>
      <c r="BQ210" t="s">
        <v>74</v>
      </c>
      <c r="BR210" t="s">
        <v>74</v>
      </c>
      <c r="BS210" t="s">
        <v>270</v>
      </c>
      <c r="BT210" t="str">
        <f>HYPERLINK("https%3A%2F%2Fwww.webofscience.com%2Fwos%2Fwoscc%2Ffull-record%2FWOS:000424203000004","View Full Record in Web of Science")</f>
        <v>View Full Record in Web of Science</v>
      </c>
    </row>
    <row r="211" spans="1:72" x14ac:dyDescent="0.4">
      <c r="A211" t="s">
        <v>72</v>
      </c>
      <c r="B211" t="s">
        <v>5377</v>
      </c>
      <c r="C211" t="s">
        <v>74</v>
      </c>
      <c r="D211" t="s">
        <v>74</v>
      </c>
      <c r="E211" t="s">
        <v>74</v>
      </c>
      <c r="F211" t="s">
        <v>5378</v>
      </c>
      <c r="G211" t="s">
        <v>74</v>
      </c>
      <c r="H211" t="s">
        <v>74</v>
      </c>
      <c r="I211" t="s">
        <v>5379</v>
      </c>
      <c r="J211" t="s">
        <v>1044</v>
      </c>
      <c r="K211" t="s">
        <v>74</v>
      </c>
      <c r="L211" t="s">
        <v>74</v>
      </c>
      <c r="M211" t="s">
        <v>74</v>
      </c>
      <c r="N211" t="s">
        <v>74</v>
      </c>
      <c r="O211" t="s">
        <v>74</v>
      </c>
      <c r="P211" t="s">
        <v>74</v>
      </c>
      <c r="Q211" t="s">
        <v>74</v>
      </c>
      <c r="R211" t="s">
        <v>74</v>
      </c>
      <c r="S211" t="s">
        <v>74</v>
      </c>
      <c r="T211" t="s">
        <v>74</v>
      </c>
      <c r="U211" t="s">
        <v>74</v>
      </c>
      <c r="V211" s="3" t="s">
        <v>5380</v>
      </c>
      <c r="W211" t="s">
        <v>74</v>
      </c>
      <c r="X211" t="s">
        <v>74</v>
      </c>
      <c r="Y211" t="s">
        <v>74</v>
      </c>
      <c r="Z211" t="s">
        <v>74</v>
      </c>
      <c r="AA211" t="s">
        <v>74</v>
      </c>
      <c r="AB211" t="s">
        <v>322</v>
      </c>
      <c r="AC211" t="s">
        <v>74</v>
      </c>
      <c r="AD211" t="s">
        <v>74</v>
      </c>
      <c r="AE211" t="s">
        <v>74</v>
      </c>
      <c r="AF211" t="s">
        <v>74</v>
      </c>
      <c r="AG211" t="s">
        <v>74</v>
      </c>
      <c r="AH211" t="s">
        <v>74</v>
      </c>
      <c r="AI211" t="s">
        <v>74</v>
      </c>
      <c r="AJ211" t="s">
        <v>74</v>
      </c>
      <c r="AK211" t="s">
        <v>74</v>
      </c>
      <c r="AL211" t="s">
        <v>74</v>
      </c>
      <c r="AM211" t="s">
        <v>74</v>
      </c>
      <c r="AN211" t="s">
        <v>74</v>
      </c>
      <c r="AO211" t="s">
        <v>1048</v>
      </c>
      <c r="AP211" t="s">
        <v>1049</v>
      </c>
      <c r="AQ211" t="s">
        <v>74</v>
      </c>
      <c r="AR211" t="s">
        <v>74</v>
      </c>
      <c r="AS211" t="s">
        <v>74</v>
      </c>
      <c r="AT211" t="s">
        <v>204</v>
      </c>
      <c r="AU211">
        <v>2017</v>
      </c>
      <c r="AV211">
        <v>26</v>
      </c>
      <c r="AW211">
        <v>14</v>
      </c>
      <c r="AX211" t="s">
        <v>74</v>
      </c>
      <c r="AY211" t="s">
        <v>74</v>
      </c>
      <c r="AZ211" t="s">
        <v>74</v>
      </c>
      <c r="BA211" t="s">
        <v>74</v>
      </c>
      <c r="BB211">
        <v>3760</v>
      </c>
      <c r="BC211">
        <v>3774</v>
      </c>
      <c r="BD211" t="s">
        <v>74</v>
      </c>
      <c r="BE211" t="s">
        <v>5381</v>
      </c>
      <c r="BF211" t="str">
        <f>HYPERLINK("http://dx.doi.org/10.1111/mec.14116","http://dx.doi.org/10.1111/mec.14116")</f>
        <v>http://dx.doi.org/10.1111/mec.14116</v>
      </c>
      <c r="BG211" t="s">
        <v>74</v>
      </c>
      <c r="BH211" t="s">
        <v>74</v>
      </c>
      <c r="BI211" t="s">
        <v>74</v>
      </c>
      <c r="BJ211" t="s">
        <v>74</v>
      </c>
      <c r="BK211" t="s">
        <v>74</v>
      </c>
      <c r="BL211" t="s">
        <v>74</v>
      </c>
      <c r="BM211" t="s">
        <v>74</v>
      </c>
      <c r="BN211">
        <v>28370617</v>
      </c>
      <c r="BO211" t="s">
        <v>74</v>
      </c>
      <c r="BP211" t="s">
        <v>74</v>
      </c>
      <c r="BQ211" t="s">
        <v>74</v>
      </c>
      <c r="BR211" t="s">
        <v>74</v>
      </c>
      <c r="BS211" t="s">
        <v>5382</v>
      </c>
      <c r="BT211" t="str">
        <f>HYPERLINK("https%3A%2F%2Fwww.webofscience.com%2Fwos%2Fwoscc%2Ffull-record%2FWOS:000404618000015","View Full Record in Web of Science")</f>
        <v>View Full Record in Web of Science</v>
      </c>
    </row>
    <row r="212" spans="1:72" x14ac:dyDescent="0.4">
      <c r="A212" t="s">
        <v>72</v>
      </c>
      <c r="B212" t="s">
        <v>8439</v>
      </c>
      <c r="C212" t="s">
        <v>74</v>
      </c>
      <c r="D212" t="s">
        <v>74</v>
      </c>
      <c r="E212" t="s">
        <v>74</v>
      </c>
      <c r="F212" t="s">
        <v>8439</v>
      </c>
      <c r="G212" t="s">
        <v>74</v>
      </c>
      <c r="H212" t="s">
        <v>74</v>
      </c>
      <c r="I212" t="s">
        <v>8440</v>
      </c>
      <c r="J212" t="s">
        <v>691</v>
      </c>
      <c r="K212" t="s">
        <v>74</v>
      </c>
      <c r="L212" t="s">
        <v>74</v>
      </c>
      <c r="M212" t="s">
        <v>74</v>
      </c>
      <c r="N212" t="s">
        <v>74</v>
      </c>
      <c r="O212" t="s">
        <v>74</v>
      </c>
      <c r="P212" t="s">
        <v>74</v>
      </c>
      <c r="Q212" t="s">
        <v>74</v>
      </c>
      <c r="R212" t="s">
        <v>74</v>
      </c>
      <c r="S212" t="s">
        <v>74</v>
      </c>
      <c r="T212" t="s">
        <v>74</v>
      </c>
      <c r="U212" t="s">
        <v>74</v>
      </c>
      <c r="V212" s="3" t="s">
        <v>8441</v>
      </c>
      <c r="W212" t="s">
        <v>74</v>
      </c>
      <c r="X212" t="s">
        <v>74</v>
      </c>
      <c r="Y212" t="s">
        <v>74</v>
      </c>
      <c r="Z212" t="s">
        <v>74</v>
      </c>
      <c r="AA212" t="s">
        <v>74</v>
      </c>
      <c r="AB212" t="s">
        <v>74</v>
      </c>
      <c r="AC212" t="s">
        <v>74</v>
      </c>
      <c r="AD212" t="s">
        <v>74</v>
      </c>
      <c r="AE212" t="s">
        <v>74</v>
      </c>
      <c r="AF212" t="s">
        <v>74</v>
      </c>
      <c r="AG212" t="s">
        <v>74</v>
      </c>
      <c r="AH212" t="s">
        <v>74</v>
      </c>
      <c r="AI212" t="s">
        <v>74</v>
      </c>
      <c r="AJ212" t="s">
        <v>74</v>
      </c>
      <c r="AK212" t="s">
        <v>74</v>
      </c>
      <c r="AL212" t="s">
        <v>74</v>
      </c>
      <c r="AM212" t="s">
        <v>74</v>
      </c>
      <c r="AN212" t="s">
        <v>74</v>
      </c>
      <c r="AO212" t="s">
        <v>695</v>
      </c>
      <c r="AP212" t="s">
        <v>74</v>
      </c>
      <c r="AQ212" t="s">
        <v>74</v>
      </c>
      <c r="AR212" t="s">
        <v>74</v>
      </c>
      <c r="AS212" t="s">
        <v>74</v>
      </c>
      <c r="AT212" t="s">
        <v>305</v>
      </c>
      <c r="AU212">
        <v>1995</v>
      </c>
      <c r="AV212">
        <v>58</v>
      </c>
      <c r="AW212">
        <v>6</v>
      </c>
      <c r="AX212" t="s">
        <v>74</v>
      </c>
      <c r="AY212" t="s">
        <v>74</v>
      </c>
      <c r="AZ212" t="s">
        <v>74</v>
      </c>
      <c r="BA212" t="s">
        <v>74</v>
      </c>
      <c r="BB212">
        <v>1221</v>
      </c>
      <c r="BC212">
        <v>1225</v>
      </c>
      <c r="BD212" t="s">
        <v>74</v>
      </c>
      <c r="BE212" t="s">
        <v>8442</v>
      </c>
      <c r="BF212" t="str">
        <f>HYPERLINK("http://dx.doi.org/10.1016/0031-9384(95)02057-8","http://dx.doi.org/10.1016/0031-9384(95)02057-8")</f>
        <v>http://dx.doi.org/10.1016/0031-9384(95)02057-8</v>
      </c>
      <c r="BG212" t="s">
        <v>74</v>
      </c>
      <c r="BH212" t="s">
        <v>74</v>
      </c>
      <c r="BI212" t="s">
        <v>74</v>
      </c>
      <c r="BJ212" t="s">
        <v>74</v>
      </c>
      <c r="BK212" t="s">
        <v>74</v>
      </c>
      <c r="BL212" t="s">
        <v>74</v>
      </c>
      <c r="BM212" t="s">
        <v>74</v>
      </c>
      <c r="BN212">
        <v>8623024</v>
      </c>
      <c r="BO212" t="s">
        <v>74</v>
      </c>
      <c r="BP212" t="s">
        <v>74</v>
      </c>
      <c r="BQ212" t="s">
        <v>74</v>
      </c>
      <c r="BR212" t="s">
        <v>74</v>
      </c>
      <c r="BS212" t="s">
        <v>8443</v>
      </c>
      <c r="BT212" t="str">
        <f>HYPERLINK("https%3A%2F%2Fwww.webofscience.com%2Fwos%2Fwoscc%2Ffull-record%2FWOS:A1995TH80700023","View Full Record in Web of Science")</f>
        <v>View Full Record in Web of Science</v>
      </c>
    </row>
    <row r="213" spans="1:72" x14ac:dyDescent="0.4">
      <c r="A213" t="s">
        <v>72</v>
      </c>
      <c r="B213" t="s">
        <v>4532</v>
      </c>
      <c r="C213" t="s">
        <v>74</v>
      </c>
      <c r="D213" t="s">
        <v>74</v>
      </c>
      <c r="E213" t="s">
        <v>74</v>
      </c>
      <c r="F213" t="s">
        <v>4532</v>
      </c>
      <c r="G213" t="s">
        <v>74</v>
      </c>
      <c r="H213" t="s">
        <v>74</v>
      </c>
      <c r="I213" t="s">
        <v>4533</v>
      </c>
      <c r="J213" t="s">
        <v>140</v>
      </c>
      <c r="K213" t="s">
        <v>74</v>
      </c>
      <c r="L213" t="s">
        <v>74</v>
      </c>
      <c r="M213" t="s">
        <v>74</v>
      </c>
      <c r="N213" t="s">
        <v>74</v>
      </c>
      <c r="O213" t="s">
        <v>74</v>
      </c>
      <c r="P213" t="s">
        <v>74</v>
      </c>
      <c r="Q213" t="s">
        <v>74</v>
      </c>
      <c r="R213" t="s">
        <v>74</v>
      </c>
      <c r="S213" t="s">
        <v>74</v>
      </c>
      <c r="T213" t="s">
        <v>74</v>
      </c>
      <c r="U213" t="s">
        <v>74</v>
      </c>
      <c r="V213" s="3" t="s">
        <v>4534</v>
      </c>
      <c r="W213" t="s">
        <v>74</v>
      </c>
      <c r="X213" t="s">
        <v>74</v>
      </c>
      <c r="Y213" t="s">
        <v>74</v>
      </c>
      <c r="Z213" t="s">
        <v>74</v>
      </c>
      <c r="AA213" t="s">
        <v>74</v>
      </c>
      <c r="AB213" t="s">
        <v>74</v>
      </c>
      <c r="AC213" t="s">
        <v>74</v>
      </c>
      <c r="AD213" t="s">
        <v>74</v>
      </c>
      <c r="AE213" t="s">
        <v>74</v>
      </c>
      <c r="AF213" t="s">
        <v>74</v>
      </c>
      <c r="AG213" t="s">
        <v>74</v>
      </c>
      <c r="AH213" t="s">
        <v>74</v>
      </c>
      <c r="AI213" t="s">
        <v>74</v>
      </c>
      <c r="AJ213" t="s">
        <v>74</v>
      </c>
      <c r="AK213" t="s">
        <v>74</v>
      </c>
      <c r="AL213" t="s">
        <v>74</v>
      </c>
      <c r="AM213" t="s">
        <v>74</v>
      </c>
      <c r="AN213" t="s">
        <v>74</v>
      </c>
      <c r="AO213" t="s">
        <v>143</v>
      </c>
      <c r="AP213" t="s">
        <v>144</v>
      </c>
      <c r="AQ213" t="s">
        <v>74</v>
      </c>
      <c r="AR213" t="s">
        <v>74</v>
      </c>
      <c r="AS213" t="s">
        <v>74</v>
      </c>
      <c r="AT213" t="s">
        <v>145</v>
      </c>
      <c r="AU213">
        <v>1987</v>
      </c>
      <c r="AV213">
        <v>35</v>
      </c>
      <c r="AW213" t="s">
        <v>74</v>
      </c>
      <c r="AX213">
        <v>4</v>
      </c>
      <c r="AY213" t="s">
        <v>74</v>
      </c>
      <c r="AZ213" t="s">
        <v>74</v>
      </c>
      <c r="BA213" t="s">
        <v>74</v>
      </c>
      <c r="BB213">
        <v>1177</v>
      </c>
      <c r="BC213">
        <v>1187</v>
      </c>
      <c r="BD213" t="s">
        <v>74</v>
      </c>
      <c r="BE213" t="s">
        <v>4535</v>
      </c>
      <c r="BF213" t="str">
        <f>HYPERLINK("http://dx.doi.org/10.1016/S0003-3472(87)80174-4","http://dx.doi.org/10.1016/S0003-3472(87)80174-4")</f>
        <v>http://dx.doi.org/10.1016/S0003-3472(87)80174-4</v>
      </c>
      <c r="BG213" t="s">
        <v>74</v>
      </c>
      <c r="BH213" t="s">
        <v>74</v>
      </c>
      <c r="BI213" t="s">
        <v>74</v>
      </c>
      <c r="BJ213" t="s">
        <v>74</v>
      </c>
      <c r="BK213" t="s">
        <v>74</v>
      </c>
      <c r="BL213" t="s">
        <v>74</v>
      </c>
      <c r="BM213" t="s">
        <v>74</v>
      </c>
      <c r="BN213" t="s">
        <v>74</v>
      </c>
      <c r="BO213" t="s">
        <v>74</v>
      </c>
      <c r="BP213" t="s">
        <v>74</v>
      </c>
      <c r="BQ213" t="s">
        <v>74</v>
      </c>
      <c r="BR213" t="s">
        <v>74</v>
      </c>
      <c r="BS213" t="s">
        <v>4536</v>
      </c>
      <c r="BT213" t="str">
        <f>HYPERLINK("https%3A%2F%2Fwww.webofscience.com%2Fwos%2Fwoscc%2Ffull-record%2FWOS:A1987J540600022","View Full Record in Web of Science")</f>
        <v>View Full Record in Web of Science</v>
      </c>
    </row>
    <row r="214" spans="1:72" x14ac:dyDescent="0.4">
      <c r="A214" t="s">
        <v>72</v>
      </c>
      <c r="B214" t="s">
        <v>4021</v>
      </c>
      <c r="C214" t="s">
        <v>74</v>
      </c>
      <c r="D214" t="s">
        <v>74</v>
      </c>
      <c r="E214" t="s">
        <v>74</v>
      </c>
      <c r="F214" t="s">
        <v>4021</v>
      </c>
      <c r="G214" t="s">
        <v>74</v>
      </c>
      <c r="H214" t="s">
        <v>74</v>
      </c>
      <c r="I214" t="s">
        <v>4022</v>
      </c>
      <c r="J214" t="s">
        <v>1812</v>
      </c>
      <c r="K214" t="s">
        <v>74</v>
      </c>
      <c r="L214" t="s">
        <v>74</v>
      </c>
      <c r="M214" t="s">
        <v>74</v>
      </c>
      <c r="N214" t="s">
        <v>74</v>
      </c>
      <c r="O214" t="s">
        <v>74</v>
      </c>
      <c r="P214" t="s">
        <v>74</v>
      </c>
      <c r="Q214" t="s">
        <v>74</v>
      </c>
      <c r="R214" t="s">
        <v>74</v>
      </c>
      <c r="S214" t="s">
        <v>74</v>
      </c>
      <c r="T214" t="s">
        <v>74</v>
      </c>
      <c r="U214" t="s">
        <v>74</v>
      </c>
      <c r="V214" s="3" t="s">
        <v>4023</v>
      </c>
      <c r="W214" t="s">
        <v>74</v>
      </c>
      <c r="X214" t="s">
        <v>74</v>
      </c>
      <c r="Y214" t="s">
        <v>74</v>
      </c>
      <c r="Z214" t="s">
        <v>74</v>
      </c>
      <c r="AA214" t="s">
        <v>74</v>
      </c>
      <c r="AB214" t="s">
        <v>74</v>
      </c>
      <c r="AC214" t="s">
        <v>74</v>
      </c>
      <c r="AD214" t="s">
        <v>74</v>
      </c>
      <c r="AE214" t="s">
        <v>74</v>
      </c>
      <c r="AF214" t="s">
        <v>74</v>
      </c>
      <c r="AG214" t="s">
        <v>74</v>
      </c>
      <c r="AH214" t="s">
        <v>74</v>
      </c>
      <c r="AI214" t="s">
        <v>74</v>
      </c>
      <c r="AJ214" t="s">
        <v>74</v>
      </c>
      <c r="AK214" t="s">
        <v>74</v>
      </c>
      <c r="AL214" t="s">
        <v>74</v>
      </c>
      <c r="AM214" t="s">
        <v>74</v>
      </c>
      <c r="AN214" t="s">
        <v>74</v>
      </c>
      <c r="AO214" t="s">
        <v>1814</v>
      </c>
      <c r="AP214" t="s">
        <v>1815</v>
      </c>
      <c r="AQ214" t="s">
        <v>74</v>
      </c>
      <c r="AR214" t="s">
        <v>74</v>
      </c>
      <c r="AS214" t="s">
        <v>74</v>
      </c>
      <c r="AT214" t="s">
        <v>102</v>
      </c>
      <c r="AU214">
        <v>1987</v>
      </c>
      <c r="AV214">
        <v>21</v>
      </c>
      <c r="AW214">
        <v>2</v>
      </c>
      <c r="AX214" t="s">
        <v>74</v>
      </c>
      <c r="AY214" t="s">
        <v>74</v>
      </c>
      <c r="AZ214" t="s">
        <v>74</v>
      </c>
      <c r="BA214" t="s">
        <v>74</v>
      </c>
      <c r="BB214">
        <v>96</v>
      </c>
      <c r="BC214">
        <v>101</v>
      </c>
      <c r="BD214" t="s">
        <v>74</v>
      </c>
      <c r="BE214" t="s">
        <v>4024</v>
      </c>
      <c r="BF214" t="str">
        <f>HYPERLINK("http://dx.doi.org/10.2307/1564469","http://dx.doi.org/10.2307/1564469")</f>
        <v>http://dx.doi.org/10.2307/1564469</v>
      </c>
      <c r="BG214" t="s">
        <v>74</v>
      </c>
      <c r="BH214" t="s">
        <v>74</v>
      </c>
      <c r="BI214" t="s">
        <v>74</v>
      </c>
      <c r="BJ214" t="s">
        <v>74</v>
      </c>
      <c r="BK214" t="s">
        <v>74</v>
      </c>
      <c r="BL214" t="s">
        <v>74</v>
      </c>
      <c r="BM214" t="s">
        <v>74</v>
      </c>
      <c r="BN214" t="s">
        <v>74</v>
      </c>
      <c r="BO214" t="s">
        <v>74</v>
      </c>
      <c r="BP214" t="s">
        <v>74</v>
      </c>
      <c r="BQ214" t="s">
        <v>74</v>
      </c>
      <c r="BR214" t="s">
        <v>74</v>
      </c>
      <c r="BS214" t="s">
        <v>4025</v>
      </c>
      <c r="BT214" t="str">
        <f>HYPERLINK("https%3A%2F%2Fwww.webofscience.com%2Fwos%2Fwoscc%2Ffull-record%2FWOS:A1987H691700002","View Full Record in Web of Science")</f>
        <v>View Full Record in Web of Science</v>
      </c>
    </row>
    <row r="215" spans="1:72" x14ac:dyDescent="0.4">
      <c r="A215" t="s">
        <v>72</v>
      </c>
      <c r="B215" t="s">
        <v>4356</v>
      </c>
      <c r="C215" t="s">
        <v>74</v>
      </c>
      <c r="D215" t="s">
        <v>74</v>
      </c>
      <c r="E215" t="s">
        <v>74</v>
      </c>
      <c r="F215" t="s">
        <v>4356</v>
      </c>
      <c r="G215" t="s">
        <v>74</v>
      </c>
      <c r="H215" t="s">
        <v>74</v>
      </c>
      <c r="I215" t="s">
        <v>4357</v>
      </c>
      <c r="J215" t="s">
        <v>1126</v>
      </c>
      <c r="K215" t="s">
        <v>74</v>
      </c>
      <c r="L215" t="s">
        <v>74</v>
      </c>
      <c r="M215" t="s">
        <v>74</v>
      </c>
      <c r="N215" t="s">
        <v>74</v>
      </c>
      <c r="O215" t="s">
        <v>74</v>
      </c>
      <c r="P215" t="s">
        <v>74</v>
      </c>
      <c r="Q215" t="s">
        <v>74</v>
      </c>
      <c r="R215" t="s">
        <v>74</v>
      </c>
      <c r="S215" t="s">
        <v>74</v>
      </c>
      <c r="T215" t="s">
        <v>74</v>
      </c>
      <c r="U215" t="s">
        <v>74</v>
      </c>
      <c r="V215" s="3" t="s">
        <v>4358</v>
      </c>
      <c r="W215" t="s">
        <v>74</v>
      </c>
      <c r="X215" t="s">
        <v>74</v>
      </c>
      <c r="Y215" t="s">
        <v>74</v>
      </c>
      <c r="Z215" t="s">
        <v>74</v>
      </c>
      <c r="AA215" t="s">
        <v>74</v>
      </c>
      <c r="AB215" t="s">
        <v>74</v>
      </c>
      <c r="AC215" t="s">
        <v>74</v>
      </c>
      <c r="AD215" t="s">
        <v>74</v>
      </c>
      <c r="AE215" t="s">
        <v>74</v>
      </c>
      <c r="AF215" t="s">
        <v>74</v>
      </c>
      <c r="AG215" t="s">
        <v>74</v>
      </c>
      <c r="AH215" t="s">
        <v>74</v>
      </c>
      <c r="AI215" t="s">
        <v>74</v>
      </c>
      <c r="AJ215" t="s">
        <v>74</v>
      </c>
      <c r="AK215" t="s">
        <v>74</v>
      </c>
      <c r="AL215" t="s">
        <v>74</v>
      </c>
      <c r="AM215" t="s">
        <v>74</v>
      </c>
      <c r="AN215" t="s">
        <v>74</v>
      </c>
      <c r="AO215" t="s">
        <v>1128</v>
      </c>
      <c r="AP215" t="s">
        <v>1129</v>
      </c>
      <c r="AQ215" t="s">
        <v>74</v>
      </c>
      <c r="AR215" t="s">
        <v>74</v>
      </c>
      <c r="AS215" t="s">
        <v>74</v>
      </c>
      <c r="AT215" t="s">
        <v>4359</v>
      </c>
      <c r="AU215">
        <v>1988</v>
      </c>
      <c r="AV215" t="s">
        <v>74</v>
      </c>
      <c r="AW215">
        <v>1</v>
      </c>
      <c r="AX215" t="s">
        <v>74</v>
      </c>
      <c r="AY215" t="s">
        <v>74</v>
      </c>
      <c r="AZ215" t="s">
        <v>74</v>
      </c>
      <c r="BA215" t="s">
        <v>74</v>
      </c>
      <c r="BB215">
        <v>1</v>
      </c>
      <c r="BC215">
        <v>6</v>
      </c>
      <c r="BD215" t="s">
        <v>74</v>
      </c>
      <c r="BE215" t="s">
        <v>74</v>
      </c>
      <c r="BF215" t="s">
        <v>74</v>
      </c>
      <c r="BG215" t="s">
        <v>74</v>
      </c>
      <c r="BH215" t="s">
        <v>74</v>
      </c>
      <c r="BI215" t="s">
        <v>74</v>
      </c>
      <c r="BJ215" t="s">
        <v>74</v>
      </c>
      <c r="BK215" t="s">
        <v>74</v>
      </c>
      <c r="BL215" t="s">
        <v>74</v>
      </c>
      <c r="BM215" t="s">
        <v>74</v>
      </c>
      <c r="BN215" t="s">
        <v>74</v>
      </c>
      <c r="BO215" t="s">
        <v>74</v>
      </c>
      <c r="BP215" t="s">
        <v>74</v>
      </c>
      <c r="BQ215" t="s">
        <v>74</v>
      </c>
      <c r="BR215" t="s">
        <v>74</v>
      </c>
      <c r="BS215" t="s">
        <v>4360</v>
      </c>
      <c r="BT215" t="str">
        <f>HYPERLINK("https%3A%2F%2Fwww.webofscience.com%2Fwos%2Fwoscc%2Ffull-record%2FWOS:A1988M131600001","View Full Record in Web of Science")</f>
        <v>View Full Record in Web of Science</v>
      </c>
    </row>
    <row r="216" spans="1:72" x14ac:dyDescent="0.4">
      <c r="A216" t="s">
        <v>72</v>
      </c>
      <c r="B216" t="s">
        <v>8655</v>
      </c>
      <c r="C216" t="s">
        <v>74</v>
      </c>
      <c r="D216" t="s">
        <v>74</v>
      </c>
      <c r="E216" t="s">
        <v>74</v>
      </c>
      <c r="F216" t="s">
        <v>8656</v>
      </c>
      <c r="G216" t="s">
        <v>74</v>
      </c>
      <c r="H216" t="s">
        <v>74</v>
      </c>
      <c r="I216" t="s">
        <v>8657</v>
      </c>
      <c r="J216" t="s">
        <v>1044</v>
      </c>
      <c r="K216" t="s">
        <v>74</v>
      </c>
      <c r="L216" t="s">
        <v>74</v>
      </c>
      <c r="M216" t="s">
        <v>74</v>
      </c>
      <c r="N216" t="s">
        <v>74</v>
      </c>
      <c r="O216" t="s">
        <v>74</v>
      </c>
      <c r="P216" t="s">
        <v>74</v>
      </c>
      <c r="Q216" t="s">
        <v>74</v>
      </c>
      <c r="R216" t="s">
        <v>74</v>
      </c>
      <c r="S216" t="s">
        <v>74</v>
      </c>
      <c r="T216" t="s">
        <v>74</v>
      </c>
      <c r="U216" t="s">
        <v>74</v>
      </c>
      <c r="V216" s="3" t="s">
        <v>8658</v>
      </c>
      <c r="W216" t="s">
        <v>74</v>
      </c>
      <c r="X216" t="s">
        <v>74</v>
      </c>
      <c r="Y216" t="s">
        <v>74</v>
      </c>
      <c r="Z216" t="s">
        <v>74</v>
      </c>
      <c r="AA216" t="s">
        <v>8659</v>
      </c>
      <c r="AB216" t="s">
        <v>8660</v>
      </c>
      <c r="AC216" t="s">
        <v>74</v>
      </c>
      <c r="AD216" t="s">
        <v>74</v>
      </c>
      <c r="AE216" t="s">
        <v>74</v>
      </c>
      <c r="AF216" t="s">
        <v>74</v>
      </c>
      <c r="AG216" t="s">
        <v>74</v>
      </c>
      <c r="AH216" t="s">
        <v>74</v>
      </c>
      <c r="AI216" t="s">
        <v>74</v>
      </c>
      <c r="AJ216" t="s">
        <v>74</v>
      </c>
      <c r="AK216" t="s">
        <v>74</v>
      </c>
      <c r="AL216" t="s">
        <v>74</v>
      </c>
      <c r="AM216" t="s">
        <v>74</v>
      </c>
      <c r="AN216" t="s">
        <v>74</v>
      </c>
      <c r="AO216" t="s">
        <v>1048</v>
      </c>
      <c r="AP216" t="s">
        <v>1049</v>
      </c>
      <c r="AQ216" t="s">
        <v>74</v>
      </c>
      <c r="AR216" t="s">
        <v>74</v>
      </c>
      <c r="AS216" t="s">
        <v>74</v>
      </c>
      <c r="AT216" t="s">
        <v>633</v>
      </c>
      <c r="AU216">
        <v>2020</v>
      </c>
      <c r="AV216">
        <v>29</v>
      </c>
      <c r="AW216">
        <v>7</v>
      </c>
      <c r="AX216" t="s">
        <v>74</v>
      </c>
      <c r="AY216" t="s">
        <v>74</v>
      </c>
      <c r="AZ216" t="s">
        <v>74</v>
      </c>
      <c r="BA216" t="s">
        <v>74</v>
      </c>
      <c r="BB216">
        <v>1358</v>
      </c>
      <c r="BC216">
        <v>1371</v>
      </c>
      <c r="BD216" t="s">
        <v>74</v>
      </c>
      <c r="BE216" t="s">
        <v>8661</v>
      </c>
      <c r="BF216" t="str">
        <f>HYPERLINK("http://dx.doi.org/10.1111/mec.15398","http://dx.doi.org/10.1111/mec.15398")</f>
        <v>http://dx.doi.org/10.1111/mec.15398</v>
      </c>
      <c r="BG216" t="s">
        <v>74</v>
      </c>
      <c r="BH216" t="s">
        <v>3584</v>
      </c>
      <c r="BI216" t="s">
        <v>74</v>
      </c>
      <c r="BJ216" t="s">
        <v>74</v>
      </c>
      <c r="BK216" t="s">
        <v>74</v>
      </c>
      <c r="BL216" t="s">
        <v>74</v>
      </c>
      <c r="BM216" t="s">
        <v>74</v>
      </c>
      <c r="BN216">
        <v>32115796</v>
      </c>
      <c r="BO216" t="s">
        <v>74</v>
      </c>
      <c r="BP216" t="s">
        <v>74</v>
      </c>
      <c r="BQ216" t="s">
        <v>74</v>
      </c>
      <c r="BR216" t="s">
        <v>74</v>
      </c>
      <c r="BS216" t="s">
        <v>8662</v>
      </c>
      <c r="BT216" t="str">
        <f>HYPERLINK("https%3A%2F%2Fwww.webofscience.com%2Fwos%2Fwoscc%2Ffull-record%2FWOS:000524283300001","View Full Record in Web of Science")</f>
        <v>View Full Record in Web of Science</v>
      </c>
    </row>
    <row r="217" spans="1:72" x14ac:dyDescent="0.4">
      <c r="A217" t="s">
        <v>72</v>
      </c>
      <c r="B217" t="s">
        <v>4243</v>
      </c>
      <c r="C217" t="s">
        <v>74</v>
      </c>
      <c r="D217" t="s">
        <v>74</v>
      </c>
      <c r="E217" t="s">
        <v>74</v>
      </c>
      <c r="F217" t="s">
        <v>4244</v>
      </c>
      <c r="G217" t="s">
        <v>74</v>
      </c>
      <c r="H217" t="s">
        <v>74</v>
      </c>
      <c r="I217" t="s">
        <v>4245</v>
      </c>
      <c r="J217" t="s">
        <v>333</v>
      </c>
      <c r="K217" t="s">
        <v>74</v>
      </c>
      <c r="L217" t="s">
        <v>74</v>
      </c>
      <c r="M217" t="s">
        <v>74</v>
      </c>
      <c r="N217" t="s">
        <v>74</v>
      </c>
      <c r="O217" t="s">
        <v>74</v>
      </c>
      <c r="P217" t="s">
        <v>74</v>
      </c>
      <c r="Q217" t="s">
        <v>74</v>
      </c>
      <c r="R217" t="s">
        <v>74</v>
      </c>
      <c r="S217" t="s">
        <v>74</v>
      </c>
      <c r="T217" t="s">
        <v>74</v>
      </c>
      <c r="U217" t="s">
        <v>74</v>
      </c>
      <c r="V217" s="3" t="s">
        <v>4246</v>
      </c>
      <c r="W217" t="s">
        <v>74</v>
      </c>
      <c r="X217" t="s">
        <v>74</v>
      </c>
      <c r="Y217" t="s">
        <v>74</v>
      </c>
      <c r="Z217" t="s">
        <v>74</v>
      </c>
      <c r="AA217" t="s">
        <v>4247</v>
      </c>
      <c r="AB217" t="s">
        <v>4248</v>
      </c>
      <c r="AC217" t="s">
        <v>74</v>
      </c>
      <c r="AD217" t="s">
        <v>74</v>
      </c>
      <c r="AE217" t="s">
        <v>74</v>
      </c>
      <c r="AF217" t="s">
        <v>74</v>
      </c>
      <c r="AG217" t="s">
        <v>74</v>
      </c>
      <c r="AH217" t="s">
        <v>74</v>
      </c>
      <c r="AI217" t="s">
        <v>74</v>
      </c>
      <c r="AJ217" t="s">
        <v>74</v>
      </c>
      <c r="AK217" t="s">
        <v>74</v>
      </c>
      <c r="AL217" t="s">
        <v>74</v>
      </c>
      <c r="AM217" t="s">
        <v>74</v>
      </c>
      <c r="AN217" t="s">
        <v>74</v>
      </c>
      <c r="AO217" t="s">
        <v>337</v>
      </c>
      <c r="AP217" t="s">
        <v>338</v>
      </c>
      <c r="AQ217" t="s">
        <v>74</v>
      </c>
      <c r="AR217" t="s">
        <v>74</v>
      </c>
      <c r="AS217" t="s">
        <v>74</v>
      </c>
      <c r="AT217" t="s">
        <v>1075</v>
      </c>
      <c r="AU217">
        <v>2018</v>
      </c>
      <c r="AV217">
        <v>29</v>
      </c>
      <c r="AW217">
        <v>6</v>
      </c>
      <c r="AX217" t="s">
        <v>74</v>
      </c>
      <c r="AY217" t="s">
        <v>74</v>
      </c>
      <c r="AZ217" t="s">
        <v>74</v>
      </c>
      <c r="BA217" t="s">
        <v>74</v>
      </c>
      <c r="BB217">
        <v>1472</v>
      </c>
      <c r="BC217">
        <v>1480</v>
      </c>
      <c r="BD217" t="s">
        <v>74</v>
      </c>
      <c r="BE217" t="s">
        <v>4249</v>
      </c>
      <c r="BF217" t="str">
        <f>HYPERLINK("http://dx.doi.org/10.1093/beheco/ary102","http://dx.doi.org/10.1093/beheco/ary102")</f>
        <v>http://dx.doi.org/10.1093/beheco/ary102</v>
      </c>
      <c r="BG217" t="s">
        <v>74</v>
      </c>
      <c r="BH217" t="s">
        <v>74</v>
      </c>
      <c r="BI217" t="s">
        <v>74</v>
      </c>
      <c r="BJ217" t="s">
        <v>74</v>
      </c>
      <c r="BK217" t="s">
        <v>74</v>
      </c>
      <c r="BL217" t="s">
        <v>74</v>
      </c>
      <c r="BM217" t="s">
        <v>74</v>
      </c>
      <c r="BN217" t="s">
        <v>74</v>
      </c>
      <c r="BO217" t="s">
        <v>74</v>
      </c>
      <c r="BP217" t="s">
        <v>74</v>
      </c>
      <c r="BQ217" t="s">
        <v>74</v>
      </c>
      <c r="BR217" t="s">
        <v>74</v>
      </c>
      <c r="BS217" t="s">
        <v>4250</v>
      </c>
      <c r="BT217" t="str">
        <f>HYPERLINK("https%3A%2F%2Fwww.webofscience.com%2Fwos%2Fwoscc%2Ffull-record%2FWOS:000453209600037","View Full Record in Web of Science")</f>
        <v>View Full Record in Web of Science</v>
      </c>
    </row>
    <row r="218" spans="1:72" x14ac:dyDescent="0.4">
      <c r="A218" t="s">
        <v>72</v>
      </c>
      <c r="B218" t="s">
        <v>5835</v>
      </c>
      <c r="C218" t="s">
        <v>74</v>
      </c>
      <c r="D218" t="s">
        <v>74</v>
      </c>
      <c r="E218" t="s">
        <v>74</v>
      </c>
      <c r="F218" t="s">
        <v>5836</v>
      </c>
      <c r="G218" t="s">
        <v>74</v>
      </c>
      <c r="H218" t="s">
        <v>74</v>
      </c>
      <c r="I218" t="s">
        <v>5837</v>
      </c>
      <c r="J218" t="s">
        <v>108</v>
      </c>
      <c r="K218" t="s">
        <v>74</v>
      </c>
      <c r="L218" t="s">
        <v>74</v>
      </c>
      <c r="M218" t="s">
        <v>74</v>
      </c>
      <c r="N218" t="s">
        <v>74</v>
      </c>
      <c r="O218" t="s">
        <v>74</v>
      </c>
      <c r="P218" t="s">
        <v>74</v>
      </c>
      <c r="Q218" t="s">
        <v>74</v>
      </c>
      <c r="R218" t="s">
        <v>74</v>
      </c>
      <c r="S218" t="s">
        <v>74</v>
      </c>
      <c r="T218" t="s">
        <v>74</v>
      </c>
      <c r="U218" t="s">
        <v>74</v>
      </c>
      <c r="V218" s="3" t="s">
        <v>5838</v>
      </c>
      <c r="W218" t="s">
        <v>74</v>
      </c>
      <c r="X218" t="s">
        <v>74</v>
      </c>
      <c r="Y218" t="s">
        <v>74</v>
      </c>
      <c r="Z218" t="s">
        <v>74</v>
      </c>
      <c r="AA218" t="s">
        <v>5839</v>
      </c>
      <c r="AB218" t="s">
        <v>5840</v>
      </c>
      <c r="AC218" t="s">
        <v>74</v>
      </c>
      <c r="AD218" t="s">
        <v>74</v>
      </c>
      <c r="AE218" t="s">
        <v>74</v>
      </c>
      <c r="AF218" t="s">
        <v>74</v>
      </c>
      <c r="AG218" t="s">
        <v>74</v>
      </c>
      <c r="AH218" t="s">
        <v>74</v>
      </c>
      <c r="AI218" t="s">
        <v>74</v>
      </c>
      <c r="AJ218" t="s">
        <v>74</v>
      </c>
      <c r="AK218" t="s">
        <v>74</v>
      </c>
      <c r="AL218" t="s">
        <v>74</v>
      </c>
      <c r="AM218" t="s">
        <v>74</v>
      </c>
      <c r="AN218" t="s">
        <v>74</v>
      </c>
      <c r="AO218" t="s">
        <v>111</v>
      </c>
      <c r="AP218" t="s">
        <v>112</v>
      </c>
      <c r="AQ218" t="s">
        <v>74</v>
      </c>
      <c r="AR218" t="s">
        <v>74</v>
      </c>
      <c r="AS218" t="s">
        <v>74</v>
      </c>
      <c r="AT218" t="s">
        <v>3140</v>
      </c>
      <c r="AU218">
        <v>2007</v>
      </c>
      <c r="AV218">
        <v>274</v>
      </c>
      <c r="AW218">
        <v>1624</v>
      </c>
      <c r="AX218" t="s">
        <v>74</v>
      </c>
      <c r="AY218" t="s">
        <v>74</v>
      </c>
      <c r="AZ218" t="s">
        <v>74</v>
      </c>
      <c r="BA218" t="s">
        <v>74</v>
      </c>
      <c r="BB218">
        <v>2445</v>
      </c>
      <c r="BC218">
        <v>2448</v>
      </c>
      <c r="BD218" t="s">
        <v>74</v>
      </c>
      <c r="BE218" t="s">
        <v>5841</v>
      </c>
      <c r="BF218" t="str">
        <f>HYPERLINK("http://dx.doi.org/10.1098/rspb.2007.0797","http://dx.doi.org/10.1098/rspb.2007.0797")</f>
        <v>http://dx.doi.org/10.1098/rspb.2007.0797</v>
      </c>
      <c r="BG218" t="s">
        <v>74</v>
      </c>
      <c r="BH218" t="s">
        <v>74</v>
      </c>
      <c r="BI218" t="s">
        <v>74</v>
      </c>
      <c r="BJ218" t="s">
        <v>74</v>
      </c>
      <c r="BK218" t="s">
        <v>74</v>
      </c>
      <c r="BL218" t="s">
        <v>74</v>
      </c>
      <c r="BM218" t="s">
        <v>74</v>
      </c>
      <c r="BN218">
        <v>17652064</v>
      </c>
      <c r="BO218" t="s">
        <v>74</v>
      </c>
      <c r="BP218" t="s">
        <v>74</v>
      </c>
      <c r="BQ218" t="s">
        <v>74</v>
      </c>
      <c r="BR218" t="s">
        <v>74</v>
      </c>
      <c r="BS218" t="s">
        <v>5842</v>
      </c>
      <c r="BT218" t="str">
        <f>HYPERLINK("https%3A%2F%2Fwww.webofscience.com%2Fwos%2Fwoscc%2Ffull-record%2FWOS:000248887800011","View Full Record in Web of Science")</f>
        <v>View Full Record in Web of Science</v>
      </c>
    </row>
    <row r="219" spans="1:72" x14ac:dyDescent="0.4">
      <c r="A219" t="s">
        <v>72</v>
      </c>
      <c r="B219" t="s">
        <v>5289</v>
      </c>
      <c r="C219" t="s">
        <v>74</v>
      </c>
      <c r="D219" t="s">
        <v>74</v>
      </c>
      <c r="E219" t="s">
        <v>74</v>
      </c>
      <c r="F219" t="s">
        <v>5290</v>
      </c>
      <c r="G219" t="s">
        <v>74</v>
      </c>
      <c r="H219" t="s">
        <v>74</v>
      </c>
      <c r="I219" t="s">
        <v>5291</v>
      </c>
      <c r="J219" t="s">
        <v>129</v>
      </c>
      <c r="K219" t="s">
        <v>74</v>
      </c>
      <c r="L219" t="s">
        <v>74</v>
      </c>
      <c r="M219" t="s">
        <v>74</v>
      </c>
      <c r="N219" t="s">
        <v>74</v>
      </c>
      <c r="O219" t="s">
        <v>74</v>
      </c>
      <c r="P219" t="s">
        <v>74</v>
      </c>
      <c r="Q219" t="s">
        <v>74</v>
      </c>
      <c r="R219" t="s">
        <v>74</v>
      </c>
      <c r="S219" t="s">
        <v>74</v>
      </c>
      <c r="T219" t="s">
        <v>74</v>
      </c>
      <c r="U219" t="s">
        <v>74</v>
      </c>
      <c r="V219" s="3" t="s">
        <v>5292</v>
      </c>
      <c r="W219" t="s">
        <v>74</v>
      </c>
      <c r="X219" t="s">
        <v>74</v>
      </c>
      <c r="Y219" t="s">
        <v>74</v>
      </c>
      <c r="Z219" t="s">
        <v>74</v>
      </c>
      <c r="AA219" t="s">
        <v>74</v>
      </c>
      <c r="AB219" t="s">
        <v>74</v>
      </c>
      <c r="AC219" t="s">
        <v>74</v>
      </c>
      <c r="AD219" t="s">
        <v>74</v>
      </c>
      <c r="AE219" t="s">
        <v>74</v>
      </c>
      <c r="AF219" t="s">
        <v>74</v>
      </c>
      <c r="AG219" t="s">
        <v>74</v>
      </c>
      <c r="AH219" t="s">
        <v>74</v>
      </c>
      <c r="AI219" t="s">
        <v>74</v>
      </c>
      <c r="AJ219" t="s">
        <v>74</v>
      </c>
      <c r="AK219" t="s">
        <v>74</v>
      </c>
      <c r="AL219" t="s">
        <v>74</v>
      </c>
      <c r="AM219" t="s">
        <v>74</v>
      </c>
      <c r="AN219" t="s">
        <v>74</v>
      </c>
      <c r="AO219" t="s">
        <v>132</v>
      </c>
      <c r="AP219" t="s">
        <v>133</v>
      </c>
      <c r="AQ219" t="s">
        <v>74</v>
      </c>
      <c r="AR219" t="s">
        <v>74</v>
      </c>
      <c r="AS219" t="s">
        <v>74</v>
      </c>
      <c r="AT219" t="s">
        <v>145</v>
      </c>
      <c r="AU219">
        <v>2013</v>
      </c>
      <c r="AV219">
        <v>67</v>
      </c>
      <c r="AW219">
        <v>8</v>
      </c>
      <c r="AX219" t="s">
        <v>74</v>
      </c>
      <c r="AY219" t="s">
        <v>74</v>
      </c>
      <c r="AZ219" t="s">
        <v>74</v>
      </c>
      <c r="BA219" t="s">
        <v>74</v>
      </c>
      <c r="BB219">
        <v>1357</v>
      </c>
      <c r="BC219">
        <v>1367</v>
      </c>
      <c r="BD219" t="s">
        <v>74</v>
      </c>
      <c r="BE219" t="s">
        <v>5293</v>
      </c>
      <c r="BF219" t="str">
        <f>HYPERLINK("http://dx.doi.org/10.1007/s00265-013-1564-z","http://dx.doi.org/10.1007/s00265-013-1564-z")</f>
        <v>http://dx.doi.org/10.1007/s00265-013-1564-z</v>
      </c>
      <c r="BG219" t="s">
        <v>74</v>
      </c>
      <c r="BH219" t="s">
        <v>74</v>
      </c>
      <c r="BI219" t="s">
        <v>74</v>
      </c>
      <c r="BJ219" t="s">
        <v>74</v>
      </c>
      <c r="BK219" t="s">
        <v>74</v>
      </c>
      <c r="BL219" t="s">
        <v>74</v>
      </c>
      <c r="BM219" t="s">
        <v>74</v>
      </c>
      <c r="BN219" t="s">
        <v>74</v>
      </c>
      <c r="BO219" t="s">
        <v>74</v>
      </c>
      <c r="BP219" t="s">
        <v>74</v>
      </c>
      <c r="BQ219" t="s">
        <v>74</v>
      </c>
      <c r="BR219" t="s">
        <v>74</v>
      </c>
      <c r="BS219" t="s">
        <v>5294</v>
      </c>
      <c r="BT219" t="str">
        <f>HYPERLINK("https%3A%2F%2Fwww.webofscience.com%2Fwos%2Fwoscc%2Ffull-record%2FWOS:000321964800016","View Full Record in Web of Science")</f>
        <v>View Full Record in Web of Science</v>
      </c>
    </row>
    <row r="220" spans="1:72" x14ac:dyDescent="0.4">
      <c r="A220" t="s">
        <v>72</v>
      </c>
      <c r="B220" t="s">
        <v>2008</v>
      </c>
      <c r="C220" t="s">
        <v>74</v>
      </c>
      <c r="D220" t="s">
        <v>74</v>
      </c>
      <c r="E220" t="s">
        <v>74</v>
      </c>
      <c r="F220" t="s">
        <v>2008</v>
      </c>
      <c r="G220" t="s">
        <v>74</v>
      </c>
      <c r="H220" t="s">
        <v>74</v>
      </c>
      <c r="I220" t="s">
        <v>2009</v>
      </c>
      <c r="J220" t="s">
        <v>333</v>
      </c>
      <c r="K220" t="s">
        <v>74</v>
      </c>
      <c r="L220" t="s">
        <v>74</v>
      </c>
      <c r="M220" t="s">
        <v>74</v>
      </c>
      <c r="N220" t="s">
        <v>74</v>
      </c>
      <c r="O220" t="s">
        <v>74</v>
      </c>
      <c r="P220" t="s">
        <v>74</v>
      </c>
      <c r="Q220" t="s">
        <v>74</v>
      </c>
      <c r="R220" t="s">
        <v>74</v>
      </c>
      <c r="S220" t="s">
        <v>74</v>
      </c>
      <c r="T220" t="s">
        <v>74</v>
      </c>
      <c r="U220" t="s">
        <v>74</v>
      </c>
      <c r="V220" s="3" t="s">
        <v>2010</v>
      </c>
      <c r="W220" t="s">
        <v>74</v>
      </c>
      <c r="X220" t="s">
        <v>74</v>
      </c>
      <c r="Y220" t="s">
        <v>74</v>
      </c>
      <c r="Z220" t="s">
        <v>74</v>
      </c>
      <c r="AA220" t="s">
        <v>74</v>
      </c>
      <c r="AB220" t="s">
        <v>2011</v>
      </c>
      <c r="AC220" t="s">
        <v>74</v>
      </c>
      <c r="AD220" t="s">
        <v>74</v>
      </c>
      <c r="AE220" t="s">
        <v>74</v>
      </c>
      <c r="AF220" t="s">
        <v>74</v>
      </c>
      <c r="AG220" t="s">
        <v>74</v>
      </c>
      <c r="AH220" t="s">
        <v>74</v>
      </c>
      <c r="AI220" t="s">
        <v>74</v>
      </c>
      <c r="AJ220" t="s">
        <v>74</v>
      </c>
      <c r="AK220" t="s">
        <v>74</v>
      </c>
      <c r="AL220" t="s">
        <v>74</v>
      </c>
      <c r="AM220" t="s">
        <v>74</v>
      </c>
      <c r="AN220" t="s">
        <v>74</v>
      </c>
      <c r="AO220" t="s">
        <v>337</v>
      </c>
      <c r="AP220" t="s">
        <v>74</v>
      </c>
      <c r="AQ220" t="s">
        <v>74</v>
      </c>
      <c r="AR220" t="s">
        <v>74</v>
      </c>
      <c r="AS220" t="s">
        <v>74</v>
      </c>
      <c r="AT220" t="s">
        <v>255</v>
      </c>
      <c r="AU220">
        <v>2002</v>
      </c>
      <c r="AV220">
        <v>13</v>
      </c>
      <c r="AW220">
        <v>1</v>
      </c>
      <c r="AX220" t="s">
        <v>74</v>
      </c>
      <c r="AY220" t="s">
        <v>74</v>
      </c>
      <c r="AZ220" t="s">
        <v>74</v>
      </c>
      <c r="BA220" t="s">
        <v>74</v>
      </c>
      <c r="BB220">
        <v>59</v>
      </c>
      <c r="BC220">
        <v>64</v>
      </c>
      <c r="BD220" t="s">
        <v>74</v>
      </c>
      <c r="BE220" t="s">
        <v>2012</v>
      </c>
      <c r="BF220" t="str">
        <f>HYPERLINK("http://dx.doi.org/10.1093/beheco/13.1.59","http://dx.doi.org/10.1093/beheco/13.1.59")</f>
        <v>http://dx.doi.org/10.1093/beheco/13.1.59</v>
      </c>
      <c r="BG220" t="s">
        <v>74</v>
      </c>
      <c r="BH220" t="s">
        <v>74</v>
      </c>
      <c r="BI220" t="s">
        <v>74</v>
      </c>
      <c r="BJ220" t="s">
        <v>74</v>
      </c>
      <c r="BK220" t="s">
        <v>74</v>
      </c>
      <c r="BL220" t="s">
        <v>74</v>
      </c>
      <c r="BM220" t="s">
        <v>74</v>
      </c>
      <c r="BN220" t="s">
        <v>74</v>
      </c>
      <c r="BO220" t="s">
        <v>74</v>
      </c>
      <c r="BP220" t="s">
        <v>74</v>
      </c>
      <c r="BQ220" t="s">
        <v>74</v>
      </c>
      <c r="BR220" t="s">
        <v>74</v>
      </c>
      <c r="BS220" t="s">
        <v>2013</v>
      </c>
      <c r="BT220" t="str">
        <f>HYPERLINK("https%3A%2F%2Fwww.webofscience.com%2Fwos%2Fwoscc%2Ffull-record%2FWOS:000173390700008","View Full Record in Web of Science")</f>
        <v>View Full Record in Web of Science</v>
      </c>
    </row>
    <row r="221" spans="1:72" x14ac:dyDescent="0.4">
      <c r="A221" t="s">
        <v>72</v>
      </c>
      <c r="B221" t="s">
        <v>6996</v>
      </c>
      <c r="C221" t="s">
        <v>74</v>
      </c>
      <c r="D221" t="s">
        <v>74</v>
      </c>
      <c r="E221" t="s">
        <v>74</v>
      </c>
      <c r="F221" t="s">
        <v>6997</v>
      </c>
      <c r="G221" t="s">
        <v>74</v>
      </c>
      <c r="H221" t="s">
        <v>74</v>
      </c>
      <c r="I221" t="s">
        <v>6998</v>
      </c>
      <c r="J221" t="s">
        <v>99</v>
      </c>
      <c r="K221" t="s">
        <v>74</v>
      </c>
      <c r="L221" t="s">
        <v>74</v>
      </c>
      <c r="M221" t="s">
        <v>74</v>
      </c>
      <c r="N221" t="s">
        <v>74</v>
      </c>
      <c r="O221" t="s">
        <v>74</v>
      </c>
      <c r="P221" t="s">
        <v>74</v>
      </c>
      <c r="Q221" t="s">
        <v>74</v>
      </c>
      <c r="R221" t="s">
        <v>74</v>
      </c>
      <c r="S221" t="s">
        <v>74</v>
      </c>
      <c r="T221" t="s">
        <v>74</v>
      </c>
      <c r="U221" t="s">
        <v>74</v>
      </c>
      <c r="V221" s="3" t="s">
        <v>6999</v>
      </c>
      <c r="W221" t="s">
        <v>74</v>
      </c>
      <c r="X221" t="s">
        <v>74</v>
      </c>
      <c r="Y221" t="s">
        <v>74</v>
      </c>
      <c r="Z221" t="s">
        <v>74</v>
      </c>
      <c r="AA221" t="s">
        <v>74</v>
      </c>
      <c r="AB221" t="s">
        <v>74</v>
      </c>
      <c r="AC221" t="s">
        <v>74</v>
      </c>
      <c r="AD221" t="s">
        <v>74</v>
      </c>
      <c r="AE221" t="s">
        <v>74</v>
      </c>
      <c r="AF221" t="s">
        <v>74</v>
      </c>
      <c r="AG221" t="s">
        <v>74</v>
      </c>
      <c r="AH221" t="s">
        <v>74</v>
      </c>
      <c r="AI221" t="s">
        <v>74</v>
      </c>
      <c r="AJ221" t="s">
        <v>74</v>
      </c>
      <c r="AK221" t="s">
        <v>74</v>
      </c>
      <c r="AL221" t="s">
        <v>74</v>
      </c>
      <c r="AM221" t="s">
        <v>74</v>
      </c>
      <c r="AN221" t="s">
        <v>74</v>
      </c>
      <c r="AO221" t="s">
        <v>101</v>
      </c>
      <c r="AP221" t="s">
        <v>1218</v>
      </c>
      <c r="AQ221" t="s">
        <v>74</v>
      </c>
      <c r="AR221" t="s">
        <v>74</v>
      </c>
      <c r="AS221" t="s">
        <v>74</v>
      </c>
      <c r="AT221" t="s">
        <v>102</v>
      </c>
      <c r="AU221">
        <v>2009</v>
      </c>
      <c r="AV221">
        <v>121</v>
      </c>
      <c r="AW221">
        <v>2</v>
      </c>
      <c r="AX221" t="s">
        <v>74</v>
      </c>
      <c r="AY221" t="s">
        <v>74</v>
      </c>
      <c r="AZ221" t="s">
        <v>74</v>
      </c>
      <c r="BA221" t="s">
        <v>74</v>
      </c>
      <c r="BB221">
        <v>359</v>
      </c>
      <c r="BC221">
        <v>365</v>
      </c>
      <c r="BD221" t="s">
        <v>74</v>
      </c>
      <c r="BE221" t="s">
        <v>7000</v>
      </c>
      <c r="BF221" t="str">
        <f>HYPERLINK("http://dx.doi.org/10.1676/07-138.1","http://dx.doi.org/10.1676/07-138.1")</f>
        <v>http://dx.doi.org/10.1676/07-138.1</v>
      </c>
      <c r="BG221" t="s">
        <v>74</v>
      </c>
      <c r="BH221" t="s">
        <v>74</v>
      </c>
      <c r="BI221" t="s">
        <v>74</v>
      </c>
      <c r="BJ221" t="s">
        <v>74</v>
      </c>
      <c r="BK221" t="s">
        <v>74</v>
      </c>
      <c r="BL221" t="s">
        <v>74</v>
      </c>
      <c r="BM221" t="s">
        <v>74</v>
      </c>
      <c r="BN221" t="s">
        <v>74</v>
      </c>
      <c r="BO221" t="s">
        <v>74</v>
      </c>
      <c r="BP221" t="s">
        <v>74</v>
      </c>
      <c r="BQ221" t="s">
        <v>74</v>
      </c>
      <c r="BR221" t="s">
        <v>74</v>
      </c>
      <c r="BS221" t="s">
        <v>7001</v>
      </c>
      <c r="BT221" t="str">
        <f>HYPERLINK("https%3A%2F%2Fwww.webofscience.com%2Fwos%2Fwoscc%2Ffull-record%2FWOS:000276803600015","View Full Record in Web of Science")</f>
        <v>View Full Record in Web of Science</v>
      </c>
    </row>
    <row r="222" spans="1:72" x14ac:dyDescent="0.4">
      <c r="A222" t="s">
        <v>72</v>
      </c>
      <c r="B222" t="s">
        <v>8545</v>
      </c>
      <c r="C222" t="s">
        <v>74</v>
      </c>
      <c r="D222" t="s">
        <v>74</v>
      </c>
      <c r="E222" t="s">
        <v>74</v>
      </c>
      <c r="F222" t="s">
        <v>8545</v>
      </c>
      <c r="G222" t="s">
        <v>74</v>
      </c>
      <c r="H222" t="s">
        <v>74</v>
      </c>
      <c r="I222" t="s">
        <v>8546</v>
      </c>
      <c r="J222" t="s">
        <v>1126</v>
      </c>
      <c r="K222" t="s">
        <v>74</v>
      </c>
      <c r="L222" t="s">
        <v>74</v>
      </c>
      <c r="M222" t="s">
        <v>74</v>
      </c>
      <c r="N222" t="s">
        <v>74</v>
      </c>
      <c r="O222" t="s">
        <v>74</v>
      </c>
      <c r="P222" t="s">
        <v>74</v>
      </c>
      <c r="Q222" t="s">
        <v>74</v>
      </c>
      <c r="R222" t="s">
        <v>74</v>
      </c>
      <c r="S222" t="s">
        <v>74</v>
      </c>
      <c r="T222" t="s">
        <v>74</v>
      </c>
      <c r="U222" t="s">
        <v>74</v>
      </c>
      <c r="V222" s="3" t="s">
        <v>8547</v>
      </c>
      <c r="W222" t="s">
        <v>74</v>
      </c>
      <c r="X222" t="s">
        <v>74</v>
      </c>
      <c r="Y222" t="s">
        <v>74</v>
      </c>
      <c r="Z222" t="s">
        <v>74</v>
      </c>
      <c r="AA222" t="s">
        <v>74</v>
      </c>
      <c r="AB222" t="s">
        <v>74</v>
      </c>
      <c r="AC222" t="s">
        <v>74</v>
      </c>
      <c r="AD222" t="s">
        <v>74</v>
      </c>
      <c r="AE222" t="s">
        <v>74</v>
      </c>
      <c r="AF222" t="s">
        <v>74</v>
      </c>
      <c r="AG222" t="s">
        <v>74</v>
      </c>
      <c r="AH222" t="s">
        <v>74</v>
      </c>
      <c r="AI222" t="s">
        <v>74</v>
      </c>
      <c r="AJ222" t="s">
        <v>74</v>
      </c>
      <c r="AK222" t="s">
        <v>74</v>
      </c>
      <c r="AL222" t="s">
        <v>74</v>
      </c>
      <c r="AM222" t="s">
        <v>74</v>
      </c>
      <c r="AN222" t="s">
        <v>74</v>
      </c>
      <c r="AO222" t="s">
        <v>1128</v>
      </c>
      <c r="AP222" t="s">
        <v>1129</v>
      </c>
      <c r="AQ222" t="s">
        <v>74</v>
      </c>
      <c r="AR222" t="s">
        <v>74</v>
      </c>
      <c r="AS222" t="s">
        <v>74</v>
      </c>
      <c r="AT222" t="s">
        <v>8548</v>
      </c>
      <c r="AU222">
        <v>2005</v>
      </c>
      <c r="AV222" t="s">
        <v>74</v>
      </c>
      <c r="AW222">
        <v>3</v>
      </c>
      <c r="AX222" t="s">
        <v>74</v>
      </c>
      <c r="AY222" t="s">
        <v>74</v>
      </c>
      <c r="AZ222" t="s">
        <v>74</v>
      </c>
      <c r="BA222" t="s">
        <v>74</v>
      </c>
      <c r="BB222">
        <v>597</v>
      </c>
      <c r="BC222">
        <v>608</v>
      </c>
      <c r="BD222" t="s">
        <v>74</v>
      </c>
      <c r="BE222" t="s">
        <v>74</v>
      </c>
      <c r="BF222" t="s">
        <v>74</v>
      </c>
      <c r="BG222" t="s">
        <v>74</v>
      </c>
      <c r="BH222" t="s">
        <v>74</v>
      </c>
      <c r="BI222" t="s">
        <v>74</v>
      </c>
      <c r="BJ222" t="s">
        <v>74</v>
      </c>
      <c r="BK222" t="s">
        <v>74</v>
      </c>
      <c r="BL222" t="s">
        <v>74</v>
      </c>
      <c r="BM222" t="s">
        <v>74</v>
      </c>
      <c r="BN222" t="s">
        <v>74</v>
      </c>
      <c r="BO222" t="s">
        <v>74</v>
      </c>
      <c r="BP222" t="s">
        <v>74</v>
      </c>
      <c r="BQ222" t="s">
        <v>74</v>
      </c>
      <c r="BR222" t="s">
        <v>74</v>
      </c>
      <c r="BS222" t="s">
        <v>8549</v>
      </c>
      <c r="BT222" t="str">
        <f>HYPERLINK("https%3A%2F%2Fwww.webofscience.com%2Fwos%2Fwoscc%2Ffull-record%2FWOS:000231035500014","View Full Record in Web of Science")</f>
        <v>View Full Record in Web of Science</v>
      </c>
    </row>
    <row r="223" spans="1:72" x14ac:dyDescent="0.4">
      <c r="A223" t="s">
        <v>72</v>
      </c>
      <c r="B223" t="s">
        <v>6039</v>
      </c>
      <c r="C223" t="s">
        <v>74</v>
      </c>
      <c r="D223" t="s">
        <v>74</v>
      </c>
      <c r="E223" t="s">
        <v>74</v>
      </c>
      <c r="F223" t="s">
        <v>6040</v>
      </c>
      <c r="G223" t="s">
        <v>74</v>
      </c>
      <c r="H223" t="s">
        <v>74</v>
      </c>
      <c r="I223" t="s">
        <v>6041</v>
      </c>
      <c r="J223" t="s">
        <v>6042</v>
      </c>
      <c r="K223" t="s">
        <v>74</v>
      </c>
      <c r="L223" t="s">
        <v>74</v>
      </c>
      <c r="M223" t="s">
        <v>74</v>
      </c>
      <c r="N223" t="s">
        <v>74</v>
      </c>
      <c r="O223" t="s">
        <v>74</v>
      </c>
      <c r="P223" t="s">
        <v>74</v>
      </c>
      <c r="Q223" t="s">
        <v>74</v>
      </c>
      <c r="R223" t="s">
        <v>74</v>
      </c>
      <c r="S223" t="s">
        <v>74</v>
      </c>
      <c r="T223" t="s">
        <v>74</v>
      </c>
      <c r="U223" t="s">
        <v>74</v>
      </c>
      <c r="V223" s="3" t="s">
        <v>6043</v>
      </c>
      <c r="W223" t="s">
        <v>74</v>
      </c>
      <c r="X223" t="s">
        <v>74</v>
      </c>
      <c r="Y223" t="s">
        <v>74</v>
      </c>
      <c r="Z223" t="s">
        <v>74</v>
      </c>
      <c r="AA223" t="s">
        <v>74</v>
      </c>
      <c r="AB223" t="s">
        <v>74</v>
      </c>
      <c r="AC223" t="s">
        <v>74</v>
      </c>
      <c r="AD223" t="s">
        <v>74</v>
      </c>
      <c r="AE223" t="s">
        <v>74</v>
      </c>
      <c r="AF223" t="s">
        <v>74</v>
      </c>
      <c r="AG223" t="s">
        <v>74</v>
      </c>
      <c r="AH223" t="s">
        <v>74</v>
      </c>
      <c r="AI223" t="s">
        <v>74</v>
      </c>
      <c r="AJ223" t="s">
        <v>74</v>
      </c>
      <c r="AK223" t="s">
        <v>74</v>
      </c>
      <c r="AL223" t="s">
        <v>74</v>
      </c>
      <c r="AM223" t="s">
        <v>74</v>
      </c>
      <c r="AN223" t="s">
        <v>74</v>
      </c>
      <c r="AO223" t="s">
        <v>6044</v>
      </c>
      <c r="AP223" t="s">
        <v>6045</v>
      </c>
      <c r="AQ223" t="s">
        <v>74</v>
      </c>
      <c r="AR223" t="s">
        <v>74</v>
      </c>
      <c r="AS223" t="s">
        <v>74</v>
      </c>
      <c r="AT223" t="s">
        <v>1349</v>
      </c>
      <c r="AU223">
        <v>2008</v>
      </c>
      <c r="AV223" t="s">
        <v>6046</v>
      </c>
      <c r="AW223">
        <v>9</v>
      </c>
      <c r="AX223" t="s">
        <v>74</v>
      </c>
      <c r="AY223" t="s">
        <v>74</v>
      </c>
      <c r="AZ223" t="s">
        <v>74</v>
      </c>
      <c r="BA223" t="s">
        <v>74</v>
      </c>
      <c r="BB223">
        <v>505</v>
      </c>
      <c r="BC223">
        <v>514</v>
      </c>
      <c r="BD223" t="s">
        <v>74</v>
      </c>
      <c r="BE223" t="s">
        <v>6047</v>
      </c>
      <c r="BF223" t="str">
        <f>HYPERLINK("http://dx.doi.org/10.1002/jez.481","http://dx.doi.org/10.1002/jez.481")</f>
        <v>http://dx.doi.org/10.1002/jez.481</v>
      </c>
      <c r="BG223" t="s">
        <v>74</v>
      </c>
      <c r="BH223" t="s">
        <v>74</v>
      </c>
      <c r="BI223" t="s">
        <v>74</v>
      </c>
      <c r="BJ223" t="s">
        <v>74</v>
      </c>
      <c r="BK223" t="s">
        <v>74</v>
      </c>
      <c r="BL223" t="s">
        <v>74</v>
      </c>
      <c r="BM223" t="s">
        <v>74</v>
      </c>
      <c r="BN223">
        <v>18661470</v>
      </c>
      <c r="BO223" t="s">
        <v>74</v>
      </c>
      <c r="BP223" t="s">
        <v>74</v>
      </c>
      <c r="BQ223" t="s">
        <v>74</v>
      </c>
      <c r="BR223" t="s">
        <v>74</v>
      </c>
      <c r="BS223" t="s">
        <v>6048</v>
      </c>
      <c r="BT223" t="str">
        <f>HYPERLINK("https%3A%2F%2Fwww.webofscience.com%2Fwos%2Fwoscc%2Ffull-record%2FWOS:000260626200001","View Full Record in Web of Science")</f>
        <v>View Full Record in Web of Science</v>
      </c>
    </row>
    <row r="224" spans="1:72" x14ac:dyDescent="0.4">
      <c r="A224" t="s">
        <v>72</v>
      </c>
      <c r="B224" t="s">
        <v>7252</v>
      </c>
      <c r="C224" t="s">
        <v>74</v>
      </c>
      <c r="D224" t="s">
        <v>74</v>
      </c>
      <c r="E224" t="s">
        <v>74</v>
      </c>
      <c r="F224" t="s">
        <v>7252</v>
      </c>
      <c r="G224" t="s">
        <v>74</v>
      </c>
      <c r="H224" t="s">
        <v>74</v>
      </c>
      <c r="I224" t="s">
        <v>7253</v>
      </c>
      <c r="J224" t="s">
        <v>2144</v>
      </c>
      <c r="K224" t="s">
        <v>74</v>
      </c>
      <c r="L224" t="s">
        <v>74</v>
      </c>
      <c r="M224" t="s">
        <v>74</v>
      </c>
      <c r="N224" t="s">
        <v>74</v>
      </c>
      <c r="O224" t="s">
        <v>74</v>
      </c>
      <c r="P224" t="s">
        <v>74</v>
      </c>
      <c r="Q224" t="s">
        <v>74</v>
      </c>
      <c r="R224" t="s">
        <v>74</v>
      </c>
      <c r="S224" t="s">
        <v>74</v>
      </c>
      <c r="T224" t="s">
        <v>74</v>
      </c>
      <c r="U224" t="s">
        <v>74</v>
      </c>
      <c r="V224" s="3" t="s">
        <v>7254</v>
      </c>
      <c r="W224" t="s">
        <v>74</v>
      </c>
      <c r="X224" t="s">
        <v>74</v>
      </c>
      <c r="Y224" t="s">
        <v>74</v>
      </c>
      <c r="Z224" t="s">
        <v>74</v>
      </c>
      <c r="AA224" t="s">
        <v>74</v>
      </c>
      <c r="AB224" t="s">
        <v>74</v>
      </c>
      <c r="AC224" t="s">
        <v>74</v>
      </c>
      <c r="AD224" t="s">
        <v>74</v>
      </c>
      <c r="AE224" t="s">
        <v>74</v>
      </c>
      <c r="AF224" t="s">
        <v>74</v>
      </c>
      <c r="AG224" t="s">
        <v>74</v>
      </c>
      <c r="AH224" t="s">
        <v>74</v>
      </c>
      <c r="AI224" t="s">
        <v>74</v>
      </c>
      <c r="AJ224" t="s">
        <v>74</v>
      </c>
      <c r="AK224" t="s">
        <v>74</v>
      </c>
      <c r="AL224" t="s">
        <v>74</v>
      </c>
      <c r="AM224" t="s">
        <v>74</v>
      </c>
      <c r="AN224" t="s">
        <v>74</v>
      </c>
      <c r="AO224" t="s">
        <v>2146</v>
      </c>
      <c r="AP224" t="s">
        <v>2147</v>
      </c>
      <c r="AQ224" t="s">
        <v>74</v>
      </c>
      <c r="AR224" t="s">
        <v>74</v>
      </c>
      <c r="AS224" t="s">
        <v>74</v>
      </c>
      <c r="AT224" t="s">
        <v>74</v>
      </c>
      <c r="AU224">
        <v>1977</v>
      </c>
      <c r="AV224">
        <v>4</v>
      </c>
      <c r="AW224">
        <v>4</v>
      </c>
      <c r="AX224" t="s">
        <v>74</v>
      </c>
      <c r="AY224" t="s">
        <v>74</v>
      </c>
      <c r="AZ224" t="s">
        <v>74</v>
      </c>
      <c r="BA224" t="s">
        <v>74</v>
      </c>
      <c r="BB224">
        <v>413</v>
      </c>
      <c r="BC224">
        <v>433</v>
      </c>
      <c r="BD224" t="s">
        <v>74</v>
      </c>
      <c r="BE224" t="s">
        <v>7255</v>
      </c>
      <c r="BF224" t="str">
        <f>HYPERLINK("http://dx.doi.org/10.1080/03014223.1977.9517966","http://dx.doi.org/10.1080/03014223.1977.9517966")</f>
        <v>http://dx.doi.org/10.1080/03014223.1977.9517966</v>
      </c>
      <c r="BG224" t="s">
        <v>74</v>
      </c>
      <c r="BH224" t="s">
        <v>74</v>
      </c>
      <c r="BI224" t="s">
        <v>74</v>
      </c>
      <c r="BJ224" t="s">
        <v>74</v>
      </c>
      <c r="BK224" t="s">
        <v>74</v>
      </c>
      <c r="BL224" t="s">
        <v>74</v>
      </c>
      <c r="BM224" t="s">
        <v>74</v>
      </c>
      <c r="BN224" t="s">
        <v>74</v>
      </c>
      <c r="BO224" t="s">
        <v>74</v>
      </c>
      <c r="BP224" t="s">
        <v>74</v>
      </c>
      <c r="BQ224" t="s">
        <v>74</v>
      </c>
      <c r="BR224" t="s">
        <v>74</v>
      </c>
      <c r="BS224" t="s">
        <v>7256</v>
      </c>
      <c r="BT224" t="str">
        <f>HYPERLINK("https%3A%2F%2Fwww.webofscience.com%2Fwos%2Fwoscc%2Ffull-record%2FWOS:A1977EK27900008","View Full Record in Web of Science")</f>
        <v>View Full Record in Web of Science</v>
      </c>
    </row>
    <row r="225" spans="1:72" x14ac:dyDescent="0.4">
      <c r="A225" t="s">
        <v>72</v>
      </c>
      <c r="B225" t="s">
        <v>5342</v>
      </c>
      <c r="C225" t="s">
        <v>74</v>
      </c>
      <c r="D225" t="s">
        <v>74</v>
      </c>
      <c r="E225" t="s">
        <v>74</v>
      </c>
      <c r="F225" t="s">
        <v>5342</v>
      </c>
      <c r="G225" t="s">
        <v>74</v>
      </c>
      <c r="H225" t="s">
        <v>74</v>
      </c>
      <c r="I225" t="s">
        <v>5343</v>
      </c>
      <c r="J225" t="s">
        <v>1995</v>
      </c>
      <c r="K225" t="s">
        <v>74</v>
      </c>
      <c r="L225" t="s">
        <v>74</v>
      </c>
      <c r="M225" t="s">
        <v>74</v>
      </c>
      <c r="N225" t="s">
        <v>74</v>
      </c>
      <c r="O225" t="s">
        <v>74</v>
      </c>
      <c r="P225" t="s">
        <v>74</v>
      </c>
      <c r="Q225" t="s">
        <v>74</v>
      </c>
      <c r="R225" t="s">
        <v>74</v>
      </c>
      <c r="S225" t="s">
        <v>74</v>
      </c>
      <c r="T225" t="s">
        <v>74</v>
      </c>
      <c r="U225" t="s">
        <v>74</v>
      </c>
      <c r="V225" s="3" t="s">
        <v>5344</v>
      </c>
      <c r="W225" t="s">
        <v>74</v>
      </c>
      <c r="X225" t="s">
        <v>74</v>
      </c>
      <c r="Y225" t="s">
        <v>74</v>
      </c>
      <c r="Z225" t="s">
        <v>74</v>
      </c>
      <c r="AA225" t="s">
        <v>74</v>
      </c>
      <c r="AB225" t="s">
        <v>74</v>
      </c>
      <c r="AC225" t="s">
        <v>74</v>
      </c>
      <c r="AD225" t="s">
        <v>74</v>
      </c>
      <c r="AE225" t="s">
        <v>74</v>
      </c>
      <c r="AF225" t="s">
        <v>74</v>
      </c>
      <c r="AG225" t="s">
        <v>74</v>
      </c>
      <c r="AH225" t="s">
        <v>74</v>
      </c>
      <c r="AI225" t="s">
        <v>74</v>
      </c>
      <c r="AJ225" t="s">
        <v>74</v>
      </c>
      <c r="AK225" t="s">
        <v>74</v>
      </c>
      <c r="AL225" t="s">
        <v>74</v>
      </c>
      <c r="AM225" t="s">
        <v>74</v>
      </c>
      <c r="AN225" t="s">
        <v>74</v>
      </c>
      <c r="AO225" t="s">
        <v>1997</v>
      </c>
      <c r="AP225" t="s">
        <v>74</v>
      </c>
      <c r="AQ225" t="s">
        <v>74</v>
      </c>
      <c r="AR225" t="s">
        <v>74</v>
      </c>
      <c r="AS225" t="s">
        <v>74</v>
      </c>
      <c r="AT225" t="s">
        <v>5345</v>
      </c>
      <c r="AU225">
        <v>2002</v>
      </c>
      <c r="AV225">
        <v>73</v>
      </c>
      <c r="AW225">
        <v>1</v>
      </c>
      <c r="AX225" t="s">
        <v>74</v>
      </c>
      <c r="AY225" t="s">
        <v>74</v>
      </c>
      <c r="AZ225" t="s">
        <v>74</v>
      </c>
      <c r="BA225" t="s">
        <v>74</v>
      </c>
      <c r="BB225">
        <v>70</v>
      </c>
      <c r="BC225">
        <v>73</v>
      </c>
      <c r="BD225" t="s">
        <v>74</v>
      </c>
      <c r="BE225" t="s">
        <v>5346</v>
      </c>
      <c r="BF225" t="str">
        <f>HYPERLINK("http://dx.doi.org/10.1648/0273-8570-73.1.70","http://dx.doi.org/10.1648/0273-8570-73.1.70")</f>
        <v>http://dx.doi.org/10.1648/0273-8570-73.1.70</v>
      </c>
      <c r="BG225" t="s">
        <v>74</v>
      </c>
      <c r="BH225" t="s">
        <v>74</v>
      </c>
      <c r="BI225" t="s">
        <v>74</v>
      </c>
      <c r="BJ225" t="s">
        <v>74</v>
      </c>
      <c r="BK225" t="s">
        <v>74</v>
      </c>
      <c r="BL225" t="s">
        <v>74</v>
      </c>
      <c r="BM225" t="s">
        <v>74</v>
      </c>
      <c r="BN225" t="s">
        <v>74</v>
      </c>
      <c r="BO225" t="s">
        <v>74</v>
      </c>
      <c r="BP225" t="s">
        <v>74</v>
      </c>
      <c r="BQ225" t="s">
        <v>74</v>
      </c>
      <c r="BR225" t="s">
        <v>74</v>
      </c>
      <c r="BS225" t="s">
        <v>5347</v>
      </c>
      <c r="BT225" t="str">
        <f>HYPERLINK("https%3A%2F%2Fwww.webofscience.com%2Fwos%2Fwoscc%2Ffull-record%2FWOS:000174001500012","View Full Record in Web of Science")</f>
        <v>View Full Record in Web of Science</v>
      </c>
    </row>
    <row r="226" spans="1:72" x14ac:dyDescent="0.4">
      <c r="A226" t="s">
        <v>72</v>
      </c>
      <c r="B226" t="s">
        <v>2570</v>
      </c>
      <c r="C226" t="s">
        <v>74</v>
      </c>
      <c r="D226" t="s">
        <v>74</v>
      </c>
      <c r="E226" t="s">
        <v>74</v>
      </c>
      <c r="F226" t="s">
        <v>2570</v>
      </c>
      <c r="G226" t="s">
        <v>74</v>
      </c>
      <c r="H226" t="s">
        <v>74</v>
      </c>
      <c r="I226" t="s">
        <v>2571</v>
      </c>
      <c r="J226" t="s">
        <v>610</v>
      </c>
      <c r="K226" t="s">
        <v>74</v>
      </c>
      <c r="L226" t="s">
        <v>74</v>
      </c>
      <c r="M226" t="s">
        <v>74</v>
      </c>
      <c r="N226" t="s">
        <v>74</v>
      </c>
      <c r="O226" t="s">
        <v>74</v>
      </c>
      <c r="P226" t="s">
        <v>74</v>
      </c>
      <c r="Q226" t="s">
        <v>74</v>
      </c>
      <c r="R226" t="s">
        <v>74</v>
      </c>
      <c r="S226" t="s">
        <v>74</v>
      </c>
      <c r="T226" t="s">
        <v>74</v>
      </c>
      <c r="U226" t="s">
        <v>74</v>
      </c>
      <c r="V226" s="3" t="s">
        <v>2572</v>
      </c>
      <c r="W226" t="s">
        <v>74</v>
      </c>
      <c r="X226" t="s">
        <v>74</v>
      </c>
      <c r="Y226" t="s">
        <v>74</v>
      </c>
      <c r="Z226" t="s">
        <v>74</v>
      </c>
      <c r="AA226" t="s">
        <v>74</v>
      </c>
      <c r="AB226" t="s">
        <v>74</v>
      </c>
      <c r="AC226" t="s">
        <v>74</v>
      </c>
      <c r="AD226" t="s">
        <v>74</v>
      </c>
      <c r="AE226" t="s">
        <v>74</v>
      </c>
      <c r="AF226" t="s">
        <v>74</v>
      </c>
      <c r="AG226" t="s">
        <v>74</v>
      </c>
      <c r="AH226" t="s">
        <v>74</v>
      </c>
      <c r="AI226" t="s">
        <v>74</v>
      </c>
      <c r="AJ226" t="s">
        <v>74</v>
      </c>
      <c r="AK226" t="s">
        <v>74</v>
      </c>
      <c r="AL226" t="s">
        <v>74</v>
      </c>
      <c r="AM226" t="s">
        <v>74</v>
      </c>
      <c r="AN226" t="s">
        <v>74</v>
      </c>
      <c r="AO226" t="s">
        <v>614</v>
      </c>
      <c r="AP226" t="s">
        <v>74</v>
      </c>
      <c r="AQ226" t="s">
        <v>74</v>
      </c>
      <c r="AR226" t="s">
        <v>74</v>
      </c>
      <c r="AS226" t="s">
        <v>74</v>
      </c>
      <c r="AT226" t="s">
        <v>123</v>
      </c>
      <c r="AU226">
        <v>2005</v>
      </c>
      <c r="AV226">
        <v>111</v>
      </c>
      <c r="AW226">
        <v>3</v>
      </c>
      <c r="AX226" t="s">
        <v>74</v>
      </c>
      <c r="AY226" t="s">
        <v>74</v>
      </c>
      <c r="AZ226" t="s">
        <v>74</v>
      </c>
      <c r="BA226" t="s">
        <v>74</v>
      </c>
      <c r="BB226">
        <v>287</v>
      </c>
      <c r="BC226">
        <v>300</v>
      </c>
      <c r="BD226" t="s">
        <v>74</v>
      </c>
      <c r="BE226" t="s">
        <v>2573</v>
      </c>
      <c r="BF226" t="str">
        <f>HYPERLINK("http://dx.doi.org/10.1111/j.1439-0310.2004.01062.x","http://dx.doi.org/10.1111/j.1439-0310.2004.01062.x")</f>
        <v>http://dx.doi.org/10.1111/j.1439-0310.2004.01062.x</v>
      </c>
      <c r="BG226" t="s">
        <v>74</v>
      </c>
      <c r="BH226" t="s">
        <v>74</v>
      </c>
      <c r="BI226" t="s">
        <v>74</v>
      </c>
      <c r="BJ226" t="s">
        <v>74</v>
      </c>
      <c r="BK226" t="s">
        <v>74</v>
      </c>
      <c r="BL226" t="s">
        <v>74</v>
      </c>
      <c r="BM226" t="s">
        <v>74</v>
      </c>
      <c r="BN226" t="s">
        <v>74</v>
      </c>
      <c r="BO226" t="s">
        <v>74</v>
      </c>
      <c r="BP226" t="s">
        <v>74</v>
      </c>
      <c r="BQ226" t="s">
        <v>74</v>
      </c>
      <c r="BR226" t="s">
        <v>74</v>
      </c>
      <c r="BS226" t="s">
        <v>2574</v>
      </c>
      <c r="BT226" t="str">
        <f>HYPERLINK("https%3A%2F%2Fwww.webofscience.com%2Fwos%2Fwoscc%2Ffull-record%2FWOS:000227192500004","View Full Record in Web of Science")</f>
        <v>View Full Record in Web of Science</v>
      </c>
    </row>
    <row r="227" spans="1:72" x14ac:dyDescent="0.4">
      <c r="A227" t="s">
        <v>72</v>
      </c>
      <c r="B227" t="s">
        <v>7556</v>
      </c>
      <c r="C227" t="s">
        <v>74</v>
      </c>
      <c r="D227" t="s">
        <v>74</v>
      </c>
      <c r="E227" t="s">
        <v>74</v>
      </c>
      <c r="F227" t="s">
        <v>7557</v>
      </c>
      <c r="G227" t="s">
        <v>74</v>
      </c>
      <c r="H227" t="s">
        <v>74</v>
      </c>
      <c r="I227" t="s">
        <v>7558</v>
      </c>
      <c r="J227" t="s">
        <v>7559</v>
      </c>
      <c r="K227" t="s">
        <v>74</v>
      </c>
      <c r="L227" t="s">
        <v>74</v>
      </c>
      <c r="M227" t="s">
        <v>74</v>
      </c>
      <c r="N227" t="s">
        <v>74</v>
      </c>
      <c r="O227" t="s">
        <v>74</v>
      </c>
      <c r="P227" t="s">
        <v>74</v>
      </c>
      <c r="Q227" t="s">
        <v>74</v>
      </c>
      <c r="R227" t="s">
        <v>74</v>
      </c>
      <c r="S227" t="s">
        <v>74</v>
      </c>
      <c r="T227" t="s">
        <v>74</v>
      </c>
      <c r="U227" t="s">
        <v>74</v>
      </c>
      <c r="V227" s="3" t="s">
        <v>7560</v>
      </c>
      <c r="W227" t="s">
        <v>74</v>
      </c>
      <c r="X227" t="s">
        <v>74</v>
      </c>
      <c r="Y227" t="s">
        <v>74</v>
      </c>
      <c r="Z227" t="s">
        <v>74</v>
      </c>
      <c r="AA227" t="s">
        <v>7561</v>
      </c>
      <c r="AB227" t="s">
        <v>7562</v>
      </c>
      <c r="AC227" t="s">
        <v>74</v>
      </c>
      <c r="AD227" t="s">
        <v>74</v>
      </c>
      <c r="AE227" t="s">
        <v>74</v>
      </c>
      <c r="AF227" t="s">
        <v>74</v>
      </c>
      <c r="AG227" t="s">
        <v>74</v>
      </c>
      <c r="AH227" t="s">
        <v>74</v>
      </c>
      <c r="AI227" t="s">
        <v>74</v>
      </c>
      <c r="AJ227" t="s">
        <v>74</v>
      </c>
      <c r="AK227" t="s">
        <v>74</v>
      </c>
      <c r="AL227" t="s">
        <v>74</v>
      </c>
      <c r="AM227" t="s">
        <v>74</v>
      </c>
      <c r="AN227" t="s">
        <v>74</v>
      </c>
      <c r="AO227" t="s">
        <v>74</v>
      </c>
      <c r="AP227" t="s">
        <v>7563</v>
      </c>
      <c r="AQ227" t="s">
        <v>74</v>
      </c>
      <c r="AR227" t="s">
        <v>74</v>
      </c>
      <c r="AS227" t="s">
        <v>74</v>
      </c>
      <c r="AT227" t="s">
        <v>134</v>
      </c>
      <c r="AU227">
        <v>2024</v>
      </c>
      <c r="AV227">
        <v>14</v>
      </c>
      <c r="AW227">
        <v>5</v>
      </c>
      <c r="AX227" t="s">
        <v>74</v>
      </c>
      <c r="AY227" t="s">
        <v>74</v>
      </c>
      <c r="AZ227" t="s">
        <v>74</v>
      </c>
      <c r="BA227" t="s">
        <v>74</v>
      </c>
      <c r="BB227" t="s">
        <v>74</v>
      </c>
      <c r="BC227" t="s">
        <v>74</v>
      </c>
      <c r="BD227">
        <v>574</v>
      </c>
      <c r="BE227" t="s">
        <v>7564</v>
      </c>
      <c r="BF227" t="str">
        <f>HYPERLINK("http://dx.doi.org/10.3390/life14050574","http://dx.doi.org/10.3390/life14050574")</f>
        <v>http://dx.doi.org/10.3390/life14050574</v>
      </c>
      <c r="BG227" t="s">
        <v>74</v>
      </c>
      <c r="BH227" t="s">
        <v>74</v>
      </c>
      <c r="BI227" t="s">
        <v>74</v>
      </c>
      <c r="BJ227" t="s">
        <v>74</v>
      </c>
      <c r="BK227" t="s">
        <v>74</v>
      </c>
      <c r="BL227" t="s">
        <v>74</v>
      </c>
      <c r="BM227" t="s">
        <v>74</v>
      </c>
      <c r="BN227">
        <v>38792595</v>
      </c>
      <c r="BO227" t="s">
        <v>74</v>
      </c>
      <c r="BP227" t="s">
        <v>74</v>
      </c>
      <c r="BQ227" t="s">
        <v>74</v>
      </c>
      <c r="BR227" t="s">
        <v>74</v>
      </c>
      <c r="BS227" t="s">
        <v>7565</v>
      </c>
      <c r="BT227" t="str">
        <f>HYPERLINK("https%3A%2F%2Fwww.webofscience.com%2Fwos%2Fwoscc%2Ffull-record%2FWOS:001232301700001","View Full Record in Web of Science")</f>
        <v>View Full Record in Web of Science</v>
      </c>
    </row>
    <row r="228" spans="1:72" x14ac:dyDescent="0.4">
      <c r="A228" t="s">
        <v>72</v>
      </c>
      <c r="B228" t="s">
        <v>8075</v>
      </c>
      <c r="C228" t="s">
        <v>74</v>
      </c>
      <c r="D228" t="s">
        <v>74</v>
      </c>
      <c r="E228" t="s">
        <v>74</v>
      </c>
      <c r="F228" t="s">
        <v>8075</v>
      </c>
      <c r="G228" t="s">
        <v>74</v>
      </c>
      <c r="H228" t="s">
        <v>74</v>
      </c>
      <c r="I228" t="s">
        <v>8076</v>
      </c>
      <c r="J228" t="s">
        <v>8077</v>
      </c>
      <c r="K228" t="s">
        <v>74</v>
      </c>
      <c r="L228" t="s">
        <v>74</v>
      </c>
      <c r="M228" t="s">
        <v>74</v>
      </c>
      <c r="N228" t="s">
        <v>74</v>
      </c>
      <c r="O228" t="s">
        <v>74</v>
      </c>
      <c r="P228" t="s">
        <v>74</v>
      </c>
      <c r="Q228" t="s">
        <v>74</v>
      </c>
      <c r="R228" t="s">
        <v>74</v>
      </c>
      <c r="S228" t="s">
        <v>74</v>
      </c>
      <c r="T228" t="s">
        <v>74</v>
      </c>
      <c r="U228" t="s">
        <v>74</v>
      </c>
      <c r="V228" s="3" t="s">
        <v>8078</v>
      </c>
      <c r="W228" t="s">
        <v>74</v>
      </c>
      <c r="X228" t="s">
        <v>74</v>
      </c>
      <c r="Y228" t="s">
        <v>74</v>
      </c>
      <c r="Z228" t="s">
        <v>74</v>
      </c>
      <c r="AA228" t="s">
        <v>74</v>
      </c>
      <c r="AB228" t="s">
        <v>8079</v>
      </c>
      <c r="AC228" t="s">
        <v>74</v>
      </c>
      <c r="AD228" t="s">
        <v>74</v>
      </c>
      <c r="AE228" t="s">
        <v>74</v>
      </c>
      <c r="AF228" t="s">
        <v>74</v>
      </c>
      <c r="AG228" t="s">
        <v>74</v>
      </c>
      <c r="AH228" t="s">
        <v>74</v>
      </c>
      <c r="AI228" t="s">
        <v>74</v>
      </c>
      <c r="AJ228" t="s">
        <v>74</v>
      </c>
      <c r="AK228" t="s">
        <v>74</v>
      </c>
      <c r="AL228" t="s">
        <v>74</v>
      </c>
      <c r="AM228" t="s">
        <v>74</v>
      </c>
      <c r="AN228" t="s">
        <v>74</v>
      </c>
      <c r="AO228" t="s">
        <v>4147</v>
      </c>
      <c r="AP228" t="s">
        <v>74</v>
      </c>
      <c r="AQ228" t="s">
        <v>74</v>
      </c>
      <c r="AR228" t="s">
        <v>74</v>
      </c>
      <c r="AS228" t="s">
        <v>74</v>
      </c>
      <c r="AT228" t="s">
        <v>255</v>
      </c>
      <c r="AU228">
        <v>2000</v>
      </c>
      <c r="AV228">
        <v>186</v>
      </c>
      <c r="AW228">
        <v>1</v>
      </c>
      <c r="AX228" t="s">
        <v>74</v>
      </c>
      <c r="AY228" t="s">
        <v>74</v>
      </c>
      <c r="AZ228" t="s">
        <v>74</v>
      </c>
      <c r="BA228" t="s">
        <v>74</v>
      </c>
      <c r="BB228">
        <v>1</v>
      </c>
      <c r="BC228">
        <v>12</v>
      </c>
      <c r="BD228" t="s">
        <v>74</v>
      </c>
      <c r="BE228" t="s">
        <v>8080</v>
      </c>
      <c r="BF228" t="str">
        <f>HYPERLINK("http://dx.doi.org/10.1007/s003590050001","http://dx.doi.org/10.1007/s003590050001")</f>
        <v>http://dx.doi.org/10.1007/s003590050001</v>
      </c>
      <c r="BG228" t="s">
        <v>74</v>
      </c>
      <c r="BH228" t="s">
        <v>74</v>
      </c>
      <c r="BI228" t="s">
        <v>74</v>
      </c>
      <c r="BJ228" t="s">
        <v>74</v>
      </c>
      <c r="BK228" t="s">
        <v>74</v>
      </c>
      <c r="BL228" t="s">
        <v>74</v>
      </c>
      <c r="BM228" t="s">
        <v>74</v>
      </c>
      <c r="BN228">
        <v>10659037</v>
      </c>
      <c r="BO228" t="s">
        <v>74</v>
      </c>
      <c r="BP228" t="s">
        <v>74</v>
      </c>
      <c r="BQ228" t="s">
        <v>74</v>
      </c>
      <c r="BR228" t="s">
        <v>74</v>
      </c>
      <c r="BS228" t="s">
        <v>8081</v>
      </c>
      <c r="BT228" t="str">
        <f>HYPERLINK("https%3A%2F%2Fwww.webofscience.com%2Fwos%2Fwoscc%2Ffull-record%2FWOS:000084937600001","View Full Record in Web of Science")</f>
        <v>View Full Record in Web of Science</v>
      </c>
    </row>
    <row r="229" spans="1:72" x14ac:dyDescent="0.4">
      <c r="A229" t="s">
        <v>72</v>
      </c>
      <c r="B229" t="s">
        <v>984</v>
      </c>
      <c r="C229" t="s">
        <v>74</v>
      </c>
      <c r="D229" t="s">
        <v>74</v>
      </c>
      <c r="E229" t="s">
        <v>74</v>
      </c>
      <c r="F229" t="s">
        <v>985</v>
      </c>
      <c r="G229" t="s">
        <v>74</v>
      </c>
      <c r="H229" t="s">
        <v>74</v>
      </c>
      <c r="I229" t="s">
        <v>986</v>
      </c>
      <c r="J229" t="s">
        <v>862</v>
      </c>
      <c r="K229" t="s">
        <v>74</v>
      </c>
      <c r="L229" t="s">
        <v>74</v>
      </c>
      <c r="M229" t="s">
        <v>74</v>
      </c>
      <c r="N229" t="s">
        <v>74</v>
      </c>
      <c r="O229" t="s">
        <v>74</v>
      </c>
      <c r="P229" t="s">
        <v>74</v>
      </c>
      <c r="Q229" t="s">
        <v>74</v>
      </c>
      <c r="R229" t="s">
        <v>74</v>
      </c>
      <c r="S229" t="s">
        <v>74</v>
      </c>
      <c r="T229" t="s">
        <v>74</v>
      </c>
      <c r="U229" t="s">
        <v>74</v>
      </c>
      <c r="V229" s="3" t="s">
        <v>987</v>
      </c>
      <c r="W229" t="s">
        <v>74</v>
      </c>
      <c r="X229" t="s">
        <v>74</v>
      </c>
      <c r="Y229" t="s">
        <v>74</v>
      </c>
      <c r="Z229" t="s">
        <v>74</v>
      </c>
      <c r="AA229" t="s">
        <v>74</v>
      </c>
      <c r="AB229" t="s">
        <v>988</v>
      </c>
      <c r="AC229" t="s">
        <v>74</v>
      </c>
      <c r="AD229" t="s">
        <v>74</v>
      </c>
      <c r="AE229" t="s">
        <v>74</v>
      </c>
      <c r="AF229" t="s">
        <v>74</v>
      </c>
      <c r="AG229" t="s">
        <v>74</v>
      </c>
      <c r="AH229" t="s">
        <v>74</v>
      </c>
      <c r="AI229" t="s">
        <v>74</v>
      </c>
      <c r="AJ229" t="s">
        <v>74</v>
      </c>
      <c r="AK229" t="s">
        <v>74</v>
      </c>
      <c r="AL229" t="s">
        <v>74</v>
      </c>
      <c r="AM229" t="s">
        <v>74</v>
      </c>
      <c r="AN229" t="s">
        <v>74</v>
      </c>
      <c r="AO229" t="s">
        <v>865</v>
      </c>
      <c r="AP229" t="s">
        <v>866</v>
      </c>
      <c r="AQ229" t="s">
        <v>74</v>
      </c>
      <c r="AR229" t="s">
        <v>74</v>
      </c>
      <c r="AS229" t="s">
        <v>74</v>
      </c>
      <c r="AT229" t="s">
        <v>175</v>
      </c>
      <c r="AU229">
        <v>2021</v>
      </c>
      <c r="AV229">
        <v>24</v>
      </c>
      <c r="AW229">
        <v>3</v>
      </c>
      <c r="AX229" t="s">
        <v>74</v>
      </c>
      <c r="AY229" t="s">
        <v>74</v>
      </c>
      <c r="AZ229" t="s">
        <v>74</v>
      </c>
      <c r="BA229" t="s">
        <v>74</v>
      </c>
      <c r="BB229">
        <v>143</v>
      </c>
      <c r="BC229">
        <v>147</v>
      </c>
      <c r="BD229" t="s">
        <v>74</v>
      </c>
      <c r="BE229" t="s">
        <v>989</v>
      </c>
      <c r="BF229" t="str">
        <f>HYPERLINK("http://dx.doi.org/10.1007/s10211-021-00372-z","http://dx.doi.org/10.1007/s10211-021-00372-z")</f>
        <v>http://dx.doi.org/10.1007/s10211-021-00372-z</v>
      </c>
      <c r="BG229" t="s">
        <v>74</v>
      </c>
      <c r="BH229" t="s">
        <v>224</v>
      </c>
      <c r="BI229" t="s">
        <v>74</v>
      </c>
      <c r="BJ229" t="s">
        <v>74</v>
      </c>
      <c r="BK229" t="s">
        <v>74</v>
      </c>
      <c r="BL229" t="s">
        <v>74</v>
      </c>
      <c r="BM229" t="s">
        <v>74</v>
      </c>
      <c r="BN229" t="s">
        <v>74</v>
      </c>
      <c r="BO229" t="s">
        <v>74</v>
      </c>
      <c r="BP229" t="s">
        <v>74</v>
      </c>
      <c r="BQ229" t="s">
        <v>74</v>
      </c>
      <c r="BR229" t="s">
        <v>74</v>
      </c>
      <c r="BS229" t="s">
        <v>990</v>
      </c>
      <c r="BT229" t="str">
        <f>HYPERLINK("https%3A%2F%2Fwww.webofscience.com%2Fwos%2Fwoscc%2Ffull-record%2FWOS:000660333200001","View Full Record in Web of Science")</f>
        <v>View Full Record in Web of Science</v>
      </c>
    </row>
    <row r="230" spans="1:72" x14ac:dyDescent="0.4">
      <c r="A230" t="s">
        <v>72</v>
      </c>
      <c r="B230" t="s">
        <v>2575</v>
      </c>
      <c r="C230" t="s">
        <v>74</v>
      </c>
      <c r="D230" t="s">
        <v>74</v>
      </c>
      <c r="E230" t="s">
        <v>74</v>
      </c>
      <c r="F230" t="s">
        <v>2576</v>
      </c>
      <c r="G230" t="s">
        <v>74</v>
      </c>
      <c r="H230" t="s">
        <v>74</v>
      </c>
      <c r="I230" t="s">
        <v>2577</v>
      </c>
      <c r="J230" t="s">
        <v>2578</v>
      </c>
      <c r="K230" t="s">
        <v>74</v>
      </c>
      <c r="L230" t="s">
        <v>74</v>
      </c>
      <c r="M230" t="s">
        <v>74</v>
      </c>
      <c r="N230" t="s">
        <v>74</v>
      </c>
      <c r="O230" t="s">
        <v>74</v>
      </c>
      <c r="P230" t="s">
        <v>74</v>
      </c>
      <c r="Q230" t="s">
        <v>74</v>
      </c>
      <c r="R230" t="s">
        <v>74</v>
      </c>
      <c r="S230" t="s">
        <v>74</v>
      </c>
      <c r="T230" t="s">
        <v>74</v>
      </c>
      <c r="U230" t="s">
        <v>74</v>
      </c>
      <c r="V230" s="3" t="s">
        <v>2579</v>
      </c>
      <c r="W230" t="s">
        <v>74</v>
      </c>
      <c r="X230" t="s">
        <v>74</v>
      </c>
      <c r="Y230" t="s">
        <v>74</v>
      </c>
      <c r="Z230" t="s">
        <v>74</v>
      </c>
      <c r="AA230" t="s">
        <v>2580</v>
      </c>
      <c r="AB230" t="s">
        <v>2581</v>
      </c>
      <c r="AC230" t="s">
        <v>74</v>
      </c>
      <c r="AD230" t="s">
        <v>74</v>
      </c>
      <c r="AE230" t="s">
        <v>74</v>
      </c>
      <c r="AF230" t="s">
        <v>74</v>
      </c>
      <c r="AG230" t="s">
        <v>74</v>
      </c>
      <c r="AH230" t="s">
        <v>74</v>
      </c>
      <c r="AI230" t="s">
        <v>74</v>
      </c>
      <c r="AJ230" t="s">
        <v>74</v>
      </c>
      <c r="AK230" t="s">
        <v>74</v>
      </c>
      <c r="AL230" t="s">
        <v>74</v>
      </c>
      <c r="AM230" t="s">
        <v>74</v>
      </c>
      <c r="AN230" t="s">
        <v>74</v>
      </c>
      <c r="AO230" t="s">
        <v>2582</v>
      </c>
      <c r="AP230" t="s">
        <v>2583</v>
      </c>
      <c r="AQ230" t="s">
        <v>74</v>
      </c>
      <c r="AR230" t="s">
        <v>74</v>
      </c>
      <c r="AS230" t="s">
        <v>74</v>
      </c>
      <c r="AT230" t="s">
        <v>123</v>
      </c>
      <c r="AU230">
        <v>2020</v>
      </c>
      <c r="AV230">
        <v>48</v>
      </c>
      <c r="AW230">
        <v>1</v>
      </c>
      <c r="AX230" t="s">
        <v>74</v>
      </c>
      <c r="AY230" t="s">
        <v>74</v>
      </c>
      <c r="AZ230" t="s">
        <v>74</v>
      </c>
      <c r="BA230" t="s">
        <v>74</v>
      </c>
      <c r="BB230">
        <v>104</v>
      </c>
      <c r="BC230">
        <v>112</v>
      </c>
      <c r="BD230" t="s">
        <v>74</v>
      </c>
      <c r="BE230" t="s">
        <v>2584</v>
      </c>
      <c r="BF230" t="str">
        <f>HYPERLINK("http://dx.doi.org/10.3758/s13420-020-00411-y","http://dx.doi.org/10.3758/s13420-020-00411-y")</f>
        <v>http://dx.doi.org/10.3758/s13420-020-00411-y</v>
      </c>
      <c r="BG230" t="s">
        <v>74</v>
      </c>
      <c r="BH230" t="s">
        <v>74</v>
      </c>
      <c r="BI230" t="s">
        <v>74</v>
      </c>
      <c r="BJ230" t="s">
        <v>74</v>
      </c>
      <c r="BK230" t="s">
        <v>74</v>
      </c>
      <c r="BL230" t="s">
        <v>74</v>
      </c>
      <c r="BM230" t="s">
        <v>74</v>
      </c>
      <c r="BN230">
        <v>31975326</v>
      </c>
      <c r="BO230" t="s">
        <v>74</v>
      </c>
      <c r="BP230" t="s">
        <v>74</v>
      </c>
      <c r="BQ230" t="s">
        <v>74</v>
      </c>
      <c r="BR230" t="s">
        <v>74</v>
      </c>
      <c r="BS230" t="s">
        <v>2585</v>
      </c>
      <c r="BT230" t="str">
        <f>HYPERLINK("https%3A%2F%2Fwww.webofscience.com%2Fwos%2Fwoscc%2Ffull-record%2FWOS:000520711400013","View Full Record in Web of Science")</f>
        <v>View Full Record in Web of Science</v>
      </c>
    </row>
    <row r="231" spans="1:72" x14ac:dyDescent="0.4">
      <c r="A231" t="s">
        <v>72</v>
      </c>
      <c r="B231" t="s">
        <v>3983</v>
      </c>
      <c r="C231" t="s">
        <v>74</v>
      </c>
      <c r="D231" t="s">
        <v>74</v>
      </c>
      <c r="E231" t="s">
        <v>74</v>
      </c>
      <c r="F231" t="s">
        <v>3984</v>
      </c>
      <c r="G231" t="s">
        <v>74</v>
      </c>
      <c r="H231" t="s">
        <v>74</v>
      </c>
      <c r="I231" t="s">
        <v>3985</v>
      </c>
      <c r="J231" t="s">
        <v>333</v>
      </c>
      <c r="K231" t="s">
        <v>74</v>
      </c>
      <c r="L231" t="s">
        <v>74</v>
      </c>
      <c r="M231" t="s">
        <v>74</v>
      </c>
      <c r="N231" t="s">
        <v>74</v>
      </c>
      <c r="O231" t="s">
        <v>74</v>
      </c>
      <c r="P231" t="s">
        <v>74</v>
      </c>
      <c r="Q231" t="s">
        <v>74</v>
      </c>
      <c r="R231" t="s">
        <v>74</v>
      </c>
      <c r="S231" t="s">
        <v>74</v>
      </c>
      <c r="T231" t="s">
        <v>74</v>
      </c>
      <c r="U231" t="s">
        <v>74</v>
      </c>
      <c r="V231" s="3" t="s">
        <v>3986</v>
      </c>
      <c r="W231" t="s">
        <v>74</v>
      </c>
      <c r="X231" t="s">
        <v>74</v>
      </c>
      <c r="Y231" t="s">
        <v>74</v>
      </c>
      <c r="Z231" t="s">
        <v>74</v>
      </c>
      <c r="AA231" t="s">
        <v>74</v>
      </c>
      <c r="AB231" t="s">
        <v>74</v>
      </c>
      <c r="AC231" t="s">
        <v>74</v>
      </c>
      <c r="AD231" t="s">
        <v>74</v>
      </c>
      <c r="AE231" t="s">
        <v>74</v>
      </c>
      <c r="AF231" t="s">
        <v>74</v>
      </c>
      <c r="AG231" t="s">
        <v>74</v>
      </c>
      <c r="AH231" t="s">
        <v>74</v>
      </c>
      <c r="AI231" t="s">
        <v>74</v>
      </c>
      <c r="AJ231" t="s">
        <v>74</v>
      </c>
      <c r="AK231" t="s">
        <v>74</v>
      </c>
      <c r="AL231" t="s">
        <v>74</v>
      </c>
      <c r="AM231" t="s">
        <v>74</v>
      </c>
      <c r="AN231" t="s">
        <v>74</v>
      </c>
      <c r="AO231" t="s">
        <v>337</v>
      </c>
      <c r="AP231" t="s">
        <v>338</v>
      </c>
      <c r="AQ231" t="s">
        <v>74</v>
      </c>
      <c r="AR231" t="s">
        <v>74</v>
      </c>
      <c r="AS231" t="s">
        <v>74</v>
      </c>
      <c r="AT231" t="s">
        <v>1038</v>
      </c>
      <c r="AU231">
        <v>2015</v>
      </c>
      <c r="AV231">
        <v>26</v>
      </c>
      <c r="AW231">
        <v>2</v>
      </c>
      <c r="AX231" t="s">
        <v>74</v>
      </c>
      <c r="AY231" t="s">
        <v>74</v>
      </c>
      <c r="AZ231" t="s">
        <v>74</v>
      </c>
      <c r="BA231" t="s">
        <v>74</v>
      </c>
      <c r="BB231">
        <v>560</v>
      </c>
      <c r="BC231">
        <v>568</v>
      </c>
      <c r="BD231" t="s">
        <v>74</v>
      </c>
      <c r="BE231" t="s">
        <v>3987</v>
      </c>
      <c r="BF231" t="str">
        <f>HYPERLINK("http://dx.doi.org/10.1093/beheco/aru231","http://dx.doi.org/10.1093/beheco/aru231")</f>
        <v>http://dx.doi.org/10.1093/beheco/aru231</v>
      </c>
      <c r="BG231" t="s">
        <v>74</v>
      </c>
      <c r="BH231" t="s">
        <v>74</v>
      </c>
      <c r="BI231" t="s">
        <v>74</v>
      </c>
      <c r="BJ231" t="s">
        <v>74</v>
      </c>
      <c r="BK231" t="s">
        <v>74</v>
      </c>
      <c r="BL231" t="s">
        <v>74</v>
      </c>
      <c r="BM231" t="s">
        <v>74</v>
      </c>
      <c r="BN231" t="s">
        <v>74</v>
      </c>
      <c r="BO231" t="s">
        <v>74</v>
      </c>
      <c r="BP231" t="s">
        <v>74</v>
      </c>
      <c r="BQ231" t="s">
        <v>74</v>
      </c>
      <c r="BR231" t="s">
        <v>74</v>
      </c>
      <c r="BS231" t="s">
        <v>3988</v>
      </c>
      <c r="BT231" t="str">
        <f>HYPERLINK("https%3A%2F%2Fwww.webofscience.com%2Fwos%2Fwoscc%2Ffull-record%2FWOS:000352271800037","View Full Record in Web of Science")</f>
        <v>View Full Record in Web of Science</v>
      </c>
    </row>
    <row r="232" spans="1:72" x14ac:dyDescent="0.4">
      <c r="A232" t="s">
        <v>72</v>
      </c>
      <c r="B232" t="s">
        <v>7079</v>
      </c>
      <c r="C232" t="s">
        <v>74</v>
      </c>
      <c r="D232" t="s">
        <v>74</v>
      </c>
      <c r="E232" t="s">
        <v>74</v>
      </c>
      <c r="F232" t="s">
        <v>7080</v>
      </c>
      <c r="G232" t="s">
        <v>74</v>
      </c>
      <c r="H232" t="s">
        <v>74</v>
      </c>
      <c r="I232" t="s">
        <v>7081</v>
      </c>
      <c r="J232" t="s">
        <v>171</v>
      </c>
      <c r="K232" t="s">
        <v>74</v>
      </c>
      <c r="L232" t="s">
        <v>74</v>
      </c>
      <c r="M232" t="s">
        <v>74</v>
      </c>
      <c r="N232" t="s">
        <v>74</v>
      </c>
      <c r="O232" t="s">
        <v>74</v>
      </c>
      <c r="P232" t="s">
        <v>74</v>
      </c>
      <c r="Q232" t="s">
        <v>74</v>
      </c>
      <c r="R232" t="s">
        <v>74</v>
      </c>
      <c r="S232" t="s">
        <v>74</v>
      </c>
      <c r="T232" t="s">
        <v>74</v>
      </c>
      <c r="U232" t="s">
        <v>74</v>
      </c>
      <c r="V232" s="3" t="s">
        <v>7082</v>
      </c>
      <c r="W232" t="s">
        <v>74</v>
      </c>
      <c r="X232" t="s">
        <v>74</v>
      </c>
      <c r="Y232" t="s">
        <v>74</v>
      </c>
      <c r="Z232" t="s">
        <v>74</v>
      </c>
      <c r="AA232" t="s">
        <v>74</v>
      </c>
      <c r="AB232" t="s">
        <v>74</v>
      </c>
      <c r="AC232" t="s">
        <v>74</v>
      </c>
      <c r="AD232" t="s">
        <v>74</v>
      </c>
      <c r="AE232" t="s">
        <v>74</v>
      </c>
      <c r="AF232" t="s">
        <v>74</v>
      </c>
      <c r="AG232" t="s">
        <v>74</v>
      </c>
      <c r="AH232" t="s">
        <v>74</v>
      </c>
      <c r="AI232" t="s">
        <v>74</v>
      </c>
      <c r="AJ232" t="s">
        <v>74</v>
      </c>
      <c r="AK232" t="s">
        <v>74</v>
      </c>
      <c r="AL232" t="s">
        <v>74</v>
      </c>
      <c r="AM232" t="s">
        <v>74</v>
      </c>
      <c r="AN232" t="s">
        <v>74</v>
      </c>
      <c r="AO232" t="s">
        <v>173</v>
      </c>
      <c r="AP232" t="s">
        <v>174</v>
      </c>
      <c r="AQ232" t="s">
        <v>74</v>
      </c>
      <c r="AR232" t="s">
        <v>74</v>
      </c>
      <c r="AS232" t="s">
        <v>74</v>
      </c>
      <c r="AT232" t="s">
        <v>964</v>
      </c>
      <c r="AU232">
        <v>2011</v>
      </c>
      <c r="AV232">
        <v>65</v>
      </c>
      <c r="AW232">
        <v>2</v>
      </c>
      <c r="AX232" t="s">
        <v>74</v>
      </c>
      <c r="AY232" t="s">
        <v>74</v>
      </c>
      <c r="AZ232" t="s">
        <v>74</v>
      </c>
      <c r="BA232" t="s">
        <v>74</v>
      </c>
      <c r="BB232">
        <v>599</v>
      </c>
      <c r="BC232">
        <v>605</v>
      </c>
      <c r="BD232" t="s">
        <v>74</v>
      </c>
      <c r="BE232" t="s">
        <v>7083</v>
      </c>
      <c r="BF232" t="str">
        <f>HYPERLINK("http://dx.doi.org/10.1111/j.1558-5646.2010.01154.x","http://dx.doi.org/10.1111/j.1558-5646.2010.01154.x")</f>
        <v>http://dx.doi.org/10.1111/j.1558-5646.2010.01154.x</v>
      </c>
      <c r="BG232" t="s">
        <v>74</v>
      </c>
      <c r="BH232" t="s">
        <v>74</v>
      </c>
      <c r="BI232" t="s">
        <v>74</v>
      </c>
      <c r="BJ232" t="s">
        <v>74</v>
      </c>
      <c r="BK232" t="s">
        <v>74</v>
      </c>
      <c r="BL232" t="s">
        <v>74</v>
      </c>
      <c r="BM232" t="s">
        <v>74</v>
      </c>
      <c r="BN232">
        <v>21271999</v>
      </c>
      <c r="BO232" t="s">
        <v>74</v>
      </c>
      <c r="BP232" t="s">
        <v>74</v>
      </c>
      <c r="BQ232" t="s">
        <v>74</v>
      </c>
      <c r="BR232" t="s">
        <v>74</v>
      </c>
      <c r="BS232" t="s">
        <v>7084</v>
      </c>
      <c r="BT232" t="str">
        <f>HYPERLINK("https%3A%2F%2Fwww.webofscience.com%2Fwos%2Fwoscc%2Ffull-record%2FWOS:000286629100024","View Full Record in Web of Science")</f>
        <v>View Full Record in Web of Science</v>
      </c>
    </row>
    <row r="233" spans="1:72" x14ac:dyDescent="0.4">
      <c r="A233" t="s">
        <v>72</v>
      </c>
      <c r="B233" t="s">
        <v>5537</v>
      </c>
      <c r="C233" t="s">
        <v>74</v>
      </c>
      <c r="D233" t="s">
        <v>74</v>
      </c>
      <c r="E233" t="s">
        <v>74</v>
      </c>
      <c r="F233" t="s">
        <v>5538</v>
      </c>
      <c r="G233" t="s">
        <v>74</v>
      </c>
      <c r="H233" t="s">
        <v>74</v>
      </c>
      <c r="I233" t="s">
        <v>5539</v>
      </c>
      <c r="J233" t="s">
        <v>2662</v>
      </c>
      <c r="K233" t="s">
        <v>74</v>
      </c>
      <c r="L233" t="s">
        <v>74</v>
      </c>
      <c r="M233" t="s">
        <v>74</v>
      </c>
      <c r="N233" t="s">
        <v>74</v>
      </c>
      <c r="O233" t="s">
        <v>74</v>
      </c>
      <c r="P233" t="s">
        <v>74</v>
      </c>
      <c r="Q233" t="s">
        <v>74</v>
      </c>
      <c r="R233" t="s">
        <v>74</v>
      </c>
      <c r="S233" t="s">
        <v>74</v>
      </c>
      <c r="T233" t="s">
        <v>74</v>
      </c>
      <c r="U233" t="s">
        <v>74</v>
      </c>
      <c r="V233" s="3" t="s">
        <v>5540</v>
      </c>
      <c r="W233" t="s">
        <v>74</v>
      </c>
      <c r="X233" t="s">
        <v>74</v>
      </c>
      <c r="Y233" t="s">
        <v>74</v>
      </c>
      <c r="Z233" t="s">
        <v>74</v>
      </c>
      <c r="AA233" t="s">
        <v>5541</v>
      </c>
      <c r="AB233" t="s">
        <v>74</v>
      </c>
      <c r="AC233" t="s">
        <v>74</v>
      </c>
      <c r="AD233" t="s">
        <v>74</v>
      </c>
      <c r="AE233" t="s">
        <v>74</v>
      </c>
      <c r="AF233" t="s">
        <v>74</v>
      </c>
      <c r="AG233" t="s">
        <v>74</v>
      </c>
      <c r="AH233" t="s">
        <v>74</v>
      </c>
      <c r="AI233" t="s">
        <v>74</v>
      </c>
      <c r="AJ233" t="s">
        <v>74</v>
      </c>
      <c r="AK233" t="s">
        <v>74</v>
      </c>
      <c r="AL233" t="s">
        <v>74</v>
      </c>
      <c r="AM233" t="s">
        <v>74</v>
      </c>
      <c r="AN233" t="s">
        <v>74</v>
      </c>
      <c r="AO233" t="s">
        <v>2664</v>
      </c>
      <c r="AP233" t="s">
        <v>2665</v>
      </c>
      <c r="AQ233" t="s">
        <v>74</v>
      </c>
      <c r="AR233" t="s">
        <v>74</v>
      </c>
      <c r="AS233" t="s">
        <v>74</v>
      </c>
      <c r="AT233" t="s">
        <v>352</v>
      </c>
      <c r="AU233">
        <v>2018</v>
      </c>
      <c r="AV233">
        <v>52</v>
      </c>
      <c r="AW233">
        <v>3</v>
      </c>
      <c r="AX233" t="s">
        <v>74</v>
      </c>
      <c r="AY233" t="s">
        <v>74</v>
      </c>
      <c r="AZ233" t="s">
        <v>74</v>
      </c>
      <c r="BA233" t="s">
        <v>74</v>
      </c>
      <c r="BB233">
        <v>370</v>
      </c>
      <c r="BC233">
        <v>378</v>
      </c>
      <c r="BD233" t="s">
        <v>74</v>
      </c>
      <c r="BE233" t="s">
        <v>5542</v>
      </c>
      <c r="BF233" t="str">
        <f>HYPERLINK("http://dx.doi.org/10.3356/JRR-17-66.1","http://dx.doi.org/10.3356/JRR-17-66.1")</f>
        <v>http://dx.doi.org/10.3356/JRR-17-66.1</v>
      </c>
      <c r="BG233" t="s">
        <v>74</v>
      </c>
      <c r="BH233" t="s">
        <v>74</v>
      </c>
      <c r="BI233" t="s">
        <v>74</v>
      </c>
      <c r="BJ233" t="s">
        <v>74</v>
      </c>
      <c r="BK233" t="s">
        <v>74</v>
      </c>
      <c r="BL233" t="s">
        <v>74</v>
      </c>
      <c r="BM233" t="s">
        <v>74</v>
      </c>
      <c r="BN233" t="s">
        <v>74</v>
      </c>
      <c r="BO233" t="s">
        <v>74</v>
      </c>
      <c r="BP233" t="s">
        <v>74</v>
      </c>
      <c r="BQ233" t="s">
        <v>74</v>
      </c>
      <c r="BR233" t="s">
        <v>74</v>
      </c>
      <c r="BS233" t="s">
        <v>5543</v>
      </c>
      <c r="BT233" t="str">
        <f>HYPERLINK("https%3A%2F%2Fwww.webofscience.com%2Fwos%2Fwoscc%2Ffull-record%2FWOS:000441062500010","View Full Record in Web of Science")</f>
        <v>View Full Record in Web of Science</v>
      </c>
    </row>
    <row r="234" spans="1:72" x14ac:dyDescent="0.4">
      <c r="A234" t="s">
        <v>72</v>
      </c>
      <c r="B234" t="s">
        <v>3638</v>
      </c>
      <c r="C234" t="s">
        <v>74</v>
      </c>
      <c r="D234" t="s">
        <v>74</v>
      </c>
      <c r="E234" t="s">
        <v>74</v>
      </c>
      <c r="F234" t="s">
        <v>3639</v>
      </c>
      <c r="G234" t="s">
        <v>74</v>
      </c>
      <c r="H234" t="s">
        <v>74</v>
      </c>
      <c r="I234" t="s">
        <v>3640</v>
      </c>
      <c r="J234" t="s">
        <v>509</v>
      </c>
      <c r="K234" t="s">
        <v>74</v>
      </c>
      <c r="L234" t="s">
        <v>74</v>
      </c>
      <c r="M234" t="s">
        <v>74</v>
      </c>
      <c r="N234" t="s">
        <v>74</v>
      </c>
      <c r="O234" t="s">
        <v>74</v>
      </c>
      <c r="P234" t="s">
        <v>74</v>
      </c>
      <c r="Q234" t="s">
        <v>74</v>
      </c>
      <c r="R234" t="s">
        <v>74</v>
      </c>
      <c r="S234" t="s">
        <v>74</v>
      </c>
      <c r="T234" t="s">
        <v>74</v>
      </c>
      <c r="U234" t="s">
        <v>74</v>
      </c>
      <c r="V234" s="3" t="s">
        <v>3641</v>
      </c>
      <c r="W234" t="s">
        <v>74</v>
      </c>
      <c r="X234" t="s">
        <v>74</v>
      </c>
      <c r="Y234" t="s">
        <v>74</v>
      </c>
      <c r="Z234" t="s">
        <v>74</v>
      </c>
      <c r="AA234" t="s">
        <v>74</v>
      </c>
      <c r="AB234" t="s">
        <v>3642</v>
      </c>
      <c r="AC234" t="s">
        <v>74</v>
      </c>
      <c r="AD234" t="s">
        <v>74</v>
      </c>
      <c r="AE234" t="s">
        <v>74</v>
      </c>
      <c r="AF234" t="s">
        <v>74</v>
      </c>
      <c r="AG234" t="s">
        <v>74</v>
      </c>
      <c r="AH234" t="s">
        <v>74</v>
      </c>
      <c r="AI234" t="s">
        <v>74</v>
      </c>
      <c r="AJ234" t="s">
        <v>74</v>
      </c>
      <c r="AK234" t="s">
        <v>74</v>
      </c>
      <c r="AL234" t="s">
        <v>74</v>
      </c>
      <c r="AM234" t="s">
        <v>74</v>
      </c>
      <c r="AN234" t="s">
        <v>74</v>
      </c>
      <c r="AO234" t="s">
        <v>511</v>
      </c>
      <c r="AP234" t="s">
        <v>512</v>
      </c>
      <c r="AQ234" t="s">
        <v>74</v>
      </c>
      <c r="AR234" t="s">
        <v>74</v>
      </c>
      <c r="AS234" t="s">
        <v>74</v>
      </c>
      <c r="AT234" t="s">
        <v>134</v>
      </c>
      <c r="AU234">
        <v>2007</v>
      </c>
      <c r="AV234">
        <v>51</v>
      </c>
      <c r="AW234">
        <v>5</v>
      </c>
      <c r="AX234" t="s">
        <v>74</v>
      </c>
      <c r="AY234" t="s">
        <v>74</v>
      </c>
      <c r="AZ234" t="s">
        <v>74</v>
      </c>
      <c r="BA234" t="s">
        <v>74</v>
      </c>
      <c r="BB234">
        <v>611</v>
      </c>
      <c r="BC234">
        <v>619</v>
      </c>
      <c r="BD234" t="s">
        <v>74</v>
      </c>
      <c r="BE234" t="s">
        <v>3643</v>
      </c>
      <c r="BF234" t="str">
        <f>HYPERLINK("http://dx.doi.org/10.1016/j.yhbeh.2007.02.010","http://dx.doi.org/10.1016/j.yhbeh.2007.02.010")</f>
        <v>http://dx.doi.org/10.1016/j.yhbeh.2007.02.010</v>
      </c>
      <c r="BG234" t="s">
        <v>74</v>
      </c>
      <c r="BH234" t="s">
        <v>74</v>
      </c>
      <c r="BI234" t="s">
        <v>74</v>
      </c>
      <c r="BJ234" t="s">
        <v>74</v>
      </c>
      <c r="BK234" t="s">
        <v>74</v>
      </c>
      <c r="BL234" t="s">
        <v>74</v>
      </c>
      <c r="BM234" t="s">
        <v>74</v>
      </c>
      <c r="BN234">
        <v>17462644</v>
      </c>
      <c r="BO234" t="s">
        <v>74</v>
      </c>
      <c r="BP234" t="s">
        <v>74</v>
      </c>
      <c r="BQ234" t="s">
        <v>74</v>
      </c>
      <c r="BR234" t="s">
        <v>74</v>
      </c>
      <c r="BS234" t="s">
        <v>3644</v>
      </c>
      <c r="BT234" t="str">
        <f>HYPERLINK("https%3A%2F%2Fwww.webofscience.com%2Fwos%2Fwoscc%2Ffull-record%2FWOS:000247275800006","View Full Record in Web of Science")</f>
        <v>View Full Record in Web of Science</v>
      </c>
    </row>
    <row r="235" spans="1:72" x14ac:dyDescent="0.4">
      <c r="A235" t="s">
        <v>72</v>
      </c>
      <c r="B235" t="s">
        <v>2908</v>
      </c>
      <c r="C235" t="s">
        <v>74</v>
      </c>
      <c r="D235" t="s">
        <v>74</v>
      </c>
      <c r="E235" t="s">
        <v>74</v>
      </c>
      <c r="F235" t="s">
        <v>2909</v>
      </c>
      <c r="G235" t="s">
        <v>74</v>
      </c>
      <c r="H235" t="s">
        <v>74</v>
      </c>
      <c r="I235" t="s">
        <v>2910</v>
      </c>
      <c r="J235" t="s">
        <v>2911</v>
      </c>
      <c r="K235" t="s">
        <v>74</v>
      </c>
      <c r="L235" t="s">
        <v>74</v>
      </c>
      <c r="M235" t="s">
        <v>74</v>
      </c>
      <c r="N235" t="s">
        <v>74</v>
      </c>
      <c r="O235" t="s">
        <v>74</v>
      </c>
      <c r="P235" t="s">
        <v>74</v>
      </c>
      <c r="Q235" t="s">
        <v>74</v>
      </c>
      <c r="R235" t="s">
        <v>74</v>
      </c>
      <c r="S235" t="s">
        <v>74</v>
      </c>
      <c r="T235" t="s">
        <v>74</v>
      </c>
      <c r="U235" t="s">
        <v>74</v>
      </c>
      <c r="V235" s="3" t="s">
        <v>2912</v>
      </c>
      <c r="W235" t="s">
        <v>74</v>
      </c>
      <c r="X235" t="s">
        <v>74</v>
      </c>
      <c r="Y235" t="s">
        <v>74</v>
      </c>
      <c r="Z235" t="s">
        <v>74</v>
      </c>
      <c r="AA235" t="s">
        <v>2913</v>
      </c>
      <c r="AB235" t="s">
        <v>2914</v>
      </c>
      <c r="AC235" t="s">
        <v>74</v>
      </c>
      <c r="AD235" t="s">
        <v>74</v>
      </c>
      <c r="AE235" t="s">
        <v>74</v>
      </c>
      <c r="AF235" t="s">
        <v>74</v>
      </c>
      <c r="AG235" t="s">
        <v>74</v>
      </c>
      <c r="AH235" t="s">
        <v>74</v>
      </c>
      <c r="AI235" t="s">
        <v>74</v>
      </c>
      <c r="AJ235" t="s">
        <v>74</v>
      </c>
      <c r="AK235" t="s">
        <v>74</v>
      </c>
      <c r="AL235" t="s">
        <v>74</v>
      </c>
      <c r="AM235" t="s">
        <v>74</v>
      </c>
      <c r="AN235" t="s">
        <v>74</v>
      </c>
      <c r="AO235" t="s">
        <v>2915</v>
      </c>
      <c r="AP235" t="s">
        <v>2916</v>
      </c>
      <c r="AQ235" t="s">
        <v>74</v>
      </c>
      <c r="AR235" t="s">
        <v>74</v>
      </c>
      <c r="AS235" t="s">
        <v>74</v>
      </c>
      <c r="AT235" t="s">
        <v>769</v>
      </c>
      <c r="AU235">
        <v>2022</v>
      </c>
      <c r="AV235" t="s">
        <v>74</v>
      </c>
      <c r="AW235">
        <v>1084</v>
      </c>
      <c r="AX235" t="s">
        <v>74</v>
      </c>
      <c r="AY235" t="s">
        <v>74</v>
      </c>
      <c r="AZ235" t="s">
        <v>74</v>
      </c>
      <c r="BA235" t="s">
        <v>74</v>
      </c>
      <c r="BB235">
        <v>151</v>
      </c>
      <c r="BC235">
        <v>164</v>
      </c>
      <c r="BD235" t="s">
        <v>74</v>
      </c>
      <c r="BE235" t="s">
        <v>2917</v>
      </c>
      <c r="BF235" t="str">
        <f>HYPERLINK("http://dx.doi.org/10.3897/zookeys.1084.79415","http://dx.doi.org/10.3897/zookeys.1084.79415")</f>
        <v>http://dx.doi.org/10.3897/zookeys.1084.79415</v>
      </c>
      <c r="BG235" t="s">
        <v>74</v>
      </c>
      <c r="BH235" t="s">
        <v>74</v>
      </c>
      <c r="BI235" t="s">
        <v>74</v>
      </c>
      <c r="BJ235" t="s">
        <v>74</v>
      </c>
      <c r="BK235" t="s">
        <v>74</v>
      </c>
      <c r="BL235" t="s">
        <v>74</v>
      </c>
      <c r="BM235" t="s">
        <v>74</v>
      </c>
      <c r="BN235">
        <v>35233167</v>
      </c>
      <c r="BO235" t="s">
        <v>74</v>
      </c>
      <c r="BP235" t="s">
        <v>74</v>
      </c>
      <c r="BQ235" t="s">
        <v>74</v>
      </c>
      <c r="BR235" t="s">
        <v>74</v>
      </c>
      <c r="BS235" t="s">
        <v>2918</v>
      </c>
      <c r="BT235" t="str">
        <f>HYPERLINK("https%3A%2F%2Fwww.webofscience.com%2Fwos%2Fwoscc%2Ffull-record%2FWOS:000750859100001","View Full Record in Web of Science")</f>
        <v>View Full Record in Web of Science</v>
      </c>
    </row>
    <row r="236" spans="1:72" x14ac:dyDescent="0.4">
      <c r="A236" t="s">
        <v>72</v>
      </c>
      <c r="B236" t="s">
        <v>5902</v>
      </c>
      <c r="C236" t="s">
        <v>74</v>
      </c>
      <c r="D236" t="s">
        <v>74</v>
      </c>
      <c r="E236" t="s">
        <v>74</v>
      </c>
      <c r="F236" t="s">
        <v>5903</v>
      </c>
      <c r="G236" t="s">
        <v>74</v>
      </c>
      <c r="H236" t="s">
        <v>74</v>
      </c>
      <c r="I236" t="s">
        <v>5904</v>
      </c>
      <c r="J236" t="s">
        <v>775</v>
      </c>
      <c r="K236" t="s">
        <v>74</v>
      </c>
      <c r="L236" t="s">
        <v>74</v>
      </c>
      <c r="M236" t="s">
        <v>74</v>
      </c>
      <c r="N236" t="s">
        <v>74</v>
      </c>
      <c r="O236" t="s">
        <v>74</v>
      </c>
      <c r="P236" t="s">
        <v>74</v>
      </c>
      <c r="Q236" t="s">
        <v>74</v>
      </c>
      <c r="R236" t="s">
        <v>74</v>
      </c>
      <c r="S236" t="s">
        <v>74</v>
      </c>
      <c r="T236" t="s">
        <v>74</v>
      </c>
      <c r="U236" t="s">
        <v>74</v>
      </c>
      <c r="V236" s="3" t="s">
        <v>5905</v>
      </c>
      <c r="W236" t="s">
        <v>74</v>
      </c>
      <c r="X236" t="s">
        <v>74</v>
      </c>
      <c r="Y236" t="s">
        <v>74</v>
      </c>
      <c r="Z236" t="s">
        <v>74</v>
      </c>
      <c r="AA236" t="s">
        <v>5906</v>
      </c>
      <c r="AB236" t="s">
        <v>5907</v>
      </c>
      <c r="AC236" t="s">
        <v>74</v>
      </c>
      <c r="AD236" t="s">
        <v>74</v>
      </c>
      <c r="AE236" t="s">
        <v>74</v>
      </c>
      <c r="AF236" t="s">
        <v>74</v>
      </c>
      <c r="AG236" t="s">
        <v>74</v>
      </c>
      <c r="AH236" t="s">
        <v>74</v>
      </c>
      <c r="AI236" t="s">
        <v>74</v>
      </c>
      <c r="AJ236" t="s">
        <v>74</v>
      </c>
      <c r="AK236" t="s">
        <v>74</v>
      </c>
      <c r="AL236" t="s">
        <v>74</v>
      </c>
      <c r="AM236" t="s">
        <v>74</v>
      </c>
      <c r="AN236" t="s">
        <v>74</v>
      </c>
      <c r="AO236" t="s">
        <v>778</v>
      </c>
      <c r="AP236" t="s">
        <v>779</v>
      </c>
      <c r="AQ236" t="s">
        <v>74</v>
      </c>
      <c r="AR236" t="s">
        <v>74</v>
      </c>
      <c r="AS236" t="s">
        <v>74</v>
      </c>
      <c r="AT236" t="s">
        <v>2296</v>
      </c>
      <c r="AU236">
        <v>2024</v>
      </c>
      <c r="AV236">
        <v>70</v>
      </c>
      <c r="AW236">
        <v>1</v>
      </c>
      <c r="AX236" t="s">
        <v>74</v>
      </c>
      <c r="AY236" t="s">
        <v>74</v>
      </c>
      <c r="AZ236" t="s">
        <v>74</v>
      </c>
      <c r="BA236" t="s">
        <v>74</v>
      </c>
      <c r="BB236">
        <v>70</v>
      </c>
      <c r="BC236">
        <v>78</v>
      </c>
      <c r="BD236" t="s">
        <v>74</v>
      </c>
      <c r="BE236" t="s">
        <v>5908</v>
      </c>
      <c r="BF236" t="str">
        <f>HYPERLINK("http://dx.doi.org/10.1093/cz/zoac100","http://dx.doi.org/10.1093/cz/zoac100")</f>
        <v>http://dx.doi.org/10.1093/cz/zoac100</v>
      </c>
      <c r="BG236" t="s">
        <v>74</v>
      </c>
      <c r="BH236" t="s">
        <v>5909</v>
      </c>
      <c r="BI236" t="s">
        <v>74</v>
      </c>
      <c r="BJ236" t="s">
        <v>74</v>
      </c>
      <c r="BK236" t="s">
        <v>74</v>
      </c>
      <c r="BL236" t="s">
        <v>74</v>
      </c>
      <c r="BM236" t="s">
        <v>74</v>
      </c>
      <c r="BN236">
        <v>38476131</v>
      </c>
      <c r="BO236" t="s">
        <v>74</v>
      </c>
      <c r="BP236" t="s">
        <v>74</v>
      </c>
      <c r="BQ236" t="s">
        <v>74</v>
      </c>
      <c r="BR236" t="s">
        <v>74</v>
      </c>
      <c r="BS236" t="s">
        <v>5910</v>
      </c>
      <c r="BT236" t="str">
        <f>HYPERLINK("https%3A%2F%2Fwww.webofscience.com%2Fwos%2Fwoscc%2Ffull-record%2FWOS:000941795100001","View Full Record in Web of Science")</f>
        <v>View Full Record in Web of Science</v>
      </c>
    </row>
    <row r="237" spans="1:72" x14ac:dyDescent="0.4">
      <c r="A237" t="s">
        <v>72</v>
      </c>
      <c r="B237" t="s">
        <v>2481</v>
      </c>
      <c r="C237" t="s">
        <v>74</v>
      </c>
      <c r="D237" t="s">
        <v>74</v>
      </c>
      <c r="E237" t="s">
        <v>74</v>
      </c>
      <c r="F237" t="s">
        <v>2482</v>
      </c>
      <c r="G237" t="s">
        <v>74</v>
      </c>
      <c r="H237" t="s">
        <v>74</v>
      </c>
      <c r="I237" t="s">
        <v>2483</v>
      </c>
      <c r="J237" t="s">
        <v>77</v>
      </c>
      <c r="K237" t="s">
        <v>74</v>
      </c>
      <c r="L237" t="s">
        <v>74</v>
      </c>
      <c r="M237" t="s">
        <v>74</v>
      </c>
      <c r="N237" t="s">
        <v>74</v>
      </c>
      <c r="O237" t="s">
        <v>74</v>
      </c>
      <c r="P237" t="s">
        <v>74</v>
      </c>
      <c r="Q237" t="s">
        <v>74</v>
      </c>
      <c r="R237" t="s">
        <v>74</v>
      </c>
      <c r="S237" t="s">
        <v>74</v>
      </c>
      <c r="T237" t="s">
        <v>74</v>
      </c>
      <c r="U237" t="s">
        <v>74</v>
      </c>
      <c r="V237" s="3" t="s">
        <v>2484</v>
      </c>
      <c r="W237" t="s">
        <v>74</v>
      </c>
      <c r="X237" t="s">
        <v>74</v>
      </c>
      <c r="Y237" t="s">
        <v>74</v>
      </c>
      <c r="Z237" t="s">
        <v>74</v>
      </c>
      <c r="AA237" t="s">
        <v>74</v>
      </c>
      <c r="AB237" t="s">
        <v>74</v>
      </c>
      <c r="AC237" t="s">
        <v>74</v>
      </c>
      <c r="AD237" t="s">
        <v>74</v>
      </c>
      <c r="AE237" t="s">
        <v>74</v>
      </c>
      <c r="AF237" t="s">
        <v>74</v>
      </c>
      <c r="AG237" t="s">
        <v>74</v>
      </c>
      <c r="AH237" t="s">
        <v>74</v>
      </c>
      <c r="AI237" t="s">
        <v>74</v>
      </c>
      <c r="AJ237" t="s">
        <v>74</v>
      </c>
      <c r="AK237" t="s">
        <v>74</v>
      </c>
      <c r="AL237" t="s">
        <v>74</v>
      </c>
      <c r="AM237" t="s">
        <v>74</v>
      </c>
      <c r="AN237" t="s">
        <v>74</v>
      </c>
      <c r="AO237" t="s">
        <v>81</v>
      </c>
      <c r="AP237" t="s">
        <v>82</v>
      </c>
      <c r="AQ237" t="s">
        <v>74</v>
      </c>
      <c r="AR237" t="s">
        <v>74</v>
      </c>
      <c r="AS237" t="s">
        <v>74</v>
      </c>
      <c r="AT237" t="s">
        <v>74</v>
      </c>
      <c r="AU237">
        <v>2015</v>
      </c>
      <c r="AV237">
        <v>152</v>
      </c>
      <c r="AW237">
        <v>11</v>
      </c>
      <c r="AX237" t="s">
        <v>74</v>
      </c>
      <c r="AY237" t="s">
        <v>74</v>
      </c>
      <c r="AZ237" t="s">
        <v>74</v>
      </c>
      <c r="BA237" t="s">
        <v>74</v>
      </c>
      <c r="BB237">
        <v>1463</v>
      </c>
      <c r="BC237">
        <v>1479</v>
      </c>
      <c r="BD237" t="s">
        <v>74</v>
      </c>
      <c r="BE237" t="s">
        <v>2485</v>
      </c>
      <c r="BF237" t="str">
        <f>HYPERLINK("http://dx.doi.org/10.1163/1568539X-00003287","http://dx.doi.org/10.1163/1568539X-00003287")</f>
        <v>http://dx.doi.org/10.1163/1568539X-00003287</v>
      </c>
      <c r="BG237" t="s">
        <v>74</v>
      </c>
      <c r="BH237" t="s">
        <v>74</v>
      </c>
      <c r="BI237" t="s">
        <v>74</v>
      </c>
      <c r="BJ237" t="s">
        <v>74</v>
      </c>
      <c r="BK237" t="s">
        <v>74</v>
      </c>
      <c r="BL237" t="s">
        <v>74</v>
      </c>
      <c r="BM237" t="s">
        <v>74</v>
      </c>
      <c r="BN237" t="s">
        <v>74</v>
      </c>
      <c r="BO237" t="s">
        <v>74</v>
      </c>
      <c r="BP237" t="s">
        <v>74</v>
      </c>
      <c r="BQ237" t="s">
        <v>74</v>
      </c>
      <c r="BR237" t="s">
        <v>74</v>
      </c>
      <c r="BS237" t="s">
        <v>2486</v>
      </c>
      <c r="BT237" t="str">
        <f>HYPERLINK("https%3A%2F%2Fwww.webofscience.com%2Fwos%2Fwoscc%2Ffull-record%2FWOS:000359994100002","View Full Record in Web of Science")</f>
        <v>View Full Record in Web of Science</v>
      </c>
    </row>
    <row r="238" spans="1:72" x14ac:dyDescent="0.4">
      <c r="A238" t="s">
        <v>72</v>
      </c>
      <c r="B238" t="s">
        <v>2134</v>
      </c>
      <c r="C238" t="s">
        <v>74</v>
      </c>
      <c r="D238" t="s">
        <v>74</v>
      </c>
      <c r="E238" t="s">
        <v>74</v>
      </c>
      <c r="F238" t="s">
        <v>2135</v>
      </c>
      <c r="G238" t="s">
        <v>74</v>
      </c>
      <c r="H238" t="s">
        <v>74</v>
      </c>
      <c r="I238" t="s">
        <v>2136</v>
      </c>
      <c r="J238" t="s">
        <v>119</v>
      </c>
      <c r="K238" t="s">
        <v>74</v>
      </c>
      <c r="L238" t="s">
        <v>74</v>
      </c>
      <c r="M238" t="s">
        <v>74</v>
      </c>
      <c r="N238" t="s">
        <v>74</v>
      </c>
      <c r="O238" t="s">
        <v>74</v>
      </c>
      <c r="P238" t="s">
        <v>74</v>
      </c>
      <c r="Q238" t="s">
        <v>74</v>
      </c>
      <c r="R238" t="s">
        <v>74</v>
      </c>
      <c r="S238" t="s">
        <v>74</v>
      </c>
      <c r="T238" t="s">
        <v>74</v>
      </c>
      <c r="U238" t="s">
        <v>74</v>
      </c>
      <c r="V238" s="3" t="s">
        <v>2137</v>
      </c>
      <c r="W238" t="s">
        <v>74</v>
      </c>
      <c r="X238" t="s">
        <v>74</v>
      </c>
      <c r="Y238" t="s">
        <v>74</v>
      </c>
      <c r="Z238" t="s">
        <v>74</v>
      </c>
      <c r="AA238" t="s">
        <v>2138</v>
      </c>
      <c r="AB238" t="s">
        <v>2139</v>
      </c>
      <c r="AC238" t="s">
        <v>74</v>
      </c>
      <c r="AD238" t="s">
        <v>74</v>
      </c>
      <c r="AE238" t="s">
        <v>74</v>
      </c>
      <c r="AF238" t="s">
        <v>74</v>
      </c>
      <c r="AG238" t="s">
        <v>74</v>
      </c>
      <c r="AH238" t="s">
        <v>74</v>
      </c>
      <c r="AI238" t="s">
        <v>74</v>
      </c>
      <c r="AJ238" t="s">
        <v>74</v>
      </c>
      <c r="AK238" t="s">
        <v>74</v>
      </c>
      <c r="AL238" t="s">
        <v>74</v>
      </c>
      <c r="AM238" t="s">
        <v>74</v>
      </c>
      <c r="AN238" t="s">
        <v>74</v>
      </c>
      <c r="AO238" t="s">
        <v>121</v>
      </c>
      <c r="AP238" t="s">
        <v>122</v>
      </c>
      <c r="AQ238" t="s">
        <v>74</v>
      </c>
      <c r="AR238" t="s">
        <v>74</v>
      </c>
      <c r="AS238" t="s">
        <v>74</v>
      </c>
      <c r="AT238" t="s">
        <v>352</v>
      </c>
      <c r="AU238">
        <v>2014</v>
      </c>
      <c r="AV238">
        <v>107</v>
      </c>
      <c r="AW238" t="s">
        <v>74</v>
      </c>
      <c r="AX238" t="s">
        <v>74</v>
      </c>
      <c r="AY238" t="s">
        <v>74</v>
      </c>
      <c r="AZ238" t="s">
        <v>74</v>
      </c>
      <c r="BA238" t="s">
        <v>74</v>
      </c>
      <c r="BB238">
        <v>158</v>
      </c>
      <c r="BC238">
        <v>162</v>
      </c>
      <c r="BD238" t="s">
        <v>74</v>
      </c>
      <c r="BE238" t="s">
        <v>2140</v>
      </c>
      <c r="BF238" t="str">
        <f>HYPERLINK("http://dx.doi.org/10.1016/j.beproc.2014.08.010","http://dx.doi.org/10.1016/j.beproc.2014.08.010")</f>
        <v>http://dx.doi.org/10.1016/j.beproc.2014.08.010</v>
      </c>
      <c r="BG238" t="s">
        <v>74</v>
      </c>
      <c r="BH238" t="s">
        <v>74</v>
      </c>
      <c r="BI238" t="s">
        <v>74</v>
      </c>
      <c r="BJ238" t="s">
        <v>74</v>
      </c>
      <c r="BK238" t="s">
        <v>74</v>
      </c>
      <c r="BL238" t="s">
        <v>74</v>
      </c>
      <c r="BM238" t="s">
        <v>74</v>
      </c>
      <c r="BN238">
        <v>25151939</v>
      </c>
      <c r="BO238" t="s">
        <v>74</v>
      </c>
      <c r="BP238" t="s">
        <v>74</v>
      </c>
      <c r="BQ238" t="s">
        <v>74</v>
      </c>
      <c r="BR238" t="s">
        <v>74</v>
      </c>
      <c r="BS238" t="s">
        <v>2141</v>
      </c>
      <c r="BT238" t="str">
        <f>HYPERLINK("https%3A%2F%2Fwww.webofscience.com%2Fwos%2Fwoscc%2Ffull-record%2FWOS:000343628400020","View Full Record in Web of Science")</f>
        <v>View Full Record in Web of Science</v>
      </c>
    </row>
    <row r="239" spans="1:72" x14ac:dyDescent="0.4">
      <c r="A239" t="s">
        <v>72</v>
      </c>
      <c r="B239" t="s">
        <v>6982</v>
      </c>
      <c r="C239" t="s">
        <v>74</v>
      </c>
      <c r="D239" t="s">
        <v>74</v>
      </c>
      <c r="E239" t="s">
        <v>74</v>
      </c>
      <c r="F239" t="s">
        <v>6983</v>
      </c>
      <c r="G239" t="s">
        <v>74</v>
      </c>
      <c r="H239" t="s">
        <v>74</v>
      </c>
      <c r="I239" t="s">
        <v>6984</v>
      </c>
      <c r="J239" t="s">
        <v>140</v>
      </c>
      <c r="K239" t="s">
        <v>74</v>
      </c>
      <c r="L239" t="s">
        <v>74</v>
      </c>
      <c r="M239" t="s">
        <v>74</v>
      </c>
      <c r="N239" t="s">
        <v>74</v>
      </c>
      <c r="O239" t="s">
        <v>74</v>
      </c>
      <c r="P239" t="s">
        <v>74</v>
      </c>
      <c r="Q239" t="s">
        <v>74</v>
      </c>
      <c r="R239" t="s">
        <v>74</v>
      </c>
      <c r="S239" t="s">
        <v>74</v>
      </c>
      <c r="T239" t="s">
        <v>74</v>
      </c>
      <c r="U239" t="s">
        <v>74</v>
      </c>
      <c r="V239" s="3" t="s">
        <v>6985</v>
      </c>
      <c r="W239" t="s">
        <v>74</v>
      </c>
      <c r="X239" t="s">
        <v>74</v>
      </c>
      <c r="Y239" t="s">
        <v>74</v>
      </c>
      <c r="Z239" t="s">
        <v>74</v>
      </c>
      <c r="AA239" t="s">
        <v>6986</v>
      </c>
      <c r="AB239" t="s">
        <v>6987</v>
      </c>
      <c r="AC239" t="s">
        <v>74</v>
      </c>
      <c r="AD239" t="s">
        <v>74</v>
      </c>
      <c r="AE239" t="s">
        <v>74</v>
      </c>
      <c r="AF239" t="s">
        <v>74</v>
      </c>
      <c r="AG239" t="s">
        <v>74</v>
      </c>
      <c r="AH239" t="s">
        <v>74</v>
      </c>
      <c r="AI239" t="s">
        <v>74</v>
      </c>
      <c r="AJ239" t="s">
        <v>74</v>
      </c>
      <c r="AK239" t="s">
        <v>74</v>
      </c>
      <c r="AL239" t="s">
        <v>74</v>
      </c>
      <c r="AM239" t="s">
        <v>74</v>
      </c>
      <c r="AN239" t="s">
        <v>74</v>
      </c>
      <c r="AO239" t="s">
        <v>143</v>
      </c>
      <c r="AP239" t="s">
        <v>144</v>
      </c>
      <c r="AQ239" t="s">
        <v>74</v>
      </c>
      <c r="AR239" t="s">
        <v>74</v>
      </c>
      <c r="AS239" t="s">
        <v>74</v>
      </c>
      <c r="AT239" t="s">
        <v>255</v>
      </c>
      <c r="AU239">
        <v>2008</v>
      </c>
      <c r="AV239">
        <v>75</v>
      </c>
      <c r="AW239" t="s">
        <v>74</v>
      </c>
      <c r="AX239">
        <v>1</v>
      </c>
      <c r="AY239" t="s">
        <v>74</v>
      </c>
      <c r="AZ239" t="s">
        <v>74</v>
      </c>
      <c r="BA239" t="s">
        <v>74</v>
      </c>
      <c r="BB239">
        <v>175</v>
      </c>
      <c r="BC239">
        <v>188</v>
      </c>
      <c r="BD239" t="s">
        <v>74</v>
      </c>
      <c r="BE239" t="s">
        <v>6988</v>
      </c>
      <c r="BF239" t="str">
        <f>HYPERLINK("http://dx.doi.org/10.1016/j.anbehav.2007.04.016","http://dx.doi.org/10.1016/j.anbehav.2007.04.016")</f>
        <v>http://dx.doi.org/10.1016/j.anbehav.2007.04.016</v>
      </c>
      <c r="BG239" t="s">
        <v>74</v>
      </c>
      <c r="BH239" t="s">
        <v>74</v>
      </c>
      <c r="BI239" t="s">
        <v>74</v>
      </c>
      <c r="BJ239" t="s">
        <v>74</v>
      </c>
      <c r="BK239" t="s">
        <v>74</v>
      </c>
      <c r="BL239" t="s">
        <v>74</v>
      </c>
      <c r="BM239" t="s">
        <v>74</v>
      </c>
      <c r="BN239" t="s">
        <v>74</v>
      </c>
      <c r="BO239" t="s">
        <v>74</v>
      </c>
      <c r="BP239" t="s">
        <v>74</v>
      </c>
      <c r="BQ239" t="s">
        <v>74</v>
      </c>
      <c r="BR239" t="s">
        <v>74</v>
      </c>
      <c r="BS239" t="s">
        <v>6989</v>
      </c>
      <c r="BT239" t="str">
        <f>HYPERLINK("https%3A%2F%2Fwww.webofscience.com%2Fwos%2Fwoscc%2Ffull-record%2FWOS:000252710000021","View Full Record in Web of Science")</f>
        <v>View Full Record in Web of Science</v>
      </c>
    </row>
    <row r="240" spans="1:72" x14ac:dyDescent="0.4">
      <c r="A240" t="s">
        <v>72</v>
      </c>
      <c r="B240" t="s">
        <v>3814</v>
      </c>
      <c r="C240" t="s">
        <v>74</v>
      </c>
      <c r="D240" t="s">
        <v>74</v>
      </c>
      <c r="E240" t="s">
        <v>74</v>
      </c>
      <c r="F240" t="s">
        <v>3815</v>
      </c>
      <c r="G240" t="s">
        <v>74</v>
      </c>
      <c r="H240" t="s">
        <v>74</v>
      </c>
      <c r="I240" t="s">
        <v>3816</v>
      </c>
      <c r="J240" t="s">
        <v>3817</v>
      </c>
      <c r="K240" t="s">
        <v>74</v>
      </c>
      <c r="L240" t="s">
        <v>74</v>
      </c>
      <c r="M240" t="s">
        <v>74</v>
      </c>
      <c r="N240" t="s">
        <v>74</v>
      </c>
      <c r="O240" t="s">
        <v>74</v>
      </c>
      <c r="P240" t="s">
        <v>74</v>
      </c>
      <c r="Q240" t="s">
        <v>74</v>
      </c>
      <c r="R240" t="s">
        <v>74</v>
      </c>
      <c r="S240" t="s">
        <v>74</v>
      </c>
      <c r="T240" t="s">
        <v>74</v>
      </c>
      <c r="U240" t="s">
        <v>74</v>
      </c>
      <c r="V240" s="3" t="s">
        <v>3818</v>
      </c>
      <c r="W240" t="s">
        <v>74</v>
      </c>
      <c r="X240" t="s">
        <v>74</v>
      </c>
      <c r="Y240" t="s">
        <v>74</v>
      </c>
      <c r="Z240" t="s">
        <v>74</v>
      </c>
      <c r="AA240" t="s">
        <v>3819</v>
      </c>
      <c r="AB240" t="s">
        <v>3820</v>
      </c>
      <c r="AC240" t="s">
        <v>74</v>
      </c>
      <c r="AD240" t="s">
        <v>74</v>
      </c>
      <c r="AE240" t="s">
        <v>74</v>
      </c>
      <c r="AF240" t="s">
        <v>74</v>
      </c>
      <c r="AG240" t="s">
        <v>74</v>
      </c>
      <c r="AH240" t="s">
        <v>74</v>
      </c>
      <c r="AI240" t="s">
        <v>74</v>
      </c>
      <c r="AJ240" t="s">
        <v>74</v>
      </c>
      <c r="AK240" t="s">
        <v>74</v>
      </c>
      <c r="AL240" t="s">
        <v>74</v>
      </c>
      <c r="AM240" t="s">
        <v>74</v>
      </c>
      <c r="AN240" t="s">
        <v>74</v>
      </c>
      <c r="AO240" t="s">
        <v>3821</v>
      </c>
      <c r="AP240" t="s">
        <v>3822</v>
      </c>
      <c r="AQ240" t="s">
        <v>74</v>
      </c>
      <c r="AR240" t="s">
        <v>74</v>
      </c>
      <c r="AS240" t="s">
        <v>74</v>
      </c>
      <c r="AT240" t="s">
        <v>3823</v>
      </c>
      <c r="AU240">
        <v>2021</v>
      </c>
      <c r="AV240" t="s">
        <v>74</v>
      </c>
      <c r="AW240" t="s">
        <v>74</v>
      </c>
      <c r="AX240" t="s">
        <v>74</v>
      </c>
      <c r="AY240" t="s">
        <v>74</v>
      </c>
      <c r="AZ240" t="s">
        <v>74</v>
      </c>
      <c r="BA240" t="s">
        <v>74</v>
      </c>
      <c r="BB240" t="s">
        <v>74</v>
      </c>
      <c r="BC240" t="s">
        <v>74</v>
      </c>
      <c r="BD240" t="s">
        <v>3824</v>
      </c>
      <c r="BE240" t="s">
        <v>3825</v>
      </c>
      <c r="BF240" t="str">
        <f>HYPERLINK("http://dx.doi.org/10.1093/zoolinnean/zlab015","http://dx.doi.org/10.1093/zoolinnean/zlab015")</f>
        <v>http://dx.doi.org/10.1093/zoolinnean/zlab015</v>
      </c>
      <c r="BG240" t="s">
        <v>74</v>
      </c>
      <c r="BH240" t="s">
        <v>3826</v>
      </c>
      <c r="BI240" t="s">
        <v>74</v>
      </c>
      <c r="BJ240" t="s">
        <v>74</v>
      </c>
      <c r="BK240" t="s">
        <v>74</v>
      </c>
      <c r="BL240" t="s">
        <v>74</v>
      </c>
      <c r="BM240" t="s">
        <v>74</v>
      </c>
      <c r="BN240" t="s">
        <v>74</v>
      </c>
      <c r="BO240" t="s">
        <v>74</v>
      </c>
      <c r="BP240" t="s">
        <v>74</v>
      </c>
      <c r="BQ240" t="s">
        <v>74</v>
      </c>
      <c r="BR240" t="s">
        <v>74</v>
      </c>
      <c r="BS240" t="s">
        <v>3827</v>
      </c>
      <c r="BT240" t="str">
        <f>HYPERLINK("https%3A%2F%2Fwww.webofscience.com%2Fwos%2Fwoscc%2Ffull-record%2FWOS:000764722000001","View Full Record in Web of Science")</f>
        <v>View Full Record in Web of Science</v>
      </c>
    </row>
    <row r="241" spans="1:72" x14ac:dyDescent="0.4">
      <c r="A241" t="s">
        <v>72</v>
      </c>
      <c r="B241" t="s">
        <v>3828</v>
      </c>
      <c r="C241" t="s">
        <v>74</v>
      </c>
      <c r="D241" t="s">
        <v>74</v>
      </c>
      <c r="E241" t="s">
        <v>74</v>
      </c>
      <c r="F241" t="s">
        <v>3829</v>
      </c>
      <c r="G241" t="s">
        <v>74</v>
      </c>
      <c r="H241" t="s">
        <v>74</v>
      </c>
      <c r="I241" t="s">
        <v>3816</v>
      </c>
      <c r="J241" t="s">
        <v>3817</v>
      </c>
      <c r="K241" t="s">
        <v>74</v>
      </c>
      <c r="L241" t="s">
        <v>74</v>
      </c>
      <c r="M241" t="s">
        <v>74</v>
      </c>
      <c r="N241" t="s">
        <v>74</v>
      </c>
      <c r="O241" t="s">
        <v>74</v>
      </c>
      <c r="P241" t="s">
        <v>74</v>
      </c>
      <c r="Q241" t="s">
        <v>74</v>
      </c>
      <c r="R241" t="s">
        <v>74</v>
      </c>
      <c r="S241" t="s">
        <v>74</v>
      </c>
      <c r="T241" t="s">
        <v>74</v>
      </c>
      <c r="U241" t="s">
        <v>74</v>
      </c>
      <c r="V241" s="3" t="s">
        <v>3830</v>
      </c>
      <c r="W241" t="s">
        <v>74</v>
      </c>
      <c r="X241" t="s">
        <v>74</v>
      </c>
      <c r="Y241" t="s">
        <v>74</v>
      </c>
      <c r="Z241" t="s">
        <v>74</v>
      </c>
      <c r="AA241" t="s">
        <v>3831</v>
      </c>
      <c r="AB241" t="s">
        <v>3832</v>
      </c>
      <c r="AC241" t="s">
        <v>74</v>
      </c>
      <c r="AD241" t="s">
        <v>74</v>
      </c>
      <c r="AE241" t="s">
        <v>74</v>
      </c>
      <c r="AF241" t="s">
        <v>74</v>
      </c>
      <c r="AG241" t="s">
        <v>74</v>
      </c>
      <c r="AH241" t="s">
        <v>74</v>
      </c>
      <c r="AI241" t="s">
        <v>74</v>
      </c>
      <c r="AJ241" t="s">
        <v>74</v>
      </c>
      <c r="AK241" t="s">
        <v>74</v>
      </c>
      <c r="AL241" t="s">
        <v>74</v>
      </c>
      <c r="AM241" t="s">
        <v>74</v>
      </c>
      <c r="AN241" t="s">
        <v>74</v>
      </c>
      <c r="AO241" t="s">
        <v>3821</v>
      </c>
      <c r="AP241" t="s">
        <v>3822</v>
      </c>
      <c r="AQ241" t="s">
        <v>74</v>
      </c>
      <c r="AR241" t="s">
        <v>74</v>
      </c>
      <c r="AS241" t="s">
        <v>74</v>
      </c>
      <c r="AT241" t="s">
        <v>3833</v>
      </c>
      <c r="AU241">
        <v>2022</v>
      </c>
      <c r="AV241">
        <v>194</v>
      </c>
      <c r="AW241">
        <v>3</v>
      </c>
      <c r="AX241" t="s">
        <v>74</v>
      </c>
      <c r="AY241" t="s">
        <v>74</v>
      </c>
      <c r="AZ241" t="s">
        <v>74</v>
      </c>
      <c r="BA241" t="s">
        <v>74</v>
      </c>
      <c r="BB241">
        <v>973</v>
      </c>
      <c r="BC241">
        <v>1034</v>
      </c>
      <c r="BD241" t="s">
        <v>74</v>
      </c>
      <c r="BE241" t="s">
        <v>74</v>
      </c>
      <c r="BF241" t="s">
        <v>74</v>
      </c>
      <c r="BG241" t="s">
        <v>74</v>
      </c>
      <c r="BH241" t="s">
        <v>74</v>
      </c>
      <c r="BI241" t="s">
        <v>74</v>
      </c>
      <c r="BJ241" t="s">
        <v>74</v>
      </c>
      <c r="BK241" t="s">
        <v>74</v>
      </c>
      <c r="BL241" t="s">
        <v>74</v>
      </c>
      <c r="BM241" t="s">
        <v>74</v>
      </c>
      <c r="BN241" t="s">
        <v>74</v>
      </c>
      <c r="BO241" t="s">
        <v>74</v>
      </c>
      <c r="BP241" t="s">
        <v>74</v>
      </c>
      <c r="BQ241" t="s">
        <v>74</v>
      </c>
      <c r="BR241" t="s">
        <v>74</v>
      </c>
      <c r="BS241" t="s">
        <v>3834</v>
      </c>
      <c r="BT241" t="str">
        <f>HYPERLINK("https%3A%2F%2Fwww.webofscience.com%2Fwos%2Fwoscc%2Ffull-record%2FWOS:000766308500011","View Full Record in Web of Science")</f>
        <v>View Full Record in Web of Science</v>
      </c>
    </row>
    <row r="242" spans="1:72" x14ac:dyDescent="0.4">
      <c r="A242" t="s">
        <v>72</v>
      </c>
      <c r="B242" t="s">
        <v>2690</v>
      </c>
      <c r="C242" t="s">
        <v>74</v>
      </c>
      <c r="D242" t="s">
        <v>74</v>
      </c>
      <c r="E242" t="s">
        <v>74</v>
      </c>
      <c r="F242" t="s">
        <v>2690</v>
      </c>
      <c r="G242" t="s">
        <v>74</v>
      </c>
      <c r="H242" t="s">
        <v>74</v>
      </c>
      <c r="I242" t="s">
        <v>2691</v>
      </c>
      <c r="J242" t="s">
        <v>2692</v>
      </c>
      <c r="K242" t="s">
        <v>74</v>
      </c>
      <c r="L242" t="s">
        <v>74</v>
      </c>
      <c r="M242" t="s">
        <v>74</v>
      </c>
      <c r="N242" t="s">
        <v>74</v>
      </c>
      <c r="O242" t="s">
        <v>74</v>
      </c>
      <c r="P242" t="s">
        <v>74</v>
      </c>
      <c r="Q242" t="s">
        <v>74</v>
      </c>
      <c r="R242" t="s">
        <v>74</v>
      </c>
      <c r="S242" t="s">
        <v>74</v>
      </c>
      <c r="T242" t="s">
        <v>74</v>
      </c>
      <c r="U242" t="s">
        <v>74</v>
      </c>
      <c r="V242" s="3" t="s">
        <v>2693</v>
      </c>
      <c r="W242" t="s">
        <v>74</v>
      </c>
      <c r="X242" t="s">
        <v>74</v>
      </c>
      <c r="Y242" t="s">
        <v>74</v>
      </c>
      <c r="Z242" t="s">
        <v>74</v>
      </c>
      <c r="AA242" t="s">
        <v>74</v>
      </c>
      <c r="AB242" t="s">
        <v>74</v>
      </c>
      <c r="AC242" t="s">
        <v>74</v>
      </c>
      <c r="AD242" t="s">
        <v>74</v>
      </c>
      <c r="AE242" t="s">
        <v>74</v>
      </c>
      <c r="AF242" t="s">
        <v>74</v>
      </c>
      <c r="AG242" t="s">
        <v>74</v>
      </c>
      <c r="AH242" t="s">
        <v>74</v>
      </c>
      <c r="AI242" t="s">
        <v>74</v>
      </c>
      <c r="AJ242" t="s">
        <v>74</v>
      </c>
      <c r="AK242" t="s">
        <v>74</v>
      </c>
      <c r="AL242" t="s">
        <v>74</v>
      </c>
      <c r="AM242" t="s">
        <v>74</v>
      </c>
      <c r="AN242" t="s">
        <v>74</v>
      </c>
      <c r="AO242" t="s">
        <v>2694</v>
      </c>
      <c r="AP242" t="s">
        <v>74</v>
      </c>
      <c r="AQ242" t="s">
        <v>74</v>
      </c>
      <c r="AR242" t="s">
        <v>74</v>
      </c>
      <c r="AS242" t="s">
        <v>74</v>
      </c>
      <c r="AT242" t="s">
        <v>305</v>
      </c>
      <c r="AU242">
        <v>2002</v>
      </c>
      <c r="AV242">
        <v>12</v>
      </c>
      <c r="AW242">
        <v>4</v>
      </c>
      <c r="AX242" t="s">
        <v>74</v>
      </c>
      <c r="AY242" t="s">
        <v>74</v>
      </c>
      <c r="AZ242" t="s">
        <v>74</v>
      </c>
      <c r="BA242" t="s">
        <v>74</v>
      </c>
      <c r="BB242">
        <v>353</v>
      </c>
      <c r="BC242">
        <v>364</v>
      </c>
      <c r="BD242" t="s">
        <v>74</v>
      </c>
      <c r="BE242" t="s">
        <v>2695</v>
      </c>
      <c r="BF242" t="str">
        <f>HYPERLINK("http://dx.doi.org/10.1017/S0959270902002228","http://dx.doi.org/10.1017/S0959270902002228")</f>
        <v>http://dx.doi.org/10.1017/S0959270902002228</v>
      </c>
      <c r="BG242" t="s">
        <v>74</v>
      </c>
      <c r="BH242" t="s">
        <v>74</v>
      </c>
      <c r="BI242" t="s">
        <v>74</v>
      </c>
      <c r="BJ242" t="s">
        <v>74</v>
      </c>
      <c r="BK242" t="s">
        <v>74</v>
      </c>
      <c r="BL242" t="s">
        <v>74</v>
      </c>
      <c r="BM242" t="s">
        <v>74</v>
      </c>
      <c r="BN242" t="s">
        <v>74</v>
      </c>
      <c r="BO242" t="s">
        <v>74</v>
      </c>
      <c r="BP242" t="s">
        <v>74</v>
      </c>
      <c r="BQ242" t="s">
        <v>74</v>
      </c>
      <c r="BR242" t="s">
        <v>74</v>
      </c>
      <c r="BS242" t="s">
        <v>2696</v>
      </c>
      <c r="BT242" t="str">
        <f>HYPERLINK("https%3A%2F%2Fwww.webofscience.com%2Fwos%2Fwoscc%2Ffull-record%2FWOS:000180506600005","View Full Record in Web of Science")</f>
        <v>View Full Record in Web of Science</v>
      </c>
    </row>
    <row r="243" spans="1:72" x14ac:dyDescent="0.4">
      <c r="A243" t="s">
        <v>72</v>
      </c>
      <c r="B243" t="s">
        <v>2865</v>
      </c>
      <c r="C243" t="s">
        <v>74</v>
      </c>
      <c r="D243" t="s">
        <v>74</v>
      </c>
      <c r="E243" t="s">
        <v>74</v>
      </c>
      <c r="F243" t="s">
        <v>2866</v>
      </c>
      <c r="G243" t="s">
        <v>74</v>
      </c>
      <c r="H243" t="s">
        <v>74</v>
      </c>
      <c r="I243" t="s">
        <v>2867</v>
      </c>
      <c r="J243" t="s">
        <v>1673</v>
      </c>
      <c r="K243" t="s">
        <v>74</v>
      </c>
      <c r="L243" t="s">
        <v>74</v>
      </c>
      <c r="M243" t="s">
        <v>74</v>
      </c>
      <c r="N243" t="s">
        <v>74</v>
      </c>
      <c r="O243" t="s">
        <v>74</v>
      </c>
      <c r="P243" t="s">
        <v>74</v>
      </c>
      <c r="Q243" t="s">
        <v>74</v>
      </c>
      <c r="R243" t="s">
        <v>74</v>
      </c>
      <c r="S243" t="s">
        <v>74</v>
      </c>
      <c r="T243" t="s">
        <v>74</v>
      </c>
      <c r="U243" t="s">
        <v>74</v>
      </c>
      <c r="V243" s="3" t="s">
        <v>2868</v>
      </c>
      <c r="W243" t="s">
        <v>74</v>
      </c>
      <c r="X243" t="s">
        <v>74</v>
      </c>
      <c r="Y243" t="s">
        <v>74</v>
      </c>
      <c r="Z243" t="s">
        <v>74</v>
      </c>
      <c r="AA243" t="s">
        <v>2869</v>
      </c>
      <c r="AB243" t="s">
        <v>2870</v>
      </c>
      <c r="AC243" t="s">
        <v>74</v>
      </c>
      <c r="AD243" t="s">
        <v>74</v>
      </c>
      <c r="AE243" t="s">
        <v>74</v>
      </c>
      <c r="AF243" t="s">
        <v>74</v>
      </c>
      <c r="AG243" t="s">
        <v>74</v>
      </c>
      <c r="AH243" t="s">
        <v>74</v>
      </c>
      <c r="AI243" t="s">
        <v>74</v>
      </c>
      <c r="AJ243" t="s">
        <v>74</v>
      </c>
      <c r="AK243" t="s">
        <v>74</v>
      </c>
      <c r="AL243" t="s">
        <v>74</v>
      </c>
      <c r="AM243" t="s">
        <v>74</v>
      </c>
      <c r="AN243" t="s">
        <v>74</v>
      </c>
      <c r="AO243" t="s">
        <v>1239</v>
      </c>
      <c r="AP243" t="s">
        <v>1675</v>
      </c>
      <c r="AQ243" t="s">
        <v>74</v>
      </c>
      <c r="AR243" t="s">
        <v>74</v>
      </c>
      <c r="AS243" t="s">
        <v>74</v>
      </c>
      <c r="AT243" t="s">
        <v>145</v>
      </c>
      <c r="AU243">
        <v>2023</v>
      </c>
      <c r="AV243">
        <v>101</v>
      </c>
      <c r="AW243">
        <v>8</v>
      </c>
      <c r="AX243" t="s">
        <v>74</v>
      </c>
      <c r="AY243" t="s">
        <v>74</v>
      </c>
      <c r="AZ243" t="s">
        <v>74</v>
      </c>
      <c r="BA243" t="s">
        <v>74</v>
      </c>
      <c r="BB243">
        <v>658</v>
      </c>
      <c r="BC243">
        <v>671</v>
      </c>
      <c r="BD243" t="s">
        <v>74</v>
      </c>
      <c r="BE243" t="s">
        <v>2871</v>
      </c>
      <c r="BF243" t="str">
        <f>HYPERLINK("http://dx.doi.org/10.1139/cjz-2023-0039","http://dx.doi.org/10.1139/cjz-2023-0039")</f>
        <v>http://dx.doi.org/10.1139/cjz-2023-0039</v>
      </c>
      <c r="BG243" t="s">
        <v>74</v>
      </c>
      <c r="BH243" t="s">
        <v>1391</v>
      </c>
      <c r="BI243" t="s">
        <v>74</v>
      </c>
      <c r="BJ243" t="s">
        <v>74</v>
      </c>
      <c r="BK243" t="s">
        <v>74</v>
      </c>
      <c r="BL243" t="s">
        <v>74</v>
      </c>
      <c r="BM243" t="s">
        <v>74</v>
      </c>
      <c r="BN243" t="s">
        <v>74</v>
      </c>
      <c r="BO243" t="s">
        <v>74</v>
      </c>
      <c r="BP243" t="s">
        <v>74</v>
      </c>
      <c r="BQ243" t="s">
        <v>74</v>
      </c>
      <c r="BR243" t="s">
        <v>74</v>
      </c>
      <c r="BS243" t="s">
        <v>2872</v>
      </c>
      <c r="BT243" t="str">
        <f>HYPERLINK("https%3A%2F%2Fwww.webofscience.com%2Fwos%2Fwoscc%2Ffull-record%2FWOS:000995450300001","View Full Record in Web of Science")</f>
        <v>View Full Record in Web of Science</v>
      </c>
    </row>
    <row r="244" spans="1:72" x14ac:dyDescent="0.4">
      <c r="A244" t="s">
        <v>72</v>
      </c>
      <c r="B244" t="s">
        <v>4403</v>
      </c>
      <c r="C244" t="s">
        <v>74</v>
      </c>
      <c r="D244" t="s">
        <v>74</v>
      </c>
      <c r="E244" t="s">
        <v>74</v>
      </c>
      <c r="F244" t="s">
        <v>4403</v>
      </c>
      <c r="G244" t="s">
        <v>74</v>
      </c>
      <c r="H244" t="s">
        <v>74</v>
      </c>
      <c r="I244" t="s">
        <v>4404</v>
      </c>
      <c r="J244" t="s">
        <v>2152</v>
      </c>
      <c r="K244" t="s">
        <v>74</v>
      </c>
      <c r="L244" t="s">
        <v>74</v>
      </c>
      <c r="M244" t="s">
        <v>74</v>
      </c>
      <c r="N244" t="s">
        <v>74</v>
      </c>
      <c r="O244" t="s">
        <v>74</v>
      </c>
      <c r="P244" t="s">
        <v>74</v>
      </c>
      <c r="Q244" t="s">
        <v>74</v>
      </c>
      <c r="R244" t="s">
        <v>74</v>
      </c>
      <c r="S244" t="s">
        <v>74</v>
      </c>
      <c r="T244" t="s">
        <v>74</v>
      </c>
      <c r="U244" t="s">
        <v>74</v>
      </c>
      <c r="V244" s="3" t="s">
        <v>4405</v>
      </c>
      <c r="W244" t="s">
        <v>74</v>
      </c>
      <c r="X244" t="s">
        <v>74</v>
      </c>
      <c r="Y244" t="s">
        <v>74</v>
      </c>
      <c r="Z244" t="s">
        <v>74</v>
      </c>
      <c r="AA244" t="s">
        <v>74</v>
      </c>
      <c r="AB244" t="s">
        <v>74</v>
      </c>
      <c r="AC244" t="s">
        <v>74</v>
      </c>
      <c r="AD244" t="s">
        <v>74</v>
      </c>
      <c r="AE244" t="s">
        <v>74</v>
      </c>
      <c r="AF244" t="s">
        <v>74</v>
      </c>
      <c r="AG244" t="s">
        <v>74</v>
      </c>
      <c r="AH244" t="s">
        <v>74</v>
      </c>
      <c r="AI244" t="s">
        <v>74</v>
      </c>
      <c r="AJ244" t="s">
        <v>74</v>
      </c>
      <c r="AK244" t="s">
        <v>74</v>
      </c>
      <c r="AL244" t="s">
        <v>74</v>
      </c>
      <c r="AM244" t="s">
        <v>74</v>
      </c>
      <c r="AN244" t="s">
        <v>74</v>
      </c>
      <c r="AO244" t="s">
        <v>2153</v>
      </c>
      <c r="AP244" t="s">
        <v>74</v>
      </c>
      <c r="AQ244" t="s">
        <v>74</v>
      </c>
      <c r="AR244" t="s">
        <v>74</v>
      </c>
      <c r="AS244" t="s">
        <v>74</v>
      </c>
      <c r="AT244" t="s">
        <v>74</v>
      </c>
      <c r="AU244">
        <v>1983</v>
      </c>
      <c r="AV244">
        <v>32</v>
      </c>
      <c r="AW244">
        <v>1</v>
      </c>
      <c r="AX244" t="s">
        <v>74</v>
      </c>
      <c r="AY244" t="s">
        <v>74</v>
      </c>
      <c r="AZ244" t="s">
        <v>74</v>
      </c>
      <c r="BA244" t="s">
        <v>74</v>
      </c>
      <c r="BB244">
        <v>1</v>
      </c>
      <c r="BC244">
        <v>12</v>
      </c>
      <c r="BD244" t="s">
        <v>74</v>
      </c>
      <c r="BE244" t="s">
        <v>74</v>
      </c>
      <c r="BF244" t="s">
        <v>74</v>
      </c>
      <c r="BG244" t="s">
        <v>74</v>
      </c>
      <c r="BH244" t="s">
        <v>74</v>
      </c>
      <c r="BI244" t="s">
        <v>74</v>
      </c>
      <c r="BJ244" t="s">
        <v>74</v>
      </c>
      <c r="BK244" t="s">
        <v>74</v>
      </c>
      <c r="BL244" t="s">
        <v>74</v>
      </c>
      <c r="BM244" t="s">
        <v>74</v>
      </c>
      <c r="BN244" t="s">
        <v>74</v>
      </c>
      <c r="BO244" t="s">
        <v>74</v>
      </c>
      <c r="BP244" t="s">
        <v>74</v>
      </c>
      <c r="BQ244" t="s">
        <v>74</v>
      </c>
      <c r="BR244" t="s">
        <v>74</v>
      </c>
      <c r="BS244" t="s">
        <v>4406</v>
      </c>
      <c r="BT244" t="str">
        <f>HYPERLINK("https%3A%2F%2Fwww.webofscience.com%2Fwos%2Fwoscc%2Ffull-record%2FWOS:A1983RJ22700001","View Full Record in Web of Science")</f>
        <v>View Full Record in Web of Science</v>
      </c>
    </row>
    <row r="245" spans="1:72" x14ac:dyDescent="0.4">
      <c r="A245" t="s">
        <v>72</v>
      </c>
      <c r="B245" t="s">
        <v>8007</v>
      </c>
      <c r="C245" t="s">
        <v>74</v>
      </c>
      <c r="D245" t="s">
        <v>74</v>
      </c>
      <c r="E245" t="s">
        <v>74</v>
      </c>
      <c r="F245" t="s">
        <v>8008</v>
      </c>
      <c r="G245" t="s">
        <v>74</v>
      </c>
      <c r="H245" t="s">
        <v>74</v>
      </c>
      <c r="I245" t="s">
        <v>8009</v>
      </c>
      <c r="J245" t="s">
        <v>333</v>
      </c>
      <c r="K245" t="s">
        <v>74</v>
      </c>
      <c r="L245" t="s">
        <v>74</v>
      </c>
      <c r="M245" t="s">
        <v>74</v>
      </c>
      <c r="N245" t="s">
        <v>74</v>
      </c>
      <c r="O245" t="s">
        <v>74</v>
      </c>
      <c r="P245" t="s">
        <v>74</v>
      </c>
      <c r="Q245" t="s">
        <v>74</v>
      </c>
      <c r="R245" t="s">
        <v>74</v>
      </c>
      <c r="S245" t="s">
        <v>74</v>
      </c>
      <c r="T245" t="s">
        <v>74</v>
      </c>
      <c r="U245" t="s">
        <v>74</v>
      </c>
      <c r="V245" s="3" t="s">
        <v>8010</v>
      </c>
      <c r="W245" t="s">
        <v>74</v>
      </c>
      <c r="X245" t="s">
        <v>74</v>
      </c>
      <c r="Y245" t="s">
        <v>74</v>
      </c>
      <c r="Z245" t="s">
        <v>74</v>
      </c>
      <c r="AA245" t="s">
        <v>1416</v>
      </c>
      <c r="AB245" t="s">
        <v>74</v>
      </c>
      <c r="AC245" t="s">
        <v>74</v>
      </c>
      <c r="AD245" t="s">
        <v>74</v>
      </c>
      <c r="AE245" t="s">
        <v>74</v>
      </c>
      <c r="AF245" t="s">
        <v>74</v>
      </c>
      <c r="AG245" t="s">
        <v>74</v>
      </c>
      <c r="AH245" t="s">
        <v>74</v>
      </c>
      <c r="AI245" t="s">
        <v>74</v>
      </c>
      <c r="AJ245" t="s">
        <v>74</v>
      </c>
      <c r="AK245" t="s">
        <v>74</v>
      </c>
      <c r="AL245" t="s">
        <v>74</v>
      </c>
      <c r="AM245" t="s">
        <v>74</v>
      </c>
      <c r="AN245" t="s">
        <v>74</v>
      </c>
      <c r="AO245" t="s">
        <v>337</v>
      </c>
      <c r="AP245" t="s">
        <v>338</v>
      </c>
      <c r="AQ245" t="s">
        <v>74</v>
      </c>
      <c r="AR245" t="s">
        <v>74</v>
      </c>
      <c r="AS245" t="s">
        <v>74</v>
      </c>
      <c r="AT245" t="s">
        <v>1013</v>
      </c>
      <c r="AU245">
        <v>2014</v>
      </c>
      <c r="AV245">
        <v>25</v>
      </c>
      <c r="AW245">
        <v>5</v>
      </c>
      <c r="AX245" t="s">
        <v>74</v>
      </c>
      <c r="AY245" t="s">
        <v>74</v>
      </c>
      <c r="AZ245" t="s">
        <v>74</v>
      </c>
      <c r="BA245" t="s">
        <v>74</v>
      </c>
      <c r="BB245">
        <v>1097</v>
      </c>
      <c r="BC245">
        <v>1104</v>
      </c>
      <c r="BD245" t="s">
        <v>74</v>
      </c>
      <c r="BE245" t="s">
        <v>8011</v>
      </c>
      <c r="BF245" t="str">
        <f>HYPERLINK("http://dx.doi.org/10.1093/beheco/aru087","http://dx.doi.org/10.1093/beheco/aru087")</f>
        <v>http://dx.doi.org/10.1093/beheco/aru087</v>
      </c>
      <c r="BG245" t="s">
        <v>74</v>
      </c>
      <c r="BH245" t="s">
        <v>74</v>
      </c>
      <c r="BI245" t="s">
        <v>74</v>
      </c>
      <c r="BJ245" t="s">
        <v>74</v>
      </c>
      <c r="BK245" t="s">
        <v>74</v>
      </c>
      <c r="BL245" t="s">
        <v>74</v>
      </c>
      <c r="BM245" t="s">
        <v>74</v>
      </c>
      <c r="BN245" t="s">
        <v>74</v>
      </c>
      <c r="BO245" t="s">
        <v>74</v>
      </c>
      <c r="BP245" t="s">
        <v>74</v>
      </c>
      <c r="BQ245" t="s">
        <v>74</v>
      </c>
      <c r="BR245" t="s">
        <v>74</v>
      </c>
      <c r="BS245" t="s">
        <v>8012</v>
      </c>
      <c r="BT245" t="str">
        <f>HYPERLINK("https%3A%2F%2Fwww.webofscience.com%2Fwos%2Fwoscc%2Ffull-record%2FWOS:000342360200015","View Full Record in Web of Science")</f>
        <v>View Full Record in Web of Science</v>
      </c>
    </row>
    <row r="246" spans="1:72" x14ac:dyDescent="0.4">
      <c r="A246" t="s">
        <v>72</v>
      </c>
      <c r="B246" t="s">
        <v>6217</v>
      </c>
      <c r="C246" t="s">
        <v>74</v>
      </c>
      <c r="D246" t="s">
        <v>74</v>
      </c>
      <c r="E246" t="s">
        <v>74</v>
      </c>
      <c r="F246" t="s">
        <v>6217</v>
      </c>
      <c r="G246" t="s">
        <v>74</v>
      </c>
      <c r="H246" t="s">
        <v>74</v>
      </c>
      <c r="I246" t="s">
        <v>6218</v>
      </c>
      <c r="J246" t="s">
        <v>312</v>
      </c>
      <c r="K246" t="s">
        <v>74</v>
      </c>
      <c r="L246" t="s">
        <v>74</v>
      </c>
      <c r="M246" t="s">
        <v>74</v>
      </c>
      <c r="N246" t="s">
        <v>74</v>
      </c>
      <c r="O246" t="s">
        <v>74</v>
      </c>
      <c r="P246" t="s">
        <v>74</v>
      </c>
      <c r="Q246" t="s">
        <v>74</v>
      </c>
      <c r="R246" t="s">
        <v>74</v>
      </c>
      <c r="S246" t="s">
        <v>74</v>
      </c>
      <c r="T246" t="s">
        <v>74</v>
      </c>
      <c r="U246" t="s">
        <v>74</v>
      </c>
      <c r="V246" s="3" t="s">
        <v>6219</v>
      </c>
      <c r="W246" t="s">
        <v>74</v>
      </c>
      <c r="X246" t="s">
        <v>74</v>
      </c>
      <c r="Y246" t="s">
        <v>74</v>
      </c>
      <c r="Z246" t="s">
        <v>74</v>
      </c>
      <c r="AA246" t="s">
        <v>6220</v>
      </c>
      <c r="AB246" t="s">
        <v>6221</v>
      </c>
      <c r="AC246" t="s">
        <v>74</v>
      </c>
      <c r="AD246" t="s">
        <v>74</v>
      </c>
      <c r="AE246" t="s">
        <v>74</v>
      </c>
      <c r="AF246" t="s">
        <v>74</v>
      </c>
      <c r="AG246" t="s">
        <v>74</v>
      </c>
      <c r="AH246" t="s">
        <v>74</v>
      </c>
      <c r="AI246" t="s">
        <v>74</v>
      </c>
      <c r="AJ246" t="s">
        <v>74</v>
      </c>
      <c r="AK246" t="s">
        <v>74</v>
      </c>
      <c r="AL246" t="s">
        <v>74</v>
      </c>
      <c r="AM246" t="s">
        <v>74</v>
      </c>
      <c r="AN246" t="s">
        <v>74</v>
      </c>
      <c r="AO246" t="s">
        <v>314</v>
      </c>
      <c r="AP246" t="s">
        <v>315</v>
      </c>
      <c r="AQ246" t="s">
        <v>74</v>
      </c>
      <c r="AR246" t="s">
        <v>74</v>
      </c>
      <c r="AS246" t="s">
        <v>74</v>
      </c>
      <c r="AT246" t="s">
        <v>204</v>
      </c>
      <c r="AU246">
        <v>2001</v>
      </c>
      <c r="AV246">
        <v>158</v>
      </c>
      <c r="AW246">
        <v>1</v>
      </c>
      <c r="AX246" t="s">
        <v>74</v>
      </c>
      <c r="AY246" t="s">
        <v>74</v>
      </c>
      <c r="AZ246" t="s">
        <v>74</v>
      </c>
      <c r="BA246" t="s">
        <v>74</v>
      </c>
      <c r="BB246">
        <v>75</v>
      </c>
      <c r="BC246">
        <v>86</v>
      </c>
      <c r="BD246" t="s">
        <v>74</v>
      </c>
      <c r="BE246" t="s">
        <v>6222</v>
      </c>
      <c r="BF246" t="str">
        <f>HYPERLINK("http://dx.doi.org/10.1086/320861","http://dx.doi.org/10.1086/320861")</f>
        <v>http://dx.doi.org/10.1086/320861</v>
      </c>
      <c r="BG246" t="s">
        <v>74</v>
      </c>
      <c r="BH246" t="s">
        <v>74</v>
      </c>
      <c r="BI246" t="s">
        <v>74</v>
      </c>
      <c r="BJ246" t="s">
        <v>74</v>
      </c>
      <c r="BK246" t="s">
        <v>74</v>
      </c>
      <c r="BL246" t="s">
        <v>74</v>
      </c>
      <c r="BM246" t="s">
        <v>74</v>
      </c>
      <c r="BN246">
        <v>18707316</v>
      </c>
      <c r="BO246" t="s">
        <v>74</v>
      </c>
      <c r="BP246" t="s">
        <v>74</v>
      </c>
      <c r="BQ246" t="s">
        <v>74</v>
      </c>
      <c r="BR246" t="s">
        <v>74</v>
      </c>
      <c r="BS246" t="s">
        <v>6223</v>
      </c>
      <c r="BT246" t="str">
        <f>HYPERLINK("https%3A%2F%2Fwww.webofscience.com%2Fwos%2Fwoscc%2Ffull-record%2FWOS:000169198200006","View Full Record in Web of Science")</f>
        <v>View Full Record in Web of Science</v>
      </c>
    </row>
    <row r="247" spans="1:72" x14ac:dyDescent="0.4">
      <c r="A247" t="s">
        <v>72</v>
      </c>
      <c r="B247" t="s">
        <v>5785</v>
      </c>
      <c r="C247" t="s">
        <v>74</v>
      </c>
      <c r="D247" t="s">
        <v>74</v>
      </c>
      <c r="E247" t="s">
        <v>74</v>
      </c>
      <c r="F247" t="s">
        <v>5785</v>
      </c>
      <c r="G247" t="s">
        <v>74</v>
      </c>
      <c r="H247" t="s">
        <v>74</v>
      </c>
      <c r="I247" t="s">
        <v>5786</v>
      </c>
      <c r="J247" t="s">
        <v>431</v>
      </c>
      <c r="K247" t="s">
        <v>74</v>
      </c>
      <c r="L247" t="s">
        <v>74</v>
      </c>
      <c r="M247" t="s">
        <v>74</v>
      </c>
      <c r="N247" t="s">
        <v>74</v>
      </c>
      <c r="O247" t="s">
        <v>74</v>
      </c>
      <c r="P247" t="s">
        <v>74</v>
      </c>
      <c r="Q247" t="s">
        <v>74</v>
      </c>
      <c r="R247" t="s">
        <v>74</v>
      </c>
      <c r="S247" t="s">
        <v>74</v>
      </c>
      <c r="T247" t="s">
        <v>74</v>
      </c>
      <c r="U247" t="s">
        <v>74</v>
      </c>
      <c r="V247" s="3" t="s">
        <v>5787</v>
      </c>
      <c r="W247" t="s">
        <v>74</v>
      </c>
      <c r="X247" t="s">
        <v>74</v>
      </c>
      <c r="Y247" t="s">
        <v>74</v>
      </c>
      <c r="Z247" t="s">
        <v>74</v>
      </c>
      <c r="AA247" t="s">
        <v>74</v>
      </c>
      <c r="AB247" t="s">
        <v>74</v>
      </c>
      <c r="AC247" t="s">
        <v>74</v>
      </c>
      <c r="AD247" t="s">
        <v>74</v>
      </c>
      <c r="AE247" t="s">
        <v>74</v>
      </c>
      <c r="AF247" t="s">
        <v>74</v>
      </c>
      <c r="AG247" t="s">
        <v>74</v>
      </c>
      <c r="AH247" t="s">
        <v>74</v>
      </c>
      <c r="AI247" t="s">
        <v>74</v>
      </c>
      <c r="AJ247" t="s">
        <v>74</v>
      </c>
      <c r="AK247" t="s">
        <v>74</v>
      </c>
      <c r="AL247" t="s">
        <v>74</v>
      </c>
      <c r="AM247" t="s">
        <v>74</v>
      </c>
      <c r="AN247" t="s">
        <v>74</v>
      </c>
      <c r="AO247" t="s">
        <v>1458</v>
      </c>
      <c r="AP247" t="s">
        <v>435</v>
      </c>
      <c r="AQ247" t="s">
        <v>74</v>
      </c>
      <c r="AR247" t="s">
        <v>74</v>
      </c>
      <c r="AS247" t="s">
        <v>74</v>
      </c>
      <c r="AT247" t="s">
        <v>175</v>
      </c>
      <c r="AU247">
        <v>1996</v>
      </c>
      <c r="AV247">
        <v>113</v>
      </c>
      <c r="AW247">
        <v>4</v>
      </c>
      <c r="AX247" t="s">
        <v>74</v>
      </c>
      <c r="AY247" t="s">
        <v>74</v>
      </c>
      <c r="AZ247" t="s">
        <v>74</v>
      </c>
      <c r="BA247" t="s">
        <v>74</v>
      </c>
      <c r="BB247">
        <v>849</v>
      </c>
      <c r="BC247">
        <v>857</v>
      </c>
      <c r="BD247" t="s">
        <v>74</v>
      </c>
      <c r="BE247" t="s">
        <v>5788</v>
      </c>
      <c r="BF247" t="str">
        <f>HYPERLINK("http://dx.doi.org/10.2307/4088863","http://dx.doi.org/10.2307/4088863")</f>
        <v>http://dx.doi.org/10.2307/4088863</v>
      </c>
      <c r="BG247" t="s">
        <v>74</v>
      </c>
      <c r="BH247" t="s">
        <v>74</v>
      </c>
      <c r="BI247" t="s">
        <v>74</v>
      </c>
      <c r="BJ247" t="s">
        <v>74</v>
      </c>
      <c r="BK247" t="s">
        <v>74</v>
      </c>
      <c r="BL247" t="s">
        <v>74</v>
      </c>
      <c r="BM247" t="s">
        <v>74</v>
      </c>
      <c r="BN247" t="s">
        <v>74</v>
      </c>
      <c r="BO247" t="s">
        <v>74</v>
      </c>
      <c r="BP247" t="s">
        <v>74</v>
      </c>
      <c r="BQ247" t="s">
        <v>74</v>
      </c>
      <c r="BR247" t="s">
        <v>74</v>
      </c>
      <c r="BS247" t="s">
        <v>5789</v>
      </c>
      <c r="BT247" t="str">
        <f>HYPERLINK("https%3A%2F%2Fwww.webofscience.com%2Fwos%2Fwoscc%2Ffull-record%2FWOS:A1996VN96300011","View Full Record in Web of Science")</f>
        <v>View Full Record in Web of Science</v>
      </c>
    </row>
    <row r="248" spans="1:72" x14ac:dyDescent="0.4">
      <c r="A248" t="s">
        <v>72</v>
      </c>
      <c r="B248" t="s">
        <v>6259</v>
      </c>
      <c r="C248" t="s">
        <v>74</v>
      </c>
      <c r="D248" t="s">
        <v>74</v>
      </c>
      <c r="E248" t="s">
        <v>74</v>
      </c>
      <c r="F248" t="s">
        <v>6260</v>
      </c>
      <c r="G248" t="s">
        <v>74</v>
      </c>
      <c r="H248" t="s">
        <v>74</v>
      </c>
      <c r="I248" t="s">
        <v>6261</v>
      </c>
      <c r="J248" t="s">
        <v>6262</v>
      </c>
      <c r="K248" t="s">
        <v>74</v>
      </c>
      <c r="L248" t="s">
        <v>74</v>
      </c>
      <c r="M248" t="s">
        <v>74</v>
      </c>
      <c r="N248" t="s">
        <v>74</v>
      </c>
      <c r="O248" t="s">
        <v>74</v>
      </c>
      <c r="P248" t="s">
        <v>74</v>
      </c>
      <c r="Q248" t="s">
        <v>74</v>
      </c>
      <c r="R248" t="s">
        <v>74</v>
      </c>
      <c r="S248" t="s">
        <v>74</v>
      </c>
      <c r="T248" t="s">
        <v>74</v>
      </c>
      <c r="U248" t="s">
        <v>74</v>
      </c>
      <c r="V248" s="3" t="s">
        <v>6263</v>
      </c>
      <c r="W248" t="s">
        <v>74</v>
      </c>
      <c r="X248" t="s">
        <v>74</v>
      </c>
      <c r="Y248" t="s">
        <v>74</v>
      </c>
      <c r="Z248" t="s">
        <v>74</v>
      </c>
      <c r="AA248" t="s">
        <v>6264</v>
      </c>
      <c r="AB248" t="s">
        <v>6265</v>
      </c>
      <c r="AC248" t="s">
        <v>74</v>
      </c>
      <c r="AD248" t="s">
        <v>74</v>
      </c>
      <c r="AE248" t="s">
        <v>74</v>
      </c>
      <c r="AF248" t="s">
        <v>74</v>
      </c>
      <c r="AG248" t="s">
        <v>74</v>
      </c>
      <c r="AH248" t="s">
        <v>74</v>
      </c>
      <c r="AI248" t="s">
        <v>74</v>
      </c>
      <c r="AJ248" t="s">
        <v>74</v>
      </c>
      <c r="AK248" t="s">
        <v>74</v>
      </c>
      <c r="AL248" t="s">
        <v>74</v>
      </c>
      <c r="AM248" t="s">
        <v>74</v>
      </c>
      <c r="AN248" t="s">
        <v>74</v>
      </c>
      <c r="AO248" t="s">
        <v>6266</v>
      </c>
      <c r="AP248" t="s">
        <v>74</v>
      </c>
      <c r="AQ248" t="s">
        <v>74</v>
      </c>
      <c r="AR248" t="s">
        <v>74</v>
      </c>
      <c r="AS248" t="s">
        <v>74</v>
      </c>
      <c r="AT248" t="s">
        <v>305</v>
      </c>
      <c r="AU248">
        <v>2006</v>
      </c>
      <c r="AV248">
        <v>29</v>
      </c>
      <c r="AW248">
        <v>6</v>
      </c>
      <c r="AX248" t="s">
        <v>74</v>
      </c>
      <c r="AY248" t="s">
        <v>74</v>
      </c>
      <c r="AZ248" t="s">
        <v>74</v>
      </c>
      <c r="BA248" t="s">
        <v>74</v>
      </c>
      <c r="BB248">
        <v>886</v>
      </c>
      <c r="BC248">
        <v>898</v>
      </c>
      <c r="BD248" t="s">
        <v>74</v>
      </c>
      <c r="BE248" t="s">
        <v>6267</v>
      </c>
      <c r="BF248" t="str">
        <f>HYPERLINK("http://dx.doi.org/10.1111/j.2006.0906-7590.04816.x","http://dx.doi.org/10.1111/j.2006.0906-7590.04816.x")</f>
        <v>http://dx.doi.org/10.1111/j.2006.0906-7590.04816.x</v>
      </c>
      <c r="BG248" t="s">
        <v>74</v>
      </c>
      <c r="BH248" t="s">
        <v>74</v>
      </c>
      <c r="BI248" t="s">
        <v>74</v>
      </c>
      <c r="BJ248" t="s">
        <v>74</v>
      </c>
      <c r="BK248" t="s">
        <v>74</v>
      </c>
      <c r="BL248" t="s">
        <v>74</v>
      </c>
      <c r="BM248" t="s">
        <v>74</v>
      </c>
      <c r="BN248" t="s">
        <v>74</v>
      </c>
      <c r="BO248" t="s">
        <v>74</v>
      </c>
      <c r="BP248" t="s">
        <v>74</v>
      </c>
      <c r="BQ248" t="s">
        <v>74</v>
      </c>
      <c r="BR248" t="s">
        <v>74</v>
      </c>
      <c r="BS248" t="s">
        <v>6268</v>
      </c>
      <c r="BT248" t="str">
        <f>HYPERLINK("https%3A%2F%2Fwww.webofscience.com%2Fwos%2Fwoscc%2Ffull-record%2FWOS:000243634500010","View Full Record in Web of Science")</f>
        <v>View Full Record in Web of Science</v>
      </c>
    </row>
    <row r="249" spans="1:72" x14ac:dyDescent="0.4">
      <c r="A249" t="s">
        <v>72</v>
      </c>
      <c r="B249" t="s">
        <v>6781</v>
      </c>
      <c r="C249" t="s">
        <v>74</v>
      </c>
      <c r="D249" t="s">
        <v>74</v>
      </c>
      <c r="E249" t="s">
        <v>74</v>
      </c>
      <c r="F249" t="s">
        <v>6782</v>
      </c>
      <c r="G249" t="s">
        <v>74</v>
      </c>
      <c r="H249" t="s">
        <v>74</v>
      </c>
      <c r="I249" t="s">
        <v>6783</v>
      </c>
      <c r="J249" t="s">
        <v>367</v>
      </c>
      <c r="K249" t="s">
        <v>74</v>
      </c>
      <c r="L249" t="s">
        <v>74</v>
      </c>
      <c r="M249" t="s">
        <v>74</v>
      </c>
      <c r="N249" t="s">
        <v>74</v>
      </c>
      <c r="O249" t="s">
        <v>74</v>
      </c>
      <c r="P249" t="s">
        <v>74</v>
      </c>
      <c r="Q249" t="s">
        <v>74</v>
      </c>
      <c r="R249" t="s">
        <v>74</v>
      </c>
      <c r="S249" t="s">
        <v>74</v>
      </c>
      <c r="T249" t="s">
        <v>74</v>
      </c>
      <c r="U249" t="s">
        <v>74</v>
      </c>
      <c r="V249" s="3" t="s">
        <v>6784</v>
      </c>
      <c r="W249" t="s">
        <v>74</v>
      </c>
      <c r="X249" t="s">
        <v>74</v>
      </c>
      <c r="Y249" t="s">
        <v>74</v>
      </c>
      <c r="Z249" t="s">
        <v>74</v>
      </c>
      <c r="AA249" t="s">
        <v>6785</v>
      </c>
      <c r="AB249" t="s">
        <v>6786</v>
      </c>
      <c r="AC249" t="s">
        <v>74</v>
      </c>
      <c r="AD249" t="s">
        <v>74</v>
      </c>
      <c r="AE249" t="s">
        <v>74</v>
      </c>
      <c r="AF249" t="s">
        <v>74</v>
      </c>
      <c r="AG249" t="s">
        <v>74</v>
      </c>
      <c r="AH249" t="s">
        <v>74</v>
      </c>
      <c r="AI249" t="s">
        <v>74</v>
      </c>
      <c r="AJ249" t="s">
        <v>74</v>
      </c>
      <c r="AK249" t="s">
        <v>74</v>
      </c>
      <c r="AL249" t="s">
        <v>74</v>
      </c>
      <c r="AM249" t="s">
        <v>74</v>
      </c>
      <c r="AN249" t="s">
        <v>74</v>
      </c>
      <c r="AO249" t="s">
        <v>371</v>
      </c>
      <c r="AP249" t="s">
        <v>372</v>
      </c>
      <c r="AQ249" t="s">
        <v>74</v>
      </c>
      <c r="AR249" t="s">
        <v>74</v>
      </c>
      <c r="AS249" t="s">
        <v>74</v>
      </c>
      <c r="AT249" t="s">
        <v>134</v>
      </c>
      <c r="AU249">
        <v>2019</v>
      </c>
      <c r="AV249">
        <v>133</v>
      </c>
      <c r="AW249">
        <v>2</v>
      </c>
      <c r="AX249" t="s">
        <v>74</v>
      </c>
      <c r="AY249" t="s">
        <v>74</v>
      </c>
      <c r="AZ249" t="s">
        <v>74</v>
      </c>
      <c r="BA249" t="s">
        <v>74</v>
      </c>
      <c r="BB249">
        <v>262</v>
      </c>
      <c r="BC249">
        <v>271</v>
      </c>
      <c r="BD249" t="s">
        <v>74</v>
      </c>
      <c r="BE249" t="s">
        <v>6787</v>
      </c>
      <c r="BF249" t="str">
        <f>HYPERLINK("http://dx.doi.org/10.1037/com0000148","http://dx.doi.org/10.1037/com0000148")</f>
        <v>http://dx.doi.org/10.1037/com0000148</v>
      </c>
      <c r="BG249" t="s">
        <v>74</v>
      </c>
      <c r="BH249" t="s">
        <v>74</v>
      </c>
      <c r="BI249" t="s">
        <v>74</v>
      </c>
      <c r="BJ249" t="s">
        <v>74</v>
      </c>
      <c r="BK249" t="s">
        <v>74</v>
      </c>
      <c r="BL249" t="s">
        <v>74</v>
      </c>
      <c r="BM249" t="s">
        <v>74</v>
      </c>
      <c r="BN249">
        <v>30550303</v>
      </c>
      <c r="BO249" t="s">
        <v>74</v>
      </c>
      <c r="BP249" t="s">
        <v>74</v>
      </c>
      <c r="BQ249" t="s">
        <v>74</v>
      </c>
      <c r="BR249" t="s">
        <v>74</v>
      </c>
      <c r="BS249" t="s">
        <v>6788</v>
      </c>
      <c r="BT249" t="str">
        <f>HYPERLINK("https%3A%2F%2Fwww.webofscience.com%2Fwos%2Fwoscc%2Ffull-record%2FWOS:000467403500013","View Full Record in Web of Science")</f>
        <v>View Full Record in Web of Science</v>
      </c>
    </row>
    <row r="250" spans="1:72" x14ac:dyDescent="0.4">
      <c r="A250" t="s">
        <v>72</v>
      </c>
      <c r="B250" t="s">
        <v>8126</v>
      </c>
      <c r="C250" t="s">
        <v>74</v>
      </c>
      <c r="D250" t="s">
        <v>74</v>
      </c>
      <c r="E250" t="s">
        <v>74</v>
      </c>
      <c r="F250" t="s">
        <v>8127</v>
      </c>
      <c r="G250" t="s">
        <v>74</v>
      </c>
      <c r="H250" t="s">
        <v>74</v>
      </c>
      <c r="I250" t="s">
        <v>8128</v>
      </c>
      <c r="J250" t="s">
        <v>8129</v>
      </c>
      <c r="K250" t="s">
        <v>74</v>
      </c>
      <c r="L250" t="s">
        <v>74</v>
      </c>
      <c r="M250" t="s">
        <v>74</v>
      </c>
      <c r="N250" t="s">
        <v>74</v>
      </c>
      <c r="O250" t="s">
        <v>74</v>
      </c>
      <c r="P250" t="s">
        <v>74</v>
      </c>
      <c r="Q250" t="s">
        <v>74</v>
      </c>
      <c r="R250" t="s">
        <v>74</v>
      </c>
      <c r="S250" t="s">
        <v>74</v>
      </c>
      <c r="T250" t="s">
        <v>74</v>
      </c>
      <c r="U250" t="s">
        <v>74</v>
      </c>
      <c r="V250" s="3" t="s">
        <v>8130</v>
      </c>
      <c r="W250" t="s">
        <v>74</v>
      </c>
      <c r="X250" t="s">
        <v>74</v>
      </c>
      <c r="Y250" t="s">
        <v>74</v>
      </c>
      <c r="Z250" t="s">
        <v>74</v>
      </c>
      <c r="AA250" t="s">
        <v>74</v>
      </c>
      <c r="AB250" t="s">
        <v>74</v>
      </c>
      <c r="AC250" t="s">
        <v>74</v>
      </c>
      <c r="AD250" t="s">
        <v>74</v>
      </c>
      <c r="AE250" t="s">
        <v>74</v>
      </c>
      <c r="AF250" t="s">
        <v>74</v>
      </c>
      <c r="AG250" t="s">
        <v>74</v>
      </c>
      <c r="AH250" t="s">
        <v>74</v>
      </c>
      <c r="AI250" t="s">
        <v>74</v>
      </c>
      <c r="AJ250" t="s">
        <v>74</v>
      </c>
      <c r="AK250" t="s">
        <v>74</v>
      </c>
      <c r="AL250" t="s">
        <v>74</v>
      </c>
      <c r="AM250" t="s">
        <v>74</v>
      </c>
      <c r="AN250" t="s">
        <v>74</v>
      </c>
      <c r="AO250" t="s">
        <v>8131</v>
      </c>
      <c r="AP250" t="s">
        <v>8132</v>
      </c>
      <c r="AQ250" t="s">
        <v>74</v>
      </c>
      <c r="AR250" t="s">
        <v>74</v>
      </c>
      <c r="AS250" t="s">
        <v>74</v>
      </c>
      <c r="AT250" t="s">
        <v>964</v>
      </c>
      <c r="AU250">
        <v>2020</v>
      </c>
      <c r="AV250">
        <v>22</v>
      </c>
      <c r="AW250">
        <v>2</v>
      </c>
      <c r="AX250" t="s">
        <v>74</v>
      </c>
      <c r="AY250" t="s">
        <v>74</v>
      </c>
      <c r="AZ250" t="s">
        <v>74</v>
      </c>
      <c r="BA250" t="s">
        <v>74</v>
      </c>
      <c r="BB250">
        <v>783</v>
      </c>
      <c r="BC250">
        <v>797</v>
      </c>
      <c r="BD250" t="s">
        <v>74</v>
      </c>
      <c r="BE250" t="s">
        <v>8133</v>
      </c>
      <c r="BF250" t="str">
        <f>HYPERLINK("http://dx.doi.org/10.1007/s10530-019-02130-6","http://dx.doi.org/10.1007/s10530-019-02130-6")</f>
        <v>http://dx.doi.org/10.1007/s10530-019-02130-6</v>
      </c>
      <c r="BG250" t="s">
        <v>74</v>
      </c>
      <c r="BH250" t="s">
        <v>2283</v>
      </c>
      <c r="BI250" t="s">
        <v>74</v>
      </c>
      <c r="BJ250" t="s">
        <v>74</v>
      </c>
      <c r="BK250" t="s">
        <v>74</v>
      </c>
      <c r="BL250" t="s">
        <v>74</v>
      </c>
      <c r="BM250" t="s">
        <v>74</v>
      </c>
      <c r="BN250" t="s">
        <v>74</v>
      </c>
      <c r="BO250" t="s">
        <v>74</v>
      </c>
      <c r="BP250" t="s">
        <v>74</v>
      </c>
      <c r="BQ250" t="s">
        <v>74</v>
      </c>
      <c r="BR250" t="s">
        <v>74</v>
      </c>
      <c r="BS250" t="s">
        <v>8134</v>
      </c>
      <c r="BT250" t="str">
        <f>HYPERLINK("https%3A%2F%2Fwww.webofscience.com%2Fwos%2Fwoscc%2Ffull-record%2FWOS:000498741600005","View Full Record in Web of Science")</f>
        <v>View Full Record in Web of Science</v>
      </c>
    </row>
    <row r="251" spans="1:72" x14ac:dyDescent="0.4">
      <c r="A251" t="s">
        <v>72</v>
      </c>
      <c r="B251" t="s">
        <v>4453</v>
      </c>
      <c r="C251" t="s">
        <v>74</v>
      </c>
      <c r="D251" t="s">
        <v>74</v>
      </c>
      <c r="E251" t="s">
        <v>74</v>
      </c>
      <c r="F251" t="s">
        <v>4454</v>
      </c>
      <c r="G251" t="s">
        <v>74</v>
      </c>
      <c r="H251" t="s">
        <v>74</v>
      </c>
      <c r="I251" t="s">
        <v>4455</v>
      </c>
      <c r="J251" t="s">
        <v>4456</v>
      </c>
      <c r="K251" t="s">
        <v>74</v>
      </c>
      <c r="L251" t="s">
        <v>74</v>
      </c>
      <c r="M251" t="s">
        <v>74</v>
      </c>
      <c r="N251" t="s">
        <v>74</v>
      </c>
      <c r="O251" t="s">
        <v>74</v>
      </c>
      <c r="P251" t="s">
        <v>74</v>
      </c>
      <c r="Q251" t="s">
        <v>74</v>
      </c>
      <c r="R251" t="s">
        <v>74</v>
      </c>
      <c r="S251" t="s">
        <v>74</v>
      </c>
      <c r="T251" t="s">
        <v>74</v>
      </c>
      <c r="U251" t="s">
        <v>74</v>
      </c>
      <c r="V251" s="3" t="s">
        <v>4457</v>
      </c>
      <c r="W251" t="s">
        <v>74</v>
      </c>
      <c r="X251" t="s">
        <v>74</v>
      </c>
      <c r="Y251" t="s">
        <v>74</v>
      </c>
      <c r="Z251" t="s">
        <v>74</v>
      </c>
      <c r="AA251" t="s">
        <v>4458</v>
      </c>
      <c r="AB251" t="s">
        <v>4459</v>
      </c>
      <c r="AC251" t="s">
        <v>74</v>
      </c>
      <c r="AD251" t="s">
        <v>74</v>
      </c>
      <c r="AE251" t="s">
        <v>74</v>
      </c>
      <c r="AF251" t="s">
        <v>74</v>
      </c>
      <c r="AG251" t="s">
        <v>74</v>
      </c>
      <c r="AH251" t="s">
        <v>74</v>
      </c>
      <c r="AI251" t="s">
        <v>74</v>
      </c>
      <c r="AJ251" t="s">
        <v>74</v>
      </c>
      <c r="AK251" t="s">
        <v>74</v>
      </c>
      <c r="AL251" t="s">
        <v>74</v>
      </c>
      <c r="AM251" t="s">
        <v>74</v>
      </c>
      <c r="AN251" t="s">
        <v>74</v>
      </c>
      <c r="AO251" t="s">
        <v>4460</v>
      </c>
      <c r="AP251" t="s">
        <v>4461</v>
      </c>
      <c r="AQ251" t="s">
        <v>74</v>
      </c>
      <c r="AR251" t="s">
        <v>74</v>
      </c>
      <c r="AS251" t="s">
        <v>74</v>
      </c>
      <c r="AT251" t="s">
        <v>3445</v>
      </c>
      <c r="AU251">
        <v>2011</v>
      </c>
      <c r="AV251">
        <v>239</v>
      </c>
      <c r="AW251">
        <v>6</v>
      </c>
      <c r="AX251" t="s">
        <v>74</v>
      </c>
      <c r="AY251" t="s">
        <v>74</v>
      </c>
      <c r="AZ251" t="s">
        <v>74</v>
      </c>
      <c r="BA251" t="s">
        <v>74</v>
      </c>
      <c r="BB251">
        <v>796</v>
      </c>
      <c r="BC251">
        <v>801</v>
      </c>
      <c r="BD251" t="s">
        <v>74</v>
      </c>
      <c r="BE251" t="s">
        <v>74</v>
      </c>
      <c r="BF251" t="s">
        <v>74</v>
      </c>
      <c r="BG251" t="s">
        <v>74</v>
      </c>
      <c r="BH251" t="s">
        <v>74</v>
      </c>
      <c r="BI251" t="s">
        <v>74</v>
      </c>
      <c r="BJ251" t="s">
        <v>74</v>
      </c>
      <c r="BK251" t="s">
        <v>74</v>
      </c>
      <c r="BL251" t="s">
        <v>74</v>
      </c>
      <c r="BM251" t="s">
        <v>74</v>
      </c>
      <c r="BN251">
        <v>21916762</v>
      </c>
      <c r="BO251" t="s">
        <v>74</v>
      </c>
      <c r="BP251" t="s">
        <v>74</v>
      </c>
      <c r="BQ251" t="s">
        <v>74</v>
      </c>
      <c r="BR251" t="s">
        <v>74</v>
      </c>
      <c r="BS251" t="s">
        <v>4462</v>
      </c>
      <c r="BT251" t="str">
        <f>HYPERLINK("https%3A%2F%2Fwww.webofscience.com%2Fwos%2Fwoscc%2Ffull-record%2FWOS:000294792100008","View Full Record in Web of Science")</f>
        <v>View Full Record in Web of Science</v>
      </c>
    </row>
    <row r="252" spans="1:72" x14ac:dyDescent="0.4">
      <c r="A252" t="s">
        <v>72</v>
      </c>
      <c r="B252" t="s">
        <v>7609</v>
      </c>
      <c r="C252" t="s">
        <v>74</v>
      </c>
      <c r="D252" t="s">
        <v>74</v>
      </c>
      <c r="E252" t="s">
        <v>74</v>
      </c>
      <c r="F252" t="s">
        <v>7610</v>
      </c>
      <c r="G252" t="s">
        <v>74</v>
      </c>
      <c r="H252" t="s">
        <v>74</v>
      </c>
      <c r="I252" t="s">
        <v>7611</v>
      </c>
      <c r="J252" t="s">
        <v>7612</v>
      </c>
      <c r="K252" t="s">
        <v>74</v>
      </c>
      <c r="L252" t="s">
        <v>74</v>
      </c>
      <c r="M252" t="s">
        <v>74</v>
      </c>
      <c r="N252" t="s">
        <v>74</v>
      </c>
      <c r="O252" t="s">
        <v>74</v>
      </c>
      <c r="P252" t="s">
        <v>74</v>
      </c>
      <c r="Q252" t="s">
        <v>74</v>
      </c>
      <c r="R252" t="s">
        <v>74</v>
      </c>
      <c r="S252" t="s">
        <v>74</v>
      </c>
      <c r="T252" t="s">
        <v>74</v>
      </c>
      <c r="U252" t="s">
        <v>74</v>
      </c>
      <c r="V252" s="3" t="s">
        <v>7613</v>
      </c>
      <c r="W252" t="s">
        <v>74</v>
      </c>
      <c r="X252" t="s">
        <v>74</v>
      </c>
      <c r="Y252" t="s">
        <v>74</v>
      </c>
      <c r="Z252" t="s">
        <v>74</v>
      </c>
      <c r="AA252" t="s">
        <v>74</v>
      </c>
      <c r="AB252" t="s">
        <v>7614</v>
      </c>
      <c r="AC252" t="s">
        <v>74</v>
      </c>
      <c r="AD252" t="s">
        <v>74</v>
      </c>
      <c r="AE252" t="s">
        <v>74</v>
      </c>
      <c r="AF252" t="s">
        <v>74</v>
      </c>
      <c r="AG252" t="s">
        <v>74</v>
      </c>
      <c r="AH252" t="s">
        <v>74</v>
      </c>
      <c r="AI252" t="s">
        <v>74</v>
      </c>
      <c r="AJ252" t="s">
        <v>74</v>
      </c>
      <c r="AK252" t="s">
        <v>74</v>
      </c>
      <c r="AL252" t="s">
        <v>74</v>
      </c>
      <c r="AM252" t="s">
        <v>74</v>
      </c>
      <c r="AN252" t="s">
        <v>74</v>
      </c>
      <c r="AO252" t="s">
        <v>7615</v>
      </c>
      <c r="AP252" t="s">
        <v>7616</v>
      </c>
      <c r="AQ252" t="s">
        <v>74</v>
      </c>
      <c r="AR252" t="s">
        <v>74</v>
      </c>
      <c r="AS252" t="s">
        <v>74</v>
      </c>
      <c r="AT252" t="s">
        <v>305</v>
      </c>
      <c r="AU252">
        <v>2019</v>
      </c>
      <c r="AV252">
        <v>35</v>
      </c>
      <c r="AW252">
        <v>6</v>
      </c>
      <c r="AX252" t="s">
        <v>74</v>
      </c>
      <c r="AY252" t="s">
        <v>74</v>
      </c>
      <c r="AZ252" t="s">
        <v>74</v>
      </c>
      <c r="BA252" t="s">
        <v>74</v>
      </c>
      <c r="BB252">
        <v>1225</v>
      </c>
      <c r="BC252">
        <v>1233</v>
      </c>
      <c r="BD252" t="s">
        <v>74</v>
      </c>
      <c r="BE252" t="s">
        <v>7617</v>
      </c>
      <c r="BF252" t="str">
        <f>HYPERLINK("http://dx.doi.org/10.1111/jai.13982","http://dx.doi.org/10.1111/jai.13982")</f>
        <v>http://dx.doi.org/10.1111/jai.13982</v>
      </c>
      <c r="BG252" t="s">
        <v>74</v>
      </c>
      <c r="BH252" t="s">
        <v>74</v>
      </c>
      <c r="BI252" t="s">
        <v>74</v>
      </c>
      <c r="BJ252" t="s">
        <v>74</v>
      </c>
      <c r="BK252" t="s">
        <v>74</v>
      </c>
      <c r="BL252" t="s">
        <v>74</v>
      </c>
      <c r="BM252" t="s">
        <v>74</v>
      </c>
      <c r="BN252" t="s">
        <v>74</v>
      </c>
      <c r="BO252" t="s">
        <v>74</v>
      </c>
      <c r="BP252" t="s">
        <v>74</v>
      </c>
      <c r="BQ252" t="s">
        <v>74</v>
      </c>
      <c r="BR252" t="s">
        <v>74</v>
      </c>
      <c r="BS252" t="s">
        <v>7618</v>
      </c>
      <c r="BT252" t="str">
        <f>HYPERLINK("https%3A%2F%2Fwww.webofscience.com%2Fwos%2Fwoscc%2Ffull-record%2FWOS:000499266300006","View Full Record in Web of Science")</f>
        <v>View Full Record in Web of Science</v>
      </c>
    </row>
    <row r="253" spans="1:72" x14ac:dyDescent="0.4">
      <c r="A253" t="s">
        <v>72</v>
      </c>
      <c r="B253" t="s">
        <v>7643</v>
      </c>
      <c r="C253" t="s">
        <v>74</v>
      </c>
      <c r="D253" t="s">
        <v>74</v>
      </c>
      <c r="E253" t="s">
        <v>74</v>
      </c>
      <c r="F253" t="s">
        <v>7643</v>
      </c>
      <c r="G253" t="s">
        <v>74</v>
      </c>
      <c r="H253" t="s">
        <v>74</v>
      </c>
      <c r="I253" t="s">
        <v>7644</v>
      </c>
      <c r="J253" t="s">
        <v>431</v>
      </c>
      <c r="K253" t="s">
        <v>74</v>
      </c>
      <c r="L253" t="s">
        <v>74</v>
      </c>
      <c r="M253" t="s">
        <v>74</v>
      </c>
      <c r="N253" t="s">
        <v>74</v>
      </c>
      <c r="O253" t="s">
        <v>74</v>
      </c>
      <c r="P253" t="s">
        <v>74</v>
      </c>
      <c r="Q253" t="s">
        <v>74</v>
      </c>
      <c r="R253" t="s">
        <v>74</v>
      </c>
      <c r="S253" t="s">
        <v>74</v>
      </c>
      <c r="T253" t="s">
        <v>74</v>
      </c>
      <c r="U253" t="s">
        <v>74</v>
      </c>
      <c r="V253" s="3" t="s">
        <v>7645</v>
      </c>
      <c r="W253" t="s">
        <v>74</v>
      </c>
      <c r="X253" t="s">
        <v>74</v>
      </c>
      <c r="Y253" t="s">
        <v>74</v>
      </c>
      <c r="Z253" t="s">
        <v>74</v>
      </c>
      <c r="AA253" t="s">
        <v>74</v>
      </c>
      <c r="AB253" t="s">
        <v>74</v>
      </c>
      <c r="AC253" t="s">
        <v>74</v>
      </c>
      <c r="AD253" t="s">
        <v>74</v>
      </c>
      <c r="AE253" t="s">
        <v>74</v>
      </c>
      <c r="AF253" t="s">
        <v>74</v>
      </c>
      <c r="AG253" t="s">
        <v>74</v>
      </c>
      <c r="AH253" t="s">
        <v>74</v>
      </c>
      <c r="AI253" t="s">
        <v>74</v>
      </c>
      <c r="AJ253" t="s">
        <v>74</v>
      </c>
      <c r="AK253" t="s">
        <v>74</v>
      </c>
      <c r="AL253" t="s">
        <v>74</v>
      </c>
      <c r="AM253" t="s">
        <v>74</v>
      </c>
      <c r="AN253" t="s">
        <v>74</v>
      </c>
      <c r="AO253" t="s">
        <v>74</v>
      </c>
      <c r="AP253" t="s">
        <v>435</v>
      </c>
      <c r="AQ253" t="s">
        <v>74</v>
      </c>
      <c r="AR253" t="s">
        <v>74</v>
      </c>
      <c r="AS253" t="s">
        <v>74</v>
      </c>
      <c r="AT253" t="s">
        <v>74</v>
      </c>
      <c r="AU253">
        <v>1965</v>
      </c>
      <c r="AV253">
        <v>82</v>
      </c>
      <c r="AW253">
        <v>4</v>
      </c>
      <c r="AX253" t="s">
        <v>74</v>
      </c>
      <c r="AY253" t="s">
        <v>74</v>
      </c>
      <c r="AZ253" t="s">
        <v>74</v>
      </c>
      <c r="BA253" t="s">
        <v>74</v>
      </c>
      <c r="BB253">
        <v>537</v>
      </c>
      <c r="BC253" t="s">
        <v>726</v>
      </c>
      <c r="BD253" t="s">
        <v>74</v>
      </c>
      <c r="BE253" t="s">
        <v>7646</v>
      </c>
      <c r="BF253" t="str">
        <f>HYPERLINK("http://dx.doi.org/10.2307/4083220","http://dx.doi.org/10.2307/4083220")</f>
        <v>http://dx.doi.org/10.2307/4083220</v>
      </c>
      <c r="BG253" t="s">
        <v>74</v>
      </c>
      <c r="BH253" t="s">
        <v>74</v>
      </c>
      <c r="BI253" t="s">
        <v>74</v>
      </c>
      <c r="BJ253" t="s">
        <v>74</v>
      </c>
      <c r="BK253" t="s">
        <v>74</v>
      </c>
      <c r="BL253" t="s">
        <v>74</v>
      </c>
      <c r="BM253" t="s">
        <v>74</v>
      </c>
      <c r="BN253" t="s">
        <v>74</v>
      </c>
      <c r="BO253" t="s">
        <v>74</v>
      </c>
      <c r="BP253" t="s">
        <v>74</v>
      </c>
      <c r="BQ253" t="s">
        <v>74</v>
      </c>
      <c r="BR253" t="s">
        <v>74</v>
      </c>
      <c r="BS253" t="s">
        <v>7647</v>
      </c>
      <c r="BT253" t="str">
        <f>HYPERLINK("https%3A%2F%2Fwww.webofscience.com%2Fwos%2Fwoscc%2Ffull-record%2FWOS:A19657680200001","View Full Record in Web of Science")</f>
        <v>View Full Record in Web of Science</v>
      </c>
    </row>
    <row r="254" spans="1:72" x14ac:dyDescent="0.4">
      <c r="A254" t="s">
        <v>72</v>
      </c>
      <c r="B254" t="s">
        <v>1176</v>
      </c>
      <c r="C254" t="s">
        <v>74</v>
      </c>
      <c r="D254" t="s">
        <v>74</v>
      </c>
      <c r="E254" t="s">
        <v>74</v>
      </c>
      <c r="F254" t="s">
        <v>1176</v>
      </c>
      <c r="G254" t="s">
        <v>74</v>
      </c>
      <c r="H254" t="s">
        <v>74</v>
      </c>
      <c r="I254" t="s">
        <v>1177</v>
      </c>
      <c r="J254" t="s">
        <v>119</v>
      </c>
      <c r="K254" t="s">
        <v>74</v>
      </c>
      <c r="L254" t="s">
        <v>74</v>
      </c>
      <c r="M254" t="s">
        <v>74</v>
      </c>
      <c r="N254" t="s">
        <v>74</v>
      </c>
      <c r="O254" t="s">
        <v>74</v>
      </c>
      <c r="P254" t="s">
        <v>74</v>
      </c>
      <c r="Q254" t="s">
        <v>74</v>
      </c>
      <c r="R254" t="s">
        <v>74</v>
      </c>
      <c r="S254" t="s">
        <v>74</v>
      </c>
      <c r="T254" t="s">
        <v>74</v>
      </c>
      <c r="U254" t="s">
        <v>74</v>
      </c>
      <c r="V254" s="3" t="s">
        <v>1178</v>
      </c>
      <c r="W254" t="s">
        <v>74</v>
      </c>
      <c r="X254" t="s">
        <v>74</v>
      </c>
      <c r="Y254" t="s">
        <v>74</v>
      </c>
      <c r="Z254" t="s">
        <v>74</v>
      </c>
      <c r="AA254" t="s">
        <v>74</v>
      </c>
      <c r="AB254" t="s">
        <v>74</v>
      </c>
      <c r="AC254" t="s">
        <v>74</v>
      </c>
      <c r="AD254" t="s">
        <v>74</v>
      </c>
      <c r="AE254" t="s">
        <v>74</v>
      </c>
      <c r="AF254" t="s">
        <v>74</v>
      </c>
      <c r="AG254" t="s">
        <v>74</v>
      </c>
      <c r="AH254" t="s">
        <v>74</v>
      </c>
      <c r="AI254" t="s">
        <v>74</v>
      </c>
      <c r="AJ254" t="s">
        <v>74</v>
      </c>
      <c r="AK254" t="s">
        <v>74</v>
      </c>
      <c r="AL254" t="s">
        <v>74</v>
      </c>
      <c r="AM254" t="s">
        <v>74</v>
      </c>
      <c r="AN254" t="s">
        <v>74</v>
      </c>
      <c r="AO254" t="s">
        <v>121</v>
      </c>
      <c r="AP254" t="s">
        <v>74</v>
      </c>
      <c r="AQ254" t="s">
        <v>74</v>
      </c>
      <c r="AR254" t="s">
        <v>74</v>
      </c>
      <c r="AS254" t="s">
        <v>74</v>
      </c>
      <c r="AT254" t="s">
        <v>305</v>
      </c>
      <c r="AU254">
        <v>1993</v>
      </c>
      <c r="AV254">
        <v>30</v>
      </c>
      <c r="AW254">
        <v>3</v>
      </c>
      <c r="AX254" t="s">
        <v>74</v>
      </c>
      <c r="AY254" t="s">
        <v>74</v>
      </c>
      <c r="AZ254" t="s">
        <v>74</v>
      </c>
      <c r="BA254" t="s">
        <v>74</v>
      </c>
      <c r="BB254">
        <v>245</v>
      </c>
      <c r="BC254">
        <v>251</v>
      </c>
      <c r="BD254" t="s">
        <v>74</v>
      </c>
      <c r="BE254" t="s">
        <v>1179</v>
      </c>
      <c r="BF254" t="str">
        <f>HYPERLINK("http://dx.doi.org/10.1016/0376-6357(93)90136-F","http://dx.doi.org/10.1016/0376-6357(93)90136-F")</f>
        <v>http://dx.doi.org/10.1016/0376-6357(93)90136-F</v>
      </c>
      <c r="BG254" t="s">
        <v>74</v>
      </c>
      <c r="BH254" t="s">
        <v>74</v>
      </c>
      <c r="BI254" t="s">
        <v>74</v>
      </c>
      <c r="BJ254" t="s">
        <v>74</v>
      </c>
      <c r="BK254" t="s">
        <v>74</v>
      </c>
      <c r="BL254" t="s">
        <v>74</v>
      </c>
      <c r="BM254" t="s">
        <v>74</v>
      </c>
      <c r="BN254">
        <v>24896948</v>
      </c>
      <c r="BO254" t="s">
        <v>74</v>
      </c>
      <c r="BP254" t="s">
        <v>74</v>
      </c>
      <c r="BQ254" t="s">
        <v>74</v>
      </c>
      <c r="BR254" t="s">
        <v>74</v>
      </c>
      <c r="BS254" t="s">
        <v>1180</v>
      </c>
      <c r="BT254" t="str">
        <f>HYPERLINK("https%3A%2F%2Fwww.webofscience.com%2Fwos%2Fwoscc%2Ffull-record%2FWOS:A1993MR36400005","View Full Record in Web of Science")</f>
        <v>View Full Record in Web of Science</v>
      </c>
    </row>
    <row r="255" spans="1:72" x14ac:dyDescent="0.4">
      <c r="A255" t="s">
        <v>72</v>
      </c>
      <c r="B255" t="s">
        <v>4379</v>
      </c>
      <c r="C255" t="s">
        <v>74</v>
      </c>
      <c r="D255" t="s">
        <v>74</v>
      </c>
      <c r="E255" t="s">
        <v>74</v>
      </c>
      <c r="F255" t="s">
        <v>4379</v>
      </c>
      <c r="G255" t="s">
        <v>74</v>
      </c>
      <c r="H255" t="s">
        <v>74</v>
      </c>
      <c r="I255" t="s">
        <v>4380</v>
      </c>
      <c r="J255" t="s">
        <v>509</v>
      </c>
      <c r="K255" t="s">
        <v>74</v>
      </c>
      <c r="L255" t="s">
        <v>74</v>
      </c>
      <c r="M255" t="s">
        <v>74</v>
      </c>
      <c r="N255" t="s">
        <v>74</v>
      </c>
      <c r="O255" t="s">
        <v>74</v>
      </c>
      <c r="P255" t="s">
        <v>74</v>
      </c>
      <c r="Q255" t="s">
        <v>74</v>
      </c>
      <c r="R255" t="s">
        <v>74</v>
      </c>
      <c r="S255" t="s">
        <v>74</v>
      </c>
      <c r="T255" t="s">
        <v>74</v>
      </c>
      <c r="U255" t="s">
        <v>74</v>
      </c>
      <c r="V255" s="3" t="s">
        <v>4381</v>
      </c>
      <c r="W255" t="s">
        <v>74</v>
      </c>
      <c r="X255" t="s">
        <v>74</v>
      </c>
      <c r="Y255" t="s">
        <v>74</v>
      </c>
      <c r="Z255" t="s">
        <v>74</v>
      </c>
      <c r="AA255" t="s">
        <v>4382</v>
      </c>
      <c r="AB255" t="s">
        <v>4383</v>
      </c>
      <c r="AC255" t="s">
        <v>74</v>
      </c>
      <c r="AD255" t="s">
        <v>74</v>
      </c>
      <c r="AE255" t="s">
        <v>74</v>
      </c>
      <c r="AF255" t="s">
        <v>74</v>
      </c>
      <c r="AG255" t="s">
        <v>74</v>
      </c>
      <c r="AH255" t="s">
        <v>74</v>
      </c>
      <c r="AI255" t="s">
        <v>74</v>
      </c>
      <c r="AJ255" t="s">
        <v>74</v>
      </c>
      <c r="AK255" t="s">
        <v>74</v>
      </c>
      <c r="AL255" t="s">
        <v>74</v>
      </c>
      <c r="AM255" t="s">
        <v>74</v>
      </c>
      <c r="AN255" t="s">
        <v>74</v>
      </c>
      <c r="AO255" t="s">
        <v>511</v>
      </c>
      <c r="AP255" t="s">
        <v>512</v>
      </c>
      <c r="AQ255" t="s">
        <v>74</v>
      </c>
      <c r="AR255" t="s">
        <v>74</v>
      </c>
      <c r="AS255" t="s">
        <v>74</v>
      </c>
      <c r="AT255" t="s">
        <v>964</v>
      </c>
      <c r="AU255">
        <v>2006</v>
      </c>
      <c r="AV255">
        <v>49</v>
      </c>
      <c r="AW255">
        <v>2</v>
      </c>
      <c r="AX255" t="s">
        <v>74</v>
      </c>
      <c r="AY255" t="s">
        <v>74</v>
      </c>
      <c r="AZ255" t="s">
        <v>74</v>
      </c>
      <c r="BA255" t="s">
        <v>74</v>
      </c>
      <c r="BB255">
        <v>223</v>
      </c>
      <c r="BC255">
        <v>232</v>
      </c>
      <c r="BD255" t="s">
        <v>74</v>
      </c>
      <c r="BE255" t="s">
        <v>4384</v>
      </c>
      <c r="BF255" t="str">
        <f>HYPERLINK("http://dx.doi.org/10.1016/j.yhbeh.2005.07.006","http://dx.doi.org/10.1016/j.yhbeh.2005.07.006")</f>
        <v>http://dx.doi.org/10.1016/j.yhbeh.2005.07.006</v>
      </c>
      <c r="BG255" t="s">
        <v>74</v>
      </c>
      <c r="BH255" t="s">
        <v>74</v>
      </c>
      <c r="BI255" t="s">
        <v>74</v>
      </c>
      <c r="BJ255" t="s">
        <v>74</v>
      </c>
      <c r="BK255" t="s">
        <v>74</v>
      </c>
      <c r="BL255" t="s">
        <v>74</v>
      </c>
      <c r="BM255" t="s">
        <v>74</v>
      </c>
      <c r="BN255">
        <v>16085049</v>
      </c>
      <c r="BO255" t="s">
        <v>74</v>
      </c>
      <c r="BP255" t="s">
        <v>74</v>
      </c>
      <c r="BQ255" t="s">
        <v>74</v>
      </c>
      <c r="BR255" t="s">
        <v>74</v>
      </c>
      <c r="BS255" t="s">
        <v>4385</v>
      </c>
      <c r="BT255" t="str">
        <f>HYPERLINK("https%3A%2F%2Fwww.webofscience.com%2Fwos%2Fwoscc%2Ffull-record%2FWOS:000235502600013","View Full Record in Web of Science")</f>
        <v>View Full Record in Web of Science</v>
      </c>
    </row>
    <row r="256" spans="1:72" x14ac:dyDescent="0.4">
      <c r="A256" t="s">
        <v>72</v>
      </c>
      <c r="B256" t="s">
        <v>2786</v>
      </c>
      <c r="C256" t="s">
        <v>74</v>
      </c>
      <c r="D256" t="s">
        <v>74</v>
      </c>
      <c r="E256" t="s">
        <v>74</v>
      </c>
      <c r="F256" t="s">
        <v>2787</v>
      </c>
      <c r="G256" t="s">
        <v>74</v>
      </c>
      <c r="H256" t="s">
        <v>74</v>
      </c>
      <c r="I256" t="s">
        <v>2788</v>
      </c>
      <c r="J256" t="s">
        <v>842</v>
      </c>
      <c r="K256" t="s">
        <v>74</v>
      </c>
      <c r="L256" t="s">
        <v>74</v>
      </c>
      <c r="M256" t="s">
        <v>74</v>
      </c>
      <c r="N256" t="s">
        <v>74</v>
      </c>
      <c r="O256" t="s">
        <v>74</v>
      </c>
      <c r="P256" t="s">
        <v>74</v>
      </c>
      <c r="Q256" t="s">
        <v>74</v>
      </c>
      <c r="R256" t="s">
        <v>74</v>
      </c>
      <c r="S256" t="s">
        <v>74</v>
      </c>
      <c r="T256" t="s">
        <v>74</v>
      </c>
      <c r="U256" t="s">
        <v>74</v>
      </c>
      <c r="V256" s="3" t="s">
        <v>2789</v>
      </c>
      <c r="W256" t="s">
        <v>74</v>
      </c>
      <c r="X256" t="s">
        <v>74</v>
      </c>
      <c r="Y256" t="s">
        <v>74</v>
      </c>
      <c r="Z256" t="s">
        <v>74</v>
      </c>
      <c r="AA256" t="s">
        <v>2790</v>
      </c>
      <c r="AB256" t="s">
        <v>2791</v>
      </c>
      <c r="AC256" t="s">
        <v>74</v>
      </c>
      <c r="AD256" t="s">
        <v>74</v>
      </c>
      <c r="AE256" t="s">
        <v>74</v>
      </c>
      <c r="AF256" t="s">
        <v>74</v>
      </c>
      <c r="AG256" t="s">
        <v>74</v>
      </c>
      <c r="AH256" t="s">
        <v>74</v>
      </c>
      <c r="AI256" t="s">
        <v>74</v>
      </c>
      <c r="AJ256" t="s">
        <v>74</v>
      </c>
      <c r="AK256" t="s">
        <v>74</v>
      </c>
      <c r="AL256" t="s">
        <v>74</v>
      </c>
      <c r="AM256" t="s">
        <v>74</v>
      </c>
      <c r="AN256" t="s">
        <v>74</v>
      </c>
      <c r="AO256" t="s">
        <v>846</v>
      </c>
      <c r="AP256" t="s">
        <v>847</v>
      </c>
      <c r="AQ256" t="s">
        <v>74</v>
      </c>
      <c r="AR256" t="s">
        <v>74</v>
      </c>
      <c r="AS256" t="s">
        <v>74</v>
      </c>
      <c r="AT256" t="s">
        <v>305</v>
      </c>
      <c r="AU256">
        <v>2006</v>
      </c>
      <c r="AV256">
        <v>68</v>
      </c>
      <c r="AW256">
        <v>12</v>
      </c>
      <c r="AX256" t="s">
        <v>74</v>
      </c>
      <c r="AY256" t="s">
        <v>74</v>
      </c>
      <c r="AZ256" t="s">
        <v>74</v>
      </c>
      <c r="BA256" t="s">
        <v>74</v>
      </c>
      <c r="BB256">
        <v>1129</v>
      </c>
      <c r="BC256">
        <v>1137</v>
      </c>
      <c r="BD256" t="s">
        <v>74</v>
      </c>
      <c r="BE256" t="s">
        <v>2792</v>
      </c>
      <c r="BF256" t="str">
        <f>HYPERLINK("http://dx.doi.org/10.1002/ajp.20312","http://dx.doi.org/10.1002/ajp.20312")</f>
        <v>http://dx.doi.org/10.1002/ajp.20312</v>
      </c>
      <c r="BG256" t="s">
        <v>74</v>
      </c>
      <c r="BH256" t="s">
        <v>74</v>
      </c>
      <c r="BI256" t="s">
        <v>74</v>
      </c>
      <c r="BJ256" t="s">
        <v>74</v>
      </c>
      <c r="BK256" t="s">
        <v>74</v>
      </c>
      <c r="BL256" t="s">
        <v>74</v>
      </c>
      <c r="BM256" t="s">
        <v>74</v>
      </c>
      <c r="BN256">
        <v>17096422</v>
      </c>
      <c r="BO256" t="s">
        <v>74</v>
      </c>
      <c r="BP256" t="s">
        <v>74</v>
      </c>
      <c r="BQ256" t="s">
        <v>74</v>
      </c>
      <c r="BR256" t="s">
        <v>74</v>
      </c>
      <c r="BS256" t="s">
        <v>2793</v>
      </c>
      <c r="BT256" t="str">
        <f>HYPERLINK("https%3A%2F%2Fwww.webofscience.com%2Fwos%2Fwoscc%2Ffull-record%2FWOS:000242416400001","View Full Record in Web of Science")</f>
        <v>View Full Record in Web of Science</v>
      </c>
    </row>
    <row r="257" spans="1:72" x14ac:dyDescent="0.4">
      <c r="A257" t="s">
        <v>72</v>
      </c>
      <c r="B257" t="s">
        <v>6572</v>
      </c>
      <c r="C257" t="s">
        <v>74</v>
      </c>
      <c r="D257" t="s">
        <v>74</v>
      </c>
      <c r="E257" t="s">
        <v>74</v>
      </c>
      <c r="F257" t="s">
        <v>6573</v>
      </c>
      <c r="G257" t="s">
        <v>74</v>
      </c>
      <c r="H257" t="s">
        <v>74</v>
      </c>
      <c r="I257" t="s">
        <v>6574</v>
      </c>
      <c r="J257" t="s">
        <v>842</v>
      </c>
      <c r="K257" t="s">
        <v>74</v>
      </c>
      <c r="L257" t="s">
        <v>74</v>
      </c>
      <c r="M257" t="s">
        <v>74</v>
      </c>
      <c r="N257" t="s">
        <v>74</v>
      </c>
      <c r="O257" t="s">
        <v>74</v>
      </c>
      <c r="P257" t="s">
        <v>74</v>
      </c>
      <c r="Q257" t="s">
        <v>74</v>
      </c>
      <c r="R257" t="s">
        <v>74</v>
      </c>
      <c r="S257" t="s">
        <v>74</v>
      </c>
      <c r="T257" t="s">
        <v>74</v>
      </c>
      <c r="U257" t="s">
        <v>74</v>
      </c>
      <c r="V257" s="3" t="s">
        <v>6575</v>
      </c>
      <c r="W257" t="s">
        <v>74</v>
      </c>
      <c r="X257" t="s">
        <v>74</v>
      </c>
      <c r="Y257" t="s">
        <v>74</v>
      </c>
      <c r="Z257" t="s">
        <v>74</v>
      </c>
      <c r="AA257" t="s">
        <v>6576</v>
      </c>
      <c r="AB257" t="s">
        <v>6577</v>
      </c>
      <c r="AC257" t="s">
        <v>74</v>
      </c>
      <c r="AD257" t="s">
        <v>74</v>
      </c>
      <c r="AE257" t="s">
        <v>74</v>
      </c>
      <c r="AF257" t="s">
        <v>74</v>
      </c>
      <c r="AG257" t="s">
        <v>74</v>
      </c>
      <c r="AH257" t="s">
        <v>74</v>
      </c>
      <c r="AI257" t="s">
        <v>74</v>
      </c>
      <c r="AJ257" t="s">
        <v>74</v>
      </c>
      <c r="AK257" t="s">
        <v>74</v>
      </c>
      <c r="AL257" t="s">
        <v>74</v>
      </c>
      <c r="AM257" t="s">
        <v>74</v>
      </c>
      <c r="AN257" t="s">
        <v>74</v>
      </c>
      <c r="AO257" t="s">
        <v>846</v>
      </c>
      <c r="AP257" t="s">
        <v>847</v>
      </c>
      <c r="AQ257" t="s">
        <v>74</v>
      </c>
      <c r="AR257" t="s">
        <v>74</v>
      </c>
      <c r="AS257" t="s">
        <v>74</v>
      </c>
      <c r="AT257" t="s">
        <v>213</v>
      </c>
      <c r="AU257">
        <v>2013</v>
      </c>
      <c r="AV257">
        <v>75</v>
      </c>
      <c r="AW257">
        <v>11</v>
      </c>
      <c r="AX257" t="s">
        <v>74</v>
      </c>
      <c r="AY257" t="s">
        <v>74</v>
      </c>
      <c r="AZ257" t="s">
        <v>74</v>
      </c>
      <c r="BA257" t="s">
        <v>74</v>
      </c>
      <c r="BB257">
        <v>1084</v>
      </c>
      <c r="BC257">
        <v>1095</v>
      </c>
      <c r="BD257" t="s">
        <v>74</v>
      </c>
      <c r="BE257" t="s">
        <v>6578</v>
      </c>
      <c r="BF257" t="str">
        <f>HYPERLINK("http://dx.doi.org/10.1002/ajp.22167","http://dx.doi.org/10.1002/ajp.22167")</f>
        <v>http://dx.doi.org/10.1002/ajp.22167</v>
      </c>
      <c r="BG257" t="s">
        <v>74</v>
      </c>
      <c r="BH257" t="s">
        <v>74</v>
      </c>
      <c r="BI257" t="s">
        <v>74</v>
      </c>
      <c r="BJ257" t="s">
        <v>74</v>
      </c>
      <c r="BK257" t="s">
        <v>74</v>
      </c>
      <c r="BL257" t="s">
        <v>74</v>
      </c>
      <c r="BM257" t="s">
        <v>74</v>
      </c>
      <c r="BN257">
        <v>23776035</v>
      </c>
      <c r="BO257" t="s">
        <v>74</v>
      </c>
      <c r="BP257" t="s">
        <v>74</v>
      </c>
      <c r="BQ257" t="s">
        <v>74</v>
      </c>
      <c r="BR257" t="s">
        <v>74</v>
      </c>
      <c r="BS257" t="s">
        <v>6579</v>
      </c>
      <c r="BT257" t="str">
        <f>HYPERLINK("https%3A%2F%2Fwww.webofscience.com%2Fwos%2Fwoscc%2Ffull-record%2FWOS:000324914600002","View Full Record in Web of Science")</f>
        <v>View Full Record in Web of Science</v>
      </c>
    </row>
    <row r="258" spans="1:72" x14ac:dyDescent="0.4">
      <c r="A258" t="s">
        <v>72</v>
      </c>
      <c r="B258" t="s">
        <v>6462</v>
      </c>
      <c r="C258" t="s">
        <v>74</v>
      </c>
      <c r="D258" t="s">
        <v>74</v>
      </c>
      <c r="E258" t="s">
        <v>74</v>
      </c>
      <c r="F258" t="s">
        <v>6463</v>
      </c>
      <c r="G258" t="s">
        <v>74</v>
      </c>
      <c r="H258" t="s">
        <v>74</v>
      </c>
      <c r="I258" t="s">
        <v>6464</v>
      </c>
      <c r="J258" t="s">
        <v>1656</v>
      </c>
      <c r="K258" t="s">
        <v>74</v>
      </c>
      <c r="L258" t="s">
        <v>74</v>
      </c>
      <c r="M258" t="s">
        <v>74</v>
      </c>
      <c r="N258" t="s">
        <v>74</v>
      </c>
      <c r="O258" t="s">
        <v>74</v>
      </c>
      <c r="P258" t="s">
        <v>74</v>
      </c>
      <c r="Q258" t="s">
        <v>74</v>
      </c>
      <c r="R258" t="s">
        <v>74</v>
      </c>
      <c r="S258" t="s">
        <v>74</v>
      </c>
      <c r="T258" t="s">
        <v>74</v>
      </c>
      <c r="U258" t="s">
        <v>74</v>
      </c>
      <c r="V258" s="3" t="s">
        <v>6465</v>
      </c>
      <c r="W258" t="s">
        <v>74</v>
      </c>
      <c r="X258" t="s">
        <v>74</v>
      </c>
      <c r="Y258" t="s">
        <v>74</v>
      </c>
      <c r="Z258" t="s">
        <v>74</v>
      </c>
      <c r="AA258" t="s">
        <v>74</v>
      </c>
      <c r="AB258" t="s">
        <v>6466</v>
      </c>
      <c r="AC258" t="s">
        <v>74</v>
      </c>
      <c r="AD258" t="s">
        <v>74</v>
      </c>
      <c r="AE258" t="s">
        <v>74</v>
      </c>
      <c r="AF258" t="s">
        <v>74</v>
      </c>
      <c r="AG258" t="s">
        <v>74</v>
      </c>
      <c r="AH258" t="s">
        <v>74</v>
      </c>
      <c r="AI258" t="s">
        <v>74</v>
      </c>
      <c r="AJ258" t="s">
        <v>74</v>
      </c>
      <c r="AK258" t="s">
        <v>74</v>
      </c>
      <c r="AL258" t="s">
        <v>74</v>
      </c>
      <c r="AM258" t="s">
        <v>74</v>
      </c>
      <c r="AN258" t="s">
        <v>74</v>
      </c>
      <c r="AO258" t="s">
        <v>1658</v>
      </c>
      <c r="AP258" t="s">
        <v>1659</v>
      </c>
      <c r="AQ258" t="s">
        <v>74</v>
      </c>
      <c r="AR258" t="s">
        <v>74</v>
      </c>
      <c r="AS258" t="s">
        <v>74</v>
      </c>
      <c r="AT258" t="s">
        <v>6467</v>
      </c>
      <c r="AU258">
        <v>2012</v>
      </c>
      <c r="AV258" t="s">
        <v>74</v>
      </c>
      <c r="AW258">
        <v>3367</v>
      </c>
      <c r="AX258" t="s">
        <v>74</v>
      </c>
      <c r="AY258" t="s">
        <v>74</v>
      </c>
      <c r="AZ258" t="s">
        <v>848</v>
      </c>
      <c r="BA258" t="s">
        <v>74</v>
      </c>
      <c r="BB258">
        <v>95</v>
      </c>
      <c r="BC258">
        <v>102</v>
      </c>
      <c r="BD258" t="s">
        <v>74</v>
      </c>
      <c r="BE258" t="s">
        <v>6468</v>
      </c>
      <c r="BF258" t="str">
        <f>HYPERLINK("http://dx.doi.org/10.11646/zootaxa.3367.1.9","http://dx.doi.org/10.11646/zootaxa.3367.1.9")</f>
        <v>http://dx.doi.org/10.11646/zootaxa.3367.1.9</v>
      </c>
      <c r="BG258" t="s">
        <v>74</v>
      </c>
      <c r="BH258" t="s">
        <v>74</v>
      </c>
      <c r="BI258" t="s">
        <v>74</v>
      </c>
      <c r="BJ258" t="s">
        <v>74</v>
      </c>
      <c r="BK258" t="s">
        <v>74</v>
      </c>
      <c r="BL258" t="s">
        <v>74</v>
      </c>
      <c r="BM258" t="s">
        <v>74</v>
      </c>
      <c r="BN258" t="s">
        <v>74</v>
      </c>
      <c r="BO258" t="s">
        <v>74</v>
      </c>
      <c r="BP258" t="s">
        <v>74</v>
      </c>
      <c r="BQ258" t="s">
        <v>74</v>
      </c>
      <c r="BR258" t="s">
        <v>74</v>
      </c>
      <c r="BS258" t="s">
        <v>6469</v>
      </c>
      <c r="BT258" t="str">
        <f>HYPERLINK("https%3A%2F%2Fwww.webofscience.com%2Fwos%2Fwoscc%2Ffull-record%2FWOS:000305937000008","View Full Record in Web of Science")</f>
        <v>View Full Record in Web of Science</v>
      </c>
    </row>
    <row r="259" spans="1:72" x14ac:dyDescent="0.4">
      <c r="A259" t="s">
        <v>72</v>
      </c>
      <c r="B259" t="s">
        <v>999</v>
      </c>
      <c r="C259" t="s">
        <v>74</v>
      </c>
      <c r="D259" t="s">
        <v>74</v>
      </c>
      <c r="E259" t="s">
        <v>74</v>
      </c>
      <c r="F259" t="s">
        <v>1000</v>
      </c>
      <c r="G259" t="s">
        <v>74</v>
      </c>
      <c r="H259" t="s">
        <v>74</v>
      </c>
      <c r="I259" t="s">
        <v>1001</v>
      </c>
      <c r="J259" t="s">
        <v>140</v>
      </c>
      <c r="K259" t="s">
        <v>74</v>
      </c>
      <c r="L259" t="s">
        <v>74</v>
      </c>
      <c r="M259" t="s">
        <v>74</v>
      </c>
      <c r="N259" t="s">
        <v>74</v>
      </c>
      <c r="O259" t="s">
        <v>74</v>
      </c>
      <c r="P259" t="s">
        <v>74</v>
      </c>
      <c r="Q259" t="s">
        <v>74</v>
      </c>
      <c r="R259" t="s">
        <v>74</v>
      </c>
      <c r="S259" t="s">
        <v>74</v>
      </c>
      <c r="T259" t="s">
        <v>74</v>
      </c>
      <c r="U259" t="s">
        <v>74</v>
      </c>
      <c r="V259" s="3" t="s">
        <v>1002</v>
      </c>
      <c r="W259" t="s">
        <v>74</v>
      </c>
      <c r="X259" t="s">
        <v>74</v>
      </c>
      <c r="Y259" t="s">
        <v>74</v>
      </c>
      <c r="Z259" t="s">
        <v>74</v>
      </c>
      <c r="AA259" t="s">
        <v>1003</v>
      </c>
      <c r="AB259" t="s">
        <v>1004</v>
      </c>
      <c r="AC259" t="s">
        <v>74</v>
      </c>
      <c r="AD259" t="s">
        <v>74</v>
      </c>
      <c r="AE259" t="s">
        <v>74</v>
      </c>
      <c r="AF259" t="s">
        <v>74</v>
      </c>
      <c r="AG259" t="s">
        <v>74</v>
      </c>
      <c r="AH259" t="s">
        <v>74</v>
      </c>
      <c r="AI259" t="s">
        <v>74</v>
      </c>
      <c r="AJ259" t="s">
        <v>74</v>
      </c>
      <c r="AK259" t="s">
        <v>74</v>
      </c>
      <c r="AL259" t="s">
        <v>74</v>
      </c>
      <c r="AM259" t="s">
        <v>74</v>
      </c>
      <c r="AN259" t="s">
        <v>74</v>
      </c>
      <c r="AO259" t="s">
        <v>143</v>
      </c>
      <c r="AP259" t="s">
        <v>144</v>
      </c>
      <c r="AQ259" t="s">
        <v>74</v>
      </c>
      <c r="AR259" t="s">
        <v>74</v>
      </c>
      <c r="AS259" t="s">
        <v>74</v>
      </c>
      <c r="AT259" t="s">
        <v>123</v>
      </c>
      <c r="AU259">
        <v>2010</v>
      </c>
      <c r="AV259">
        <v>79</v>
      </c>
      <c r="AW259">
        <v>3</v>
      </c>
      <c r="AX259" t="s">
        <v>74</v>
      </c>
      <c r="AY259" t="s">
        <v>74</v>
      </c>
      <c r="AZ259" t="s">
        <v>74</v>
      </c>
      <c r="BA259" t="s">
        <v>74</v>
      </c>
      <c r="BB259">
        <v>739</v>
      </c>
      <c r="BC259">
        <v>745</v>
      </c>
      <c r="BD259" t="s">
        <v>74</v>
      </c>
      <c r="BE259" t="s">
        <v>1005</v>
      </c>
      <c r="BF259" t="str">
        <f>HYPERLINK("http://dx.doi.org/10.1016/j.anbehav.2009.12.031","http://dx.doi.org/10.1016/j.anbehav.2009.12.031")</f>
        <v>http://dx.doi.org/10.1016/j.anbehav.2009.12.031</v>
      </c>
      <c r="BG259" t="s">
        <v>74</v>
      </c>
      <c r="BH259" t="s">
        <v>74</v>
      </c>
      <c r="BI259" t="s">
        <v>74</v>
      </c>
      <c r="BJ259" t="s">
        <v>74</v>
      </c>
      <c r="BK259" t="s">
        <v>74</v>
      </c>
      <c r="BL259" t="s">
        <v>74</v>
      </c>
      <c r="BM259" t="s">
        <v>74</v>
      </c>
      <c r="BN259" t="s">
        <v>74</v>
      </c>
      <c r="BO259" t="s">
        <v>74</v>
      </c>
      <c r="BP259" t="s">
        <v>74</v>
      </c>
      <c r="BQ259" t="s">
        <v>74</v>
      </c>
      <c r="BR259" t="s">
        <v>74</v>
      </c>
      <c r="BS259" t="s">
        <v>1006</v>
      </c>
      <c r="BT259" t="str">
        <f>HYPERLINK("https%3A%2F%2Fwww.webofscience.com%2Fwos%2Fwoscc%2Ffull-record%2FWOS:000274587400029","View Full Record in Web of Science")</f>
        <v>View Full Record in Web of Science</v>
      </c>
    </row>
    <row r="260" spans="1:72" x14ac:dyDescent="0.4">
      <c r="A260" t="s">
        <v>72</v>
      </c>
      <c r="B260" t="s">
        <v>4432</v>
      </c>
      <c r="C260" t="s">
        <v>74</v>
      </c>
      <c r="D260" t="s">
        <v>74</v>
      </c>
      <c r="E260" t="s">
        <v>74</v>
      </c>
      <c r="F260" t="s">
        <v>4433</v>
      </c>
      <c r="G260" t="s">
        <v>74</v>
      </c>
      <c r="H260" t="s">
        <v>74</v>
      </c>
      <c r="I260" t="s">
        <v>4434</v>
      </c>
      <c r="J260" t="s">
        <v>3374</v>
      </c>
      <c r="K260" t="s">
        <v>74</v>
      </c>
      <c r="L260" t="s">
        <v>74</v>
      </c>
      <c r="M260" t="s">
        <v>74</v>
      </c>
      <c r="N260" t="s">
        <v>74</v>
      </c>
      <c r="O260" t="s">
        <v>74</v>
      </c>
      <c r="P260" t="s">
        <v>74</v>
      </c>
      <c r="Q260" t="s">
        <v>74</v>
      </c>
      <c r="R260" t="s">
        <v>74</v>
      </c>
      <c r="S260" t="s">
        <v>74</v>
      </c>
      <c r="T260" t="s">
        <v>74</v>
      </c>
      <c r="U260" t="s">
        <v>74</v>
      </c>
      <c r="V260" s="3" t="s">
        <v>4435</v>
      </c>
      <c r="W260" t="s">
        <v>74</v>
      </c>
      <c r="X260" t="s">
        <v>74</v>
      </c>
      <c r="Y260" t="s">
        <v>74</v>
      </c>
      <c r="Z260" t="s">
        <v>74</v>
      </c>
      <c r="AA260" t="s">
        <v>4436</v>
      </c>
      <c r="AB260" t="s">
        <v>4437</v>
      </c>
      <c r="AC260" t="s">
        <v>74</v>
      </c>
      <c r="AD260" t="s">
        <v>74</v>
      </c>
      <c r="AE260" t="s">
        <v>74</v>
      </c>
      <c r="AF260" t="s">
        <v>74</v>
      </c>
      <c r="AG260" t="s">
        <v>74</v>
      </c>
      <c r="AH260" t="s">
        <v>74</v>
      </c>
      <c r="AI260" t="s">
        <v>74</v>
      </c>
      <c r="AJ260" t="s">
        <v>74</v>
      </c>
      <c r="AK260" t="s">
        <v>74</v>
      </c>
      <c r="AL260" t="s">
        <v>74</v>
      </c>
      <c r="AM260" t="s">
        <v>74</v>
      </c>
      <c r="AN260" t="s">
        <v>74</v>
      </c>
      <c r="AO260" t="s">
        <v>3378</v>
      </c>
      <c r="AP260" t="s">
        <v>3379</v>
      </c>
      <c r="AQ260" t="s">
        <v>74</v>
      </c>
      <c r="AR260" t="s">
        <v>74</v>
      </c>
      <c r="AS260" t="s">
        <v>74</v>
      </c>
      <c r="AT260" t="s">
        <v>134</v>
      </c>
      <c r="AU260">
        <v>2011</v>
      </c>
      <c r="AV260">
        <v>42</v>
      </c>
      <c r="AW260">
        <v>3</v>
      </c>
      <c r="AX260" t="s">
        <v>74</v>
      </c>
      <c r="AY260" t="s">
        <v>74</v>
      </c>
      <c r="AZ260" t="s">
        <v>74</v>
      </c>
      <c r="BA260" t="s">
        <v>74</v>
      </c>
      <c r="BB260">
        <v>301</v>
      </c>
      <c r="BC260">
        <v>306</v>
      </c>
      <c r="BD260" t="s">
        <v>74</v>
      </c>
      <c r="BE260" t="s">
        <v>4438</v>
      </c>
      <c r="BF260" t="str">
        <f>HYPERLINK("http://dx.doi.org/10.1007/s13592-011-0022-z","http://dx.doi.org/10.1007/s13592-011-0022-z")</f>
        <v>http://dx.doi.org/10.1007/s13592-011-0022-z</v>
      </c>
      <c r="BG260" t="s">
        <v>74</v>
      </c>
      <c r="BH260" t="s">
        <v>74</v>
      </c>
      <c r="BI260" t="s">
        <v>74</v>
      </c>
      <c r="BJ260" t="s">
        <v>74</v>
      </c>
      <c r="BK260" t="s">
        <v>74</v>
      </c>
      <c r="BL260" t="s">
        <v>74</v>
      </c>
      <c r="BM260" t="s">
        <v>74</v>
      </c>
      <c r="BN260" t="s">
        <v>74</v>
      </c>
      <c r="BO260" t="s">
        <v>74</v>
      </c>
      <c r="BP260" t="s">
        <v>74</v>
      </c>
      <c r="BQ260" t="s">
        <v>74</v>
      </c>
      <c r="BR260" t="s">
        <v>74</v>
      </c>
      <c r="BS260" t="s">
        <v>4439</v>
      </c>
      <c r="BT260" t="str">
        <f>HYPERLINK("https%3A%2F%2Fwww.webofscience.com%2Fwos%2Fwoscc%2Ffull-record%2FWOS:000292612900006","View Full Record in Web of Science")</f>
        <v>View Full Record in Web of Science</v>
      </c>
    </row>
    <row r="261" spans="1:72" x14ac:dyDescent="0.4">
      <c r="A261" t="s">
        <v>72</v>
      </c>
      <c r="B261" t="s">
        <v>1678</v>
      </c>
      <c r="C261" t="s">
        <v>74</v>
      </c>
      <c r="D261" t="s">
        <v>74</v>
      </c>
      <c r="E261" t="s">
        <v>74</v>
      </c>
      <c r="F261" t="s">
        <v>1679</v>
      </c>
      <c r="G261" t="s">
        <v>74</v>
      </c>
      <c r="H261" t="s">
        <v>74</v>
      </c>
      <c r="I261" t="s">
        <v>1680</v>
      </c>
      <c r="J261" t="s">
        <v>367</v>
      </c>
      <c r="K261" t="s">
        <v>74</v>
      </c>
      <c r="L261" t="s">
        <v>74</v>
      </c>
      <c r="M261" t="s">
        <v>74</v>
      </c>
      <c r="N261" t="s">
        <v>74</v>
      </c>
      <c r="O261" t="s">
        <v>74</v>
      </c>
      <c r="P261" t="s">
        <v>74</v>
      </c>
      <c r="Q261" t="s">
        <v>74</v>
      </c>
      <c r="R261" t="s">
        <v>74</v>
      </c>
      <c r="S261" t="s">
        <v>74</v>
      </c>
      <c r="T261" t="s">
        <v>74</v>
      </c>
      <c r="U261" t="s">
        <v>74</v>
      </c>
      <c r="V261" s="3" t="s">
        <v>1681</v>
      </c>
      <c r="W261" t="s">
        <v>74</v>
      </c>
      <c r="X261" t="s">
        <v>74</v>
      </c>
      <c r="Y261" t="s">
        <v>74</v>
      </c>
      <c r="Z261" t="s">
        <v>74</v>
      </c>
      <c r="AA261" t="s">
        <v>1682</v>
      </c>
      <c r="AB261" t="s">
        <v>1683</v>
      </c>
      <c r="AC261" t="s">
        <v>74</v>
      </c>
      <c r="AD261" t="s">
        <v>74</v>
      </c>
      <c r="AE261" t="s">
        <v>74</v>
      </c>
      <c r="AF261" t="s">
        <v>74</v>
      </c>
      <c r="AG261" t="s">
        <v>74</v>
      </c>
      <c r="AH261" t="s">
        <v>74</v>
      </c>
      <c r="AI261" t="s">
        <v>74</v>
      </c>
      <c r="AJ261" t="s">
        <v>74</v>
      </c>
      <c r="AK261" t="s">
        <v>74</v>
      </c>
      <c r="AL261" t="s">
        <v>74</v>
      </c>
      <c r="AM261" t="s">
        <v>74</v>
      </c>
      <c r="AN261" t="s">
        <v>74</v>
      </c>
      <c r="AO261" t="s">
        <v>371</v>
      </c>
      <c r="AP261" t="s">
        <v>372</v>
      </c>
      <c r="AQ261" t="s">
        <v>74</v>
      </c>
      <c r="AR261" t="s">
        <v>74</v>
      </c>
      <c r="AS261" t="s">
        <v>74</v>
      </c>
      <c r="AT261" t="s">
        <v>145</v>
      </c>
      <c r="AU261">
        <v>2021</v>
      </c>
      <c r="AV261">
        <v>135</v>
      </c>
      <c r="AW261">
        <v>3</v>
      </c>
      <c r="AX261" t="s">
        <v>74</v>
      </c>
      <c r="AY261" t="s">
        <v>74</v>
      </c>
      <c r="AZ261" t="s">
        <v>74</v>
      </c>
      <c r="BA261" t="s">
        <v>74</v>
      </c>
      <c r="BB261">
        <v>338</v>
      </c>
      <c r="BC261">
        <v>348</v>
      </c>
      <c r="BD261" t="s">
        <v>74</v>
      </c>
      <c r="BE261" t="s">
        <v>1684</v>
      </c>
      <c r="BF261" t="str">
        <f>HYPERLINK("http://dx.doi.org/10.1037/com0000267","http://dx.doi.org/10.1037/com0000267")</f>
        <v>http://dx.doi.org/10.1037/com0000267</v>
      </c>
      <c r="BG261" t="s">
        <v>74</v>
      </c>
      <c r="BH261" t="s">
        <v>74</v>
      </c>
      <c r="BI261" t="s">
        <v>74</v>
      </c>
      <c r="BJ261" t="s">
        <v>74</v>
      </c>
      <c r="BK261" t="s">
        <v>74</v>
      </c>
      <c r="BL261" t="s">
        <v>74</v>
      </c>
      <c r="BM261" t="s">
        <v>74</v>
      </c>
      <c r="BN261">
        <v>33475388</v>
      </c>
      <c r="BO261" t="s">
        <v>74</v>
      </c>
      <c r="BP261" t="s">
        <v>74</v>
      </c>
      <c r="BQ261" t="s">
        <v>74</v>
      </c>
      <c r="BR261" t="s">
        <v>74</v>
      </c>
      <c r="BS261" t="s">
        <v>1685</v>
      </c>
      <c r="BT261" t="str">
        <f>HYPERLINK("https%3A%2F%2Fwww.webofscience.com%2Fwos%2Fwoscc%2Ffull-record%2FWOS:000699927200011","View Full Record in Web of Science")</f>
        <v>View Full Record in Web of Science</v>
      </c>
    </row>
    <row r="262" spans="1:72" x14ac:dyDescent="0.4">
      <c r="A262" t="s">
        <v>72</v>
      </c>
      <c r="B262" t="s">
        <v>7659</v>
      </c>
      <c r="C262" t="s">
        <v>74</v>
      </c>
      <c r="D262" t="s">
        <v>74</v>
      </c>
      <c r="E262" t="s">
        <v>74</v>
      </c>
      <c r="F262" t="s">
        <v>7659</v>
      </c>
      <c r="G262" t="s">
        <v>74</v>
      </c>
      <c r="H262" t="s">
        <v>74</v>
      </c>
      <c r="I262" t="s">
        <v>7660</v>
      </c>
      <c r="J262" t="s">
        <v>431</v>
      </c>
      <c r="K262" t="s">
        <v>74</v>
      </c>
      <c r="L262" t="s">
        <v>74</v>
      </c>
      <c r="M262" t="s">
        <v>74</v>
      </c>
      <c r="N262" t="s">
        <v>74</v>
      </c>
      <c r="O262" t="s">
        <v>74</v>
      </c>
      <c r="P262" t="s">
        <v>74</v>
      </c>
      <c r="Q262" t="s">
        <v>74</v>
      </c>
      <c r="R262" t="s">
        <v>74</v>
      </c>
      <c r="S262" t="s">
        <v>74</v>
      </c>
      <c r="T262" t="s">
        <v>74</v>
      </c>
      <c r="U262" t="s">
        <v>74</v>
      </c>
      <c r="V262" s="3" t="s">
        <v>7661</v>
      </c>
      <c r="W262" t="s">
        <v>74</v>
      </c>
      <c r="X262" t="s">
        <v>74</v>
      </c>
      <c r="Y262" t="s">
        <v>74</v>
      </c>
      <c r="Z262" t="s">
        <v>74</v>
      </c>
      <c r="AA262" t="s">
        <v>7662</v>
      </c>
      <c r="AB262" t="s">
        <v>74</v>
      </c>
      <c r="AC262" t="s">
        <v>74</v>
      </c>
      <c r="AD262" t="s">
        <v>74</v>
      </c>
      <c r="AE262" t="s">
        <v>74</v>
      </c>
      <c r="AF262" t="s">
        <v>74</v>
      </c>
      <c r="AG262" t="s">
        <v>74</v>
      </c>
      <c r="AH262" t="s">
        <v>74</v>
      </c>
      <c r="AI262" t="s">
        <v>74</v>
      </c>
      <c r="AJ262" t="s">
        <v>74</v>
      </c>
      <c r="AK262" t="s">
        <v>74</v>
      </c>
      <c r="AL262" t="s">
        <v>74</v>
      </c>
      <c r="AM262" t="s">
        <v>74</v>
      </c>
      <c r="AN262" t="s">
        <v>74</v>
      </c>
      <c r="AO262" t="s">
        <v>1458</v>
      </c>
      <c r="AP262" t="s">
        <v>74</v>
      </c>
      <c r="AQ262" t="s">
        <v>74</v>
      </c>
      <c r="AR262" t="s">
        <v>74</v>
      </c>
      <c r="AS262" t="s">
        <v>74</v>
      </c>
      <c r="AT262" t="s">
        <v>633</v>
      </c>
      <c r="AU262">
        <v>2002</v>
      </c>
      <c r="AV262">
        <v>119</v>
      </c>
      <c r="AW262">
        <v>2</v>
      </c>
      <c r="AX262" t="s">
        <v>74</v>
      </c>
      <c r="AY262" t="s">
        <v>74</v>
      </c>
      <c r="AZ262" t="s">
        <v>74</v>
      </c>
      <c r="BA262" t="s">
        <v>74</v>
      </c>
      <c r="BB262">
        <v>487</v>
      </c>
      <c r="BC262">
        <v>497</v>
      </c>
      <c r="BD262" t="s">
        <v>74</v>
      </c>
      <c r="BE262" t="s">
        <v>7663</v>
      </c>
      <c r="BF262" t="str">
        <f>HYPERLINK("http://dx.doi.org/10.1642/0004-8038(2002)119[0487:SALTEO]2.0.CO;2","http://dx.doi.org/10.1642/0004-8038(2002)119[0487:SALTEO]2.0.CO;2")</f>
        <v>http://dx.doi.org/10.1642/0004-8038(2002)119[0487:SALTEO]2.0.CO;2</v>
      </c>
      <c r="BG262" t="s">
        <v>74</v>
      </c>
      <c r="BH262" t="s">
        <v>74</v>
      </c>
      <c r="BI262" t="s">
        <v>74</v>
      </c>
      <c r="BJ262" t="s">
        <v>74</v>
      </c>
      <c r="BK262" t="s">
        <v>74</v>
      </c>
      <c r="BL262" t="s">
        <v>74</v>
      </c>
      <c r="BM262" t="s">
        <v>74</v>
      </c>
      <c r="BN262" t="s">
        <v>74</v>
      </c>
      <c r="BO262" t="s">
        <v>74</v>
      </c>
      <c r="BP262" t="s">
        <v>74</v>
      </c>
      <c r="BQ262" t="s">
        <v>74</v>
      </c>
      <c r="BR262" t="s">
        <v>74</v>
      </c>
      <c r="BS262" t="s">
        <v>7664</v>
      </c>
      <c r="BT262" t="str">
        <f>HYPERLINK("https%3A%2F%2Fwww.webofscience.com%2Fwos%2Fwoscc%2Ffull-record%2FWOS:000175709400016","View Full Record in Web of Science")</f>
        <v>View Full Record in Web of Science</v>
      </c>
    </row>
    <row r="263" spans="1:72" x14ac:dyDescent="0.4">
      <c r="A263" t="s">
        <v>72</v>
      </c>
      <c r="B263" t="s">
        <v>3108</v>
      </c>
      <c r="C263" t="s">
        <v>74</v>
      </c>
      <c r="D263" t="s">
        <v>74</v>
      </c>
      <c r="E263" t="s">
        <v>74</v>
      </c>
      <c r="F263" t="s">
        <v>3109</v>
      </c>
      <c r="G263" t="s">
        <v>74</v>
      </c>
      <c r="H263" t="s">
        <v>74</v>
      </c>
      <c r="I263" t="s">
        <v>3110</v>
      </c>
      <c r="J263" t="s">
        <v>3111</v>
      </c>
      <c r="K263" t="s">
        <v>74</v>
      </c>
      <c r="L263" t="s">
        <v>74</v>
      </c>
      <c r="M263" t="s">
        <v>74</v>
      </c>
      <c r="N263" t="s">
        <v>74</v>
      </c>
      <c r="O263" t="s">
        <v>74</v>
      </c>
      <c r="P263" t="s">
        <v>74</v>
      </c>
      <c r="Q263" t="s">
        <v>74</v>
      </c>
      <c r="R263" t="s">
        <v>74</v>
      </c>
      <c r="S263" t="s">
        <v>74</v>
      </c>
      <c r="T263" t="s">
        <v>74</v>
      </c>
      <c r="U263" t="s">
        <v>74</v>
      </c>
      <c r="V263" s="3" t="s">
        <v>3112</v>
      </c>
      <c r="W263" t="s">
        <v>74</v>
      </c>
      <c r="X263" t="s">
        <v>74</v>
      </c>
      <c r="Y263" t="s">
        <v>74</v>
      </c>
      <c r="Z263" t="s">
        <v>74</v>
      </c>
      <c r="AA263" t="s">
        <v>3113</v>
      </c>
      <c r="AB263" t="s">
        <v>3114</v>
      </c>
      <c r="AC263" t="s">
        <v>74</v>
      </c>
      <c r="AD263" t="s">
        <v>74</v>
      </c>
      <c r="AE263" t="s">
        <v>74</v>
      </c>
      <c r="AF263" t="s">
        <v>74</v>
      </c>
      <c r="AG263" t="s">
        <v>74</v>
      </c>
      <c r="AH263" t="s">
        <v>74</v>
      </c>
      <c r="AI263" t="s">
        <v>74</v>
      </c>
      <c r="AJ263" t="s">
        <v>74</v>
      </c>
      <c r="AK263" t="s">
        <v>74</v>
      </c>
      <c r="AL263" t="s">
        <v>74</v>
      </c>
      <c r="AM263" t="s">
        <v>74</v>
      </c>
      <c r="AN263" t="s">
        <v>74</v>
      </c>
      <c r="AO263" t="s">
        <v>3115</v>
      </c>
      <c r="AP263" t="s">
        <v>3116</v>
      </c>
      <c r="AQ263" t="s">
        <v>74</v>
      </c>
      <c r="AR263" t="s">
        <v>74</v>
      </c>
      <c r="AS263" t="s">
        <v>74</v>
      </c>
      <c r="AT263" t="s">
        <v>633</v>
      </c>
      <c r="AU263">
        <v>2010</v>
      </c>
      <c r="AV263">
        <v>4</v>
      </c>
      <c r="AW263">
        <v>4</v>
      </c>
      <c r="AX263" t="s">
        <v>74</v>
      </c>
      <c r="AY263" t="s">
        <v>74</v>
      </c>
      <c r="AZ263" t="s">
        <v>74</v>
      </c>
      <c r="BA263" t="s">
        <v>74</v>
      </c>
      <c r="BB263">
        <v>604</v>
      </c>
      <c r="BC263">
        <v>616</v>
      </c>
      <c r="BD263" t="s">
        <v>74</v>
      </c>
      <c r="BE263" t="s">
        <v>3117</v>
      </c>
      <c r="BF263" t="str">
        <f>HYPERLINK("http://dx.doi.org/10.1017/S1751731109991406","http://dx.doi.org/10.1017/S1751731109991406")</f>
        <v>http://dx.doi.org/10.1017/S1751731109991406</v>
      </c>
      <c r="BG263" t="s">
        <v>74</v>
      </c>
      <c r="BH263" t="s">
        <v>74</v>
      </c>
      <c r="BI263" t="s">
        <v>74</v>
      </c>
      <c r="BJ263" t="s">
        <v>74</v>
      </c>
      <c r="BK263" t="s">
        <v>74</v>
      </c>
      <c r="BL263" t="s">
        <v>74</v>
      </c>
      <c r="BM263" t="s">
        <v>74</v>
      </c>
      <c r="BN263">
        <v>22444048</v>
      </c>
      <c r="BO263" t="s">
        <v>74</v>
      </c>
      <c r="BP263" t="s">
        <v>74</v>
      </c>
      <c r="BQ263" t="s">
        <v>74</v>
      </c>
      <c r="BR263" t="s">
        <v>74</v>
      </c>
      <c r="BS263" t="s">
        <v>3118</v>
      </c>
      <c r="BT263" t="str">
        <f>HYPERLINK("https%3A%2F%2Fwww.webofscience.com%2Fwos%2Fwoscc%2Ffull-record%2FWOS:000276005600013","View Full Record in Web of Science")</f>
        <v>View Full Record in Web of Science</v>
      </c>
    </row>
    <row r="264" spans="1:72" x14ac:dyDescent="0.4">
      <c r="A264" t="s">
        <v>72</v>
      </c>
      <c r="B264" t="s">
        <v>3076</v>
      </c>
      <c r="C264" t="s">
        <v>74</v>
      </c>
      <c r="D264" t="s">
        <v>74</v>
      </c>
      <c r="E264" t="s">
        <v>74</v>
      </c>
      <c r="F264" t="s">
        <v>3076</v>
      </c>
      <c r="G264" t="s">
        <v>74</v>
      </c>
      <c r="H264" t="s">
        <v>74</v>
      </c>
      <c r="I264" t="s">
        <v>3077</v>
      </c>
      <c r="J264" t="s">
        <v>731</v>
      </c>
      <c r="K264" t="s">
        <v>74</v>
      </c>
      <c r="L264" t="s">
        <v>74</v>
      </c>
      <c r="M264" t="s">
        <v>74</v>
      </c>
      <c r="N264" t="s">
        <v>74</v>
      </c>
      <c r="O264" t="s">
        <v>74</v>
      </c>
      <c r="P264" t="s">
        <v>74</v>
      </c>
      <c r="Q264" t="s">
        <v>74</v>
      </c>
      <c r="R264" t="s">
        <v>74</v>
      </c>
      <c r="S264" t="s">
        <v>74</v>
      </c>
      <c r="T264" t="s">
        <v>74</v>
      </c>
      <c r="U264" t="s">
        <v>74</v>
      </c>
      <c r="V264" s="3" t="s">
        <v>3078</v>
      </c>
      <c r="W264" t="s">
        <v>74</v>
      </c>
      <c r="X264" t="s">
        <v>74</v>
      </c>
      <c r="Y264" t="s">
        <v>74</v>
      </c>
      <c r="Z264" t="s">
        <v>74</v>
      </c>
      <c r="AA264" t="s">
        <v>74</v>
      </c>
      <c r="AB264" t="s">
        <v>74</v>
      </c>
      <c r="AC264" t="s">
        <v>74</v>
      </c>
      <c r="AD264" t="s">
        <v>74</v>
      </c>
      <c r="AE264" t="s">
        <v>74</v>
      </c>
      <c r="AF264" t="s">
        <v>74</v>
      </c>
      <c r="AG264" t="s">
        <v>74</v>
      </c>
      <c r="AH264" t="s">
        <v>74</v>
      </c>
      <c r="AI264" t="s">
        <v>74</v>
      </c>
      <c r="AJ264" t="s">
        <v>74</v>
      </c>
      <c r="AK264" t="s">
        <v>74</v>
      </c>
      <c r="AL264" t="s">
        <v>74</v>
      </c>
      <c r="AM264" t="s">
        <v>74</v>
      </c>
      <c r="AN264" t="s">
        <v>74</v>
      </c>
      <c r="AO264" t="s">
        <v>733</v>
      </c>
      <c r="AP264" t="s">
        <v>74</v>
      </c>
      <c r="AQ264" t="s">
        <v>74</v>
      </c>
      <c r="AR264" t="s">
        <v>74</v>
      </c>
      <c r="AS264" t="s">
        <v>74</v>
      </c>
      <c r="AT264" t="s">
        <v>145</v>
      </c>
      <c r="AU264">
        <v>1996</v>
      </c>
      <c r="AV264">
        <v>78</v>
      </c>
      <c r="AW264">
        <v>2</v>
      </c>
      <c r="AX264" t="s">
        <v>74</v>
      </c>
      <c r="AY264" t="s">
        <v>74</v>
      </c>
      <c r="AZ264" t="s">
        <v>74</v>
      </c>
      <c r="BA264" t="s">
        <v>74</v>
      </c>
      <c r="BB264">
        <v>175</v>
      </c>
      <c r="BC264">
        <v>182</v>
      </c>
      <c r="BD264" t="s">
        <v>74</v>
      </c>
      <c r="BE264" t="s">
        <v>74</v>
      </c>
      <c r="BF264" t="s">
        <v>74</v>
      </c>
      <c r="BG264" t="s">
        <v>74</v>
      </c>
      <c r="BH264" t="s">
        <v>74</v>
      </c>
      <c r="BI264" t="s">
        <v>74</v>
      </c>
      <c r="BJ264" t="s">
        <v>74</v>
      </c>
      <c r="BK264" t="s">
        <v>74</v>
      </c>
      <c r="BL264" t="s">
        <v>74</v>
      </c>
      <c r="BM264" t="s">
        <v>74</v>
      </c>
      <c r="BN264">
        <v>8864049</v>
      </c>
      <c r="BO264" t="s">
        <v>74</v>
      </c>
      <c r="BP264" t="s">
        <v>74</v>
      </c>
      <c r="BQ264" t="s">
        <v>74</v>
      </c>
      <c r="BR264" t="s">
        <v>74</v>
      </c>
      <c r="BS264" t="s">
        <v>3079</v>
      </c>
      <c r="BT264" t="str">
        <f>HYPERLINK("https%3A%2F%2Fwww.webofscience.com%2Fwos%2Fwoscc%2Ffull-record%2FWOS:A1996VD71100011","View Full Record in Web of Science")</f>
        <v>View Full Record in Web of Science</v>
      </c>
    </row>
    <row r="265" spans="1:72" x14ac:dyDescent="0.4">
      <c r="A265" t="s">
        <v>72</v>
      </c>
      <c r="B265" t="s">
        <v>5822</v>
      </c>
      <c r="C265" t="s">
        <v>74</v>
      </c>
      <c r="D265" t="s">
        <v>74</v>
      </c>
      <c r="E265" t="s">
        <v>74</v>
      </c>
      <c r="F265" t="s">
        <v>5822</v>
      </c>
      <c r="G265" t="s">
        <v>74</v>
      </c>
      <c r="H265" t="s">
        <v>74</v>
      </c>
      <c r="I265" t="s">
        <v>5823</v>
      </c>
      <c r="J265" t="s">
        <v>4791</v>
      </c>
      <c r="K265" t="s">
        <v>74</v>
      </c>
      <c r="L265" t="s">
        <v>74</v>
      </c>
      <c r="M265" t="s">
        <v>74</v>
      </c>
      <c r="N265" t="s">
        <v>74</v>
      </c>
      <c r="O265" t="s">
        <v>74</v>
      </c>
      <c r="P265" t="s">
        <v>74</v>
      </c>
      <c r="Q265" t="s">
        <v>74</v>
      </c>
      <c r="R265" t="s">
        <v>74</v>
      </c>
      <c r="S265" t="s">
        <v>74</v>
      </c>
      <c r="T265" t="s">
        <v>74</v>
      </c>
      <c r="U265" t="s">
        <v>74</v>
      </c>
      <c r="V265" s="3" t="s">
        <v>5824</v>
      </c>
      <c r="W265" t="s">
        <v>74</v>
      </c>
      <c r="X265" t="s">
        <v>74</v>
      </c>
      <c r="Y265" t="s">
        <v>74</v>
      </c>
      <c r="Z265" t="s">
        <v>74</v>
      </c>
      <c r="AA265" t="s">
        <v>74</v>
      </c>
      <c r="AB265" t="s">
        <v>74</v>
      </c>
      <c r="AC265" t="s">
        <v>74</v>
      </c>
      <c r="AD265" t="s">
        <v>74</v>
      </c>
      <c r="AE265" t="s">
        <v>74</v>
      </c>
      <c r="AF265" t="s">
        <v>74</v>
      </c>
      <c r="AG265" t="s">
        <v>74</v>
      </c>
      <c r="AH265" t="s">
        <v>74</v>
      </c>
      <c r="AI265" t="s">
        <v>74</v>
      </c>
      <c r="AJ265" t="s">
        <v>74</v>
      </c>
      <c r="AK265" t="s">
        <v>74</v>
      </c>
      <c r="AL265" t="s">
        <v>74</v>
      </c>
      <c r="AM265" t="s">
        <v>74</v>
      </c>
      <c r="AN265" t="s">
        <v>74</v>
      </c>
      <c r="AO265" t="s">
        <v>4793</v>
      </c>
      <c r="AP265" t="s">
        <v>74</v>
      </c>
      <c r="AQ265" t="s">
        <v>74</v>
      </c>
      <c r="AR265" t="s">
        <v>74</v>
      </c>
      <c r="AS265" t="s">
        <v>74</v>
      </c>
      <c r="AT265" t="s">
        <v>932</v>
      </c>
      <c r="AU265">
        <v>1995</v>
      </c>
      <c r="AV265">
        <v>272</v>
      </c>
      <c r="AW265">
        <v>3</v>
      </c>
      <c r="AX265" t="s">
        <v>74</v>
      </c>
      <c r="AY265" t="s">
        <v>74</v>
      </c>
      <c r="AZ265" t="s">
        <v>74</v>
      </c>
      <c r="BA265" t="s">
        <v>74</v>
      </c>
      <c r="BB265">
        <v>194</v>
      </c>
      <c r="BC265">
        <v>200</v>
      </c>
      <c r="BD265" t="s">
        <v>74</v>
      </c>
      <c r="BE265" t="s">
        <v>5825</v>
      </c>
      <c r="BF265" t="str">
        <f>HYPERLINK("http://dx.doi.org/10.1002/jez.1402720304","http://dx.doi.org/10.1002/jez.1402720304")</f>
        <v>http://dx.doi.org/10.1002/jez.1402720304</v>
      </c>
      <c r="BG265" t="s">
        <v>74</v>
      </c>
      <c r="BH265" t="s">
        <v>74</v>
      </c>
      <c r="BI265" t="s">
        <v>74</v>
      </c>
      <c r="BJ265" t="s">
        <v>74</v>
      </c>
      <c r="BK265" t="s">
        <v>74</v>
      </c>
      <c r="BL265" t="s">
        <v>74</v>
      </c>
      <c r="BM265" t="s">
        <v>74</v>
      </c>
      <c r="BN265" t="s">
        <v>74</v>
      </c>
      <c r="BO265" t="s">
        <v>74</v>
      </c>
      <c r="BP265" t="s">
        <v>74</v>
      </c>
      <c r="BQ265" t="s">
        <v>74</v>
      </c>
      <c r="BR265" t="s">
        <v>74</v>
      </c>
      <c r="BS265" t="s">
        <v>5826</v>
      </c>
      <c r="BT265" t="str">
        <f>HYPERLINK("https%3A%2F%2Fwww.webofscience.com%2Fwos%2Fwoscc%2Ffull-record%2FWOS:A1995RG10200003","View Full Record in Web of Science")</f>
        <v>View Full Record in Web of Science</v>
      </c>
    </row>
    <row r="266" spans="1:72" x14ac:dyDescent="0.4">
      <c r="A266" t="s">
        <v>72</v>
      </c>
      <c r="B266" t="s">
        <v>729</v>
      </c>
      <c r="C266" t="s">
        <v>74</v>
      </c>
      <c r="D266" t="s">
        <v>74</v>
      </c>
      <c r="E266" t="s">
        <v>74</v>
      </c>
      <c r="F266" t="s">
        <v>729</v>
      </c>
      <c r="G266" t="s">
        <v>74</v>
      </c>
      <c r="H266" t="s">
        <v>74</v>
      </c>
      <c r="I266" t="s">
        <v>730</v>
      </c>
      <c r="J266" t="s">
        <v>731</v>
      </c>
      <c r="K266" t="s">
        <v>74</v>
      </c>
      <c r="L266" t="s">
        <v>74</v>
      </c>
      <c r="M266" t="s">
        <v>74</v>
      </c>
      <c r="N266" t="s">
        <v>74</v>
      </c>
      <c r="O266" t="s">
        <v>74</v>
      </c>
      <c r="P266" t="s">
        <v>74</v>
      </c>
      <c r="Q266" t="s">
        <v>74</v>
      </c>
      <c r="R266" t="s">
        <v>74</v>
      </c>
      <c r="S266" t="s">
        <v>74</v>
      </c>
      <c r="T266" t="s">
        <v>74</v>
      </c>
      <c r="U266" t="s">
        <v>74</v>
      </c>
      <c r="V266" s="3" t="s">
        <v>732</v>
      </c>
      <c r="W266" t="s">
        <v>74</v>
      </c>
      <c r="X266" t="s">
        <v>74</v>
      </c>
      <c r="Y266" t="s">
        <v>74</v>
      </c>
      <c r="Z266" t="s">
        <v>74</v>
      </c>
      <c r="AA266" t="s">
        <v>74</v>
      </c>
      <c r="AB266" t="s">
        <v>74</v>
      </c>
      <c r="AC266" t="s">
        <v>74</v>
      </c>
      <c r="AD266" t="s">
        <v>74</v>
      </c>
      <c r="AE266" t="s">
        <v>74</v>
      </c>
      <c r="AF266" t="s">
        <v>74</v>
      </c>
      <c r="AG266" t="s">
        <v>74</v>
      </c>
      <c r="AH266" t="s">
        <v>74</v>
      </c>
      <c r="AI266" t="s">
        <v>74</v>
      </c>
      <c r="AJ266" t="s">
        <v>74</v>
      </c>
      <c r="AK266" t="s">
        <v>74</v>
      </c>
      <c r="AL266" t="s">
        <v>74</v>
      </c>
      <c r="AM266" t="s">
        <v>74</v>
      </c>
      <c r="AN266" t="s">
        <v>74</v>
      </c>
      <c r="AO266" t="s">
        <v>733</v>
      </c>
      <c r="AP266" t="s">
        <v>734</v>
      </c>
      <c r="AQ266" t="s">
        <v>74</v>
      </c>
      <c r="AR266" t="s">
        <v>74</v>
      </c>
      <c r="AS266" t="s">
        <v>74</v>
      </c>
      <c r="AT266" t="s">
        <v>175</v>
      </c>
      <c r="AU266">
        <v>1998</v>
      </c>
      <c r="AV266">
        <v>95</v>
      </c>
      <c r="AW266">
        <v>2</v>
      </c>
      <c r="AX266" t="s">
        <v>74</v>
      </c>
      <c r="AY266" t="s">
        <v>74</v>
      </c>
      <c r="AZ266" t="s">
        <v>74</v>
      </c>
      <c r="BA266" t="s">
        <v>74</v>
      </c>
      <c r="BB266">
        <v>227</v>
      </c>
      <c r="BC266">
        <v>232</v>
      </c>
      <c r="BD266" t="s">
        <v>74</v>
      </c>
      <c r="BE266" t="s">
        <v>735</v>
      </c>
      <c r="BF266" t="str">
        <f>HYPERLINK("http://dx.doi.org/10.1016/S0166-4328(98)00048-5","http://dx.doi.org/10.1016/S0166-4328(98)00048-5")</f>
        <v>http://dx.doi.org/10.1016/S0166-4328(98)00048-5</v>
      </c>
      <c r="BG266" t="s">
        <v>74</v>
      </c>
      <c r="BH266" t="s">
        <v>74</v>
      </c>
      <c r="BI266" t="s">
        <v>74</v>
      </c>
      <c r="BJ266" t="s">
        <v>74</v>
      </c>
      <c r="BK266" t="s">
        <v>74</v>
      </c>
      <c r="BL266" t="s">
        <v>74</v>
      </c>
      <c r="BM266" t="s">
        <v>74</v>
      </c>
      <c r="BN266">
        <v>9806442</v>
      </c>
      <c r="BO266" t="s">
        <v>74</v>
      </c>
      <c r="BP266" t="s">
        <v>74</v>
      </c>
      <c r="BQ266" t="s">
        <v>74</v>
      </c>
      <c r="BR266" t="s">
        <v>74</v>
      </c>
      <c r="BS266" t="s">
        <v>736</v>
      </c>
      <c r="BT266" t="str">
        <f>HYPERLINK("https%3A%2F%2Fwww.webofscience.com%2Fwos%2Fwoscc%2Ffull-record%2FWOS:000076619000008","View Full Record in Web of Science")</f>
        <v>View Full Record in Web of Science</v>
      </c>
    </row>
    <row r="267" spans="1:72" x14ac:dyDescent="0.4">
      <c r="A267" t="s">
        <v>72</v>
      </c>
      <c r="B267" t="s">
        <v>4789</v>
      </c>
      <c r="C267" t="s">
        <v>74</v>
      </c>
      <c r="D267" t="s">
        <v>74</v>
      </c>
      <c r="E267" t="s">
        <v>74</v>
      </c>
      <c r="F267" t="s">
        <v>4789</v>
      </c>
      <c r="G267" t="s">
        <v>74</v>
      </c>
      <c r="H267" t="s">
        <v>74</v>
      </c>
      <c r="I267" t="s">
        <v>4790</v>
      </c>
      <c r="J267" t="s">
        <v>4791</v>
      </c>
      <c r="K267" t="s">
        <v>74</v>
      </c>
      <c r="L267" t="s">
        <v>74</v>
      </c>
      <c r="M267" t="s">
        <v>74</v>
      </c>
      <c r="N267" t="s">
        <v>74</v>
      </c>
      <c r="O267" t="s">
        <v>74</v>
      </c>
      <c r="P267" t="s">
        <v>74</v>
      </c>
      <c r="Q267" t="s">
        <v>74</v>
      </c>
      <c r="R267" t="s">
        <v>74</v>
      </c>
      <c r="S267" t="s">
        <v>74</v>
      </c>
      <c r="T267" t="s">
        <v>74</v>
      </c>
      <c r="U267" t="s">
        <v>74</v>
      </c>
      <c r="V267" s="3" t="s">
        <v>4792</v>
      </c>
      <c r="W267" t="s">
        <v>74</v>
      </c>
      <c r="X267" t="s">
        <v>74</v>
      </c>
      <c r="Y267" t="s">
        <v>74</v>
      </c>
      <c r="Z267" t="s">
        <v>74</v>
      </c>
      <c r="AA267" t="s">
        <v>74</v>
      </c>
      <c r="AB267" t="s">
        <v>74</v>
      </c>
      <c r="AC267" t="s">
        <v>74</v>
      </c>
      <c r="AD267" t="s">
        <v>74</v>
      </c>
      <c r="AE267" t="s">
        <v>74</v>
      </c>
      <c r="AF267" t="s">
        <v>74</v>
      </c>
      <c r="AG267" t="s">
        <v>74</v>
      </c>
      <c r="AH267" t="s">
        <v>74</v>
      </c>
      <c r="AI267" t="s">
        <v>74</v>
      </c>
      <c r="AJ267" t="s">
        <v>74</v>
      </c>
      <c r="AK267" t="s">
        <v>74</v>
      </c>
      <c r="AL267" t="s">
        <v>74</v>
      </c>
      <c r="AM267" t="s">
        <v>74</v>
      </c>
      <c r="AN267" t="s">
        <v>74</v>
      </c>
      <c r="AO267" t="s">
        <v>4793</v>
      </c>
      <c r="AP267" t="s">
        <v>74</v>
      </c>
      <c r="AQ267" t="s">
        <v>74</v>
      </c>
      <c r="AR267" t="s">
        <v>74</v>
      </c>
      <c r="AS267" t="s">
        <v>74</v>
      </c>
      <c r="AT267" t="s">
        <v>361</v>
      </c>
      <c r="AU267">
        <v>1997</v>
      </c>
      <c r="AV267">
        <v>278</v>
      </c>
      <c r="AW267">
        <v>1</v>
      </c>
      <c r="AX267" t="s">
        <v>74</v>
      </c>
      <c r="AY267" t="s">
        <v>74</v>
      </c>
      <c r="AZ267" t="s">
        <v>74</v>
      </c>
      <c r="BA267" t="s">
        <v>74</v>
      </c>
      <c r="BB267">
        <v>9</v>
      </c>
      <c r="BC267">
        <v>21</v>
      </c>
      <c r="BD267" t="s">
        <v>74</v>
      </c>
      <c r="BE267" t="s">
        <v>4794</v>
      </c>
      <c r="BF267" t="str">
        <f>HYPERLINK("http://dx.doi.org/10.1002/(SICI)1097-010X(19970501)278:1&lt;9::AID-JEZ2&gt;3.0.CO;2-T","http://dx.doi.org/10.1002/(SICI)1097-010X(19970501)278:1&lt;9::AID-JEZ2&gt;3.0.CO;2-T")</f>
        <v>http://dx.doi.org/10.1002/(SICI)1097-010X(19970501)278:1&lt;9::AID-JEZ2&gt;3.0.CO;2-T</v>
      </c>
      <c r="BG267" t="s">
        <v>74</v>
      </c>
      <c r="BH267" t="s">
        <v>74</v>
      </c>
      <c r="BI267" t="s">
        <v>74</v>
      </c>
      <c r="BJ267" t="s">
        <v>74</v>
      </c>
      <c r="BK267" t="s">
        <v>74</v>
      </c>
      <c r="BL267" t="s">
        <v>74</v>
      </c>
      <c r="BM267" t="s">
        <v>74</v>
      </c>
      <c r="BN267" t="s">
        <v>74</v>
      </c>
      <c r="BO267" t="s">
        <v>74</v>
      </c>
      <c r="BP267" t="s">
        <v>74</v>
      </c>
      <c r="BQ267" t="s">
        <v>74</v>
      </c>
      <c r="BR267" t="s">
        <v>74</v>
      </c>
      <c r="BS267" t="s">
        <v>4795</v>
      </c>
      <c r="BT267" t="str">
        <f>HYPERLINK("https%3A%2F%2Fwww.webofscience.com%2Fwos%2Fwoscc%2Ffull-record%2FWOS:A1997WW30700002","View Full Record in Web of Science")</f>
        <v>View Full Record in Web of Science</v>
      </c>
    </row>
    <row r="268" spans="1:72" x14ac:dyDescent="0.4">
      <c r="A268" t="s">
        <v>72</v>
      </c>
      <c r="B268" t="s">
        <v>7597</v>
      </c>
      <c r="C268" t="s">
        <v>74</v>
      </c>
      <c r="D268" t="s">
        <v>74</v>
      </c>
      <c r="E268" t="s">
        <v>74</v>
      </c>
      <c r="F268" t="s">
        <v>7597</v>
      </c>
      <c r="G268" t="s">
        <v>74</v>
      </c>
      <c r="H268" t="s">
        <v>74</v>
      </c>
      <c r="I268" t="s">
        <v>7598</v>
      </c>
      <c r="J268" t="s">
        <v>7599</v>
      </c>
      <c r="K268" t="s">
        <v>74</v>
      </c>
      <c r="L268" t="s">
        <v>74</v>
      </c>
      <c r="M268" t="s">
        <v>74</v>
      </c>
      <c r="N268" t="s">
        <v>74</v>
      </c>
      <c r="O268" t="s">
        <v>74</v>
      </c>
      <c r="P268" t="s">
        <v>74</v>
      </c>
      <c r="Q268" t="s">
        <v>74</v>
      </c>
      <c r="R268" t="s">
        <v>74</v>
      </c>
      <c r="S268" t="s">
        <v>74</v>
      </c>
      <c r="T268" t="s">
        <v>74</v>
      </c>
      <c r="U268" t="s">
        <v>74</v>
      </c>
      <c r="V268" s="3" t="s">
        <v>7600</v>
      </c>
      <c r="W268" t="s">
        <v>74</v>
      </c>
      <c r="X268" t="s">
        <v>74</v>
      </c>
      <c r="Y268" t="s">
        <v>74</v>
      </c>
      <c r="Z268" t="s">
        <v>74</v>
      </c>
      <c r="AA268" t="s">
        <v>74</v>
      </c>
      <c r="AB268" t="s">
        <v>74</v>
      </c>
      <c r="AC268" t="s">
        <v>74</v>
      </c>
      <c r="AD268" t="s">
        <v>74</v>
      </c>
      <c r="AE268" t="s">
        <v>74</v>
      </c>
      <c r="AF268" t="s">
        <v>74</v>
      </c>
      <c r="AG268" t="s">
        <v>74</v>
      </c>
      <c r="AH268" t="s">
        <v>74</v>
      </c>
      <c r="AI268" t="s">
        <v>74</v>
      </c>
      <c r="AJ268" t="s">
        <v>74</v>
      </c>
      <c r="AK268" t="s">
        <v>74</v>
      </c>
      <c r="AL268" t="s">
        <v>74</v>
      </c>
      <c r="AM268" t="s">
        <v>74</v>
      </c>
      <c r="AN268" t="s">
        <v>74</v>
      </c>
      <c r="AO268" t="s">
        <v>7601</v>
      </c>
      <c r="AP268" t="s">
        <v>74</v>
      </c>
      <c r="AQ268" t="s">
        <v>74</v>
      </c>
      <c r="AR268" t="s">
        <v>74</v>
      </c>
      <c r="AS268" t="s">
        <v>74</v>
      </c>
      <c r="AT268" t="s">
        <v>7602</v>
      </c>
      <c r="AU268">
        <v>1991</v>
      </c>
      <c r="AV268">
        <v>104</v>
      </c>
      <c r="AW268">
        <v>2</v>
      </c>
      <c r="AX268" t="s">
        <v>74</v>
      </c>
      <c r="AY268" t="s">
        <v>74</v>
      </c>
      <c r="AZ268" t="s">
        <v>74</v>
      </c>
      <c r="BA268" t="s">
        <v>74</v>
      </c>
      <c r="BB268">
        <v>370</v>
      </c>
      <c r="BC268">
        <v>386</v>
      </c>
      <c r="BD268" t="s">
        <v>74</v>
      </c>
      <c r="BE268" t="s">
        <v>74</v>
      </c>
      <c r="BF268" t="s">
        <v>74</v>
      </c>
      <c r="BG268" t="s">
        <v>74</v>
      </c>
      <c r="BH268" t="s">
        <v>74</v>
      </c>
      <c r="BI268" t="s">
        <v>74</v>
      </c>
      <c r="BJ268" t="s">
        <v>74</v>
      </c>
      <c r="BK268" t="s">
        <v>74</v>
      </c>
      <c r="BL268" t="s">
        <v>74</v>
      </c>
      <c r="BM268" t="s">
        <v>74</v>
      </c>
      <c r="BN268" t="s">
        <v>74</v>
      </c>
      <c r="BO268" t="s">
        <v>74</v>
      </c>
      <c r="BP268" t="s">
        <v>74</v>
      </c>
      <c r="BQ268" t="s">
        <v>74</v>
      </c>
      <c r="BR268" t="s">
        <v>74</v>
      </c>
      <c r="BS268" t="s">
        <v>7603</v>
      </c>
      <c r="BT268" t="str">
        <f>HYPERLINK("https%3A%2F%2Fwww.webofscience.com%2Fwos%2Fwoscc%2Ffull-record%2FWOS:A1991FT32000019","View Full Record in Web of Science")</f>
        <v>View Full Record in Web of Science</v>
      </c>
    </row>
    <row r="269" spans="1:72" x14ac:dyDescent="0.4">
      <c r="A269" t="s">
        <v>72</v>
      </c>
      <c r="B269" t="s">
        <v>7484</v>
      </c>
      <c r="C269" t="s">
        <v>74</v>
      </c>
      <c r="D269" t="s">
        <v>74</v>
      </c>
      <c r="E269" t="s">
        <v>74</v>
      </c>
      <c r="F269" t="s">
        <v>7484</v>
      </c>
      <c r="G269" t="s">
        <v>74</v>
      </c>
      <c r="H269" t="s">
        <v>74</v>
      </c>
      <c r="I269" t="s">
        <v>7485</v>
      </c>
      <c r="J269" t="s">
        <v>7486</v>
      </c>
      <c r="K269" t="s">
        <v>74</v>
      </c>
      <c r="L269" t="s">
        <v>74</v>
      </c>
      <c r="M269" t="s">
        <v>74</v>
      </c>
      <c r="N269" t="s">
        <v>74</v>
      </c>
      <c r="O269" t="s">
        <v>74</v>
      </c>
      <c r="P269" t="s">
        <v>74</v>
      </c>
      <c r="Q269" t="s">
        <v>74</v>
      </c>
      <c r="R269" t="s">
        <v>74</v>
      </c>
      <c r="S269" t="s">
        <v>74</v>
      </c>
      <c r="T269" t="s">
        <v>74</v>
      </c>
      <c r="U269" t="s">
        <v>74</v>
      </c>
      <c r="V269" s="3" t="s">
        <v>7487</v>
      </c>
      <c r="W269" t="s">
        <v>74</v>
      </c>
      <c r="X269" t="s">
        <v>74</v>
      </c>
      <c r="Y269" t="s">
        <v>74</v>
      </c>
      <c r="Z269" t="s">
        <v>74</v>
      </c>
      <c r="AA269" t="s">
        <v>74</v>
      </c>
      <c r="AB269" t="s">
        <v>74</v>
      </c>
      <c r="AC269" t="s">
        <v>74</v>
      </c>
      <c r="AD269" t="s">
        <v>74</v>
      </c>
      <c r="AE269" t="s">
        <v>74</v>
      </c>
      <c r="AF269" t="s">
        <v>74</v>
      </c>
      <c r="AG269" t="s">
        <v>74</v>
      </c>
      <c r="AH269" t="s">
        <v>74</v>
      </c>
      <c r="AI269" t="s">
        <v>74</v>
      </c>
      <c r="AJ269" t="s">
        <v>74</v>
      </c>
      <c r="AK269" t="s">
        <v>74</v>
      </c>
      <c r="AL269" t="s">
        <v>74</v>
      </c>
      <c r="AM269" t="s">
        <v>74</v>
      </c>
      <c r="AN269" t="s">
        <v>74</v>
      </c>
      <c r="AO269" t="s">
        <v>74</v>
      </c>
      <c r="AP269" t="s">
        <v>74</v>
      </c>
      <c r="AQ269" t="s">
        <v>74</v>
      </c>
      <c r="AR269" t="s">
        <v>74</v>
      </c>
      <c r="AS269" t="s">
        <v>74</v>
      </c>
      <c r="AT269" t="s">
        <v>74</v>
      </c>
      <c r="AU269">
        <v>1982</v>
      </c>
      <c r="AV269">
        <v>36</v>
      </c>
      <c r="AW269">
        <v>1</v>
      </c>
      <c r="AX269" t="s">
        <v>74</v>
      </c>
      <c r="AY269" t="s">
        <v>74</v>
      </c>
      <c r="AZ269" t="s">
        <v>74</v>
      </c>
      <c r="BA269" t="s">
        <v>74</v>
      </c>
      <c r="BB269">
        <v>37</v>
      </c>
      <c r="BC269">
        <v>78</v>
      </c>
      <c r="BD269" t="s">
        <v>74</v>
      </c>
      <c r="BE269" t="s">
        <v>74</v>
      </c>
      <c r="BF269" t="s">
        <v>74</v>
      </c>
      <c r="BG269" t="s">
        <v>74</v>
      </c>
      <c r="BH269" t="s">
        <v>74</v>
      </c>
      <c r="BI269" t="s">
        <v>74</v>
      </c>
      <c r="BJ269" t="s">
        <v>74</v>
      </c>
      <c r="BK269" t="s">
        <v>74</v>
      </c>
      <c r="BL269" t="s">
        <v>74</v>
      </c>
      <c r="BM269" t="s">
        <v>74</v>
      </c>
      <c r="BN269" t="s">
        <v>74</v>
      </c>
      <c r="BO269" t="s">
        <v>74</v>
      </c>
      <c r="BP269" t="s">
        <v>74</v>
      </c>
      <c r="BQ269" t="s">
        <v>74</v>
      </c>
      <c r="BR269" t="s">
        <v>74</v>
      </c>
      <c r="BS269" t="s">
        <v>7488</v>
      </c>
      <c r="BT269" t="str">
        <f>HYPERLINK("https%3A%2F%2Fwww.webofscience.com%2Fwos%2Fwoscc%2Ffull-record%2FWOS:A1982MW10500003","View Full Record in Web of Science")</f>
        <v>View Full Record in Web of Science</v>
      </c>
    </row>
    <row r="270" spans="1:72" x14ac:dyDescent="0.4">
      <c r="A270" t="s">
        <v>72</v>
      </c>
      <c r="B270" t="s">
        <v>1491</v>
      </c>
      <c r="C270" t="s">
        <v>74</v>
      </c>
      <c r="D270" t="s">
        <v>74</v>
      </c>
      <c r="E270" t="s">
        <v>74</v>
      </c>
      <c r="F270" t="s">
        <v>1492</v>
      </c>
      <c r="G270" t="s">
        <v>74</v>
      </c>
      <c r="H270" t="s">
        <v>74</v>
      </c>
      <c r="I270" t="s">
        <v>1493</v>
      </c>
      <c r="J270" t="s">
        <v>1494</v>
      </c>
      <c r="K270" t="s">
        <v>74</v>
      </c>
      <c r="L270" t="s">
        <v>74</v>
      </c>
      <c r="M270" t="s">
        <v>74</v>
      </c>
      <c r="N270" t="s">
        <v>74</v>
      </c>
      <c r="O270" t="s">
        <v>74</v>
      </c>
      <c r="P270" t="s">
        <v>74</v>
      </c>
      <c r="Q270" t="s">
        <v>74</v>
      </c>
      <c r="R270" t="s">
        <v>74</v>
      </c>
      <c r="S270" t="s">
        <v>74</v>
      </c>
      <c r="T270" t="s">
        <v>74</v>
      </c>
      <c r="U270" t="s">
        <v>74</v>
      </c>
      <c r="V270" s="3" t="s">
        <v>1495</v>
      </c>
      <c r="W270" t="s">
        <v>74</v>
      </c>
      <c r="X270" t="s">
        <v>74</v>
      </c>
      <c r="Y270" t="s">
        <v>74</v>
      </c>
      <c r="Z270" t="s">
        <v>74</v>
      </c>
      <c r="AA270" t="s">
        <v>1496</v>
      </c>
      <c r="AB270" t="s">
        <v>1497</v>
      </c>
      <c r="AC270" t="s">
        <v>74</v>
      </c>
      <c r="AD270" t="s">
        <v>74</v>
      </c>
      <c r="AE270" t="s">
        <v>74</v>
      </c>
      <c r="AF270" t="s">
        <v>74</v>
      </c>
      <c r="AG270" t="s">
        <v>74</v>
      </c>
      <c r="AH270" t="s">
        <v>74</v>
      </c>
      <c r="AI270" t="s">
        <v>74</v>
      </c>
      <c r="AJ270" t="s">
        <v>74</v>
      </c>
      <c r="AK270" t="s">
        <v>74</v>
      </c>
      <c r="AL270" t="s">
        <v>74</v>
      </c>
      <c r="AM270" t="s">
        <v>74</v>
      </c>
      <c r="AN270" t="s">
        <v>74</v>
      </c>
      <c r="AO270" t="s">
        <v>1498</v>
      </c>
      <c r="AP270" t="s">
        <v>74</v>
      </c>
      <c r="AQ270" t="s">
        <v>74</v>
      </c>
      <c r="AR270" t="s">
        <v>74</v>
      </c>
      <c r="AS270" t="s">
        <v>74</v>
      </c>
      <c r="AT270" t="s">
        <v>74</v>
      </c>
      <c r="AU270">
        <v>2019</v>
      </c>
      <c r="AV270">
        <v>32</v>
      </c>
      <c r="AW270" t="s">
        <v>74</v>
      </c>
      <c r="AX270" t="s">
        <v>74</v>
      </c>
      <c r="AY270" t="s">
        <v>74</v>
      </c>
      <c r="AZ270" t="s">
        <v>74</v>
      </c>
      <c r="BA270" t="s">
        <v>74</v>
      </c>
      <c r="BB270">
        <v>95</v>
      </c>
      <c r="BC270">
        <v>99</v>
      </c>
      <c r="BD270" t="s">
        <v>74</v>
      </c>
      <c r="BE270" t="s">
        <v>1499</v>
      </c>
      <c r="BF270" t="str">
        <f>HYPERLINK("http://dx.doi.org/10.3897/herpetozoa.32.e36023","http://dx.doi.org/10.3897/herpetozoa.32.e36023")</f>
        <v>http://dx.doi.org/10.3897/herpetozoa.32.e36023</v>
      </c>
      <c r="BG270" t="s">
        <v>74</v>
      </c>
      <c r="BH270" t="s">
        <v>74</v>
      </c>
      <c r="BI270" t="s">
        <v>74</v>
      </c>
      <c r="BJ270" t="s">
        <v>74</v>
      </c>
      <c r="BK270" t="s">
        <v>74</v>
      </c>
      <c r="BL270" t="s">
        <v>74</v>
      </c>
      <c r="BM270" t="s">
        <v>74</v>
      </c>
      <c r="BN270" t="s">
        <v>74</v>
      </c>
      <c r="BO270" t="s">
        <v>74</v>
      </c>
      <c r="BP270" t="s">
        <v>74</v>
      </c>
      <c r="BQ270" t="s">
        <v>74</v>
      </c>
      <c r="BR270" t="s">
        <v>74</v>
      </c>
      <c r="BS270" t="s">
        <v>1500</v>
      </c>
      <c r="BT270" t="str">
        <f>HYPERLINK("https%3A%2F%2Fwww.webofscience.com%2Fwos%2Fwoscc%2Ffull-record%2FWOS:000471808100016","View Full Record in Web of Science")</f>
        <v>View Full Record in Web of Science</v>
      </c>
    </row>
    <row r="271" spans="1:72" x14ac:dyDescent="0.4">
      <c r="A271" t="s">
        <v>72</v>
      </c>
      <c r="B271" t="s">
        <v>2205</v>
      </c>
      <c r="C271" t="s">
        <v>74</v>
      </c>
      <c r="D271" t="s">
        <v>74</v>
      </c>
      <c r="E271" t="s">
        <v>74</v>
      </c>
      <c r="F271" t="s">
        <v>2205</v>
      </c>
      <c r="G271" t="s">
        <v>74</v>
      </c>
      <c r="H271" t="s">
        <v>74</v>
      </c>
      <c r="I271" t="s">
        <v>2206</v>
      </c>
      <c r="J271" t="s">
        <v>2207</v>
      </c>
      <c r="K271" t="s">
        <v>74</v>
      </c>
      <c r="L271" t="s">
        <v>74</v>
      </c>
      <c r="M271" t="s">
        <v>74</v>
      </c>
      <c r="N271" t="s">
        <v>74</v>
      </c>
      <c r="O271" t="s">
        <v>74</v>
      </c>
      <c r="P271" t="s">
        <v>74</v>
      </c>
      <c r="Q271" t="s">
        <v>74</v>
      </c>
      <c r="R271" t="s">
        <v>74</v>
      </c>
      <c r="S271" t="s">
        <v>74</v>
      </c>
      <c r="T271" t="s">
        <v>74</v>
      </c>
      <c r="U271" t="s">
        <v>74</v>
      </c>
      <c r="V271" s="3" t="s">
        <v>2208</v>
      </c>
      <c r="W271" t="s">
        <v>74</v>
      </c>
      <c r="X271" t="s">
        <v>74</v>
      </c>
      <c r="Y271" t="s">
        <v>74</v>
      </c>
      <c r="Z271" t="s">
        <v>74</v>
      </c>
      <c r="AA271" t="s">
        <v>2209</v>
      </c>
      <c r="AB271" t="s">
        <v>2210</v>
      </c>
      <c r="AC271" t="s">
        <v>74</v>
      </c>
      <c r="AD271" t="s">
        <v>74</v>
      </c>
      <c r="AE271" t="s">
        <v>74</v>
      </c>
      <c r="AF271" t="s">
        <v>74</v>
      </c>
      <c r="AG271" t="s">
        <v>74</v>
      </c>
      <c r="AH271" t="s">
        <v>74</v>
      </c>
      <c r="AI271" t="s">
        <v>74</v>
      </c>
      <c r="AJ271" t="s">
        <v>74</v>
      </c>
      <c r="AK271" t="s">
        <v>74</v>
      </c>
      <c r="AL271" t="s">
        <v>74</v>
      </c>
      <c r="AM271" t="s">
        <v>74</v>
      </c>
      <c r="AN271" t="s">
        <v>74</v>
      </c>
      <c r="AO271" t="s">
        <v>2211</v>
      </c>
      <c r="AP271" t="s">
        <v>74</v>
      </c>
      <c r="AQ271" t="s">
        <v>74</v>
      </c>
      <c r="AR271" t="s">
        <v>74</v>
      </c>
      <c r="AS271" t="s">
        <v>74</v>
      </c>
      <c r="AT271" t="s">
        <v>204</v>
      </c>
      <c r="AU271">
        <v>2006</v>
      </c>
      <c r="AV271">
        <v>37</v>
      </c>
      <c r="AW271">
        <v>4</v>
      </c>
      <c r="AX271" t="s">
        <v>74</v>
      </c>
      <c r="AY271" t="s">
        <v>74</v>
      </c>
      <c r="AZ271" t="s">
        <v>74</v>
      </c>
      <c r="BA271" t="s">
        <v>74</v>
      </c>
      <c r="BB271">
        <v>339</v>
      </c>
      <c r="BC271">
        <v>348</v>
      </c>
      <c r="BD271" t="s">
        <v>74</v>
      </c>
      <c r="BE271" t="s">
        <v>2212</v>
      </c>
      <c r="BF271" t="str">
        <f>HYPERLINK("http://dx.doi.org/10.1111/j.2006.0908-8857.03655.x","http://dx.doi.org/10.1111/j.2006.0908-8857.03655.x")</f>
        <v>http://dx.doi.org/10.1111/j.2006.0908-8857.03655.x</v>
      </c>
      <c r="BG271" t="s">
        <v>74</v>
      </c>
      <c r="BH271" t="s">
        <v>74</v>
      </c>
      <c r="BI271" t="s">
        <v>74</v>
      </c>
      <c r="BJ271" t="s">
        <v>74</v>
      </c>
      <c r="BK271" t="s">
        <v>74</v>
      </c>
      <c r="BL271" t="s">
        <v>74</v>
      </c>
      <c r="BM271" t="s">
        <v>74</v>
      </c>
      <c r="BN271" t="s">
        <v>74</v>
      </c>
      <c r="BO271" t="s">
        <v>74</v>
      </c>
      <c r="BP271" t="s">
        <v>74</v>
      </c>
      <c r="BQ271" t="s">
        <v>74</v>
      </c>
      <c r="BR271" t="s">
        <v>74</v>
      </c>
      <c r="BS271" t="s">
        <v>2213</v>
      </c>
      <c r="BT271" t="str">
        <f>HYPERLINK("https%3A%2F%2Fwww.webofscience.com%2Fwos%2Fwoscc%2Ffull-record%2FWOS:000238486700008","View Full Record in Web of Science")</f>
        <v>View Full Record in Web of Science</v>
      </c>
    </row>
    <row r="272" spans="1:72" x14ac:dyDescent="0.4">
      <c r="A272" t="s">
        <v>72</v>
      </c>
      <c r="B272" t="s">
        <v>7287</v>
      </c>
      <c r="C272" t="s">
        <v>74</v>
      </c>
      <c r="D272" t="s">
        <v>74</v>
      </c>
      <c r="E272" t="s">
        <v>74</v>
      </c>
      <c r="F272" t="s">
        <v>7287</v>
      </c>
      <c r="G272" t="s">
        <v>74</v>
      </c>
      <c r="H272" t="s">
        <v>74</v>
      </c>
      <c r="I272" t="s">
        <v>7288</v>
      </c>
      <c r="J272" t="s">
        <v>367</v>
      </c>
      <c r="K272" t="s">
        <v>74</v>
      </c>
      <c r="L272" t="s">
        <v>74</v>
      </c>
      <c r="M272" t="s">
        <v>74</v>
      </c>
      <c r="N272" t="s">
        <v>74</v>
      </c>
      <c r="O272" t="s">
        <v>74</v>
      </c>
      <c r="P272" t="s">
        <v>74</v>
      </c>
      <c r="Q272" t="s">
        <v>74</v>
      </c>
      <c r="R272" t="s">
        <v>74</v>
      </c>
      <c r="S272" t="s">
        <v>74</v>
      </c>
      <c r="T272" t="s">
        <v>74</v>
      </c>
      <c r="U272" t="s">
        <v>74</v>
      </c>
      <c r="V272" s="3" t="s">
        <v>7289</v>
      </c>
      <c r="W272" t="s">
        <v>74</v>
      </c>
      <c r="X272" t="s">
        <v>74</v>
      </c>
      <c r="Y272" t="s">
        <v>74</v>
      </c>
      <c r="Z272" t="s">
        <v>74</v>
      </c>
      <c r="AA272" t="s">
        <v>74</v>
      </c>
      <c r="AB272" t="s">
        <v>74</v>
      </c>
      <c r="AC272" t="s">
        <v>74</v>
      </c>
      <c r="AD272" t="s">
        <v>74</v>
      </c>
      <c r="AE272" t="s">
        <v>74</v>
      </c>
      <c r="AF272" t="s">
        <v>74</v>
      </c>
      <c r="AG272" t="s">
        <v>74</v>
      </c>
      <c r="AH272" t="s">
        <v>74</v>
      </c>
      <c r="AI272" t="s">
        <v>74</v>
      </c>
      <c r="AJ272" t="s">
        <v>74</v>
      </c>
      <c r="AK272" t="s">
        <v>74</v>
      </c>
      <c r="AL272" t="s">
        <v>74</v>
      </c>
      <c r="AM272" t="s">
        <v>74</v>
      </c>
      <c r="AN272" t="s">
        <v>74</v>
      </c>
      <c r="AO272" t="s">
        <v>371</v>
      </c>
      <c r="AP272" t="s">
        <v>372</v>
      </c>
      <c r="AQ272" t="s">
        <v>74</v>
      </c>
      <c r="AR272" t="s">
        <v>74</v>
      </c>
      <c r="AS272" t="s">
        <v>74</v>
      </c>
      <c r="AT272" t="s">
        <v>102</v>
      </c>
      <c r="AU272">
        <v>1992</v>
      </c>
      <c r="AV272">
        <v>106</v>
      </c>
      <c r="AW272">
        <v>2</v>
      </c>
      <c r="AX272" t="s">
        <v>74</v>
      </c>
      <c r="AY272" t="s">
        <v>74</v>
      </c>
      <c r="AZ272" t="s">
        <v>74</v>
      </c>
      <c r="BA272" t="s">
        <v>74</v>
      </c>
      <c r="BB272">
        <v>150</v>
      </c>
      <c r="BC272">
        <v>162</v>
      </c>
      <c r="BD272" t="s">
        <v>74</v>
      </c>
      <c r="BE272" t="s">
        <v>74</v>
      </c>
      <c r="BF272" t="s">
        <v>74</v>
      </c>
      <c r="BG272" t="s">
        <v>74</v>
      </c>
      <c r="BH272" t="s">
        <v>74</v>
      </c>
      <c r="BI272" t="s">
        <v>74</v>
      </c>
      <c r="BJ272" t="s">
        <v>74</v>
      </c>
      <c r="BK272" t="s">
        <v>74</v>
      </c>
      <c r="BL272" t="s">
        <v>74</v>
      </c>
      <c r="BM272" t="s">
        <v>74</v>
      </c>
      <c r="BN272" t="s">
        <v>74</v>
      </c>
      <c r="BO272" t="s">
        <v>74</v>
      </c>
      <c r="BP272" t="s">
        <v>74</v>
      </c>
      <c r="BQ272" t="s">
        <v>74</v>
      </c>
      <c r="BR272" t="s">
        <v>74</v>
      </c>
      <c r="BS272" t="s">
        <v>7290</v>
      </c>
      <c r="BT272" t="str">
        <f>HYPERLINK("https%3A%2F%2Fwww.webofscience.com%2Fwos%2Fwoscc%2Ffull-record%2FWOS:A1992HW96900007","View Full Record in Web of Science")</f>
        <v>View Full Record in Web of Science</v>
      </c>
    </row>
    <row r="273" spans="1:72" x14ac:dyDescent="0.4">
      <c r="A273" t="s">
        <v>72</v>
      </c>
      <c r="B273" t="s">
        <v>4178</v>
      </c>
      <c r="C273" t="s">
        <v>74</v>
      </c>
      <c r="D273" t="s">
        <v>74</v>
      </c>
      <c r="E273" t="s">
        <v>74</v>
      </c>
      <c r="F273" t="s">
        <v>4178</v>
      </c>
      <c r="G273" t="s">
        <v>74</v>
      </c>
      <c r="H273" t="s">
        <v>74</v>
      </c>
      <c r="I273" t="s">
        <v>4179</v>
      </c>
      <c r="J273" t="s">
        <v>1126</v>
      </c>
      <c r="K273" t="s">
        <v>74</v>
      </c>
      <c r="L273" t="s">
        <v>74</v>
      </c>
      <c r="M273" t="s">
        <v>74</v>
      </c>
      <c r="N273" t="s">
        <v>74</v>
      </c>
      <c r="O273" t="s">
        <v>74</v>
      </c>
      <c r="P273" t="s">
        <v>74</v>
      </c>
      <c r="Q273" t="s">
        <v>74</v>
      </c>
      <c r="R273" t="s">
        <v>74</v>
      </c>
      <c r="S273" t="s">
        <v>74</v>
      </c>
      <c r="T273" t="s">
        <v>74</v>
      </c>
      <c r="U273" t="s">
        <v>74</v>
      </c>
      <c r="V273" s="3" t="s">
        <v>4180</v>
      </c>
      <c r="W273" t="s">
        <v>74</v>
      </c>
      <c r="X273" t="s">
        <v>74</v>
      </c>
      <c r="Y273" t="s">
        <v>74</v>
      </c>
      <c r="Z273" t="s">
        <v>74</v>
      </c>
      <c r="AA273" t="s">
        <v>4181</v>
      </c>
      <c r="AB273" t="s">
        <v>74</v>
      </c>
      <c r="AC273" t="s">
        <v>74</v>
      </c>
      <c r="AD273" t="s">
        <v>74</v>
      </c>
      <c r="AE273" t="s">
        <v>74</v>
      </c>
      <c r="AF273" t="s">
        <v>74</v>
      </c>
      <c r="AG273" t="s">
        <v>74</v>
      </c>
      <c r="AH273" t="s">
        <v>74</v>
      </c>
      <c r="AI273" t="s">
        <v>74</v>
      </c>
      <c r="AJ273" t="s">
        <v>74</v>
      </c>
      <c r="AK273" t="s">
        <v>74</v>
      </c>
      <c r="AL273" t="s">
        <v>74</v>
      </c>
      <c r="AM273" t="s">
        <v>74</v>
      </c>
      <c r="AN273" t="s">
        <v>74</v>
      </c>
      <c r="AO273" t="s">
        <v>1128</v>
      </c>
      <c r="AP273" t="s">
        <v>1129</v>
      </c>
      <c r="AQ273" t="s">
        <v>74</v>
      </c>
      <c r="AR273" t="s">
        <v>74</v>
      </c>
      <c r="AS273" t="s">
        <v>74</v>
      </c>
      <c r="AT273" t="s">
        <v>2028</v>
      </c>
      <c r="AU273">
        <v>1985</v>
      </c>
      <c r="AV273" t="s">
        <v>74</v>
      </c>
      <c r="AW273">
        <v>4</v>
      </c>
      <c r="AX273" t="s">
        <v>74</v>
      </c>
      <c r="AY273" t="s">
        <v>74</v>
      </c>
      <c r="AZ273" t="s">
        <v>74</v>
      </c>
      <c r="BA273" t="s">
        <v>74</v>
      </c>
      <c r="BB273">
        <v>966</v>
      </c>
      <c r="BC273">
        <v>975</v>
      </c>
      <c r="BD273" t="s">
        <v>74</v>
      </c>
      <c r="BE273" t="s">
        <v>74</v>
      </c>
      <c r="BF273" t="s">
        <v>74</v>
      </c>
      <c r="BG273" t="s">
        <v>74</v>
      </c>
      <c r="BH273" t="s">
        <v>74</v>
      </c>
      <c r="BI273" t="s">
        <v>74</v>
      </c>
      <c r="BJ273" t="s">
        <v>74</v>
      </c>
      <c r="BK273" t="s">
        <v>74</v>
      </c>
      <c r="BL273" t="s">
        <v>74</v>
      </c>
      <c r="BM273" t="s">
        <v>74</v>
      </c>
      <c r="BN273" t="s">
        <v>74</v>
      </c>
      <c r="BO273" t="s">
        <v>74</v>
      </c>
      <c r="BP273" t="s">
        <v>74</v>
      </c>
      <c r="BQ273" t="s">
        <v>74</v>
      </c>
      <c r="BR273" t="s">
        <v>74</v>
      </c>
      <c r="BS273" t="s">
        <v>4182</v>
      </c>
      <c r="BT273" t="str">
        <f>HYPERLINK("https%3A%2F%2Fwww.webofscience.com%2Fwos%2Fwoscc%2Ffull-record%2FWOS:A1985AXC0800019","View Full Record in Web of Science")</f>
        <v>View Full Record in Web of Science</v>
      </c>
    </row>
    <row r="274" spans="1:72" x14ac:dyDescent="0.4">
      <c r="A274" t="s">
        <v>72</v>
      </c>
      <c r="B274" t="s">
        <v>920</v>
      </c>
      <c r="C274" t="s">
        <v>74</v>
      </c>
      <c r="D274" t="s">
        <v>74</v>
      </c>
      <c r="E274" t="s">
        <v>74</v>
      </c>
      <c r="F274" t="s">
        <v>921</v>
      </c>
      <c r="G274" t="s">
        <v>74</v>
      </c>
      <c r="H274" t="s">
        <v>74</v>
      </c>
      <c r="I274" t="s">
        <v>922</v>
      </c>
      <c r="J274" t="s">
        <v>108</v>
      </c>
      <c r="K274" t="s">
        <v>74</v>
      </c>
      <c r="L274" t="s">
        <v>74</v>
      </c>
      <c r="M274" t="s">
        <v>74</v>
      </c>
      <c r="N274" t="s">
        <v>74</v>
      </c>
      <c r="O274" t="s">
        <v>74</v>
      </c>
      <c r="P274" t="s">
        <v>74</v>
      </c>
      <c r="Q274" t="s">
        <v>74</v>
      </c>
      <c r="R274" t="s">
        <v>74</v>
      </c>
      <c r="S274" t="s">
        <v>74</v>
      </c>
      <c r="T274" t="s">
        <v>74</v>
      </c>
      <c r="U274" t="s">
        <v>74</v>
      </c>
      <c r="V274" s="3" t="s">
        <v>923</v>
      </c>
      <c r="W274" t="s">
        <v>74</v>
      </c>
      <c r="X274" t="s">
        <v>74</v>
      </c>
      <c r="Y274" t="s">
        <v>74</v>
      </c>
      <c r="Z274" t="s">
        <v>74</v>
      </c>
      <c r="AA274" t="s">
        <v>74</v>
      </c>
      <c r="AB274" t="s">
        <v>74</v>
      </c>
      <c r="AC274" t="s">
        <v>74</v>
      </c>
      <c r="AD274" t="s">
        <v>74</v>
      </c>
      <c r="AE274" t="s">
        <v>74</v>
      </c>
      <c r="AF274" t="s">
        <v>74</v>
      </c>
      <c r="AG274" t="s">
        <v>74</v>
      </c>
      <c r="AH274" t="s">
        <v>74</v>
      </c>
      <c r="AI274" t="s">
        <v>74</v>
      </c>
      <c r="AJ274" t="s">
        <v>74</v>
      </c>
      <c r="AK274" t="s">
        <v>74</v>
      </c>
      <c r="AL274" t="s">
        <v>74</v>
      </c>
      <c r="AM274" t="s">
        <v>74</v>
      </c>
      <c r="AN274" t="s">
        <v>74</v>
      </c>
      <c r="AO274" t="s">
        <v>111</v>
      </c>
      <c r="AP274" t="s">
        <v>112</v>
      </c>
      <c r="AQ274" t="s">
        <v>74</v>
      </c>
      <c r="AR274" t="s">
        <v>74</v>
      </c>
      <c r="AS274" t="s">
        <v>74</v>
      </c>
      <c r="AT274" t="s">
        <v>924</v>
      </c>
      <c r="AU274">
        <v>2007</v>
      </c>
      <c r="AV274">
        <v>274</v>
      </c>
      <c r="AW274">
        <v>1627</v>
      </c>
      <c r="AX274" t="s">
        <v>74</v>
      </c>
      <c r="AY274" t="s">
        <v>74</v>
      </c>
      <c r="AZ274" t="s">
        <v>74</v>
      </c>
      <c r="BA274" t="s">
        <v>74</v>
      </c>
      <c r="BB274">
        <v>2785</v>
      </c>
      <c r="BC274">
        <v>2790</v>
      </c>
      <c r="BD274" t="s">
        <v>74</v>
      </c>
      <c r="BE274" t="s">
        <v>925</v>
      </c>
      <c r="BF274" t="str">
        <f>HYPERLINK("http://dx.doi.org/10.1098/rspb.2007.1059","http://dx.doi.org/10.1098/rspb.2007.1059")</f>
        <v>http://dx.doi.org/10.1098/rspb.2007.1059</v>
      </c>
      <c r="BG274" t="s">
        <v>74</v>
      </c>
      <c r="BH274" t="s">
        <v>74</v>
      </c>
      <c r="BI274" t="s">
        <v>74</v>
      </c>
      <c r="BJ274" t="s">
        <v>74</v>
      </c>
      <c r="BK274" t="s">
        <v>74</v>
      </c>
      <c r="BL274" t="s">
        <v>74</v>
      </c>
      <c r="BM274" t="s">
        <v>74</v>
      </c>
      <c r="BN274">
        <v>17848366</v>
      </c>
      <c r="BO274" t="s">
        <v>74</v>
      </c>
      <c r="BP274" t="s">
        <v>74</v>
      </c>
      <c r="BQ274" t="s">
        <v>74</v>
      </c>
      <c r="BR274" t="s">
        <v>74</v>
      </c>
      <c r="BS274" t="s">
        <v>926</v>
      </c>
      <c r="BT274" t="str">
        <f>HYPERLINK("https%3A%2F%2Fwww.webofscience.com%2Fwos%2Fwoscc%2Ffull-record%2FWOS:000250555000002","View Full Record in Web of Science")</f>
        <v>View Full Record in Web of Science</v>
      </c>
    </row>
    <row r="275" spans="1:72" x14ac:dyDescent="0.4">
      <c r="A275" t="s">
        <v>72</v>
      </c>
      <c r="B275" t="s">
        <v>7098</v>
      </c>
      <c r="C275" t="s">
        <v>74</v>
      </c>
      <c r="D275" t="s">
        <v>74</v>
      </c>
      <c r="E275" t="s">
        <v>74</v>
      </c>
      <c r="F275" t="s">
        <v>7098</v>
      </c>
      <c r="G275" t="s">
        <v>74</v>
      </c>
      <c r="H275" t="s">
        <v>74</v>
      </c>
      <c r="I275" t="s">
        <v>7099</v>
      </c>
      <c r="J275" t="s">
        <v>4064</v>
      </c>
      <c r="K275" t="s">
        <v>74</v>
      </c>
      <c r="L275" t="s">
        <v>74</v>
      </c>
      <c r="M275" t="s">
        <v>74</v>
      </c>
      <c r="N275" t="s">
        <v>74</v>
      </c>
      <c r="O275" t="s">
        <v>74</v>
      </c>
      <c r="P275" t="s">
        <v>74</v>
      </c>
      <c r="Q275" t="s">
        <v>74</v>
      </c>
      <c r="R275" t="s">
        <v>74</v>
      </c>
      <c r="S275" t="s">
        <v>74</v>
      </c>
      <c r="T275" t="s">
        <v>74</v>
      </c>
      <c r="U275" t="s">
        <v>74</v>
      </c>
      <c r="V275" s="3" t="s">
        <v>7100</v>
      </c>
      <c r="W275" t="s">
        <v>74</v>
      </c>
      <c r="X275" t="s">
        <v>74</v>
      </c>
      <c r="Y275" t="s">
        <v>74</v>
      </c>
      <c r="Z275" t="s">
        <v>74</v>
      </c>
      <c r="AA275" t="s">
        <v>74</v>
      </c>
      <c r="AB275" t="s">
        <v>74</v>
      </c>
      <c r="AC275" t="s">
        <v>74</v>
      </c>
      <c r="AD275" t="s">
        <v>74</v>
      </c>
      <c r="AE275" t="s">
        <v>74</v>
      </c>
      <c r="AF275" t="s">
        <v>74</v>
      </c>
      <c r="AG275" t="s">
        <v>74</v>
      </c>
      <c r="AH275" t="s">
        <v>74</v>
      </c>
      <c r="AI275" t="s">
        <v>74</v>
      </c>
      <c r="AJ275" t="s">
        <v>74</v>
      </c>
      <c r="AK275" t="s">
        <v>74</v>
      </c>
      <c r="AL275" t="s">
        <v>74</v>
      </c>
      <c r="AM275" t="s">
        <v>74</v>
      </c>
      <c r="AN275" t="s">
        <v>74</v>
      </c>
      <c r="AO275" t="s">
        <v>4068</v>
      </c>
      <c r="AP275" t="s">
        <v>4069</v>
      </c>
      <c r="AQ275" t="s">
        <v>74</v>
      </c>
      <c r="AR275" t="s">
        <v>74</v>
      </c>
      <c r="AS275" t="s">
        <v>74</v>
      </c>
      <c r="AT275" t="s">
        <v>7101</v>
      </c>
      <c r="AU275">
        <v>2005</v>
      </c>
      <c r="AV275">
        <v>15</v>
      </c>
      <c r="AW275">
        <v>23</v>
      </c>
      <c r="AX275" t="s">
        <v>74</v>
      </c>
      <c r="AY275" t="s">
        <v>74</v>
      </c>
      <c r="AZ275" t="s">
        <v>74</v>
      </c>
      <c r="BA275" t="s">
        <v>74</v>
      </c>
      <c r="BB275">
        <v>2170</v>
      </c>
      <c r="BC275">
        <v>2174</v>
      </c>
      <c r="BD275" t="s">
        <v>74</v>
      </c>
      <c r="BE275" t="s">
        <v>7102</v>
      </c>
      <c r="BF275" t="str">
        <f>HYPERLINK("http://dx.doi.org/10.1016/j.cub.2005.10.067","http://dx.doi.org/10.1016/j.cub.2005.10.067")</f>
        <v>http://dx.doi.org/10.1016/j.cub.2005.10.067</v>
      </c>
      <c r="BG275" t="s">
        <v>74</v>
      </c>
      <c r="BH275" t="s">
        <v>74</v>
      </c>
      <c r="BI275" t="s">
        <v>74</v>
      </c>
      <c r="BJ275" t="s">
        <v>74</v>
      </c>
      <c r="BK275" t="s">
        <v>74</v>
      </c>
      <c r="BL275" t="s">
        <v>74</v>
      </c>
      <c r="BM275" t="s">
        <v>74</v>
      </c>
      <c r="BN275">
        <v>16332544</v>
      </c>
      <c r="BO275" t="s">
        <v>74</v>
      </c>
      <c r="BP275" t="s">
        <v>74</v>
      </c>
      <c r="BQ275" t="s">
        <v>74</v>
      </c>
      <c r="BR275" t="s">
        <v>74</v>
      </c>
      <c r="BS275" t="s">
        <v>7103</v>
      </c>
      <c r="BT275" t="str">
        <f>HYPERLINK("https%3A%2F%2Fwww.webofscience.com%2Fwos%2Fwoscc%2Ffull-record%2FWOS:000234013400033","View Full Record in Web of Science")</f>
        <v>View Full Record in Web of Science</v>
      </c>
    </row>
    <row r="276" spans="1:72" x14ac:dyDescent="0.4">
      <c r="A276" t="s">
        <v>72</v>
      </c>
      <c r="B276" t="s">
        <v>7460</v>
      </c>
      <c r="C276" t="s">
        <v>74</v>
      </c>
      <c r="D276" t="s">
        <v>74</v>
      </c>
      <c r="E276" t="s">
        <v>74</v>
      </c>
      <c r="F276" t="s">
        <v>7461</v>
      </c>
      <c r="G276" t="s">
        <v>74</v>
      </c>
      <c r="H276" t="s">
        <v>74</v>
      </c>
      <c r="I276" t="s">
        <v>7462</v>
      </c>
      <c r="J276" t="s">
        <v>1026</v>
      </c>
      <c r="K276" t="s">
        <v>74</v>
      </c>
      <c r="L276" t="s">
        <v>74</v>
      </c>
      <c r="M276" t="s">
        <v>74</v>
      </c>
      <c r="N276" t="s">
        <v>74</v>
      </c>
      <c r="O276" t="s">
        <v>7463</v>
      </c>
      <c r="P276" t="s">
        <v>7464</v>
      </c>
      <c r="Q276" t="s">
        <v>7465</v>
      </c>
      <c r="R276" t="s">
        <v>7466</v>
      </c>
      <c r="S276" t="s">
        <v>74</v>
      </c>
      <c r="T276" t="s">
        <v>74</v>
      </c>
      <c r="U276" t="s">
        <v>74</v>
      </c>
      <c r="V276" s="3" t="s">
        <v>7467</v>
      </c>
      <c r="W276" t="s">
        <v>74</v>
      </c>
      <c r="X276" t="s">
        <v>74</v>
      </c>
      <c r="Y276" t="s">
        <v>74</v>
      </c>
      <c r="Z276" t="s">
        <v>74</v>
      </c>
      <c r="AA276" t="s">
        <v>74</v>
      </c>
      <c r="AB276" t="s">
        <v>74</v>
      </c>
      <c r="AC276" t="s">
        <v>74</v>
      </c>
      <c r="AD276" t="s">
        <v>74</v>
      </c>
      <c r="AE276" t="s">
        <v>74</v>
      </c>
      <c r="AF276" t="s">
        <v>74</v>
      </c>
      <c r="AG276" t="s">
        <v>74</v>
      </c>
      <c r="AH276" t="s">
        <v>74</v>
      </c>
      <c r="AI276" t="s">
        <v>74</v>
      </c>
      <c r="AJ276" t="s">
        <v>74</v>
      </c>
      <c r="AK276" t="s">
        <v>74</v>
      </c>
      <c r="AL276" t="s">
        <v>74</v>
      </c>
      <c r="AM276" t="s">
        <v>74</v>
      </c>
      <c r="AN276" t="s">
        <v>74</v>
      </c>
      <c r="AO276" t="s">
        <v>1030</v>
      </c>
      <c r="AP276" t="s">
        <v>1031</v>
      </c>
      <c r="AQ276" t="s">
        <v>74</v>
      </c>
      <c r="AR276" t="s">
        <v>74</v>
      </c>
      <c r="AS276" t="s">
        <v>74</v>
      </c>
      <c r="AT276" t="s">
        <v>964</v>
      </c>
      <c r="AU276">
        <v>2019</v>
      </c>
      <c r="AV276">
        <v>40</v>
      </c>
      <c r="AW276">
        <v>1</v>
      </c>
      <c r="AX276" t="s">
        <v>74</v>
      </c>
      <c r="AY276" t="s">
        <v>74</v>
      </c>
      <c r="AZ276" t="s">
        <v>848</v>
      </c>
      <c r="BA276" t="s">
        <v>74</v>
      </c>
      <c r="BB276">
        <v>28</v>
      </c>
      <c r="BC276">
        <v>52</v>
      </c>
      <c r="BD276" t="s">
        <v>74</v>
      </c>
      <c r="BE276" t="s">
        <v>7468</v>
      </c>
      <c r="BF276" t="str">
        <f>HYPERLINK("http://dx.doi.org/10.1007/s10764-018-0029-7","http://dx.doi.org/10.1007/s10764-018-0029-7")</f>
        <v>http://dx.doi.org/10.1007/s10764-018-0029-7</v>
      </c>
      <c r="BG276" t="s">
        <v>74</v>
      </c>
      <c r="BH276" t="s">
        <v>74</v>
      </c>
      <c r="BI276" t="s">
        <v>74</v>
      </c>
      <c r="BJ276" t="s">
        <v>74</v>
      </c>
      <c r="BK276" t="s">
        <v>74</v>
      </c>
      <c r="BL276" t="s">
        <v>74</v>
      </c>
      <c r="BM276" t="s">
        <v>74</v>
      </c>
      <c r="BN276" t="s">
        <v>74</v>
      </c>
      <c r="BO276" t="s">
        <v>74</v>
      </c>
      <c r="BP276" t="s">
        <v>74</v>
      </c>
      <c r="BQ276" t="s">
        <v>74</v>
      </c>
      <c r="BR276" t="s">
        <v>74</v>
      </c>
      <c r="BS276" t="s">
        <v>7469</v>
      </c>
      <c r="BT276" t="str">
        <f>HYPERLINK("https%3A%2F%2Fwww.webofscience.com%2Fwos%2Fwoscc%2Ffull-record%2FWOS:000460006300003","View Full Record in Web of Science")</f>
        <v>View Full Record in Web of Science</v>
      </c>
    </row>
    <row r="277" spans="1:72" x14ac:dyDescent="0.4">
      <c r="A277" t="s">
        <v>72</v>
      </c>
      <c r="B277" t="s">
        <v>2321</v>
      </c>
      <c r="C277" t="s">
        <v>74</v>
      </c>
      <c r="D277" t="s">
        <v>74</v>
      </c>
      <c r="E277" t="s">
        <v>74</v>
      </c>
      <c r="F277" t="s">
        <v>2322</v>
      </c>
      <c r="G277" t="s">
        <v>74</v>
      </c>
      <c r="H277" t="s">
        <v>74</v>
      </c>
      <c r="I277" t="s">
        <v>2323</v>
      </c>
      <c r="J277" t="s">
        <v>431</v>
      </c>
      <c r="K277" t="s">
        <v>74</v>
      </c>
      <c r="L277" t="s">
        <v>74</v>
      </c>
      <c r="M277" t="s">
        <v>74</v>
      </c>
      <c r="N277" t="s">
        <v>74</v>
      </c>
      <c r="O277" t="s">
        <v>74</v>
      </c>
      <c r="P277" t="s">
        <v>74</v>
      </c>
      <c r="Q277" t="s">
        <v>74</v>
      </c>
      <c r="R277" t="s">
        <v>74</v>
      </c>
      <c r="S277" t="s">
        <v>74</v>
      </c>
      <c r="T277" t="s">
        <v>74</v>
      </c>
      <c r="U277" t="s">
        <v>74</v>
      </c>
      <c r="V277" s="3" t="s">
        <v>2324</v>
      </c>
      <c r="W277" t="s">
        <v>74</v>
      </c>
      <c r="X277" t="s">
        <v>74</v>
      </c>
      <c r="Y277" t="s">
        <v>74</v>
      </c>
      <c r="Z277" t="s">
        <v>74</v>
      </c>
      <c r="AA277" t="s">
        <v>74</v>
      </c>
      <c r="AB277" t="s">
        <v>2325</v>
      </c>
      <c r="AC277" t="s">
        <v>74</v>
      </c>
      <c r="AD277" t="s">
        <v>74</v>
      </c>
      <c r="AE277" t="s">
        <v>74</v>
      </c>
      <c r="AF277" t="s">
        <v>74</v>
      </c>
      <c r="AG277" t="s">
        <v>74</v>
      </c>
      <c r="AH277" t="s">
        <v>74</v>
      </c>
      <c r="AI277" t="s">
        <v>74</v>
      </c>
      <c r="AJ277" t="s">
        <v>74</v>
      </c>
      <c r="AK277" t="s">
        <v>74</v>
      </c>
      <c r="AL277" t="s">
        <v>74</v>
      </c>
      <c r="AM277" t="s">
        <v>74</v>
      </c>
      <c r="AN277" t="s">
        <v>74</v>
      </c>
      <c r="AO277" t="s">
        <v>74</v>
      </c>
      <c r="AP277" t="s">
        <v>435</v>
      </c>
      <c r="AQ277" t="s">
        <v>74</v>
      </c>
      <c r="AR277" t="s">
        <v>74</v>
      </c>
      <c r="AS277" t="s">
        <v>74</v>
      </c>
      <c r="AT277" t="s">
        <v>633</v>
      </c>
      <c r="AU277">
        <v>2017</v>
      </c>
      <c r="AV277">
        <v>134</v>
      </c>
      <c r="AW277">
        <v>2</v>
      </c>
      <c r="AX277" t="s">
        <v>74</v>
      </c>
      <c r="AY277" t="s">
        <v>74</v>
      </c>
      <c r="AZ277" t="s">
        <v>74</v>
      </c>
      <c r="BA277" t="s">
        <v>74</v>
      </c>
      <c r="BB277">
        <v>317</v>
      </c>
      <c r="BC277">
        <v>329</v>
      </c>
      <c r="BD277" t="s">
        <v>74</v>
      </c>
      <c r="BE277" t="s">
        <v>2326</v>
      </c>
      <c r="BF277" t="str">
        <f>HYPERLINK("http://dx.doi.org/10.1642/AUK-16-119.1","http://dx.doi.org/10.1642/AUK-16-119.1")</f>
        <v>http://dx.doi.org/10.1642/AUK-16-119.1</v>
      </c>
      <c r="BG277" t="s">
        <v>74</v>
      </c>
      <c r="BH277" t="s">
        <v>74</v>
      </c>
      <c r="BI277" t="s">
        <v>74</v>
      </c>
      <c r="BJ277" t="s">
        <v>74</v>
      </c>
      <c r="BK277" t="s">
        <v>74</v>
      </c>
      <c r="BL277" t="s">
        <v>74</v>
      </c>
      <c r="BM277" t="s">
        <v>74</v>
      </c>
      <c r="BN277" t="s">
        <v>74</v>
      </c>
      <c r="BO277" t="s">
        <v>74</v>
      </c>
      <c r="BP277" t="s">
        <v>74</v>
      </c>
      <c r="BQ277" t="s">
        <v>74</v>
      </c>
      <c r="BR277" t="s">
        <v>74</v>
      </c>
      <c r="BS277" t="s">
        <v>2327</v>
      </c>
      <c r="BT277" t="str">
        <f>HYPERLINK("https%3A%2F%2Fwww.webofscience.com%2Fwos%2Fwoscc%2Ffull-record%2FWOS:000398573200004","View Full Record in Web of Science")</f>
        <v>View Full Record in Web of Science</v>
      </c>
    </row>
    <row r="278" spans="1:72" x14ac:dyDescent="0.4">
      <c r="A278" t="s">
        <v>72</v>
      </c>
      <c r="B278" t="s">
        <v>3496</v>
      </c>
      <c r="C278" t="s">
        <v>74</v>
      </c>
      <c r="D278" t="s">
        <v>74</v>
      </c>
      <c r="E278" t="s">
        <v>74</v>
      </c>
      <c r="F278" t="s">
        <v>3496</v>
      </c>
      <c r="G278" t="s">
        <v>74</v>
      </c>
      <c r="H278" t="s">
        <v>74</v>
      </c>
      <c r="I278" t="s">
        <v>3497</v>
      </c>
      <c r="J278" t="s">
        <v>3498</v>
      </c>
      <c r="K278" t="s">
        <v>74</v>
      </c>
      <c r="L278" t="s">
        <v>74</v>
      </c>
      <c r="M278" t="s">
        <v>74</v>
      </c>
      <c r="N278" t="s">
        <v>74</v>
      </c>
      <c r="O278" t="s">
        <v>74</v>
      </c>
      <c r="P278" t="s">
        <v>74</v>
      </c>
      <c r="Q278" t="s">
        <v>74</v>
      </c>
      <c r="R278" t="s">
        <v>74</v>
      </c>
      <c r="S278" t="s">
        <v>74</v>
      </c>
      <c r="T278" t="s">
        <v>74</v>
      </c>
      <c r="U278" t="s">
        <v>74</v>
      </c>
      <c r="V278" s="3" t="s">
        <v>3499</v>
      </c>
      <c r="W278" t="s">
        <v>74</v>
      </c>
      <c r="X278" t="s">
        <v>74</v>
      </c>
      <c r="Y278" t="s">
        <v>74</v>
      </c>
      <c r="Z278" t="s">
        <v>74</v>
      </c>
      <c r="AA278" t="s">
        <v>74</v>
      </c>
      <c r="AB278" t="s">
        <v>3500</v>
      </c>
      <c r="AC278" t="s">
        <v>74</v>
      </c>
      <c r="AD278" t="s">
        <v>74</v>
      </c>
      <c r="AE278" t="s">
        <v>74</v>
      </c>
      <c r="AF278" t="s">
        <v>74</v>
      </c>
      <c r="AG278" t="s">
        <v>74</v>
      </c>
      <c r="AH278" t="s">
        <v>74</v>
      </c>
      <c r="AI278" t="s">
        <v>74</v>
      </c>
      <c r="AJ278" t="s">
        <v>74</v>
      </c>
      <c r="AK278" t="s">
        <v>74</v>
      </c>
      <c r="AL278" t="s">
        <v>74</v>
      </c>
      <c r="AM278" t="s">
        <v>74</v>
      </c>
      <c r="AN278" t="s">
        <v>74</v>
      </c>
      <c r="AO278" t="s">
        <v>3501</v>
      </c>
      <c r="AP278" t="s">
        <v>3502</v>
      </c>
      <c r="AQ278" t="s">
        <v>74</v>
      </c>
      <c r="AR278" t="s">
        <v>74</v>
      </c>
      <c r="AS278" t="s">
        <v>74</v>
      </c>
      <c r="AT278" t="s">
        <v>633</v>
      </c>
      <c r="AU278">
        <v>1997</v>
      </c>
      <c r="AV278">
        <v>26</v>
      </c>
      <c r="AW278">
        <v>2</v>
      </c>
      <c r="AX278" t="s">
        <v>74</v>
      </c>
      <c r="AY278" t="s">
        <v>74</v>
      </c>
      <c r="AZ278" t="s">
        <v>74</v>
      </c>
      <c r="BA278" t="s">
        <v>74</v>
      </c>
      <c r="BB278">
        <v>318</v>
      </c>
      <c r="BC278">
        <v>326</v>
      </c>
      <c r="BD278" t="s">
        <v>74</v>
      </c>
      <c r="BE278" t="s">
        <v>3503</v>
      </c>
      <c r="BF278" t="str">
        <f>HYPERLINK("http://dx.doi.org/10.1093/ee/26.2.318","http://dx.doi.org/10.1093/ee/26.2.318")</f>
        <v>http://dx.doi.org/10.1093/ee/26.2.318</v>
      </c>
      <c r="BG278" t="s">
        <v>74</v>
      </c>
      <c r="BH278" t="s">
        <v>74</v>
      </c>
      <c r="BI278" t="s">
        <v>74</v>
      </c>
      <c r="BJ278" t="s">
        <v>74</v>
      </c>
      <c r="BK278" t="s">
        <v>74</v>
      </c>
      <c r="BL278" t="s">
        <v>74</v>
      </c>
      <c r="BM278" t="s">
        <v>74</v>
      </c>
      <c r="BN278" t="s">
        <v>74</v>
      </c>
      <c r="BO278" t="s">
        <v>74</v>
      </c>
      <c r="BP278" t="s">
        <v>74</v>
      </c>
      <c r="BQ278" t="s">
        <v>74</v>
      </c>
      <c r="BR278" t="s">
        <v>74</v>
      </c>
      <c r="BS278" t="s">
        <v>3504</v>
      </c>
      <c r="BT278" t="str">
        <f>HYPERLINK("https%3A%2F%2Fwww.webofscience.com%2Fwos%2Fwoscc%2Ffull-record%2FWOS:A1997WZ11800024","View Full Record in Web of Science")</f>
        <v>View Full Record in Web of Science</v>
      </c>
    </row>
    <row r="279" spans="1:72" x14ac:dyDescent="0.4">
      <c r="A279" t="s">
        <v>72</v>
      </c>
      <c r="B279" t="s">
        <v>6849</v>
      </c>
      <c r="C279" t="s">
        <v>74</v>
      </c>
      <c r="D279" t="s">
        <v>74</v>
      </c>
      <c r="E279" t="s">
        <v>74</v>
      </c>
      <c r="F279" t="s">
        <v>6850</v>
      </c>
      <c r="G279" t="s">
        <v>74</v>
      </c>
      <c r="H279" t="s">
        <v>74</v>
      </c>
      <c r="I279" t="s">
        <v>6851</v>
      </c>
      <c r="J279" t="s">
        <v>2901</v>
      </c>
      <c r="K279" t="s">
        <v>74</v>
      </c>
      <c r="L279" t="s">
        <v>74</v>
      </c>
      <c r="M279" t="s">
        <v>74</v>
      </c>
      <c r="N279" t="s">
        <v>74</v>
      </c>
      <c r="O279" t="s">
        <v>74</v>
      </c>
      <c r="P279" t="s">
        <v>74</v>
      </c>
      <c r="Q279" t="s">
        <v>74</v>
      </c>
      <c r="R279" t="s">
        <v>74</v>
      </c>
      <c r="S279" t="s">
        <v>74</v>
      </c>
      <c r="T279" t="s">
        <v>74</v>
      </c>
      <c r="U279" t="s">
        <v>74</v>
      </c>
      <c r="V279" s="3" t="s">
        <v>6852</v>
      </c>
      <c r="W279" t="s">
        <v>74</v>
      </c>
      <c r="X279" t="s">
        <v>74</v>
      </c>
      <c r="Y279" t="s">
        <v>74</v>
      </c>
      <c r="Z279" t="s">
        <v>74</v>
      </c>
      <c r="AA279" t="s">
        <v>6853</v>
      </c>
      <c r="AB279" t="s">
        <v>6854</v>
      </c>
      <c r="AC279" t="s">
        <v>74</v>
      </c>
      <c r="AD279" t="s">
        <v>74</v>
      </c>
      <c r="AE279" t="s">
        <v>74</v>
      </c>
      <c r="AF279" t="s">
        <v>74</v>
      </c>
      <c r="AG279" t="s">
        <v>74</v>
      </c>
      <c r="AH279" t="s">
        <v>74</v>
      </c>
      <c r="AI279" t="s">
        <v>74</v>
      </c>
      <c r="AJ279" t="s">
        <v>74</v>
      </c>
      <c r="AK279" t="s">
        <v>74</v>
      </c>
      <c r="AL279" t="s">
        <v>74</v>
      </c>
      <c r="AM279" t="s">
        <v>74</v>
      </c>
      <c r="AN279" t="s">
        <v>74</v>
      </c>
      <c r="AO279" t="s">
        <v>2903</v>
      </c>
      <c r="AP279" t="s">
        <v>2904</v>
      </c>
      <c r="AQ279" t="s">
        <v>74</v>
      </c>
      <c r="AR279" t="s">
        <v>74</v>
      </c>
      <c r="AS279" t="s">
        <v>74</v>
      </c>
      <c r="AT279" t="s">
        <v>74</v>
      </c>
      <c r="AU279">
        <v>2016</v>
      </c>
      <c r="AV279">
        <v>28</v>
      </c>
      <c r="AW279">
        <v>4</v>
      </c>
      <c r="AX279" t="s">
        <v>74</v>
      </c>
      <c r="AY279" t="s">
        <v>74</v>
      </c>
      <c r="AZ279" t="s">
        <v>74</v>
      </c>
      <c r="BA279" t="s">
        <v>74</v>
      </c>
      <c r="BB279">
        <v>462</v>
      </c>
      <c r="BC279">
        <v>476</v>
      </c>
      <c r="BD279" t="s">
        <v>74</v>
      </c>
      <c r="BE279" t="s">
        <v>6855</v>
      </c>
      <c r="BF279" t="str">
        <f>HYPERLINK("http://dx.doi.org/10.1080/03949370.2015.1077892","http://dx.doi.org/10.1080/03949370.2015.1077892")</f>
        <v>http://dx.doi.org/10.1080/03949370.2015.1077892</v>
      </c>
      <c r="BG279" t="s">
        <v>74</v>
      </c>
      <c r="BH279" t="s">
        <v>74</v>
      </c>
      <c r="BI279" t="s">
        <v>74</v>
      </c>
      <c r="BJ279" t="s">
        <v>74</v>
      </c>
      <c r="BK279" t="s">
        <v>74</v>
      </c>
      <c r="BL279" t="s">
        <v>74</v>
      </c>
      <c r="BM279" t="s">
        <v>74</v>
      </c>
      <c r="BN279" t="s">
        <v>74</v>
      </c>
      <c r="BO279" t="s">
        <v>74</v>
      </c>
      <c r="BP279" t="s">
        <v>74</v>
      </c>
      <c r="BQ279" t="s">
        <v>74</v>
      </c>
      <c r="BR279" t="s">
        <v>74</v>
      </c>
      <c r="BS279" t="s">
        <v>6856</v>
      </c>
      <c r="BT279" t="str">
        <f>HYPERLINK("https%3A%2F%2Fwww.webofscience.com%2Fwos%2Fwoscc%2Ffull-record%2FWOS:000384547700009","View Full Record in Web of Science")</f>
        <v>View Full Record in Web of Science</v>
      </c>
    </row>
    <row r="280" spans="1:72" x14ac:dyDescent="0.4">
      <c r="A280" t="s">
        <v>72</v>
      </c>
      <c r="B280" t="s">
        <v>7116</v>
      </c>
      <c r="C280" t="s">
        <v>74</v>
      </c>
      <c r="D280" t="s">
        <v>74</v>
      </c>
      <c r="E280" t="s">
        <v>74</v>
      </c>
      <c r="F280" t="s">
        <v>7117</v>
      </c>
      <c r="G280" t="s">
        <v>74</v>
      </c>
      <c r="H280" t="s">
        <v>74</v>
      </c>
      <c r="I280" t="s">
        <v>7118</v>
      </c>
      <c r="J280" t="s">
        <v>5577</v>
      </c>
      <c r="K280" t="s">
        <v>74</v>
      </c>
      <c r="L280" t="s">
        <v>74</v>
      </c>
      <c r="M280" t="s">
        <v>74</v>
      </c>
      <c r="N280" t="s">
        <v>74</v>
      </c>
      <c r="O280" t="s">
        <v>74</v>
      </c>
      <c r="P280" t="s">
        <v>74</v>
      </c>
      <c r="Q280" t="s">
        <v>74</v>
      </c>
      <c r="R280" t="s">
        <v>74</v>
      </c>
      <c r="S280" t="s">
        <v>74</v>
      </c>
      <c r="T280" t="s">
        <v>74</v>
      </c>
      <c r="U280" t="s">
        <v>74</v>
      </c>
      <c r="V280" s="3" t="s">
        <v>7119</v>
      </c>
      <c r="W280" t="s">
        <v>74</v>
      </c>
      <c r="X280" t="s">
        <v>74</v>
      </c>
      <c r="Y280" t="s">
        <v>74</v>
      </c>
      <c r="Z280" t="s">
        <v>74</v>
      </c>
      <c r="AA280" t="s">
        <v>74</v>
      </c>
      <c r="AB280" t="s">
        <v>74</v>
      </c>
      <c r="AC280" t="s">
        <v>74</v>
      </c>
      <c r="AD280" t="s">
        <v>74</v>
      </c>
      <c r="AE280" t="s">
        <v>74</v>
      </c>
      <c r="AF280" t="s">
        <v>74</v>
      </c>
      <c r="AG280" t="s">
        <v>74</v>
      </c>
      <c r="AH280" t="s">
        <v>74</v>
      </c>
      <c r="AI280" t="s">
        <v>74</v>
      </c>
      <c r="AJ280" t="s">
        <v>74</v>
      </c>
      <c r="AK280" t="s">
        <v>74</v>
      </c>
      <c r="AL280" t="s">
        <v>74</v>
      </c>
      <c r="AM280" t="s">
        <v>74</v>
      </c>
      <c r="AN280" t="s">
        <v>74</v>
      </c>
      <c r="AO280" t="s">
        <v>5579</v>
      </c>
      <c r="AP280" t="s">
        <v>74</v>
      </c>
      <c r="AQ280" t="s">
        <v>74</v>
      </c>
      <c r="AR280" t="s">
        <v>74</v>
      </c>
      <c r="AS280" t="s">
        <v>74</v>
      </c>
      <c r="AT280" t="s">
        <v>123</v>
      </c>
      <c r="AU280">
        <v>2022</v>
      </c>
      <c r="AV280">
        <v>101</v>
      </c>
      <c r="AW280">
        <v>3</v>
      </c>
      <c r="AX280" t="s">
        <v>74</v>
      </c>
      <c r="AY280" t="s">
        <v>74</v>
      </c>
      <c r="AZ280" t="s">
        <v>74</v>
      </c>
      <c r="BA280" t="s">
        <v>74</v>
      </c>
      <c r="BB280">
        <v>326</v>
      </c>
      <c r="BC280">
        <v>335</v>
      </c>
      <c r="BD280" t="s">
        <v>74</v>
      </c>
      <c r="BE280" t="s">
        <v>7120</v>
      </c>
      <c r="BF280" t="str">
        <f>HYPERLINK("http://dx.doi.org/10.31857/S0044513422010056","http://dx.doi.org/10.31857/S0044513422010056")</f>
        <v>http://dx.doi.org/10.31857/S0044513422010056</v>
      </c>
      <c r="BG280" t="s">
        <v>74</v>
      </c>
      <c r="BH280" t="s">
        <v>74</v>
      </c>
      <c r="BI280" t="s">
        <v>74</v>
      </c>
      <c r="BJ280" t="s">
        <v>74</v>
      </c>
      <c r="BK280" t="s">
        <v>74</v>
      </c>
      <c r="BL280" t="s">
        <v>74</v>
      </c>
      <c r="BM280" t="s">
        <v>74</v>
      </c>
      <c r="BN280" t="s">
        <v>74</v>
      </c>
      <c r="BO280" t="s">
        <v>74</v>
      </c>
      <c r="BP280" t="s">
        <v>74</v>
      </c>
      <c r="BQ280" t="s">
        <v>74</v>
      </c>
      <c r="BR280" t="s">
        <v>74</v>
      </c>
      <c r="BS280" t="s">
        <v>7121</v>
      </c>
      <c r="BT280" t="str">
        <f>HYPERLINK("https%3A%2F%2Fwww.webofscience.com%2Fwos%2Fwoscc%2Ffull-record%2FWOS:000851044400007","View Full Record in Web of Science")</f>
        <v>View Full Record in Web of Science</v>
      </c>
    </row>
    <row r="281" spans="1:72" x14ac:dyDescent="0.4">
      <c r="A281" t="s">
        <v>72</v>
      </c>
      <c r="B281" t="s">
        <v>8135</v>
      </c>
      <c r="C281" t="s">
        <v>74</v>
      </c>
      <c r="D281" t="s">
        <v>74</v>
      </c>
      <c r="E281" t="s">
        <v>74</v>
      </c>
      <c r="F281" t="s">
        <v>8135</v>
      </c>
      <c r="G281" t="s">
        <v>74</v>
      </c>
      <c r="H281" t="s">
        <v>74</v>
      </c>
      <c r="I281" t="s">
        <v>8136</v>
      </c>
      <c r="J281" t="s">
        <v>1237</v>
      </c>
      <c r="K281" t="s">
        <v>74</v>
      </c>
      <c r="L281" t="s">
        <v>74</v>
      </c>
      <c r="M281" t="s">
        <v>74</v>
      </c>
      <c r="N281" t="s">
        <v>74</v>
      </c>
      <c r="O281" t="s">
        <v>74</v>
      </c>
      <c r="P281" t="s">
        <v>74</v>
      </c>
      <c r="Q281" t="s">
        <v>74</v>
      </c>
      <c r="R281" t="s">
        <v>74</v>
      </c>
      <c r="S281" t="s">
        <v>74</v>
      </c>
      <c r="T281" t="s">
        <v>74</v>
      </c>
      <c r="U281" t="s">
        <v>74</v>
      </c>
      <c r="V281" s="3" t="s">
        <v>8137</v>
      </c>
      <c r="W281" t="s">
        <v>74</v>
      </c>
      <c r="X281" t="s">
        <v>74</v>
      </c>
      <c r="Y281" t="s">
        <v>74</v>
      </c>
      <c r="Z281" t="s">
        <v>74</v>
      </c>
      <c r="AA281" t="s">
        <v>8138</v>
      </c>
      <c r="AB281" t="s">
        <v>8139</v>
      </c>
      <c r="AC281" t="s">
        <v>74</v>
      </c>
      <c r="AD281" t="s">
        <v>74</v>
      </c>
      <c r="AE281" t="s">
        <v>74</v>
      </c>
      <c r="AF281" t="s">
        <v>74</v>
      </c>
      <c r="AG281" t="s">
        <v>74</v>
      </c>
      <c r="AH281" t="s">
        <v>74</v>
      </c>
      <c r="AI281" t="s">
        <v>74</v>
      </c>
      <c r="AJ281" t="s">
        <v>74</v>
      </c>
      <c r="AK281" t="s">
        <v>74</v>
      </c>
      <c r="AL281" t="s">
        <v>74</v>
      </c>
      <c r="AM281" t="s">
        <v>74</v>
      </c>
      <c r="AN281" t="s">
        <v>74</v>
      </c>
      <c r="AO281" t="s">
        <v>1239</v>
      </c>
      <c r="AP281" t="s">
        <v>74</v>
      </c>
      <c r="AQ281" t="s">
        <v>74</v>
      </c>
      <c r="AR281" t="s">
        <v>74</v>
      </c>
      <c r="AS281" t="s">
        <v>74</v>
      </c>
      <c r="AT281" t="s">
        <v>102</v>
      </c>
      <c r="AU281">
        <v>1993</v>
      </c>
      <c r="AV281">
        <v>71</v>
      </c>
      <c r="AW281">
        <v>6</v>
      </c>
      <c r="AX281" t="s">
        <v>74</v>
      </c>
      <c r="AY281" t="s">
        <v>74</v>
      </c>
      <c r="AZ281" t="s">
        <v>74</v>
      </c>
      <c r="BA281" t="s">
        <v>74</v>
      </c>
      <c r="BB281">
        <v>1104</v>
      </c>
      <c r="BC281">
        <v>1110</v>
      </c>
      <c r="BD281" t="s">
        <v>74</v>
      </c>
      <c r="BE281" t="s">
        <v>8140</v>
      </c>
      <c r="BF281" t="str">
        <f>HYPERLINK("http://dx.doi.org/10.1139/z93-150","http://dx.doi.org/10.1139/z93-150")</f>
        <v>http://dx.doi.org/10.1139/z93-150</v>
      </c>
      <c r="BG281" t="s">
        <v>74</v>
      </c>
      <c r="BH281" t="s">
        <v>74</v>
      </c>
      <c r="BI281" t="s">
        <v>74</v>
      </c>
      <c r="BJ281" t="s">
        <v>74</v>
      </c>
      <c r="BK281" t="s">
        <v>74</v>
      </c>
      <c r="BL281" t="s">
        <v>74</v>
      </c>
      <c r="BM281" t="s">
        <v>74</v>
      </c>
      <c r="BN281" t="s">
        <v>74</v>
      </c>
      <c r="BO281" t="s">
        <v>74</v>
      </c>
      <c r="BP281" t="s">
        <v>74</v>
      </c>
      <c r="BQ281" t="s">
        <v>74</v>
      </c>
      <c r="BR281" t="s">
        <v>74</v>
      </c>
      <c r="BS281" t="s">
        <v>8141</v>
      </c>
      <c r="BT281" t="str">
        <f>HYPERLINK("https%3A%2F%2Fwww.webofscience.com%2Fwos%2Fwoscc%2Ffull-record%2FWOS:A1993LU73200006","View Full Record in Web of Science")</f>
        <v>View Full Record in Web of Science</v>
      </c>
    </row>
    <row r="282" spans="1:72" x14ac:dyDescent="0.4">
      <c r="A282" t="s">
        <v>72</v>
      </c>
      <c r="B282" t="s">
        <v>3892</v>
      </c>
      <c r="C282" t="s">
        <v>74</v>
      </c>
      <c r="D282" t="s">
        <v>74</v>
      </c>
      <c r="E282" t="s">
        <v>74</v>
      </c>
      <c r="F282" t="s">
        <v>3893</v>
      </c>
      <c r="G282" t="s">
        <v>74</v>
      </c>
      <c r="H282" t="s">
        <v>74</v>
      </c>
      <c r="I282" t="s">
        <v>3894</v>
      </c>
      <c r="J282" t="s">
        <v>140</v>
      </c>
      <c r="K282" t="s">
        <v>74</v>
      </c>
      <c r="L282" t="s">
        <v>74</v>
      </c>
      <c r="M282" t="s">
        <v>74</v>
      </c>
      <c r="N282" t="s">
        <v>74</v>
      </c>
      <c r="O282" t="s">
        <v>74</v>
      </c>
      <c r="P282" t="s">
        <v>74</v>
      </c>
      <c r="Q282" t="s">
        <v>74</v>
      </c>
      <c r="R282" t="s">
        <v>74</v>
      </c>
      <c r="S282" t="s">
        <v>74</v>
      </c>
      <c r="T282" t="s">
        <v>74</v>
      </c>
      <c r="U282" t="s">
        <v>74</v>
      </c>
      <c r="V282" s="3" t="s">
        <v>3895</v>
      </c>
      <c r="W282" t="s">
        <v>74</v>
      </c>
      <c r="X282" t="s">
        <v>74</v>
      </c>
      <c r="Y282" t="s">
        <v>74</v>
      </c>
      <c r="Z282" t="s">
        <v>74</v>
      </c>
      <c r="AA282" t="s">
        <v>3896</v>
      </c>
      <c r="AB282" t="s">
        <v>3897</v>
      </c>
      <c r="AC282" t="s">
        <v>74</v>
      </c>
      <c r="AD282" t="s">
        <v>74</v>
      </c>
      <c r="AE282" t="s">
        <v>74</v>
      </c>
      <c r="AF282" t="s">
        <v>74</v>
      </c>
      <c r="AG282" t="s">
        <v>74</v>
      </c>
      <c r="AH282" t="s">
        <v>74</v>
      </c>
      <c r="AI282" t="s">
        <v>74</v>
      </c>
      <c r="AJ282" t="s">
        <v>74</v>
      </c>
      <c r="AK282" t="s">
        <v>74</v>
      </c>
      <c r="AL282" t="s">
        <v>74</v>
      </c>
      <c r="AM282" t="s">
        <v>74</v>
      </c>
      <c r="AN282" t="s">
        <v>74</v>
      </c>
      <c r="AO282" t="s">
        <v>143</v>
      </c>
      <c r="AP282" t="s">
        <v>144</v>
      </c>
      <c r="AQ282" t="s">
        <v>74</v>
      </c>
      <c r="AR282" t="s">
        <v>74</v>
      </c>
      <c r="AS282" t="s">
        <v>74</v>
      </c>
      <c r="AT282" t="s">
        <v>305</v>
      </c>
      <c r="AU282">
        <v>2020</v>
      </c>
      <c r="AV282">
        <v>170</v>
      </c>
      <c r="AW282" t="s">
        <v>74</v>
      </c>
      <c r="AX282" t="s">
        <v>74</v>
      </c>
      <c r="AY282" t="s">
        <v>74</v>
      </c>
      <c r="AZ282" t="s">
        <v>74</v>
      </c>
      <c r="BA282" t="s">
        <v>74</v>
      </c>
      <c r="BB282">
        <v>167</v>
      </c>
      <c r="BC282">
        <v>176</v>
      </c>
      <c r="BD282" t="s">
        <v>74</v>
      </c>
      <c r="BE282" t="s">
        <v>3898</v>
      </c>
      <c r="BF282" t="str">
        <f>HYPERLINK("http://dx.doi.org/10.1016/j.anbehav.2020.10.014","http://dx.doi.org/10.1016/j.anbehav.2020.10.014")</f>
        <v>http://dx.doi.org/10.1016/j.anbehav.2020.10.014</v>
      </c>
      <c r="BG282" t="s">
        <v>74</v>
      </c>
      <c r="BH282" t="s">
        <v>74</v>
      </c>
      <c r="BI282" t="s">
        <v>74</v>
      </c>
      <c r="BJ282" t="s">
        <v>74</v>
      </c>
      <c r="BK282" t="s">
        <v>74</v>
      </c>
      <c r="BL282" t="s">
        <v>74</v>
      </c>
      <c r="BM282" t="s">
        <v>74</v>
      </c>
      <c r="BN282" t="s">
        <v>74</v>
      </c>
      <c r="BO282" t="s">
        <v>74</v>
      </c>
      <c r="BP282" t="s">
        <v>74</v>
      </c>
      <c r="BQ282" t="s">
        <v>74</v>
      </c>
      <c r="BR282" t="s">
        <v>74</v>
      </c>
      <c r="BS282" t="s">
        <v>3899</v>
      </c>
      <c r="BT282" t="str">
        <f>HYPERLINK("https%3A%2F%2Fwww.webofscience.com%2Fwos%2Fwoscc%2Ffull-record%2FWOS:000598905300016","View Full Record in Web of Science")</f>
        <v>View Full Record in Web of Science</v>
      </c>
    </row>
    <row r="283" spans="1:72" x14ac:dyDescent="0.4">
      <c r="A283" t="s">
        <v>72</v>
      </c>
      <c r="B283" t="s">
        <v>480</v>
      </c>
      <c r="C283" t="s">
        <v>74</v>
      </c>
      <c r="D283" t="s">
        <v>74</v>
      </c>
      <c r="E283" t="s">
        <v>74</v>
      </c>
      <c r="F283" t="s">
        <v>481</v>
      </c>
      <c r="G283" t="s">
        <v>74</v>
      </c>
      <c r="H283" t="s">
        <v>74</v>
      </c>
      <c r="I283" t="s">
        <v>482</v>
      </c>
      <c r="J283" t="s">
        <v>218</v>
      </c>
      <c r="K283" t="s">
        <v>74</v>
      </c>
      <c r="L283" t="s">
        <v>74</v>
      </c>
      <c r="M283" t="s">
        <v>74</v>
      </c>
      <c r="N283" t="s">
        <v>74</v>
      </c>
      <c r="O283" t="s">
        <v>74</v>
      </c>
      <c r="P283" t="s">
        <v>74</v>
      </c>
      <c r="Q283" t="s">
        <v>74</v>
      </c>
      <c r="R283" t="s">
        <v>74</v>
      </c>
      <c r="S283" t="s">
        <v>74</v>
      </c>
      <c r="T283" t="s">
        <v>74</v>
      </c>
      <c r="U283" t="s">
        <v>74</v>
      </c>
      <c r="V283" s="3" t="s">
        <v>483</v>
      </c>
      <c r="W283" t="s">
        <v>74</v>
      </c>
      <c r="X283" t="s">
        <v>74</v>
      </c>
      <c r="Y283" t="s">
        <v>74</v>
      </c>
      <c r="Z283" t="s">
        <v>74</v>
      </c>
      <c r="AA283" t="s">
        <v>484</v>
      </c>
      <c r="AB283" t="s">
        <v>485</v>
      </c>
      <c r="AC283" t="s">
        <v>74</v>
      </c>
      <c r="AD283" t="s">
        <v>74</v>
      </c>
      <c r="AE283" t="s">
        <v>74</v>
      </c>
      <c r="AF283" t="s">
        <v>74</v>
      </c>
      <c r="AG283" t="s">
        <v>74</v>
      </c>
      <c r="AH283" t="s">
        <v>74</v>
      </c>
      <c r="AI283" t="s">
        <v>74</v>
      </c>
      <c r="AJ283" t="s">
        <v>74</v>
      </c>
      <c r="AK283" t="s">
        <v>74</v>
      </c>
      <c r="AL283" t="s">
        <v>74</v>
      </c>
      <c r="AM283" t="s">
        <v>74</v>
      </c>
      <c r="AN283" t="s">
        <v>74</v>
      </c>
      <c r="AO283" t="s">
        <v>221</v>
      </c>
      <c r="AP283" t="s">
        <v>222</v>
      </c>
      <c r="AQ283" t="s">
        <v>74</v>
      </c>
      <c r="AR283" t="s">
        <v>74</v>
      </c>
      <c r="AS283" t="s">
        <v>74</v>
      </c>
      <c r="AT283" t="s">
        <v>123</v>
      </c>
      <c r="AU283">
        <v>2007</v>
      </c>
      <c r="AV283">
        <v>20</v>
      </c>
      <c r="AW283">
        <v>2</v>
      </c>
      <c r="AX283" t="s">
        <v>74</v>
      </c>
      <c r="AY283" t="s">
        <v>74</v>
      </c>
      <c r="AZ283" t="s">
        <v>74</v>
      </c>
      <c r="BA283" t="s">
        <v>74</v>
      </c>
      <c r="BB283">
        <v>496</v>
      </c>
      <c r="BC283">
        <v>502</v>
      </c>
      <c r="BD283" t="s">
        <v>74</v>
      </c>
      <c r="BE283" t="s">
        <v>486</v>
      </c>
      <c r="BF283" t="str">
        <f>HYPERLINK("http://dx.doi.org/10.1111/j.1420-9101.2006.01266.x","http://dx.doi.org/10.1111/j.1420-9101.2006.01266.x")</f>
        <v>http://dx.doi.org/10.1111/j.1420-9101.2006.01266.x</v>
      </c>
      <c r="BG283" t="s">
        <v>74</v>
      </c>
      <c r="BH283" t="s">
        <v>74</v>
      </c>
      <c r="BI283" t="s">
        <v>74</v>
      </c>
      <c r="BJ283" t="s">
        <v>74</v>
      </c>
      <c r="BK283" t="s">
        <v>74</v>
      </c>
      <c r="BL283" t="s">
        <v>74</v>
      </c>
      <c r="BM283" t="s">
        <v>74</v>
      </c>
      <c r="BN283">
        <v>17305815</v>
      </c>
      <c r="BO283" t="s">
        <v>74</v>
      </c>
      <c r="BP283" t="s">
        <v>74</v>
      </c>
      <c r="BQ283" t="s">
        <v>74</v>
      </c>
      <c r="BR283" t="s">
        <v>74</v>
      </c>
      <c r="BS283" t="s">
        <v>487</v>
      </c>
      <c r="BT283" t="str">
        <f>HYPERLINK("https%3A%2F%2Fwww.webofscience.com%2Fwos%2Fwoscc%2Ffull-record%2FWOS:000244244300008","View Full Record in Web of Science")</f>
        <v>View Full Record in Web of Science</v>
      </c>
    </row>
    <row r="284" spans="1:72" x14ac:dyDescent="0.4">
      <c r="A284" t="s">
        <v>72</v>
      </c>
      <c r="B284" t="s">
        <v>4678</v>
      </c>
      <c r="C284" t="s">
        <v>74</v>
      </c>
      <c r="D284" t="s">
        <v>74</v>
      </c>
      <c r="E284" t="s">
        <v>74</v>
      </c>
      <c r="F284" t="s">
        <v>4679</v>
      </c>
      <c r="G284" t="s">
        <v>74</v>
      </c>
      <c r="H284" t="s">
        <v>74</v>
      </c>
      <c r="I284" t="s">
        <v>4680</v>
      </c>
      <c r="J284" t="s">
        <v>218</v>
      </c>
      <c r="K284" t="s">
        <v>74</v>
      </c>
      <c r="L284" t="s">
        <v>74</v>
      </c>
      <c r="M284" t="s">
        <v>74</v>
      </c>
      <c r="N284" t="s">
        <v>74</v>
      </c>
      <c r="O284" t="s">
        <v>74</v>
      </c>
      <c r="P284" t="s">
        <v>74</v>
      </c>
      <c r="Q284" t="s">
        <v>74</v>
      </c>
      <c r="R284" t="s">
        <v>74</v>
      </c>
      <c r="S284" t="s">
        <v>74</v>
      </c>
      <c r="T284" t="s">
        <v>74</v>
      </c>
      <c r="U284" t="s">
        <v>74</v>
      </c>
      <c r="V284" s="3" t="s">
        <v>4681</v>
      </c>
      <c r="W284" t="s">
        <v>74</v>
      </c>
      <c r="X284" t="s">
        <v>74</v>
      </c>
      <c r="Y284" t="s">
        <v>74</v>
      </c>
      <c r="Z284" t="s">
        <v>74</v>
      </c>
      <c r="AA284" t="s">
        <v>4682</v>
      </c>
      <c r="AB284" t="s">
        <v>4683</v>
      </c>
      <c r="AC284" t="s">
        <v>74</v>
      </c>
      <c r="AD284" t="s">
        <v>74</v>
      </c>
      <c r="AE284" t="s">
        <v>74</v>
      </c>
      <c r="AF284" t="s">
        <v>74</v>
      </c>
      <c r="AG284" t="s">
        <v>74</v>
      </c>
      <c r="AH284" t="s">
        <v>74</v>
      </c>
      <c r="AI284" t="s">
        <v>74</v>
      </c>
      <c r="AJ284" t="s">
        <v>74</v>
      </c>
      <c r="AK284" t="s">
        <v>74</v>
      </c>
      <c r="AL284" t="s">
        <v>74</v>
      </c>
      <c r="AM284" t="s">
        <v>74</v>
      </c>
      <c r="AN284" t="s">
        <v>74</v>
      </c>
      <c r="AO284" t="s">
        <v>221</v>
      </c>
      <c r="AP284" t="s">
        <v>222</v>
      </c>
      <c r="AQ284" t="s">
        <v>74</v>
      </c>
      <c r="AR284" t="s">
        <v>74</v>
      </c>
      <c r="AS284" t="s">
        <v>74</v>
      </c>
      <c r="AT284" t="s">
        <v>305</v>
      </c>
      <c r="AU284">
        <v>2011</v>
      </c>
      <c r="AV284">
        <v>24</v>
      </c>
      <c r="AW284">
        <v>12</v>
      </c>
      <c r="AX284" t="s">
        <v>74</v>
      </c>
      <c r="AY284" t="s">
        <v>74</v>
      </c>
      <c r="AZ284" t="s">
        <v>74</v>
      </c>
      <c r="BA284" t="s">
        <v>74</v>
      </c>
      <c r="BB284">
        <v>2639</v>
      </c>
      <c r="BC284">
        <v>2652</v>
      </c>
      <c r="BD284" t="s">
        <v>74</v>
      </c>
      <c r="BE284" t="s">
        <v>4684</v>
      </c>
      <c r="BF284" t="str">
        <f>HYPERLINK("http://dx.doi.org/10.1111/j.1420-9101.2011.02389.x","http://dx.doi.org/10.1111/j.1420-9101.2011.02389.x")</f>
        <v>http://dx.doi.org/10.1111/j.1420-9101.2011.02389.x</v>
      </c>
      <c r="BG284" t="s">
        <v>74</v>
      </c>
      <c r="BH284" t="s">
        <v>74</v>
      </c>
      <c r="BI284" t="s">
        <v>74</v>
      </c>
      <c r="BJ284" t="s">
        <v>74</v>
      </c>
      <c r="BK284" t="s">
        <v>74</v>
      </c>
      <c r="BL284" t="s">
        <v>74</v>
      </c>
      <c r="BM284" t="s">
        <v>74</v>
      </c>
      <c r="BN284">
        <v>21955260</v>
      </c>
      <c r="BO284" t="s">
        <v>74</v>
      </c>
      <c r="BP284" t="s">
        <v>74</v>
      </c>
      <c r="BQ284" t="s">
        <v>74</v>
      </c>
      <c r="BR284" t="s">
        <v>74</v>
      </c>
      <c r="BS284" t="s">
        <v>4685</v>
      </c>
      <c r="BT284" t="str">
        <f>HYPERLINK("https%3A%2F%2Fwww.webofscience.com%2Fwos%2Fwoscc%2Ffull-record%2FWOS:000297639600010","View Full Record in Web of Science")</f>
        <v>View Full Record in Web of Science</v>
      </c>
    </row>
    <row r="285" spans="1:72" x14ac:dyDescent="0.4">
      <c r="A285" t="s">
        <v>72</v>
      </c>
      <c r="B285" t="s">
        <v>1078</v>
      </c>
      <c r="C285" t="s">
        <v>74</v>
      </c>
      <c r="D285" t="s">
        <v>74</v>
      </c>
      <c r="E285" t="s">
        <v>74</v>
      </c>
      <c r="F285" t="s">
        <v>1078</v>
      </c>
      <c r="G285" t="s">
        <v>74</v>
      </c>
      <c r="H285" t="s">
        <v>74</v>
      </c>
      <c r="I285" t="s">
        <v>1079</v>
      </c>
      <c r="J285" t="s">
        <v>129</v>
      </c>
      <c r="K285" t="s">
        <v>74</v>
      </c>
      <c r="L285" t="s">
        <v>74</v>
      </c>
      <c r="M285" t="s">
        <v>74</v>
      </c>
      <c r="N285" t="s">
        <v>74</v>
      </c>
      <c r="O285" t="s">
        <v>74</v>
      </c>
      <c r="P285" t="s">
        <v>74</v>
      </c>
      <c r="Q285" t="s">
        <v>74</v>
      </c>
      <c r="R285" t="s">
        <v>74</v>
      </c>
      <c r="S285" t="s">
        <v>74</v>
      </c>
      <c r="T285" t="s">
        <v>74</v>
      </c>
      <c r="U285" t="s">
        <v>74</v>
      </c>
      <c r="V285" s="3" t="s">
        <v>1080</v>
      </c>
      <c r="W285" t="s">
        <v>74</v>
      </c>
      <c r="X285" t="s">
        <v>74</v>
      </c>
      <c r="Y285" t="s">
        <v>74</v>
      </c>
      <c r="Z285" t="s">
        <v>74</v>
      </c>
      <c r="AA285" t="s">
        <v>1081</v>
      </c>
      <c r="AB285" t="s">
        <v>1082</v>
      </c>
      <c r="AC285" t="s">
        <v>74</v>
      </c>
      <c r="AD285" t="s">
        <v>74</v>
      </c>
      <c r="AE285" t="s">
        <v>74</v>
      </c>
      <c r="AF285" t="s">
        <v>74</v>
      </c>
      <c r="AG285" t="s">
        <v>74</v>
      </c>
      <c r="AH285" t="s">
        <v>74</v>
      </c>
      <c r="AI285" t="s">
        <v>74</v>
      </c>
      <c r="AJ285" t="s">
        <v>74</v>
      </c>
      <c r="AK285" t="s">
        <v>74</v>
      </c>
      <c r="AL285" t="s">
        <v>74</v>
      </c>
      <c r="AM285" t="s">
        <v>74</v>
      </c>
      <c r="AN285" t="s">
        <v>74</v>
      </c>
      <c r="AO285" t="s">
        <v>132</v>
      </c>
      <c r="AP285" t="s">
        <v>133</v>
      </c>
      <c r="AQ285" t="s">
        <v>74</v>
      </c>
      <c r="AR285" t="s">
        <v>74</v>
      </c>
      <c r="AS285" t="s">
        <v>74</v>
      </c>
      <c r="AT285" t="s">
        <v>123</v>
      </c>
      <c r="AU285">
        <v>2006</v>
      </c>
      <c r="AV285">
        <v>59</v>
      </c>
      <c r="AW285">
        <v>5</v>
      </c>
      <c r="AX285" t="s">
        <v>74</v>
      </c>
      <c r="AY285" t="s">
        <v>74</v>
      </c>
      <c r="AZ285" t="s">
        <v>74</v>
      </c>
      <c r="BA285" t="s">
        <v>74</v>
      </c>
      <c r="BB285">
        <v>704</v>
      </c>
      <c r="BC285">
        <v>713</v>
      </c>
      <c r="BD285" t="s">
        <v>74</v>
      </c>
      <c r="BE285" t="s">
        <v>1083</v>
      </c>
      <c r="BF285" t="str">
        <f>HYPERLINK("http://dx.doi.org/10.1007/s00265-005-0100-1","http://dx.doi.org/10.1007/s00265-005-0100-1")</f>
        <v>http://dx.doi.org/10.1007/s00265-005-0100-1</v>
      </c>
      <c r="BG285" t="s">
        <v>74</v>
      </c>
      <c r="BH285" t="s">
        <v>74</v>
      </c>
      <c r="BI285" t="s">
        <v>74</v>
      </c>
      <c r="BJ285" t="s">
        <v>74</v>
      </c>
      <c r="BK285" t="s">
        <v>74</v>
      </c>
      <c r="BL285" t="s">
        <v>74</v>
      </c>
      <c r="BM285" t="s">
        <v>74</v>
      </c>
      <c r="BN285" t="s">
        <v>74</v>
      </c>
      <c r="BO285" t="s">
        <v>74</v>
      </c>
      <c r="BP285" t="s">
        <v>74</v>
      </c>
      <c r="BQ285" t="s">
        <v>74</v>
      </c>
      <c r="BR285" t="s">
        <v>74</v>
      </c>
      <c r="BS285" t="s">
        <v>1084</v>
      </c>
      <c r="BT285" t="str">
        <f>HYPERLINK("https%3A%2F%2Fwww.webofscience.com%2Fwos%2Fwoscc%2Ffull-record%2FWOS:000235219700015","View Full Record in Web of Science")</f>
        <v>View Full Record in Web of Science</v>
      </c>
    </row>
    <row r="286" spans="1:72" x14ac:dyDescent="0.4">
      <c r="A286" t="s">
        <v>72</v>
      </c>
      <c r="B286" t="s">
        <v>1469</v>
      </c>
      <c r="C286" t="s">
        <v>74</v>
      </c>
      <c r="D286" t="s">
        <v>74</v>
      </c>
      <c r="E286" t="s">
        <v>74</v>
      </c>
      <c r="F286" t="s">
        <v>1470</v>
      </c>
      <c r="G286" t="s">
        <v>74</v>
      </c>
      <c r="H286" t="s">
        <v>74</v>
      </c>
      <c r="I286" t="s">
        <v>1471</v>
      </c>
      <c r="J286" t="s">
        <v>333</v>
      </c>
      <c r="K286" t="s">
        <v>74</v>
      </c>
      <c r="L286" t="s">
        <v>74</v>
      </c>
      <c r="M286" t="s">
        <v>74</v>
      </c>
      <c r="N286" t="s">
        <v>74</v>
      </c>
      <c r="O286" t="s">
        <v>74</v>
      </c>
      <c r="P286" t="s">
        <v>74</v>
      </c>
      <c r="Q286" t="s">
        <v>74</v>
      </c>
      <c r="R286" t="s">
        <v>74</v>
      </c>
      <c r="S286" t="s">
        <v>74</v>
      </c>
      <c r="T286" t="s">
        <v>74</v>
      </c>
      <c r="U286" t="s">
        <v>74</v>
      </c>
      <c r="V286" s="3" t="s">
        <v>1472</v>
      </c>
      <c r="W286" t="s">
        <v>74</v>
      </c>
      <c r="X286" t="s">
        <v>74</v>
      </c>
      <c r="Y286" t="s">
        <v>74</v>
      </c>
      <c r="Z286" t="s">
        <v>74</v>
      </c>
      <c r="AA286" t="s">
        <v>1473</v>
      </c>
      <c r="AB286" t="s">
        <v>1474</v>
      </c>
      <c r="AC286" t="s">
        <v>74</v>
      </c>
      <c r="AD286" t="s">
        <v>74</v>
      </c>
      <c r="AE286" t="s">
        <v>74</v>
      </c>
      <c r="AF286" t="s">
        <v>74</v>
      </c>
      <c r="AG286" t="s">
        <v>74</v>
      </c>
      <c r="AH286" t="s">
        <v>74</v>
      </c>
      <c r="AI286" t="s">
        <v>74</v>
      </c>
      <c r="AJ286" t="s">
        <v>74</v>
      </c>
      <c r="AK286" t="s">
        <v>74</v>
      </c>
      <c r="AL286" t="s">
        <v>74</v>
      </c>
      <c r="AM286" t="s">
        <v>74</v>
      </c>
      <c r="AN286" t="s">
        <v>74</v>
      </c>
      <c r="AO286" t="s">
        <v>337</v>
      </c>
      <c r="AP286" t="s">
        <v>338</v>
      </c>
      <c r="AQ286" t="s">
        <v>74</v>
      </c>
      <c r="AR286" t="s">
        <v>74</v>
      </c>
      <c r="AS286" t="s">
        <v>74</v>
      </c>
      <c r="AT286" t="s">
        <v>1475</v>
      </c>
      <c r="AU286">
        <v>2009</v>
      </c>
      <c r="AV286">
        <v>20</v>
      </c>
      <c r="AW286">
        <v>1</v>
      </c>
      <c r="AX286" t="s">
        <v>74</v>
      </c>
      <c r="AY286" t="s">
        <v>74</v>
      </c>
      <c r="AZ286" t="s">
        <v>74</v>
      </c>
      <c r="BA286" t="s">
        <v>74</v>
      </c>
      <c r="BB286">
        <v>138</v>
      </c>
      <c r="BC286">
        <v>144</v>
      </c>
      <c r="BD286" t="s">
        <v>74</v>
      </c>
      <c r="BE286" t="s">
        <v>1476</v>
      </c>
      <c r="BF286" t="str">
        <f>HYPERLINK("http://dx.doi.org/10.1093/beheco/arn125","http://dx.doi.org/10.1093/beheco/arn125")</f>
        <v>http://dx.doi.org/10.1093/beheco/arn125</v>
      </c>
      <c r="BG286" t="s">
        <v>74</v>
      </c>
      <c r="BH286" t="s">
        <v>74</v>
      </c>
      <c r="BI286" t="s">
        <v>74</v>
      </c>
      <c r="BJ286" t="s">
        <v>74</v>
      </c>
      <c r="BK286" t="s">
        <v>74</v>
      </c>
      <c r="BL286" t="s">
        <v>74</v>
      </c>
      <c r="BM286" t="s">
        <v>74</v>
      </c>
      <c r="BN286" t="s">
        <v>74</v>
      </c>
      <c r="BO286" t="s">
        <v>74</v>
      </c>
      <c r="BP286" t="s">
        <v>74</v>
      </c>
      <c r="BQ286" t="s">
        <v>74</v>
      </c>
      <c r="BR286" t="s">
        <v>74</v>
      </c>
      <c r="BS286" t="s">
        <v>1477</v>
      </c>
      <c r="BT286" t="str">
        <f>HYPERLINK("https%3A%2F%2Fwww.webofscience.com%2Fwos%2Fwoscc%2Ffull-record%2FWOS:000262152300018","View Full Record in Web of Science")</f>
        <v>View Full Record in Web of Science</v>
      </c>
    </row>
    <row r="287" spans="1:72" x14ac:dyDescent="0.4">
      <c r="A287" t="s">
        <v>72</v>
      </c>
      <c r="B287" t="s">
        <v>1913</v>
      </c>
      <c r="C287" t="s">
        <v>74</v>
      </c>
      <c r="D287" t="s">
        <v>74</v>
      </c>
      <c r="E287" t="s">
        <v>74</v>
      </c>
      <c r="F287" t="s">
        <v>1914</v>
      </c>
      <c r="G287" t="s">
        <v>74</v>
      </c>
      <c r="H287" t="s">
        <v>74</v>
      </c>
      <c r="I287" t="s">
        <v>1915</v>
      </c>
      <c r="J287" t="s">
        <v>108</v>
      </c>
      <c r="K287" t="s">
        <v>74</v>
      </c>
      <c r="L287" t="s">
        <v>74</v>
      </c>
      <c r="M287" t="s">
        <v>74</v>
      </c>
      <c r="N287" t="s">
        <v>74</v>
      </c>
      <c r="O287" t="s">
        <v>74</v>
      </c>
      <c r="P287" t="s">
        <v>74</v>
      </c>
      <c r="Q287" t="s">
        <v>74</v>
      </c>
      <c r="R287" t="s">
        <v>74</v>
      </c>
      <c r="S287" t="s">
        <v>74</v>
      </c>
      <c r="T287" t="s">
        <v>74</v>
      </c>
      <c r="U287" t="s">
        <v>74</v>
      </c>
      <c r="V287" s="3" t="s">
        <v>1916</v>
      </c>
      <c r="W287" t="s">
        <v>74</v>
      </c>
      <c r="X287" t="s">
        <v>74</v>
      </c>
      <c r="Y287" t="s">
        <v>74</v>
      </c>
      <c r="Z287" t="s">
        <v>74</v>
      </c>
      <c r="AA287" t="s">
        <v>1917</v>
      </c>
      <c r="AB287" t="s">
        <v>1918</v>
      </c>
      <c r="AC287" t="s">
        <v>74</v>
      </c>
      <c r="AD287" t="s">
        <v>74</v>
      </c>
      <c r="AE287" t="s">
        <v>74</v>
      </c>
      <c r="AF287" t="s">
        <v>74</v>
      </c>
      <c r="AG287" t="s">
        <v>74</v>
      </c>
      <c r="AH287" t="s">
        <v>74</v>
      </c>
      <c r="AI287" t="s">
        <v>74</v>
      </c>
      <c r="AJ287" t="s">
        <v>74</v>
      </c>
      <c r="AK287" t="s">
        <v>74</v>
      </c>
      <c r="AL287" t="s">
        <v>74</v>
      </c>
      <c r="AM287" t="s">
        <v>74</v>
      </c>
      <c r="AN287" t="s">
        <v>74</v>
      </c>
      <c r="AO287" t="s">
        <v>111</v>
      </c>
      <c r="AP287" t="s">
        <v>112</v>
      </c>
      <c r="AQ287" t="s">
        <v>74</v>
      </c>
      <c r="AR287" t="s">
        <v>74</v>
      </c>
      <c r="AS287" t="s">
        <v>74</v>
      </c>
      <c r="AT287" t="s">
        <v>1919</v>
      </c>
      <c r="AU287">
        <v>2017</v>
      </c>
      <c r="AV287">
        <v>284</v>
      </c>
      <c r="AW287">
        <v>1851</v>
      </c>
      <c r="AX287" t="s">
        <v>74</v>
      </c>
      <c r="AY287" t="s">
        <v>74</v>
      </c>
      <c r="AZ287" t="s">
        <v>74</v>
      </c>
      <c r="BA287" t="s">
        <v>74</v>
      </c>
      <c r="BB287" t="s">
        <v>74</v>
      </c>
      <c r="BC287" t="s">
        <v>74</v>
      </c>
      <c r="BD287">
        <v>20162838</v>
      </c>
      <c r="BE287" t="s">
        <v>1920</v>
      </c>
      <c r="BF287" t="str">
        <f>HYPERLINK("http://dx.doi.org/10.1098/rspb.2016.2838","http://dx.doi.org/10.1098/rspb.2016.2838")</f>
        <v>http://dx.doi.org/10.1098/rspb.2016.2838</v>
      </c>
      <c r="BG287" t="s">
        <v>74</v>
      </c>
      <c r="BH287" t="s">
        <v>74</v>
      </c>
      <c r="BI287" t="s">
        <v>74</v>
      </c>
      <c r="BJ287" t="s">
        <v>74</v>
      </c>
      <c r="BK287" t="s">
        <v>74</v>
      </c>
      <c r="BL287" t="s">
        <v>74</v>
      </c>
      <c r="BM287" t="s">
        <v>74</v>
      </c>
      <c r="BN287">
        <v>28356453</v>
      </c>
      <c r="BO287" t="s">
        <v>74</v>
      </c>
      <c r="BP287" t="s">
        <v>74</v>
      </c>
      <c r="BQ287" t="s">
        <v>74</v>
      </c>
      <c r="BR287" t="s">
        <v>74</v>
      </c>
      <c r="BS287" t="s">
        <v>1921</v>
      </c>
      <c r="BT287" t="str">
        <f>HYPERLINK("https%3A%2F%2Fwww.webofscience.com%2Fwos%2Fwoscc%2Ffull-record%2FWOS:000397884000018","View Full Record in Web of Science")</f>
        <v>View Full Record in Web of Science</v>
      </c>
    </row>
    <row r="288" spans="1:72" x14ac:dyDescent="0.4">
      <c r="A288" t="s">
        <v>72</v>
      </c>
      <c r="B288" t="s">
        <v>3398</v>
      </c>
      <c r="C288" t="s">
        <v>74</v>
      </c>
      <c r="D288" t="s">
        <v>74</v>
      </c>
      <c r="E288" t="s">
        <v>74</v>
      </c>
      <c r="F288" t="s">
        <v>3399</v>
      </c>
      <c r="G288" t="s">
        <v>74</v>
      </c>
      <c r="H288" t="s">
        <v>74</v>
      </c>
      <c r="I288" t="s">
        <v>3400</v>
      </c>
      <c r="J288" t="s">
        <v>192</v>
      </c>
      <c r="K288" t="s">
        <v>74</v>
      </c>
      <c r="L288" t="s">
        <v>74</v>
      </c>
      <c r="M288" t="s">
        <v>74</v>
      </c>
      <c r="N288" t="s">
        <v>74</v>
      </c>
      <c r="O288" t="s">
        <v>74</v>
      </c>
      <c r="P288" t="s">
        <v>74</v>
      </c>
      <c r="Q288" t="s">
        <v>74</v>
      </c>
      <c r="R288" t="s">
        <v>74</v>
      </c>
      <c r="S288" t="s">
        <v>74</v>
      </c>
      <c r="T288" t="s">
        <v>74</v>
      </c>
      <c r="U288" t="s">
        <v>74</v>
      </c>
      <c r="V288" s="3" t="s">
        <v>3401</v>
      </c>
      <c r="W288" t="s">
        <v>74</v>
      </c>
      <c r="X288" t="s">
        <v>74</v>
      </c>
      <c r="Y288" t="s">
        <v>74</v>
      </c>
      <c r="Z288" t="s">
        <v>74</v>
      </c>
      <c r="AA288" t="s">
        <v>3402</v>
      </c>
      <c r="AB288" t="s">
        <v>3403</v>
      </c>
      <c r="AC288" t="s">
        <v>74</v>
      </c>
      <c r="AD288" t="s">
        <v>74</v>
      </c>
      <c r="AE288" t="s">
        <v>74</v>
      </c>
      <c r="AF288" t="s">
        <v>74</v>
      </c>
      <c r="AG288" t="s">
        <v>74</v>
      </c>
      <c r="AH288" t="s">
        <v>74</v>
      </c>
      <c r="AI288" t="s">
        <v>74</v>
      </c>
      <c r="AJ288" t="s">
        <v>74</v>
      </c>
      <c r="AK288" t="s">
        <v>74</v>
      </c>
      <c r="AL288" t="s">
        <v>74</v>
      </c>
      <c r="AM288" t="s">
        <v>74</v>
      </c>
      <c r="AN288" t="s">
        <v>74</v>
      </c>
      <c r="AO288" t="s">
        <v>195</v>
      </c>
      <c r="AP288" t="s">
        <v>196</v>
      </c>
      <c r="AQ288" t="s">
        <v>74</v>
      </c>
      <c r="AR288" t="s">
        <v>74</v>
      </c>
      <c r="AS288" t="s">
        <v>74</v>
      </c>
      <c r="AT288" t="s">
        <v>102</v>
      </c>
      <c r="AU288">
        <v>2023</v>
      </c>
      <c r="AV288">
        <v>850</v>
      </c>
      <c r="AW288" t="s">
        <v>3404</v>
      </c>
      <c r="AX288" t="s">
        <v>74</v>
      </c>
      <c r="AY288" t="s">
        <v>74</v>
      </c>
      <c r="AZ288" t="s">
        <v>848</v>
      </c>
      <c r="BA288" t="s">
        <v>74</v>
      </c>
      <c r="BB288">
        <v>2405</v>
      </c>
      <c r="BC288">
        <v>2423</v>
      </c>
      <c r="BD288" t="s">
        <v>74</v>
      </c>
      <c r="BE288" t="s">
        <v>3405</v>
      </c>
      <c r="BF288" t="str">
        <f>HYPERLINK("http://dx.doi.org/10.1007/s10750-022-04980-z","http://dx.doi.org/10.1007/s10750-022-04980-z")</f>
        <v>http://dx.doi.org/10.1007/s10750-022-04980-z</v>
      </c>
      <c r="BG288" t="s">
        <v>74</v>
      </c>
      <c r="BH288" t="s">
        <v>3406</v>
      </c>
      <c r="BI288" t="s">
        <v>74</v>
      </c>
      <c r="BJ288" t="s">
        <v>74</v>
      </c>
      <c r="BK288" t="s">
        <v>74</v>
      </c>
      <c r="BL288" t="s">
        <v>74</v>
      </c>
      <c r="BM288" t="s">
        <v>74</v>
      </c>
      <c r="BN288" t="s">
        <v>74</v>
      </c>
      <c r="BO288" t="s">
        <v>74</v>
      </c>
      <c r="BP288" t="s">
        <v>74</v>
      </c>
      <c r="BQ288" t="s">
        <v>74</v>
      </c>
      <c r="BR288" t="s">
        <v>74</v>
      </c>
      <c r="BS288" t="s">
        <v>3407</v>
      </c>
      <c r="BT288" t="str">
        <f>HYPERLINK("https%3A%2F%2Fwww.webofscience.com%2Fwos%2Fwoscc%2Ffull-record%2FWOS:000849168800001","View Full Record in Web of Science")</f>
        <v>View Full Record in Web of Science</v>
      </c>
    </row>
    <row r="289" spans="1:72" x14ac:dyDescent="0.4">
      <c r="A289" t="s">
        <v>72</v>
      </c>
      <c r="B289" t="s">
        <v>3960</v>
      </c>
      <c r="C289" t="s">
        <v>74</v>
      </c>
      <c r="D289" t="s">
        <v>74</v>
      </c>
      <c r="E289" t="s">
        <v>74</v>
      </c>
      <c r="F289" t="s">
        <v>3961</v>
      </c>
      <c r="G289" t="s">
        <v>74</v>
      </c>
      <c r="H289" t="s">
        <v>74</v>
      </c>
      <c r="I289" t="s">
        <v>3962</v>
      </c>
      <c r="J289" t="s">
        <v>108</v>
      </c>
      <c r="K289" t="s">
        <v>74</v>
      </c>
      <c r="L289" t="s">
        <v>74</v>
      </c>
      <c r="M289" t="s">
        <v>74</v>
      </c>
      <c r="N289" t="s">
        <v>74</v>
      </c>
      <c r="O289" t="s">
        <v>74</v>
      </c>
      <c r="P289" t="s">
        <v>74</v>
      </c>
      <c r="Q289" t="s">
        <v>74</v>
      </c>
      <c r="R289" t="s">
        <v>74</v>
      </c>
      <c r="S289" t="s">
        <v>74</v>
      </c>
      <c r="T289" t="s">
        <v>74</v>
      </c>
      <c r="U289" t="s">
        <v>74</v>
      </c>
      <c r="V289" s="3" t="s">
        <v>3963</v>
      </c>
      <c r="W289" t="s">
        <v>74</v>
      </c>
      <c r="X289" t="s">
        <v>74</v>
      </c>
      <c r="Y289" t="s">
        <v>74</v>
      </c>
      <c r="Z289" t="s">
        <v>74</v>
      </c>
      <c r="AA289" t="s">
        <v>74</v>
      </c>
      <c r="AB289" t="s">
        <v>2478</v>
      </c>
      <c r="AC289" t="s">
        <v>74</v>
      </c>
      <c r="AD289" t="s">
        <v>74</v>
      </c>
      <c r="AE289" t="s">
        <v>74</v>
      </c>
      <c r="AF289" t="s">
        <v>74</v>
      </c>
      <c r="AG289" t="s">
        <v>74</v>
      </c>
      <c r="AH289" t="s">
        <v>74</v>
      </c>
      <c r="AI289" t="s">
        <v>74</v>
      </c>
      <c r="AJ289" t="s">
        <v>74</v>
      </c>
      <c r="AK289" t="s">
        <v>74</v>
      </c>
      <c r="AL289" t="s">
        <v>74</v>
      </c>
      <c r="AM289" t="s">
        <v>74</v>
      </c>
      <c r="AN289" t="s">
        <v>74</v>
      </c>
      <c r="AO289" t="s">
        <v>111</v>
      </c>
      <c r="AP289" t="s">
        <v>112</v>
      </c>
      <c r="AQ289" t="s">
        <v>74</v>
      </c>
      <c r="AR289" t="s">
        <v>74</v>
      </c>
      <c r="AS289" t="s">
        <v>74</v>
      </c>
      <c r="AT289" t="s">
        <v>2345</v>
      </c>
      <c r="AU289">
        <v>2008</v>
      </c>
      <c r="AV289">
        <v>275</v>
      </c>
      <c r="AW289">
        <v>1639</v>
      </c>
      <c r="AX289" t="s">
        <v>74</v>
      </c>
      <c r="AY289" t="s">
        <v>74</v>
      </c>
      <c r="AZ289" t="s">
        <v>74</v>
      </c>
      <c r="BA289" t="s">
        <v>74</v>
      </c>
      <c r="BB289">
        <v>1157</v>
      </c>
      <c r="BC289">
        <v>1162</v>
      </c>
      <c r="BD289" t="s">
        <v>74</v>
      </c>
      <c r="BE289" t="s">
        <v>3964</v>
      </c>
      <c r="BF289" t="str">
        <f>HYPERLINK("http://dx.doi.org/10.1098/rspb.2007.1700","http://dx.doi.org/10.1098/rspb.2007.1700")</f>
        <v>http://dx.doi.org/10.1098/rspb.2007.1700</v>
      </c>
      <c r="BG289" t="s">
        <v>74</v>
      </c>
      <c r="BH289" t="s">
        <v>74</v>
      </c>
      <c r="BI289" t="s">
        <v>74</v>
      </c>
      <c r="BJ289" t="s">
        <v>74</v>
      </c>
      <c r="BK289" t="s">
        <v>74</v>
      </c>
      <c r="BL289" t="s">
        <v>74</v>
      </c>
      <c r="BM289" t="s">
        <v>74</v>
      </c>
      <c r="BN289">
        <v>18270157</v>
      </c>
      <c r="BO289" t="s">
        <v>74</v>
      </c>
      <c r="BP289" t="s">
        <v>74</v>
      </c>
      <c r="BQ289" t="s">
        <v>74</v>
      </c>
      <c r="BR289" t="s">
        <v>74</v>
      </c>
      <c r="BS289" t="s">
        <v>3965</v>
      </c>
      <c r="BT289" t="str">
        <f>HYPERLINK("https%3A%2F%2Fwww.webofscience.com%2Fwos%2Fwoscc%2Ffull-record%2FWOS:000254464000008","View Full Record in Web of Science")</f>
        <v>View Full Record in Web of Science</v>
      </c>
    </row>
    <row r="290" spans="1:72" x14ac:dyDescent="0.4">
      <c r="A290" t="s">
        <v>72</v>
      </c>
      <c r="B290" t="s">
        <v>1700</v>
      </c>
      <c r="C290" t="s">
        <v>74</v>
      </c>
      <c r="D290" t="s">
        <v>74</v>
      </c>
      <c r="E290" t="s">
        <v>74</v>
      </c>
      <c r="F290" t="s">
        <v>1701</v>
      </c>
      <c r="G290" t="s">
        <v>74</v>
      </c>
      <c r="H290" t="s">
        <v>74</v>
      </c>
      <c r="I290" t="s">
        <v>1702</v>
      </c>
      <c r="J290" t="s">
        <v>140</v>
      </c>
      <c r="K290" t="s">
        <v>74</v>
      </c>
      <c r="L290" t="s">
        <v>74</v>
      </c>
      <c r="M290" t="s">
        <v>74</v>
      </c>
      <c r="N290" t="s">
        <v>74</v>
      </c>
      <c r="O290" t="s">
        <v>74</v>
      </c>
      <c r="P290" t="s">
        <v>74</v>
      </c>
      <c r="Q290" t="s">
        <v>74</v>
      </c>
      <c r="R290" t="s">
        <v>74</v>
      </c>
      <c r="S290" t="s">
        <v>74</v>
      </c>
      <c r="T290" t="s">
        <v>74</v>
      </c>
      <c r="U290" t="s">
        <v>74</v>
      </c>
      <c r="V290" s="3" t="s">
        <v>1703</v>
      </c>
      <c r="W290" t="s">
        <v>74</v>
      </c>
      <c r="X290" t="s">
        <v>74</v>
      </c>
      <c r="Y290" t="s">
        <v>74</v>
      </c>
      <c r="Z290" t="s">
        <v>74</v>
      </c>
      <c r="AA290" t="s">
        <v>1106</v>
      </c>
      <c r="AB290" t="s">
        <v>1704</v>
      </c>
      <c r="AC290" t="s">
        <v>74</v>
      </c>
      <c r="AD290" t="s">
        <v>74</v>
      </c>
      <c r="AE290" t="s">
        <v>74</v>
      </c>
      <c r="AF290" t="s">
        <v>74</v>
      </c>
      <c r="AG290" t="s">
        <v>74</v>
      </c>
      <c r="AH290" t="s">
        <v>74</v>
      </c>
      <c r="AI290" t="s">
        <v>74</v>
      </c>
      <c r="AJ290" t="s">
        <v>74</v>
      </c>
      <c r="AK290" t="s">
        <v>74</v>
      </c>
      <c r="AL290" t="s">
        <v>74</v>
      </c>
      <c r="AM290" t="s">
        <v>74</v>
      </c>
      <c r="AN290" t="s">
        <v>74</v>
      </c>
      <c r="AO290" t="s">
        <v>143</v>
      </c>
      <c r="AP290" t="s">
        <v>144</v>
      </c>
      <c r="AQ290" t="s">
        <v>74</v>
      </c>
      <c r="AR290" t="s">
        <v>74</v>
      </c>
      <c r="AS290" t="s">
        <v>74</v>
      </c>
      <c r="AT290" t="s">
        <v>352</v>
      </c>
      <c r="AU290">
        <v>2008</v>
      </c>
      <c r="AV290">
        <v>76</v>
      </c>
      <c r="AW290" t="s">
        <v>74</v>
      </c>
      <c r="AX290">
        <v>3</v>
      </c>
      <c r="AY290" t="s">
        <v>74</v>
      </c>
      <c r="AZ290" t="s">
        <v>74</v>
      </c>
      <c r="BA290" t="s">
        <v>74</v>
      </c>
      <c r="BB290">
        <v>649</v>
      </c>
      <c r="BC290">
        <v>655</v>
      </c>
      <c r="BD290" t="s">
        <v>74</v>
      </c>
      <c r="BE290" t="s">
        <v>1705</v>
      </c>
      <c r="BF290" t="str">
        <f>HYPERLINK("http://dx.doi.org/10.1016/j.anbehav.2008.03.013","http://dx.doi.org/10.1016/j.anbehav.2008.03.013")</f>
        <v>http://dx.doi.org/10.1016/j.anbehav.2008.03.013</v>
      </c>
      <c r="BG290" t="s">
        <v>74</v>
      </c>
      <c r="BH290" t="s">
        <v>74</v>
      </c>
      <c r="BI290" t="s">
        <v>74</v>
      </c>
      <c r="BJ290" t="s">
        <v>74</v>
      </c>
      <c r="BK290" t="s">
        <v>74</v>
      </c>
      <c r="BL290" t="s">
        <v>74</v>
      </c>
      <c r="BM290" t="s">
        <v>74</v>
      </c>
      <c r="BN290" t="s">
        <v>74</v>
      </c>
      <c r="BO290" t="s">
        <v>74</v>
      </c>
      <c r="BP290" t="s">
        <v>74</v>
      </c>
      <c r="BQ290" t="s">
        <v>74</v>
      </c>
      <c r="BR290" t="s">
        <v>74</v>
      </c>
      <c r="BS290" t="s">
        <v>1706</v>
      </c>
      <c r="BT290" t="str">
        <f>HYPERLINK("https%3A%2F%2Fwww.webofscience.com%2Fwos%2Fwoscc%2Ffull-record%2FWOS:000258490800015","View Full Record in Web of Science")</f>
        <v>View Full Record in Web of Science</v>
      </c>
    </row>
    <row r="291" spans="1:72" x14ac:dyDescent="0.4">
      <c r="A291" t="s">
        <v>72</v>
      </c>
      <c r="B291" t="s">
        <v>1956</v>
      </c>
      <c r="C291" t="s">
        <v>74</v>
      </c>
      <c r="D291" t="s">
        <v>74</v>
      </c>
      <c r="E291" t="s">
        <v>74</v>
      </c>
      <c r="F291" t="s">
        <v>1957</v>
      </c>
      <c r="G291" t="s">
        <v>74</v>
      </c>
      <c r="H291" t="s">
        <v>74</v>
      </c>
      <c r="I291" t="s">
        <v>1958</v>
      </c>
      <c r="J291" t="s">
        <v>108</v>
      </c>
      <c r="K291" t="s">
        <v>74</v>
      </c>
      <c r="L291" t="s">
        <v>74</v>
      </c>
      <c r="M291" t="s">
        <v>74</v>
      </c>
      <c r="N291" t="s">
        <v>74</v>
      </c>
      <c r="O291" t="s">
        <v>74</v>
      </c>
      <c r="P291" t="s">
        <v>74</v>
      </c>
      <c r="Q291" t="s">
        <v>74</v>
      </c>
      <c r="R291" t="s">
        <v>74</v>
      </c>
      <c r="S291" t="s">
        <v>74</v>
      </c>
      <c r="T291" t="s">
        <v>74</v>
      </c>
      <c r="U291" t="s">
        <v>74</v>
      </c>
      <c r="V291" s="3" t="s">
        <v>1959</v>
      </c>
      <c r="W291" t="s">
        <v>74</v>
      </c>
      <c r="X291" t="s">
        <v>74</v>
      </c>
      <c r="Y291" t="s">
        <v>74</v>
      </c>
      <c r="Z291" t="s">
        <v>74</v>
      </c>
      <c r="AA291" t="s">
        <v>1106</v>
      </c>
      <c r="AB291" t="s">
        <v>1704</v>
      </c>
      <c r="AC291" t="s">
        <v>74</v>
      </c>
      <c r="AD291" t="s">
        <v>74</v>
      </c>
      <c r="AE291" t="s">
        <v>74</v>
      </c>
      <c r="AF291" t="s">
        <v>74</v>
      </c>
      <c r="AG291" t="s">
        <v>74</v>
      </c>
      <c r="AH291" t="s">
        <v>74</v>
      </c>
      <c r="AI291" t="s">
        <v>74</v>
      </c>
      <c r="AJ291" t="s">
        <v>74</v>
      </c>
      <c r="AK291" t="s">
        <v>74</v>
      </c>
      <c r="AL291" t="s">
        <v>74</v>
      </c>
      <c r="AM291" t="s">
        <v>74</v>
      </c>
      <c r="AN291" t="s">
        <v>74</v>
      </c>
      <c r="AO291" t="s">
        <v>111</v>
      </c>
      <c r="AP291" t="s">
        <v>112</v>
      </c>
      <c r="AQ291" t="s">
        <v>74</v>
      </c>
      <c r="AR291" t="s">
        <v>74</v>
      </c>
      <c r="AS291" t="s">
        <v>74</v>
      </c>
      <c r="AT291" t="s">
        <v>1960</v>
      </c>
      <c r="AU291">
        <v>2008</v>
      </c>
      <c r="AV291">
        <v>275</v>
      </c>
      <c r="AW291">
        <v>1634</v>
      </c>
      <c r="AX291" t="s">
        <v>74</v>
      </c>
      <c r="AY291" t="s">
        <v>74</v>
      </c>
      <c r="AZ291" t="s">
        <v>74</v>
      </c>
      <c r="BA291" t="s">
        <v>74</v>
      </c>
      <c r="BB291">
        <v>519</v>
      </c>
      <c r="BC291">
        <v>526</v>
      </c>
      <c r="BD291" t="s">
        <v>74</v>
      </c>
      <c r="BE291" t="s">
        <v>1961</v>
      </c>
      <c r="BF291" t="str">
        <f>HYPERLINK("http://dx.doi.org/10.1098/rspb.2007.1441","http://dx.doi.org/10.1098/rspb.2007.1441")</f>
        <v>http://dx.doi.org/10.1098/rspb.2007.1441</v>
      </c>
      <c r="BG291" t="s">
        <v>74</v>
      </c>
      <c r="BH291" t="s">
        <v>74</v>
      </c>
      <c r="BI291" t="s">
        <v>74</v>
      </c>
      <c r="BJ291" t="s">
        <v>74</v>
      </c>
      <c r="BK291" t="s">
        <v>74</v>
      </c>
      <c r="BL291" t="s">
        <v>74</v>
      </c>
      <c r="BM291" t="s">
        <v>74</v>
      </c>
      <c r="BN291">
        <v>18077255</v>
      </c>
      <c r="BO291" t="s">
        <v>74</v>
      </c>
      <c r="BP291" t="s">
        <v>74</v>
      </c>
      <c r="BQ291" t="s">
        <v>74</v>
      </c>
      <c r="BR291" t="s">
        <v>74</v>
      </c>
      <c r="BS291" t="s">
        <v>1962</v>
      </c>
      <c r="BT291" t="str">
        <f>HYPERLINK("https%3A%2F%2Fwww.webofscience.com%2Fwos%2Fwoscc%2Ffull-record%2FWOS:000252764800006","View Full Record in Web of Science")</f>
        <v>View Full Record in Web of Science</v>
      </c>
    </row>
    <row r="292" spans="1:72" x14ac:dyDescent="0.4">
      <c r="A292" t="s">
        <v>72</v>
      </c>
      <c r="B292" t="s">
        <v>1360</v>
      </c>
      <c r="C292" t="s">
        <v>74</v>
      </c>
      <c r="D292" t="s">
        <v>74</v>
      </c>
      <c r="E292" t="s">
        <v>74</v>
      </c>
      <c r="F292" t="s">
        <v>1361</v>
      </c>
      <c r="G292" t="s">
        <v>74</v>
      </c>
      <c r="H292" t="s">
        <v>74</v>
      </c>
      <c r="I292" t="s">
        <v>1362</v>
      </c>
      <c r="J292" t="s">
        <v>333</v>
      </c>
      <c r="K292" t="s">
        <v>74</v>
      </c>
      <c r="L292" t="s">
        <v>74</v>
      </c>
      <c r="M292" t="s">
        <v>74</v>
      </c>
      <c r="N292" t="s">
        <v>74</v>
      </c>
      <c r="O292" t="s">
        <v>74</v>
      </c>
      <c r="P292" t="s">
        <v>74</v>
      </c>
      <c r="Q292" t="s">
        <v>74</v>
      </c>
      <c r="R292" t="s">
        <v>74</v>
      </c>
      <c r="S292" t="s">
        <v>74</v>
      </c>
      <c r="T292" t="s">
        <v>74</v>
      </c>
      <c r="U292" t="s">
        <v>74</v>
      </c>
      <c r="V292" s="3" t="s">
        <v>1363</v>
      </c>
      <c r="W292" t="s">
        <v>74</v>
      </c>
      <c r="X292" t="s">
        <v>74</v>
      </c>
      <c r="Y292" t="s">
        <v>74</v>
      </c>
      <c r="Z292" t="s">
        <v>74</v>
      </c>
      <c r="AA292" t="s">
        <v>484</v>
      </c>
      <c r="AB292" t="s">
        <v>485</v>
      </c>
      <c r="AC292" t="s">
        <v>74</v>
      </c>
      <c r="AD292" t="s">
        <v>74</v>
      </c>
      <c r="AE292" t="s">
        <v>74</v>
      </c>
      <c r="AF292" t="s">
        <v>74</v>
      </c>
      <c r="AG292" t="s">
        <v>74</v>
      </c>
      <c r="AH292" t="s">
        <v>74</v>
      </c>
      <c r="AI292" t="s">
        <v>74</v>
      </c>
      <c r="AJ292" t="s">
        <v>74</v>
      </c>
      <c r="AK292" t="s">
        <v>74</v>
      </c>
      <c r="AL292" t="s">
        <v>74</v>
      </c>
      <c r="AM292" t="s">
        <v>74</v>
      </c>
      <c r="AN292" t="s">
        <v>74</v>
      </c>
      <c r="AO292" t="s">
        <v>337</v>
      </c>
      <c r="AP292" t="s">
        <v>338</v>
      </c>
      <c r="AQ292" t="s">
        <v>74</v>
      </c>
      <c r="AR292" t="s">
        <v>74</v>
      </c>
      <c r="AS292" t="s">
        <v>74</v>
      </c>
      <c r="AT292" t="s">
        <v>808</v>
      </c>
      <c r="AU292">
        <v>2009</v>
      </c>
      <c r="AV292">
        <v>20</v>
      </c>
      <c r="AW292">
        <v>3</v>
      </c>
      <c r="AX292" t="s">
        <v>74</v>
      </c>
      <c r="AY292" t="s">
        <v>74</v>
      </c>
      <c r="AZ292" t="s">
        <v>74</v>
      </c>
      <c r="BA292" t="s">
        <v>74</v>
      </c>
      <c r="BB292">
        <v>593</v>
      </c>
      <c r="BC292">
        <v>600</v>
      </c>
      <c r="BD292" t="s">
        <v>74</v>
      </c>
      <c r="BE292" t="s">
        <v>1364</v>
      </c>
      <c r="BF292" t="str">
        <f>HYPERLINK("http://dx.doi.org/10.1093/beheco/arp036","http://dx.doi.org/10.1093/beheco/arp036")</f>
        <v>http://dx.doi.org/10.1093/beheco/arp036</v>
      </c>
      <c r="BG292" t="s">
        <v>74</v>
      </c>
      <c r="BH292" t="s">
        <v>74</v>
      </c>
      <c r="BI292" t="s">
        <v>74</v>
      </c>
      <c r="BJ292" t="s">
        <v>74</v>
      </c>
      <c r="BK292" t="s">
        <v>74</v>
      </c>
      <c r="BL292" t="s">
        <v>74</v>
      </c>
      <c r="BM292" t="s">
        <v>74</v>
      </c>
      <c r="BN292" t="s">
        <v>74</v>
      </c>
      <c r="BO292" t="s">
        <v>74</v>
      </c>
      <c r="BP292" t="s">
        <v>74</v>
      </c>
      <c r="BQ292" t="s">
        <v>74</v>
      </c>
      <c r="BR292" t="s">
        <v>74</v>
      </c>
      <c r="BS292" t="s">
        <v>1365</v>
      </c>
      <c r="BT292" t="str">
        <f>HYPERLINK("https%3A%2F%2Fwww.webofscience.com%2Fwos%2Fwoscc%2Ffull-record%2FWOS:000265950200018","View Full Record in Web of Science")</f>
        <v>View Full Record in Web of Science</v>
      </c>
    </row>
    <row r="293" spans="1:72" x14ac:dyDescent="0.4">
      <c r="A293" t="s">
        <v>72</v>
      </c>
      <c r="B293" t="s">
        <v>1905</v>
      </c>
      <c r="C293" t="s">
        <v>74</v>
      </c>
      <c r="D293" t="s">
        <v>74</v>
      </c>
      <c r="E293" t="s">
        <v>74</v>
      </c>
      <c r="F293" t="s">
        <v>1906</v>
      </c>
      <c r="G293" t="s">
        <v>74</v>
      </c>
      <c r="H293" t="s">
        <v>74</v>
      </c>
      <c r="I293" t="s">
        <v>1907</v>
      </c>
      <c r="J293" t="s">
        <v>509</v>
      </c>
      <c r="K293" t="s">
        <v>74</v>
      </c>
      <c r="L293" t="s">
        <v>74</v>
      </c>
      <c r="M293" t="s">
        <v>74</v>
      </c>
      <c r="N293" t="s">
        <v>74</v>
      </c>
      <c r="O293" t="s">
        <v>74</v>
      </c>
      <c r="P293" t="s">
        <v>74</v>
      </c>
      <c r="Q293" t="s">
        <v>74</v>
      </c>
      <c r="R293" t="s">
        <v>74</v>
      </c>
      <c r="S293" t="s">
        <v>74</v>
      </c>
      <c r="T293" t="s">
        <v>74</v>
      </c>
      <c r="U293" t="s">
        <v>74</v>
      </c>
      <c r="V293" s="3" t="s">
        <v>1908</v>
      </c>
      <c r="W293" t="s">
        <v>74</v>
      </c>
      <c r="X293" t="s">
        <v>74</v>
      </c>
      <c r="Y293" t="s">
        <v>74</v>
      </c>
      <c r="Z293" t="s">
        <v>74</v>
      </c>
      <c r="AA293" t="s">
        <v>1909</v>
      </c>
      <c r="AB293" t="s">
        <v>1910</v>
      </c>
      <c r="AC293" t="s">
        <v>74</v>
      </c>
      <c r="AD293" t="s">
        <v>74</v>
      </c>
      <c r="AE293" t="s">
        <v>74</v>
      </c>
      <c r="AF293" t="s">
        <v>74</v>
      </c>
      <c r="AG293" t="s">
        <v>74</v>
      </c>
      <c r="AH293" t="s">
        <v>74</v>
      </c>
      <c r="AI293" t="s">
        <v>74</v>
      </c>
      <c r="AJ293" t="s">
        <v>74</v>
      </c>
      <c r="AK293" t="s">
        <v>74</v>
      </c>
      <c r="AL293" t="s">
        <v>74</v>
      </c>
      <c r="AM293" t="s">
        <v>74</v>
      </c>
      <c r="AN293" t="s">
        <v>74</v>
      </c>
      <c r="AO293" t="s">
        <v>511</v>
      </c>
      <c r="AP293" t="s">
        <v>512</v>
      </c>
      <c r="AQ293" t="s">
        <v>74</v>
      </c>
      <c r="AR293" t="s">
        <v>74</v>
      </c>
      <c r="AS293" t="s">
        <v>74</v>
      </c>
      <c r="AT293" t="s">
        <v>633</v>
      </c>
      <c r="AU293">
        <v>2012</v>
      </c>
      <c r="AV293">
        <v>61</v>
      </c>
      <c r="AW293">
        <v>4</v>
      </c>
      <c r="AX293" t="s">
        <v>74</v>
      </c>
      <c r="AY293" t="s">
        <v>74</v>
      </c>
      <c r="AZ293" t="s">
        <v>74</v>
      </c>
      <c r="BA293" t="s">
        <v>74</v>
      </c>
      <c r="BB293">
        <v>518</v>
      </c>
      <c r="BC293">
        <v>526</v>
      </c>
      <c r="BD293" t="s">
        <v>74</v>
      </c>
      <c r="BE293" t="s">
        <v>1911</v>
      </c>
      <c r="BF293" t="str">
        <f>HYPERLINK("http://dx.doi.org/10.1016/j.yhbeh.2012.01.011","http://dx.doi.org/10.1016/j.yhbeh.2012.01.011")</f>
        <v>http://dx.doi.org/10.1016/j.yhbeh.2012.01.011</v>
      </c>
      <c r="BG293" t="s">
        <v>74</v>
      </c>
      <c r="BH293" t="s">
        <v>74</v>
      </c>
      <c r="BI293" t="s">
        <v>74</v>
      </c>
      <c r="BJ293" t="s">
        <v>74</v>
      </c>
      <c r="BK293" t="s">
        <v>74</v>
      </c>
      <c r="BL293" t="s">
        <v>74</v>
      </c>
      <c r="BM293" t="s">
        <v>74</v>
      </c>
      <c r="BN293">
        <v>22289206</v>
      </c>
      <c r="BO293" t="s">
        <v>74</v>
      </c>
      <c r="BP293" t="s">
        <v>74</v>
      </c>
      <c r="BQ293" t="s">
        <v>74</v>
      </c>
      <c r="BR293" t="s">
        <v>74</v>
      </c>
      <c r="BS293" t="s">
        <v>1912</v>
      </c>
      <c r="BT293" t="str">
        <f>HYPERLINK("https%3A%2F%2Fwww.webofscience.com%2Fwos%2Fwoscc%2Ffull-record%2FWOS:000302763700008","View Full Record in Web of Science")</f>
        <v>View Full Record in Web of Science</v>
      </c>
    </row>
    <row r="294" spans="1:72" x14ac:dyDescent="0.4">
      <c r="A294" t="s">
        <v>72</v>
      </c>
      <c r="B294" t="s">
        <v>8485</v>
      </c>
      <c r="C294" t="s">
        <v>74</v>
      </c>
      <c r="D294" t="s">
        <v>74</v>
      </c>
      <c r="E294" t="s">
        <v>74</v>
      </c>
      <c r="F294" t="s">
        <v>8485</v>
      </c>
      <c r="G294" t="s">
        <v>74</v>
      </c>
      <c r="H294" t="s">
        <v>74</v>
      </c>
      <c r="I294" t="s">
        <v>8486</v>
      </c>
      <c r="J294" t="s">
        <v>333</v>
      </c>
      <c r="K294" t="s">
        <v>74</v>
      </c>
      <c r="L294" t="s">
        <v>74</v>
      </c>
      <c r="M294" t="s">
        <v>74</v>
      </c>
      <c r="N294" t="s">
        <v>74</v>
      </c>
      <c r="O294" t="s">
        <v>74</v>
      </c>
      <c r="P294" t="s">
        <v>74</v>
      </c>
      <c r="Q294" t="s">
        <v>74</v>
      </c>
      <c r="R294" t="s">
        <v>74</v>
      </c>
      <c r="S294" t="s">
        <v>74</v>
      </c>
      <c r="T294" t="s">
        <v>74</v>
      </c>
      <c r="U294" t="s">
        <v>74</v>
      </c>
      <c r="V294" s="3" t="s">
        <v>8487</v>
      </c>
      <c r="W294" t="s">
        <v>74</v>
      </c>
      <c r="X294" t="s">
        <v>74</v>
      </c>
      <c r="Y294" t="s">
        <v>74</v>
      </c>
      <c r="Z294" t="s">
        <v>74</v>
      </c>
      <c r="AA294" t="s">
        <v>8488</v>
      </c>
      <c r="AB294" t="s">
        <v>8489</v>
      </c>
      <c r="AC294" t="s">
        <v>74</v>
      </c>
      <c r="AD294" t="s">
        <v>74</v>
      </c>
      <c r="AE294" t="s">
        <v>74</v>
      </c>
      <c r="AF294" t="s">
        <v>74</v>
      </c>
      <c r="AG294" t="s">
        <v>74</v>
      </c>
      <c r="AH294" t="s">
        <v>74</v>
      </c>
      <c r="AI294" t="s">
        <v>74</v>
      </c>
      <c r="AJ294" t="s">
        <v>74</v>
      </c>
      <c r="AK294" t="s">
        <v>74</v>
      </c>
      <c r="AL294" t="s">
        <v>74</v>
      </c>
      <c r="AM294" t="s">
        <v>74</v>
      </c>
      <c r="AN294" t="s">
        <v>74</v>
      </c>
      <c r="AO294" t="s">
        <v>337</v>
      </c>
      <c r="AP294" t="s">
        <v>338</v>
      </c>
      <c r="AQ294" t="s">
        <v>74</v>
      </c>
      <c r="AR294" t="s">
        <v>74</v>
      </c>
      <c r="AS294" t="s">
        <v>74</v>
      </c>
      <c r="AT294" t="s">
        <v>213</v>
      </c>
      <c r="AU294">
        <v>2004</v>
      </c>
      <c r="AV294">
        <v>15</v>
      </c>
      <c r="AW294">
        <v>6</v>
      </c>
      <c r="AX294" t="s">
        <v>74</v>
      </c>
      <c r="AY294" t="s">
        <v>74</v>
      </c>
      <c r="AZ294" t="s">
        <v>74</v>
      </c>
      <c r="BA294" t="s">
        <v>74</v>
      </c>
      <c r="BB294">
        <v>1023</v>
      </c>
      <c r="BC294">
        <v>1030</v>
      </c>
      <c r="BD294" t="s">
        <v>74</v>
      </c>
      <c r="BE294" t="s">
        <v>8490</v>
      </c>
      <c r="BF294" t="str">
        <f>HYPERLINK("http://dx.doi.org/10.1093/beheco/arh115","http://dx.doi.org/10.1093/beheco/arh115")</f>
        <v>http://dx.doi.org/10.1093/beheco/arh115</v>
      </c>
      <c r="BG294" t="s">
        <v>74</v>
      </c>
      <c r="BH294" t="s">
        <v>74</v>
      </c>
      <c r="BI294" t="s">
        <v>74</v>
      </c>
      <c r="BJ294" t="s">
        <v>74</v>
      </c>
      <c r="BK294" t="s">
        <v>74</v>
      </c>
      <c r="BL294" t="s">
        <v>74</v>
      </c>
      <c r="BM294" t="s">
        <v>74</v>
      </c>
      <c r="BN294" t="s">
        <v>74</v>
      </c>
      <c r="BO294" t="s">
        <v>74</v>
      </c>
      <c r="BP294" t="s">
        <v>74</v>
      </c>
      <c r="BQ294" t="s">
        <v>74</v>
      </c>
      <c r="BR294" t="s">
        <v>74</v>
      </c>
      <c r="BS294" t="s">
        <v>8491</v>
      </c>
      <c r="BT294" t="str">
        <f>HYPERLINK("https%3A%2F%2Fwww.webofscience.com%2Fwos%2Fwoscc%2Ffull-record%2FWOS:000224482000019","View Full Record in Web of Science")</f>
        <v>View Full Record in Web of Science</v>
      </c>
    </row>
    <row r="295" spans="1:72" x14ac:dyDescent="0.4">
      <c r="A295" t="s">
        <v>72</v>
      </c>
      <c r="B295" t="s">
        <v>7007</v>
      </c>
      <c r="C295" t="s">
        <v>74</v>
      </c>
      <c r="D295" t="s">
        <v>74</v>
      </c>
      <c r="E295" t="s">
        <v>74</v>
      </c>
      <c r="F295" t="s">
        <v>7007</v>
      </c>
      <c r="G295" t="s">
        <v>74</v>
      </c>
      <c r="H295" t="s">
        <v>74</v>
      </c>
      <c r="I295" t="s">
        <v>7008</v>
      </c>
      <c r="J295" t="s">
        <v>7009</v>
      </c>
      <c r="K295" t="s">
        <v>74</v>
      </c>
      <c r="L295" t="s">
        <v>74</v>
      </c>
      <c r="M295" t="s">
        <v>74</v>
      </c>
      <c r="N295" t="s">
        <v>74</v>
      </c>
      <c r="O295" t="s">
        <v>74</v>
      </c>
      <c r="P295" t="s">
        <v>74</v>
      </c>
      <c r="Q295" t="s">
        <v>74</v>
      </c>
      <c r="R295" t="s">
        <v>74</v>
      </c>
      <c r="S295" t="s">
        <v>74</v>
      </c>
      <c r="T295" t="s">
        <v>74</v>
      </c>
      <c r="U295" t="s">
        <v>74</v>
      </c>
      <c r="V295" s="3" t="s">
        <v>7010</v>
      </c>
      <c r="W295" t="s">
        <v>74</v>
      </c>
      <c r="X295" t="s">
        <v>74</v>
      </c>
      <c r="Y295" t="s">
        <v>74</v>
      </c>
      <c r="Z295" t="s">
        <v>74</v>
      </c>
      <c r="AA295" t="s">
        <v>74</v>
      </c>
      <c r="AB295" t="s">
        <v>74</v>
      </c>
      <c r="AC295" t="s">
        <v>74</v>
      </c>
      <c r="AD295" t="s">
        <v>74</v>
      </c>
      <c r="AE295" t="s">
        <v>74</v>
      </c>
      <c r="AF295" t="s">
        <v>74</v>
      </c>
      <c r="AG295" t="s">
        <v>74</v>
      </c>
      <c r="AH295" t="s">
        <v>74</v>
      </c>
      <c r="AI295" t="s">
        <v>74</v>
      </c>
      <c r="AJ295" t="s">
        <v>74</v>
      </c>
      <c r="AK295" t="s">
        <v>74</v>
      </c>
      <c r="AL295" t="s">
        <v>74</v>
      </c>
      <c r="AM295" t="s">
        <v>74</v>
      </c>
      <c r="AN295" t="s">
        <v>74</v>
      </c>
      <c r="AO295" t="s">
        <v>7011</v>
      </c>
      <c r="AP295" t="s">
        <v>74</v>
      </c>
      <c r="AQ295" t="s">
        <v>74</v>
      </c>
      <c r="AR295" t="s">
        <v>74</v>
      </c>
      <c r="AS295" t="s">
        <v>74</v>
      </c>
      <c r="AT295" t="s">
        <v>964</v>
      </c>
      <c r="AU295">
        <v>1998</v>
      </c>
      <c r="AV295">
        <v>33</v>
      </c>
      <c r="AW295">
        <v>1</v>
      </c>
      <c r="AX295" t="s">
        <v>74</v>
      </c>
      <c r="AY295" t="s">
        <v>74</v>
      </c>
      <c r="AZ295" t="s">
        <v>74</v>
      </c>
      <c r="BA295" t="s">
        <v>74</v>
      </c>
      <c r="BB295">
        <v>73</v>
      </c>
      <c r="BC295">
        <v>80</v>
      </c>
      <c r="BD295" t="s">
        <v>74</v>
      </c>
      <c r="BE295" t="s">
        <v>7012</v>
      </c>
      <c r="BF295" t="str">
        <f>HYPERLINK("http://dx.doi.org/10.1017/S0967026298001607","http://dx.doi.org/10.1017/S0967026298001607")</f>
        <v>http://dx.doi.org/10.1017/S0967026298001607</v>
      </c>
      <c r="BG295" t="s">
        <v>74</v>
      </c>
      <c r="BH295" t="s">
        <v>74</v>
      </c>
      <c r="BI295" t="s">
        <v>74</v>
      </c>
      <c r="BJ295" t="s">
        <v>74</v>
      </c>
      <c r="BK295" t="s">
        <v>74</v>
      </c>
      <c r="BL295" t="s">
        <v>74</v>
      </c>
      <c r="BM295" t="s">
        <v>74</v>
      </c>
      <c r="BN295" t="s">
        <v>74</v>
      </c>
      <c r="BO295" t="s">
        <v>74</v>
      </c>
      <c r="BP295" t="s">
        <v>74</v>
      </c>
      <c r="BQ295" t="s">
        <v>74</v>
      </c>
      <c r="BR295" t="s">
        <v>74</v>
      </c>
      <c r="BS295" t="s">
        <v>7013</v>
      </c>
      <c r="BT295" t="str">
        <f>HYPERLINK("https%3A%2F%2Fwww.webofscience.com%2Fwos%2Fwoscc%2Ffull-record%2FWOS:000073192900008","View Full Record in Web of Science")</f>
        <v>View Full Record in Web of Science</v>
      </c>
    </row>
    <row r="296" spans="1:72" x14ac:dyDescent="0.4">
      <c r="A296" t="s">
        <v>72</v>
      </c>
      <c r="B296" t="s">
        <v>6643</v>
      </c>
      <c r="C296" t="s">
        <v>74</v>
      </c>
      <c r="D296" t="s">
        <v>74</v>
      </c>
      <c r="E296" t="s">
        <v>74</v>
      </c>
      <c r="F296" t="s">
        <v>6644</v>
      </c>
      <c r="G296" t="s">
        <v>74</v>
      </c>
      <c r="H296" t="s">
        <v>74</v>
      </c>
      <c r="I296" t="s">
        <v>6645</v>
      </c>
      <c r="J296" t="s">
        <v>171</v>
      </c>
      <c r="K296" t="s">
        <v>74</v>
      </c>
      <c r="L296" t="s">
        <v>74</v>
      </c>
      <c r="M296" t="s">
        <v>74</v>
      </c>
      <c r="N296" t="s">
        <v>74</v>
      </c>
      <c r="O296" t="s">
        <v>74</v>
      </c>
      <c r="P296" t="s">
        <v>74</v>
      </c>
      <c r="Q296" t="s">
        <v>74</v>
      </c>
      <c r="R296" t="s">
        <v>74</v>
      </c>
      <c r="S296" t="s">
        <v>74</v>
      </c>
      <c r="T296" t="s">
        <v>74</v>
      </c>
      <c r="U296" t="s">
        <v>74</v>
      </c>
      <c r="V296" s="3" t="s">
        <v>6646</v>
      </c>
      <c r="W296" t="s">
        <v>74</v>
      </c>
      <c r="X296" t="s">
        <v>74</v>
      </c>
      <c r="Y296" t="s">
        <v>74</v>
      </c>
      <c r="Z296" t="s">
        <v>74</v>
      </c>
      <c r="AA296" t="s">
        <v>74</v>
      </c>
      <c r="AB296" t="s">
        <v>6647</v>
      </c>
      <c r="AC296" t="s">
        <v>74</v>
      </c>
      <c r="AD296" t="s">
        <v>74</v>
      </c>
      <c r="AE296" t="s">
        <v>74</v>
      </c>
      <c r="AF296" t="s">
        <v>74</v>
      </c>
      <c r="AG296" t="s">
        <v>74</v>
      </c>
      <c r="AH296" t="s">
        <v>74</v>
      </c>
      <c r="AI296" t="s">
        <v>74</v>
      </c>
      <c r="AJ296" t="s">
        <v>74</v>
      </c>
      <c r="AK296" t="s">
        <v>74</v>
      </c>
      <c r="AL296" t="s">
        <v>74</v>
      </c>
      <c r="AM296" t="s">
        <v>74</v>
      </c>
      <c r="AN296" t="s">
        <v>74</v>
      </c>
      <c r="AO296" t="s">
        <v>173</v>
      </c>
      <c r="AP296" t="s">
        <v>174</v>
      </c>
      <c r="AQ296" t="s">
        <v>74</v>
      </c>
      <c r="AR296" t="s">
        <v>74</v>
      </c>
      <c r="AS296" t="s">
        <v>74</v>
      </c>
      <c r="AT296" t="s">
        <v>6648</v>
      </c>
      <c r="AU296">
        <v>2023</v>
      </c>
      <c r="AV296">
        <v>77</v>
      </c>
      <c r="AW296">
        <v>10</v>
      </c>
      <c r="AX296" t="s">
        <v>74</v>
      </c>
      <c r="AY296" t="s">
        <v>74</v>
      </c>
      <c r="AZ296" t="s">
        <v>74</v>
      </c>
      <c r="BA296" t="s">
        <v>74</v>
      </c>
      <c r="BB296">
        <v>2224</v>
      </c>
      <c r="BC296">
        <v>2233</v>
      </c>
      <c r="BD296" t="s">
        <v>74</v>
      </c>
      <c r="BE296" t="s">
        <v>6649</v>
      </c>
      <c r="BF296" t="str">
        <f>HYPERLINK("http://dx.doi.org/10.1093/evolut/qpad134","http://dx.doi.org/10.1093/evolut/qpad134")</f>
        <v>http://dx.doi.org/10.1093/evolut/qpad134</v>
      </c>
      <c r="BG296" t="s">
        <v>74</v>
      </c>
      <c r="BH296" t="s">
        <v>2726</v>
      </c>
      <c r="BI296" t="s">
        <v>74</v>
      </c>
      <c r="BJ296" t="s">
        <v>74</v>
      </c>
      <c r="BK296" t="s">
        <v>74</v>
      </c>
      <c r="BL296" t="s">
        <v>74</v>
      </c>
      <c r="BM296" t="s">
        <v>74</v>
      </c>
      <c r="BN296">
        <v>37482374</v>
      </c>
      <c r="BO296" t="s">
        <v>74</v>
      </c>
      <c r="BP296" t="s">
        <v>74</v>
      </c>
      <c r="BQ296" t="s">
        <v>74</v>
      </c>
      <c r="BR296" t="s">
        <v>74</v>
      </c>
      <c r="BS296" t="s">
        <v>6650</v>
      </c>
      <c r="BT296" t="str">
        <f>HYPERLINK("https%3A%2F%2Fwww.webofscience.com%2Fwos%2Fwoscc%2Ffull-record%2FWOS:001050661400001","View Full Record in Web of Science")</f>
        <v>View Full Record in Web of Science</v>
      </c>
    </row>
    <row r="297" spans="1:72" x14ac:dyDescent="0.4">
      <c r="A297" t="s">
        <v>72</v>
      </c>
      <c r="B297" t="s">
        <v>5331</v>
      </c>
      <c r="C297" t="s">
        <v>74</v>
      </c>
      <c r="D297" t="s">
        <v>74</v>
      </c>
      <c r="E297" t="s">
        <v>74</v>
      </c>
      <c r="F297" t="s">
        <v>5331</v>
      </c>
      <c r="G297" t="s">
        <v>74</v>
      </c>
      <c r="H297" t="s">
        <v>74</v>
      </c>
      <c r="I297" t="s">
        <v>5332</v>
      </c>
      <c r="J297" t="s">
        <v>5333</v>
      </c>
      <c r="K297" t="s">
        <v>74</v>
      </c>
      <c r="L297" t="s">
        <v>74</v>
      </c>
      <c r="M297" t="s">
        <v>74</v>
      </c>
      <c r="N297" t="s">
        <v>74</v>
      </c>
      <c r="O297" t="s">
        <v>74</v>
      </c>
      <c r="P297" t="s">
        <v>74</v>
      </c>
      <c r="Q297" t="s">
        <v>74</v>
      </c>
      <c r="R297" t="s">
        <v>74</v>
      </c>
      <c r="S297" t="s">
        <v>74</v>
      </c>
      <c r="T297" t="s">
        <v>74</v>
      </c>
      <c r="U297" t="s">
        <v>74</v>
      </c>
      <c r="V297" s="3" t="s">
        <v>5334</v>
      </c>
      <c r="W297" t="s">
        <v>74</v>
      </c>
      <c r="X297" t="s">
        <v>74</v>
      </c>
      <c r="Y297" t="s">
        <v>74</v>
      </c>
      <c r="Z297" t="s">
        <v>74</v>
      </c>
      <c r="AA297" t="s">
        <v>74</v>
      </c>
      <c r="AB297" t="s">
        <v>74</v>
      </c>
      <c r="AC297" t="s">
        <v>74</v>
      </c>
      <c r="AD297" t="s">
        <v>74</v>
      </c>
      <c r="AE297" t="s">
        <v>74</v>
      </c>
      <c r="AF297" t="s">
        <v>74</v>
      </c>
      <c r="AG297" t="s">
        <v>74</v>
      </c>
      <c r="AH297" t="s">
        <v>74</v>
      </c>
      <c r="AI297" t="s">
        <v>74</v>
      </c>
      <c r="AJ297" t="s">
        <v>74</v>
      </c>
      <c r="AK297" t="s">
        <v>74</v>
      </c>
      <c r="AL297" t="s">
        <v>74</v>
      </c>
      <c r="AM297" t="s">
        <v>74</v>
      </c>
      <c r="AN297" t="s">
        <v>74</v>
      </c>
      <c r="AO297" t="s">
        <v>5335</v>
      </c>
      <c r="AP297" t="s">
        <v>74</v>
      </c>
      <c r="AQ297" t="s">
        <v>74</v>
      </c>
      <c r="AR297" t="s">
        <v>74</v>
      </c>
      <c r="AS297" t="s">
        <v>74</v>
      </c>
      <c r="AT297" t="s">
        <v>74</v>
      </c>
      <c r="AU297">
        <v>1981</v>
      </c>
      <c r="AV297">
        <v>46</v>
      </c>
      <c r="AW297">
        <v>3</v>
      </c>
      <c r="AX297" t="s">
        <v>74</v>
      </c>
      <c r="AY297" t="s">
        <v>74</v>
      </c>
      <c r="AZ297" t="s">
        <v>74</v>
      </c>
      <c r="BA297" t="s">
        <v>74</v>
      </c>
      <c r="BB297">
        <v>151</v>
      </c>
      <c r="BC297">
        <v>161</v>
      </c>
      <c r="BD297" t="s">
        <v>74</v>
      </c>
      <c r="BE297" t="s">
        <v>74</v>
      </c>
      <c r="BF297" t="s">
        <v>74</v>
      </c>
      <c r="BG297" t="s">
        <v>74</v>
      </c>
      <c r="BH297" t="s">
        <v>74</v>
      </c>
      <c r="BI297" t="s">
        <v>74</v>
      </c>
      <c r="BJ297" t="s">
        <v>74</v>
      </c>
      <c r="BK297" t="s">
        <v>74</v>
      </c>
      <c r="BL297" t="s">
        <v>74</v>
      </c>
      <c r="BM297" t="s">
        <v>74</v>
      </c>
      <c r="BN297" t="s">
        <v>74</v>
      </c>
      <c r="BO297" t="s">
        <v>74</v>
      </c>
      <c r="BP297" t="s">
        <v>74</v>
      </c>
      <c r="BQ297" t="s">
        <v>74</v>
      </c>
      <c r="BR297" t="s">
        <v>74</v>
      </c>
      <c r="BS297" t="s">
        <v>5336</v>
      </c>
      <c r="BT297" t="str">
        <f>HYPERLINK("https%3A%2F%2Fwww.webofscience.com%2Fwos%2Fwoscc%2Ffull-record%2FWOS:A1981LX86400004","View Full Record in Web of Science")</f>
        <v>View Full Record in Web of Science</v>
      </c>
    </row>
    <row r="298" spans="1:72" x14ac:dyDescent="0.4">
      <c r="A298" t="s">
        <v>72</v>
      </c>
      <c r="B298" t="s">
        <v>3439</v>
      </c>
      <c r="C298" t="s">
        <v>74</v>
      </c>
      <c r="D298" t="s">
        <v>74</v>
      </c>
      <c r="E298" t="s">
        <v>74</v>
      </c>
      <c r="F298" t="s">
        <v>3440</v>
      </c>
      <c r="G298" t="s">
        <v>74</v>
      </c>
      <c r="H298" t="s">
        <v>74</v>
      </c>
      <c r="I298" t="s">
        <v>3441</v>
      </c>
      <c r="J298" t="s">
        <v>763</v>
      </c>
      <c r="K298" t="s">
        <v>74</v>
      </c>
      <c r="L298" t="s">
        <v>74</v>
      </c>
      <c r="M298" t="s">
        <v>74</v>
      </c>
      <c r="N298" t="s">
        <v>74</v>
      </c>
      <c r="O298" t="s">
        <v>74</v>
      </c>
      <c r="P298" t="s">
        <v>74</v>
      </c>
      <c r="Q298" t="s">
        <v>74</v>
      </c>
      <c r="R298" t="s">
        <v>74</v>
      </c>
      <c r="S298" t="s">
        <v>74</v>
      </c>
      <c r="T298" t="s">
        <v>74</v>
      </c>
      <c r="U298" t="s">
        <v>74</v>
      </c>
      <c r="V298" s="3" t="s">
        <v>3442</v>
      </c>
      <c r="W298" t="s">
        <v>74</v>
      </c>
      <c r="X298" t="s">
        <v>74</v>
      </c>
      <c r="Y298" t="s">
        <v>74</v>
      </c>
      <c r="Z298" t="s">
        <v>74</v>
      </c>
      <c r="AA298" t="s">
        <v>3443</v>
      </c>
      <c r="AB298" t="s">
        <v>3444</v>
      </c>
      <c r="AC298" t="s">
        <v>74</v>
      </c>
      <c r="AD298" t="s">
        <v>74</v>
      </c>
      <c r="AE298" t="s">
        <v>74</v>
      </c>
      <c r="AF298" t="s">
        <v>74</v>
      </c>
      <c r="AG298" t="s">
        <v>74</v>
      </c>
      <c r="AH298" t="s">
        <v>74</v>
      </c>
      <c r="AI298" t="s">
        <v>74</v>
      </c>
      <c r="AJ298" t="s">
        <v>74</v>
      </c>
      <c r="AK298" t="s">
        <v>74</v>
      </c>
      <c r="AL298" t="s">
        <v>74</v>
      </c>
      <c r="AM298" t="s">
        <v>74</v>
      </c>
      <c r="AN298" t="s">
        <v>74</v>
      </c>
      <c r="AO298" t="s">
        <v>767</v>
      </c>
      <c r="AP298" t="s">
        <v>768</v>
      </c>
      <c r="AQ298" t="s">
        <v>74</v>
      </c>
      <c r="AR298" t="s">
        <v>74</v>
      </c>
      <c r="AS298" t="s">
        <v>74</v>
      </c>
      <c r="AT298" t="s">
        <v>3445</v>
      </c>
      <c r="AU298">
        <v>2016</v>
      </c>
      <c r="AV298">
        <v>219</v>
      </c>
      <c r="AW298">
        <v>18</v>
      </c>
      <c r="AX298" t="s">
        <v>74</v>
      </c>
      <c r="AY298" t="s">
        <v>74</v>
      </c>
      <c r="AZ298" t="s">
        <v>74</v>
      </c>
      <c r="BA298" t="s">
        <v>74</v>
      </c>
      <c r="BB298">
        <v>2837</v>
      </c>
      <c r="BC298">
        <v>2843</v>
      </c>
      <c r="BD298" t="s">
        <v>74</v>
      </c>
      <c r="BE298" t="s">
        <v>3446</v>
      </c>
      <c r="BF298" t="str">
        <f>HYPERLINK("http://dx.doi.org/10.1242/jeb.137885","http://dx.doi.org/10.1242/jeb.137885")</f>
        <v>http://dx.doi.org/10.1242/jeb.137885</v>
      </c>
      <c r="BG298" t="s">
        <v>74</v>
      </c>
      <c r="BH298" t="s">
        <v>74</v>
      </c>
      <c r="BI298" t="s">
        <v>74</v>
      </c>
      <c r="BJ298" t="s">
        <v>74</v>
      </c>
      <c r="BK298" t="s">
        <v>74</v>
      </c>
      <c r="BL298" t="s">
        <v>74</v>
      </c>
      <c r="BM298" t="s">
        <v>74</v>
      </c>
      <c r="BN298">
        <v>27401761</v>
      </c>
      <c r="BO298" t="s">
        <v>74</v>
      </c>
      <c r="BP298" t="s">
        <v>74</v>
      </c>
      <c r="BQ298" t="s">
        <v>74</v>
      </c>
      <c r="BR298" t="s">
        <v>74</v>
      </c>
      <c r="BS298" t="s">
        <v>3447</v>
      </c>
      <c r="BT298" t="str">
        <f>HYPERLINK("https%3A%2F%2Fwww.webofscience.com%2Fwos%2Fwoscc%2Ffull-record%2FWOS:000384250600015","View Full Record in Web of Science")</f>
        <v>View Full Record in Web of Science</v>
      </c>
    </row>
    <row r="299" spans="1:72" x14ac:dyDescent="0.4">
      <c r="A299" t="s">
        <v>72</v>
      </c>
      <c r="B299" t="s">
        <v>8591</v>
      </c>
      <c r="C299" t="s">
        <v>74</v>
      </c>
      <c r="D299" t="s">
        <v>74</v>
      </c>
      <c r="E299" t="s">
        <v>74</v>
      </c>
      <c r="F299" t="s">
        <v>8591</v>
      </c>
      <c r="G299" t="s">
        <v>74</v>
      </c>
      <c r="H299" t="s">
        <v>74</v>
      </c>
      <c r="I299" t="s">
        <v>8592</v>
      </c>
      <c r="J299" t="s">
        <v>8067</v>
      </c>
      <c r="K299" t="s">
        <v>74</v>
      </c>
      <c r="L299" t="s">
        <v>74</v>
      </c>
      <c r="M299" t="s">
        <v>74</v>
      </c>
      <c r="N299" t="s">
        <v>74</v>
      </c>
      <c r="O299" t="s">
        <v>74</v>
      </c>
      <c r="P299" t="s">
        <v>74</v>
      </c>
      <c r="Q299" t="s">
        <v>74</v>
      </c>
      <c r="R299" t="s">
        <v>74</v>
      </c>
      <c r="S299" t="s">
        <v>74</v>
      </c>
      <c r="T299" t="s">
        <v>74</v>
      </c>
      <c r="U299" t="s">
        <v>74</v>
      </c>
      <c r="V299" s="3" t="s">
        <v>8593</v>
      </c>
      <c r="W299" t="s">
        <v>74</v>
      </c>
      <c r="X299" t="s">
        <v>74</v>
      </c>
      <c r="Y299" t="s">
        <v>74</v>
      </c>
      <c r="Z299" t="s">
        <v>74</v>
      </c>
      <c r="AA299" t="s">
        <v>8594</v>
      </c>
      <c r="AB299" t="s">
        <v>8595</v>
      </c>
      <c r="AC299" t="s">
        <v>74</v>
      </c>
      <c r="AD299" t="s">
        <v>74</v>
      </c>
      <c r="AE299" t="s">
        <v>74</v>
      </c>
      <c r="AF299" t="s">
        <v>74</v>
      </c>
      <c r="AG299" t="s">
        <v>74</v>
      </c>
      <c r="AH299" t="s">
        <v>74</v>
      </c>
      <c r="AI299" t="s">
        <v>74</v>
      </c>
      <c r="AJ299" t="s">
        <v>74</v>
      </c>
      <c r="AK299" t="s">
        <v>74</v>
      </c>
      <c r="AL299" t="s">
        <v>74</v>
      </c>
      <c r="AM299" t="s">
        <v>74</v>
      </c>
      <c r="AN299" t="s">
        <v>74</v>
      </c>
      <c r="AO299" t="s">
        <v>8071</v>
      </c>
      <c r="AP299" t="s">
        <v>74</v>
      </c>
      <c r="AQ299" t="s">
        <v>74</v>
      </c>
      <c r="AR299" t="s">
        <v>74</v>
      </c>
      <c r="AS299" t="s">
        <v>74</v>
      </c>
      <c r="AT299" t="s">
        <v>305</v>
      </c>
      <c r="AU299">
        <v>1995</v>
      </c>
      <c r="AV299">
        <v>189</v>
      </c>
      <c r="AW299">
        <v>3</v>
      </c>
      <c r="AX299" t="s">
        <v>74</v>
      </c>
      <c r="AY299" t="s">
        <v>74</v>
      </c>
      <c r="AZ299" t="s">
        <v>74</v>
      </c>
      <c r="BA299" t="s">
        <v>74</v>
      </c>
      <c r="BB299">
        <v>288</v>
      </c>
      <c r="BC299">
        <v>297</v>
      </c>
      <c r="BD299" t="s">
        <v>74</v>
      </c>
      <c r="BE299" t="s">
        <v>8596</v>
      </c>
      <c r="BF299" t="str">
        <f>HYPERLINK("http://dx.doi.org/10.2307/1542146","http://dx.doi.org/10.2307/1542146")</f>
        <v>http://dx.doi.org/10.2307/1542146</v>
      </c>
      <c r="BG299" t="s">
        <v>74</v>
      </c>
      <c r="BH299" t="s">
        <v>74</v>
      </c>
      <c r="BI299" t="s">
        <v>74</v>
      </c>
      <c r="BJ299" t="s">
        <v>74</v>
      </c>
      <c r="BK299" t="s">
        <v>74</v>
      </c>
      <c r="BL299" t="s">
        <v>74</v>
      </c>
      <c r="BM299" t="s">
        <v>74</v>
      </c>
      <c r="BN299">
        <v>29244570</v>
      </c>
      <c r="BO299" t="s">
        <v>74</v>
      </c>
      <c r="BP299" t="s">
        <v>74</v>
      </c>
      <c r="BQ299" t="s">
        <v>74</v>
      </c>
      <c r="BR299" t="s">
        <v>74</v>
      </c>
      <c r="BS299" t="s">
        <v>8597</v>
      </c>
      <c r="BT299" t="str">
        <f>HYPERLINK("https%3A%2F%2Fwww.webofscience.com%2Fwos%2Fwoscc%2Ffull-record%2FWOS:A1995TL76800004","View Full Record in Web of Science")</f>
        <v>View Full Record in Web of Science</v>
      </c>
    </row>
    <row r="300" spans="1:72" x14ac:dyDescent="0.4">
      <c r="A300" t="s">
        <v>72</v>
      </c>
      <c r="B300" t="s">
        <v>6529</v>
      </c>
      <c r="C300" t="s">
        <v>74</v>
      </c>
      <c r="D300" t="s">
        <v>74</v>
      </c>
      <c r="E300" t="s">
        <v>74</v>
      </c>
      <c r="F300" t="s">
        <v>6530</v>
      </c>
      <c r="G300" t="s">
        <v>74</v>
      </c>
      <c r="H300" t="s">
        <v>74</v>
      </c>
      <c r="I300" t="s">
        <v>6531</v>
      </c>
      <c r="J300" t="s">
        <v>1302</v>
      </c>
      <c r="K300" t="s">
        <v>74</v>
      </c>
      <c r="L300" t="s">
        <v>74</v>
      </c>
      <c r="M300" t="s">
        <v>74</v>
      </c>
      <c r="N300" t="s">
        <v>74</v>
      </c>
      <c r="O300" t="s">
        <v>74</v>
      </c>
      <c r="P300" t="s">
        <v>74</v>
      </c>
      <c r="Q300" t="s">
        <v>74</v>
      </c>
      <c r="R300" t="s">
        <v>74</v>
      </c>
      <c r="S300" t="s">
        <v>74</v>
      </c>
      <c r="T300" t="s">
        <v>74</v>
      </c>
      <c r="U300" t="s">
        <v>74</v>
      </c>
      <c r="V300" s="3" t="s">
        <v>6532</v>
      </c>
      <c r="W300" t="s">
        <v>74</v>
      </c>
      <c r="X300" t="s">
        <v>74</v>
      </c>
      <c r="Y300" t="s">
        <v>74</v>
      </c>
      <c r="Z300" t="s">
        <v>74</v>
      </c>
      <c r="AA300" t="s">
        <v>74</v>
      </c>
      <c r="AB300" t="s">
        <v>6533</v>
      </c>
      <c r="AC300" t="s">
        <v>74</v>
      </c>
      <c r="AD300" t="s">
        <v>74</v>
      </c>
      <c r="AE300" t="s">
        <v>74</v>
      </c>
      <c r="AF300" t="s">
        <v>74</v>
      </c>
      <c r="AG300" t="s">
        <v>74</v>
      </c>
      <c r="AH300" t="s">
        <v>74</v>
      </c>
      <c r="AI300" t="s">
        <v>74</v>
      </c>
      <c r="AJ300" t="s">
        <v>74</v>
      </c>
      <c r="AK300" t="s">
        <v>74</v>
      </c>
      <c r="AL300" t="s">
        <v>74</v>
      </c>
      <c r="AM300" t="s">
        <v>74</v>
      </c>
      <c r="AN300" t="s">
        <v>74</v>
      </c>
      <c r="AO300" t="s">
        <v>1306</v>
      </c>
      <c r="AP300" t="s">
        <v>74</v>
      </c>
      <c r="AQ300" t="s">
        <v>74</v>
      </c>
      <c r="AR300" t="s">
        <v>74</v>
      </c>
      <c r="AS300" t="s">
        <v>74</v>
      </c>
      <c r="AT300" t="s">
        <v>74</v>
      </c>
      <c r="AU300">
        <v>2022</v>
      </c>
      <c r="AV300">
        <v>20</v>
      </c>
      <c r="AW300">
        <v>4</v>
      </c>
      <c r="AX300" t="s">
        <v>74</v>
      </c>
      <c r="AY300" t="s">
        <v>74</v>
      </c>
      <c r="AZ300" t="s">
        <v>74</v>
      </c>
      <c r="BA300" t="s">
        <v>74</v>
      </c>
      <c r="BB300" t="s">
        <v>74</v>
      </c>
      <c r="BC300" t="s">
        <v>74</v>
      </c>
      <c r="BD300" t="s">
        <v>6534</v>
      </c>
      <c r="BE300" t="s">
        <v>6535</v>
      </c>
      <c r="BF300" t="str">
        <f>HYPERLINK("http://dx.doi.org/10.1590/1982-0224-2022-0067","http://dx.doi.org/10.1590/1982-0224-2022-0067")</f>
        <v>http://dx.doi.org/10.1590/1982-0224-2022-0067</v>
      </c>
      <c r="BG300" t="s">
        <v>74</v>
      </c>
      <c r="BH300" t="s">
        <v>74</v>
      </c>
      <c r="BI300" t="s">
        <v>74</v>
      </c>
      <c r="BJ300" t="s">
        <v>74</v>
      </c>
      <c r="BK300" t="s">
        <v>74</v>
      </c>
      <c r="BL300" t="s">
        <v>74</v>
      </c>
      <c r="BM300" t="s">
        <v>74</v>
      </c>
      <c r="BN300" t="s">
        <v>74</v>
      </c>
      <c r="BO300" t="s">
        <v>74</v>
      </c>
      <c r="BP300" t="s">
        <v>74</v>
      </c>
      <c r="BQ300" t="s">
        <v>74</v>
      </c>
      <c r="BR300" t="s">
        <v>74</v>
      </c>
      <c r="BS300" t="s">
        <v>6536</v>
      </c>
      <c r="BT300" t="str">
        <f>HYPERLINK("https%3A%2F%2Fwww.webofscience.com%2Fwos%2Fwoscc%2Ffull-record%2FWOS:000889065500001","View Full Record in Web of Science")</f>
        <v>View Full Record in Web of Science</v>
      </c>
    </row>
    <row r="301" spans="1:72" x14ac:dyDescent="0.4">
      <c r="A301" t="s">
        <v>72</v>
      </c>
      <c r="B301" t="s">
        <v>5890</v>
      </c>
      <c r="C301" t="s">
        <v>74</v>
      </c>
      <c r="D301" t="s">
        <v>74</v>
      </c>
      <c r="E301" t="s">
        <v>74</v>
      </c>
      <c r="F301" t="s">
        <v>5890</v>
      </c>
      <c r="G301" t="s">
        <v>74</v>
      </c>
      <c r="H301" t="s">
        <v>74</v>
      </c>
      <c r="I301" t="s">
        <v>5891</v>
      </c>
      <c r="J301" t="s">
        <v>367</v>
      </c>
      <c r="K301" t="s">
        <v>74</v>
      </c>
      <c r="L301" t="s">
        <v>74</v>
      </c>
      <c r="M301" t="s">
        <v>74</v>
      </c>
      <c r="N301" t="s">
        <v>74</v>
      </c>
      <c r="O301" t="s">
        <v>74</v>
      </c>
      <c r="P301" t="s">
        <v>74</v>
      </c>
      <c r="Q301" t="s">
        <v>74</v>
      </c>
      <c r="R301" t="s">
        <v>74</v>
      </c>
      <c r="S301" t="s">
        <v>74</v>
      </c>
      <c r="T301" t="s">
        <v>74</v>
      </c>
      <c r="U301" t="s">
        <v>74</v>
      </c>
      <c r="V301" s="3" t="s">
        <v>5892</v>
      </c>
      <c r="W301" t="s">
        <v>74</v>
      </c>
      <c r="X301" t="s">
        <v>74</v>
      </c>
      <c r="Y301" t="s">
        <v>74</v>
      </c>
      <c r="Z301" t="s">
        <v>74</v>
      </c>
      <c r="AA301" t="s">
        <v>74</v>
      </c>
      <c r="AB301" t="s">
        <v>74</v>
      </c>
      <c r="AC301" t="s">
        <v>74</v>
      </c>
      <c r="AD301" t="s">
        <v>74</v>
      </c>
      <c r="AE301" t="s">
        <v>74</v>
      </c>
      <c r="AF301" t="s">
        <v>74</v>
      </c>
      <c r="AG301" t="s">
        <v>74</v>
      </c>
      <c r="AH301" t="s">
        <v>74</v>
      </c>
      <c r="AI301" t="s">
        <v>74</v>
      </c>
      <c r="AJ301" t="s">
        <v>74</v>
      </c>
      <c r="AK301" t="s">
        <v>74</v>
      </c>
      <c r="AL301" t="s">
        <v>74</v>
      </c>
      <c r="AM301" t="s">
        <v>74</v>
      </c>
      <c r="AN301" t="s">
        <v>74</v>
      </c>
      <c r="AO301" t="s">
        <v>371</v>
      </c>
      <c r="AP301" t="s">
        <v>74</v>
      </c>
      <c r="AQ301" t="s">
        <v>74</v>
      </c>
      <c r="AR301" t="s">
        <v>74</v>
      </c>
      <c r="AS301" t="s">
        <v>74</v>
      </c>
      <c r="AT301" t="s">
        <v>102</v>
      </c>
      <c r="AU301">
        <v>1998</v>
      </c>
      <c r="AV301">
        <v>112</v>
      </c>
      <c r="AW301">
        <v>2</v>
      </c>
      <c r="AX301" t="s">
        <v>74</v>
      </c>
      <c r="AY301" t="s">
        <v>74</v>
      </c>
      <c r="AZ301" t="s">
        <v>74</v>
      </c>
      <c r="BA301" t="s">
        <v>74</v>
      </c>
      <c r="BB301">
        <v>170</v>
      </c>
      <c r="BC301">
        <v>182</v>
      </c>
      <c r="BD301" t="s">
        <v>74</v>
      </c>
      <c r="BE301" t="s">
        <v>5893</v>
      </c>
      <c r="BF301" t="str">
        <f>HYPERLINK("http://dx.doi.org/10.1037/0735-7036.112.2.170","http://dx.doi.org/10.1037/0735-7036.112.2.170")</f>
        <v>http://dx.doi.org/10.1037/0735-7036.112.2.170</v>
      </c>
      <c r="BG301" t="s">
        <v>74</v>
      </c>
      <c r="BH301" t="s">
        <v>74</v>
      </c>
      <c r="BI301" t="s">
        <v>74</v>
      </c>
      <c r="BJ301" t="s">
        <v>74</v>
      </c>
      <c r="BK301" t="s">
        <v>74</v>
      </c>
      <c r="BL301" t="s">
        <v>74</v>
      </c>
      <c r="BM301" t="s">
        <v>74</v>
      </c>
      <c r="BN301">
        <v>9642786</v>
      </c>
      <c r="BO301" t="s">
        <v>74</v>
      </c>
      <c r="BP301" t="s">
        <v>74</v>
      </c>
      <c r="BQ301" t="s">
        <v>74</v>
      </c>
      <c r="BR301" t="s">
        <v>74</v>
      </c>
      <c r="BS301" t="s">
        <v>5894</v>
      </c>
      <c r="BT301" t="str">
        <f>HYPERLINK("https%3A%2F%2Fwww.webofscience.com%2Fwos%2Fwoscc%2Ffull-record%2FWOS:000074164800007","View Full Record in Web of Science")</f>
        <v>View Full Record in Web of Science</v>
      </c>
    </row>
    <row r="302" spans="1:72" x14ac:dyDescent="0.4">
      <c r="A302" t="s">
        <v>72</v>
      </c>
      <c r="B302" t="s">
        <v>4463</v>
      </c>
      <c r="C302" t="s">
        <v>74</v>
      </c>
      <c r="D302" t="s">
        <v>74</v>
      </c>
      <c r="E302" t="s">
        <v>74</v>
      </c>
      <c r="F302" t="s">
        <v>4464</v>
      </c>
      <c r="G302" t="s">
        <v>74</v>
      </c>
      <c r="H302" t="s">
        <v>74</v>
      </c>
      <c r="I302" t="s">
        <v>4465</v>
      </c>
      <c r="J302" t="s">
        <v>129</v>
      </c>
      <c r="K302" t="s">
        <v>74</v>
      </c>
      <c r="L302" t="s">
        <v>74</v>
      </c>
      <c r="M302" t="s">
        <v>74</v>
      </c>
      <c r="N302" t="s">
        <v>74</v>
      </c>
      <c r="O302" t="s">
        <v>74</v>
      </c>
      <c r="P302" t="s">
        <v>74</v>
      </c>
      <c r="Q302" t="s">
        <v>74</v>
      </c>
      <c r="R302" t="s">
        <v>74</v>
      </c>
      <c r="S302" t="s">
        <v>74</v>
      </c>
      <c r="T302" t="s">
        <v>74</v>
      </c>
      <c r="U302" t="s">
        <v>74</v>
      </c>
      <c r="V302" s="3" t="s">
        <v>4466</v>
      </c>
      <c r="W302" t="s">
        <v>74</v>
      </c>
      <c r="X302" t="s">
        <v>74</v>
      </c>
      <c r="Y302" t="s">
        <v>74</v>
      </c>
      <c r="Z302" t="s">
        <v>74</v>
      </c>
      <c r="AA302" t="s">
        <v>4467</v>
      </c>
      <c r="AB302" t="s">
        <v>4468</v>
      </c>
      <c r="AC302" t="s">
        <v>74</v>
      </c>
      <c r="AD302" t="s">
        <v>74</v>
      </c>
      <c r="AE302" t="s">
        <v>74</v>
      </c>
      <c r="AF302" t="s">
        <v>74</v>
      </c>
      <c r="AG302" t="s">
        <v>74</v>
      </c>
      <c r="AH302" t="s">
        <v>74</v>
      </c>
      <c r="AI302" t="s">
        <v>74</v>
      </c>
      <c r="AJ302" t="s">
        <v>74</v>
      </c>
      <c r="AK302" t="s">
        <v>74</v>
      </c>
      <c r="AL302" t="s">
        <v>74</v>
      </c>
      <c r="AM302" t="s">
        <v>74</v>
      </c>
      <c r="AN302" t="s">
        <v>74</v>
      </c>
      <c r="AO302" t="s">
        <v>132</v>
      </c>
      <c r="AP302" t="s">
        <v>133</v>
      </c>
      <c r="AQ302" t="s">
        <v>74</v>
      </c>
      <c r="AR302" t="s">
        <v>74</v>
      </c>
      <c r="AS302" t="s">
        <v>74</v>
      </c>
      <c r="AT302" t="s">
        <v>145</v>
      </c>
      <c r="AU302">
        <v>2015</v>
      </c>
      <c r="AV302">
        <v>69</v>
      </c>
      <c r="AW302">
        <v>8</v>
      </c>
      <c r="AX302" t="s">
        <v>74</v>
      </c>
      <c r="AY302" t="s">
        <v>74</v>
      </c>
      <c r="AZ302" t="s">
        <v>74</v>
      </c>
      <c r="BA302" t="s">
        <v>74</v>
      </c>
      <c r="BB302">
        <v>1251</v>
      </c>
      <c r="BC302">
        <v>1264</v>
      </c>
      <c r="BD302" t="s">
        <v>74</v>
      </c>
      <c r="BE302" t="s">
        <v>4469</v>
      </c>
      <c r="BF302" t="str">
        <f>HYPERLINK("http://dx.doi.org/10.1007/s00265-015-1938-5","http://dx.doi.org/10.1007/s00265-015-1938-5")</f>
        <v>http://dx.doi.org/10.1007/s00265-015-1938-5</v>
      </c>
      <c r="BG302" t="s">
        <v>74</v>
      </c>
      <c r="BH302" t="s">
        <v>74</v>
      </c>
      <c r="BI302" t="s">
        <v>74</v>
      </c>
      <c r="BJ302" t="s">
        <v>74</v>
      </c>
      <c r="BK302" t="s">
        <v>74</v>
      </c>
      <c r="BL302" t="s">
        <v>74</v>
      </c>
      <c r="BM302" t="s">
        <v>74</v>
      </c>
      <c r="BN302" t="s">
        <v>74</v>
      </c>
      <c r="BO302" t="s">
        <v>74</v>
      </c>
      <c r="BP302" t="s">
        <v>74</v>
      </c>
      <c r="BQ302" t="s">
        <v>74</v>
      </c>
      <c r="BR302" t="s">
        <v>74</v>
      </c>
      <c r="BS302" t="s">
        <v>4470</v>
      </c>
      <c r="BT302" t="str">
        <f>HYPERLINK("https%3A%2F%2Fwww.webofscience.com%2Fwos%2Fwoscc%2Ffull-record%2FWOS:000358734700002","View Full Record in Web of Science")</f>
        <v>View Full Record in Web of Science</v>
      </c>
    </row>
    <row r="303" spans="1:72" x14ac:dyDescent="0.4">
      <c r="A303" t="s">
        <v>72</v>
      </c>
      <c r="B303" t="s">
        <v>3929</v>
      </c>
      <c r="C303" t="s">
        <v>74</v>
      </c>
      <c r="D303" t="s">
        <v>74</v>
      </c>
      <c r="E303" t="s">
        <v>74</v>
      </c>
      <c r="F303" t="s">
        <v>3930</v>
      </c>
      <c r="G303" t="s">
        <v>74</v>
      </c>
      <c r="H303" t="s">
        <v>74</v>
      </c>
      <c r="I303" t="s">
        <v>3931</v>
      </c>
      <c r="J303" t="s">
        <v>763</v>
      </c>
      <c r="K303" t="s">
        <v>74</v>
      </c>
      <c r="L303" t="s">
        <v>74</v>
      </c>
      <c r="M303" t="s">
        <v>74</v>
      </c>
      <c r="N303" t="s">
        <v>74</v>
      </c>
      <c r="O303" t="s">
        <v>74</v>
      </c>
      <c r="P303" t="s">
        <v>74</v>
      </c>
      <c r="Q303" t="s">
        <v>74</v>
      </c>
      <c r="R303" t="s">
        <v>74</v>
      </c>
      <c r="S303" t="s">
        <v>74</v>
      </c>
      <c r="T303" t="s">
        <v>74</v>
      </c>
      <c r="U303" t="s">
        <v>74</v>
      </c>
      <c r="V303" s="3" t="s">
        <v>3932</v>
      </c>
      <c r="W303" t="s">
        <v>74</v>
      </c>
      <c r="X303" t="s">
        <v>74</v>
      </c>
      <c r="Y303" t="s">
        <v>74</v>
      </c>
      <c r="Z303" t="s">
        <v>74</v>
      </c>
      <c r="AA303" t="s">
        <v>3933</v>
      </c>
      <c r="AB303" t="s">
        <v>3934</v>
      </c>
      <c r="AC303" t="s">
        <v>74</v>
      </c>
      <c r="AD303" t="s">
        <v>74</v>
      </c>
      <c r="AE303" t="s">
        <v>74</v>
      </c>
      <c r="AF303" t="s">
        <v>74</v>
      </c>
      <c r="AG303" t="s">
        <v>74</v>
      </c>
      <c r="AH303" t="s">
        <v>74</v>
      </c>
      <c r="AI303" t="s">
        <v>74</v>
      </c>
      <c r="AJ303" t="s">
        <v>74</v>
      </c>
      <c r="AK303" t="s">
        <v>74</v>
      </c>
      <c r="AL303" t="s">
        <v>74</v>
      </c>
      <c r="AM303" t="s">
        <v>74</v>
      </c>
      <c r="AN303" t="s">
        <v>74</v>
      </c>
      <c r="AO303" t="s">
        <v>767</v>
      </c>
      <c r="AP303" t="s">
        <v>768</v>
      </c>
      <c r="AQ303" t="s">
        <v>74</v>
      </c>
      <c r="AR303" t="s">
        <v>74</v>
      </c>
      <c r="AS303" t="s">
        <v>74</v>
      </c>
      <c r="AT303" t="s">
        <v>134</v>
      </c>
      <c r="AU303">
        <v>2022</v>
      </c>
      <c r="AV303">
        <v>225</v>
      </c>
      <c r="AW303">
        <v>10</v>
      </c>
      <c r="AX303" t="s">
        <v>74</v>
      </c>
      <c r="AY303" t="s">
        <v>74</v>
      </c>
      <c r="AZ303" t="s">
        <v>74</v>
      </c>
      <c r="BA303" t="s">
        <v>74</v>
      </c>
      <c r="BB303" t="s">
        <v>74</v>
      </c>
      <c r="BC303" t="s">
        <v>74</v>
      </c>
      <c r="BD303" t="s">
        <v>3935</v>
      </c>
      <c r="BE303" t="s">
        <v>3936</v>
      </c>
      <c r="BF303" t="str">
        <f>HYPERLINK("http://dx.doi.org/10.1242/jeb.242955","http://dx.doi.org/10.1242/jeb.242955")</f>
        <v>http://dx.doi.org/10.1242/jeb.242955</v>
      </c>
      <c r="BG303" t="s">
        <v>74</v>
      </c>
      <c r="BH303" t="s">
        <v>74</v>
      </c>
      <c r="BI303" t="s">
        <v>74</v>
      </c>
      <c r="BJ303" t="s">
        <v>74</v>
      </c>
      <c r="BK303" t="s">
        <v>74</v>
      </c>
      <c r="BL303" t="s">
        <v>74</v>
      </c>
      <c r="BM303" t="s">
        <v>74</v>
      </c>
      <c r="BN303">
        <v>35514228</v>
      </c>
      <c r="BO303" t="s">
        <v>74</v>
      </c>
      <c r="BP303" t="s">
        <v>74</v>
      </c>
      <c r="BQ303" t="s">
        <v>74</v>
      </c>
      <c r="BR303" t="s">
        <v>74</v>
      </c>
      <c r="BS303" t="s">
        <v>3937</v>
      </c>
      <c r="BT303" t="str">
        <f>HYPERLINK("https%3A%2F%2Fwww.webofscience.com%2Fwos%2Fwoscc%2Ffull-record%2FWOS:000806042900004","View Full Record in Web of Science")</f>
        <v>View Full Record in Web of Science</v>
      </c>
    </row>
    <row r="304" spans="1:72" x14ac:dyDescent="0.4">
      <c r="A304" t="s">
        <v>72</v>
      </c>
      <c r="B304" t="s">
        <v>3304</v>
      </c>
      <c r="C304" t="s">
        <v>74</v>
      </c>
      <c r="D304" t="s">
        <v>74</v>
      </c>
      <c r="E304" t="s">
        <v>74</v>
      </c>
      <c r="F304" t="s">
        <v>3305</v>
      </c>
      <c r="G304" t="s">
        <v>74</v>
      </c>
      <c r="H304" t="s">
        <v>74</v>
      </c>
      <c r="I304" t="s">
        <v>3306</v>
      </c>
      <c r="J304" t="s">
        <v>218</v>
      </c>
      <c r="K304" t="s">
        <v>74</v>
      </c>
      <c r="L304" t="s">
        <v>74</v>
      </c>
      <c r="M304" t="s">
        <v>74</v>
      </c>
      <c r="N304" t="s">
        <v>74</v>
      </c>
      <c r="O304" t="s">
        <v>74</v>
      </c>
      <c r="P304" t="s">
        <v>74</v>
      </c>
      <c r="Q304" t="s">
        <v>74</v>
      </c>
      <c r="R304" t="s">
        <v>74</v>
      </c>
      <c r="S304" t="s">
        <v>74</v>
      </c>
      <c r="T304" t="s">
        <v>74</v>
      </c>
      <c r="U304" t="s">
        <v>74</v>
      </c>
      <c r="V304" s="3" t="s">
        <v>3307</v>
      </c>
      <c r="W304" t="s">
        <v>74</v>
      </c>
      <c r="X304" t="s">
        <v>74</v>
      </c>
      <c r="Y304" t="s">
        <v>74</v>
      </c>
      <c r="Z304" t="s">
        <v>74</v>
      </c>
      <c r="AA304" t="s">
        <v>623</v>
      </c>
      <c r="AB304" t="s">
        <v>1336</v>
      </c>
      <c r="AC304" t="s">
        <v>74</v>
      </c>
      <c r="AD304" t="s">
        <v>74</v>
      </c>
      <c r="AE304" t="s">
        <v>74</v>
      </c>
      <c r="AF304" t="s">
        <v>74</v>
      </c>
      <c r="AG304" t="s">
        <v>74</v>
      </c>
      <c r="AH304" t="s">
        <v>74</v>
      </c>
      <c r="AI304" t="s">
        <v>74</v>
      </c>
      <c r="AJ304" t="s">
        <v>74</v>
      </c>
      <c r="AK304" t="s">
        <v>74</v>
      </c>
      <c r="AL304" t="s">
        <v>74</v>
      </c>
      <c r="AM304" t="s">
        <v>74</v>
      </c>
      <c r="AN304" t="s">
        <v>74</v>
      </c>
      <c r="AO304" t="s">
        <v>221</v>
      </c>
      <c r="AP304" t="s">
        <v>222</v>
      </c>
      <c r="AQ304" t="s">
        <v>74</v>
      </c>
      <c r="AR304" t="s">
        <v>74</v>
      </c>
      <c r="AS304" t="s">
        <v>74</v>
      </c>
      <c r="AT304" t="s">
        <v>145</v>
      </c>
      <c r="AU304">
        <v>2015</v>
      </c>
      <c r="AV304">
        <v>28</v>
      </c>
      <c r="AW304">
        <v>8</v>
      </c>
      <c r="AX304" t="s">
        <v>74</v>
      </c>
      <c r="AY304" t="s">
        <v>74</v>
      </c>
      <c r="AZ304" t="s">
        <v>74</v>
      </c>
      <c r="BA304" t="s">
        <v>74</v>
      </c>
      <c r="BB304">
        <v>1439</v>
      </c>
      <c r="BC304">
        <v>1452</v>
      </c>
      <c r="BD304" t="s">
        <v>74</v>
      </c>
      <c r="BE304" t="s">
        <v>3308</v>
      </c>
      <c r="BF304" t="str">
        <f>HYPERLINK("http://dx.doi.org/10.1111/jeb.12665","http://dx.doi.org/10.1111/jeb.12665")</f>
        <v>http://dx.doi.org/10.1111/jeb.12665</v>
      </c>
      <c r="BG304" t="s">
        <v>74</v>
      </c>
      <c r="BH304" t="s">
        <v>74</v>
      </c>
      <c r="BI304" t="s">
        <v>74</v>
      </c>
      <c r="BJ304" t="s">
        <v>74</v>
      </c>
      <c r="BK304" t="s">
        <v>74</v>
      </c>
      <c r="BL304" t="s">
        <v>74</v>
      </c>
      <c r="BM304" t="s">
        <v>74</v>
      </c>
      <c r="BN304">
        <v>26033550</v>
      </c>
      <c r="BO304" t="s">
        <v>74</v>
      </c>
      <c r="BP304" t="s">
        <v>74</v>
      </c>
      <c r="BQ304" t="s">
        <v>74</v>
      </c>
      <c r="BR304" t="s">
        <v>74</v>
      </c>
      <c r="BS304" t="s">
        <v>3309</v>
      </c>
      <c r="BT304" t="str">
        <f>HYPERLINK("https%3A%2F%2Fwww.webofscience.com%2Fwos%2Fwoscc%2Ffull-record%2FWOS:000359606200002","View Full Record in Web of Science")</f>
        <v>View Full Record in Web of Science</v>
      </c>
    </row>
    <row r="305" spans="1:72" x14ac:dyDescent="0.4">
      <c r="A305" t="s">
        <v>72</v>
      </c>
      <c r="B305" t="s">
        <v>1332</v>
      </c>
      <c r="C305" t="s">
        <v>74</v>
      </c>
      <c r="D305" t="s">
        <v>74</v>
      </c>
      <c r="E305" t="s">
        <v>74</v>
      </c>
      <c r="F305" t="s">
        <v>1333</v>
      </c>
      <c r="G305" t="s">
        <v>74</v>
      </c>
      <c r="H305" t="s">
        <v>74</v>
      </c>
      <c r="I305" t="s">
        <v>1334</v>
      </c>
      <c r="J305" t="s">
        <v>108</v>
      </c>
      <c r="K305" t="s">
        <v>74</v>
      </c>
      <c r="L305" t="s">
        <v>74</v>
      </c>
      <c r="M305" t="s">
        <v>74</v>
      </c>
      <c r="N305" t="s">
        <v>74</v>
      </c>
      <c r="O305" t="s">
        <v>74</v>
      </c>
      <c r="P305" t="s">
        <v>74</v>
      </c>
      <c r="Q305" t="s">
        <v>74</v>
      </c>
      <c r="R305" t="s">
        <v>74</v>
      </c>
      <c r="S305" t="s">
        <v>74</v>
      </c>
      <c r="T305" t="s">
        <v>74</v>
      </c>
      <c r="U305" t="s">
        <v>74</v>
      </c>
      <c r="V305" s="3" t="s">
        <v>1335</v>
      </c>
      <c r="W305" t="s">
        <v>74</v>
      </c>
      <c r="X305" t="s">
        <v>74</v>
      </c>
      <c r="Y305" t="s">
        <v>74</v>
      </c>
      <c r="Z305" t="s">
        <v>74</v>
      </c>
      <c r="AA305" t="s">
        <v>623</v>
      </c>
      <c r="AB305" t="s">
        <v>1336</v>
      </c>
      <c r="AC305" t="s">
        <v>74</v>
      </c>
      <c r="AD305" t="s">
        <v>74</v>
      </c>
      <c r="AE305" t="s">
        <v>74</v>
      </c>
      <c r="AF305" t="s">
        <v>74</v>
      </c>
      <c r="AG305" t="s">
        <v>74</v>
      </c>
      <c r="AH305" t="s">
        <v>74</v>
      </c>
      <c r="AI305" t="s">
        <v>74</v>
      </c>
      <c r="AJ305" t="s">
        <v>74</v>
      </c>
      <c r="AK305" t="s">
        <v>74</v>
      </c>
      <c r="AL305" t="s">
        <v>74</v>
      </c>
      <c r="AM305" t="s">
        <v>74</v>
      </c>
      <c r="AN305" t="s">
        <v>74</v>
      </c>
      <c r="AO305" t="s">
        <v>111</v>
      </c>
      <c r="AP305" t="s">
        <v>112</v>
      </c>
      <c r="AQ305" t="s">
        <v>74</v>
      </c>
      <c r="AR305" t="s">
        <v>74</v>
      </c>
      <c r="AS305" t="s">
        <v>74</v>
      </c>
      <c r="AT305" t="s">
        <v>939</v>
      </c>
      <c r="AU305">
        <v>2014</v>
      </c>
      <c r="AV305">
        <v>281</v>
      </c>
      <c r="AW305">
        <v>1796</v>
      </c>
      <c r="AX305" t="s">
        <v>74</v>
      </c>
      <c r="AY305" t="s">
        <v>74</v>
      </c>
      <c r="AZ305" t="s">
        <v>74</v>
      </c>
      <c r="BA305" t="s">
        <v>74</v>
      </c>
      <c r="BB305" t="s">
        <v>74</v>
      </c>
      <c r="BC305" t="s">
        <v>74</v>
      </c>
      <c r="BD305">
        <v>20141737</v>
      </c>
      <c r="BE305" t="s">
        <v>1337</v>
      </c>
      <c r="BF305" t="str">
        <f>HYPERLINK("http://dx.doi.org/10.1098/rspb.2014.1737","http://dx.doi.org/10.1098/rspb.2014.1737")</f>
        <v>http://dx.doi.org/10.1098/rspb.2014.1737</v>
      </c>
      <c r="BG305" t="s">
        <v>74</v>
      </c>
      <c r="BH305" t="s">
        <v>74</v>
      </c>
      <c r="BI305" t="s">
        <v>74</v>
      </c>
      <c r="BJ305" t="s">
        <v>74</v>
      </c>
      <c r="BK305" t="s">
        <v>74</v>
      </c>
      <c r="BL305" t="s">
        <v>74</v>
      </c>
      <c r="BM305" t="s">
        <v>74</v>
      </c>
      <c r="BN305">
        <v>25339724</v>
      </c>
      <c r="BO305" t="s">
        <v>74</v>
      </c>
      <c r="BP305" t="s">
        <v>74</v>
      </c>
      <c r="BQ305" t="s">
        <v>74</v>
      </c>
      <c r="BR305" t="s">
        <v>74</v>
      </c>
      <c r="BS305" t="s">
        <v>1338</v>
      </c>
      <c r="BT305" t="str">
        <f>HYPERLINK("https%3A%2F%2Fwww.webofscience.com%2Fwos%2Fwoscc%2Ffull-record%2FWOS:000343674500017","View Full Record in Web of Science")</f>
        <v>View Full Record in Web of Science</v>
      </c>
    </row>
    <row r="306" spans="1:72" x14ac:dyDescent="0.4">
      <c r="A306" t="s">
        <v>72</v>
      </c>
      <c r="B306" t="s">
        <v>1979</v>
      </c>
      <c r="C306" t="s">
        <v>74</v>
      </c>
      <c r="D306" t="s">
        <v>74</v>
      </c>
      <c r="E306" t="s">
        <v>74</v>
      </c>
      <c r="F306" t="s">
        <v>1979</v>
      </c>
      <c r="G306" t="s">
        <v>74</v>
      </c>
      <c r="H306" t="s">
        <v>74</v>
      </c>
      <c r="I306" t="s">
        <v>1980</v>
      </c>
      <c r="J306" t="s">
        <v>1981</v>
      </c>
      <c r="K306" t="s">
        <v>74</v>
      </c>
      <c r="L306" t="s">
        <v>74</v>
      </c>
      <c r="M306" t="s">
        <v>74</v>
      </c>
      <c r="N306" t="s">
        <v>74</v>
      </c>
      <c r="O306" t="s">
        <v>74</v>
      </c>
      <c r="P306" t="s">
        <v>74</v>
      </c>
      <c r="Q306" t="s">
        <v>74</v>
      </c>
      <c r="R306" t="s">
        <v>74</v>
      </c>
      <c r="S306" t="s">
        <v>74</v>
      </c>
      <c r="T306" t="s">
        <v>74</v>
      </c>
      <c r="U306" t="s">
        <v>74</v>
      </c>
      <c r="V306" s="3" t="s">
        <v>1982</v>
      </c>
      <c r="W306" t="s">
        <v>74</v>
      </c>
      <c r="X306" t="s">
        <v>74</v>
      </c>
      <c r="Y306" t="s">
        <v>74</v>
      </c>
      <c r="Z306" t="s">
        <v>74</v>
      </c>
      <c r="AA306" t="s">
        <v>74</v>
      </c>
      <c r="AB306" t="s">
        <v>74</v>
      </c>
      <c r="AC306" t="s">
        <v>74</v>
      </c>
      <c r="AD306" t="s">
        <v>74</v>
      </c>
      <c r="AE306" t="s">
        <v>74</v>
      </c>
      <c r="AF306" t="s">
        <v>74</v>
      </c>
      <c r="AG306" t="s">
        <v>74</v>
      </c>
      <c r="AH306" t="s">
        <v>74</v>
      </c>
      <c r="AI306" t="s">
        <v>74</v>
      </c>
      <c r="AJ306" t="s">
        <v>74</v>
      </c>
      <c r="AK306" t="s">
        <v>74</v>
      </c>
      <c r="AL306" t="s">
        <v>74</v>
      </c>
      <c r="AM306" t="s">
        <v>74</v>
      </c>
      <c r="AN306" t="s">
        <v>74</v>
      </c>
      <c r="AO306" t="s">
        <v>1983</v>
      </c>
      <c r="AP306" t="s">
        <v>74</v>
      </c>
      <c r="AQ306" t="s">
        <v>74</v>
      </c>
      <c r="AR306" t="s">
        <v>74</v>
      </c>
      <c r="AS306" t="s">
        <v>74</v>
      </c>
      <c r="AT306" t="s">
        <v>102</v>
      </c>
      <c r="AU306">
        <v>1991</v>
      </c>
      <c r="AV306">
        <v>29</v>
      </c>
      <c r="AW306">
        <v>2</v>
      </c>
      <c r="AX306" t="s">
        <v>74</v>
      </c>
      <c r="AY306" t="s">
        <v>74</v>
      </c>
      <c r="AZ306" t="s">
        <v>74</v>
      </c>
      <c r="BA306" t="s">
        <v>74</v>
      </c>
      <c r="BB306">
        <v>123</v>
      </c>
      <c r="BC306">
        <v>138</v>
      </c>
      <c r="BD306" t="s">
        <v>74</v>
      </c>
      <c r="BE306" t="s">
        <v>74</v>
      </c>
      <c r="BF306" t="s">
        <v>74</v>
      </c>
      <c r="BG306" t="s">
        <v>74</v>
      </c>
      <c r="BH306" t="s">
        <v>74</v>
      </c>
      <c r="BI306" t="s">
        <v>74</v>
      </c>
      <c r="BJ306" t="s">
        <v>74</v>
      </c>
      <c r="BK306" t="s">
        <v>74</v>
      </c>
      <c r="BL306" t="s">
        <v>74</v>
      </c>
      <c r="BM306" t="s">
        <v>74</v>
      </c>
      <c r="BN306" t="s">
        <v>74</v>
      </c>
      <c r="BO306" t="s">
        <v>74</v>
      </c>
      <c r="BP306" t="s">
        <v>74</v>
      </c>
      <c r="BQ306" t="s">
        <v>74</v>
      </c>
      <c r="BR306" t="s">
        <v>74</v>
      </c>
      <c r="BS306" t="s">
        <v>1984</v>
      </c>
      <c r="BT306" t="str">
        <f>HYPERLINK("https%3A%2F%2Fwww.webofscience.com%2Fwos%2Fwoscc%2Ffull-record%2FWOS:A1991FW08800006","View Full Record in Web of Science")</f>
        <v>View Full Record in Web of Science</v>
      </c>
    </row>
    <row r="307" spans="1:72" x14ac:dyDescent="0.4">
      <c r="A307" t="s">
        <v>72</v>
      </c>
      <c r="B307" t="s">
        <v>7477</v>
      </c>
      <c r="C307" t="s">
        <v>74</v>
      </c>
      <c r="D307" t="s">
        <v>74</v>
      </c>
      <c r="E307" t="s">
        <v>74</v>
      </c>
      <c r="F307" t="s">
        <v>7477</v>
      </c>
      <c r="G307" t="s">
        <v>74</v>
      </c>
      <c r="H307" t="s">
        <v>74</v>
      </c>
      <c r="I307" t="s">
        <v>7478</v>
      </c>
      <c r="J307" t="s">
        <v>408</v>
      </c>
      <c r="K307" t="s">
        <v>74</v>
      </c>
      <c r="L307" t="s">
        <v>74</v>
      </c>
      <c r="M307" t="s">
        <v>74</v>
      </c>
      <c r="N307" t="s">
        <v>74</v>
      </c>
      <c r="O307" t="s">
        <v>74</v>
      </c>
      <c r="P307" t="s">
        <v>74</v>
      </c>
      <c r="Q307" t="s">
        <v>74</v>
      </c>
      <c r="R307" t="s">
        <v>74</v>
      </c>
      <c r="S307" t="s">
        <v>74</v>
      </c>
      <c r="T307" t="s">
        <v>74</v>
      </c>
      <c r="U307" t="s">
        <v>74</v>
      </c>
      <c r="V307" s="3" t="s">
        <v>7479</v>
      </c>
      <c r="W307" t="s">
        <v>74</v>
      </c>
      <c r="X307" t="s">
        <v>74</v>
      </c>
      <c r="Y307" t="s">
        <v>74</v>
      </c>
      <c r="Z307" t="s">
        <v>74</v>
      </c>
      <c r="AA307" t="s">
        <v>7480</v>
      </c>
      <c r="AB307" t="s">
        <v>7481</v>
      </c>
      <c r="AC307" t="s">
        <v>74</v>
      </c>
      <c r="AD307" t="s">
        <v>74</v>
      </c>
      <c r="AE307" t="s">
        <v>74</v>
      </c>
      <c r="AF307" t="s">
        <v>74</v>
      </c>
      <c r="AG307" t="s">
        <v>74</v>
      </c>
      <c r="AH307" t="s">
        <v>74</v>
      </c>
      <c r="AI307" t="s">
        <v>74</v>
      </c>
      <c r="AJ307" t="s">
        <v>74</v>
      </c>
      <c r="AK307" t="s">
        <v>74</v>
      </c>
      <c r="AL307" t="s">
        <v>74</v>
      </c>
      <c r="AM307" t="s">
        <v>74</v>
      </c>
      <c r="AN307" t="s">
        <v>74</v>
      </c>
      <c r="AO307" t="s">
        <v>412</v>
      </c>
      <c r="AP307" t="s">
        <v>74</v>
      </c>
      <c r="AQ307" t="s">
        <v>74</v>
      </c>
      <c r="AR307" t="s">
        <v>74</v>
      </c>
      <c r="AS307" t="s">
        <v>74</v>
      </c>
      <c r="AT307" t="s">
        <v>204</v>
      </c>
      <c r="AU307">
        <v>1996</v>
      </c>
      <c r="AV307">
        <v>58</v>
      </c>
      <c r="AW307">
        <v>3</v>
      </c>
      <c r="AX307" t="s">
        <v>74</v>
      </c>
      <c r="AY307" t="s">
        <v>74</v>
      </c>
      <c r="AZ307" t="s">
        <v>74</v>
      </c>
      <c r="BA307" t="s">
        <v>74</v>
      </c>
      <c r="BB307">
        <v>307</v>
      </c>
      <c r="BC307">
        <v>324</v>
      </c>
      <c r="BD307" t="s">
        <v>74</v>
      </c>
      <c r="BE307" t="s">
        <v>7482</v>
      </c>
      <c r="BF307" t="str">
        <f>HYPERLINK("http://dx.doi.org/10.1111/j.1095-8312.1996.tb01437.x","http://dx.doi.org/10.1111/j.1095-8312.1996.tb01437.x")</f>
        <v>http://dx.doi.org/10.1111/j.1095-8312.1996.tb01437.x</v>
      </c>
      <c r="BG307" t="s">
        <v>74</v>
      </c>
      <c r="BH307" t="s">
        <v>74</v>
      </c>
      <c r="BI307" t="s">
        <v>74</v>
      </c>
      <c r="BJ307" t="s">
        <v>74</v>
      </c>
      <c r="BK307" t="s">
        <v>74</v>
      </c>
      <c r="BL307" t="s">
        <v>74</v>
      </c>
      <c r="BM307" t="s">
        <v>74</v>
      </c>
      <c r="BN307" t="s">
        <v>74</v>
      </c>
      <c r="BO307" t="s">
        <v>74</v>
      </c>
      <c r="BP307" t="s">
        <v>74</v>
      </c>
      <c r="BQ307" t="s">
        <v>74</v>
      </c>
      <c r="BR307" t="s">
        <v>74</v>
      </c>
      <c r="BS307" t="s">
        <v>7483</v>
      </c>
      <c r="BT307" t="str">
        <f>HYPERLINK("https%3A%2F%2Fwww.webofscience.com%2Fwos%2Fwoscc%2Ffull-record%2FWOS:A1996UY83000004","View Full Record in Web of Science")</f>
        <v>View Full Record in Web of Science</v>
      </c>
    </row>
    <row r="308" spans="1:72" x14ac:dyDescent="0.4">
      <c r="A308" t="s">
        <v>72</v>
      </c>
      <c r="B308" t="s">
        <v>6091</v>
      </c>
      <c r="C308" t="s">
        <v>74</v>
      </c>
      <c r="D308" t="s">
        <v>74</v>
      </c>
      <c r="E308" t="s">
        <v>74</v>
      </c>
      <c r="F308" t="s">
        <v>6092</v>
      </c>
      <c r="G308" t="s">
        <v>74</v>
      </c>
      <c r="H308" t="s">
        <v>74</v>
      </c>
      <c r="I308" t="s">
        <v>6093</v>
      </c>
      <c r="J308" t="s">
        <v>4064</v>
      </c>
      <c r="K308" t="s">
        <v>74</v>
      </c>
      <c r="L308" t="s">
        <v>74</v>
      </c>
      <c r="M308" t="s">
        <v>74</v>
      </c>
      <c r="N308" t="s">
        <v>74</v>
      </c>
      <c r="O308" t="s">
        <v>74</v>
      </c>
      <c r="P308" t="s">
        <v>74</v>
      </c>
      <c r="Q308" t="s">
        <v>74</v>
      </c>
      <c r="R308" t="s">
        <v>74</v>
      </c>
      <c r="S308" t="s">
        <v>74</v>
      </c>
      <c r="T308" t="s">
        <v>74</v>
      </c>
      <c r="U308" t="s">
        <v>74</v>
      </c>
      <c r="V308" s="3" t="s">
        <v>6094</v>
      </c>
      <c r="W308" t="s">
        <v>74</v>
      </c>
      <c r="X308" t="s">
        <v>74</v>
      </c>
      <c r="Y308" t="s">
        <v>74</v>
      </c>
      <c r="Z308" t="s">
        <v>74</v>
      </c>
      <c r="AA308" t="s">
        <v>74</v>
      </c>
      <c r="AB308" t="s">
        <v>6095</v>
      </c>
      <c r="AC308" t="s">
        <v>74</v>
      </c>
      <c r="AD308" t="s">
        <v>74</v>
      </c>
      <c r="AE308" t="s">
        <v>74</v>
      </c>
      <c r="AF308" t="s">
        <v>74</v>
      </c>
      <c r="AG308" t="s">
        <v>74</v>
      </c>
      <c r="AH308" t="s">
        <v>74</v>
      </c>
      <c r="AI308" t="s">
        <v>74</v>
      </c>
      <c r="AJ308" t="s">
        <v>74</v>
      </c>
      <c r="AK308" t="s">
        <v>74</v>
      </c>
      <c r="AL308" t="s">
        <v>74</v>
      </c>
      <c r="AM308" t="s">
        <v>74</v>
      </c>
      <c r="AN308" t="s">
        <v>74</v>
      </c>
      <c r="AO308" t="s">
        <v>4068</v>
      </c>
      <c r="AP308" t="s">
        <v>4069</v>
      </c>
      <c r="AQ308" t="s">
        <v>74</v>
      </c>
      <c r="AR308" t="s">
        <v>74</v>
      </c>
      <c r="AS308" t="s">
        <v>74</v>
      </c>
      <c r="AT308" t="s">
        <v>6096</v>
      </c>
      <c r="AU308">
        <v>2016</v>
      </c>
      <c r="AV308">
        <v>26</v>
      </c>
      <c r="AW308">
        <v>9</v>
      </c>
      <c r="AX308" t="s">
        <v>74</v>
      </c>
      <c r="AY308" t="s">
        <v>74</v>
      </c>
      <c r="AZ308" t="s">
        <v>74</v>
      </c>
      <c r="BA308" t="s">
        <v>74</v>
      </c>
      <c r="BB308">
        <v>1195</v>
      </c>
      <c r="BC308">
        <v>1199</v>
      </c>
      <c r="BD308" t="s">
        <v>74</v>
      </c>
      <c r="BE308" t="s">
        <v>6097</v>
      </c>
      <c r="BF308" t="str">
        <f>HYPERLINK("http://dx.doi.org/10.1016/j.cub.2016.03.009","http://dx.doi.org/10.1016/j.cub.2016.03.009")</f>
        <v>http://dx.doi.org/10.1016/j.cub.2016.03.009</v>
      </c>
      <c r="BG308" t="s">
        <v>74</v>
      </c>
      <c r="BH308" t="s">
        <v>74</v>
      </c>
      <c r="BI308" t="s">
        <v>74</v>
      </c>
      <c r="BJ308" t="s">
        <v>74</v>
      </c>
      <c r="BK308" t="s">
        <v>74</v>
      </c>
      <c r="BL308" t="s">
        <v>74</v>
      </c>
      <c r="BM308" t="s">
        <v>74</v>
      </c>
      <c r="BN308">
        <v>27133871</v>
      </c>
      <c r="BO308" t="s">
        <v>74</v>
      </c>
      <c r="BP308" t="s">
        <v>74</v>
      </c>
      <c r="BQ308" t="s">
        <v>74</v>
      </c>
      <c r="BR308" t="s">
        <v>74</v>
      </c>
      <c r="BS308" t="s">
        <v>6098</v>
      </c>
      <c r="BT308" t="str">
        <f>HYPERLINK("https%3A%2F%2Fwww.webofscience.com%2Fwos%2Fwoscc%2Ffull-record%2FWOS:000375413700026","View Full Record in Web of Science")</f>
        <v>View Full Record in Web of Science</v>
      </c>
    </row>
    <row r="309" spans="1:72" x14ac:dyDescent="0.4">
      <c r="A309" t="s">
        <v>72</v>
      </c>
      <c r="B309" t="s">
        <v>8037</v>
      </c>
      <c r="C309" t="s">
        <v>74</v>
      </c>
      <c r="D309" t="s">
        <v>74</v>
      </c>
      <c r="E309" t="s">
        <v>74</v>
      </c>
      <c r="F309" t="s">
        <v>8037</v>
      </c>
      <c r="G309" t="s">
        <v>74</v>
      </c>
      <c r="H309" t="s">
        <v>74</v>
      </c>
      <c r="I309" t="s">
        <v>8038</v>
      </c>
      <c r="J309" t="s">
        <v>77</v>
      </c>
      <c r="K309" t="s">
        <v>74</v>
      </c>
      <c r="L309" t="s">
        <v>74</v>
      </c>
      <c r="M309" t="s">
        <v>74</v>
      </c>
      <c r="N309" t="s">
        <v>74</v>
      </c>
      <c r="O309" t="s">
        <v>74</v>
      </c>
      <c r="P309" t="s">
        <v>74</v>
      </c>
      <c r="Q309" t="s">
        <v>74</v>
      </c>
      <c r="R309" t="s">
        <v>74</v>
      </c>
      <c r="S309" t="s">
        <v>74</v>
      </c>
      <c r="T309" t="s">
        <v>74</v>
      </c>
      <c r="U309" t="s">
        <v>74</v>
      </c>
      <c r="V309" s="3" t="s">
        <v>8039</v>
      </c>
      <c r="W309" t="s">
        <v>74</v>
      </c>
      <c r="X309" t="s">
        <v>74</v>
      </c>
      <c r="Y309" t="s">
        <v>74</v>
      </c>
      <c r="Z309" t="s">
        <v>74</v>
      </c>
      <c r="AA309" t="s">
        <v>74</v>
      </c>
      <c r="AB309" t="s">
        <v>74</v>
      </c>
      <c r="AC309" t="s">
        <v>74</v>
      </c>
      <c r="AD309" t="s">
        <v>74</v>
      </c>
      <c r="AE309" t="s">
        <v>74</v>
      </c>
      <c r="AF309" t="s">
        <v>74</v>
      </c>
      <c r="AG309" t="s">
        <v>74</v>
      </c>
      <c r="AH309" t="s">
        <v>74</v>
      </c>
      <c r="AI309" t="s">
        <v>74</v>
      </c>
      <c r="AJ309" t="s">
        <v>74</v>
      </c>
      <c r="AK309" t="s">
        <v>74</v>
      </c>
      <c r="AL309" t="s">
        <v>74</v>
      </c>
      <c r="AM309" t="s">
        <v>74</v>
      </c>
      <c r="AN309" t="s">
        <v>74</v>
      </c>
      <c r="AO309" t="s">
        <v>81</v>
      </c>
      <c r="AP309" t="s">
        <v>74</v>
      </c>
      <c r="AQ309" t="s">
        <v>74</v>
      </c>
      <c r="AR309" t="s">
        <v>74</v>
      </c>
      <c r="AS309" t="s">
        <v>74</v>
      </c>
      <c r="AT309" t="s">
        <v>964</v>
      </c>
      <c r="AU309">
        <v>1997</v>
      </c>
      <c r="AV309">
        <v>134</v>
      </c>
      <c r="AW309" t="s">
        <v>74</v>
      </c>
      <c r="AX309" t="s">
        <v>548</v>
      </c>
      <c r="AY309" t="s">
        <v>74</v>
      </c>
      <c r="AZ309" t="s">
        <v>74</v>
      </c>
      <c r="BA309" t="s">
        <v>74</v>
      </c>
      <c r="BB309">
        <v>127</v>
      </c>
      <c r="BC309">
        <v>142</v>
      </c>
      <c r="BD309" t="s">
        <v>74</v>
      </c>
      <c r="BE309" t="s">
        <v>8040</v>
      </c>
      <c r="BF309" t="str">
        <f>HYPERLINK("http://dx.doi.org/10.1163/156853997X00313","http://dx.doi.org/10.1163/156853997X00313")</f>
        <v>http://dx.doi.org/10.1163/156853997X00313</v>
      </c>
      <c r="BG309" t="s">
        <v>74</v>
      </c>
      <c r="BH309" t="s">
        <v>74</v>
      </c>
      <c r="BI309" t="s">
        <v>74</v>
      </c>
      <c r="BJ309" t="s">
        <v>74</v>
      </c>
      <c r="BK309" t="s">
        <v>74</v>
      </c>
      <c r="BL309" t="s">
        <v>74</v>
      </c>
      <c r="BM309" t="s">
        <v>74</v>
      </c>
      <c r="BN309" t="s">
        <v>74</v>
      </c>
      <c r="BO309" t="s">
        <v>74</v>
      </c>
      <c r="BP309" t="s">
        <v>74</v>
      </c>
      <c r="BQ309" t="s">
        <v>74</v>
      </c>
      <c r="BR309" t="s">
        <v>74</v>
      </c>
      <c r="BS309" t="s">
        <v>8041</v>
      </c>
      <c r="BT309" t="str">
        <f>HYPERLINK("https%3A%2F%2Fwww.webofscience.com%2Fwos%2Fwoscc%2Ffull-record%2FWOS:A1997WJ21600007","View Full Record in Web of Science")</f>
        <v>View Full Record in Web of Science</v>
      </c>
    </row>
    <row r="310" spans="1:72" x14ac:dyDescent="0.4">
      <c r="A310" t="s">
        <v>72</v>
      </c>
      <c r="B310" t="s">
        <v>2659</v>
      </c>
      <c r="C310" t="s">
        <v>74</v>
      </c>
      <c r="D310" t="s">
        <v>74</v>
      </c>
      <c r="E310" t="s">
        <v>74</v>
      </c>
      <c r="F310" t="s">
        <v>2660</v>
      </c>
      <c r="G310" t="s">
        <v>74</v>
      </c>
      <c r="H310" t="s">
        <v>74</v>
      </c>
      <c r="I310" t="s">
        <v>2661</v>
      </c>
      <c r="J310" t="s">
        <v>2662</v>
      </c>
      <c r="K310" t="s">
        <v>74</v>
      </c>
      <c r="L310" t="s">
        <v>74</v>
      </c>
      <c r="M310" t="s">
        <v>74</v>
      </c>
      <c r="N310" t="s">
        <v>74</v>
      </c>
      <c r="O310" t="s">
        <v>74</v>
      </c>
      <c r="P310" t="s">
        <v>74</v>
      </c>
      <c r="Q310" t="s">
        <v>74</v>
      </c>
      <c r="R310" t="s">
        <v>74</v>
      </c>
      <c r="S310" t="s">
        <v>74</v>
      </c>
      <c r="T310" t="s">
        <v>74</v>
      </c>
      <c r="U310" t="s">
        <v>74</v>
      </c>
      <c r="V310" s="3" t="s">
        <v>2663</v>
      </c>
      <c r="W310" t="s">
        <v>74</v>
      </c>
      <c r="X310" t="s">
        <v>74</v>
      </c>
      <c r="Y310" t="s">
        <v>74</v>
      </c>
      <c r="Z310" t="s">
        <v>74</v>
      </c>
      <c r="AA310" t="s">
        <v>74</v>
      </c>
      <c r="AB310" t="s">
        <v>74</v>
      </c>
      <c r="AC310" t="s">
        <v>74</v>
      </c>
      <c r="AD310" t="s">
        <v>74</v>
      </c>
      <c r="AE310" t="s">
        <v>74</v>
      </c>
      <c r="AF310" t="s">
        <v>74</v>
      </c>
      <c r="AG310" t="s">
        <v>74</v>
      </c>
      <c r="AH310" t="s">
        <v>74</v>
      </c>
      <c r="AI310" t="s">
        <v>74</v>
      </c>
      <c r="AJ310" t="s">
        <v>74</v>
      </c>
      <c r="AK310" t="s">
        <v>74</v>
      </c>
      <c r="AL310" t="s">
        <v>74</v>
      </c>
      <c r="AM310" t="s">
        <v>74</v>
      </c>
      <c r="AN310" t="s">
        <v>74</v>
      </c>
      <c r="AO310" t="s">
        <v>2664</v>
      </c>
      <c r="AP310" t="s">
        <v>2665</v>
      </c>
      <c r="AQ310" t="s">
        <v>74</v>
      </c>
      <c r="AR310" t="s">
        <v>74</v>
      </c>
      <c r="AS310" t="s">
        <v>74</v>
      </c>
      <c r="AT310" t="s">
        <v>352</v>
      </c>
      <c r="AU310">
        <v>2014</v>
      </c>
      <c r="AV310">
        <v>48</v>
      </c>
      <c r="AW310">
        <v>3</v>
      </c>
      <c r="AX310" t="s">
        <v>74</v>
      </c>
      <c r="AY310" t="s">
        <v>74</v>
      </c>
      <c r="AZ310" t="s">
        <v>74</v>
      </c>
      <c r="BA310" t="s">
        <v>74</v>
      </c>
      <c r="BB310">
        <v>240</v>
      </c>
      <c r="BC310">
        <v>247</v>
      </c>
      <c r="BD310" t="s">
        <v>74</v>
      </c>
      <c r="BE310" t="s">
        <v>2666</v>
      </c>
      <c r="BF310" t="str">
        <f>HYPERLINK("http://dx.doi.org/10.3356/0892-1016-48.3.240","http://dx.doi.org/10.3356/0892-1016-48.3.240")</f>
        <v>http://dx.doi.org/10.3356/0892-1016-48.3.240</v>
      </c>
      <c r="BG310" t="s">
        <v>74</v>
      </c>
      <c r="BH310" t="s">
        <v>74</v>
      </c>
      <c r="BI310" t="s">
        <v>74</v>
      </c>
      <c r="BJ310" t="s">
        <v>74</v>
      </c>
      <c r="BK310" t="s">
        <v>74</v>
      </c>
      <c r="BL310" t="s">
        <v>74</v>
      </c>
      <c r="BM310" t="s">
        <v>74</v>
      </c>
      <c r="BN310" t="s">
        <v>74</v>
      </c>
      <c r="BO310" t="s">
        <v>74</v>
      </c>
      <c r="BP310" t="s">
        <v>74</v>
      </c>
      <c r="BQ310" t="s">
        <v>74</v>
      </c>
      <c r="BR310" t="s">
        <v>74</v>
      </c>
      <c r="BS310" t="s">
        <v>2667</v>
      </c>
      <c r="BT310" t="str">
        <f>HYPERLINK("https%3A%2F%2Fwww.webofscience.com%2Fwos%2Fwoscc%2Ffull-record%2FWOS:000341096200005","View Full Record in Web of Science")</f>
        <v>View Full Record in Web of Science</v>
      </c>
    </row>
    <row r="311" spans="1:72" x14ac:dyDescent="0.4">
      <c r="A311" t="s">
        <v>72</v>
      </c>
      <c r="B311" t="s">
        <v>1624</v>
      </c>
      <c r="C311" t="s">
        <v>74</v>
      </c>
      <c r="D311" t="s">
        <v>74</v>
      </c>
      <c r="E311" t="s">
        <v>74</v>
      </c>
      <c r="F311" t="s">
        <v>1625</v>
      </c>
      <c r="G311" t="s">
        <v>74</v>
      </c>
      <c r="H311" t="s">
        <v>74</v>
      </c>
      <c r="I311" t="s">
        <v>1626</v>
      </c>
      <c r="J311" t="s">
        <v>129</v>
      </c>
      <c r="K311" t="s">
        <v>74</v>
      </c>
      <c r="L311" t="s">
        <v>74</v>
      </c>
      <c r="M311" t="s">
        <v>74</v>
      </c>
      <c r="N311" t="s">
        <v>74</v>
      </c>
      <c r="O311" t="s">
        <v>74</v>
      </c>
      <c r="P311" t="s">
        <v>74</v>
      </c>
      <c r="Q311" t="s">
        <v>74</v>
      </c>
      <c r="R311" t="s">
        <v>74</v>
      </c>
      <c r="S311" t="s">
        <v>74</v>
      </c>
      <c r="T311" t="s">
        <v>74</v>
      </c>
      <c r="U311" t="s">
        <v>74</v>
      </c>
      <c r="V311" s="3" t="s">
        <v>1627</v>
      </c>
      <c r="W311" t="s">
        <v>74</v>
      </c>
      <c r="X311" t="s">
        <v>74</v>
      </c>
      <c r="Y311" t="s">
        <v>74</v>
      </c>
      <c r="Z311" t="s">
        <v>74</v>
      </c>
      <c r="AA311" t="s">
        <v>74</v>
      </c>
      <c r="AB311" t="s">
        <v>1628</v>
      </c>
      <c r="AC311" t="s">
        <v>74</v>
      </c>
      <c r="AD311" t="s">
        <v>74</v>
      </c>
      <c r="AE311" t="s">
        <v>74</v>
      </c>
      <c r="AF311" t="s">
        <v>74</v>
      </c>
      <c r="AG311" t="s">
        <v>74</v>
      </c>
      <c r="AH311" t="s">
        <v>74</v>
      </c>
      <c r="AI311" t="s">
        <v>74</v>
      </c>
      <c r="AJ311" t="s">
        <v>74</v>
      </c>
      <c r="AK311" t="s">
        <v>74</v>
      </c>
      <c r="AL311" t="s">
        <v>74</v>
      </c>
      <c r="AM311" t="s">
        <v>74</v>
      </c>
      <c r="AN311" t="s">
        <v>74</v>
      </c>
      <c r="AO311" t="s">
        <v>132</v>
      </c>
      <c r="AP311" t="s">
        <v>133</v>
      </c>
      <c r="AQ311" t="s">
        <v>74</v>
      </c>
      <c r="AR311" t="s">
        <v>74</v>
      </c>
      <c r="AS311" t="s">
        <v>74</v>
      </c>
      <c r="AT311" t="s">
        <v>1629</v>
      </c>
      <c r="AU311">
        <v>2020</v>
      </c>
      <c r="AV311">
        <v>74</v>
      </c>
      <c r="AW311">
        <v>10</v>
      </c>
      <c r="AX311" t="s">
        <v>74</v>
      </c>
      <c r="AY311" t="s">
        <v>74</v>
      </c>
      <c r="AZ311" t="s">
        <v>74</v>
      </c>
      <c r="BA311" t="s">
        <v>74</v>
      </c>
      <c r="BB311" t="s">
        <v>74</v>
      </c>
      <c r="BC311" t="s">
        <v>74</v>
      </c>
      <c r="BD311">
        <v>116</v>
      </c>
      <c r="BE311" t="s">
        <v>1630</v>
      </c>
      <c r="BF311" t="str">
        <f>HYPERLINK("http://dx.doi.org/10.1007/s00265-020-02899-w","http://dx.doi.org/10.1007/s00265-020-02899-w")</f>
        <v>http://dx.doi.org/10.1007/s00265-020-02899-w</v>
      </c>
      <c r="BG311" t="s">
        <v>74</v>
      </c>
      <c r="BH311" t="s">
        <v>74</v>
      </c>
      <c r="BI311" t="s">
        <v>74</v>
      </c>
      <c r="BJ311" t="s">
        <v>74</v>
      </c>
      <c r="BK311" t="s">
        <v>74</v>
      </c>
      <c r="BL311" t="s">
        <v>74</v>
      </c>
      <c r="BM311" t="s">
        <v>74</v>
      </c>
      <c r="BN311" t="s">
        <v>74</v>
      </c>
      <c r="BO311" t="s">
        <v>74</v>
      </c>
      <c r="BP311" t="s">
        <v>74</v>
      </c>
      <c r="BQ311" t="s">
        <v>74</v>
      </c>
      <c r="BR311" t="s">
        <v>74</v>
      </c>
      <c r="BS311" t="s">
        <v>1631</v>
      </c>
      <c r="BT311" t="str">
        <f>HYPERLINK("https%3A%2F%2Fwww.webofscience.com%2Fwos%2Fwoscc%2Ffull-record%2FWOS:000565883300001","View Full Record in Web of Science")</f>
        <v>View Full Record in Web of Science</v>
      </c>
    </row>
    <row r="312" spans="1:72" x14ac:dyDescent="0.4">
      <c r="A312" t="s">
        <v>72</v>
      </c>
      <c r="B312" t="s">
        <v>3408</v>
      </c>
      <c r="C312" t="s">
        <v>74</v>
      </c>
      <c r="D312" t="s">
        <v>74</v>
      </c>
      <c r="E312" t="s">
        <v>74</v>
      </c>
      <c r="F312" t="s">
        <v>3409</v>
      </c>
      <c r="G312" t="s">
        <v>74</v>
      </c>
      <c r="H312" t="s">
        <v>74</v>
      </c>
      <c r="I312" t="s">
        <v>3410</v>
      </c>
      <c r="J312" t="s">
        <v>3411</v>
      </c>
      <c r="K312" t="s">
        <v>74</v>
      </c>
      <c r="L312" t="s">
        <v>74</v>
      </c>
      <c r="M312" t="s">
        <v>74</v>
      </c>
      <c r="N312" t="s">
        <v>74</v>
      </c>
      <c r="O312" t="s">
        <v>74</v>
      </c>
      <c r="P312" t="s">
        <v>74</v>
      </c>
      <c r="Q312" t="s">
        <v>74</v>
      </c>
      <c r="R312" t="s">
        <v>74</v>
      </c>
      <c r="S312" t="s">
        <v>74</v>
      </c>
      <c r="T312" t="s">
        <v>74</v>
      </c>
      <c r="U312" t="s">
        <v>74</v>
      </c>
      <c r="V312" s="3" t="s">
        <v>3412</v>
      </c>
      <c r="W312" t="s">
        <v>74</v>
      </c>
      <c r="X312" t="s">
        <v>74</v>
      </c>
      <c r="Y312" t="s">
        <v>74</v>
      </c>
      <c r="Z312" t="s">
        <v>74</v>
      </c>
      <c r="AA312" t="s">
        <v>3413</v>
      </c>
      <c r="AB312" t="s">
        <v>3414</v>
      </c>
      <c r="AC312" t="s">
        <v>74</v>
      </c>
      <c r="AD312" t="s">
        <v>74</v>
      </c>
      <c r="AE312" t="s">
        <v>74</v>
      </c>
      <c r="AF312" t="s">
        <v>74</v>
      </c>
      <c r="AG312" t="s">
        <v>74</v>
      </c>
      <c r="AH312" t="s">
        <v>74</v>
      </c>
      <c r="AI312" t="s">
        <v>74</v>
      </c>
      <c r="AJ312" t="s">
        <v>74</v>
      </c>
      <c r="AK312" t="s">
        <v>74</v>
      </c>
      <c r="AL312" t="s">
        <v>74</v>
      </c>
      <c r="AM312" t="s">
        <v>74</v>
      </c>
      <c r="AN312" t="s">
        <v>74</v>
      </c>
      <c r="AO312" t="s">
        <v>3415</v>
      </c>
      <c r="AP312" t="s">
        <v>3416</v>
      </c>
      <c r="AQ312" t="s">
        <v>74</v>
      </c>
      <c r="AR312" t="s">
        <v>74</v>
      </c>
      <c r="AS312" t="s">
        <v>74</v>
      </c>
      <c r="AT312" t="s">
        <v>74</v>
      </c>
      <c r="AU312">
        <v>2018</v>
      </c>
      <c r="AV312">
        <v>118</v>
      </c>
      <c r="AW312">
        <v>4</v>
      </c>
      <c r="AX312" t="s">
        <v>74</v>
      </c>
      <c r="AY312" t="s">
        <v>74</v>
      </c>
      <c r="AZ312" t="s">
        <v>74</v>
      </c>
      <c r="BA312" t="s">
        <v>74</v>
      </c>
      <c r="BB312">
        <v>369</v>
      </c>
      <c r="BC312">
        <v>374</v>
      </c>
      <c r="BD312" t="s">
        <v>74</v>
      </c>
      <c r="BE312" t="s">
        <v>3417</v>
      </c>
      <c r="BF312" t="str">
        <f>HYPERLINK("http://dx.doi.org/10.1080/01584197.2018.1453304","http://dx.doi.org/10.1080/01584197.2018.1453304")</f>
        <v>http://dx.doi.org/10.1080/01584197.2018.1453304</v>
      </c>
      <c r="BG312" t="s">
        <v>74</v>
      </c>
      <c r="BH312" t="s">
        <v>74</v>
      </c>
      <c r="BI312" t="s">
        <v>74</v>
      </c>
      <c r="BJ312" t="s">
        <v>74</v>
      </c>
      <c r="BK312" t="s">
        <v>74</v>
      </c>
      <c r="BL312" t="s">
        <v>74</v>
      </c>
      <c r="BM312" t="s">
        <v>74</v>
      </c>
      <c r="BN312" t="s">
        <v>74</v>
      </c>
      <c r="BO312" t="s">
        <v>74</v>
      </c>
      <c r="BP312" t="s">
        <v>74</v>
      </c>
      <c r="BQ312" t="s">
        <v>74</v>
      </c>
      <c r="BR312" t="s">
        <v>74</v>
      </c>
      <c r="BS312" t="s">
        <v>3418</v>
      </c>
      <c r="BT312" t="str">
        <f>HYPERLINK("https%3A%2F%2Fwww.webofscience.com%2Fwos%2Fwoscc%2Ffull-record%2FWOS:000451715900007","View Full Record in Web of Science")</f>
        <v>View Full Record in Web of Science</v>
      </c>
    </row>
    <row r="313" spans="1:72" x14ac:dyDescent="0.4">
      <c r="A313" t="s">
        <v>72</v>
      </c>
      <c r="B313" t="s">
        <v>2356</v>
      </c>
      <c r="C313" t="s">
        <v>74</v>
      </c>
      <c r="D313" t="s">
        <v>74</v>
      </c>
      <c r="E313" t="s">
        <v>74</v>
      </c>
      <c r="F313" t="s">
        <v>2357</v>
      </c>
      <c r="G313" t="s">
        <v>74</v>
      </c>
      <c r="H313" t="s">
        <v>74</v>
      </c>
      <c r="I313" t="s">
        <v>2358</v>
      </c>
      <c r="J313" t="s">
        <v>509</v>
      </c>
      <c r="K313" t="s">
        <v>74</v>
      </c>
      <c r="L313" t="s">
        <v>74</v>
      </c>
      <c r="M313" t="s">
        <v>74</v>
      </c>
      <c r="N313" t="s">
        <v>74</v>
      </c>
      <c r="O313" t="s">
        <v>74</v>
      </c>
      <c r="P313" t="s">
        <v>74</v>
      </c>
      <c r="Q313" t="s">
        <v>74</v>
      </c>
      <c r="R313" t="s">
        <v>74</v>
      </c>
      <c r="S313" t="s">
        <v>74</v>
      </c>
      <c r="T313" t="s">
        <v>74</v>
      </c>
      <c r="U313" t="s">
        <v>74</v>
      </c>
      <c r="V313" s="3" t="s">
        <v>2359</v>
      </c>
      <c r="W313" t="s">
        <v>74</v>
      </c>
      <c r="X313" t="s">
        <v>74</v>
      </c>
      <c r="Y313" t="s">
        <v>74</v>
      </c>
      <c r="Z313" t="s">
        <v>74</v>
      </c>
      <c r="AA313" t="s">
        <v>2360</v>
      </c>
      <c r="AB313" t="s">
        <v>2361</v>
      </c>
      <c r="AC313" t="s">
        <v>74</v>
      </c>
      <c r="AD313" t="s">
        <v>74</v>
      </c>
      <c r="AE313" t="s">
        <v>74</v>
      </c>
      <c r="AF313" t="s">
        <v>74</v>
      </c>
      <c r="AG313" t="s">
        <v>74</v>
      </c>
      <c r="AH313" t="s">
        <v>74</v>
      </c>
      <c r="AI313" t="s">
        <v>74</v>
      </c>
      <c r="AJ313" t="s">
        <v>74</v>
      </c>
      <c r="AK313" t="s">
        <v>74</v>
      </c>
      <c r="AL313" t="s">
        <v>74</v>
      </c>
      <c r="AM313" t="s">
        <v>74</v>
      </c>
      <c r="AN313" t="s">
        <v>74</v>
      </c>
      <c r="AO313" t="s">
        <v>511</v>
      </c>
      <c r="AP313" t="s">
        <v>512</v>
      </c>
      <c r="AQ313" t="s">
        <v>74</v>
      </c>
      <c r="AR313" t="s">
        <v>74</v>
      </c>
      <c r="AS313" t="s">
        <v>74</v>
      </c>
      <c r="AT313" t="s">
        <v>134</v>
      </c>
      <c r="AU313">
        <v>2015</v>
      </c>
      <c r="AV313">
        <v>71</v>
      </c>
      <c r="AW313" t="s">
        <v>74</v>
      </c>
      <c r="AX313" t="s">
        <v>74</v>
      </c>
      <c r="AY313" t="s">
        <v>74</v>
      </c>
      <c r="AZ313" t="s">
        <v>74</v>
      </c>
      <c r="BA313" t="s">
        <v>74</v>
      </c>
      <c r="BB313">
        <v>10</v>
      </c>
      <c r="BC313">
        <v>15</v>
      </c>
      <c r="BD313" t="s">
        <v>74</v>
      </c>
      <c r="BE313" t="s">
        <v>2362</v>
      </c>
      <c r="BF313" t="str">
        <f>HYPERLINK("http://dx.doi.org/10.1016/j.yhbeh.2015.03.005","http://dx.doi.org/10.1016/j.yhbeh.2015.03.005")</f>
        <v>http://dx.doi.org/10.1016/j.yhbeh.2015.03.005</v>
      </c>
      <c r="BG313" t="s">
        <v>74</v>
      </c>
      <c r="BH313" t="s">
        <v>74</v>
      </c>
      <c r="BI313" t="s">
        <v>74</v>
      </c>
      <c r="BJ313" t="s">
        <v>74</v>
      </c>
      <c r="BK313" t="s">
        <v>74</v>
      </c>
      <c r="BL313" t="s">
        <v>74</v>
      </c>
      <c r="BM313" t="s">
        <v>74</v>
      </c>
      <c r="BN313">
        <v>25840012</v>
      </c>
      <c r="BO313" t="s">
        <v>74</v>
      </c>
      <c r="BP313" t="s">
        <v>74</v>
      </c>
      <c r="BQ313" t="s">
        <v>74</v>
      </c>
      <c r="BR313" t="s">
        <v>74</v>
      </c>
      <c r="BS313" t="s">
        <v>2363</v>
      </c>
      <c r="BT313" t="str">
        <f>HYPERLINK("https%3A%2F%2Fwww.webofscience.com%2Fwos%2Fwoscc%2Ffull-record%2FWOS:000355573500002","View Full Record in Web of Science")</f>
        <v>View Full Record in Web of Science</v>
      </c>
    </row>
    <row r="314" spans="1:72" x14ac:dyDescent="0.4">
      <c r="A314" t="s">
        <v>72</v>
      </c>
      <c r="B314" t="s">
        <v>5806</v>
      </c>
      <c r="C314" t="s">
        <v>74</v>
      </c>
      <c r="D314" t="s">
        <v>74</v>
      </c>
      <c r="E314" t="s">
        <v>74</v>
      </c>
      <c r="F314" t="s">
        <v>5806</v>
      </c>
      <c r="G314" t="s">
        <v>74</v>
      </c>
      <c r="H314" t="s">
        <v>74</v>
      </c>
      <c r="I314" t="s">
        <v>5807</v>
      </c>
      <c r="J314" t="s">
        <v>1533</v>
      </c>
      <c r="K314" t="s">
        <v>74</v>
      </c>
      <c r="L314" t="s">
        <v>74</v>
      </c>
      <c r="M314" t="s">
        <v>74</v>
      </c>
      <c r="N314" t="s">
        <v>74</v>
      </c>
      <c r="O314" t="s">
        <v>74</v>
      </c>
      <c r="P314" t="s">
        <v>74</v>
      </c>
      <c r="Q314" t="s">
        <v>74</v>
      </c>
      <c r="R314" t="s">
        <v>74</v>
      </c>
      <c r="S314" t="s">
        <v>74</v>
      </c>
      <c r="T314" t="s">
        <v>74</v>
      </c>
      <c r="U314" t="s">
        <v>74</v>
      </c>
      <c r="V314" s="3" t="s">
        <v>5808</v>
      </c>
      <c r="W314" t="s">
        <v>74</v>
      </c>
      <c r="X314" t="s">
        <v>74</v>
      </c>
      <c r="Y314" t="s">
        <v>74</v>
      </c>
      <c r="Z314" t="s">
        <v>74</v>
      </c>
      <c r="AA314" t="s">
        <v>74</v>
      </c>
      <c r="AB314" t="s">
        <v>74</v>
      </c>
      <c r="AC314" t="s">
        <v>74</v>
      </c>
      <c r="AD314" t="s">
        <v>74</v>
      </c>
      <c r="AE314" t="s">
        <v>74</v>
      </c>
      <c r="AF314" t="s">
        <v>74</v>
      </c>
      <c r="AG314" t="s">
        <v>74</v>
      </c>
      <c r="AH314" t="s">
        <v>74</v>
      </c>
      <c r="AI314" t="s">
        <v>74</v>
      </c>
      <c r="AJ314" t="s">
        <v>74</v>
      </c>
      <c r="AK314" t="s">
        <v>74</v>
      </c>
      <c r="AL314" t="s">
        <v>74</v>
      </c>
      <c r="AM314" t="s">
        <v>74</v>
      </c>
      <c r="AN314" t="s">
        <v>74</v>
      </c>
      <c r="AO314" t="s">
        <v>1535</v>
      </c>
      <c r="AP314" t="s">
        <v>1536</v>
      </c>
      <c r="AQ314" t="s">
        <v>74</v>
      </c>
      <c r="AR314" t="s">
        <v>74</v>
      </c>
      <c r="AS314" t="s">
        <v>74</v>
      </c>
      <c r="AT314" t="s">
        <v>74</v>
      </c>
      <c r="AU314">
        <v>1980</v>
      </c>
      <c r="AV314">
        <v>33</v>
      </c>
      <c r="AW314">
        <v>3</v>
      </c>
      <c r="AX314" t="s">
        <v>74</v>
      </c>
      <c r="AY314" t="s">
        <v>74</v>
      </c>
      <c r="AZ314" t="s">
        <v>74</v>
      </c>
      <c r="BA314" t="s">
        <v>74</v>
      </c>
      <c r="BB314">
        <v>383</v>
      </c>
      <c r="BC314">
        <v>395</v>
      </c>
      <c r="BD314" t="s">
        <v>74</v>
      </c>
      <c r="BE314" t="s">
        <v>5809</v>
      </c>
      <c r="BF314" t="str">
        <f>HYPERLINK("http://dx.doi.org/10.1901/jeab.1980.33-383","http://dx.doi.org/10.1901/jeab.1980.33-383")</f>
        <v>http://dx.doi.org/10.1901/jeab.1980.33-383</v>
      </c>
      <c r="BG314" t="s">
        <v>74</v>
      </c>
      <c r="BH314" t="s">
        <v>74</v>
      </c>
      <c r="BI314" t="s">
        <v>74</v>
      </c>
      <c r="BJ314" t="s">
        <v>74</v>
      </c>
      <c r="BK314" t="s">
        <v>74</v>
      </c>
      <c r="BL314" t="s">
        <v>74</v>
      </c>
      <c r="BM314" t="s">
        <v>74</v>
      </c>
      <c r="BN314">
        <v>16812171</v>
      </c>
      <c r="BO314" t="s">
        <v>74</v>
      </c>
      <c r="BP314" t="s">
        <v>74</v>
      </c>
      <c r="BQ314" t="s">
        <v>74</v>
      </c>
      <c r="BR314" t="s">
        <v>74</v>
      </c>
      <c r="BS314" t="s">
        <v>5810</v>
      </c>
      <c r="BT314" t="str">
        <f>HYPERLINK("https%3A%2F%2Fwww.webofscience.com%2Fwos%2Fwoscc%2Ffull-record%2FWOS:A1980JR70200008","View Full Record in Web of Science")</f>
        <v>View Full Record in Web of Science</v>
      </c>
    </row>
    <row r="315" spans="1:72" x14ac:dyDescent="0.4">
      <c r="A315" t="s">
        <v>72</v>
      </c>
      <c r="B315" t="s">
        <v>7332</v>
      </c>
      <c r="C315" t="s">
        <v>74</v>
      </c>
      <c r="D315" t="s">
        <v>74</v>
      </c>
      <c r="E315" t="s">
        <v>74</v>
      </c>
      <c r="F315" t="s">
        <v>7333</v>
      </c>
      <c r="G315" t="s">
        <v>74</v>
      </c>
      <c r="H315" t="s">
        <v>74</v>
      </c>
      <c r="I315" t="s">
        <v>7334</v>
      </c>
      <c r="J315" t="s">
        <v>1384</v>
      </c>
      <c r="K315" t="s">
        <v>74</v>
      </c>
      <c r="L315" t="s">
        <v>74</v>
      </c>
      <c r="M315" t="s">
        <v>74</v>
      </c>
      <c r="N315" t="s">
        <v>74</v>
      </c>
      <c r="O315" t="s">
        <v>74</v>
      </c>
      <c r="P315" t="s">
        <v>74</v>
      </c>
      <c r="Q315" t="s">
        <v>74</v>
      </c>
      <c r="R315" t="s">
        <v>74</v>
      </c>
      <c r="S315" t="s">
        <v>74</v>
      </c>
      <c r="T315" t="s">
        <v>74</v>
      </c>
      <c r="U315" t="s">
        <v>74</v>
      </c>
      <c r="V315" s="3" t="s">
        <v>7335</v>
      </c>
      <c r="W315" t="s">
        <v>74</v>
      </c>
      <c r="X315" t="s">
        <v>74</v>
      </c>
      <c r="Y315" t="s">
        <v>74</v>
      </c>
      <c r="Z315" t="s">
        <v>74</v>
      </c>
      <c r="AA315" t="s">
        <v>7336</v>
      </c>
      <c r="AB315" t="s">
        <v>7337</v>
      </c>
      <c r="AC315" t="s">
        <v>74</v>
      </c>
      <c r="AD315" t="s">
        <v>74</v>
      </c>
      <c r="AE315" t="s">
        <v>74</v>
      </c>
      <c r="AF315" t="s">
        <v>74</v>
      </c>
      <c r="AG315" t="s">
        <v>74</v>
      </c>
      <c r="AH315" t="s">
        <v>74</v>
      </c>
      <c r="AI315" t="s">
        <v>74</v>
      </c>
      <c r="AJ315" t="s">
        <v>74</v>
      </c>
      <c r="AK315" t="s">
        <v>74</v>
      </c>
      <c r="AL315" t="s">
        <v>74</v>
      </c>
      <c r="AM315" t="s">
        <v>74</v>
      </c>
      <c r="AN315" t="s">
        <v>74</v>
      </c>
      <c r="AO315" t="s">
        <v>1388</v>
      </c>
      <c r="AP315" t="s">
        <v>1389</v>
      </c>
      <c r="AQ315" t="s">
        <v>74</v>
      </c>
      <c r="AR315" t="s">
        <v>74</v>
      </c>
      <c r="AS315" t="s">
        <v>74</v>
      </c>
      <c r="AT315" t="s">
        <v>633</v>
      </c>
      <c r="AU315">
        <v>2007</v>
      </c>
      <c r="AV315">
        <v>149</v>
      </c>
      <c r="AW315">
        <v>2</v>
      </c>
      <c r="AX315" t="s">
        <v>74</v>
      </c>
      <c r="AY315" t="s">
        <v>74</v>
      </c>
      <c r="AZ315" t="s">
        <v>74</v>
      </c>
      <c r="BA315" t="s">
        <v>74</v>
      </c>
      <c r="BB315">
        <v>313</v>
      </c>
      <c r="BC315">
        <v>320</v>
      </c>
      <c r="BD315" t="s">
        <v>74</v>
      </c>
      <c r="BE315" t="s">
        <v>7338</v>
      </c>
      <c r="BF315" t="str">
        <f>HYPERLINK("http://dx.doi.org/10.1111/j.1474-919X.2006.00632.x","http://dx.doi.org/10.1111/j.1474-919X.2006.00632.x")</f>
        <v>http://dx.doi.org/10.1111/j.1474-919X.2006.00632.x</v>
      </c>
      <c r="BG315" t="s">
        <v>74</v>
      </c>
      <c r="BH315" t="s">
        <v>74</v>
      </c>
      <c r="BI315" t="s">
        <v>74</v>
      </c>
      <c r="BJ315" t="s">
        <v>74</v>
      </c>
      <c r="BK315" t="s">
        <v>74</v>
      </c>
      <c r="BL315" t="s">
        <v>74</v>
      </c>
      <c r="BM315" t="s">
        <v>74</v>
      </c>
      <c r="BN315" t="s">
        <v>74</v>
      </c>
      <c r="BO315" t="s">
        <v>74</v>
      </c>
      <c r="BP315" t="s">
        <v>74</v>
      </c>
      <c r="BQ315" t="s">
        <v>74</v>
      </c>
      <c r="BR315" t="s">
        <v>74</v>
      </c>
      <c r="BS315" t="s">
        <v>7339</v>
      </c>
      <c r="BT315" t="str">
        <f>HYPERLINK("https%3A%2F%2Fwww.webofscience.com%2Fwos%2Fwoscc%2Ffull-record%2FWOS:000245312000012","View Full Record in Web of Science")</f>
        <v>View Full Record in Web of Science</v>
      </c>
    </row>
    <row r="316" spans="1:72" x14ac:dyDescent="0.4">
      <c r="A316" t="s">
        <v>72</v>
      </c>
      <c r="B316" t="s">
        <v>8550</v>
      </c>
      <c r="C316" t="s">
        <v>74</v>
      </c>
      <c r="D316" t="s">
        <v>74</v>
      </c>
      <c r="E316" t="s">
        <v>74</v>
      </c>
      <c r="F316" t="s">
        <v>8551</v>
      </c>
      <c r="G316" t="s">
        <v>74</v>
      </c>
      <c r="H316" t="s">
        <v>74</v>
      </c>
      <c r="I316" t="s">
        <v>8552</v>
      </c>
      <c r="J316" t="s">
        <v>3595</v>
      </c>
      <c r="K316" t="s">
        <v>74</v>
      </c>
      <c r="L316" t="s">
        <v>74</v>
      </c>
      <c r="M316" t="s">
        <v>74</v>
      </c>
      <c r="N316" t="s">
        <v>74</v>
      </c>
      <c r="O316" t="s">
        <v>74</v>
      </c>
      <c r="P316" t="s">
        <v>74</v>
      </c>
      <c r="Q316" t="s">
        <v>74</v>
      </c>
      <c r="R316" t="s">
        <v>74</v>
      </c>
      <c r="S316" t="s">
        <v>74</v>
      </c>
      <c r="T316" t="s">
        <v>74</v>
      </c>
      <c r="U316" t="s">
        <v>74</v>
      </c>
      <c r="V316" s="3" t="s">
        <v>8553</v>
      </c>
      <c r="W316" t="s">
        <v>74</v>
      </c>
      <c r="X316" t="s">
        <v>74</v>
      </c>
      <c r="Y316" t="s">
        <v>74</v>
      </c>
      <c r="Z316" t="s">
        <v>74</v>
      </c>
      <c r="AA316" t="s">
        <v>74</v>
      </c>
      <c r="AB316" t="s">
        <v>8554</v>
      </c>
      <c r="AC316" t="s">
        <v>74</v>
      </c>
      <c r="AD316" t="s">
        <v>74</v>
      </c>
      <c r="AE316" t="s">
        <v>74</v>
      </c>
      <c r="AF316" t="s">
        <v>74</v>
      </c>
      <c r="AG316" t="s">
        <v>74</v>
      </c>
      <c r="AH316" t="s">
        <v>74</v>
      </c>
      <c r="AI316" t="s">
        <v>74</v>
      </c>
      <c r="AJ316" t="s">
        <v>74</v>
      </c>
      <c r="AK316" t="s">
        <v>74</v>
      </c>
      <c r="AL316" t="s">
        <v>74</v>
      </c>
      <c r="AM316" t="s">
        <v>74</v>
      </c>
      <c r="AN316" t="s">
        <v>74</v>
      </c>
      <c r="AO316" t="s">
        <v>3599</v>
      </c>
      <c r="AP316" t="s">
        <v>3600</v>
      </c>
      <c r="AQ316" t="s">
        <v>74</v>
      </c>
      <c r="AR316" t="s">
        <v>74</v>
      </c>
      <c r="AS316" t="s">
        <v>74</v>
      </c>
      <c r="AT316" t="s">
        <v>134</v>
      </c>
      <c r="AU316">
        <v>2020</v>
      </c>
      <c r="AV316">
        <v>172</v>
      </c>
      <c r="AW316">
        <v>1</v>
      </c>
      <c r="AX316" t="s">
        <v>74</v>
      </c>
      <c r="AY316" t="s">
        <v>74</v>
      </c>
      <c r="AZ316" t="s">
        <v>74</v>
      </c>
      <c r="BA316" t="s">
        <v>74</v>
      </c>
      <c r="BB316">
        <v>140</v>
      </c>
      <c r="BC316">
        <v>147</v>
      </c>
      <c r="BD316" t="s">
        <v>74</v>
      </c>
      <c r="BE316" t="s">
        <v>8555</v>
      </c>
      <c r="BF316" t="str">
        <f>HYPERLINK("http://dx.doi.org/10.1002/ajpa.24049","http://dx.doi.org/10.1002/ajpa.24049")</f>
        <v>http://dx.doi.org/10.1002/ajpa.24049</v>
      </c>
      <c r="BG316" t="s">
        <v>74</v>
      </c>
      <c r="BH316" t="s">
        <v>74</v>
      </c>
      <c r="BI316" t="s">
        <v>74</v>
      </c>
      <c r="BJ316" t="s">
        <v>74</v>
      </c>
      <c r="BK316" t="s">
        <v>74</v>
      </c>
      <c r="BL316" t="s">
        <v>74</v>
      </c>
      <c r="BM316" t="s">
        <v>74</v>
      </c>
      <c r="BN316">
        <v>32170724</v>
      </c>
      <c r="BO316" t="s">
        <v>74</v>
      </c>
      <c r="BP316" t="s">
        <v>74</v>
      </c>
      <c r="BQ316" t="s">
        <v>74</v>
      </c>
      <c r="BR316" t="s">
        <v>74</v>
      </c>
      <c r="BS316" t="s">
        <v>8556</v>
      </c>
      <c r="BT316" t="str">
        <f>HYPERLINK("https%3A%2F%2Fwww.webofscience.com%2Fwos%2Fwoscc%2Ffull-record%2FWOS:000527838500012","View Full Record in Web of Science")</f>
        <v>View Full Record in Web of Science</v>
      </c>
    </row>
    <row r="317" spans="1:72" x14ac:dyDescent="0.4">
      <c r="A317" t="s">
        <v>72</v>
      </c>
      <c r="B317" t="s">
        <v>8114</v>
      </c>
      <c r="C317" t="s">
        <v>74</v>
      </c>
      <c r="D317" t="s">
        <v>74</v>
      </c>
      <c r="E317" t="s">
        <v>74</v>
      </c>
      <c r="F317" t="s">
        <v>8115</v>
      </c>
      <c r="G317" t="s">
        <v>74</v>
      </c>
      <c r="H317" t="s">
        <v>74</v>
      </c>
      <c r="I317" t="s">
        <v>8116</v>
      </c>
      <c r="J317" t="s">
        <v>2662</v>
      </c>
      <c r="K317" t="s">
        <v>74</v>
      </c>
      <c r="L317" t="s">
        <v>74</v>
      </c>
      <c r="M317" t="s">
        <v>74</v>
      </c>
      <c r="N317" t="s">
        <v>74</v>
      </c>
      <c r="O317" t="s">
        <v>74</v>
      </c>
      <c r="P317" t="s">
        <v>74</v>
      </c>
      <c r="Q317" t="s">
        <v>74</v>
      </c>
      <c r="R317" t="s">
        <v>74</v>
      </c>
      <c r="S317" t="s">
        <v>74</v>
      </c>
      <c r="T317" t="s">
        <v>74</v>
      </c>
      <c r="U317" t="s">
        <v>74</v>
      </c>
      <c r="V317" s="3" t="s">
        <v>8117</v>
      </c>
      <c r="W317" t="s">
        <v>74</v>
      </c>
      <c r="X317" t="s">
        <v>74</v>
      </c>
      <c r="Y317" t="s">
        <v>74</v>
      </c>
      <c r="Z317" t="s">
        <v>74</v>
      </c>
      <c r="AA317" t="s">
        <v>74</v>
      </c>
      <c r="AB317" t="s">
        <v>2537</v>
      </c>
      <c r="AC317" t="s">
        <v>74</v>
      </c>
      <c r="AD317" t="s">
        <v>74</v>
      </c>
      <c r="AE317" t="s">
        <v>74</v>
      </c>
      <c r="AF317" t="s">
        <v>74</v>
      </c>
      <c r="AG317" t="s">
        <v>74</v>
      </c>
      <c r="AH317" t="s">
        <v>74</v>
      </c>
      <c r="AI317" t="s">
        <v>74</v>
      </c>
      <c r="AJ317" t="s">
        <v>74</v>
      </c>
      <c r="AK317" t="s">
        <v>74</v>
      </c>
      <c r="AL317" t="s">
        <v>74</v>
      </c>
      <c r="AM317" t="s">
        <v>74</v>
      </c>
      <c r="AN317" t="s">
        <v>74</v>
      </c>
      <c r="AO317" t="s">
        <v>2664</v>
      </c>
      <c r="AP317" t="s">
        <v>2665</v>
      </c>
      <c r="AQ317" t="s">
        <v>74</v>
      </c>
      <c r="AR317" t="s">
        <v>74</v>
      </c>
      <c r="AS317" t="s">
        <v>74</v>
      </c>
      <c r="AT317" t="s">
        <v>123</v>
      </c>
      <c r="AU317">
        <v>2006</v>
      </c>
      <c r="AV317">
        <v>40</v>
      </c>
      <c r="AW317">
        <v>1</v>
      </c>
      <c r="AX317" t="s">
        <v>74</v>
      </c>
      <c r="AY317" t="s">
        <v>74</v>
      </c>
      <c r="AZ317" t="s">
        <v>74</v>
      </c>
      <c r="BA317" t="s">
        <v>74</v>
      </c>
      <c r="BB317">
        <v>1</v>
      </c>
      <c r="BC317">
        <v>28</v>
      </c>
      <c r="BD317" t="s">
        <v>74</v>
      </c>
      <c r="BE317" t="s">
        <v>8118</v>
      </c>
      <c r="BF317" t="str">
        <f>HYPERLINK("http://dx.doi.org/10.3356/0892-1016(2006)40[1:TAFAOG]2.0.CO;2","http://dx.doi.org/10.3356/0892-1016(2006)40[1:TAFAOG]2.0.CO;2")</f>
        <v>http://dx.doi.org/10.3356/0892-1016(2006)40[1:TAFAOG]2.0.CO;2</v>
      </c>
      <c r="BG317" t="s">
        <v>74</v>
      </c>
      <c r="BH317" t="s">
        <v>74</v>
      </c>
      <c r="BI317" t="s">
        <v>74</v>
      </c>
      <c r="BJ317" t="s">
        <v>74</v>
      </c>
      <c r="BK317" t="s">
        <v>74</v>
      </c>
      <c r="BL317" t="s">
        <v>74</v>
      </c>
      <c r="BM317" t="s">
        <v>74</v>
      </c>
      <c r="BN317" t="s">
        <v>74</v>
      </c>
      <c r="BO317" t="s">
        <v>74</v>
      </c>
      <c r="BP317" t="s">
        <v>74</v>
      </c>
      <c r="BQ317" t="s">
        <v>74</v>
      </c>
      <c r="BR317" t="s">
        <v>74</v>
      </c>
      <c r="BS317" t="s">
        <v>8119</v>
      </c>
      <c r="BT317" t="str">
        <f>HYPERLINK("https%3A%2F%2Fwww.webofscience.com%2Fwos%2Fwoscc%2Ffull-record%2FWOS:000237905000001","View Full Record in Web of Science")</f>
        <v>View Full Record in Web of Science</v>
      </c>
    </row>
    <row r="318" spans="1:72" x14ac:dyDescent="0.4">
      <c r="A318" t="s">
        <v>72</v>
      </c>
      <c r="B318" t="s">
        <v>2534</v>
      </c>
      <c r="C318" t="s">
        <v>74</v>
      </c>
      <c r="D318" t="s">
        <v>74</v>
      </c>
      <c r="E318" t="s">
        <v>74</v>
      </c>
      <c r="F318" t="s">
        <v>2534</v>
      </c>
      <c r="G318" t="s">
        <v>74</v>
      </c>
      <c r="H318" t="s">
        <v>74</v>
      </c>
      <c r="I318" t="s">
        <v>2535</v>
      </c>
      <c r="J318" t="s">
        <v>431</v>
      </c>
      <c r="K318" t="s">
        <v>74</v>
      </c>
      <c r="L318" t="s">
        <v>74</v>
      </c>
      <c r="M318" t="s">
        <v>74</v>
      </c>
      <c r="N318" t="s">
        <v>74</v>
      </c>
      <c r="O318" t="s">
        <v>74</v>
      </c>
      <c r="P318" t="s">
        <v>74</v>
      </c>
      <c r="Q318" t="s">
        <v>74</v>
      </c>
      <c r="R318" t="s">
        <v>74</v>
      </c>
      <c r="S318" t="s">
        <v>74</v>
      </c>
      <c r="T318" t="s">
        <v>74</v>
      </c>
      <c r="U318" t="s">
        <v>74</v>
      </c>
      <c r="V318" s="3" t="s">
        <v>2536</v>
      </c>
      <c r="W318" t="s">
        <v>74</v>
      </c>
      <c r="X318" t="s">
        <v>74</v>
      </c>
      <c r="Y318" t="s">
        <v>74</v>
      </c>
      <c r="Z318" t="s">
        <v>74</v>
      </c>
      <c r="AA318" t="s">
        <v>74</v>
      </c>
      <c r="AB318" t="s">
        <v>2537</v>
      </c>
      <c r="AC318" t="s">
        <v>74</v>
      </c>
      <c r="AD318" t="s">
        <v>74</v>
      </c>
      <c r="AE318" t="s">
        <v>74</v>
      </c>
      <c r="AF318" t="s">
        <v>74</v>
      </c>
      <c r="AG318" t="s">
        <v>74</v>
      </c>
      <c r="AH318" t="s">
        <v>74</v>
      </c>
      <c r="AI318" t="s">
        <v>74</v>
      </c>
      <c r="AJ318" t="s">
        <v>74</v>
      </c>
      <c r="AK318" t="s">
        <v>74</v>
      </c>
      <c r="AL318" t="s">
        <v>74</v>
      </c>
      <c r="AM318" t="s">
        <v>74</v>
      </c>
      <c r="AN318" t="s">
        <v>74</v>
      </c>
      <c r="AO318" t="s">
        <v>74</v>
      </c>
      <c r="AP318" t="s">
        <v>435</v>
      </c>
      <c r="AQ318" t="s">
        <v>74</v>
      </c>
      <c r="AR318" t="s">
        <v>74</v>
      </c>
      <c r="AS318" t="s">
        <v>74</v>
      </c>
      <c r="AT318" t="s">
        <v>74</v>
      </c>
      <c r="AU318">
        <v>1983</v>
      </c>
      <c r="AV318">
        <v>100</v>
      </c>
      <c r="AW318">
        <v>2</v>
      </c>
      <c r="AX318" t="s">
        <v>74</v>
      </c>
      <c r="AY318" t="s">
        <v>74</v>
      </c>
      <c r="AZ318" t="s">
        <v>74</v>
      </c>
      <c r="BA318" t="s">
        <v>74</v>
      </c>
      <c r="BB318">
        <v>269</v>
      </c>
      <c r="BC318" t="s">
        <v>726</v>
      </c>
      <c r="BD318" t="s">
        <v>74</v>
      </c>
      <c r="BE318" t="s">
        <v>2538</v>
      </c>
      <c r="BF318" t="str">
        <f>HYPERLINK("http://dx.doi.org/10.1093/auk/100.2.269","http://dx.doi.org/10.1093/auk/100.2.269")</f>
        <v>http://dx.doi.org/10.1093/auk/100.2.269</v>
      </c>
      <c r="BG318" t="s">
        <v>74</v>
      </c>
      <c r="BH318" t="s">
        <v>74</v>
      </c>
      <c r="BI318" t="s">
        <v>74</v>
      </c>
      <c r="BJ318" t="s">
        <v>74</v>
      </c>
      <c r="BK318" t="s">
        <v>74</v>
      </c>
      <c r="BL318" t="s">
        <v>74</v>
      </c>
      <c r="BM318" t="s">
        <v>74</v>
      </c>
      <c r="BN318" t="s">
        <v>74</v>
      </c>
      <c r="BO318" t="s">
        <v>74</v>
      </c>
      <c r="BP318" t="s">
        <v>74</v>
      </c>
      <c r="BQ318" t="s">
        <v>74</v>
      </c>
      <c r="BR318" t="s">
        <v>74</v>
      </c>
      <c r="BS318" t="s">
        <v>2539</v>
      </c>
      <c r="BT318" t="str">
        <f>HYPERLINK("https%3A%2F%2Fwww.webofscience.com%2Fwos%2Fwoscc%2Ffull-record%2FWOS:A1983QX26300001","View Full Record in Web of Science")</f>
        <v>View Full Record in Web of Science</v>
      </c>
    </row>
    <row r="319" spans="1:72" x14ac:dyDescent="0.4">
      <c r="A319" t="s">
        <v>72</v>
      </c>
      <c r="B319" t="s">
        <v>707</v>
      </c>
      <c r="C319" t="s">
        <v>74</v>
      </c>
      <c r="D319" t="s">
        <v>74</v>
      </c>
      <c r="E319" t="s">
        <v>74</v>
      </c>
      <c r="F319" t="s">
        <v>707</v>
      </c>
      <c r="G319" t="s">
        <v>74</v>
      </c>
      <c r="H319" t="s">
        <v>74</v>
      </c>
      <c r="I319" t="s">
        <v>708</v>
      </c>
      <c r="J319" t="s">
        <v>408</v>
      </c>
      <c r="K319" t="s">
        <v>74</v>
      </c>
      <c r="L319" t="s">
        <v>74</v>
      </c>
      <c r="M319" t="s">
        <v>74</v>
      </c>
      <c r="N319" t="s">
        <v>74</v>
      </c>
      <c r="O319" t="s">
        <v>74</v>
      </c>
      <c r="P319" t="s">
        <v>74</v>
      </c>
      <c r="Q319" t="s">
        <v>74</v>
      </c>
      <c r="R319" t="s">
        <v>74</v>
      </c>
      <c r="S319" t="s">
        <v>74</v>
      </c>
      <c r="T319" t="s">
        <v>74</v>
      </c>
      <c r="U319" t="s">
        <v>74</v>
      </c>
      <c r="V319" s="3" t="s">
        <v>709</v>
      </c>
      <c r="W319" t="s">
        <v>74</v>
      </c>
      <c r="X319" t="s">
        <v>74</v>
      </c>
      <c r="Y319" t="s">
        <v>74</v>
      </c>
      <c r="Z319" t="s">
        <v>74</v>
      </c>
      <c r="AA319" t="s">
        <v>710</v>
      </c>
      <c r="AB319" t="s">
        <v>711</v>
      </c>
      <c r="AC319" t="s">
        <v>74</v>
      </c>
      <c r="AD319" t="s">
        <v>74</v>
      </c>
      <c r="AE319" t="s">
        <v>74</v>
      </c>
      <c r="AF319" t="s">
        <v>74</v>
      </c>
      <c r="AG319" t="s">
        <v>74</v>
      </c>
      <c r="AH319" t="s">
        <v>74</v>
      </c>
      <c r="AI319" t="s">
        <v>74</v>
      </c>
      <c r="AJ319" t="s">
        <v>74</v>
      </c>
      <c r="AK319" t="s">
        <v>74</v>
      </c>
      <c r="AL319" t="s">
        <v>74</v>
      </c>
      <c r="AM319" t="s">
        <v>74</v>
      </c>
      <c r="AN319" t="s">
        <v>74</v>
      </c>
      <c r="AO319" t="s">
        <v>412</v>
      </c>
      <c r="AP319" t="s">
        <v>413</v>
      </c>
      <c r="AQ319" t="s">
        <v>74</v>
      </c>
      <c r="AR319" t="s">
        <v>74</v>
      </c>
      <c r="AS319" t="s">
        <v>74</v>
      </c>
      <c r="AT319" t="s">
        <v>305</v>
      </c>
      <c r="AU319">
        <v>1990</v>
      </c>
      <c r="AV319">
        <v>41</v>
      </c>
      <c r="AW319">
        <v>4</v>
      </c>
      <c r="AX319" t="s">
        <v>74</v>
      </c>
      <c r="AY319" t="s">
        <v>74</v>
      </c>
      <c r="AZ319" t="s">
        <v>74</v>
      </c>
      <c r="BA319" t="s">
        <v>74</v>
      </c>
      <c r="BB319">
        <v>315</v>
      </c>
      <c r="BC319">
        <v>352</v>
      </c>
      <c r="BD319" t="s">
        <v>74</v>
      </c>
      <c r="BE319" t="s">
        <v>712</v>
      </c>
      <c r="BF319" t="str">
        <f>HYPERLINK("http://dx.doi.org/10.1111/j.1095-8312.1990.tb00839.x","http://dx.doi.org/10.1111/j.1095-8312.1990.tb00839.x")</f>
        <v>http://dx.doi.org/10.1111/j.1095-8312.1990.tb00839.x</v>
      </c>
      <c r="BG319" t="s">
        <v>74</v>
      </c>
      <c r="BH319" t="s">
        <v>74</v>
      </c>
      <c r="BI319" t="s">
        <v>74</v>
      </c>
      <c r="BJ319" t="s">
        <v>74</v>
      </c>
      <c r="BK319" t="s">
        <v>74</v>
      </c>
      <c r="BL319" t="s">
        <v>74</v>
      </c>
      <c r="BM319" t="s">
        <v>74</v>
      </c>
      <c r="BN319" t="s">
        <v>74</v>
      </c>
      <c r="BO319" t="s">
        <v>74</v>
      </c>
      <c r="BP319" t="s">
        <v>74</v>
      </c>
      <c r="BQ319" t="s">
        <v>74</v>
      </c>
      <c r="BR319" t="s">
        <v>74</v>
      </c>
      <c r="BS319" t="s">
        <v>713</v>
      </c>
      <c r="BT319" t="str">
        <f>HYPERLINK("https%3A%2F%2Fwww.webofscience.com%2Fwos%2Fwoscc%2Ffull-record%2FWOS:A1990EQ25300002","View Full Record in Web of Science")</f>
        <v>View Full Record in Web of Science</v>
      </c>
    </row>
    <row r="320" spans="1:72" x14ac:dyDescent="0.4">
      <c r="A320" t="s">
        <v>72</v>
      </c>
      <c r="B320" t="s">
        <v>5434</v>
      </c>
      <c r="C320" t="s">
        <v>74</v>
      </c>
      <c r="D320" t="s">
        <v>74</v>
      </c>
      <c r="E320" t="s">
        <v>74</v>
      </c>
      <c r="F320" t="s">
        <v>5435</v>
      </c>
      <c r="G320" t="s">
        <v>74</v>
      </c>
      <c r="H320" t="s">
        <v>74</v>
      </c>
      <c r="I320" t="s">
        <v>5436</v>
      </c>
      <c r="J320" t="s">
        <v>229</v>
      </c>
      <c r="K320" t="s">
        <v>74</v>
      </c>
      <c r="L320" t="s">
        <v>74</v>
      </c>
      <c r="M320" t="s">
        <v>74</v>
      </c>
      <c r="N320" t="s">
        <v>74</v>
      </c>
      <c r="O320" t="s">
        <v>74</v>
      </c>
      <c r="P320" t="s">
        <v>74</v>
      </c>
      <c r="Q320" t="s">
        <v>74</v>
      </c>
      <c r="R320" t="s">
        <v>74</v>
      </c>
      <c r="S320" t="s">
        <v>74</v>
      </c>
      <c r="T320" t="s">
        <v>74</v>
      </c>
      <c r="U320" t="s">
        <v>74</v>
      </c>
      <c r="V320" s="3" t="s">
        <v>5437</v>
      </c>
      <c r="W320" t="s">
        <v>74</v>
      </c>
      <c r="X320" t="s">
        <v>74</v>
      </c>
      <c r="Y320" t="s">
        <v>74</v>
      </c>
      <c r="Z320" t="s">
        <v>74</v>
      </c>
      <c r="AA320" t="s">
        <v>5438</v>
      </c>
      <c r="AB320" t="s">
        <v>5439</v>
      </c>
      <c r="AC320" t="s">
        <v>74</v>
      </c>
      <c r="AD320" t="s">
        <v>74</v>
      </c>
      <c r="AE320" t="s">
        <v>74</v>
      </c>
      <c r="AF320" t="s">
        <v>74</v>
      </c>
      <c r="AG320" t="s">
        <v>74</v>
      </c>
      <c r="AH320" t="s">
        <v>74</v>
      </c>
      <c r="AI320" t="s">
        <v>74</v>
      </c>
      <c r="AJ320" t="s">
        <v>74</v>
      </c>
      <c r="AK320" t="s">
        <v>74</v>
      </c>
      <c r="AL320" t="s">
        <v>74</v>
      </c>
      <c r="AM320" t="s">
        <v>74</v>
      </c>
      <c r="AN320" t="s">
        <v>74</v>
      </c>
      <c r="AO320" t="s">
        <v>233</v>
      </c>
      <c r="AP320" t="s">
        <v>234</v>
      </c>
      <c r="AQ320" t="s">
        <v>74</v>
      </c>
      <c r="AR320" t="s">
        <v>74</v>
      </c>
      <c r="AS320" t="s">
        <v>74</v>
      </c>
      <c r="AT320" t="s">
        <v>123</v>
      </c>
      <c r="AU320">
        <v>2014</v>
      </c>
      <c r="AV320">
        <v>40</v>
      </c>
      <c r="AW320">
        <v>2</v>
      </c>
      <c r="AX320" t="s">
        <v>74</v>
      </c>
      <c r="AY320" t="s">
        <v>74</v>
      </c>
      <c r="AZ320" t="s">
        <v>74</v>
      </c>
      <c r="BA320" t="s">
        <v>74</v>
      </c>
      <c r="BB320">
        <v>109</v>
      </c>
      <c r="BC320">
        <v>119</v>
      </c>
      <c r="BD320" t="s">
        <v>74</v>
      </c>
      <c r="BE320" t="s">
        <v>5440</v>
      </c>
      <c r="BF320" t="str">
        <f>HYPERLINK("http://dx.doi.org/10.1002/ab.21508","http://dx.doi.org/10.1002/ab.21508")</f>
        <v>http://dx.doi.org/10.1002/ab.21508</v>
      </c>
      <c r="BG320" t="s">
        <v>74</v>
      </c>
      <c r="BH320" t="s">
        <v>74</v>
      </c>
      <c r="BI320" t="s">
        <v>74</v>
      </c>
      <c r="BJ320" t="s">
        <v>74</v>
      </c>
      <c r="BK320" t="s">
        <v>74</v>
      </c>
      <c r="BL320" t="s">
        <v>74</v>
      </c>
      <c r="BM320" t="s">
        <v>74</v>
      </c>
      <c r="BN320">
        <v>24497000</v>
      </c>
      <c r="BO320" t="s">
        <v>74</v>
      </c>
      <c r="BP320" t="s">
        <v>74</v>
      </c>
      <c r="BQ320" t="s">
        <v>74</v>
      </c>
      <c r="BR320" t="s">
        <v>74</v>
      </c>
      <c r="BS320" t="s">
        <v>5441</v>
      </c>
      <c r="BT320" t="str">
        <f>HYPERLINK("https%3A%2F%2Fwww.webofscience.com%2Fwos%2Fwoscc%2Ffull-record%2FWOS:000331255700002","View Full Record in Web of Science")</f>
        <v>View Full Record in Web of Science</v>
      </c>
    </row>
    <row r="321" spans="1:72" x14ac:dyDescent="0.4">
      <c r="A321" t="s">
        <v>72</v>
      </c>
      <c r="B321" t="s">
        <v>5383</v>
      </c>
      <c r="C321" t="s">
        <v>74</v>
      </c>
      <c r="D321" t="s">
        <v>74</v>
      </c>
      <c r="E321" t="s">
        <v>74</v>
      </c>
      <c r="F321" t="s">
        <v>5383</v>
      </c>
      <c r="G321" t="s">
        <v>74</v>
      </c>
      <c r="H321" t="s">
        <v>74</v>
      </c>
      <c r="I321" t="s">
        <v>5384</v>
      </c>
      <c r="J321" t="s">
        <v>5385</v>
      </c>
      <c r="K321" t="s">
        <v>74</v>
      </c>
      <c r="L321" t="s">
        <v>74</v>
      </c>
      <c r="M321" t="s">
        <v>74</v>
      </c>
      <c r="N321" t="s">
        <v>74</v>
      </c>
      <c r="O321" t="s">
        <v>74</v>
      </c>
      <c r="P321" t="s">
        <v>74</v>
      </c>
      <c r="Q321" t="s">
        <v>74</v>
      </c>
      <c r="R321" t="s">
        <v>74</v>
      </c>
      <c r="S321" t="s">
        <v>74</v>
      </c>
      <c r="T321" t="s">
        <v>74</v>
      </c>
      <c r="U321" t="s">
        <v>74</v>
      </c>
      <c r="V321" s="3" t="s">
        <v>5386</v>
      </c>
      <c r="W321" t="s">
        <v>74</v>
      </c>
      <c r="X321" t="s">
        <v>74</v>
      </c>
      <c r="Y321" t="s">
        <v>74</v>
      </c>
      <c r="Z321" t="s">
        <v>74</v>
      </c>
      <c r="AA321" t="s">
        <v>74</v>
      </c>
      <c r="AB321" t="s">
        <v>74</v>
      </c>
      <c r="AC321" t="s">
        <v>74</v>
      </c>
      <c r="AD321" t="s">
        <v>74</v>
      </c>
      <c r="AE321" t="s">
        <v>74</v>
      </c>
      <c r="AF321" t="s">
        <v>74</v>
      </c>
      <c r="AG321" t="s">
        <v>74</v>
      </c>
      <c r="AH321" t="s">
        <v>74</v>
      </c>
      <c r="AI321" t="s">
        <v>74</v>
      </c>
      <c r="AJ321" t="s">
        <v>74</v>
      </c>
      <c r="AK321" t="s">
        <v>74</v>
      </c>
      <c r="AL321" t="s">
        <v>74</v>
      </c>
      <c r="AM321" t="s">
        <v>74</v>
      </c>
      <c r="AN321" t="s">
        <v>74</v>
      </c>
      <c r="AO321" t="s">
        <v>5387</v>
      </c>
      <c r="AP321" t="s">
        <v>74</v>
      </c>
      <c r="AQ321" t="s">
        <v>74</v>
      </c>
      <c r="AR321" t="s">
        <v>74</v>
      </c>
      <c r="AS321" t="s">
        <v>74</v>
      </c>
      <c r="AT321" t="s">
        <v>74</v>
      </c>
      <c r="AU321">
        <v>1993</v>
      </c>
      <c r="AV321">
        <v>35</v>
      </c>
      <c r="AW321">
        <v>2</v>
      </c>
      <c r="AX321" t="s">
        <v>74</v>
      </c>
      <c r="AY321" t="s">
        <v>74</v>
      </c>
      <c r="AZ321" t="s">
        <v>74</v>
      </c>
      <c r="BA321" t="s">
        <v>74</v>
      </c>
      <c r="BB321">
        <v>371</v>
      </c>
      <c r="BC321">
        <v>388</v>
      </c>
      <c r="BD321" t="s">
        <v>74</v>
      </c>
      <c r="BE321" t="s">
        <v>74</v>
      </c>
      <c r="BF321" t="s">
        <v>74</v>
      </c>
      <c r="BG321" t="s">
        <v>74</v>
      </c>
      <c r="BH321" t="s">
        <v>74</v>
      </c>
      <c r="BI321" t="s">
        <v>74</v>
      </c>
      <c r="BJ321" t="s">
        <v>74</v>
      </c>
      <c r="BK321" t="s">
        <v>74</v>
      </c>
      <c r="BL321" t="s">
        <v>74</v>
      </c>
      <c r="BM321" t="s">
        <v>74</v>
      </c>
      <c r="BN321" t="s">
        <v>74</v>
      </c>
      <c r="BO321" t="s">
        <v>74</v>
      </c>
      <c r="BP321" t="s">
        <v>74</v>
      </c>
      <c r="BQ321" t="s">
        <v>74</v>
      </c>
      <c r="BR321" t="s">
        <v>74</v>
      </c>
      <c r="BS321" t="s">
        <v>5388</v>
      </c>
      <c r="BT321" t="str">
        <f>HYPERLINK("https%3A%2F%2Fwww.webofscience.com%2Fwos%2Fwoscc%2Ffull-record%2FWOS:A1993MK18700007","View Full Record in Web of Science")</f>
        <v>View Full Record in Web of Science</v>
      </c>
    </row>
    <row r="322" spans="1:72" x14ac:dyDescent="0.4">
      <c r="A322" t="s">
        <v>72</v>
      </c>
      <c r="B322" t="s">
        <v>7131</v>
      </c>
      <c r="C322" t="s">
        <v>74</v>
      </c>
      <c r="D322" t="s">
        <v>74</v>
      </c>
      <c r="E322" t="s">
        <v>74</v>
      </c>
      <c r="F322" t="s">
        <v>7132</v>
      </c>
      <c r="G322" t="s">
        <v>74</v>
      </c>
      <c r="H322" t="s">
        <v>74</v>
      </c>
      <c r="I322" t="s">
        <v>7133</v>
      </c>
      <c r="J322" t="s">
        <v>119</v>
      </c>
      <c r="K322" t="s">
        <v>74</v>
      </c>
      <c r="L322" t="s">
        <v>74</v>
      </c>
      <c r="M322" t="s">
        <v>74</v>
      </c>
      <c r="N322" t="s">
        <v>74</v>
      </c>
      <c r="O322" t="s">
        <v>74</v>
      </c>
      <c r="P322" t="s">
        <v>74</v>
      </c>
      <c r="Q322" t="s">
        <v>74</v>
      </c>
      <c r="R322" t="s">
        <v>74</v>
      </c>
      <c r="S322" t="s">
        <v>74</v>
      </c>
      <c r="T322" t="s">
        <v>74</v>
      </c>
      <c r="U322" t="s">
        <v>74</v>
      </c>
      <c r="V322" s="3" t="s">
        <v>7134</v>
      </c>
      <c r="W322" t="s">
        <v>74</v>
      </c>
      <c r="X322" t="s">
        <v>74</v>
      </c>
      <c r="Y322" t="s">
        <v>74</v>
      </c>
      <c r="Z322" t="s">
        <v>74</v>
      </c>
      <c r="AA322" t="s">
        <v>7135</v>
      </c>
      <c r="AB322" t="s">
        <v>7136</v>
      </c>
      <c r="AC322" t="s">
        <v>74</v>
      </c>
      <c r="AD322" t="s">
        <v>74</v>
      </c>
      <c r="AE322" t="s">
        <v>74</v>
      </c>
      <c r="AF322" t="s">
        <v>74</v>
      </c>
      <c r="AG322" t="s">
        <v>74</v>
      </c>
      <c r="AH322" t="s">
        <v>74</v>
      </c>
      <c r="AI322" t="s">
        <v>74</v>
      </c>
      <c r="AJ322" t="s">
        <v>74</v>
      </c>
      <c r="AK322" t="s">
        <v>74</v>
      </c>
      <c r="AL322" t="s">
        <v>74</v>
      </c>
      <c r="AM322" t="s">
        <v>74</v>
      </c>
      <c r="AN322" t="s">
        <v>74</v>
      </c>
      <c r="AO322" t="s">
        <v>121</v>
      </c>
      <c r="AP322" t="s">
        <v>122</v>
      </c>
      <c r="AQ322" t="s">
        <v>74</v>
      </c>
      <c r="AR322" t="s">
        <v>74</v>
      </c>
      <c r="AS322" t="s">
        <v>74</v>
      </c>
      <c r="AT322" t="s">
        <v>352</v>
      </c>
      <c r="AU322">
        <v>2017</v>
      </c>
      <c r="AV322">
        <v>142</v>
      </c>
      <c r="AW322" t="s">
        <v>74</v>
      </c>
      <c r="AX322" t="s">
        <v>74</v>
      </c>
      <c r="AY322" t="s">
        <v>74</v>
      </c>
      <c r="AZ322" t="s">
        <v>74</v>
      </c>
      <c r="BA322" t="s">
        <v>74</v>
      </c>
      <c r="BB322">
        <v>116</v>
      </c>
      <c r="BC322">
        <v>118</v>
      </c>
      <c r="BD322" t="s">
        <v>74</v>
      </c>
      <c r="BE322" t="s">
        <v>7137</v>
      </c>
      <c r="BF322" t="str">
        <f>HYPERLINK("http://dx.doi.org/10.1016/j.beproc.2017.07.002","http://dx.doi.org/10.1016/j.beproc.2017.07.002")</f>
        <v>http://dx.doi.org/10.1016/j.beproc.2017.07.002</v>
      </c>
      <c r="BG322" t="s">
        <v>74</v>
      </c>
      <c r="BH322" t="s">
        <v>74</v>
      </c>
      <c r="BI322" t="s">
        <v>74</v>
      </c>
      <c r="BJ322" t="s">
        <v>74</v>
      </c>
      <c r="BK322" t="s">
        <v>74</v>
      </c>
      <c r="BL322" t="s">
        <v>74</v>
      </c>
      <c r="BM322" t="s">
        <v>74</v>
      </c>
      <c r="BN322">
        <v>28694127</v>
      </c>
      <c r="BO322" t="s">
        <v>74</v>
      </c>
      <c r="BP322" t="s">
        <v>74</v>
      </c>
      <c r="BQ322" t="s">
        <v>74</v>
      </c>
      <c r="BR322" t="s">
        <v>74</v>
      </c>
      <c r="BS322" t="s">
        <v>7138</v>
      </c>
      <c r="BT322" t="str">
        <f>HYPERLINK("https%3A%2F%2Fwww.webofscience.com%2Fwos%2Fwoscc%2Ffull-record%2FWOS:000411539500017","View Full Record in Web of Science")</f>
        <v>View Full Record in Web of Science</v>
      </c>
    </row>
    <row r="323" spans="1:72" x14ac:dyDescent="0.4">
      <c r="A323" t="s">
        <v>72</v>
      </c>
      <c r="B323" t="s">
        <v>6651</v>
      </c>
      <c r="C323" t="s">
        <v>74</v>
      </c>
      <c r="D323" t="s">
        <v>74</v>
      </c>
      <c r="E323" t="s">
        <v>74</v>
      </c>
      <c r="F323" t="s">
        <v>6652</v>
      </c>
      <c r="G323" t="s">
        <v>74</v>
      </c>
      <c r="H323" t="s">
        <v>74</v>
      </c>
      <c r="I323" t="s">
        <v>6653</v>
      </c>
      <c r="J323" t="s">
        <v>824</v>
      </c>
      <c r="K323" t="s">
        <v>74</v>
      </c>
      <c r="L323" t="s">
        <v>74</v>
      </c>
      <c r="M323" t="s">
        <v>74</v>
      </c>
      <c r="N323" t="s">
        <v>74</v>
      </c>
      <c r="O323" t="s">
        <v>74</v>
      </c>
      <c r="P323" t="s">
        <v>74</v>
      </c>
      <c r="Q323" t="s">
        <v>74</v>
      </c>
      <c r="R323" t="s">
        <v>74</v>
      </c>
      <c r="S323" t="s">
        <v>74</v>
      </c>
      <c r="T323" t="s">
        <v>74</v>
      </c>
      <c r="U323" t="s">
        <v>74</v>
      </c>
      <c r="V323" s="3" t="s">
        <v>6654</v>
      </c>
      <c r="W323" t="s">
        <v>74</v>
      </c>
      <c r="X323" t="s">
        <v>74</v>
      </c>
      <c r="Y323" t="s">
        <v>74</v>
      </c>
      <c r="Z323" t="s">
        <v>74</v>
      </c>
      <c r="AA323" t="s">
        <v>6655</v>
      </c>
      <c r="AB323" t="s">
        <v>6656</v>
      </c>
      <c r="AC323" t="s">
        <v>74</v>
      </c>
      <c r="AD323" t="s">
        <v>74</v>
      </c>
      <c r="AE323" t="s">
        <v>74</v>
      </c>
      <c r="AF323" t="s">
        <v>74</v>
      </c>
      <c r="AG323" t="s">
        <v>74</v>
      </c>
      <c r="AH323" t="s">
        <v>74</v>
      </c>
      <c r="AI323" t="s">
        <v>74</v>
      </c>
      <c r="AJ323" t="s">
        <v>74</v>
      </c>
      <c r="AK323" t="s">
        <v>74</v>
      </c>
      <c r="AL323" t="s">
        <v>74</v>
      </c>
      <c r="AM323" t="s">
        <v>74</v>
      </c>
      <c r="AN323" t="s">
        <v>74</v>
      </c>
      <c r="AO323" t="s">
        <v>828</v>
      </c>
      <c r="AP323" t="s">
        <v>829</v>
      </c>
      <c r="AQ323" t="s">
        <v>74</v>
      </c>
      <c r="AR323" t="s">
        <v>74</v>
      </c>
      <c r="AS323" t="s">
        <v>74</v>
      </c>
      <c r="AT323" t="s">
        <v>352</v>
      </c>
      <c r="AU323">
        <v>2018</v>
      </c>
      <c r="AV323">
        <v>87</v>
      </c>
      <c r="AW323">
        <v>5</v>
      </c>
      <c r="AX323" t="s">
        <v>74</v>
      </c>
      <c r="AY323" t="s">
        <v>74</v>
      </c>
      <c r="AZ323" t="s">
        <v>74</v>
      </c>
      <c r="BA323" t="s">
        <v>74</v>
      </c>
      <c r="BB323">
        <v>1274</v>
      </c>
      <c r="BC323">
        <v>1285</v>
      </c>
      <c r="BD323" t="s">
        <v>74</v>
      </c>
      <c r="BE323" t="s">
        <v>6657</v>
      </c>
      <c r="BF323" t="str">
        <f>HYPERLINK("http://dx.doi.org/10.1111/1365-2656.12855","http://dx.doi.org/10.1111/1365-2656.12855")</f>
        <v>http://dx.doi.org/10.1111/1365-2656.12855</v>
      </c>
      <c r="BG323" t="s">
        <v>74</v>
      </c>
      <c r="BH323" t="s">
        <v>74</v>
      </c>
      <c r="BI323" t="s">
        <v>74</v>
      </c>
      <c r="BJ323" t="s">
        <v>74</v>
      </c>
      <c r="BK323" t="s">
        <v>74</v>
      </c>
      <c r="BL323" t="s">
        <v>74</v>
      </c>
      <c r="BM323" t="s">
        <v>74</v>
      </c>
      <c r="BN323">
        <v>29943467</v>
      </c>
      <c r="BO323" t="s">
        <v>74</v>
      </c>
      <c r="BP323" t="s">
        <v>74</v>
      </c>
      <c r="BQ323" t="s">
        <v>74</v>
      </c>
      <c r="BR323" t="s">
        <v>74</v>
      </c>
      <c r="BS323" t="s">
        <v>6658</v>
      </c>
      <c r="BT323" t="str">
        <f>HYPERLINK("https%3A%2F%2Fwww.webofscience.com%2Fwos%2Fwoscc%2Ffull-record%2FWOS:000441246100008","View Full Record in Web of Science")</f>
        <v>View Full Record in Web of Science</v>
      </c>
    </row>
    <row r="324" spans="1:72" x14ac:dyDescent="0.4">
      <c r="A324" t="s">
        <v>72</v>
      </c>
      <c r="B324" t="s">
        <v>6470</v>
      </c>
      <c r="C324" t="s">
        <v>74</v>
      </c>
      <c r="D324" t="s">
        <v>74</v>
      </c>
      <c r="E324" t="s">
        <v>74</v>
      </c>
      <c r="F324" t="s">
        <v>6470</v>
      </c>
      <c r="G324" t="s">
        <v>74</v>
      </c>
      <c r="H324" t="s">
        <v>74</v>
      </c>
      <c r="I324" t="s">
        <v>6471</v>
      </c>
      <c r="J324" t="s">
        <v>77</v>
      </c>
      <c r="K324" t="s">
        <v>74</v>
      </c>
      <c r="L324" t="s">
        <v>74</v>
      </c>
      <c r="M324" t="s">
        <v>74</v>
      </c>
      <c r="N324" t="s">
        <v>74</v>
      </c>
      <c r="O324" t="s">
        <v>74</v>
      </c>
      <c r="P324" t="s">
        <v>74</v>
      </c>
      <c r="Q324" t="s">
        <v>74</v>
      </c>
      <c r="R324" t="s">
        <v>74</v>
      </c>
      <c r="S324" t="s">
        <v>74</v>
      </c>
      <c r="T324" t="s">
        <v>74</v>
      </c>
      <c r="U324" t="s">
        <v>74</v>
      </c>
      <c r="V324" s="3" t="s">
        <v>6472</v>
      </c>
      <c r="W324" t="s">
        <v>74</v>
      </c>
      <c r="X324" t="s">
        <v>74</v>
      </c>
      <c r="Y324" t="s">
        <v>74</v>
      </c>
      <c r="Z324" t="s">
        <v>74</v>
      </c>
      <c r="AA324" t="s">
        <v>6473</v>
      </c>
      <c r="AB324" t="s">
        <v>74</v>
      </c>
      <c r="AC324" t="s">
        <v>74</v>
      </c>
      <c r="AD324" t="s">
        <v>74</v>
      </c>
      <c r="AE324" t="s">
        <v>74</v>
      </c>
      <c r="AF324" t="s">
        <v>74</v>
      </c>
      <c r="AG324" t="s">
        <v>74</v>
      </c>
      <c r="AH324" t="s">
        <v>74</v>
      </c>
      <c r="AI324" t="s">
        <v>74</v>
      </c>
      <c r="AJ324" t="s">
        <v>74</v>
      </c>
      <c r="AK324" t="s">
        <v>74</v>
      </c>
      <c r="AL324" t="s">
        <v>74</v>
      </c>
      <c r="AM324" t="s">
        <v>74</v>
      </c>
      <c r="AN324" t="s">
        <v>74</v>
      </c>
      <c r="AO324" t="s">
        <v>81</v>
      </c>
      <c r="AP324" t="s">
        <v>82</v>
      </c>
      <c r="AQ324" t="s">
        <v>74</v>
      </c>
      <c r="AR324" t="s">
        <v>74</v>
      </c>
      <c r="AS324" t="s">
        <v>74</v>
      </c>
      <c r="AT324" t="s">
        <v>74</v>
      </c>
      <c r="AU324">
        <v>1980</v>
      </c>
      <c r="AV324">
        <v>74</v>
      </c>
      <c r="AW324" t="s">
        <v>74</v>
      </c>
      <c r="AX324" t="s">
        <v>548</v>
      </c>
      <c r="AY324" t="s">
        <v>74</v>
      </c>
      <c r="AZ324" t="s">
        <v>74</v>
      </c>
      <c r="BA324" t="s">
        <v>74</v>
      </c>
      <c r="BB324">
        <v>38</v>
      </c>
      <c r="BC324">
        <v>91</v>
      </c>
      <c r="BD324" t="s">
        <v>74</v>
      </c>
      <c r="BE324" t="s">
        <v>6474</v>
      </c>
      <c r="BF324" t="str">
        <f>HYPERLINK("http://dx.doi.org/10.1163/156853980X00311","http://dx.doi.org/10.1163/156853980X00311")</f>
        <v>http://dx.doi.org/10.1163/156853980X00311</v>
      </c>
      <c r="BG324" t="s">
        <v>74</v>
      </c>
      <c r="BH324" t="s">
        <v>74</v>
      </c>
      <c r="BI324" t="s">
        <v>74</v>
      </c>
      <c r="BJ324" t="s">
        <v>74</v>
      </c>
      <c r="BK324" t="s">
        <v>74</v>
      </c>
      <c r="BL324" t="s">
        <v>74</v>
      </c>
      <c r="BM324" t="s">
        <v>74</v>
      </c>
      <c r="BN324" t="s">
        <v>74</v>
      </c>
      <c r="BO324" t="s">
        <v>74</v>
      </c>
      <c r="BP324" t="s">
        <v>74</v>
      </c>
      <c r="BQ324" t="s">
        <v>74</v>
      </c>
      <c r="BR324" t="s">
        <v>74</v>
      </c>
      <c r="BS324" t="s">
        <v>6475</v>
      </c>
      <c r="BT324" t="str">
        <f>HYPERLINK("https%3A%2F%2Fwww.webofscience.com%2Fwos%2Fwoscc%2Ffull-record%2FWOS:A1980KK26100003","View Full Record in Web of Science")</f>
        <v>View Full Record in Web of Science</v>
      </c>
    </row>
    <row r="325" spans="1:72" x14ac:dyDescent="0.4">
      <c r="A325" t="s">
        <v>72</v>
      </c>
      <c r="B325" t="s">
        <v>3886</v>
      </c>
      <c r="C325" t="s">
        <v>74</v>
      </c>
      <c r="D325" t="s">
        <v>74</v>
      </c>
      <c r="E325" t="s">
        <v>74</v>
      </c>
      <c r="F325" t="s">
        <v>3887</v>
      </c>
      <c r="G325" t="s">
        <v>74</v>
      </c>
      <c r="H325" t="s">
        <v>74</v>
      </c>
      <c r="I325" t="s">
        <v>3888</v>
      </c>
      <c r="J325" t="s">
        <v>140</v>
      </c>
      <c r="K325" t="s">
        <v>74</v>
      </c>
      <c r="L325" t="s">
        <v>74</v>
      </c>
      <c r="M325" t="s">
        <v>74</v>
      </c>
      <c r="N325" t="s">
        <v>74</v>
      </c>
      <c r="O325" t="s">
        <v>74</v>
      </c>
      <c r="P325" t="s">
        <v>74</v>
      </c>
      <c r="Q325" t="s">
        <v>74</v>
      </c>
      <c r="R325" t="s">
        <v>74</v>
      </c>
      <c r="S325" t="s">
        <v>74</v>
      </c>
      <c r="T325" t="s">
        <v>74</v>
      </c>
      <c r="U325" t="s">
        <v>74</v>
      </c>
      <c r="V325" s="3" t="s">
        <v>3889</v>
      </c>
      <c r="W325" t="s">
        <v>74</v>
      </c>
      <c r="X325" t="s">
        <v>74</v>
      </c>
      <c r="Y325" t="s">
        <v>74</v>
      </c>
      <c r="Z325" t="s">
        <v>74</v>
      </c>
      <c r="AA325" t="s">
        <v>74</v>
      </c>
      <c r="AB325" t="s">
        <v>74</v>
      </c>
      <c r="AC325" t="s">
        <v>74</v>
      </c>
      <c r="AD325" t="s">
        <v>74</v>
      </c>
      <c r="AE325" t="s">
        <v>74</v>
      </c>
      <c r="AF325" t="s">
        <v>74</v>
      </c>
      <c r="AG325" t="s">
        <v>74</v>
      </c>
      <c r="AH325" t="s">
        <v>74</v>
      </c>
      <c r="AI325" t="s">
        <v>74</v>
      </c>
      <c r="AJ325" t="s">
        <v>74</v>
      </c>
      <c r="AK325" t="s">
        <v>74</v>
      </c>
      <c r="AL325" t="s">
        <v>74</v>
      </c>
      <c r="AM325" t="s">
        <v>74</v>
      </c>
      <c r="AN325" t="s">
        <v>74</v>
      </c>
      <c r="AO325" t="s">
        <v>143</v>
      </c>
      <c r="AP325" t="s">
        <v>144</v>
      </c>
      <c r="AQ325" t="s">
        <v>74</v>
      </c>
      <c r="AR325" t="s">
        <v>74</v>
      </c>
      <c r="AS325" t="s">
        <v>74</v>
      </c>
      <c r="AT325" t="s">
        <v>134</v>
      </c>
      <c r="AU325">
        <v>2006</v>
      </c>
      <c r="AV325">
        <v>71</v>
      </c>
      <c r="AW325" t="s">
        <v>74</v>
      </c>
      <c r="AX325">
        <v>5</v>
      </c>
      <c r="AY325" t="s">
        <v>74</v>
      </c>
      <c r="AZ325" t="s">
        <v>74</v>
      </c>
      <c r="BA325" t="s">
        <v>74</v>
      </c>
      <c r="BB325">
        <v>1155</v>
      </c>
      <c r="BC325">
        <v>1164</v>
      </c>
      <c r="BD325" t="s">
        <v>74</v>
      </c>
      <c r="BE325" t="s">
        <v>3890</v>
      </c>
      <c r="BF325" t="str">
        <f>HYPERLINK("http://dx.doi.org/10.1016/j.anbehav.2005.10.006","http://dx.doi.org/10.1016/j.anbehav.2005.10.006")</f>
        <v>http://dx.doi.org/10.1016/j.anbehav.2005.10.006</v>
      </c>
      <c r="BG325" t="s">
        <v>74</v>
      </c>
      <c r="BH325" t="s">
        <v>74</v>
      </c>
      <c r="BI325" t="s">
        <v>74</v>
      </c>
      <c r="BJ325" t="s">
        <v>74</v>
      </c>
      <c r="BK325" t="s">
        <v>74</v>
      </c>
      <c r="BL325" t="s">
        <v>74</v>
      </c>
      <c r="BM325" t="s">
        <v>74</v>
      </c>
      <c r="BN325" t="s">
        <v>74</v>
      </c>
      <c r="BO325" t="s">
        <v>74</v>
      </c>
      <c r="BP325" t="s">
        <v>74</v>
      </c>
      <c r="BQ325" t="s">
        <v>74</v>
      </c>
      <c r="BR325" t="s">
        <v>74</v>
      </c>
      <c r="BS325" t="s">
        <v>3891</v>
      </c>
      <c r="BT325" t="str">
        <f>HYPERLINK("https%3A%2F%2Fwww.webofscience.com%2Fwos%2Fwoscc%2Ffull-record%2FWOS:000238108600018","View Full Record in Web of Science")</f>
        <v>View Full Record in Web of Science</v>
      </c>
    </row>
    <row r="326" spans="1:72" x14ac:dyDescent="0.4">
      <c r="A326" t="s">
        <v>72</v>
      </c>
      <c r="B326" t="s">
        <v>8276</v>
      </c>
      <c r="C326" t="s">
        <v>74</v>
      </c>
      <c r="D326" t="s">
        <v>74</v>
      </c>
      <c r="E326" t="s">
        <v>74</v>
      </c>
      <c r="F326" t="s">
        <v>8277</v>
      </c>
      <c r="G326" t="s">
        <v>74</v>
      </c>
      <c r="H326" t="s">
        <v>74</v>
      </c>
      <c r="I326" t="s">
        <v>8278</v>
      </c>
      <c r="J326" t="s">
        <v>108</v>
      </c>
      <c r="K326" t="s">
        <v>74</v>
      </c>
      <c r="L326" t="s">
        <v>74</v>
      </c>
      <c r="M326" t="s">
        <v>74</v>
      </c>
      <c r="N326" t="s">
        <v>74</v>
      </c>
      <c r="O326" t="s">
        <v>74</v>
      </c>
      <c r="P326" t="s">
        <v>74</v>
      </c>
      <c r="Q326" t="s">
        <v>74</v>
      </c>
      <c r="R326" t="s">
        <v>74</v>
      </c>
      <c r="S326" t="s">
        <v>74</v>
      </c>
      <c r="T326" t="s">
        <v>74</v>
      </c>
      <c r="U326" t="s">
        <v>74</v>
      </c>
      <c r="V326" s="3" t="s">
        <v>8279</v>
      </c>
      <c r="W326" t="s">
        <v>74</v>
      </c>
      <c r="X326" t="s">
        <v>74</v>
      </c>
      <c r="Y326" t="s">
        <v>74</v>
      </c>
      <c r="Z326" t="s">
        <v>74</v>
      </c>
      <c r="AA326" t="s">
        <v>8280</v>
      </c>
      <c r="AB326" t="s">
        <v>8281</v>
      </c>
      <c r="AC326" t="s">
        <v>74</v>
      </c>
      <c r="AD326" t="s">
        <v>74</v>
      </c>
      <c r="AE326" t="s">
        <v>74</v>
      </c>
      <c r="AF326" t="s">
        <v>74</v>
      </c>
      <c r="AG326" t="s">
        <v>74</v>
      </c>
      <c r="AH326" t="s">
        <v>74</v>
      </c>
      <c r="AI326" t="s">
        <v>74</v>
      </c>
      <c r="AJ326" t="s">
        <v>74</v>
      </c>
      <c r="AK326" t="s">
        <v>74</v>
      </c>
      <c r="AL326" t="s">
        <v>74</v>
      </c>
      <c r="AM326" t="s">
        <v>74</v>
      </c>
      <c r="AN326" t="s">
        <v>74</v>
      </c>
      <c r="AO326" t="s">
        <v>111</v>
      </c>
      <c r="AP326" t="s">
        <v>112</v>
      </c>
      <c r="AQ326" t="s">
        <v>74</v>
      </c>
      <c r="AR326" t="s">
        <v>74</v>
      </c>
      <c r="AS326" t="s">
        <v>74</v>
      </c>
      <c r="AT326" t="s">
        <v>8282</v>
      </c>
      <c r="AU326">
        <v>2020</v>
      </c>
      <c r="AV326">
        <v>287</v>
      </c>
      <c r="AW326">
        <v>1924</v>
      </c>
      <c r="AX326" t="s">
        <v>74</v>
      </c>
      <c r="AY326" t="s">
        <v>74</v>
      </c>
      <c r="AZ326" t="s">
        <v>74</v>
      </c>
      <c r="BA326" t="s">
        <v>74</v>
      </c>
      <c r="BB326" t="s">
        <v>74</v>
      </c>
      <c r="BC326" t="s">
        <v>74</v>
      </c>
      <c r="BD326" t="s">
        <v>74</v>
      </c>
      <c r="BE326" t="s">
        <v>8283</v>
      </c>
      <c r="BF326" t="str">
        <f>HYPERLINK("http://dx.doi.org/10.1098/rspb.2020.0270","http://dx.doi.org/10.1098/rspb.2020.0270")</f>
        <v>http://dx.doi.org/10.1098/rspb.2020.0270</v>
      </c>
      <c r="BG326" t="s">
        <v>74</v>
      </c>
      <c r="BH326" t="s">
        <v>74</v>
      </c>
      <c r="BI326" t="s">
        <v>74</v>
      </c>
      <c r="BJ326" t="s">
        <v>74</v>
      </c>
      <c r="BK326" t="s">
        <v>74</v>
      </c>
      <c r="BL326" t="s">
        <v>74</v>
      </c>
      <c r="BM326" t="s">
        <v>74</v>
      </c>
      <c r="BN326">
        <v>32259470</v>
      </c>
      <c r="BO326" t="s">
        <v>74</v>
      </c>
      <c r="BP326" t="s">
        <v>74</v>
      </c>
      <c r="BQ326" t="s">
        <v>74</v>
      </c>
      <c r="BR326" t="s">
        <v>74</v>
      </c>
      <c r="BS326" t="s">
        <v>8284</v>
      </c>
      <c r="BT326" t="str">
        <f>HYPERLINK("https%3A%2F%2Fwww.webofscience.com%2Fwos%2Fwoscc%2Ffull-record%2FWOS:000546947600014","View Full Record in Web of Science")</f>
        <v>View Full Record in Web of Science</v>
      </c>
    </row>
    <row r="327" spans="1:72" x14ac:dyDescent="0.4">
      <c r="A327" t="s">
        <v>72</v>
      </c>
      <c r="B327" t="s">
        <v>8700</v>
      </c>
      <c r="C327" t="s">
        <v>74</v>
      </c>
      <c r="D327" t="s">
        <v>74</v>
      </c>
      <c r="E327" t="s">
        <v>74</v>
      </c>
      <c r="F327" t="s">
        <v>8701</v>
      </c>
      <c r="G327" t="s">
        <v>74</v>
      </c>
      <c r="H327" t="s">
        <v>74</v>
      </c>
      <c r="I327" t="s">
        <v>8702</v>
      </c>
      <c r="J327" t="s">
        <v>610</v>
      </c>
      <c r="K327" t="s">
        <v>74</v>
      </c>
      <c r="L327" t="s">
        <v>74</v>
      </c>
      <c r="M327" t="s">
        <v>74</v>
      </c>
      <c r="N327" t="s">
        <v>74</v>
      </c>
      <c r="O327" t="s">
        <v>74</v>
      </c>
      <c r="P327" t="s">
        <v>74</v>
      </c>
      <c r="Q327" t="s">
        <v>74</v>
      </c>
      <c r="R327" t="s">
        <v>74</v>
      </c>
      <c r="S327" t="s">
        <v>74</v>
      </c>
      <c r="T327" t="s">
        <v>74</v>
      </c>
      <c r="U327" t="s">
        <v>74</v>
      </c>
      <c r="V327" s="3" t="s">
        <v>8703</v>
      </c>
      <c r="W327" t="s">
        <v>74</v>
      </c>
      <c r="X327" t="s">
        <v>74</v>
      </c>
      <c r="Y327" t="s">
        <v>74</v>
      </c>
      <c r="Z327" t="s">
        <v>74</v>
      </c>
      <c r="AA327" t="s">
        <v>74</v>
      </c>
      <c r="AB327" t="s">
        <v>74</v>
      </c>
      <c r="AC327" t="s">
        <v>74</v>
      </c>
      <c r="AD327" t="s">
        <v>74</v>
      </c>
      <c r="AE327" t="s">
        <v>74</v>
      </c>
      <c r="AF327" t="s">
        <v>74</v>
      </c>
      <c r="AG327" t="s">
        <v>74</v>
      </c>
      <c r="AH327" t="s">
        <v>74</v>
      </c>
      <c r="AI327" t="s">
        <v>74</v>
      </c>
      <c r="AJ327" t="s">
        <v>74</v>
      </c>
      <c r="AK327" t="s">
        <v>74</v>
      </c>
      <c r="AL327" t="s">
        <v>74</v>
      </c>
      <c r="AM327" t="s">
        <v>74</v>
      </c>
      <c r="AN327" t="s">
        <v>74</v>
      </c>
      <c r="AO327" t="s">
        <v>614</v>
      </c>
      <c r="AP327" t="s">
        <v>615</v>
      </c>
      <c r="AQ327" t="s">
        <v>74</v>
      </c>
      <c r="AR327" t="s">
        <v>74</v>
      </c>
      <c r="AS327" t="s">
        <v>74</v>
      </c>
      <c r="AT327" t="s">
        <v>255</v>
      </c>
      <c r="AU327">
        <v>2024</v>
      </c>
      <c r="AV327">
        <v>130</v>
      </c>
      <c r="AW327">
        <v>1</v>
      </c>
      <c r="AX327" t="s">
        <v>74</v>
      </c>
      <c r="AY327" t="s">
        <v>74</v>
      </c>
      <c r="AZ327" t="s">
        <v>74</v>
      </c>
      <c r="BA327" t="s">
        <v>74</v>
      </c>
      <c r="BB327" t="s">
        <v>74</v>
      </c>
      <c r="BC327" t="s">
        <v>74</v>
      </c>
      <c r="BD327" t="s">
        <v>74</v>
      </c>
      <c r="BE327" t="s">
        <v>8704</v>
      </c>
      <c r="BF327" t="str">
        <f>HYPERLINK("http://dx.doi.org/10.1111/eth.13410","http://dx.doi.org/10.1111/eth.13410")</f>
        <v>http://dx.doi.org/10.1111/eth.13410</v>
      </c>
      <c r="BG327" t="s">
        <v>74</v>
      </c>
      <c r="BH327" t="s">
        <v>902</v>
      </c>
      <c r="BI327" t="s">
        <v>74</v>
      </c>
      <c r="BJ327" t="s">
        <v>74</v>
      </c>
      <c r="BK327" t="s">
        <v>74</v>
      </c>
      <c r="BL327" t="s">
        <v>74</v>
      </c>
      <c r="BM327" t="s">
        <v>74</v>
      </c>
      <c r="BN327" t="s">
        <v>74</v>
      </c>
      <c r="BO327" t="s">
        <v>74</v>
      </c>
      <c r="BP327" t="s">
        <v>74</v>
      </c>
      <c r="BQ327" t="s">
        <v>74</v>
      </c>
      <c r="BR327" t="s">
        <v>74</v>
      </c>
      <c r="BS327" t="s">
        <v>8705</v>
      </c>
      <c r="BT327" t="str">
        <f>HYPERLINK("https%3A%2F%2Fwww.webofscience.com%2Fwos%2Fwoscc%2Ffull-record%2FWOS:001084830100001","View Full Record in Web of Science")</f>
        <v>View Full Record in Web of Science</v>
      </c>
    </row>
    <row r="328" spans="1:72" x14ac:dyDescent="0.4">
      <c r="A328" t="s">
        <v>72</v>
      </c>
      <c r="B328" t="s">
        <v>2487</v>
      </c>
      <c r="C328" t="s">
        <v>74</v>
      </c>
      <c r="D328" t="s">
        <v>74</v>
      </c>
      <c r="E328" t="s">
        <v>74</v>
      </c>
      <c r="F328" t="s">
        <v>2487</v>
      </c>
      <c r="G328" t="s">
        <v>74</v>
      </c>
      <c r="H328" t="s">
        <v>74</v>
      </c>
      <c r="I328" t="s">
        <v>2488</v>
      </c>
      <c r="J328" t="s">
        <v>119</v>
      </c>
      <c r="K328" t="s">
        <v>74</v>
      </c>
      <c r="L328" t="s">
        <v>74</v>
      </c>
      <c r="M328" t="s">
        <v>74</v>
      </c>
      <c r="N328" t="s">
        <v>74</v>
      </c>
      <c r="O328" t="s">
        <v>74</v>
      </c>
      <c r="P328" t="s">
        <v>74</v>
      </c>
      <c r="Q328" t="s">
        <v>74</v>
      </c>
      <c r="R328" t="s">
        <v>74</v>
      </c>
      <c r="S328" t="s">
        <v>74</v>
      </c>
      <c r="T328" t="s">
        <v>74</v>
      </c>
      <c r="U328" t="s">
        <v>74</v>
      </c>
      <c r="V328" s="3" t="s">
        <v>2489</v>
      </c>
      <c r="W328" t="s">
        <v>74</v>
      </c>
      <c r="X328" t="s">
        <v>74</v>
      </c>
      <c r="Y328" t="s">
        <v>74</v>
      </c>
      <c r="Z328" t="s">
        <v>74</v>
      </c>
      <c r="AA328" t="s">
        <v>2490</v>
      </c>
      <c r="AB328" t="s">
        <v>2491</v>
      </c>
      <c r="AC328" t="s">
        <v>74</v>
      </c>
      <c r="AD328" t="s">
        <v>74</v>
      </c>
      <c r="AE328" t="s">
        <v>74</v>
      </c>
      <c r="AF328" t="s">
        <v>74</v>
      </c>
      <c r="AG328" t="s">
        <v>74</v>
      </c>
      <c r="AH328" t="s">
        <v>74</v>
      </c>
      <c r="AI328" t="s">
        <v>74</v>
      </c>
      <c r="AJ328" t="s">
        <v>74</v>
      </c>
      <c r="AK328" t="s">
        <v>74</v>
      </c>
      <c r="AL328" t="s">
        <v>74</v>
      </c>
      <c r="AM328" t="s">
        <v>74</v>
      </c>
      <c r="AN328" t="s">
        <v>74</v>
      </c>
      <c r="AO328" t="s">
        <v>121</v>
      </c>
      <c r="AP328" t="s">
        <v>74</v>
      </c>
      <c r="AQ328" t="s">
        <v>74</v>
      </c>
      <c r="AR328" t="s">
        <v>74</v>
      </c>
      <c r="AS328" t="s">
        <v>74</v>
      </c>
      <c r="AT328" t="s">
        <v>2492</v>
      </c>
      <c r="AU328">
        <v>2004</v>
      </c>
      <c r="AV328">
        <v>67</v>
      </c>
      <c r="AW328">
        <v>3</v>
      </c>
      <c r="AX328" t="s">
        <v>74</v>
      </c>
      <c r="AY328" t="s">
        <v>74</v>
      </c>
      <c r="AZ328" t="s">
        <v>74</v>
      </c>
      <c r="BA328" t="s">
        <v>74</v>
      </c>
      <c r="BB328">
        <v>491</v>
      </c>
      <c r="BC328">
        <v>499</v>
      </c>
      <c r="BD328" t="s">
        <v>74</v>
      </c>
      <c r="BE328" t="s">
        <v>2493</v>
      </c>
      <c r="BF328" t="str">
        <f>HYPERLINK("http://dx.doi.org/10.1016/j.beproc.2004.08.005","http://dx.doi.org/10.1016/j.beproc.2004.08.005")</f>
        <v>http://dx.doi.org/10.1016/j.beproc.2004.08.005</v>
      </c>
      <c r="BG328" t="s">
        <v>74</v>
      </c>
      <c r="BH328" t="s">
        <v>74</v>
      </c>
      <c r="BI328" t="s">
        <v>74</v>
      </c>
      <c r="BJ328" t="s">
        <v>74</v>
      </c>
      <c r="BK328" t="s">
        <v>74</v>
      </c>
      <c r="BL328" t="s">
        <v>74</v>
      </c>
      <c r="BM328" t="s">
        <v>74</v>
      </c>
      <c r="BN328">
        <v>15518998</v>
      </c>
      <c r="BO328" t="s">
        <v>74</v>
      </c>
      <c r="BP328" t="s">
        <v>74</v>
      </c>
      <c r="BQ328" t="s">
        <v>74</v>
      </c>
      <c r="BR328" t="s">
        <v>74</v>
      </c>
      <c r="BS328" t="s">
        <v>2494</v>
      </c>
      <c r="BT328" t="str">
        <f>HYPERLINK("https%3A%2F%2Fwww.webofscience.com%2Fwos%2Fwoscc%2Ffull-record%2FWOS:000225051100016","View Full Record in Web of Science")</f>
        <v>View Full Record in Web of Science</v>
      </c>
    </row>
    <row r="329" spans="1:72" x14ac:dyDescent="0.4">
      <c r="A329" t="s">
        <v>72</v>
      </c>
      <c r="B329" t="s">
        <v>2108</v>
      </c>
      <c r="C329" t="s">
        <v>74</v>
      </c>
      <c r="D329" t="s">
        <v>74</v>
      </c>
      <c r="E329" t="s">
        <v>74</v>
      </c>
      <c r="F329" t="s">
        <v>2108</v>
      </c>
      <c r="G329" t="s">
        <v>74</v>
      </c>
      <c r="H329" t="s">
        <v>74</v>
      </c>
      <c r="I329" t="s">
        <v>2109</v>
      </c>
      <c r="J329" t="s">
        <v>2110</v>
      </c>
      <c r="K329" t="s">
        <v>74</v>
      </c>
      <c r="L329" t="s">
        <v>74</v>
      </c>
      <c r="M329" t="s">
        <v>74</v>
      </c>
      <c r="N329" t="s">
        <v>74</v>
      </c>
      <c r="O329" t="s">
        <v>74</v>
      </c>
      <c r="P329" t="s">
        <v>74</v>
      </c>
      <c r="Q329" t="s">
        <v>74</v>
      </c>
      <c r="R329" t="s">
        <v>74</v>
      </c>
      <c r="S329" t="s">
        <v>74</v>
      </c>
      <c r="T329" t="s">
        <v>74</v>
      </c>
      <c r="U329" t="s">
        <v>74</v>
      </c>
      <c r="V329" s="3" t="s">
        <v>2111</v>
      </c>
      <c r="W329" t="s">
        <v>74</v>
      </c>
      <c r="X329" t="s">
        <v>74</v>
      </c>
      <c r="Y329" t="s">
        <v>74</v>
      </c>
      <c r="Z329" t="s">
        <v>74</v>
      </c>
      <c r="AA329" t="s">
        <v>74</v>
      </c>
      <c r="AB329" t="s">
        <v>74</v>
      </c>
      <c r="AC329" t="s">
        <v>74</v>
      </c>
      <c r="AD329" t="s">
        <v>74</v>
      </c>
      <c r="AE329" t="s">
        <v>74</v>
      </c>
      <c r="AF329" t="s">
        <v>74</v>
      </c>
      <c r="AG329" t="s">
        <v>74</v>
      </c>
      <c r="AH329" t="s">
        <v>74</v>
      </c>
      <c r="AI329" t="s">
        <v>74</v>
      </c>
      <c r="AJ329" t="s">
        <v>74</v>
      </c>
      <c r="AK329" t="s">
        <v>74</v>
      </c>
      <c r="AL329" t="s">
        <v>74</v>
      </c>
      <c r="AM329" t="s">
        <v>74</v>
      </c>
      <c r="AN329" t="s">
        <v>74</v>
      </c>
      <c r="AO329" t="s">
        <v>2112</v>
      </c>
      <c r="AP329" t="s">
        <v>74</v>
      </c>
      <c r="AQ329" t="s">
        <v>74</v>
      </c>
      <c r="AR329" t="s">
        <v>74</v>
      </c>
      <c r="AS329" t="s">
        <v>74</v>
      </c>
      <c r="AT329" t="s">
        <v>74</v>
      </c>
      <c r="AU329">
        <v>1978</v>
      </c>
      <c r="AV329">
        <v>46</v>
      </c>
      <c r="AW329">
        <v>1</v>
      </c>
      <c r="AX329" t="s">
        <v>74</v>
      </c>
      <c r="AY329" t="s">
        <v>74</v>
      </c>
      <c r="AZ329" t="s">
        <v>74</v>
      </c>
      <c r="BA329" t="s">
        <v>74</v>
      </c>
      <c r="BB329">
        <v>43</v>
      </c>
      <c r="BC329">
        <v>57</v>
      </c>
      <c r="BD329" t="s">
        <v>74</v>
      </c>
      <c r="BE329" t="s">
        <v>74</v>
      </c>
      <c r="BF329" t="s">
        <v>74</v>
      </c>
      <c r="BG329" t="s">
        <v>74</v>
      </c>
      <c r="BH329" t="s">
        <v>74</v>
      </c>
      <c r="BI329" t="s">
        <v>74</v>
      </c>
      <c r="BJ329" t="s">
        <v>74</v>
      </c>
      <c r="BK329" t="s">
        <v>74</v>
      </c>
      <c r="BL329" t="s">
        <v>74</v>
      </c>
      <c r="BM329" t="s">
        <v>74</v>
      </c>
      <c r="BN329">
        <v>566001</v>
      </c>
      <c r="BO329" t="s">
        <v>74</v>
      </c>
      <c r="BP329" t="s">
        <v>74</v>
      </c>
      <c r="BQ329" t="s">
        <v>74</v>
      </c>
      <c r="BR329" t="s">
        <v>74</v>
      </c>
      <c r="BS329" t="s">
        <v>2113</v>
      </c>
      <c r="BT329" t="str">
        <f>HYPERLINK("https%3A%2F%2Fwww.webofscience.com%2Fwos%2Fwoscc%2Ffull-record%2FWOS:A1978ES06300004","View Full Record in Web of Science")</f>
        <v>View Full Record in Web of Science</v>
      </c>
    </row>
    <row r="330" spans="1:72" x14ac:dyDescent="0.4">
      <c r="A330" t="s">
        <v>72</v>
      </c>
      <c r="B330" t="s">
        <v>2142</v>
      </c>
      <c r="C330" t="s">
        <v>74</v>
      </c>
      <c r="D330" t="s">
        <v>74</v>
      </c>
      <c r="E330" t="s">
        <v>74</v>
      </c>
      <c r="F330" t="s">
        <v>2142</v>
      </c>
      <c r="G330" t="s">
        <v>74</v>
      </c>
      <c r="H330" t="s">
        <v>74</v>
      </c>
      <c r="I330" t="s">
        <v>2143</v>
      </c>
      <c r="J330" t="s">
        <v>2144</v>
      </c>
      <c r="K330" t="s">
        <v>74</v>
      </c>
      <c r="L330" t="s">
        <v>74</v>
      </c>
      <c r="M330" t="s">
        <v>74</v>
      </c>
      <c r="N330" t="s">
        <v>74</v>
      </c>
      <c r="O330" t="s">
        <v>74</v>
      </c>
      <c r="P330" t="s">
        <v>74</v>
      </c>
      <c r="Q330" t="s">
        <v>74</v>
      </c>
      <c r="R330" t="s">
        <v>74</v>
      </c>
      <c r="S330" t="s">
        <v>74</v>
      </c>
      <c r="T330" t="s">
        <v>74</v>
      </c>
      <c r="U330" t="s">
        <v>74</v>
      </c>
      <c r="V330" s="3" t="s">
        <v>2145</v>
      </c>
      <c r="W330" t="s">
        <v>74</v>
      </c>
      <c r="X330" t="s">
        <v>74</v>
      </c>
      <c r="Y330" t="s">
        <v>74</v>
      </c>
      <c r="Z330" t="s">
        <v>74</v>
      </c>
      <c r="AA330" t="s">
        <v>74</v>
      </c>
      <c r="AB330" t="s">
        <v>74</v>
      </c>
      <c r="AC330" t="s">
        <v>74</v>
      </c>
      <c r="AD330" t="s">
        <v>74</v>
      </c>
      <c r="AE330" t="s">
        <v>74</v>
      </c>
      <c r="AF330" t="s">
        <v>74</v>
      </c>
      <c r="AG330" t="s">
        <v>74</v>
      </c>
      <c r="AH330" t="s">
        <v>74</v>
      </c>
      <c r="AI330" t="s">
        <v>74</v>
      </c>
      <c r="AJ330" t="s">
        <v>74</v>
      </c>
      <c r="AK330" t="s">
        <v>74</v>
      </c>
      <c r="AL330" t="s">
        <v>74</v>
      </c>
      <c r="AM330" t="s">
        <v>74</v>
      </c>
      <c r="AN330" t="s">
        <v>74</v>
      </c>
      <c r="AO330" t="s">
        <v>2146</v>
      </c>
      <c r="AP330" t="s">
        <v>2147</v>
      </c>
      <c r="AQ330" t="s">
        <v>74</v>
      </c>
      <c r="AR330" t="s">
        <v>74</v>
      </c>
      <c r="AS330" t="s">
        <v>74</v>
      </c>
      <c r="AT330" t="s">
        <v>74</v>
      </c>
      <c r="AU330">
        <v>1980</v>
      </c>
      <c r="AV330">
        <v>7</v>
      </c>
      <c r="AW330">
        <v>2</v>
      </c>
      <c r="AX330" t="s">
        <v>74</v>
      </c>
      <c r="AY330" t="s">
        <v>74</v>
      </c>
      <c r="AZ330" t="s">
        <v>74</v>
      </c>
      <c r="BA330" t="s">
        <v>74</v>
      </c>
      <c r="BB330">
        <v>211</v>
      </c>
      <c r="BC330">
        <v>220</v>
      </c>
      <c r="BD330" t="s">
        <v>74</v>
      </c>
      <c r="BE330" t="s">
        <v>2148</v>
      </c>
      <c r="BF330" t="str">
        <f>HYPERLINK("http://dx.doi.org/10.1080/03014223.1980.10423778","http://dx.doi.org/10.1080/03014223.1980.10423778")</f>
        <v>http://dx.doi.org/10.1080/03014223.1980.10423778</v>
      </c>
      <c r="BG330" t="s">
        <v>74</v>
      </c>
      <c r="BH330" t="s">
        <v>74</v>
      </c>
      <c r="BI330" t="s">
        <v>74</v>
      </c>
      <c r="BJ330" t="s">
        <v>74</v>
      </c>
      <c r="BK330" t="s">
        <v>74</v>
      </c>
      <c r="BL330" t="s">
        <v>74</v>
      </c>
      <c r="BM330" t="s">
        <v>74</v>
      </c>
      <c r="BN330" t="s">
        <v>74</v>
      </c>
      <c r="BO330" t="s">
        <v>74</v>
      </c>
      <c r="BP330" t="s">
        <v>74</v>
      </c>
      <c r="BQ330" t="s">
        <v>74</v>
      </c>
      <c r="BR330" t="s">
        <v>74</v>
      </c>
      <c r="BS330" t="s">
        <v>2149</v>
      </c>
      <c r="BT330" t="str">
        <f>HYPERLINK("https%3A%2F%2Fwww.webofscience.com%2Fwos%2Fwoscc%2Ffull-record%2FWOS:A1980JX22800006","View Full Record in Web of Science")</f>
        <v>View Full Record in Web of Science</v>
      </c>
    </row>
    <row r="331" spans="1:72" x14ac:dyDescent="0.4">
      <c r="A331" t="s">
        <v>72</v>
      </c>
      <c r="B331" t="s">
        <v>2985</v>
      </c>
      <c r="C331" t="s">
        <v>74</v>
      </c>
      <c r="D331" t="s">
        <v>74</v>
      </c>
      <c r="E331" t="s">
        <v>74</v>
      </c>
      <c r="F331" t="s">
        <v>2986</v>
      </c>
      <c r="G331" t="s">
        <v>74</v>
      </c>
      <c r="H331" t="s">
        <v>74</v>
      </c>
      <c r="I331" t="s">
        <v>2987</v>
      </c>
      <c r="J331" t="s">
        <v>129</v>
      </c>
      <c r="K331" t="s">
        <v>74</v>
      </c>
      <c r="L331" t="s">
        <v>74</v>
      </c>
      <c r="M331" t="s">
        <v>74</v>
      </c>
      <c r="N331" t="s">
        <v>74</v>
      </c>
      <c r="O331" t="s">
        <v>74</v>
      </c>
      <c r="P331" t="s">
        <v>74</v>
      </c>
      <c r="Q331" t="s">
        <v>74</v>
      </c>
      <c r="R331" t="s">
        <v>74</v>
      </c>
      <c r="S331" t="s">
        <v>74</v>
      </c>
      <c r="T331" t="s">
        <v>74</v>
      </c>
      <c r="U331" t="s">
        <v>74</v>
      </c>
      <c r="V331" s="3" t="s">
        <v>2988</v>
      </c>
      <c r="W331" t="s">
        <v>74</v>
      </c>
      <c r="X331" t="s">
        <v>74</v>
      </c>
      <c r="Y331" t="s">
        <v>74</v>
      </c>
      <c r="Z331" t="s">
        <v>74</v>
      </c>
      <c r="AA331" t="s">
        <v>2989</v>
      </c>
      <c r="AB331" t="s">
        <v>2990</v>
      </c>
      <c r="AC331" t="s">
        <v>74</v>
      </c>
      <c r="AD331" t="s">
        <v>74</v>
      </c>
      <c r="AE331" t="s">
        <v>74</v>
      </c>
      <c r="AF331" t="s">
        <v>74</v>
      </c>
      <c r="AG331" t="s">
        <v>74</v>
      </c>
      <c r="AH331" t="s">
        <v>74</v>
      </c>
      <c r="AI331" t="s">
        <v>74</v>
      </c>
      <c r="AJ331" t="s">
        <v>74</v>
      </c>
      <c r="AK331" t="s">
        <v>74</v>
      </c>
      <c r="AL331" t="s">
        <v>74</v>
      </c>
      <c r="AM331" t="s">
        <v>74</v>
      </c>
      <c r="AN331" t="s">
        <v>74</v>
      </c>
      <c r="AO331" t="s">
        <v>132</v>
      </c>
      <c r="AP331" t="s">
        <v>133</v>
      </c>
      <c r="AQ331" t="s">
        <v>74</v>
      </c>
      <c r="AR331" t="s">
        <v>74</v>
      </c>
      <c r="AS331" t="s">
        <v>74</v>
      </c>
      <c r="AT331" t="s">
        <v>134</v>
      </c>
      <c r="AU331">
        <v>2007</v>
      </c>
      <c r="AV331">
        <v>61</v>
      </c>
      <c r="AW331">
        <v>7</v>
      </c>
      <c r="AX331" t="s">
        <v>74</v>
      </c>
      <c r="AY331" t="s">
        <v>74</v>
      </c>
      <c r="AZ331" t="s">
        <v>74</v>
      </c>
      <c r="BA331" t="s">
        <v>74</v>
      </c>
      <c r="BB331">
        <v>1121</v>
      </c>
      <c r="BC331">
        <v>1131</v>
      </c>
      <c r="BD331" t="s">
        <v>74</v>
      </c>
      <c r="BE331" t="s">
        <v>2991</v>
      </c>
      <c r="BF331" t="str">
        <f>HYPERLINK("http://dx.doi.org/10.1007/s00265-006-0345-3","http://dx.doi.org/10.1007/s00265-006-0345-3")</f>
        <v>http://dx.doi.org/10.1007/s00265-006-0345-3</v>
      </c>
      <c r="BG331" t="s">
        <v>74</v>
      </c>
      <c r="BH331" t="s">
        <v>74</v>
      </c>
      <c r="BI331" t="s">
        <v>74</v>
      </c>
      <c r="BJ331" t="s">
        <v>74</v>
      </c>
      <c r="BK331" t="s">
        <v>74</v>
      </c>
      <c r="BL331" t="s">
        <v>74</v>
      </c>
      <c r="BM331" t="s">
        <v>74</v>
      </c>
      <c r="BN331" t="s">
        <v>74</v>
      </c>
      <c r="BO331" t="s">
        <v>74</v>
      </c>
      <c r="BP331" t="s">
        <v>74</v>
      </c>
      <c r="BQ331" t="s">
        <v>74</v>
      </c>
      <c r="BR331" t="s">
        <v>74</v>
      </c>
      <c r="BS331" t="s">
        <v>2992</v>
      </c>
      <c r="BT331" t="str">
        <f>HYPERLINK("https%3A%2F%2Fwww.webofscience.com%2Fwos%2Fwoscc%2Ffull-record%2FWOS:000245519700015","View Full Record in Web of Science")</f>
        <v>View Full Record in Web of Science</v>
      </c>
    </row>
    <row r="332" spans="1:72" x14ac:dyDescent="0.4">
      <c r="A332" t="s">
        <v>72</v>
      </c>
      <c r="B332" t="s">
        <v>7291</v>
      </c>
      <c r="C332" t="s">
        <v>74</v>
      </c>
      <c r="D332" t="s">
        <v>74</v>
      </c>
      <c r="E332" t="s">
        <v>74</v>
      </c>
      <c r="F332" t="s">
        <v>7291</v>
      </c>
      <c r="G332" t="s">
        <v>74</v>
      </c>
      <c r="H332" t="s">
        <v>74</v>
      </c>
      <c r="I332" t="s">
        <v>7292</v>
      </c>
      <c r="J332" t="s">
        <v>2629</v>
      </c>
      <c r="K332" t="s">
        <v>74</v>
      </c>
      <c r="L332" t="s">
        <v>74</v>
      </c>
      <c r="M332" t="s">
        <v>74</v>
      </c>
      <c r="N332" t="s">
        <v>74</v>
      </c>
      <c r="O332" t="s">
        <v>74</v>
      </c>
      <c r="P332" t="s">
        <v>74</v>
      </c>
      <c r="Q332" t="s">
        <v>74</v>
      </c>
      <c r="R332" t="s">
        <v>74</v>
      </c>
      <c r="S332" t="s">
        <v>74</v>
      </c>
      <c r="T332" t="s">
        <v>74</v>
      </c>
      <c r="U332" t="s">
        <v>74</v>
      </c>
      <c r="V332" s="3" t="s">
        <v>7293</v>
      </c>
      <c r="W332" t="s">
        <v>74</v>
      </c>
      <c r="X332" t="s">
        <v>74</v>
      </c>
      <c r="Y332" t="s">
        <v>74</v>
      </c>
      <c r="Z332" t="s">
        <v>74</v>
      </c>
      <c r="AA332" t="s">
        <v>74</v>
      </c>
      <c r="AB332" t="s">
        <v>74</v>
      </c>
      <c r="AC332" t="s">
        <v>74</v>
      </c>
      <c r="AD332" t="s">
        <v>74</v>
      </c>
      <c r="AE332" t="s">
        <v>74</v>
      </c>
      <c r="AF332" t="s">
        <v>74</v>
      </c>
      <c r="AG332" t="s">
        <v>74</v>
      </c>
      <c r="AH332" t="s">
        <v>74</v>
      </c>
      <c r="AI332" t="s">
        <v>74</v>
      </c>
      <c r="AJ332" t="s">
        <v>74</v>
      </c>
      <c r="AK332" t="s">
        <v>74</v>
      </c>
      <c r="AL332" t="s">
        <v>74</v>
      </c>
      <c r="AM332" t="s">
        <v>74</v>
      </c>
      <c r="AN332" t="s">
        <v>74</v>
      </c>
      <c r="AO332" t="s">
        <v>2632</v>
      </c>
      <c r="AP332" t="s">
        <v>74</v>
      </c>
      <c r="AQ332" t="s">
        <v>74</v>
      </c>
      <c r="AR332" t="s">
        <v>74</v>
      </c>
      <c r="AS332" t="s">
        <v>74</v>
      </c>
      <c r="AT332" t="s">
        <v>74</v>
      </c>
      <c r="AU332">
        <v>2000</v>
      </c>
      <c r="AV332">
        <v>48</v>
      </c>
      <c r="AW332">
        <v>4</v>
      </c>
      <c r="AX332" t="s">
        <v>74</v>
      </c>
      <c r="AY332" t="s">
        <v>74</v>
      </c>
      <c r="AZ332" t="s">
        <v>74</v>
      </c>
      <c r="BA332" t="s">
        <v>74</v>
      </c>
      <c r="BB332">
        <v>393</v>
      </c>
      <c r="BC332">
        <v>409</v>
      </c>
      <c r="BD332" t="s">
        <v>74</v>
      </c>
      <c r="BE332" t="s">
        <v>7294</v>
      </c>
      <c r="BF332" t="str">
        <f>HYPERLINK("http://dx.doi.org/10.1071/ZO00046","http://dx.doi.org/10.1071/ZO00046")</f>
        <v>http://dx.doi.org/10.1071/ZO00046</v>
      </c>
      <c r="BG332" t="s">
        <v>74</v>
      </c>
      <c r="BH332" t="s">
        <v>74</v>
      </c>
      <c r="BI332" t="s">
        <v>74</v>
      </c>
      <c r="BJ332" t="s">
        <v>74</v>
      </c>
      <c r="BK332" t="s">
        <v>74</v>
      </c>
      <c r="BL332" t="s">
        <v>74</v>
      </c>
      <c r="BM332" t="s">
        <v>74</v>
      </c>
      <c r="BN332" t="s">
        <v>74</v>
      </c>
      <c r="BO332" t="s">
        <v>74</v>
      </c>
      <c r="BP332" t="s">
        <v>74</v>
      </c>
      <c r="BQ332" t="s">
        <v>74</v>
      </c>
      <c r="BR332" t="s">
        <v>74</v>
      </c>
      <c r="BS332" t="s">
        <v>7295</v>
      </c>
      <c r="BT332" t="str">
        <f>HYPERLINK("https%3A%2F%2Fwww.webofscience.com%2Fwos%2Fwoscc%2Ffull-record%2FWOS:000089592900007","View Full Record in Web of Science")</f>
        <v>View Full Record in Web of Science</v>
      </c>
    </row>
    <row r="333" spans="1:72" x14ac:dyDescent="0.4">
      <c r="A333" t="s">
        <v>72</v>
      </c>
      <c r="B333" t="s">
        <v>8175</v>
      </c>
      <c r="C333" t="s">
        <v>74</v>
      </c>
      <c r="D333" t="s">
        <v>74</v>
      </c>
      <c r="E333" t="s">
        <v>74</v>
      </c>
      <c r="F333" t="s">
        <v>8176</v>
      </c>
      <c r="G333" t="s">
        <v>74</v>
      </c>
      <c r="H333" t="s">
        <v>74</v>
      </c>
      <c r="I333" t="s">
        <v>8177</v>
      </c>
      <c r="J333" t="s">
        <v>8178</v>
      </c>
      <c r="K333" t="s">
        <v>74</v>
      </c>
      <c r="L333" t="s">
        <v>74</v>
      </c>
      <c r="M333" t="s">
        <v>74</v>
      </c>
      <c r="N333" t="s">
        <v>74</v>
      </c>
      <c r="O333" t="s">
        <v>74</v>
      </c>
      <c r="P333" t="s">
        <v>74</v>
      </c>
      <c r="Q333" t="s">
        <v>74</v>
      </c>
      <c r="R333" t="s">
        <v>74</v>
      </c>
      <c r="S333" t="s">
        <v>74</v>
      </c>
      <c r="T333" t="s">
        <v>74</v>
      </c>
      <c r="U333" t="s">
        <v>74</v>
      </c>
      <c r="V333" s="3" t="s">
        <v>8179</v>
      </c>
      <c r="W333" t="s">
        <v>74</v>
      </c>
      <c r="X333" t="s">
        <v>74</v>
      </c>
      <c r="Y333" t="s">
        <v>74</v>
      </c>
      <c r="Z333" t="s">
        <v>74</v>
      </c>
      <c r="AA333" t="s">
        <v>74</v>
      </c>
      <c r="AB333" t="s">
        <v>74</v>
      </c>
      <c r="AC333" t="s">
        <v>74</v>
      </c>
      <c r="AD333" t="s">
        <v>74</v>
      </c>
      <c r="AE333" t="s">
        <v>74</v>
      </c>
      <c r="AF333" t="s">
        <v>74</v>
      </c>
      <c r="AG333" t="s">
        <v>74</v>
      </c>
      <c r="AH333" t="s">
        <v>74</v>
      </c>
      <c r="AI333" t="s">
        <v>74</v>
      </c>
      <c r="AJ333" t="s">
        <v>74</v>
      </c>
      <c r="AK333" t="s">
        <v>74</v>
      </c>
      <c r="AL333" t="s">
        <v>74</v>
      </c>
      <c r="AM333" t="s">
        <v>74</v>
      </c>
      <c r="AN333" t="s">
        <v>74</v>
      </c>
      <c r="AO333" t="s">
        <v>8180</v>
      </c>
      <c r="AP333" t="s">
        <v>8181</v>
      </c>
      <c r="AQ333" t="s">
        <v>74</v>
      </c>
      <c r="AR333" t="s">
        <v>74</v>
      </c>
      <c r="AS333" t="s">
        <v>74</v>
      </c>
      <c r="AT333" t="s">
        <v>134</v>
      </c>
      <c r="AU333">
        <v>2020</v>
      </c>
      <c r="AV333">
        <v>148</v>
      </c>
      <c r="AW333" t="s">
        <v>74</v>
      </c>
      <c r="AX333" t="s">
        <v>74</v>
      </c>
      <c r="AY333" t="s">
        <v>74</v>
      </c>
      <c r="AZ333" t="s">
        <v>74</v>
      </c>
      <c r="BA333" t="s">
        <v>74</v>
      </c>
      <c r="BB333">
        <v>132</v>
      </c>
      <c r="BC333">
        <v>139</v>
      </c>
      <c r="BD333" t="s">
        <v>74</v>
      </c>
      <c r="BE333" t="s">
        <v>8182</v>
      </c>
      <c r="BF333" t="str">
        <f>HYPERLINK("http://dx.doi.org/10.1016/j.theriogenology.2020.03.004","http://dx.doi.org/10.1016/j.theriogenology.2020.03.004")</f>
        <v>http://dx.doi.org/10.1016/j.theriogenology.2020.03.004</v>
      </c>
      <c r="BG333" t="s">
        <v>74</v>
      </c>
      <c r="BH333" t="s">
        <v>74</v>
      </c>
      <c r="BI333" t="s">
        <v>74</v>
      </c>
      <c r="BJ333" t="s">
        <v>74</v>
      </c>
      <c r="BK333" t="s">
        <v>74</v>
      </c>
      <c r="BL333" t="s">
        <v>74</v>
      </c>
      <c r="BM333" t="s">
        <v>74</v>
      </c>
      <c r="BN333">
        <v>32171972</v>
      </c>
      <c r="BO333" t="s">
        <v>74</v>
      </c>
      <c r="BP333" t="s">
        <v>74</v>
      </c>
      <c r="BQ333" t="s">
        <v>74</v>
      </c>
      <c r="BR333" t="s">
        <v>74</v>
      </c>
      <c r="BS333" t="s">
        <v>8183</v>
      </c>
      <c r="BT333" t="str">
        <f>HYPERLINK("https%3A%2F%2Fwww.webofscience.com%2Fwos%2Fwoscc%2Ffull-record%2FWOS:000527365800015","View Full Record in Web of Science")</f>
        <v>View Full Record in Web of Science</v>
      </c>
    </row>
    <row r="334" spans="1:72" x14ac:dyDescent="0.4">
      <c r="A334" t="s">
        <v>72</v>
      </c>
      <c r="B334" t="s">
        <v>7871</v>
      </c>
      <c r="C334" t="s">
        <v>74</v>
      </c>
      <c r="D334" t="s">
        <v>74</v>
      </c>
      <c r="E334" t="s">
        <v>74</v>
      </c>
      <c r="F334" t="s">
        <v>7871</v>
      </c>
      <c r="G334" t="s">
        <v>74</v>
      </c>
      <c r="H334" t="s">
        <v>74</v>
      </c>
      <c r="I334" t="s">
        <v>7872</v>
      </c>
      <c r="J334" t="s">
        <v>576</v>
      </c>
      <c r="K334" t="s">
        <v>74</v>
      </c>
      <c r="L334" t="s">
        <v>74</v>
      </c>
      <c r="M334" t="s">
        <v>74</v>
      </c>
      <c r="N334" t="s">
        <v>74</v>
      </c>
      <c r="O334" t="s">
        <v>74</v>
      </c>
      <c r="P334" t="s">
        <v>74</v>
      </c>
      <c r="Q334" t="s">
        <v>74</v>
      </c>
      <c r="R334" t="s">
        <v>74</v>
      </c>
      <c r="S334" t="s">
        <v>74</v>
      </c>
      <c r="T334" t="s">
        <v>74</v>
      </c>
      <c r="U334" t="s">
        <v>74</v>
      </c>
      <c r="V334" s="3" t="s">
        <v>7873</v>
      </c>
      <c r="W334" t="s">
        <v>74</v>
      </c>
      <c r="X334" t="s">
        <v>74</v>
      </c>
      <c r="Y334" t="s">
        <v>74</v>
      </c>
      <c r="Z334" t="s">
        <v>74</v>
      </c>
      <c r="AA334" t="s">
        <v>74</v>
      </c>
      <c r="AB334" t="s">
        <v>74</v>
      </c>
      <c r="AC334" t="s">
        <v>74</v>
      </c>
      <c r="AD334" t="s">
        <v>74</v>
      </c>
      <c r="AE334" t="s">
        <v>74</v>
      </c>
      <c r="AF334" t="s">
        <v>74</v>
      </c>
      <c r="AG334" t="s">
        <v>74</v>
      </c>
      <c r="AH334" t="s">
        <v>74</v>
      </c>
      <c r="AI334" t="s">
        <v>74</v>
      </c>
      <c r="AJ334" t="s">
        <v>74</v>
      </c>
      <c r="AK334" t="s">
        <v>74</v>
      </c>
      <c r="AL334" t="s">
        <v>74</v>
      </c>
      <c r="AM334" t="s">
        <v>74</v>
      </c>
      <c r="AN334" t="s">
        <v>74</v>
      </c>
      <c r="AO334" t="s">
        <v>579</v>
      </c>
      <c r="AP334" t="s">
        <v>74</v>
      </c>
      <c r="AQ334" t="s">
        <v>74</v>
      </c>
      <c r="AR334" t="s">
        <v>74</v>
      </c>
      <c r="AS334" t="s">
        <v>74</v>
      </c>
      <c r="AT334" t="s">
        <v>204</v>
      </c>
      <c r="AU334">
        <v>1994</v>
      </c>
      <c r="AV334">
        <v>8</v>
      </c>
      <c r="AW334">
        <v>4</v>
      </c>
      <c r="AX334" t="s">
        <v>74</v>
      </c>
      <c r="AY334" t="s">
        <v>74</v>
      </c>
      <c r="AZ334" t="s">
        <v>74</v>
      </c>
      <c r="BA334" t="s">
        <v>74</v>
      </c>
      <c r="BB334">
        <v>348</v>
      </c>
      <c r="BC334">
        <v>356</v>
      </c>
      <c r="BD334" t="s">
        <v>74</v>
      </c>
      <c r="BE334" t="s">
        <v>7874</v>
      </c>
      <c r="BF334" t="str">
        <f>HYPERLINK("http://dx.doi.org/10.1007/BF01238187","http://dx.doi.org/10.1007/BF01238187")</f>
        <v>http://dx.doi.org/10.1007/BF01238187</v>
      </c>
      <c r="BG334" t="s">
        <v>74</v>
      </c>
      <c r="BH334" t="s">
        <v>74</v>
      </c>
      <c r="BI334" t="s">
        <v>74</v>
      </c>
      <c r="BJ334" t="s">
        <v>74</v>
      </c>
      <c r="BK334" t="s">
        <v>74</v>
      </c>
      <c r="BL334" t="s">
        <v>74</v>
      </c>
      <c r="BM334" t="s">
        <v>74</v>
      </c>
      <c r="BN334" t="s">
        <v>74</v>
      </c>
      <c r="BO334" t="s">
        <v>74</v>
      </c>
      <c r="BP334" t="s">
        <v>74</v>
      </c>
      <c r="BQ334" t="s">
        <v>74</v>
      </c>
      <c r="BR334" t="s">
        <v>74</v>
      </c>
      <c r="BS334" t="s">
        <v>7875</v>
      </c>
      <c r="BT334" t="str">
        <f>HYPERLINK("https%3A%2F%2Fwww.webofscience.com%2Fwos%2Fwoscc%2Ffull-record%2FWOS:A1994NY27800002","View Full Record in Web of Science")</f>
        <v>View Full Record in Web of Science</v>
      </c>
    </row>
    <row r="335" spans="1:72" x14ac:dyDescent="0.4">
      <c r="A335" t="s">
        <v>72</v>
      </c>
      <c r="B335" t="s">
        <v>4047</v>
      </c>
      <c r="C335" t="s">
        <v>74</v>
      </c>
      <c r="D335" t="s">
        <v>74</v>
      </c>
      <c r="E335" t="s">
        <v>74</v>
      </c>
      <c r="F335" t="s">
        <v>4048</v>
      </c>
      <c r="G335" t="s">
        <v>74</v>
      </c>
      <c r="H335" t="s">
        <v>74</v>
      </c>
      <c r="I335" t="s">
        <v>4049</v>
      </c>
      <c r="J335" t="s">
        <v>763</v>
      </c>
      <c r="K335" t="s">
        <v>74</v>
      </c>
      <c r="L335" t="s">
        <v>74</v>
      </c>
      <c r="M335" t="s">
        <v>74</v>
      </c>
      <c r="N335" t="s">
        <v>74</v>
      </c>
      <c r="O335" t="s">
        <v>74</v>
      </c>
      <c r="P335" t="s">
        <v>74</v>
      </c>
      <c r="Q335" t="s">
        <v>74</v>
      </c>
      <c r="R335" t="s">
        <v>74</v>
      </c>
      <c r="S335" t="s">
        <v>74</v>
      </c>
      <c r="T335" t="s">
        <v>74</v>
      </c>
      <c r="U335" t="s">
        <v>74</v>
      </c>
      <c r="V335" s="3" t="s">
        <v>4050</v>
      </c>
      <c r="W335" t="s">
        <v>74</v>
      </c>
      <c r="X335" t="s">
        <v>74</v>
      </c>
      <c r="Y335" t="s">
        <v>74</v>
      </c>
      <c r="Z335" t="s">
        <v>74</v>
      </c>
      <c r="AA335" t="s">
        <v>74</v>
      </c>
      <c r="AB335" t="s">
        <v>74</v>
      </c>
      <c r="AC335" t="s">
        <v>74</v>
      </c>
      <c r="AD335" t="s">
        <v>74</v>
      </c>
      <c r="AE335" t="s">
        <v>74</v>
      </c>
      <c r="AF335" t="s">
        <v>74</v>
      </c>
      <c r="AG335" t="s">
        <v>74</v>
      </c>
      <c r="AH335" t="s">
        <v>74</v>
      </c>
      <c r="AI335" t="s">
        <v>74</v>
      </c>
      <c r="AJ335" t="s">
        <v>74</v>
      </c>
      <c r="AK335" t="s">
        <v>74</v>
      </c>
      <c r="AL335" t="s">
        <v>74</v>
      </c>
      <c r="AM335" t="s">
        <v>74</v>
      </c>
      <c r="AN335" t="s">
        <v>74</v>
      </c>
      <c r="AO335" t="s">
        <v>767</v>
      </c>
      <c r="AP335" t="s">
        <v>768</v>
      </c>
      <c r="AQ335" t="s">
        <v>74</v>
      </c>
      <c r="AR335" t="s">
        <v>74</v>
      </c>
      <c r="AS335" t="s">
        <v>74</v>
      </c>
      <c r="AT335" t="s">
        <v>145</v>
      </c>
      <c r="AU335">
        <v>2013</v>
      </c>
      <c r="AV335">
        <v>216</v>
      </c>
      <c r="AW335">
        <v>15</v>
      </c>
      <c r="AX335" t="s">
        <v>74</v>
      </c>
      <c r="AY335" t="s">
        <v>74</v>
      </c>
      <c r="AZ335" t="s">
        <v>74</v>
      </c>
      <c r="BA335" t="s">
        <v>74</v>
      </c>
      <c r="BB335">
        <v>2806</v>
      </c>
      <c r="BC335">
        <v>2812</v>
      </c>
      <c r="BD335" t="s">
        <v>74</v>
      </c>
      <c r="BE335" t="s">
        <v>4051</v>
      </c>
      <c r="BF335" t="str">
        <f>HYPERLINK("http://dx.doi.org/10.1242/jeb.084889","http://dx.doi.org/10.1242/jeb.084889")</f>
        <v>http://dx.doi.org/10.1242/jeb.084889</v>
      </c>
      <c r="BG335" t="s">
        <v>74</v>
      </c>
      <c r="BH335" t="s">
        <v>74</v>
      </c>
      <c r="BI335" t="s">
        <v>74</v>
      </c>
      <c r="BJ335" t="s">
        <v>74</v>
      </c>
      <c r="BK335" t="s">
        <v>74</v>
      </c>
      <c r="BL335" t="s">
        <v>74</v>
      </c>
      <c r="BM335" t="s">
        <v>74</v>
      </c>
      <c r="BN335">
        <v>23580716</v>
      </c>
      <c r="BO335" t="s">
        <v>74</v>
      </c>
      <c r="BP335" t="s">
        <v>74</v>
      </c>
      <c r="BQ335" t="s">
        <v>74</v>
      </c>
      <c r="BR335" t="s">
        <v>74</v>
      </c>
      <c r="BS335" t="s">
        <v>4052</v>
      </c>
      <c r="BT335" t="str">
        <f>HYPERLINK("https%3A%2F%2Fwww.webofscience.com%2Fwos%2Fwoscc%2Ffull-record%2FWOS:000321614700015","View Full Record in Web of Science")</f>
        <v>View Full Record in Web of Science</v>
      </c>
    </row>
    <row r="336" spans="1:72" x14ac:dyDescent="0.4">
      <c r="A336" t="s">
        <v>72</v>
      </c>
      <c r="B336" t="s">
        <v>3134</v>
      </c>
      <c r="C336" t="s">
        <v>74</v>
      </c>
      <c r="D336" t="s">
        <v>74</v>
      </c>
      <c r="E336" t="s">
        <v>74</v>
      </c>
      <c r="F336" t="s">
        <v>3135</v>
      </c>
      <c r="G336" t="s">
        <v>74</v>
      </c>
      <c r="H336" t="s">
        <v>74</v>
      </c>
      <c r="I336" t="s">
        <v>3136</v>
      </c>
      <c r="J336" t="s">
        <v>108</v>
      </c>
      <c r="K336" t="s">
        <v>74</v>
      </c>
      <c r="L336" t="s">
        <v>74</v>
      </c>
      <c r="M336" t="s">
        <v>74</v>
      </c>
      <c r="N336" t="s">
        <v>74</v>
      </c>
      <c r="O336" t="s">
        <v>74</v>
      </c>
      <c r="P336" t="s">
        <v>74</v>
      </c>
      <c r="Q336" t="s">
        <v>74</v>
      </c>
      <c r="R336" t="s">
        <v>74</v>
      </c>
      <c r="S336" t="s">
        <v>74</v>
      </c>
      <c r="T336" t="s">
        <v>74</v>
      </c>
      <c r="U336" t="s">
        <v>74</v>
      </c>
      <c r="V336" s="3" t="s">
        <v>3137</v>
      </c>
      <c r="W336" t="s">
        <v>74</v>
      </c>
      <c r="X336" t="s">
        <v>74</v>
      </c>
      <c r="Y336" t="s">
        <v>74</v>
      </c>
      <c r="Z336" t="s">
        <v>74</v>
      </c>
      <c r="AA336" t="s">
        <v>3138</v>
      </c>
      <c r="AB336" t="s">
        <v>3139</v>
      </c>
      <c r="AC336" t="s">
        <v>74</v>
      </c>
      <c r="AD336" t="s">
        <v>74</v>
      </c>
      <c r="AE336" t="s">
        <v>74</v>
      </c>
      <c r="AF336" t="s">
        <v>74</v>
      </c>
      <c r="AG336" t="s">
        <v>74</v>
      </c>
      <c r="AH336" t="s">
        <v>74</v>
      </c>
      <c r="AI336" t="s">
        <v>74</v>
      </c>
      <c r="AJ336" t="s">
        <v>74</v>
      </c>
      <c r="AK336" t="s">
        <v>74</v>
      </c>
      <c r="AL336" t="s">
        <v>74</v>
      </c>
      <c r="AM336" t="s">
        <v>74</v>
      </c>
      <c r="AN336" t="s">
        <v>74</v>
      </c>
      <c r="AO336" t="s">
        <v>111</v>
      </c>
      <c r="AP336" t="s">
        <v>74</v>
      </c>
      <c r="AQ336" t="s">
        <v>74</v>
      </c>
      <c r="AR336" t="s">
        <v>74</v>
      </c>
      <c r="AS336" t="s">
        <v>74</v>
      </c>
      <c r="AT336" t="s">
        <v>3140</v>
      </c>
      <c r="AU336">
        <v>2011</v>
      </c>
      <c r="AV336">
        <v>278</v>
      </c>
      <c r="AW336">
        <v>1720</v>
      </c>
      <c r="AX336" t="s">
        <v>74</v>
      </c>
      <c r="AY336" t="s">
        <v>74</v>
      </c>
      <c r="AZ336" t="s">
        <v>74</v>
      </c>
      <c r="BA336" t="s">
        <v>74</v>
      </c>
      <c r="BB336">
        <v>2891</v>
      </c>
      <c r="BC336">
        <v>2899</v>
      </c>
      <c r="BD336" t="s">
        <v>74</v>
      </c>
      <c r="BE336" t="s">
        <v>3141</v>
      </c>
      <c r="BF336" t="str">
        <f>HYPERLINK("http://dx.doi.org/10.1098/rspb.2011.0118","http://dx.doi.org/10.1098/rspb.2011.0118")</f>
        <v>http://dx.doi.org/10.1098/rspb.2011.0118</v>
      </c>
      <c r="BG336" t="s">
        <v>74</v>
      </c>
      <c r="BH336" t="s">
        <v>74</v>
      </c>
      <c r="BI336" t="s">
        <v>74</v>
      </c>
      <c r="BJ336" t="s">
        <v>74</v>
      </c>
      <c r="BK336" t="s">
        <v>74</v>
      </c>
      <c r="BL336" t="s">
        <v>74</v>
      </c>
      <c r="BM336" t="s">
        <v>74</v>
      </c>
      <c r="BN336">
        <v>21389031</v>
      </c>
      <c r="BO336" t="s">
        <v>74</v>
      </c>
      <c r="BP336" t="s">
        <v>74</v>
      </c>
      <c r="BQ336" t="s">
        <v>74</v>
      </c>
      <c r="BR336" t="s">
        <v>74</v>
      </c>
      <c r="BS336" t="s">
        <v>3142</v>
      </c>
      <c r="BT336" t="str">
        <f>HYPERLINK("https%3A%2F%2Fwww.webofscience.com%2Fwos%2Fwoscc%2Ffull-record%2FWOS:000294244900005","View Full Record in Web of Science")</f>
        <v>View Full Record in Web of Science</v>
      </c>
    </row>
    <row r="337" spans="1:72" x14ac:dyDescent="0.4">
      <c r="A337" t="s">
        <v>72</v>
      </c>
      <c r="B337" t="s">
        <v>2873</v>
      </c>
      <c r="C337" t="s">
        <v>74</v>
      </c>
      <c r="D337" t="s">
        <v>74</v>
      </c>
      <c r="E337" t="s">
        <v>74</v>
      </c>
      <c r="F337" t="s">
        <v>2874</v>
      </c>
      <c r="G337" t="s">
        <v>74</v>
      </c>
      <c r="H337" t="s">
        <v>74</v>
      </c>
      <c r="I337" t="s">
        <v>2875</v>
      </c>
      <c r="J337" t="s">
        <v>312</v>
      </c>
      <c r="K337" t="s">
        <v>74</v>
      </c>
      <c r="L337" t="s">
        <v>74</v>
      </c>
      <c r="M337" t="s">
        <v>74</v>
      </c>
      <c r="N337" t="s">
        <v>74</v>
      </c>
      <c r="O337" t="s">
        <v>74</v>
      </c>
      <c r="P337" t="s">
        <v>74</v>
      </c>
      <c r="Q337" t="s">
        <v>74</v>
      </c>
      <c r="R337" t="s">
        <v>74</v>
      </c>
      <c r="S337" t="s">
        <v>74</v>
      </c>
      <c r="T337" t="s">
        <v>74</v>
      </c>
      <c r="U337" t="s">
        <v>74</v>
      </c>
      <c r="V337" s="3" t="s">
        <v>2876</v>
      </c>
      <c r="W337" t="s">
        <v>74</v>
      </c>
      <c r="X337" t="s">
        <v>74</v>
      </c>
      <c r="Y337" t="s">
        <v>74</v>
      </c>
      <c r="Z337" t="s">
        <v>74</v>
      </c>
      <c r="AA337" t="s">
        <v>74</v>
      </c>
      <c r="AB337" t="s">
        <v>931</v>
      </c>
      <c r="AC337" t="s">
        <v>74</v>
      </c>
      <c r="AD337" t="s">
        <v>74</v>
      </c>
      <c r="AE337" t="s">
        <v>74</v>
      </c>
      <c r="AF337" t="s">
        <v>74</v>
      </c>
      <c r="AG337" t="s">
        <v>74</v>
      </c>
      <c r="AH337" t="s">
        <v>74</v>
      </c>
      <c r="AI337" t="s">
        <v>74</v>
      </c>
      <c r="AJ337" t="s">
        <v>74</v>
      </c>
      <c r="AK337" t="s">
        <v>74</v>
      </c>
      <c r="AL337" t="s">
        <v>74</v>
      </c>
      <c r="AM337" t="s">
        <v>74</v>
      </c>
      <c r="AN337" t="s">
        <v>74</v>
      </c>
      <c r="AO337" t="s">
        <v>314</v>
      </c>
      <c r="AP337" t="s">
        <v>315</v>
      </c>
      <c r="AQ337" t="s">
        <v>74</v>
      </c>
      <c r="AR337" t="s">
        <v>74</v>
      </c>
      <c r="AS337" t="s">
        <v>74</v>
      </c>
      <c r="AT337" t="s">
        <v>1146</v>
      </c>
      <c r="AU337">
        <v>2022</v>
      </c>
      <c r="AV337">
        <v>200</v>
      </c>
      <c r="AW337">
        <v>2</v>
      </c>
      <c r="AX337" t="s">
        <v>74</v>
      </c>
      <c r="AY337" t="s">
        <v>74</v>
      </c>
      <c r="AZ337" t="s">
        <v>74</v>
      </c>
      <c r="BA337" t="s">
        <v>74</v>
      </c>
      <c r="BB337">
        <v>236</v>
      </c>
      <c r="BC337">
        <v>249</v>
      </c>
      <c r="BD337" t="s">
        <v>74</v>
      </c>
      <c r="BE337" t="s">
        <v>2877</v>
      </c>
      <c r="BF337" t="str">
        <f>HYPERLINK("http://dx.doi.org/10.1086/720267","http://dx.doi.org/10.1086/720267")</f>
        <v>http://dx.doi.org/10.1086/720267</v>
      </c>
      <c r="BG337" t="s">
        <v>74</v>
      </c>
      <c r="BH337" t="s">
        <v>307</v>
      </c>
      <c r="BI337" t="s">
        <v>74</v>
      </c>
      <c r="BJ337" t="s">
        <v>74</v>
      </c>
      <c r="BK337" t="s">
        <v>74</v>
      </c>
      <c r="BL337" t="s">
        <v>74</v>
      </c>
      <c r="BM337" t="s">
        <v>74</v>
      </c>
      <c r="BN337">
        <v>35905402</v>
      </c>
      <c r="BO337" t="s">
        <v>74</v>
      </c>
      <c r="BP337" t="s">
        <v>74</v>
      </c>
      <c r="BQ337" t="s">
        <v>74</v>
      </c>
      <c r="BR337" t="s">
        <v>74</v>
      </c>
      <c r="BS337" t="s">
        <v>2878</v>
      </c>
      <c r="BT337" t="str">
        <f>HYPERLINK("https%3A%2F%2Fwww.webofscience.com%2Fwos%2Fwoscc%2Ffull-record%2FWOS:000815766400001","View Full Record in Web of Science")</f>
        <v>View Full Record in Web of Science</v>
      </c>
    </row>
    <row r="338" spans="1:72" x14ac:dyDescent="0.4">
      <c r="A338" t="s">
        <v>72</v>
      </c>
      <c r="B338" t="s">
        <v>927</v>
      </c>
      <c r="C338" t="s">
        <v>74</v>
      </c>
      <c r="D338" t="s">
        <v>74</v>
      </c>
      <c r="E338" t="s">
        <v>74</v>
      </c>
      <c r="F338" t="s">
        <v>928</v>
      </c>
      <c r="G338" t="s">
        <v>74</v>
      </c>
      <c r="H338" t="s">
        <v>74</v>
      </c>
      <c r="I338" t="s">
        <v>929</v>
      </c>
      <c r="J338" t="s">
        <v>763</v>
      </c>
      <c r="K338" t="s">
        <v>74</v>
      </c>
      <c r="L338" t="s">
        <v>74</v>
      </c>
      <c r="M338" t="s">
        <v>74</v>
      </c>
      <c r="N338" t="s">
        <v>74</v>
      </c>
      <c r="O338" t="s">
        <v>74</v>
      </c>
      <c r="P338" t="s">
        <v>74</v>
      </c>
      <c r="Q338" t="s">
        <v>74</v>
      </c>
      <c r="R338" t="s">
        <v>74</v>
      </c>
      <c r="S338" t="s">
        <v>74</v>
      </c>
      <c r="T338" t="s">
        <v>74</v>
      </c>
      <c r="U338" t="s">
        <v>74</v>
      </c>
      <c r="V338" s="3" t="s">
        <v>930</v>
      </c>
      <c r="W338" t="s">
        <v>74</v>
      </c>
      <c r="X338" t="s">
        <v>74</v>
      </c>
      <c r="Y338" t="s">
        <v>74</v>
      </c>
      <c r="Z338" t="s">
        <v>74</v>
      </c>
      <c r="AA338" t="s">
        <v>74</v>
      </c>
      <c r="AB338" t="s">
        <v>931</v>
      </c>
      <c r="AC338" t="s">
        <v>74</v>
      </c>
      <c r="AD338" t="s">
        <v>74</v>
      </c>
      <c r="AE338" t="s">
        <v>74</v>
      </c>
      <c r="AF338" t="s">
        <v>74</v>
      </c>
      <c r="AG338" t="s">
        <v>74</v>
      </c>
      <c r="AH338" t="s">
        <v>74</v>
      </c>
      <c r="AI338" t="s">
        <v>74</v>
      </c>
      <c r="AJ338" t="s">
        <v>74</v>
      </c>
      <c r="AK338" t="s">
        <v>74</v>
      </c>
      <c r="AL338" t="s">
        <v>74</v>
      </c>
      <c r="AM338" t="s">
        <v>74</v>
      </c>
      <c r="AN338" t="s">
        <v>74</v>
      </c>
      <c r="AO338" t="s">
        <v>767</v>
      </c>
      <c r="AP338" t="s">
        <v>768</v>
      </c>
      <c r="AQ338" t="s">
        <v>74</v>
      </c>
      <c r="AR338" t="s">
        <v>74</v>
      </c>
      <c r="AS338" t="s">
        <v>74</v>
      </c>
      <c r="AT338" t="s">
        <v>932</v>
      </c>
      <c r="AU338">
        <v>2017</v>
      </c>
      <c r="AV338">
        <v>220</v>
      </c>
      <c r="AW338">
        <v>12</v>
      </c>
      <c r="AX338" t="s">
        <v>74</v>
      </c>
      <c r="AY338" t="s">
        <v>74</v>
      </c>
      <c r="AZ338" t="s">
        <v>74</v>
      </c>
      <c r="BA338" t="s">
        <v>74</v>
      </c>
      <c r="BB338">
        <v>2154</v>
      </c>
      <c r="BC338">
        <v>2158</v>
      </c>
      <c r="BD338" t="s">
        <v>74</v>
      </c>
      <c r="BE338" t="s">
        <v>933</v>
      </c>
      <c r="BF338" t="str">
        <f>HYPERLINK("http://dx.doi.org/10.1242/jeb.150458","http://dx.doi.org/10.1242/jeb.150458")</f>
        <v>http://dx.doi.org/10.1242/jeb.150458</v>
      </c>
      <c r="BG338" t="s">
        <v>74</v>
      </c>
      <c r="BH338" t="s">
        <v>74</v>
      </c>
      <c r="BI338" t="s">
        <v>74</v>
      </c>
      <c r="BJ338" t="s">
        <v>74</v>
      </c>
      <c r="BK338" t="s">
        <v>74</v>
      </c>
      <c r="BL338" t="s">
        <v>74</v>
      </c>
      <c r="BM338" t="s">
        <v>74</v>
      </c>
      <c r="BN338">
        <v>28385798</v>
      </c>
      <c r="BO338" t="s">
        <v>74</v>
      </c>
      <c r="BP338" t="s">
        <v>74</v>
      </c>
      <c r="BQ338" t="s">
        <v>74</v>
      </c>
      <c r="BR338" t="s">
        <v>74</v>
      </c>
      <c r="BS338" t="s">
        <v>934</v>
      </c>
      <c r="BT338" t="str">
        <f>HYPERLINK("https%3A%2F%2Fwww.webofscience.com%2Fwos%2Fwoscc%2Ffull-record%2FWOS:000403337600009","View Full Record in Web of Science")</f>
        <v>View Full Record in Web of Science</v>
      </c>
    </row>
    <row r="339" spans="1:72" x14ac:dyDescent="0.4">
      <c r="A339" t="s">
        <v>72</v>
      </c>
      <c r="B339" t="s">
        <v>5211</v>
      </c>
      <c r="C339" t="s">
        <v>74</v>
      </c>
      <c r="D339" t="s">
        <v>74</v>
      </c>
      <c r="E339" t="s">
        <v>74</v>
      </c>
      <c r="F339" t="s">
        <v>5212</v>
      </c>
      <c r="G339" t="s">
        <v>74</v>
      </c>
      <c r="H339" t="s">
        <v>74</v>
      </c>
      <c r="I339" t="s">
        <v>5213</v>
      </c>
      <c r="J339" t="s">
        <v>431</v>
      </c>
      <c r="K339" t="s">
        <v>74</v>
      </c>
      <c r="L339" t="s">
        <v>74</v>
      </c>
      <c r="M339" t="s">
        <v>74</v>
      </c>
      <c r="N339" t="s">
        <v>74</v>
      </c>
      <c r="O339" t="s">
        <v>74</v>
      </c>
      <c r="P339" t="s">
        <v>74</v>
      </c>
      <c r="Q339" t="s">
        <v>74</v>
      </c>
      <c r="R339" t="s">
        <v>74</v>
      </c>
      <c r="S339" t="s">
        <v>74</v>
      </c>
      <c r="T339" t="s">
        <v>74</v>
      </c>
      <c r="U339" t="s">
        <v>74</v>
      </c>
      <c r="V339" s="3" t="s">
        <v>5214</v>
      </c>
      <c r="W339" t="s">
        <v>74</v>
      </c>
      <c r="X339" t="s">
        <v>74</v>
      </c>
      <c r="Y339" t="s">
        <v>74</v>
      </c>
      <c r="Z339" t="s">
        <v>74</v>
      </c>
      <c r="AA339" t="s">
        <v>5215</v>
      </c>
      <c r="AB339" t="s">
        <v>5216</v>
      </c>
      <c r="AC339" t="s">
        <v>74</v>
      </c>
      <c r="AD339" t="s">
        <v>74</v>
      </c>
      <c r="AE339" t="s">
        <v>74</v>
      </c>
      <c r="AF339" t="s">
        <v>74</v>
      </c>
      <c r="AG339" t="s">
        <v>74</v>
      </c>
      <c r="AH339" t="s">
        <v>74</v>
      </c>
      <c r="AI339" t="s">
        <v>74</v>
      </c>
      <c r="AJ339" t="s">
        <v>74</v>
      </c>
      <c r="AK339" t="s">
        <v>74</v>
      </c>
      <c r="AL339" t="s">
        <v>74</v>
      </c>
      <c r="AM339" t="s">
        <v>74</v>
      </c>
      <c r="AN339" t="s">
        <v>74</v>
      </c>
      <c r="AO339" t="s">
        <v>1458</v>
      </c>
      <c r="AP339" t="s">
        <v>435</v>
      </c>
      <c r="AQ339" t="s">
        <v>74</v>
      </c>
      <c r="AR339" t="s">
        <v>74</v>
      </c>
      <c r="AS339" t="s">
        <v>74</v>
      </c>
      <c r="AT339" t="s">
        <v>633</v>
      </c>
      <c r="AU339">
        <v>2009</v>
      </c>
      <c r="AV339">
        <v>126</v>
      </c>
      <c r="AW339">
        <v>2</v>
      </c>
      <c r="AX339" t="s">
        <v>74</v>
      </c>
      <c r="AY339" t="s">
        <v>74</v>
      </c>
      <c r="AZ339" t="s">
        <v>74</v>
      </c>
      <c r="BA339" t="s">
        <v>74</v>
      </c>
      <c r="BB339">
        <v>351</v>
      </c>
      <c r="BC339">
        <v>358</v>
      </c>
      <c r="BD339" t="s">
        <v>74</v>
      </c>
      <c r="BE339" t="s">
        <v>5217</v>
      </c>
      <c r="BF339" t="str">
        <f>HYPERLINK("http://dx.doi.org/10.1525/auk.2009.08086","http://dx.doi.org/10.1525/auk.2009.08086")</f>
        <v>http://dx.doi.org/10.1525/auk.2009.08086</v>
      </c>
      <c r="BG339" t="s">
        <v>74</v>
      </c>
      <c r="BH339" t="s">
        <v>74</v>
      </c>
      <c r="BI339" t="s">
        <v>74</v>
      </c>
      <c r="BJ339" t="s">
        <v>74</v>
      </c>
      <c r="BK339" t="s">
        <v>74</v>
      </c>
      <c r="BL339" t="s">
        <v>74</v>
      </c>
      <c r="BM339" t="s">
        <v>74</v>
      </c>
      <c r="BN339" t="s">
        <v>74</v>
      </c>
      <c r="BO339" t="s">
        <v>74</v>
      </c>
      <c r="BP339" t="s">
        <v>74</v>
      </c>
      <c r="BQ339" t="s">
        <v>74</v>
      </c>
      <c r="BR339" t="s">
        <v>74</v>
      </c>
      <c r="BS339" t="s">
        <v>5218</v>
      </c>
      <c r="BT339" t="str">
        <f>HYPERLINK("https%3A%2F%2Fwww.webofscience.com%2Fwos%2Fwoscc%2Ffull-record%2FWOS:000265754300013","View Full Record in Web of Science")</f>
        <v>View Full Record in Web of Science</v>
      </c>
    </row>
    <row r="340" spans="1:72" x14ac:dyDescent="0.4">
      <c r="A340" t="s">
        <v>72</v>
      </c>
      <c r="B340" t="s">
        <v>5337</v>
      </c>
      <c r="C340" t="s">
        <v>74</v>
      </c>
      <c r="D340" t="s">
        <v>74</v>
      </c>
      <c r="E340" t="s">
        <v>74</v>
      </c>
      <c r="F340" t="s">
        <v>5337</v>
      </c>
      <c r="G340" t="s">
        <v>74</v>
      </c>
      <c r="H340" t="s">
        <v>74</v>
      </c>
      <c r="I340" t="s">
        <v>5338</v>
      </c>
      <c r="J340" t="s">
        <v>129</v>
      </c>
      <c r="K340" t="s">
        <v>74</v>
      </c>
      <c r="L340" t="s">
        <v>74</v>
      </c>
      <c r="M340" t="s">
        <v>74</v>
      </c>
      <c r="N340" t="s">
        <v>74</v>
      </c>
      <c r="O340" t="s">
        <v>74</v>
      </c>
      <c r="P340" t="s">
        <v>74</v>
      </c>
      <c r="Q340" t="s">
        <v>74</v>
      </c>
      <c r="R340" t="s">
        <v>74</v>
      </c>
      <c r="S340" t="s">
        <v>74</v>
      </c>
      <c r="T340" t="s">
        <v>74</v>
      </c>
      <c r="U340" t="s">
        <v>74</v>
      </c>
      <c r="V340" s="3" t="s">
        <v>5339</v>
      </c>
      <c r="W340" t="s">
        <v>74</v>
      </c>
      <c r="X340" t="s">
        <v>74</v>
      </c>
      <c r="Y340" t="s">
        <v>74</v>
      </c>
      <c r="Z340" t="s">
        <v>74</v>
      </c>
      <c r="AA340" t="s">
        <v>74</v>
      </c>
      <c r="AB340" t="s">
        <v>74</v>
      </c>
      <c r="AC340" t="s">
        <v>74</v>
      </c>
      <c r="AD340" t="s">
        <v>74</v>
      </c>
      <c r="AE340" t="s">
        <v>74</v>
      </c>
      <c r="AF340" t="s">
        <v>74</v>
      </c>
      <c r="AG340" t="s">
        <v>74</v>
      </c>
      <c r="AH340" t="s">
        <v>74</v>
      </c>
      <c r="AI340" t="s">
        <v>74</v>
      </c>
      <c r="AJ340" t="s">
        <v>74</v>
      </c>
      <c r="AK340" t="s">
        <v>74</v>
      </c>
      <c r="AL340" t="s">
        <v>74</v>
      </c>
      <c r="AM340" t="s">
        <v>74</v>
      </c>
      <c r="AN340" t="s">
        <v>74</v>
      </c>
      <c r="AO340" t="s">
        <v>132</v>
      </c>
      <c r="AP340" t="s">
        <v>133</v>
      </c>
      <c r="AQ340" t="s">
        <v>74</v>
      </c>
      <c r="AR340" t="s">
        <v>74</v>
      </c>
      <c r="AS340" t="s">
        <v>74</v>
      </c>
      <c r="AT340" t="s">
        <v>74</v>
      </c>
      <c r="AU340">
        <v>1989</v>
      </c>
      <c r="AV340">
        <v>25</v>
      </c>
      <c r="AW340">
        <v>1</v>
      </c>
      <c r="AX340" t="s">
        <v>74</v>
      </c>
      <c r="AY340" t="s">
        <v>74</v>
      </c>
      <c r="AZ340" t="s">
        <v>74</v>
      </c>
      <c r="BA340" t="s">
        <v>74</v>
      </c>
      <c r="BB340">
        <v>49</v>
      </c>
      <c r="BC340">
        <v>56</v>
      </c>
      <c r="BD340" t="s">
        <v>74</v>
      </c>
      <c r="BE340" t="s">
        <v>5340</v>
      </c>
      <c r="BF340" t="str">
        <f>HYPERLINK("http://dx.doi.org/10.1007/BF00299710","http://dx.doi.org/10.1007/BF00299710")</f>
        <v>http://dx.doi.org/10.1007/BF00299710</v>
      </c>
      <c r="BG340" t="s">
        <v>74</v>
      </c>
      <c r="BH340" t="s">
        <v>74</v>
      </c>
      <c r="BI340" t="s">
        <v>74</v>
      </c>
      <c r="BJ340" t="s">
        <v>74</v>
      </c>
      <c r="BK340" t="s">
        <v>74</v>
      </c>
      <c r="BL340" t="s">
        <v>74</v>
      </c>
      <c r="BM340" t="s">
        <v>74</v>
      </c>
      <c r="BN340" t="s">
        <v>74</v>
      </c>
      <c r="BO340" t="s">
        <v>74</v>
      </c>
      <c r="BP340" t="s">
        <v>74</v>
      </c>
      <c r="BQ340" t="s">
        <v>74</v>
      </c>
      <c r="BR340" t="s">
        <v>74</v>
      </c>
      <c r="BS340" t="s">
        <v>5341</v>
      </c>
      <c r="BT340" t="str">
        <f>HYPERLINK("https%3A%2F%2Fwww.webofscience.com%2Fwos%2Fwoscc%2Ffull-record%2FWOS:A1989AJ00400006","View Full Record in Web of Science")</f>
        <v>View Full Record in Web of Science</v>
      </c>
    </row>
    <row r="341" spans="1:72" x14ac:dyDescent="0.4">
      <c r="A341" t="s">
        <v>72</v>
      </c>
      <c r="B341" t="s">
        <v>5337</v>
      </c>
      <c r="C341" t="s">
        <v>74</v>
      </c>
      <c r="D341" t="s">
        <v>74</v>
      </c>
      <c r="E341" t="s">
        <v>74</v>
      </c>
      <c r="F341" t="s">
        <v>5337</v>
      </c>
      <c r="G341" t="s">
        <v>74</v>
      </c>
      <c r="H341" t="s">
        <v>74</v>
      </c>
      <c r="I341" t="s">
        <v>7139</v>
      </c>
      <c r="J341" t="s">
        <v>171</v>
      </c>
      <c r="K341" t="s">
        <v>74</v>
      </c>
      <c r="L341" t="s">
        <v>74</v>
      </c>
      <c r="M341" t="s">
        <v>74</v>
      </c>
      <c r="N341" t="s">
        <v>74</v>
      </c>
      <c r="O341" t="s">
        <v>74</v>
      </c>
      <c r="P341" t="s">
        <v>74</v>
      </c>
      <c r="Q341" t="s">
        <v>74</v>
      </c>
      <c r="R341" t="s">
        <v>74</v>
      </c>
      <c r="S341" t="s">
        <v>74</v>
      </c>
      <c r="T341" t="s">
        <v>74</v>
      </c>
      <c r="U341" t="s">
        <v>74</v>
      </c>
      <c r="V341" s="3" t="s">
        <v>7140</v>
      </c>
      <c r="W341" t="s">
        <v>74</v>
      </c>
      <c r="X341" t="s">
        <v>74</v>
      </c>
      <c r="Y341" t="s">
        <v>74</v>
      </c>
      <c r="Z341" t="s">
        <v>74</v>
      </c>
      <c r="AA341" t="s">
        <v>74</v>
      </c>
      <c r="AB341" t="s">
        <v>74</v>
      </c>
      <c r="AC341" t="s">
        <v>74</v>
      </c>
      <c r="AD341" t="s">
        <v>74</v>
      </c>
      <c r="AE341" t="s">
        <v>74</v>
      </c>
      <c r="AF341" t="s">
        <v>74</v>
      </c>
      <c r="AG341" t="s">
        <v>74</v>
      </c>
      <c r="AH341" t="s">
        <v>74</v>
      </c>
      <c r="AI341" t="s">
        <v>74</v>
      </c>
      <c r="AJ341" t="s">
        <v>74</v>
      </c>
      <c r="AK341" t="s">
        <v>74</v>
      </c>
      <c r="AL341" t="s">
        <v>74</v>
      </c>
      <c r="AM341" t="s">
        <v>74</v>
      </c>
      <c r="AN341" t="s">
        <v>74</v>
      </c>
      <c r="AO341" t="s">
        <v>173</v>
      </c>
      <c r="AP341" t="s">
        <v>174</v>
      </c>
      <c r="AQ341" t="s">
        <v>74</v>
      </c>
      <c r="AR341" t="s">
        <v>74</v>
      </c>
      <c r="AS341" t="s">
        <v>74</v>
      </c>
      <c r="AT341" t="s">
        <v>74</v>
      </c>
      <c r="AU341">
        <v>1984</v>
      </c>
      <c r="AV341">
        <v>38</v>
      </c>
      <c r="AW341">
        <v>2</v>
      </c>
      <c r="AX341" t="s">
        <v>74</v>
      </c>
      <c r="AY341" t="s">
        <v>74</v>
      </c>
      <c r="AZ341" t="s">
        <v>74</v>
      </c>
      <c r="BA341" t="s">
        <v>74</v>
      </c>
      <c r="BB341">
        <v>267</v>
      </c>
      <c r="BC341">
        <v>279</v>
      </c>
      <c r="BD341" t="s">
        <v>74</v>
      </c>
      <c r="BE341" t="s">
        <v>7141</v>
      </c>
      <c r="BF341" t="str">
        <f>HYPERLINK("http://dx.doi.org/10.2307/2408486","http://dx.doi.org/10.2307/2408486")</f>
        <v>http://dx.doi.org/10.2307/2408486</v>
      </c>
      <c r="BG341" t="s">
        <v>74</v>
      </c>
      <c r="BH341" t="s">
        <v>74</v>
      </c>
      <c r="BI341" t="s">
        <v>74</v>
      </c>
      <c r="BJ341" t="s">
        <v>74</v>
      </c>
      <c r="BK341" t="s">
        <v>74</v>
      </c>
      <c r="BL341" t="s">
        <v>74</v>
      </c>
      <c r="BM341" t="s">
        <v>74</v>
      </c>
      <c r="BN341">
        <v>28555921</v>
      </c>
      <c r="BO341" t="s">
        <v>74</v>
      </c>
      <c r="BP341" t="s">
        <v>74</v>
      </c>
      <c r="BQ341" t="s">
        <v>74</v>
      </c>
      <c r="BR341" t="s">
        <v>74</v>
      </c>
      <c r="BS341" t="s">
        <v>7142</v>
      </c>
      <c r="BT341" t="str">
        <f>HYPERLINK("https%3A%2F%2Fwww.webofscience.com%2Fwos%2Fwoscc%2Ffull-record%2FWOS:A1984SL13500004","View Full Record in Web of Science")</f>
        <v>View Full Record in Web of Science</v>
      </c>
    </row>
    <row r="342" spans="1:72" x14ac:dyDescent="0.4">
      <c r="A342" t="s">
        <v>72</v>
      </c>
      <c r="B342" t="s">
        <v>1922</v>
      </c>
      <c r="C342" t="s">
        <v>74</v>
      </c>
      <c r="D342" t="s">
        <v>74</v>
      </c>
      <c r="E342" t="s">
        <v>74</v>
      </c>
      <c r="F342" t="s">
        <v>1923</v>
      </c>
      <c r="G342" t="s">
        <v>74</v>
      </c>
      <c r="H342" t="s">
        <v>74</v>
      </c>
      <c r="I342" t="s">
        <v>1924</v>
      </c>
      <c r="J342" t="s">
        <v>119</v>
      </c>
      <c r="K342" t="s">
        <v>74</v>
      </c>
      <c r="L342" t="s">
        <v>74</v>
      </c>
      <c r="M342" t="s">
        <v>74</v>
      </c>
      <c r="N342" t="s">
        <v>74</v>
      </c>
      <c r="O342" t="s">
        <v>74</v>
      </c>
      <c r="P342" t="s">
        <v>74</v>
      </c>
      <c r="Q342" t="s">
        <v>74</v>
      </c>
      <c r="R342" t="s">
        <v>74</v>
      </c>
      <c r="S342" t="s">
        <v>74</v>
      </c>
      <c r="T342" t="s">
        <v>74</v>
      </c>
      <c r="U342" t="s">
        <v>74</v>
      </c>
      <c r="V342" s="3" t="s">
        <v>1925</v>
      </c>
      <c r="W342" t="s">
        <v>74</v>
      </c>
      <c r="X342" t="s">
        <v>74</v>
      </c>
      <c r="Y342" t="s">
        <v>74</v>
      </c>
      <c r="Z342" t="s">
        <v>74</v>
      </c>
      <c r="AA342" t="s">
        <v>1926</v>
      </c>
      <c r="AB342" t="s">
        <v>1927</v>
      </c>
      <c r="AC342" t="s">
        <v>74</v>
      </c>
      <c r="AD342" t="s">
        <v>74</v>
      </c>
      <c r="AE342" t="s">
        <v>74</v>
      </c>
      <c r="AF342" t="s">
        <v>74</v>
      </c>
      <c r="AG342" t="s">
        <v>74</v>
      </c>
      <c r="AH342" t="s">
        <v>74</v>
      </c>
      <c r="AI342" t="s">
        <v>74</v>
      </c>
      <c r="AJ342" t="s">
        <v>74</v>
      </c>
      <c r="AK342" t="s">
        <v>74</v>
      </c>
      <c r="AL342" t="s">
        <v>74</v>
      </c>
      <c r="AM342" t="s">
        <v>74</v>
      </c>
      <c r="AN342" t="s">
        <v>74</v>
      </c>
      <c r="AO342" t="s">
        <v>121</v>
      </c>
      <c r="AP342" t="s">
        <v>122</v>
      </c>
      <c r="AQ342" t="s">
        <v>74</v>
      </c>
      <c r="AR342" t="s">
        <v>74</v>
      </c>
      <c r="AS342" t="s">
        <v>74</v>
      </c>
      <c r="AT342" t="s">
        <v>964</v>
      </c>
      <c r="AU342">
        <v>2018</v>
      </c>
      <c r="AV342">
        <v>147</v>
      </c>
      <c r="AW342" t="s">
        <v>74</v>
      </c>
      <c r="AX342" t="s">
        <v>74</v>
      </c>
      <c r="AY342" t="s">
        <v>74</v>
      </c>
      <c r="AZ342" t="s">
        <v>74</v>
      </c>
      <c r="BA342" t="s">
        <v>74</v>
      </c>
      <c r="BB342">
        <v>61</v>
      </c>
      <c r="BC342">
        <v>69</v>
      </c>
      <c r="BD342" t="s">
        <v>74</v>
      </c>
      <c r="BE342" t="s">
        <v>1928</v>
      </c>
      <c r="BF342" t="str">
        <f>HYPERLINK("http://dx.doi.org/10.1016/j.beproc.2017.12.015","http://dx.doi.org/10.1016/j.beproc.2017.12.015")</f>
        <v>http://dx.doi.org/10.1016/j.beproc.2017.12.015</v>
      </c>
      <c r="BG342" t="s">
        <v>74</v>
      </c>
      <c r="BH342" t="s">
        <v>74</v>
      </c>
      <c r="BI342" t="s">
        <v>74</v>
      </c>
      <c r="BJ342" t="s">
        <v>74</v>
      </c>
      <c r="BK342" t="s">
        <v>74</v>
      </c>
      <c r="BL342" t="s">
        <v>74</v>
      </c>
      <c r="BM342" t="s">
        <v>74</v>
      </c>
      <c r="BN342">
        <v>29273550</v>
      </c>
      <c r="BO342" t="s">
        <v>74</v>
      </c>
      <c r="BP342" t="s">
        <v>74</v>
      </c>
      <c r="BQ342" t="s">
        <v>74</v>
      </c>
      <c r="BR342" t="s">
        <v>74</v>
      </c>
      <c r="BS342" t="s">
        <v>1929</v>
      </c>
      <c r="BT342" t="str">
        <f>HYPERLINK("https%3A%2F%2Fwww.webofscience.com%2Fwos%2Fwoscc%2Ffull-record%2FWOS:000423645400009","View Full Record in Web of Science")</f>
        <v>View Full Record in Web of Science</v>
      </c>
    </row>
    <row r="343" spans="1:72" x14ac:dyDescent="0.4">
      <c r="A343" t="s">
        <v>72</v>
      </c>
      <c r="B343" t="s">
        <v>6394</v>
      </c>
      <c r="C343" t="s">
        <v>74</v>
      </c>
      <c r="D343" t="s">
        <v>74</v>
      </c>
      <c r="E343" t="s">
        <v>74</v>
      </c>
      <c r="F343" t="s">
        <v>6394</v>
      </c>
      <c r="G343" t="s">
        <v>74</v>
      </c>
      <c r="H343" t="s">
        <v>74</v>
      </c>
      <c r="I343" t="s">
        <v>6395</v>
      </c>
      <c r="J343" t="s">
        <v>691</v>
      </c>
      <c r="K343" t="s">
        <v>74</v>
      </c>
      <c r="L343" t="s">
        <v>74</v>
      </c>
      <c r="M343" t="s">
        <v>74</v>
      </c>
      <c r="N343" t="s">
        <v>74</v>
      </c>
      <c r="O343" t="s">
        <v>74</v>
      </c>
      <c r="P343" t="s">
        <v>74</v>
      </c>
      <c r="Q343" t="s">
        <v>74</v>
      </c>
      <c r="R343" t="s">
        <v>74</v>
      </c>
      <c r="S343" t="s">
        <v>74</v>
      </c>
      <c r="T343" t="s">
        <v>74</v>
      </c>
      <c r="U343" t="s">
        <v>74</v>
      </c>
      <c r="V343" s="3" t="s">
        <v>6396</v>
      </c>
      <c r="W343" t="s">
        <v>74</v>
      </c>
      <c r="X343" t="s">
        <v>74</v>
      </c>
      <c r="Y343" t="s">
        <v>74</v>
      </c>
      <c r="Z343" t="s">
        <v>74</v>
      </c>
      <c r="AA343" t="s">
        <v>74</v>
      </c>
      <c r="AB343" t="s">
        <v>74</v>
      </c>
      <c r="AC343" t="s">
        <v>74</v>
      </c>
      <c r="AD343" t="s">
        <v>74</v>
      </c>
      <c r="AE343" t="s">
        <v>74</v>
      </c>
      <c r="AF343" t="s">
        <v>74</v>
      </c>
      <c r="AG343" t="s">
        <v>74</v>
      </c>
      <c r="AH343" t="s">
        <v>74</v>
      </c>
      <c r="AI343" t="s">
        <v>74</v>
      </c>
      <c r="AJ343" t="s">
        <v>74</v>
      </c>
      <c r="AK343" t="s">
        <v>74</v>
      </c>
      <c r="AL343" t="s">
        <v>74</v>
      </c>
      <c r="AM343" t="s">
        <v>74</v>
      </c>
      <c r="AN343" t="s">
        <v>74</v>
      </c>
      <c r="AO343" t="s">
        <v>695</v>
      </c>
      <c r="AP343" t="s">
        <v>981</v>
      </c>
      <c r="AQ343" t="s">
        <v>74</v>
      </c>
      <c r="AR343" t="s">
        <v>74</v>
      </c>
      <c r="AS343" t="s">
        <v>74</v>
      </c>
      <c r="AT343" t="s">
        <v>74</v>
      </c>
      <c r="AU343">
        <v>1985</v>
      </c>
      <c r="AV343">
        <v>34</v>
      </c>
      <c r="AW343">
        <v>3</v>
      </c>
      <c r="AX343" t="s">
        <v>74</v>
      </c>
      <c r="AY343" t="s">
        <v>74</v>
      </c>
      <c r="AZ343" t="s">
        <v>74</v>
      </c>
      <c r="BA343" t="s">
        <v>74</v>
      </c>
      <c r="BB343">
        <v>341</v>
      </c>
      <c r="BC343">
        <v>348</v>
      </c>
      <c r="BD343" t="s">
        <v>74</v>
      </c>
      <c r="BE343" t="s">
        <v>6397</v>
      </c>
      <c r="BF343" t="str">
        <f>HYPERLINK("http://dx.doi.org/10.1016/0031-9384(85)90193-3","http://dx.doi.org/10.1016/0031-9384(85)90193-3")</f>
        <v>http://dx.doi.org/10.1016/0031-9384(85)90193-3</v>
      </c>
      <c r="BG343" t="s">
        <v>74</v>
      </c>
      <c r="BH343" t="s">
        <v>74</v>
      </c>
      <c r="BI343" t="s">
        <v>74</v>
      </c>
      <c r="BJ343" t="s">
        <v>74</v>
      </c>
      <c r="BK343" t="s">
        <v>74</v>
      </c>
      <c r="BL343" t="s">
        <v>74</v>
      </c>
      <c r="BM343" t="s">
        <v>74</v>
      </c>
      <c r="BN343">
        <v>4040250</v>
      </c>
      <c r="BO343" t="s">
        <v>74</v>
      </c>
      <c r="BP343" t="s">
        <v>74</v>
      </c>
      <c r="BQ343" t="s">
        <v>74</v>
      </c>
      <c r="BR343" t="s">
        <v>74</v>
      </c>
      <c r="BS343" t="s">
        <v>6398</v>
      </c>
      <c r="BT343" t="str">
        <f>HYPERLINK("https%3A%2F%2Fwww.webofscience.com%2Fwos%2Fwoscc%2Ffull-record%2FWOS:A1985AFN3500003","View Full Record in Web of Science")</f>
        <v>View Full Record in Web of Science</v>
      </c>
    </row>
    <row r="344" spans="1:72" x14ac:dyDescent="0.4">
      <c r="A344" t="s">
        <v>72</v>
      </c>
      <c r="B344" t="s">
        <v>1531</v>
      </c>
      <c r="C344" t="s">
        <v>74</v>
      </c>
      <c r="D344" t="s">
        <v>74</v>
      </c>
      <c r="E344" t="s">
        <v>74</v>
      </c>
      <c r="F344" t="s">
        <v>1531</v>
      </c>
      <c r="G344" t="s">
        <v>74</v>
      </c>
      <c r="H344" t="s">
        <v>74</v>
      </c>
      <c r="I344" t="s">
        <v>1532</v>
      </c>
      <c r="J344" t="s">
        <v>1533</v>
      </c>
      <c r="K344" t="s">
        <v>74</v>
      </c>
      <c r="L344" t="s">
        <v>74</v>
      </c>
      <c r="M344" t="s">
        <v>74</v>
      </c>
      <c r="N344" t="s">
        <v>74</v>
      </c>
      <c r="O344" t="s">
        <v>74</v>
      </c>
      <c r="P344" t="s">
        <v>74</v>
      </c>
      <c r="Q344" t="s">
        <v>74</v>
      </c>
      <c r="R344" t="s">
        <v>74</v>
      </c>
      <c r="S344" t="s">
        <v>74</v>
      </c>
      <c r="T344" t="s">
        <v>74</v>
      </c>
      <c r="U344" t="s">
        <v>74</v>
      </c>
      <c r="V344" s="3" t="s">
        <v>1534</v>
      </c>
      <c r="W344" t="s">
        <v>74</v>
      </c>
      <c r="X344" t="s">
        <v>74</v>
      </c>
      <c r="Y344" t="s">
        <v>74</v>
      </c>
      <c r="Z344" t="s">
        <v>74</v>
      </c>
      <c r="AA344" t="s">
        <v>74</v>
      </c>
      <c r="AB344" t="s">
        <v>74</v>
      </c>
      <c r="AC344" t="s">
        <v>74</v>
      </c>
      <c r="AD344" t="s">
        <v>74</v>
      </c>
      <c r="AE344" t="s">
        <v>74</v>
      </c>
      <c r="AF344" t="s">
        <v>74</v>
      </c>
      <c r="AG344" t="s">
        <v>74</v>
      </c>
      <c r="AH344" t="s">
        <v>74</v>
      </c>
      <c r="AI344" t="s">
        <v>74</v>
      </c>
      <c r="AJ344" t="s">
        <v>74</v>
      </c>
      <c r="AK344" t="s">
        <v>74</v>
      </c>
      <c r="AL344" t="s">
        <v>74</v>
      </c>
      <c r="AM344" t="s">
        <v>74</v>
      </c>
      <c r="AN344" t="s">
        <v>74</v>
      </c>
      <c r="AO344" t="s">
        <v>1535</v>
      </c>
      <c r="AP344" t="s">
        <v>1536</v>
      </c>
      <c r="AQ344" t="s">
        <v>74</v>
      </c>
      <c r="AR344" t="s">
        <v>74</v>
      </c>
      <c r="AS344" t="s">
        <v>74</v>
      </c>
      <c r="AT344" t="s">
        <v>74</v>
      </c>
      <c r="AU344">
        <v>1977</v>
      </c>
      <c r="AV344">
        <v>27</v>
      </c>
      <c r="AW344">
        <v>1</v>
      </c>
      <c r="AX344" t="s">
        <v>74</v>
      </c>
      <c r="AY344" t="s">
        <v>74</v>
      </c>
      <c r="AZ344" t="s">
        <v>74</v>
      </c>
      <c r="BA344" t="s">
        <v>74</v>
      </c>
      <c r="BB344">
        <v>5</v>
      </c>
      <c r="BC344">
        <v>15</v>
      </c>
      <c r="BD344" t="s">
        <v>74</v>
      </c>
      <c r="BE344" t="s">
        <v>1537</v>
      </c>
      <c r="BF344" t="str">
        <f>HYPERLINK("http://dx.doi.org/10.1901/jeab.1977.27-5","http://dx.doi.org/10.1901/jeab.1977.27-5")</f>
        <v>http://dx.doi.org/10.1901/jeab.1977.27-5</v>
      </c>
      <c r="BG344" t="s">
        <v>74</v>
      </c>
      <c r="BH344" t="s">
        <v>74</v>
      </c>
      <c r="BI344" t="s">
        <v>74</v>
      </c>
      <c r="BJ344" t="s">
        <v>74</v>
      </c>
      <c r="BK344" t="s">
        <v>74</v>
      </c>
      <c r="BL344" t="s">
        <v>74</v>
      </c>
      <c r="BM344" t="s">
        <v>74</v>
      </c>
      <c r="BN344">
        <v>556755</v>
      </c>
      <c r="BO344" t="s">
        <v>74</v>
      </c>
      <c r="BP344" t="s">
        <v>74</v>
      </c>
      <c r="BQ344" t="s">
        <v>74</v>
      </c>
      <c r="BR344" t="s">
        <v>74</v>
      </c>
      <c r="BS344" t="s">
        <v>1538</v>
      </c>
      <c r="BT344" t="str">
        <f>HYPERLINK("https%3A%2F%2Fwww.webofscience.com%2Fwos%2Fwoscc%2Ffull-record%2FWOS:A1977CV62300001","View Full Record in Web of Science")</f>
        <v>View Full Record in Web of Science</v>
      </c>
    </row>
    <row r="345" spans="1:72" x14ac:dyDescent="0.4">
      <c r="A345" t="s">
        <v>72</v>
      </c>
      <c r="B345" t="s">
        <v>1875</v>
      </c>
      <c r="C345" t="s">
        <v>74</v>
      </c>
      <c r="D345" t="s">
        <v>74</v>
      </c>
      <c r="E345" t="s">
        <v>74</v>
      </c>
      <c r="F345" t="s">
        <v>1876</v>
      </c>
      <c r="G345" t="s">
        <v>74</v>
      </c>
      <c r="H345" t="s">
        <v>74</v>
      </c>
      <c r="I345" t="s">
        <v>1877</v>
      </c>
      <c r="J345" t="s">
        <v>1878</v>
      </c>
      <c r="K345" t="s">
        <v>74</v>
      </c>
      <c r="L345" t="s">
        <v>74</v>
      </c>
      <c r="M345" t="s">
        <v>74</v>
      </c>
      <c r="N345" t="s">
        <v>74</v>
      </c>
      <c r="O345" t="s">
        <v>74</v>
      </c>
      <c r="P345" t="s">
        <v>74</v>
      </c>
      <c r="Q345" t="s">
        <v>74</v>
      </c>
      <c r="R345" t="s">
        <v>74</v>
      </c>
      <c r="S345" t="s">
        <v>74</v>
      </c>
      <c r="T345" t="s">
        <v>74</v>
      </c>
      <c r="U345" t="s">
        <v>74</v>
      </c>
      <c r="V345" s="3" t="s">
        <v>1879</v>
      </c>
      <c r="W345" t="s">
        <v>74</v>
      </c>
      <c r="X345" t="s">
        <v>74</v>
      </c>
      <c r="Y345" t="s">
        <v>74</v>
      </c>
      <c r="Z345" t="s">
        <v>74</v>
      </c>
      <c r="AA345" t="s">
        <v>1880</v>
      </c>
      <c r="AB345" t="s">
        <v>1881</v>
      </c>
      <c r="AC345" t="s">
        <v>74</v>
      </c>
      <c r="AD345" t="s">
        <v>74</v>
      </c>
      <c r="AE345" t="s">
        <v>74</v>
      </c>
      <c r="AF345" t="s">
        <v>74</v>
      </c>
      <c r="AG345" t="s">
        <v>74</v>
      </c>
      <c r="AH345" t="s">
        <v>74</v>
      </c>
      <c r="AI345" t="s">
        <v>74</v>
      </c>
      <c r="AJ345" t="s">
        <v>74</v>
      </c>
      <c r="AK345" t="s">
        <v>74</v>
      </c>
      <c r="AL345" t="s">
        <v>74</v>
      </c>
      <c r="AM345" t="s">
        <v>74</v>
      </c>
      <c r="AN345" t="s">
        <v>74</v>
      </c>
      <c r="AO345" t="s">
        <v>1882</v>
      </c>
      <c r="AP345" t="s">
        <v>1883</v>
      </c>
      <c r="AQ345" t="s">
        <v>74</v>
      </c>
      <c r="AR345" t="s">
        <v>74</v>
      </c>
      <c r="AS345" t="s">
        <v>74</v>
      </c>
      <c r="AT345" t="s">
        <v>964</v>
      </c>
      <c r="AU345">
        <v>2016</v>
      </c>
      <c r="AV345">
        <v>141</v>
      </c>
      <c r="AW345" t="s">
        <v>74</v>
      </c>
      <c r="AX345" t="s">
        <v>74</v>
      </c>
      <c r="AY345" t="s">
        <v>74</v>
      </c>
      <c r="AZ345" t="s">
        <v>74</v>
      </c>
      <c r="BA345" t="s">
        <v>74</v>
      </c>
      <c r="BB345">
        <v>18</v>
      </c>
      <c r="BC345">
        <v>27</v>
      </c>
      <c r="BD345" t="s">
        <v>74</v>
      </c>
      <c r="BE345" t="s">
        <v>1884</v>
      </c>
      <c r="BF345" t="str">
        <f>HYPERLINK("http://dx.doi.org/10.1016/j.pbb.2015.11.011","http://dx.doi.org/10.1016/j.pbb.2015.11.011")</f>
        <v>http://dx.doi.org/10.1016/j.pbb.2015.11.011</v>
      </c>
      <c r="BG345" t="s">
        <v>74</v>
      </c>
      <c r="BH345" t="s">
        <v>74</v>
      </c>
      <c r="BI345" t="s">
        <v>74</v>
      </c>
      <c r="BJ345" t="s">
        <v>74</v>
      </c>
      <c r="BK345" t="s">
        <v>74</v>
      </c>
      <c r="BL345" t="s">
        <v>74</v>
      </c>
      <c r="BM345" t="s">
        <v>74</v>
      </c>
      <c r="BN345">
        <v>26631619</v>
      </c>
      <c r="BO345" t="s">
        <v>74</v>
      </c>
      <c r="BP345" t="s">
        <v>74</v>
      </c>
      <c r="BQ345" t="s">
        <v>74</v>
      </c>
      <c r="BR345" t="s">
        <v>74</v>
      </c>
      <c r="BS345" t="s">
        <v>1885</v>
      </c>
      <c r="BT345" t="str">
        <f>HYPERLINK("https%3A%2F%2Fwww.webofscience.com%2Fwos%2Fwoscc%2Ffull-record%2FWOS:000369466100003","View Full Record in Web of Science")</f>
        <v>View Full Record in Web of Science</v>
      </c>
    </row>
    <row r="346" spans="1:72" x14ac:dyDescent="0.4">
      <c r="A346" t="s">
        <v>72</v>
      </c>
      <c r="B346" t="s">
        <v>6715</v>
      </c>
      <c r="C346" t="s">
        <v>74</v>
      </c>
      <c r="D346" t="s">
        <v>74</v>
      </c>
      <c r="E346" t="s">
        <v>74</v>
      </c>
      <c r="F346" t="s">
        <v>6715</v>
      </c>
      <c r="G346" t="s">
        <v>74</v>
      </c>
      <c r="H346" t="s">
        <v>74</v>
      </c>
      <c r="I346" t="s">
        <v>6716</v>
      </c>
      <c r="J346" t="s">
        <v>2087</v>
      </c>
      <c r="K346" t="s">
        <v>74</v>
      </c>
      <c r="L346" t="s">
        <v>74</v>
      </c>
      <c r="M346" t="s">
        <v>74</v>
      </c>
      <c r="N346" t="s">
        <v>74</v>
      </c>
      <c r="O346" t="s">
        <v>74</v>
      </c>
      <c r="P346" t="s">
        <v>74</v>
      </c>
      <c r="Q346" t="s">
        <v>74</v>
      </c>
      <c r="R346" t="s">
        <v>74</v>
      </c>
      <c r="S346" t="s">
        <v>74</v>
      </c>
      <c r="T346" t="s">
        <v>74</v>
      </c>
      <c r="U346" t="s">
        <v>74</v>
      </c>
      <c r="V346" s="3" t="s">
        <v>6717</v>
      </c>
      <c r="W346" t="s">
        <v>74</v>
      </c>
      <c r="X346" t="s">
        <v>74</v>
      </c>
      <c r="Y346" t="s">
        <v>74</v>
      </c>
      <c r="Z346" t="s">
        <v>74</v>
      </c>
      <c r="AA346" t="s">
        <v>6718</v>
      </c>
      <c r="AB346" t="s">
        <v>6719</v>
      </c>
      <c r="AC346" t="s">
        <v>74</v>
      </c>
      <c r="AD346" t="s">
        <v>74</v>
      </c>
      <c r="AE346" t="s">
        <v>74</v>
      </c>
      <c r="AF346" t="s">
        <v>74</v>
      </c>
      <c r="AG346" t="s">
        <v>74</v>
      </c>
      <c r="AH346" t="s">
        <v>74</v>
      </c>
      <c r="AI346" t="s">
        <v>74</v>
      </c>
      <c r="AJ346" t="s">
        <v>74</v>
      </c>
      <c r="AK346" t="s">
        <v>74</v>
      </c>
      <c r="AL346" t="s">
        <v>74</v>
      </c>
      <c r="AM346" t="s">
        <v>74</v>
      </c>
      <c r="AN346" t="s">
        <v>74</v>
      </c>
      <c r="AO346" t="s">
        <v>2089</v>
      </c>
      <c r="AP346" t="s">
        <v>6720</v>
      </c>
      <c r="AQ346" t="s">
        <v>74</v>
      </c>
      <c r="AR346" t="s">
        <v>74</v>
      </c>
      <c r="AS346" t="s">
        <v>74</v>
      </c>
      <c r="AT346" t="s">
        <v>74</v>
      </c>
      <c r="AU346">
        <v>1995</v>
      </c>
      <c r="AV346">
        <v>2</v>
      </c>
      <c r="AW346">
        <v>1</v>
      </c>
      <c r="AX346" t="s">
        <v>74</v>
      </c>
      <c r="AY346" t="s">
        <v>74</v>
      </c>
      <c r="AZ346" t="s">
        <v>74</v>
      </c>
      <c r="BA346" t="s">
        <v>74</v>
      </c>
      <c r="BB346">
        <v>28</v>
      </c>
      <c r="BC346">
        <v>33</v>
      </c>
      <c r="BD346" t="s">
        <v>74</v>
      </c>
      <c r="BE346" t="s">
        <v>6721</v>
      </c>
      <c r="BF346" t="str">
        <f>HYPERLINK("http://dx.doi.org/10.1080/11956860.1995.11682265","http://dx.doi.org/10.1080/11956860.1995.11682265")</f>
        <v>http://dx.doi.org/10.1080/11956860.1995.11682265</v>
      </c>
      <c r="BG346" t="s">
        <v>74</v>
      </c>
      <c r="BH346" t="s">
        <v>74</v>
      </c>
      <c r="BI346" t="s">
        <v>74</v>
      </c>
      <c r="BJ346" t="s">
        <v>74</v>
      </c>
      <c r="BK346" t="s">
        <v>74</v>
      </c>
      <c r="BL346" t="s">
        <v>74</v>
      </c>
      <c r="BM346" t="s">
        <v>74</v>
      </c>
      <c r="BN346" t="s">
        <v>74</v>
      </c>
      <c r="BO346" t="s">
        <v>74</v>
      </c>
      <c r="BP346" t="s">
        <v>74</v>
      </c>
      <c r="BQ346" t="s">
        <v>74</v>
      </c>
      <c r="BR346" t="s">
        <v>74</v>
      </c>
      <c r="BS346" t="s">
        <v>6722</v>
      </c>
      <c r="BT346" t="str">
        <f>HYPERLINK("https%3A%2F%2Fwww.webofscience.com%2Fwos%2Fwoscc%2Ffull-record%2FWOS:A1995TF50700003","View Full Record in Web of Science")</f>
        <v>View Full Record in Web of Science</v>
      </c>
    </row>
    <row r="347" spans="1:72" x14ac:dyDescent="0.4">
      <c r="A347" t="s">
        <v>72</v>
      </c>
      <c r="B347" t="s">
        <v>8379</v>
      </c>
      <c r="C347" t="s">
        <v>74</v>
      </c>
      <c r="D347" t="s">
        <v>74</v>
      </c>
      <c r="E347" t="s">
        <v>74</v>
      </c>
      <c r="F347" t="s">
        <v>8380</v>
      </c>
      <c r="G347" t="s">
        <v>74</v>
      </c>
      <c r="H347" t="s">
        <v>74</v>
      </c>
      <c r="I347" t="s">
        <v>8381</v>
      </c>
      <c r="J347" t="s">
        <v>8382</v>
      </c>
      <c r="K347" t="s">
        <v>74</v>
      </c>
      <c r="L347" t="s">
        <v>74</v>
      </c>
      <c r="M347" t="s">
        <v>74</v>
      </c>
      <c r="N347" t="s">
        <v>74</v>
      </c>
      <c r="O347" t="s">
        <v>74</v>
      </c>
      <c r="P347" t="s">
        <v>74</v>
      </c>
      <c r="Q347" t="s">
        <v>74</v>
      </c>
      <c r="R347" t="s">
        <v>74</v>
      </c>
      <c r="S347" t="s">
        <v>74</v>
      </c>
      <c r="T347" t="s">
        <v>74</v>
      </c>
      <c r="U347" t="s">
        <v>74</v>
      </c>
      <c r="V347" s="3" t="s">
        <v>8383</v>
      </c>
      <c r="W347" t="s">
        <v>74</v>
      </c>
      <c r="X347" t="s">
        <v>74</v>
      </c>
      <c r="Y347" t="s">
        <v>74</v>
      </c>
      <c r="Z347" t="s">
        <v>74</v>
      </c>
      <c r="AA347" t="s">
        <v>8384</v>
      </c>
      <c r="AB347" t="s">
        <v>8385</v>
      </c>
      <c r="AC347" t="s">
        <v>74</v>
      </c>
      <c r="AD347" t="s">
        <v>74</v>
      </c>
      <c r="AE347" t="s">
        <v>74</v>
      </c>
      <c r="AF347" t="s">
        <v>74</v>
      </c>
      <c r="AG347" t="s">
        <v>74</v>
      </c>
      <c r="AH347" t="s">
        <v>74</v>
      </c>
      <c r="AI347" t="s">
        <v>74</v>
      </c>
      <c r="AJ347" t="s">
        <v>74</v>
      </c>
      <c r="AK347" t="s">
        <v>74</v>
      </c>
      <c r="AL347" t="s">
        <v>74</v>
      </c>
      <c r="AM347" t="s">
        <v>74</v>
      </c>
      <c r="AN347" t="s">
        <v>74</v>
      </c>
      <c r="AO347" t="s">
        <v>8386</v>
      </c>
      <c r="AP347" t="s">
        <v>8387</v>
      </c>
      <c r="AQ347" t="s">
        <v>74</v>
      </c>
      <c r="AR347" t="s">
        <v>74</v>
      </c>
      <c r="AS347" t="s">
        <v>74</v>
      </c>
      <c r="AT347" t="s">
        <v>352</v>
      </c>
      <c r="AU347">
        <v>2021</v>
      </c>
      <c r="AV347">
        <v>35</v>
      </c>
      <c r="AW347">
        <v>3</v>
      </c>
      <c r="AX347" t="s">
        <v>74</v>
      </c>
      <c r="AY347" t="s">
        <v>74</v>
      </c>
      <c r="AZ347" t="s">
        <v>74</v>
      </c>
      <c r="BA347" t="s">
        <v>74</v>
      </c>
      <c r="BB347">
        <v>313</v>
      </c>
      <c r="BC347">
        <v>324</v>
      </c>
      <c r="BD347" t="s">
        <v>74</v>
      </c>
      <c r="BE347" t="s">
        <v>8388</v>
      </c>
      <c r="BF347" t="str">
        <f>HYPERLINK("http://dx.doi.org/10.1647/20-00009","http://dx.doi.org/10.1647/20-00009")</f>
        <v>http://dx.doi.org/10.1647/20-00009</v>
      </c>
      <c r="BG347" t="s">
        <v>74</v>
      </c>
      <c r="BH347" t="s">
        <v>74</v>
      </c>
      <c r="BI347" t="s">
        <v>74</v>
      </c>
      <c r="BJ347" t="s">
        <v>74</v>
      </c>
      <c r="BK347" t="s">
        <v>74</v>
      </c>
      <c r="BL347" t="s">
        <v>74</v>
      </c>
      <c r="BM347" t="s">
        <v>74</v>
      </c>
      <c r="BN347">
        <v>34677030</v>
      </c>
      <c r="BO347" t="s">
        <v>74</v>
      </c>
      <c r="BP347" t="s">
        <v>74</v>
      </c>
      <c r="BQ347" t="s">
        <v>74</v>
      </c>
      <c r="BR347" t="s">
        <v>74</v>
      </c>
      <c r="BS347" t="s">
        <v>8389</v>
      </c>
      <c r="BT347" t="str">
        <f>HYPERLINK("https%3A%2F%2Fwww.webofscience.com%2Fwos%2Fwoscc%2Ffull-record%2FWOS:000704164200007","View Full Record in Web of Science")</f>
        <v>View Full Record in Web of Science</v>
      </c>
    </row>
    <row r="348" spans="1:72" x14ac:dyDescent="0.4">
      <c r="A348" t="s">
        <v>72</v>
      </c>
      <c r="B348" t="s">
        <v>4084</v>
      </c>
      <c r="C348" t="s">
        <v>74</v>
      </c>
      <c r="D348" t="s">
        <v>74</v>
      </c>
      <c r="E348" t="s">
        <v>74</v>
      </c>
      <c r="F348" t="s">
        <v>4084</v>
      </c>
      <c r="G348" t="s">
        <v>74</v>
      </c>
      <c r="H348" t="s">
        <v>74</v>
      </c>
      <c r="I348" t="s">
        <v>4085</v>
      </c>
      <c r="J348" t="s">
        <v>3605</v>
      </c>
      <c r="K348" t="s">
        <v>74</v>
      </c>
      <c r="L348" t="s">
        <v>74</v>
      </c>
      <c r="M348" t="s">
        <v>74</v>
      </c>
      <c r="N348" t="s">
        <v>74</v>
      </c>
      <c r="O348" t="s">
        <v>74</v>
      </c>
      <c r="P348" t="s">
        <v>74</v>
      </c>
      <c r="Q348" t="s">
        <v>74</v>
      </c>
      <c r="R348" t="s">
        <v>74</v>
      </c>
      <c r="S348" t="s">
        <v>74</v>
      </c>
      <c r="T348" t="s">
        <v>74</v>
      </c>
      <c r="U348" t="s">
        <v>74</v>
      </c>
      <c r="V348" s="3" t="s">
        <v>4086</v>
      </c>
      <c r="W348" t="s">
        <v>74</v>
      </c>
      <c r="X348" t="s">
        <v>74</v>
      </c>
      <c r="Y348" t="s">
        <v>74</v>
      </c>
      <c r="Z348" t="s">
        <v>74</v>
      </c>
      <c r="AA348" t="s">
        <v>74</v>
      </c>
      <c r="AB348" t="s">
        <v>74</v>
      </c>
      <c r="AC348" t="s">
        <v>74</v>
      </c>
      <c r="AD348" t="s">
        <v>74</v>
      </c>
      <c r="AE348" t="s">
        <v>74</v>
      </c>
      <c r="AF348" t="s">
        <v>74</v>
      </c>
      <c r="AG348" t="s">
        <v>74</v>
      </c>
      <c r="AH348" t="s">
        <v>74</v>
      </c>
      <c r="AI348" t="s">
        <v>74</v>
      </c>
      <c r="AJ348" t="s">
        <v>74</v>
      </c>
      <c r="AK348" t="s">
        <v>74</v>
      </c>
      <c r="AL348" t="s">
        <v>74</v>
      </c>
      <c r="AM348" t="s">
        <v>74</v>
      </c>
      <c r="AN348" t="s">
        <v>74</v>
      </c>
      <c r="AO348" t="s">
        <v>3607</v>
      </c>
      <c r="AP348" t="s">
        <v>3608</v>
      </c>
      <c r="AQ348" t="s">
        <v>74</v>
      </c>
      <c r="AR348" t="s">
        <v>74</v>
      </c>
      <c r="AS348" t="s">
        <v>74</v>
      </c>
      <c r="AT348" t="s">
        <v>74</v>
      </c>
      <c r="AU348">
        <v>1965</v>
      </c>
      <c r="AV348">
        <v>45</v>
      </c>
      <c r="AW348">
        <v>3</v>
      </c>
      <c r="AX348" t="s">
        <v>74</v>
      </c>
      <c r="AY348" t="s">
        <v>74</v>
      </c>
      <c r="AZ348" t="s">
        <v>74</v>
      </c>
      <c r="BA348" t="s">
        <v>74</v>
      </c>
      <c r="BB348">
        <v>773</v>
      </c>
      <c r="BC348" t="s">
        <v>726</v>
      </c>
      <c r="BD348" t="s">
        <v>74</v>
      </c>
      <c r="BE348" t="s">
        <v>4087</v>
      </c>
      <c r="BF348" t="str">
        <f>HYPERLINK("http://dx.doi.org/10.1017/S0025315400016581","http://dx.doi.org/10.1017/S0025315400016581")</f>
        <v>http://dx.doi.org/10.1017/S0025315400016581</v>
      </c>
      <c r="BG348" t="s">
        <v>74</v>
      </c>
      <c r="BH348" t="s">
        <v>74</v>
      </c>
      <c r="BI348" t="s">
        <v>74</v>
      </c>
      <c r="BJ348" t="s">
        <v>74</v>
      </c>
      <c r="BK348" t="s">
        <v>74</v>
      </c>
      <c r="BL348" t="s">
        <v>74</v>
      </c>
      <c r="BM348" t="s">
        <v>74</v>
      </c>
      <c r="BN348" t="s">
        <v>74</v>
      </c>
      <c r="BO348" t="s">
        <v>74</v>
      </c>
      <c r="BP348" t="s">
        <v>74</v>
      </c>
      <c r="BQ348" t="s">
        <v>74</v>
      </c>
      <c r="BR348" t="s">
        <v>74</v>
      </c>
      <c r="BS348" t="s">
        <v>4088</v>
      </c>
      <c r="BT348" t="str">
        <f>HYPERLINK("https%3A%2F%2Fwww.webofscience.com%2Fwos%2Fwoscc%2Ffull-record%2FWOS:A19657014900017","View Full Record in Web of Science")</f>
        <v>View Full Record in Web of Science</v>
      </c>
    </row>
    <row r="349" spans="1:72" x14ac:dyDescent="0.4">
      <c r="A349" t="s">
        <v>72</v>
      </c>
      <c r="B349" t="s">
        <v>6789</v>
      </c>
      <c r="C349" t="s">
        <v>74</v>
      </c>
      <c r="D349" t="s">
        <v>74</v>
      </c>
      <c r="E349" t="s">
        <v>74</v>
      </c>
      <c r="F349" t="s">
        <v>6789</v>
      </c>
      <c r="G349" t="s">
        <v>74</v>
      </c>
      <c r="H349" t="s">
        <v>74</v>
      </c>
      <c r="I349" t="s">
        <v>6790</v>
      </c>
      <c r="J349" t="s">
        <v>140</v>
      </c>
      <c r="K349" t="s">
        <v>74</v>
      </c>
      <c r="L349" t="s">
        <v>74</v>
      </c>
      <c r="M349" t="s">
        <v>74</v>
      </c>
      <c r="N349" t="s">
        <v>74</v>
      </c>
      <c r="O349" t="s">
        <v>74</v>
      </c>
      <c r="P349" t="s">
        <v>74</v>
      </c>
      <c r="Q349" t="s">
        <v>74</v>
      </c>
      <c r="R349" t="s">
        <v>74</v>
      </c>
      <c r="S349" t="s">
        <v>74</v>
      </c>
      <c r="T349" t="s">
        <v>74</v>
      </c>
      <c r="U349" t="s">
        <v>74</v>
      </c>
      <c r="V349" s="3" t="s">
        <v>6791</v>
      </c>
      <c r="W349" t="s">
        <v>74</v>
      </c>
      <c r="X349" t="s">
        <v>74</v>
      </c>
      <c r="Y349" t="s">
        <v>74</v>
      </c>
      <c r="Z349" t="s">
        <v>74</v>
      </c>
      <c r="AA349" t="s">
        <v>74</v>
      </c>
      <c r="AB349" t="s">
        <v>74</v>
      </c>
      <c r="AC349" t="s">
        <v>74</v>
      </c>
      <c r="AD349" t="s">
        <v>74</v>
      </c>
      <c r="AE349" t="s">
        <v>74</v>
      </c>
      <c r="AF349" t="s">
        <v>74</v>
      </c>
      <c r="AG349" t="s">
        <v>74</v>
      </c>
      <c r="AH349" t="s">
        <v>74</v>
      </c>
      <c r="AI349" t="s">
        <v>74</v>
      </c>
      <c r="AJ349" t="s">
        <v>74</v>
      </c>
      <c r="AK349" t="s">
        <v>74</v>
      </c>
      <c r="AL349" t="s">
        <v>74</v>
      </c>
      <c r="AM349" t="s">
        <v>74</v>
      </c>
      <c r="AN349" t="s">
        <v>74</v>
      </c>
      <c r="AO349" t="s">
        <v>143</v>
      </c>
      <c r="AP349" t="s">
        <v>144</v>
      </c>
      <c r="AQ349" t="s">
        <v>74</v>
      </c>
      <c r="AR349" t="s">
        <v>74</v>
      </c>
      <c r="AS349" t="s">
        <v>74</v>
      </c>
      <c r="AT349" t="s">
        <v>213</v>
      </c>
      <c r="AU349">
        <v>2004</v>
      </c>
      <c r="AV349">
        <v>68</v>
      </c>
      <c r="AW349" t="s">
        <v>74</v>
      </c>
      <c r="AX349">
        <v>5</v>
      </c>
      <c r="AY349" t="s">
        <v>74</v>
      </c>
      <c r="AZ349" t="s">
        <v>74</v>
      </c>
      <c r="BA349" t="s">
        <v>74</v>
      </c>
      <c r="BB349">
        <v>1005</v>
      </c>
      <c r="BC349">
        <v>1015</v>
      </c>
      <c r="BD349" t="s">
        <v>74</v>
      </c>
      <c r="BE349" t="s">
        <v>6792</v>
      </c>
      <c r="BF349" t="str">
        <f>HYPERLINK("http://dx.doi.org/10.1016/j.anbehav.2004.02.003","http://dx.doi.org/10.1016/j.anbehav.2004.02.003")</f>
        <v>http://dx.doi.org/10.1016/j.anbehav.2004.02.003</v>
      </c>
      <c r="BG349" t="s">
        <v>74</v>
      </c>
      <c r="BH349" t="s">
        <v>74</v>
      </c>
      <c r="BI349" t="s">
        <v>74</v>
      </c>
      <c r="BJ349" t="s">
        <v>74</v>
      </c>
      <c r="BK349" t="s">
        <v>74</v>
      </c>
      <c r="BL349" t="s">
        <v>74</v>
      </c>
      <c r="BM349" t="s">
        <v>74</v>
      </c>
      <c r="BN349" t="s">
        <v>74</v>
      </c>
      <c r="BO349" t="s">
        <v>74</v>
      </c>
      <c r="BP349" t="s">
        <v>74</v>
      </c>
      <c r="BQ349" t="s">
        <v>74</v>
      </c>
      <c r="BR349" t="s">
        <v>74</v>
      </c>
      <c r="BS349" t="s">
        <v>6793</v>
      </c>
      <c r="BT349" t="str">
        <f>HYPERLINK("https%3A%2F%2Fwww.webofscience.com%2Fwos%2Fwoscc%2Ffull-record%2FWOS:000225064400004","View Full Record in Web of Science")</f>
        <v>View Full Record in Web of Science</v>
      </c>
    </row>
    <row r="350" spans="1:72" x14ac:dyDescent="0.4">
      <c r="A350" t="s">
        <v>72</v>
      </c>
      <c r="B350" t="s">
        <v>6822</v>
      </c>
      <c r="C350" t="s">
        <v>74</v>
      </c>
      <c r="D350" t="s">
        <v>74</v>
      </c>
      <c r="E350" t="s">
        <v>74</v>
      </c>
      <c r="F350" t="s">
        <v>6822</v>
      </c>
      <c r="G350" t="s">
        <v>74</v>
      </c>
      <c r="H350" t="s">
        <v>74</v>
      </c>
      <c r="I350" t="s">
        <v>6823</v>
      </c>
      <c r="J350" t="s">
        <v>1237</v>
      </c>
      <c r="K350" t="s">
        <v>74</v>
      </c>
      <c r="L350" t="s">
        <v>74</v>
      </c>
      <c r="M350" t="s">
        <v>74</v>
      </c>
      <c r="N350" t="s">
        <v>74</v>
      </c>
      <c r="O350" t="s">
        <v>74</v>
      </c>
      <c r="P350" t="s">
        <v>74</v>
      </c>
      <c r="Q350" t="s">
        <v>74</v>
      </c>
      <c r="R350" t="s">
        <v>74</v>
      </c>
      <c r="S350" t="s">
        <v>74</v>
      </c>
      <c r="T350" t="s">
        <v>74</v>
      </c>
      <c r="U350" t="s">
        <v>74</v>
      </c>
      <c r="V350" s="3" t="s">
        <v>6824</v>
      </c>
      <c r="W350" t="s">
        <v>74</v>
      </c>
      <c r="X350" t="s">
        <v>74</v>
      </c>
      <c r="Y350" t="s">
        <v>74</v>
      </c>
      <c r="Z350" t="s">
        <v>74</v>
      </c>
      <c r="AA350" t="s">
        <v>74</v>
      </c>
      <c r="AB350" t="s">
        <v>74</v>
      </c>
      <c r="AC350" t="s">
        <v>74</v>
      </c>
      <c r="AD350" t="s">
        <v>74</v>
      </c>
      <c r="AE350" t="s">
        <v>74</v>
      </c>
      <c r="AF350" t="s">
        <v>74</v>
      </c>
      <c r="AG350" t="s">
        <v>74</v>
      </c>
      <c r="AH350" t="s">
        <v>74</v>
      </c>
      <c r="AI350" t="s">
        <v>74</v>
      </c>
      <c r="AJ350" t="s">
        <v>74</v>
      </c>
      <c r="AK350" t="s">
        <v>74</v>
      </c>
      <c r="AL350" t="s">
        <v>74</v>
      </c>
      <c r="AM350" t="s">
        <v>74</v>
      </c>
      <c r="AN350" t="s">
        <v>74</v>
      </c>
      <c r="AO350" t="s">
        <v>1239</v>
      </c>
      <c r="AP350" t="s">
        <v>74</v>
      </c>
      <c r="AQ350" t="s">
        <v>74</v>
      </c>
      <c r="AR350" t="s">
        <v>74</v>
      </c>
      <c r="AS350" t="s">
        <v>74</v>
      </c>
      <c r="AT350" t="s">
        <v>134</v>
      </c>
      <c r="AU350">
        <v>1995</v>
      </c>
      <c r="AV350">
        <v>73</v>
      </c>
      <c r="AW350">
        <v>5</v>
      </c>
      <c r="AX350" t="s">
        <v>74</v>
      </c>
      <c r="AY350" t="s">
        <v>74</v>
      </c>
      <c r="AZ350" t="s">
        <v>74</v>
      </c>
      <c r="BA350" t="s">
        <v>74</v>
      </c>
      <c r="BB350">
        <v>858</v>
      </c>
      <c r="BC350">
        <v>868</v>
      </c>
      <c r="BD350" t="s">
        <v>74</v>
      </c>
      <c r="BE350" t="s">
        <v>6825</v>
      </c>
      <c r="BF350" t="str">
        <f>HYPERLINK("http://dx.doi.org/10.1139/z95-101","http://dx.doi.org/10.1139/z95-101")</f>
        <v>http://dx.doi.org/10.1139/z95-101</v>
      </c>
      <c r="BG350" t="s">
        <v>74</v>
      </c>
      <c r="BH350" t="s">
        <v>74</v>
      </c>
      <c r="BI350" t="s">
        <v>74</v>
      </c>
      <c r="BJ350" t="s">
        <v>74</v>
      </c>
      <c r="BK350" t="s">
        <v>74</v>
      </c>
      <c r="BL350" t="s">
        <v>74</v>
      </c>
      <c r="BM350" t="s">
        <v>74</v>
      </c>
      <c r="BN350" t="s">
        <v>74</v>
      </c>
      <c r="BO350" t="s">
        <v>74</v>
      </c>
      <c r="BP350" t="s">
        <v>74</v>
      </c>
      <c r="BQ350" t="s">
        <v>74</v>
      </c>
      <c r="BR350" t="s">
        <v>74</v>
      </c>
      <c r="BS350" t="s">
        <v>6826</v>
      </c>
      <c r="BT350" t="str">
        <f>HYPERLINK("https%3A%2F%2Fwww.webofscience.com%2Fwos%2Fwoscc%2Ffull-record%2FWOS:A1995RR09100006","View Full Record in Web of Science")</f>
        <v>View Full Record in Web of Science</v>
      </c>
    </row>
    <row r="351" spans="1:72" x14ac:dyDescent="0.4">
      <c r="A351" t="s">
        <v>72</v>
      </c>
      <c r="B351" t="s">
        <v>6334</v>
      </c>
      <c r="C351" t="s">
        <v>74</v>
      </c>
      <c r="D351" t="s">
        <v>74</v>
      </c>
      <c r="E351" t="s">
        <v>74</v>
      </c>
      <c r="F351" t="s">
        <v>6335</v>
      </c>
      <c r="G351" t="s">
        <v>74</v>
      </c>
      <c r="H351" t="s">
        <v>74</v>
      </c>
      <c r="I351" t="s">
        <v>6336</v>
      </c>
      <c r="J351" t="s">
        <v>408</v>
      </c>
      <c r="K351" t="s">
        <v>74</v>
      </c>
      <c r="L351" t="s">
        <v>74</v>
      </c>
      <c r="M351" t="s">
        <v>74</v>
      </c>
      <c r="N351" t="s">
        <v>74</v>
      </c>
      <c r="O351" t="s">
        <v>74</v>
      </c>
      <c r="P351" t="s">
        <v>74</v>
      </c>
      <c r="Q351" t="s">
        <v>74</v>
      </c>
      <c r="R351" t="s">
        <v>74</v>
      </c>
      <c r="S351" t="s">
        <v>74</v>
      </c>
      <c r="T351" t="s">
        <v>74</v>
      </c>
      <c r="U351" t="s">
        <v>74</v>
      </c>
      <c r="V351" s="3" t="s">
        <v>6337</v>
      </c>
      <c r="W351" t="s">
        <v>74</v>
      </c>
      <c r="X351" t="s">
        <v>74</v>
      </c>
      <c r="Y351" t="s">
        <v>74</v>
      </c>
      <c r="Z351" t="s">
        <v>74</v>
      </c>
      <c r="AA351" t="s">
        <v>74</v>
      </c>
      <c r="AB351" t="s">
        <v>74</v>
      </c>
      <c r="AC351" t="s">
        <v>74</v>
      </c>
      <c r="AD351" t="s">
        <v>74</v>
      </c>
      <c r="AE351" t="s">
        <v>74</v>
      </c>
      <c r="AF351" t="s">
        <v>74</v>
      </c>
      <c r="AG351" t="s">
        <v>74</v>
      </c>
      <c r="AH351" t="s">
        <v>74</v>
      </c>
      <c r="AI351" t="s">
        <v>74</v>
      </c>
      <c r="AJ351" t="s">
        <v>74</v>
      </c>
      <c r="AK351" t="s">
        <v>74</v>
      </c>
      <c r="AL351" t="s">
        <v>74</v>
      </c>
      <c r="AM351" t="s">
        <v>74</v>
      </c>
      <c r="AN351" t="s">
        <v>74</v>
      </c>
      <c r="AO351" t="s">
        <v>412</v>
      </c>
      <c r="AP351" t="s">
        <v>413</v>
      </c>
      <c r="AQ351" t="s">
        <v>74</v>
      </c>
      <c r="AR351" t="s">
        <v>74</v>
      </c>
      <c r="AS351" t="s">
        <v>74</v>
      </c>
      <c r="AT351" t="s">
        <v>102</v>
      </c>
      <c r="AU351">
        <v>2020</v>
      </c>
      <c r="AV351">
        <v>130</v>
      </c>
      <c r="AW351">
        <v>2</v>
      </c>
      <c r="AX351" t="s">
        <v>74</v>
      </c>
      <c r="AY351" t="s">
        <v>74</v>
      </c>
      <c r="AZ351" t="s">
        <v>74</v>
      </c>
      <c r="BA351" t="s">
        <v>74</v>
      </c>
      <c r="BB351">
        <v>336</v>
      </c>
      <c r="BC351">
        <v>344</v>
      </c>
      <c r="BD351" t="s">
        <v>74</v>
      </c>
      <c r="BE351" t="s">
        <v>6338</v>
      </c>
      <c r="BF351" t="str">
        <f>HYPERLINK("http://dx.doi.org/10.1093/biolinnean/blaa045","http://dx.doi.org/10.1093/biolinnean/blaa045")</f>
        <v>http://dx.doi.org/10.1093/biolinnean/blaa045</v>
      </c>
      <c r="BG351" t="s">
        <v>74</v>
      </c>
      <c r="BH351" t="s">
        <v>74</v>
      </c>
      <c r="BI351" t="s">
        <v>74</v>
      </c>
      <c r="BJ351" t="s">
        <v>74</v>
      </c>
      <c r="BK351" t="s">
        <v>74</v>
      </c>
      <c r="BL351" t="s">
        <v>74</v>
      </c>
      <c r="BM351" t="s">
        <v>74</v>
      </c>
      <c r="BN351" t="s">
        <v>74</v>
      </c>
      <c r="BO351" t="s">
        <v>74</v>
      </c>
      <c r="BP351" t="s">
        <v>74</v>
      </c>
      <c r="BQ351" t="s">
        <v>74</v>
      </c>
      <c r="BR351" t="s">
        <v>74</v>
      </c>
      <c r="BS351" t="s">
        <v>6339</v>
      </c>
      <c r="BT351" t="str">
        <f>HYPERLINK("https%3A%2F%2Fwww.webofscience.com%2Fwos%2Fwoscc%2Ffull-record%2FWOS:000562378200007","View Full Record in Web of Science")</f>
        <v>View Full Record in Web of Science</v>
      </c>
    </row>
    <row r="352" spans="1:72" x14ac:dyDescent="0.4">
      <c r="A352" t="s">
        <v>72</v>
      </c>
      <c r="B352" t="s">
        <v>7228</v>
      </c>
      <c r="C352" t="s">
        <v>74</v>
      </c>
      <c r="D352" t="s">
        <v>74</v>
      </c>
      <c r="E352" t="s">
        <v>74</v>
      </c>
      <c r="F352" t="s">
        <v>7229</v>
      </c>
      <c r="G352" t="s">
        <v>74</v>
      </c>
      <c r="H352" t="s">
        <v>74</v>
      </c>
      <c r="I352" t="s">
        <v>7230</v>
      </c>
      <c r="J352" t="s">
        <v>333</v>
      </c>
      <c r="K352" t="s">
        <v>74</v>
      </c>
      <c r="L352" t="s">
        <v>74</v>
      </c>
      <c r="M352" t="s">
        <v>74</v>
      </c>
      <c r="N352" t="s">
        <v>74</v>
      </c>
      <c r="O352" t="s">
        <v>74</v>
      </c>
      <c r="P352" t="s">
        <v>74</v>
      </c>
      <c r="Q352" t="s">
        <v>74</v>
      </c>
      <c r="R352" t="s">
        <v>74</v>
      </c>
      <c r="S352" t="s">
        <v>74</v>
      </c>
      <c r="T352" t="s">
        <v>74</v>
      </c>
      <c r="U352" t="s">
        <v>74</v>
      </c>
      <c r="V352" s="3" t="s">
        <v>7231</v>
      </c>
      <c r="W352" t="s">
        <v>74</v>
      </c>
      <c r="X352" t="s">
        <v>74</v>
      </c>
      <c r="Y352" t="s">
        <v>74</v>
      </c>
      <c r="Z352" t="s">
        <v>74</v>
      </c>
      <c r="AA352" t="s">
        <v>74</v>
      </c>
      <c r="AB352" t="s">
        <v>7232</v>
      </c>
      <c r="AC352" t="s">
        <v>74</v>
      </c>
      <c r="AD352" t="s">
        <v>74</v>
      </c>
      <c r="AE352" t="s">
        <v>74</v>
      </c>
      <c r="AF352" t="s">
        <v>74</v>
      </c>
      <c r="AG352" t="s">
        <v>74</v>
      </c>
      <c r="AH352" t="s">
        <v>74</v>
      </c>
      <c r="AI352" t="s">
        <v>74</v>
      </c>
      <c r="AJ352" t="s">
        <v>74</v>
      </c>
      <c r="AK352" t="s">
        <v>74</v>
      </c>
      <c r="AL352" t="s">
        <v>74</v>
      </c>
      <c r="AM352" t="s">
        <v>74</v>
      </c>
      <c r="AN352" t="s">
        <v>74</v>
      </c>
      <c r="AO352" t="s">
        <v>337</v>
      </c>
      <c r="AP352" t="s">
        <v>338</v>
      </c>
      <c r="AQ352" t="s">
        <v>74</v>
      </c>
      <c r="AR352" t="s">
        <v>74</v>
      </c>
      <c r="AS352" t="s">
        <v>74</v>
      </c>
      <c r="AT352" t="s">
        <v>1013</v>
      </c>
      <c r="AU352">
        <v>2017</v>
      </c>
      <c r="AV352">
        <v>28</v>
      </c>
      <c r="AW352">
        <v>5</v>
      </c>
      <c r="AX352" t="s">
        <v>74</v>
      </c>
      <c r="AY352" t="s">
        <v>74</v>
      </c>
      <c r="AZ352" t="s">
        <v>74</v>
      </c>
      <c r="BA352" t="s">
        <v>74</v>
      </c>
      <c r="BB352">
        <v>1329</v>
      </c>
      <c r="BC352">
        <v>1336</v>
      </c>
      <c r="BD352" t="s">
        <v>74</v>
      </c>
      <c r="BE352" t="s">
        <v>7233</v>
      </c>
      <c r="BF352" t="str">
        <f>HYPERLINK("http://dx.doi.org/10.1093/beheco/arx096","http://dx.doi.org/10.1093/beheco/arx096")</f>
        <v>http://dx.doi.org/10.1093/beheco/arx096</v>
      </c>
      <c r="BG352" t="s">
        <v>74</v>
      </c>
      <c r="BH352" t="s">
        <v>74</v>
      </c>
      <c r="BI352" t="s">
        <v>74</v>
      </c>
      <c r="BJ352" t="s">
        <v>74</v>
      </c>
      <c r="BK352" t="s">
        <v>74</v>
      </c>
      <c r="BL352" t="s">
        <v>74</v>
      </c>
      <c r="BM352" t="s">
        <v>74</v>
      </c>
      <c r="BN352" t="s">
        <v>74</v>
      </c>
      <c r="BO352" t="s">
        <v>74</v>
      </c>
      <c r="BP352" t="s">
        <v>74</v>
      </c>
      <c r="BQ352" t="s">
        <v>74</v>
      </c>
      <c r="BR352" t="s">
        <v>74</v>
      </c>
      <c r="BS352" t="s">
        <v>7234</v>
      </c>
      <c r="BT352" t="str">
        <f>HYPERLINK("https%3A%2F%2Fwww.webofscience.com%2Fwos%2Fwoscc%2Ffull-record%2FWOS:000412182400016","View Full Record in Web of Science")</f>
        <v>View Full Record in Web of Science</v>
      </c>
    </row>
    <row r="353" spans="1:72" x14ac:dyDescent="0.4">
      <c r="A353" t="s">
        <v>72</v>
      </c>
      <c r="B353" t="s">
        <v>8064</v>
      </c>
      <c r="C353" t="s">
        <v>74</v>
      </c>
      <c r="D353" t="s">
        <v>74</v>
      </c>
      <c r="E353" t="s">
        <v>74</v>
      </c>
      <c r="F353" t="s">
        <v>8065</v>
      </c>
      <c r="G353" t="s">
        <v>74</v>
      </c>
      <c r="H353" t="s">
        <v>74</v>
      </c>
      <c r="I353" t="s">
        <v>8066</v>
      </c>
      <c r="J353" t="s">
        <v>8067</v>
      </c>
      <c r="K353" t="s">
        <v>74</v>
      </c>
      <c r="L353" t="s">
        <v>74</v>
      </c>
      <c r="M353" t="s">
        <v>74</v>
      </c>
      <c r="N353" t="s">
        <v>74</v>
      </c>
      <c r="O353" t="s">
        <v>74</v>
      </c>
      <c r="P353" t="s">
        <v>74</v>
      </c>
      <c r="Q353" t="s">
        <v>74</v>
      </c>
      <c r="R353" t="s">
        <v>74</v>
      </c>
      <c r="S353" t="s">
        <v>74</v>
      </c>
      <c r="T353" t="s">
        <v>74</v>
      </c>
      <c r="U353" t="s">
        <v>74</v>
      </c>
      <c r="V353" s="3" t="s">
        <v>8068</v>
      </c>
      <c r="W353" t="s">
        <v>74</v>
      </c>
      <c r="X353" t="s">
        <v>74</v>
      </c>
      <c r="Y353" t="s">
        <v>74</v>
      </c>
      <c r="Z353" t="s">
        <v>74</v>
      </c>
      <c r="AA353" t="s">
        <v>8069</v>
      </c>
      <c r="AB353" t="s">
        <v>8070</v>
      </c>
      <c r="AC353" t="s">
        <v>74</v>
      </c>
      <c r="AD353" t="s">
        <v>74</v>
      </c>
      <c r="AE353" t="s">
        <v>74</v>
      </c>
      <c r="AF353" t="s">
        <v>74</v>
      </c>
      <c r="AG353" t="s">
        <v>74</v>
      </c>
      <c r="AH353" t="s">
        <v>74</v>
      </c>
      <c r="AI353" t="s">
        <v>74</v>
      </c>
      <c r="AJ353" t="s">
        <v>74</v>
      </c>
      <c r="AK353" t="s">
        <v>74</v>
      </c>
      <c r="AL353" t="s">
        <v>74</v>
      </c>
      <c r="AM353" t="s">
        <v>74</v>
      </c>
      <c r="AN353" t="s">
        <v>74</v>
      </c>
      <c r="AO353" t="s">
        <v>8071</v>
      </c>
      <c r="AP353" t="s">
        <v>8072</v>
      </c>
      <c r="AQ353" t="s">
        <v>74</v>
      </c>
      <c r="AR353" t="s">
        <v>74</v>
      </c>
      <c r="AS353" t="s">
        <v>74</v>
      </c>
      <c r="AT353" t="s">
        <v>769</v>
      </c>
      <c r="AU353">
        <v>2019</v>
      </c>
      <c r="AV353">
        <v>236</v>
      </c>
      <c r="AW353">
        <v>1</v>
      </c>
      <c r="AX353" t="s">
        <v>74</v>
      </c>
      <c r="AY353" t="s">
        <v>74</v>
      </c>
      <c r="AZ353" t="s">
        <v>74</v>
      </c>
      <c r="BA353" t="s">
        <v>74</v>
      </c>
      <c r="BB353">
        <v>43</v>
      </c>
      <c r="BC353">
        <v>54</v>
      </c>
      <c r="BD353" t="s">
        <v>74</v>
      </c>
      <c r="BE353" t="s">
        <v>8073</v>
      </c>
      <c r="BF353" t="str">
        <f>HYPERLINK("http://dx.doi.org/10.1086/700836","http://dx.doi.org/10.1086/700836")</f>
        <v>http://dx.doi.org/10.1086/700836</v>
      </c>
      <c r="BG353" t="s">
        <v>74</v>
      </c>
      <c r="BH353" t="s">
        <v>74</v>
      </c>
      <c r="BI353" t="s">
        <v>74</v>
      </c>
      <c r="BJ353" t="s">
        <v>74</v>
      </c>
      <c r="BK353" t="s">
        <v>74</v>
      </c>
      <c r="BL353" t="s">
        <v>74</v>
      </c>
      <c r="BM353" t="s">
        <v>74</v>
      </c>
      <c r="BN353">
        <v>30707606</v>
      </c>
      <c r="BO353" t="s">
        <v>74</v>
      </c>
      <c r="BP353" t="s">
        <v>74</v>
      </c>
      <c r="BQ353" t="s">
        <v>74</v>
      </c>
      <c r="BR353" t="s">
        <v>74</v>
      </c>
      <c r="BS353" t="s">
        <v>8074</v>
      </c>
      <c r="BT353" t="str">
        <f>HYPERLINK("https%3A%2F%2Fwww.webofscience.com%2Fwos%2Fwoscc%2Ffull-record%2FWOS:000457792100004","View Full Record in Web of Science")</f>
        <v>View Full Record in Web of Science</v>
      </c>
    </row>
    <row r="354" spans="1:72" x14ac:dyDescent="0.4">
      <c r="A354" t="s">
        <v>72</v>
      </c>
      <c r="B354" t="s">
        <v>879</v>
      </c>
      <c r="C354" t="s">
        <v>74</v>
      </c>
      <c r="D354" t="s">
        <v>74</v>
      </c>
      <c r="E354" t="s">
        <v>74</v>
      </c>
      <c r="F354" t="s">
        <v>880</v>
      </c>
      <c r="G354" t="s">
        <v>74</v>
      </c>
      <c r="H354" t="s">
        <v>74</v>
      </c>
      <c r="I354" t="s">
        <v>881</v>
      </c>
      <c r="J354" t="s">
        <v>882</v>
      </c>
      <c r="K354" t="s">
        <v>74</v>
      </c>
      <c r="L354" t="s">
        <v>74</v>
      </c>
      <c r="M354" t="s">
        <v>74</v>
      </c>
      <c r="N354" t="s">
        <v>74</v>
      </c>
      <c r="O354" t="s">
        <v>74</v>
      </c>
      <c r="P354" t="s">
        <v>74</v>
      </c>
      <c r="Q354" t="s">
        <v>74</v>
      </c>
      <c r="R354" t="s">
        <v>74</v>
      </c>
      <c r="S354" t="s">
        <v>74</v>
      </c>
      <c r="T354" t="s">
        <v>74</v>
      </c>
      <c r="U354" t="s">
        <v>74</v>
      </c>
      <c r="V354" s="3" t="s">
        <v>883</v>
      </c>
      <c r="W354" t="s">
        <v>74</v>
      </c>
      <c r="X354" t="s">
        <v>74</v>
      </c>
      <c r="Y354" t="s">
        <v>74</v>
      </c>
      <c r="Z354" t="s">
        <v>74</v>
      </c>
      <c r="AA354" t="s">
        <v>884</v>
      </c>
      <c r="AB354" t="s">
        <v>885</v>
      </c>
      <c r="AC354" t="s">
        <v>74</v>
      </c>
      <c r="AD354" t="s">
        <v>74</v>
      </c>
      <c r="AE354" t="s">
        <v>74</v>
      </c>
      <c r="AF354" t="s">
        <v>74</v>
      </c>
      <c r="AG354" t="s">
        <v>74</v>
      </c>
      <c r="AH354" t="s">
        <v>74</v>
      </c>
      <c r="AI354" t="s">
        <v>74</v>
      </c>
      <c r="AJ354" t="s">
        <v>74</v>
      </c>
      <c r="AK354" t="s">
        <v>74</v>
      </c>
      <c r="AL354" t="s">
        <v>74</v>
      </c>
      <c r="AM354" t="s">
        <v>74</v>
      </c>
      <c r="AN354" t="s">
        <v>74</v>
      </c>
      <c r="AO354" t="s">
        <v>886</v>
      </c>
      <c r="AP354" t="s">
        <v>887</v>
      </c>
      <c r="AQ354" t="s">
        <v>74</v>
      </c>
      <c r="AR354" t="s">
        <v>74</v>
      </c>
      <c r="AS354" t="s">
        <v>74</v>
      </c>
      <c r="AT354" t="s">
        <v>74</v>
      </c>
      <c r="AU354">
        <v>2010</v>
      </c>
      <c r="AV354">
        <v>9</v>
      </c>
      <c r="AW354">
        <v>3</v>
      </c>
      <c r="AX354" t="s">
        <v>74</v>
      </c>
      <c r="AY354" t="s">
        <v>74</v>
      </c>
      <c r="AZ354" t="s">
        <v>74</v>
      </c>
      <c r="BA354" t="s">
        <v>74</v>
      </c>
      <c r="BB354">
        <v>271</v>
      </c>
      <c r="BC354">
        <v>277</v>
      </c>
      <c r="BD354" t="s">
        <v>74</v>
      </c>
      <c r="BE354" t="s">
        <v>888</v>
      </c>
      <c r="BF354" t="str">
        <f>HYPERLINK("http://dx.doi.org/10.3354/ab00257","http://dx.doi.org/10.3354/ab00257")</f>
        <v>http://dx.doi.org/10.3354/ab00257</v>
      </c>
      <c r="BG354" t="s">
        <v>74</v>
      </c>
      <c r="BH354" t="s">
        <v>74</v>
      </c>
      <c r="BI354" t="s">
        <v>74</v>
      </c>
      <c r="BJ354" t="s">
        <v>74</v>
      </c>
      <c r="BK354" t="s">
        <v>74</v>
      </c>
      <c r="BL354" t="s">
        <v>74</v>
      </c>
      <c r="BM354" t="s">
        <v>74</v>
      </c>
      <c r="BN354" t="s">
        <v>74</v>
      </c>
      <c r="BO354" t="s">
        <v>74</v>
      </c>
      <c r="BP354" t="s">
        <v>74</v>
      </c>
      <c r="BQ354" t="s">
        <v>74</v>
      </c>
      <c r="BR354" t="s">
        <v>74</v>
      </c>
      <c r="BS354" t="s">
        <v>889</v>
      </c>
      <c r="BT354" t="str">
        <f>HYPERLINK("https%3A%2F%2Fwww.webofscience.com%2Fwos%2Fwoscc%2Ffull-record%2FWOS:000278977700007","View Full Record in Web of Science")</f>
        <v>View Full Record in Web of Science</v>
      </c>
    </row>
    <row r="355" spans="1:72" x14ac:dyDescent="0.4">
      <c r="A355" t="s">
        <v>72</v>
      </c>
      <c r="B355" t="s">
        <v>488</v>
      </c>
      <c r="C355" t="s">
        <v>74</v>
      </c>
      <c r="D355" t="s">
        <v>74</v>
      </c>
      <c r="E355" t="s">
        <v>74</v>
      </c>
      <c r="F355" t="s">
        <v>488</v>
      </c>
      <c r="G355" t="s">
        <v>74</v>
      </c>
      <c r="H355" t="s">
        <v>74</v>
      </c>
      <c r="I355" t="s">
        <v>489</v>
      </c>
      <c r="J355" t="s">
        <v>108</v>
      </c>
      <c r="K355" t="s">
        <v>74</v>
      </c>
      <c r="L355" t="s">
        <v>74</v>
      </c>
      <c r="M355" t="s">
        <v>74</v>
      </c>
      <c r="N355" t="s">
        <v>74</v>
      </c>
      <c r="O355" t="s">
        <v>74</v>
      </c>
      <c r="P355" t="s">
        <v>74</v>
      </c>
      <c r="Q355" t="s">
        <v>74</v>
      </c>
      <c r="R355" t="s">
        <v>74</v>
      </c>
      <c r="S355" t="s">
        <v>74</v>
      </c>
      <c r="T355" t="s">
        <v>74</v>
      </c>
      <c r="U355" t="s">
        <v>74</v>
      </c>
      <c r="V355" s="3" t="s">
        <v>490</v>
      </c>
      <c r="W355" t="s">
        <v>74</v>
      </c>
      <c r="X355" t="s">
        <v>74</v>
      </c>
      <c r="Y355" t="s">
        <v>74</v>
      </c>
      <c r="Z355" t="s">
        <v>74</v>
      </c>
      <c r="AA355" t="s">
        <v>491</v>
      </c>
      <c r="AB355" t="s">
        <v>492</v>
      </c>
      <c r="AC355" t="s">
        <v>74</v>
      </c>
      <c r="AD355" t="s">
        <v>74</v>
      </c>
      <c r="AE355" t="s">
        <v>74</v>
      </c>
      <c r="AF355" t="s">
        <v>74</v>
      </c>
      <c r="AG355" t="s">
        <v>74</v>
      </c>
      <c r="AH355" t="s">
        <v>74</v>
      </c>
      <c r="AI355" t="s">
        <v>74</v>
      </c>
      <c r="AJ355" t="s">
        <v>74</v>
      </c>
      <c r="AK355" t="s">
        <v>74</v>
      </c>
      <c r="AL355" t="s">
        <v>74</v>
      </c>
      <c r="AM355" t="s">
        <v>74</v>
      </c>
      <c r="AN355" t="s">
        <v>74</v>
      </c>
      <c r="AO355" t="s">
        <v>111</v>
      </c>
      <c r="AP355" t="s">
        <v>112</v>
      </c>
      <c r="AQ355" t="s">
        <v>74</v>
      </c>
      <c r="AR355" t="s">
        <v>74</v>
      </c>
      <c r="AS355" t="s">
        <v>74</v>
      </c>
      <c r="AT355" t="s">
        <v>493</v>
      </c>
      <c r="AU355">
        <v>2001</v>
      </c>
      <c r="AV355">
        <v>268</v>
      </c>
      <c r="AW355">
        <v>1475</v>
      </c>
      <c r="AX355" t="s">
        <v>74</v>
      </c>
      <c r="AY355" t="s">
        <v>74</v>
      </c>
      <c r="AZ355" t="s">
        <v>74</v>
      </c>
      <c r="BA355" t="s">
        <v>74</v>
      </c>
      <c r="BB355">
        <v>1519</v>
      </c>
      <c r="BC355">
        <v>1526</v>
      </c>
      <c r="BD355" t="s">
        <v>74</v>
      </c>
      <c r="BE355" t="s">
        <v>494</v>
      </c>
      <c r="BF355" t="str">
        <f>HYPERLINK("http://dx.doi.org/10.1098/rspb.2001.1701","http://dx.doi.org/10.1098/rspb.2001.1701")</f>
        <v>http://dx.doi.org/10.1098/rspb.2001.1701</v>
      </c>
      <c r="BG355" t="s">
        <v>74</v>
      </c>
      <c r="BH355" t="s">
        <v>74</v>
      </c>
      <c r="BI355" t="s">
        <v>74</v>
      </c>
      <c r="BJ355" t="s">
        <v>74</v>
      </c>
      <c r="BK355" t="s">
        <v>74</v>
      </c>
      <c r="BL355" t="s">
        <v>74</v>
      </c>
      <c r="BM355" t="s">
        <v>74</v>
      </c>
      <c r="BN355">
        <v>11454297</v>
      </c>
      <c r="BO355" t="s">
        <v>74</v>
      </c>
      <c r="BP355" t="s">
        <v>74</v>
      </c>
      <c r="BQ355" t="s">
        <v>74</v>
      </c>
      <c r="BR355" t="s">
        <v>74</v>
      </c>
      <c r="BS355" t="s">
        <v>495</v>
      </c>
      <c r="BT355" t="str">
        <f>HYPERLINK("https%3A%2F%2Fwww.webofscience.com%2Fwos%2Fwoscc%2Ffull-record%2FWOS:000170003600013","View Full Record in Web of Science")</f>
        <v>View Full Record in Web of Science</v>
      </c>
    </row>
    <row r="356" spans="1:72" x14ac:dyDescent="0.4">
      <c r="A356" t="s">
        <v>72</v>
      </c>
      <c r="B356" t="s">
        <v>5024</v>
      </c>
      <c r="C356" t="s">
        <v>74</v>
      </c>
      <c r="D356" t="s">
        <v>74</v>
      </c>
      <c r="E356" t="s">
        <v>74</v>
      </c>
      <c r="F356" t="s">
        <v>5025</v>
      </c>
      <c r="G356" t="s">
        <v>74</v>
      </c>
      <c r="H356" t="s">
        <v>74</v>
      </c>
      <c r="I356" t="s">
        <v>5026</v>
      </c>
      <c r="J356" t="s">
        <v>2578</v>
      </c>
      <c r="K356" t="s">
        <v>74</v>
      </c>
      <c r="L356" t="s">
        <v>74</v>
      </c>
      <c r="M356" t="s">
        <v>74</v>
      </c>
      <c r="N356" t="s">
        <v>74</v>
      </c>
      <c r="O356" t="s">
        <v>74</v>
      </c>
      <c r="P356" t="s">
        <v>74</v>
      </c>
      <c r="Q356" t="s">
        <v>74</v>
      </c>
      <c r="R356" t="s">
        <v>74</v>
      </c>
      <c r="S356" t="s">
        <v>74</v>
      </c>
      <c r="T356" t="s">
        <v>74</v>
      </c>
      <c r="U356" t="s">
        <v>74</v>
      </c>
      <c r="V356" s="3" t="s">
        <v>5027</v>
      </c>
      <c r="W356" t="s">
        <v>74</v>
      </c>
      <c r="X356" t="s">
        <v>74</v>
      </c>
      <c r="Y356" t="s">
        <v>74</v>
      </c>
      <c r="Z356" t="s">
        <v>74</v>
      </c>
      <c r="AA356" t="s">
        <v>74</v>
      </c>
      <c r="AB356" t="s">
        <v>74</v>
      </c>
      <c r="AC356" t="s">
        <v>74</v>
      </c>
      <c r="AD356" t="s">
        <v>74</v>
      </c>
      <c r="AE356" t="s">
        <v>74</v>
      </c>
      <c r="AF356" t="s">
        <v>74</v>
      </c>
      <c r="AG356" t="s">
        <v>74</v>
      </c>
      <c r="AH356" t="s">
        <v>74</v>
      </c>
      <c r="AI356" t="s">
        <v>74</v>
      </c>
      <c r="AJ356" t="s">
        <v>74</v>
      </c>
      <c r="AK356" t="s">
        <v>74</v>
      </c>
      <c r="AL356" t="s">
        <v>74</v>
      </c>
      <c r="AM356" t="s">
        <v>74</v>
      </c>
      <c r="AN356" t="s">
        <v>74</v>
      </c>
      <c r="AO356" t="s">
        <v>2582</v>
      </c>
      <c r="AP356" t="s">
        <v>2583</v>
      </c>
      <c r="AQ356" t="s">
        <v>74</v>
      </c>
      <c r="AR356" t="s">
        <v>74</v>
      </c>
      <c r="AS356" t="s">
        <v>74</v>
      </c>
      <c r="AT356" t="s">
        <v>5028</v>
      </c>
      <c r="AU356">
        <v>2024</v>
      </c>
      <c r="AV356" t="s">
        <v>74</v>
      </c>
      <c r="AW356" t="s">
        <v>74</v>
      </c>
      <c r="AX356" t="s">
        <v>74</v>
      </c>
      <c r="AY356" t="s">
        <v>74</v>
      </c>
      <c r="AZ356" t="s">
        <v>74</v>
      </c>
      <c r="BA356" t="s">
        <v>74</v>
      </c>
      <c r="BB356" t="s">
        <v>74</v>
      </c>
      <c r="BC356" t="s">
        <v>74</v>
      </c>
      <c r="BD356" t="s">
        <v>74</v>
      </c>
      <c r="BE356" t="s">
        <v>5029</v>
      </c>
      <c r="BF356" t="str">
        <f>HYPERLINK("http://dx.doi.org/10.3758/s13420-024-00638-z","http://dx.doi.org/10.3758/s13420-024-00638-z")</f>
        <v>http://dx.doi.org/10.3758/s13420-024-00638-z</v>
      </c>
      <c r="BG356" t="s">
        <v>74</v>
      </c>
      <c r="BH356" t="s">
        <v>5030</v>
      </c>
      <c r="BI356" t="s">
        <v>74</v>
      </c>
      <c r="BJ356" t="s">
        <v>74</v>
      </c>
      <c r="BK356" t="s">
        <v>74</v>
      </c>
      <c r="BL356" t="s">
        <v>74</v>
      </c>
      <c r="BM356" t="s">
        <v>74</v>
      </c>
      <c r="BN356">
        <v>39150659</v>
      </c>
      <c r="BO356" t="s">
        <v>74</v>
      </c>
      <c r="BP356" t="s">
        <v>74</v>
      </c>
      <c r="BQ356" t="s">
        <v>74</v>
      </c>
      <c r="BR356" t="s">
        <v>74</v>
      </c>
      <c r="BS356" t="s">
        <v>5031</v>
      </c>
      <c r="BT356" t="str">
        <f>HYPERLINK("https%3A%2F%2Fwww.webofscience.com%2Fwos%2Fwoscc%2Ffull-record%2FWOS:001291940700001","View Full Record in Web of Science")</f>
        <v>View Full Record in Web of Science</v>
      </c>
    </row>
    <row r="357" spans="1:72" x14ac:dyDescent="0.4">
      <c r="A357" t="s">
        <v>72</v>
      </c>
      <c r="B357" t="s">
        <v>7026</v>
      </c>
      <c r="C357" t="s">
        <v>74</v>
      </c>
      <c r="D357" t="s">
        <v>74</v>
      </c>
      <c r="E357" t="s">
        <v>74</v>
      </c>
      <c r="F357" t="s">
        <v>7027</v>
      </c>
      <c r="G357" t="s">
        <v>74</v>
      </c>
      <c r="H357" t="s">
        <v>74</v>
      </c>
      <c r="I357" t="s">
        <v>7028</v>
      </c>
      <c r="J357" t="s">
        <v>814</v>
      </c>
      <c r="K357" t="s">
        <v>74</v>
      </c>
      <c r="L357" t="s">
        <v>74</v>
      </c>
      <c r="M357" t="s">
        <v>74</v>
      </c>
      <c r="N357" t="s">
        <v>74</v>
      </c>
      <c r="O357" t="s">
        <v>74</v>
      </c>
      <c r="P357" t="s">
        <v>74</v>
      </c>
      <c r="Q357" t="s">
        <v>74</v>
      </c>
      <c r="R357" t="s">
        <v>74</v>
      </c>
      <c r="S357" t="s">
        <v>74</v>
      </c>
      <c r="T357" t="s">
        <v>74</v>
      </c>
      <c r="U357" t="s">
        <v>74</v>
      </c>
      <c r="V357" s="3" t="s">
        <v>7029</v>
      </c>
      <c r="W357" t="s">
        <v>74</v>
      </c>
      <c r="X357" t="s">
        <v>74</v>
      </c>
      <c r="Y357" t="s">
        <v>74</v>
      </c>
      <c r="Z357" t="s">
        <v>74</v>
      </c>
      <c r="AA357" t="s">
        <v>7030</v>
      </c>
      <c r="AB357" t="s">
        <v>7031</v>
      </c>
      <c r="AC357" t="s">
        <v>74</v>
      </c>
      <c r="AD357" t="s">
        <v>74</v>
      </c>
      <c r="AE357" t="s">
        <v>74</v>
      </c>
      <c r="AF357" t="s">
        <v>74</v>
      </c>
      <c r="AG357" t="s">
        <v>74</v>
      </c>
      <c r="AH357" t="s">
        <v>74</v>
      </c>
      <c r="AI357" t="s">
        <v>74</v>
      </c>
      <c r="AJ357" t="s">
        <v>74</v>
      </c>
      <c r="AK357" t="s">
        <v>74</v>
      </c>
      <c r="AL357" t="s">
        <v>74</v>
      </c>
      <c r="AM357" t="s">
        <v>74</v>
      </c>
      <c r="AN357" t="s">
        <v>74</v>
      </c>
      <c r="AO357" t="s">
        <v>818</v>
      </c>
      <c r="AP357" t="s">
        <v>1505</v>
      </c>
      <c r="AQ357" t="s">
        <v>74</v>
      </c>
      <c r="AR357" t="s">
        <v>74</v>
      </c>
      <c r="AS357" t="s">
        <v>74</v>
      </c>
      <c r="AT357" t="s">
        <v>102</v>
      </c>
      <c r="AU357">
        <v>2014</v>
      </c>
      <c r="AV357">
        <v>117</v>
      </c>
      <c r="AW357">
        <v>3</v>
      </c>
      <c r="AX357" t="s">
        <v>74</v>
      </c>
      <c r="AY357" t="s">
        <v>74</v>
      </c>
      <c r="AZ357" t="s">
        <v>74</v>
      </c>
      <c r="BA357" t="s">
        <v>74</v>
      </c>
      <c r="BB357">
        <v>179</v>
      </c>
      <c r="BC357">
        <v>184</v>
      </c>
      <c r="BD357" t="s">
        <v>74</v>
      </c>
      <c r="BE357" t="s">
        <v>7032</v>
      </c>
      <c r="BF357" t="str">
        <f>HYPERLINK("http://dx.doi.org/10.1016/j.zool.2013.09.005","http://dx.doi.org/10.1016/j.zool.2013.09.005")</f>
        <v>http://dx.doi.org/10.1016/j.zool.2013.09.005</v>
      </c>
      <c r="BG357" t="s">
        <v>74</v>
      </c>
      <c r="BH357" t="s">
        <v>74</v>
      </c>
      <c r="BI357" t="s">
        <v>74</v>
      </c>
      <c r="BJ357" t="s">
        <v>74</v>
      </c>
      <c r="BK357" t="s">
        <v>74</v>
      </c>
      <c r="BL357" t="s">
        <v>74</v>
      </c>
      <c r="BM357" t="s">
        <v>74</v>
      </c>
      <c r="BN357">
        <v>24783997</v>
      </c>
      <c r="BO357" t="s">
        <v>74</v>
      </c>
      <c r="BP357" t="s">
        <v>74</v>
      </c>
      <c r="BQ357" t="s">
        <v>74</v>
      </c>
      <c r="BR357" t="s">
        <v>74</v>
      </c>
      <c r="BS357" t="s">
        <v>7033</v>
      </c>
      <c r="BT357" t="str">
        <f>HYPERLINK("https%3A%2F%2Fwww.webofscience.com%2Fwos%2Fwoscc%2Ffull-record%2FWOS:000337884800004","View Full Record in Web of Science")</f>
        <v>View Full Record in Web of Science</v>
      </c>
    </row>
    <row r="358" spans="1:72" x14ac:dyDescent="0.4">
      <c r="A358" t="s">
        <v>72</v>
      </c>
      <c r="B358" t="s">
        <v>912</v>
      </c>
      <c r="C358" t="s">
        <v>74</v>
      </c>
      <c r="D358" t="s">
        <v>74</v>
      </c>
      <c r="E358" t="s">
        <v>74</v>
      </c>
      <c r="F358" t="s">
        <v>913</v>
      </c>
      <c r="G358" t="s">
        <v>74</v>
      </c>
      <c r="H358" t="s">
        <v>74</v>
      </c>
      <c r="I358" t="s">
        <v>914</v>
      </c>
      <c r="J358" t="s">
        <v>140</v>
      </c>
      <c r="K358" t="s">
        <v>74</v>
      </c>
      <c r="L358" t="s">
        <v>74</v>
      </c>
      <c r="M358" t="s">
        <v>74</v>
      </c>
      <c r="N358" t="s">
        <v>74</v>
      </c>
      <c r="O358" t="s">
        <v>74</v>
      </c>
      <c r="P358" t="s">
        <v>74</v>
      </c>
      <c r="Q358" t="s">
        <v>74</v>
      </c>
      <c r="R358" t="s">
        <v>74</v>
      </c>
      <c r="S358" t="s">
        <v>74</v>
      </c>
      <c r="T358" t="s">
        <v>74</v>
      </c>
      <c r="U358" t="s">
        <v>74</v>
      </c>
      <c r="V358" s="3" t="s">
        <v>915</v>
      </c>
      <c r="W358" t="s">
        <v>74</v>
      </c>
      <c r="X358" t="s">
        <v>74</v>
      </c>
      <c r="Y358" t="s">
        <v>74</v>
      </c>
      <c r="Z358" t="s">
        <v>74</v>
      </c>
      <c r="AA358" t="s">
        <v>916</v>
      </c>
      <c r="AB358" t="s">
        <v>917</v>
      </c>
      <c r="AC358" t="s">
        <v>74</v>
      </c>
      <c r="AD358" t="s">
        <v>74</v>
      </c>
      <c r="AE358" t="s">
        <v>74</v>
      </c>
      <c r="AF358" t="s">
        <v>74</v>
      </c>
      <c r="AG358" t="s">
        <v>74</v>
      </c>
      <c r="AH358" t="s">
        <v>74</v>
      </c>
      <c r="AI358" t="s">
        <v>74</v>
      </c>
      <c r="AJ358" t="s">
        <v>74</v>
      </c>
      <c r="AK358" t="s">
        <v>74</v>
      </c>
      <c r="AL358" t="s">
        <v>74</v>
      </c>
      <c r="AM358" t="s">
        <v>74</v>
      </c>
      <c r="AN358" t="s">
        <v>74</v>
      </c>
      <c r="AO358" t="s">
        <v>143</v>
      </c>
      <c r="AP358" t="s">
        <v>144</v>
      </c>
      <c r="AQ358" t="s">
        <v>74</v>
      </c>
      <c r="AR358" t="s">
        <v>74</v>
      </c>
      <c r="AS358" t="s">
        <v>74</v>
      </c>
      <c r="AT358" t="s">
        <v>633</v>
      </c>
      <c r="AU358">
        <v>2015</v>
      </c>
      <c r="AV358">
        <v>102</v>
      </c>
      <c r="AW358" t="s">
        <v>74</v>
      </c>
      <c r="AX358" t="s">
        <v>74</v>
      </c>
      <c r="AY358" t="s">
        <v>74</v>
      </c>
      <c r="AZ358" t="s">
        <v>74</v>
      </c>
      <c r="BA358" t="s">
        <v>74</v>
      </c>
      <c r="BB358">
        <v>59</v>
      </c>
      <c r="BC358">
        <v>67</v>
      </c>
      <c r="BD358" t="s">
        <v>74</v>
      </c>
      <c r="BE358" t="s">
        <v>918</v>
      </c>
      <c r="BF358" t="str">
        <f>HYPERLINK("http://dx.doi.org/10.1016/j.anbehav.2015.01.004","http://dx.doi.org/10.1016/j.anbehav.2015.01.004")</f>
        <v>http://dx.doi.org/10.1016/j.anbehav.2015.01.004</v>
      </c>
      <c r="BG358" t="s">
        <v>74</v>
      </c>
      <c r="BH358" t="s">
        <v>74</v>
      </c>
      <c r="BI358" t="s">
        <v>74</v>
      </c>
      <c r="BJ358" t="s">
        <v>74</v>
      </c>
      <c r="BK358" t="s">
        <v>74</v>
      </c>
      <c r="BL358" t="s">
        <v>74</v>
      </c>
      <c r="BM358" t="s">
        <v>74</v>
      </c>
      <c r="BN358" t="s">
        <v>74</v>
      </c>
      <c r="BO358" t="s">
        <v>74</v>
      </c>
      <c r="BP358" t="s">
        <v>74</v>
      </c>
      <c r="BQ358" t="s">
        <v>74</v>
      </c>
      <c r="BR358" t="s">
        <v>74</v>
      </c>
      <c r="BS358" t="s">
        <v>919</v>
      </c>
      <c r="BT358" t="str">
        <f>HYPERLINK("https%3A%2F%2Fwww.webofscience.com%2Fwos%2Fwoscc%2Ffull-record%2FWOS:000351058700007","View Full Record in Web of Science")</f>
        <v>View Full Record in Web of Science</v>
      </c>
    </row>
    <row r="359" spans="1:72" x14ac:dyDescent="0.4">
      <c r="A359" t="s">
        <v>72</v>
      </c>
      <c r="B359" t="s">
        <v>2853</v>
      </c>
      <c r="C359" t="s">
        <v>74</v>
      </c>
      <c r="D359" t="s">
        <v>74</v>
      </c>
      <c r="E359" t="s">
        <v>74</v>
      </c>
      <c r="F359" t="s">
        <v>2854</v>
      </c>
      <c r="G359" t="s">
        <v>74</v>
      </c>
      <c r="H359" t="s">
        <v>74</v>
      </c>
      <c r="I359" t="s">
        <v>2855</v>
      </c>
      <c r="J359" t="s">
        <v>2856</v>
      </c>
      <c r="K359" t="s">
        <v>74</v>
      </c>
      <c r="L359" t="s">
        <v>74</v>
      </c>
      <c r="M359" t="s">
        <v>74</v>
      </c>
      <c r="N359" t="s">
        <v>74</v>
      </c>
      <c r="O359" t="s">
        <v>2857</v>
      </c>
      <c r="P359" t="s">
        <v>2858</v>
      </c>
      <c r="Q359" t="s">
        <v>2859</v>
      </c>
      <c r="R359" t="s">
        <v>74</v>
      </c>
      <c r="S359" t="s">
        <v>74</v>
      </c>
      <c r="T359" t="s">
        <v>74</v>
      </c>
      <c r="U359" t="s">
        <v>74</v>
      </c>
      <c r="V359" s="3" t="s">
        <v>2860</v>
      </c>
      <c r="W359" t="s">
        <v>74</v>
      </c>
      <c r="X359" t="s">
        <v>74</v>
      </c>
      <c r="Y359" t="s">
        <v>74</v>
      </c>
      <c r="Z359" t="s">
        <v>74</v>
      </c>
      <c r="AA359" t="s">
        <v>74</v>
      </c>
      <c r="AB359" t="s">
        <v>74</v>
      </c>
      <c r="AC359" t="s">
        <v>74</v>
      </c>
      <c r="AD359" t="s">
        <v>74</v>
      </c>
      <c r="AE359" t="s">
        <v>74</v>
      </c>
      <c r="AF359" t="s">
        <v>74</v>
      </c>
      <c r="AG359" t="s">
        <v>74</v>
      </c>
      <c r="AH359" t="s">
        <v>74</v>
      </c>
      <c r="AI359" t="s">
        <v>74</v>
      </c>
      <c r="AJ359" t="s">
        <v>74</v>
      </c>
      <c r="AK359" t="s">
        <v>74</v>
      </c>
      <c r="AL359" t="s">
        <v>74</v>
      </c>
      <c r="AM359" t="s">
        <v>74</v>
      </c>
      <c r="AN359" t="s">
        <v>74</v>
      </c>
      <c r="AO359" t="s">
        <v>2861</v>
      </c>
      <c r="AP359" t="s">
        <v>2862</v>
      </c>
      <c r="AQ359" t="s">
        <v>74</v>
      </c>
      <c r="AR359" t="s">
        <v>74</v>
      </c>
      <c r="AS359" t="s">
        <v>74</v>
      </c>
      <c r="AT359" t="s">
        <v>123</v>
      </c>
      <c r="AU359">
        <v>2019</v>
      </c>
      <c r="AV359">
        <v>14</v>
      </c>
      <c r="AW359">
        <v>2</v>
      </c>
      <c r="AX359" t="s">
        <v>74</v>
      </c>
      <c r="AY359" t="s">
        <v>74</v>
      </c>
      <c r="AZ359" t="s">
        <v>848</v>
      </c>
      <c r="BA359" t="s">
        <v>74</v>
      </c>
      <c r="BB359">
        <v>214</v>
      </c>
      <c r="BC359">
        <v>222</v>
      </c>
      <c r="BD359" t="s">
        <v>74</v>
      </c>
      <c r="BE359" t="s">
        <v>2863</v>
      </c>
      <c r="BF359" t="str">
        <f>HYPERLINK("http://dx.doi.org/10.1111/1749-4877.12303","http://dx.doi.org/10.1111/1749-4877.12303")</f>
        <v>http://dx.doi.org/10.1111/1749-4877.12303</v>
      </c>
      <c r="BG359" t="s">
        <v>74</v>
      </c>
      <c r="BH359" t="s">
        <v>74</v>
      </c>
      <c r="BI359" t="s">
        <v>74</v>
      </c>
      <c r="BJ359" t="s">
        <v>74</v>
      </c>
      <c r="BK359" t="s">
        <v>74</v>
      </c>
      <c r="BL359" t="s">
        <v>74</v>
      </c>
      <c r="BM359" t="s">
        <v>74</v>
      </c>
      <c r="BN359">
        <v>29316228</v>
      </c>
      <c r="BO359" t="s">
        <v>74</v>
      </c>
      <c r="BP359" t="s">
        <v>74</v>
      </c>
      <c r="BQ359" t="s">
        <v>74</v>
      </c>
      <c r="BR359" t="s">
        <v>74</v>
      </c>
      <c r="BS359" t="s">
        <v>2864</v>
      </c>
      <c r="BT359" t="str">
        <f>HYPERLINK("https%3A%2F%2Fwww.webofscience.com%2Fwos%2Fwoscc%2Ffull-record%2FWOS:000462130200009","View Full Record in Web of Science")</f>
        <v>View Full Record in Web of Science</v>
      </c>
    </row>
    <row r="360" spans="1:72" x14ac:dyDescent="0.4">
      <c r="A360" t="s">
        <v>72</v>
      </c>
      <c r="B360" t="s">
        <v>7280</v>
      </c>
      <c r="C360" t="s">
        <v>74</v>
      </c>
      <c r="D360" t="s">
        <v>74</v>
      </c>
      <c r="E360" t="s">
        <v>74</v>
      </c>
      <c r="F360" t="s">
        <v>7281</v>
      </c>
      <c r="G360" t="s">
        <v>74</v>
      </c>
      <c r="H360" t="s">
        <v>74</v>
      </c>
      <c r="I360" t="s">
        <v>7282</v>
      </c>
      <c r="J360" t="s">
        <v>77</v>
      </c>
      <c r="K360" t="s">
        <v>74</v>
      </c>
      <c r="L360" t="s">
        <v>74</v>
      </c>
      <c r="M360" t="s">
        <v>74</v>
      </c>
      <c r="N360" t="s">
        <v>74</v>
      </c>
      <c r="O360" t="s">
        <v>74</v>
      </c>
      <c r="P360" t="s">
        <v>74</v>
      </c>
      <c r="Q360" t="s">
        <v>74</v>
      </c>
      <c r="R360" t="s">
        <v>74</v>
      </c>
      <c r="S360" t="s">
        <v>74</v>
      </c>
      <c r="T360" t="s">
        <v>74</v>
      </c>
      <c r="U360" t="s">
        <v>74</v>
      </c>
      <c r="V360" s="3" t="s">
        <v>7283</v>
      </c>
      <c r="W360" t="s">
        <v>74</v>
      </c>
      <c r="X360" t="s">
        <v>74</v>
      </c>
      <c r="Y360" t="s">
        <v>74</v>
      </c>
      <c r="Z360" t="s">
        <v>74</v>
      </c>
      <c r="AA360" t="s">
        <v>7284</v>
      </c>
      <c r="AB360" t="s">
        <v>6078</v>
      </c>
      <c r="AC360" t="s">
        <v>74</v>
      </c>
      <c r="AD360" t="s">
        <v>74</v>
      </c>
      <c r="AE360" t="s">
        <v>74</v>
      </c>
      <c r="AF360" t="s">
        <v>74</v>
      </c>
      <c r="AG360" t="s">
        <v>74</v>
      </c>
      <c r="AH360" t="s">
        <v>74</v>
      </c>
      <c r="AI360" t="s">
        <v>74</v>
      </c>
      <c r="AJ360" t="s">
        <v>74</v>
      </c>
      <c r="AK360" t="s">
        <v>74</v>
      </c>
      <c r="AL360" t="s">
        <v>74</v>
      </c>
      <c r="AM360" t="s">
        <v>74</v>
      </c>
      <c r="AN360" t="s">
        <v>74</v>
      </c>
      <c r="AO360" t="s">
        <v>81</v>
      </c>
      <c r="AP360" t="s">
        <v>82</v>
      </c>
      <c r="AQ360" t="s">
        <v>74</v>
      </c>
      <c r="AR360" t="s">
        <v>74</v>
      </c>
      <c r="AS360" t="s">
        <v>74</v>
      </c>
      <c r="AT360" t="s">
        <v>74</v>
      </c>
      <c r="AU360">
        <v>2015</v>
      </c>
      <c r="AV360">
        <v>152</v>
      </c>
      <c r="AW360" t="s">
        <v>6362</v>
      </c>
      <c r="AX360" t="s">
        <v>74</v>
      </c>
      <c r="AY360" t="s">
        <v>74</v>
      </c>
      <c r="AZ360" t="s">
        <v>74</v>
      </c>
      <c r="BA360" t="s">
        <v>74</v>
      </c>
      <c r="BB360">
        <v>1769</v>
      </c>
      <c r="BC360">
        <v>1781</v>
      </c>
      <c r="BD360" t="s">
        <v>74</v>
      </c>
      <c r="BE360" t="s">
        <v>7285</v>
      </c>
      <c r="BF360" t="str">
        <f>HYPERLINK("http://dx.doi.org/10.1163/1568539X-00003303","http://dx.doi.org/10.1163/1568539X-00003303")</f>
        <v>http://dx.doi.org/10.1163/1568539X-00003303</v>
      </c>
      <c r="BG360" t="s">
        <v>74</v>
      </c>
      <c r="BH360" t="s">
        <v>74</v>
      </c>
      <c r="BI360" t="s">
        <v>74</v>
      </c>
      <c r="BJ360" t="s">
        <v>74</v>
      </c>
      <c r="BK360" t="s">
        <v>74</v>
      </c>
      <c r="BL360" t="s">
        <v>74</v>
      </c>
      <c r="BM360" t="s">
        <v>74</v>
      </c>
      <c r="BN360" t="s">
        <v>74</v>
      </c>
      <c r="BO360" t="s">
        <v>74</v>
      </c>
      <c r="BP360" t="s">
        <v>74</v>
      </c>
      <c r="BQ360" t="s">
        <v>74</v>
      </c>
      <c r="BR360" t="s">
        <v>74</v>
      </c>
      <c r="BS360" t="s">
        <v>7286</v>
      </c>
      <c r="BT360" t="str">
        <f>HYPERLINK("https%3A%2F%2Fwww.webofscience.com%2Fwos%2Fwoscc%2Ffull-record%2FWOS:000362911000009","View Full Record in Web of Science")</f>
        <v>View Full Record in Web of Science</v>
      </c>
    </row>
    <row r="361" spans="1:72" x14ac:dyDescent="0.4">
      <c r="A361" t="s">
        <v>72</v>
      </c>
      <c r="B361" t="s">
        <v>3511</v>
      </c>
      <c r="C361" t="s">
        <v>74</v>
      </c>
      <c r="D361" t="s">
        <v>74</v>
      </c>
      <c r="E361" t="s">
        <v>74</v>
      </c>
      <c r="F361" t="s">
        <v>3511</v>
      </c>
      <c r="G361" t="s">
        <v>74</v>
      </c>
      <c r="H361" t="s">
        <v>74</v>
      </c>
      <c r="I361" t="s">
        <v>3512</v>
      </c>
      <c r="J361" t="s">
        <v>344</v>
      </c>
      <c r="K361" t="s">
        <v>74</v>
      </c>
      <c r="L361" t="s">
        <v>74</v>
      </c>
      <c r="M361" t="s">
        <v>74</v>
      </c>
      <c r="N361" t="s">
        <v>74</v>
      </c>
      <c r="O361" t="s">
        <v>74</v>
      </c>
      <c r="P361" t="s">
        <v>74</v>
      </c>
      <c r="Q361" t="s">
        <v>74</v>
      </c>
      <c r="R361" t="s">
        <v>74</v>
      </c>
      <c r="S361" t="s">
        <v>74</v>
      </c>
      <c r="T361" t="s">
        <v>74</v>
      </c>
      <c r="U361" t="s">
        <v>74</v>
      </c>
      <c r="V361" s="3" t="s">
        <v>3513</v>
      </c>
      <c r="W361" t="s">
        <v>74</v>
      </c>
      <c r="X361" t="s">
        <v>74</v>
      </c>
      <c r="Y361" t="s">
        <v>74</v>
      </c>
      <c r="Z361" t="s">
        <v>74</v>
      </c>
      <c r="AA361" t="s">
        <v>74</v>
      </c>
      <c r="AB361" t="s">
        <v>3514</v>
      </c>
      <c r="AC361" t="s">
        <v>74</v>
      </c>
      <c r="AD361" t="s">
        <v>74</v>
      </c>
      <c r="AE361" t="s">
        <v>74</v>
      </c>
      <c r="AF361" t="s">
        <v>74</v>
      </c>
      <c r="AG361" t="s">
        <v>74</v>
      </c>
      <c r="AH361" t="s">
        <v>74</v>
      </c>
      <c r="AI361" t="s">
        <v>74</v>
      </c>
      <c r="AJ361" t="s">
        <v>74</v>
      </c>
      <c r="AK361" t="s">
        <v>74</v>
      </c>
      <c r="AL361" t="s">
        <v>74</v>
      </c>
      <c r="AM361" t="s">
        <v>74</v>
      </c>
      <c r="AN361" t="s">
        <v>74</v>
      </c>
      <c r="AO361" t="s">
        <v>346</v>
      </c>
      <c r="AP361" t="s">
        <v>74</v>
      </c>
      <c r="AQ361" t="s">
        <v>74</v>
      </c>
      <c r="AR361" t="s">
        <v>74</v>
      </c>
      <c r="AS361" t="s">
        <v>74</v>
      </c>
      <c r="AT361" t="s">
        <v>145</v>
      </c>
      <c r="AU361">
        <v>2001</v>
      </c>
      <c r="AV361">
        <v>61</v>
      </c>
      <c r="AW361">
        <v>4</v>
      </c>
      <c r="AX361" t="s">
        <v>74</v>
      </c>
      <c r="AY361" t="s">
        <v>74</v>
      </c>
      <c r="AZ361" t="s">
        <v>74</v>
      </c>
      <c r="BA361" t="s">
        <v>74</v>
      </c>
      <c r="BB361">
        <v>419</v>
      </c>
      <c r="BC361">
        <v>426</v>
      </c>
      <c r="BD361" t="s">
        <v>74</v>
      </c>
      <c r="BE361" t="s">
        <v>3515</v>
      </c>
      <c r="BF361" t="str">
        <f>HYPERLINK("http://dx.doi.org/10.1023/A:1011658503017","http://dx.doi.org/10.1023/A:1011658503017")</f>
        <v>http://dx.doi.org/10.1023/A:1011658503017</v>
      </c>
      <c r="BG361" t="s">
        <v>74</v>
      </c>
      <c r="BH361" t="s">
        <v>74</v>
      </c>
      <c r="BI361" t="s">
        <v>74</v>
      </c>
      <c r="BJ361" t="s">
        <v>74</v>
      </c>
      <c r="BK361" t="s">
        <v>74</v>
      </c>
      <c r="BL361" t="s">
        <v>74</v>
      </c>
      <c r="BM361" t="s">
        <v>74</v>
      </c>
      <c r="BN361" t="s">
        <v>74</v>
      </c>
      <c r="BO361" t="s">
        <v>74</v>
      </c>
      <c r="BP361" t="s">
        <v>74</v>
      </c>
      <c r="BQ361" t="s">
        <v>74</v>
      </c>
      <c r="BR361" t="s">
        <v>74</v>
      </c>
      <c r="BS361" t="s">
        <v>3516</v>
      </c>
      <c r="BT361" t="str">
        <f>HYPERLINK("https%3A%2F%2Fwww.webofscience.com%2Fwos%2Fwoscc%2Ffull-record%2FWOS:000170725900008","View Full Record in Web of Science")</f>
        <v>View Full Record in Web of Science</v>
      </c>
    </row>
    <row r="362" spans="1:72" x14ac:dyDescent="0.4">
      <c r="A362" t="s">
        <v>72</v>
      </c>
      <c r="B362" t="s">
        <v>2375</v>
      </c>
      <c r="C362" t="s">
        <v>74</v>
      </c>
      <c r="D362" t="s">
        <v>74</v>
      </c>
      <c r="E362" t="s">
        <v>74</v>
      </c>
      <c r="F362" t="s">
        <v>2376</v>
      </c>
      <c r="G362" t="s">
        <v>74</v>
      </c>
      <c r="H362" t="s">
        <v>74</v>
      </c>
      <c r="I362" t="s">
        <v>2377</v>
      </c>
      <c r="J362" t="s">
        <v>775</v>
      </c>
      <c r="K362" t="s">
        <v>74</v>
      </c>
      <c r="L362" t="s">
        <v>74</v>
      </c>
      <c r="M362" t="s">
        <v>74</v>
      </c>
      <c r="N362" t="s">
        <v>74</v>
      </c>
      <c r="O362" t="s">
        <v>74</v>
      </c>
      <c r="P362" t="s">
        <v>74</v>
      </c>
      <c r="Q362" t="s">
        <v>74</v>
      </c>
      <c r="R362" t="s">
        <v>74</v>
      </c>
      <c r="S362" t="s">
        <v>74</v>
      </c>
      <c r="T362" t="s">
        <v>74</v>
      </c>
      <c r="U362" t="s">
        <v>74</v>
      </c>
      <c r="V362" s="3" t="s">
        <v>2378</v>
      </c>
      <c r="W362" t="s">
        <v>74</v>
      </c>
      <c r="X362" t="s">
        <v>74</v>
      </c>
      <c r="Y362" t="s">
        <v>74</v>
      </c>
      <c r="Z362" t="s">
        <v>74</v>
      </c>
      <c r="AA362" t="s">
        <v>74</v>
      </c>
      <c r="AB362" t="s">
        <v>74</v>
      </c>
      <c r="AC362" t="s">
        <v>74</v>
      </c>
      <c r="AD362" t="s">
        <v>74</v>
      </c>
      <c r="AE362" t="s">
        <v>74</v>
      </c>
      <c r="AF362" t="s">
        <v>74</v>
      </c>
      <c r="AG362" t="s">
        <v>74</v>
      </c>
      <c r="AH362" t="s">
        <v>74</v>
      </c>
      <c r="AI362" t="s">
        <v>74</v>
      </c>
      <c r="AJ362" t="s">
        <v>74</v>
      </c>
      <c r="AK362" t="s">
        <v>74</v>
      </c>
      <c r="AL362" t="s">
        <v>74</v>
      </c>
      <c r="AM362" t="s">
        <v>74</v>
      </c>
      <c r="AN362" t="s">
        <v>74</v>
      </c>
      <c r="AO362" t="s">
        <v>778</v>
      </c>
      <c r="AP362" t="s">
        <v>779</v>
      </c>
      <c r="AQ362" t="s">
        <v>74</v>
      </c>
      <c r="AR362" t="s">
        <v>74</v>
      </c>
      <c r="AS362" t="s">
        <v>74</v>
      </c>
      <c r="AT362" t="s">
        <v>102</v>
      </c>
      <c r="AU362">
        <v>2019</v>
      </c>
      <c r="AV362">
        <v>65</v>
      </c>
      <c r="AW362">
        <v>3</v>
      </c>
      <c r="AX362" t="s">
        <v>74</v>
      </c>
      <c r="AY362" t="s">
        <v>74</v>
      </c>
      <c r="AZ362" t="s">
        <v>74</v>
      </c>
      <c r="BA362" t="s">
        <v>74</v>
      </c>
      <c r="BB362">
        <v>323</v>
      </c>
      <c r="BC362">
        <v>332</v>
      </c>
      <c r="BD362" t="s">
        <v>74</v>
      </c>
      <c r="BE362" t="s">
        <v>2379</v>
      </c>
      <c r="BF362" t="str">
        <f>HYPERLINK("http://dx.doi.org/10.1093/cz/zoz029","http://dx.doi.org/10.1093/cz/zoz029")</f>
        <v>http://dx.doi.org/10.1093/cz/zoz029</v>
      </c>
      <c r="BG362" t="s">
        <v>74</v>
      </c>
      <c r="BH362" t="s">
        <v>74</v>
      </c>
      <c r="BI362" t="s">
        <v>74</v>
      </c>
      <c r="BJ362" t="s">
        <v>74</v>
      </c>
      <c r="BK362" t="s">
        <v>74</v>
      </c>
      <c r="BL362" t="s">
        <v>74</v>
      </c>
      <c r="BM362" t="s">
        <v>74</v>
      </c>
      <c r="BN362">
        <v>31263491</v>
      </c>
      <c r="BO362" t="s">
        <v>74</v>
      </c>
      <c r="BP362" t="s">
        <v>74</v>
      </c>
      <c r="BQ362" t="s">
        <v>74</v>
      </c>
      <c r="BR362" t="s">
        <v>74</v>
      </c>
      <c r="BS362" t="s">
        <v>2380</v>
      </c>
      <c r="BT362" t="str">
        <f>HYPERLINK("https%3A%2F%2Fwww.webofscience.com%2Fwos%2Fwoscc%2Ffull-record%2FWOS:000475905500012","View Full Record in Web of Science")</f>
        <v>View Full Record in Web of Science</v>
      </c>
    </row>
    <row r="363" spans="1:72" x14ac:dyDescent="0.4">
      <c r="A363" t="s">
        <v>72</v>
      </c>
      <c r="B363" t="s">
        <v>7445</v>
      </c>
      <c r="C363" t="s">
        <v>74</v>
      </c>
      <c r="D363" t="s">
        <v>74</v>
      </c>
      <c r="E363" t="s">
        <v>74</v>
      </c>
      <c r="F363" t="s">
        <v>7446</v>
      </c>
      <c r="G363" t="s">
        <v>74</v>
      </c>
      <c r="H363" t="s">
        <v>74</v>
      </c>
      <c r="I363" t="s">
        <v>7447</v>
      </c>
      <c r="J363" t="s">
        <v>6226</v>
      </c>
      <c r="K363" t="s">
        <v>74</v>
      </c>
      <c r="L363" t="s">
        <v>74</v>
      </c>
      <c r="M363" t="s">
        <v>74</v>
      </c>
      <c r="N363" t="s">
        <v>74</v>
      </c>
      <c r="O363" t="s">
        <v>74</v>
      </c>
      <c r="P363" t="s">
        <v>74</v>
      </c>
      <c r="Q363" t="s">
        <v>74</v>
      </c>
      <c r="R363" t="s">
        <v>74</v>
      </c>
      <c r="S363" t="s">
        <v>74</v>
      </c>
      <c r="T363" t="s">
        <v>74</v>
      </c>
      <c r="U363" t="s">
        <v>74</v>
      </c>
      <c r="V363" s="3" t="s">
        <v>7448</v>
      </c>
      <c r="W363" t="s">
        <v>74</v>
      </c>
      <c r="X363" t="s">
        <v>74</v>
      </c>
      <c r="Y363" t="s">
        <v>74</v>
      </c>
      <c r="Z363" t="s">
        <v>74</v>
      </c>
      <c r="AA363" t="s">
        <v>74</v>
      </c>
      <c r="AB363" t="s">
        <v>74</v>
      </c>
      <c r="AC363" t="s">
        <v>74</v>
      </c>
      <c r="AD363" t="s">
        <v>74</v>
      </c>
      <c r="AE363" t="s">
        <v>74</v>
      </c>
      <c r="AF363" t="s">
        <v>74</v>
      </c>
      <c r="AG363" t="s">
        <v>74</v>
      </c>
      <c r="AH363" t="s">
        <v>74</v>
      </c>
      <c r="AI363" t="s">
        <v>74</v>
      </c>
      <c r="AJ363" t="s">
        <v>74</v>
      </c>
      <c r="AK363" t="s">
        <v>74</v>
      </c>
      <c r="AL363" t="s">
        <v>74</v>
      </c>
      <c r="AM363" t="s">
        <v>74</v>
      </c>
      <c r="AN363" t="s">
        <v>74</v>
      </c>
      <c r="AO363" t="s">
        <v>6228</v>
      </c>
      <c r="AP363" t="s">
        <v>6229</v>
      </c>
      <c r="AQ363" t="s">
        <v>74</v>
      </c>
      <c r="AR363" t="s">
        <v>74</v>
      </c>
      <c r="AS363" t="s">
        <v>74</v>
      </c>
      <c r="AT363" t="s">
        <v>2177</v>
      </c>
      <c r="AU363">
        <v>2022</v>
      </c>
      <c r="AV363">
        <v>61</v>
      </c>
      <c r="AW363" t="s">
        <v>74</v>
      </c>
      <c r="AX363" t="s">
        <v>74</v>
      </c>
      <c r="AY363" t="s">
        <v>74</v>
      </c>
      <c r="AZ363" t="s">
        <v>74</v>
      </c>
      <c r="BA363" t="s">
        <v>74</v>
      </c>
      <c r="BB363" t="s">
        <v>74</v>
      </c>
      <c r="BC363" t="s">
        <v>74</v>
      </c>
      <c r="BD363">
        <v>76</v>
      </c>
      <c r="BE363" t="s">
        <v>7449</v>
      </c>
      <c r="BF363" t="str">
        <f>HYPERLINK("http://dx.doi.org/10.6620/ZS.2022.61-76","http://dx.doi.org/10.6620/ZS.2022.61-76")</f>
        <v>http://dx.doi.org/10.6620/ZS.2022.61-76</v>
      </c>
      <c r="BG363" t="s">
        <v>74</v>
      </c>
      <c r="BH363" t="s">
        <v>74</v>
      </c>
      <c r="BI363" t="s">
        <v>74</v>
      </c>
      <c r="BJ363" t="s">
        <v>74</v>
      </c>
      <c r="BK363" t="s">
        <v>74</v>
      </c>
      <c r="BL363" t="s">
        <v>74</v>
      </c>
      <c r="BM363" t="s">
        <v>74</v>
      </c>
      <c r="BN363">
        <v>37007821</v>
      </c>
      <c r="BO363" t="s">
        <v>74</v>
      </c>
      <c r="BP363" t="s">
        <v>74</v>
      </c>
      <c r="BQ363" t="s">
        <v>74</v>
      </c>
      <c r="BR363" t="s">
        <v>74</v>
      </c>
      <c r="BS363" t="s">
        <v>7450</v>
      </c>
      <c r="BT363" t="str">
        <f>HYPERLINK("https%3A%2F%2Fwww.webofscience.com%2Fwos%2Fwoscc%2Ffull-record%2FWOS:001026426500001","View Full Record in Web of Science")</f>
        <v>View Full Record in Web of Science</v>
      </c>
    </row>
    <row r="364" spans="1:72" x14ac:dyDescent="0.4">
      <c r="A364" t="s">
        <v>72</v>
      </c>
      <c r="B364" t="s">
        <v>8149</v>
      </c>
      <c r="C364" t="s">
        <v>74</v>
      </c>
      <c r="D364" t="s">
        <v>74</v>
      </c>
      <c r="E364" t="s">
        <v>74</v>
      </c>
      <c r="F364" t="s">
        <v>8149</v>
      </c>
      <c r="G364" t="s">
        <v>74</v>
      </c>
      <c r="H364" t="s">
        <v>74</v>
      </c>
      <c r="I364" t="s">
        <v>8150</v>
      </c>
      <c r="J364" t="s">
        <v>129</v>
      </c>
      <c r="K364" t="s">
        <v>74</v>
      </c>
      <c r="L364" t="s">
        <v>74</v>
      </c>
      <c r="M364" t="s">
        <v>74</v>
      </c>
      <c r="N364" t="s">
        <v>74</v>
      </c>
      <c r="O364" t="s">
        <v>74</v>
      </c>
      <c r="P364" t="s">
        <v>74</v>
      </c>
      <c r="Q364" t="s">
        <v>74</v>
      </c>
      <c r="R364" t="s">
        <v>74</v>
      </c>
      <c r="S364" t="s">
        <v>74</v>
      </c>
      <c r="T364" t="s">
        <v>74</v>
      </c>
      <c r="U364" t="s">
        <v>74</v>
      </c>
      <c r="V364" s="3" t="s">
        <v>8151</v>
      </c>
      <c r="W364" t="s">
        <v>74</v>
      </c>
      <c r="X364" t="s">
        <v>74</v>
      </c>
      <c r="Y364" t="s">
        <v>74</v>
      </c>
      <c r="Z364" t="s">
        <v>74</v>
      </c>
      <c r="AA364" t="s">
        <v>8152</v>
      </c>
      <c r="AB364" t="s">
        <v>8153</v>
      </c>
      <c r="AC364" t="s">
        <v>74</v>
      </c>
      <c r="AD364" t="s">
        <v>74</v>
      </c>
      <c r="AE364" t="s">
        <v>74</v>
      </c>
      <c r="AF364" t="s">
        <v>74</v>
      </c>
      <c r="AG364" t="s">
        <v>74</v>
      </c>
      <c r="AH364" t="s">
        <v>74</v>
      </c>
      <c r="AI364" t="s">
        <v>74</v>
      </c>
      <c r="AJ364" t="s">
        <v>74</v>
      </c>
      <c r="AK364" t="s">
        <v>74</v>
      </c>
      <c r="AL364" t="s">
        <v>74</v>
      </c>
      <c r="AM364" t="s">
        <v>74</v>
      </c>
      <c r="AN364" t="s">
        <v>74</v>
      </c>
      <c r="AO364" t="s">
        <v>132</v>
      </c>
      <c r="AP364" t="s">
        <v>74</v>
      </c>
      <c r="AQ364" t="s">
        <v>74</v>
      </c>
      <c r="AR364" t="s">
        <v>74</v>
      </c>
      <c r="AS364" t="s">
        <v>74</v>
      </c>
      <c r="AT364" t="s">
        <v>175</v>
      </c>
      <c r="AU364">
        <v>1999</v>
      </c>
      <c r="AV364">
        <v>46</v>
      </c>
      <c r="AW364">
        <v>5</v>
      </c>
      <c r="AX364" t="s">
        <v>74</v>
      </c>
      <c r="AY364" t="s">
        <v>74</v>
      </c>
      <c r="AZ364" t="s">
        <v>74</v>
      </c>
      <c r="BA364" t="s">
        <v>74</v>
      </c>
      <c r="BB364">
        <v>333</v>
      </c>
      <c r="BC364">
        <v>340</v>
      </c>
      <c r="BD364" t="s">
        <v>74</v>
      </c>
      <c r="BE364" t="s">
        <v>8154</v>
      </c>
      <c r="BF364" t="str">
        <f>HYPERLINK("http://dx.doi.org/10.1007/s002650050627","http://dx.doi.org/10.1007/s002650050627")</f>
        <v>http://dx.doi.org/10.1007/s002650050627</v>
      </c>
      <c r="BG364" t="s">
        <v>74</v>
      </c>
      <c r="BH364" t="s">
        <v>74</v>
      </c>
      <c r="BI364" t="s">
        <v>74</v>
      </c>
      <c r="BJ364" t="s">
        <v>74</v>
      </c>
      <c r="BK364" t="s">
        <v>74</v>
      </c>
      <c r="BL364" t="s">
        <v>74</v>
      </c>
      <c r="BM364" t="s">
        <v>74</v>
      </c>
      <c r="BN364" t="s">
        <v>74</v>
      </c>
      <c r="BO364" t="s">
        <v>74</v>
      </c>
      <c r="BP364" t="s">
        <v>74</v>
      </c>
      <c r="BQ364" t="s">
        <v>74</v>
      </c>
      <c r="BR364" t="s">
        <v>74</v>
      </c>
      <c r="BS364" t="s">
        <v>8155</v>
      </c>
      <c r="BT364" t="str">
        <f>HYPERLINK("https%3A%2F%2Fwww.webofscience.com%2Fwos%2Fwoscc%2Ffull-record%2FWOS:000083089800006","View Full Record in Web of Science")</f>
        <v>View Full Record in Web of Science</v>
      </c>
    </row>
    <row r="365" spans="1:72" x14ac:dyDescent="0.4">
      <c r="A365" t="s">
        <v>72</v>
      </c>
      <c r="B365" t="s">
        <v>1060</v>
      </c>
      <c r="C365" t="s">
        <v>74</v>
      </c>
      <c r="D365" t="s">
        <v>74</v>
      </c>
      <c r="E365" t="s">
        <v>74</v>
      </c>
      <c r="F365" t="s">
        <v>1061</v>
      </c>
      <c r="G365" t="s">
        <v>74</v>
      </c>
      <c r="H365" t="s">
        <v>74</v>
      </c>
      <c r="I365" t="s">
        <v>1062</v>
      </c>
      <c r="J365" t="s">
        <v>654</v>
      </c>
      <c r="K365" t="s">
        <v>74</v>
      </c>
      <c r="L365" t="s">
        <v>74</v>
      </c>
      <c r="M365" t="s">
        <v>74</v>
      </c>
      <c r="N365" t="s">
        <v>74</v>
      </c>
      <c r="O365" t="s">
        <v>74</v>
      </c>
      <c r="P365" t="s">
        <v>74</v>
      </c>
      <c r="Q365" t="s">
        <v>74</v>
      </c>
      <c r="R365" t="s">
        <v>74</v>
      </c>
      <c r="S365" t="s">
        <v>74</v>
      </c>
      <c r="T365" t="s">
        <v>74</v>
      </c>
      <c r="U365" t="s">
        <v>74</v>
      </c>
      <c r="V365" s="3" t="s">
        <v>1063</v>
      </c>
      <c r="W365" t="s">
        <v>74</v>
      </c>
      <c r="X365" t="s">
        <v>74</v>
      </c>
      <c r="Y365" t="s">
        <v>74</v>
      </c>
      <c r="Z365" t="s">
        <v>74</v>
      </c>
      <c r="AA365" t="s">
        <v>1064</v>
      </c>
      <c r="AB365" t="s">
        <v>1065</v>
      </c>
      <c r="AC365" t="s">
        <v>74</v>
      </c>
      <c r="AD365" t="s">
        <v>74</v>
      </c>
      <c r="AE365" t="s">
        <v>74</v>
      </c>
      <c r="AF365" t="s">
        <v>74</v>
      </c>
      <c r="AG365" t="s">
        <v>74</v>
      </c>
      <c r="AH365" t="s">
        <v>74</v>
      </c>
      <c r="AI365" t="s">
        <v>74</v>
      </c>
      <c r="AJ365" t="s">
        <v>74</v>
      </c>
      <c r="AK365" t="s">
        <v>74</v>
      </c>
      <c r="AL365" t="s">
        <v>74</v>
      </c>
      <c r="AM365" t="s">
        <v>74</v>
      </c>
      <c r="AN365" t="s">
        <v>74</v>
      </c>
      <c r="AO365" t="s">
        <v>658</v>
      </c>
      <c r="AP365" t="s">
        <v>74</v>
      </c>
      <c r="AQ365" t="s">
        <v>74</v>
      </c>
      <c r="AR365" t="s">
        <v>74</v>
      </c>
      <c r="AS365" t="s">
        <v>74</v>
      </c>
      <c r="AT365" t="s">
        <v>352</v>
      </c>
      <c r="AU365">
        <v>2020</v>
      </c>
      <c r="AV365">
        <v>10</v>
      </c>
      <c r="AW365">
        <v>18</v>
      </c>
      <c r="AX365" t="s">
        <v>74</v>
      </c>
      <c r="AY365" t="s">
        <v>74</v>
      </c>
      <c r="AZ365" t="s">
        <v>74</v>
      </c>
      <c r="BA365" t="s">
        <v>74</v>
      </c>
      <c r="BB365">
        <v>9663</v>
      </c>
      <c r="BC365">
        <v>9681</v>
      </c>
      <c r="BD365" t="s">
        <v>74</v>
      </c>
      <c r="BE365" t="s">
        <v>1066</v>
      </c>
      <c r="BF365" t="str">
        <f>HYPERLINK("http://dx.doi.org/10.1002/ece3.6566","http://dx.doi.org/10.1002/ece3.6566")</f>
        <v>http://dx.doi.org/10.1002/ece3.6566</v>
      </c>
      <c r="BG365" t="s">
        <v>74</v>
      </c>
      <c r="BH365" t="s">
        <v>1067</v>
      </c>
      <c r="BI365" t="s">
        <v>74</v>
      </c>
      <c r="BJ365" t="s">
        <v>74</v>
      </c>
      <c r="BK365" t="s">
        <v>74</v>
      </c>
      <c r="BL365" t="s">
        <v>74</v>
      </c>
      <c r="BM365" t="s">
        <v>74</v>
      </c>
      <c r="BN365">
        <v>33005338</v>
      </c>
      <c r="BO365" t="s">
        <v>74</v>
      </c>
      <c r="BP365" t="s">
        <v>74</v>
      </c>
      <c r="BQ365" t="s">
        <v>74</v>
      </c>
      <c r="BR365" t="s">
        <v>74</v>
      </c>
      <c r="BS365" t="s">
        <v>1068</v>
      </c>
      <c r="BT365" t="str">
        <f>HYPERLINK("https%3A%2F%2Fwww.webofscience.com%2Fwos%2Fwoscc%2Ffull-record%2FWOS:000565433500001","View Full Record in Web of Science")</f>
        <v>View Full Record in Web of Science</v>
      </c>
    </row>
    <row r="366" spans="1:72" x14ac:dyDescent="0.4">
      <c r="A366" t="s">
        <v>72</v>
      </c>
      <c r="B366" t="s">
        <v>2712</v>
      </c>
      <c r="C366" t="s">
        <v>74</v>
      </c>
      <c r="D366" t="s">
        <v>74</v>
      </c>
      <c r="E366" t="s">
        <v>74</v>
      </c>
      <c r="F366" t="s">
        <v>2713</v>
      </c>
      <c r="G366" t="s">
        <v>74</v>
      </c>
      <c r="H366" t="s">
        <v>74</v>
      </c>
      <c r="I366" t="s">
        <v>2714</v>
      </c>
      <c r="J366" t="s">
        <v>129</v>
      </c>
      <c r="K366" t="s">
        <v>74</v>
      </c>
      <c r="L366" t="s">
        <v>74</v>
      </c>
      <c r="M366" t="s">
        <v>74</v>
      </c>
      <c r="N366" t="s">
        <v>74</v>
      </c>
      <c r="O366" t="s">
        <v>74</v>
      </c>
      <c r="P366" t="s">
        <v>74</v>
      </c>
      <c r="Q366" t="s">
        <v>74</v>
      </c>
      <c r="R366" t="s">
        <v>74</v>
      </c>
      <c r="S366" t="s">
        <v>74</v>
      </c>
      <c r="T366" t="s">
        <v>74</v>
      </c>
      <c r="U366" t="s">
        <v>74</v>
      </c>
      <c r="V366" s="3" t="s">
        <v>2715</v>
      </c>
      <c r="W366" t="s">
        <v>74</v>
      </c>
      <c r="X366" t="s">
        <v>74</v>
      </c>
      <c r="Y366" t="s">
        <v>74</v>
      </c>
      <c r="Z366" t="s">
        <v>74</v>
      </c>
      <c r="AA366" t="s">
        <v>2716</v>
      </c>
      <c r="AB366" t="s">
        <v>2717</v>
      </c>
      <c r="AC366" t="s">
        <v>74</v>
      </c>
      <c r="AD366" t="s">
        <v>74</v>
      </c>
      <c r="AE366" t="s">
        <v>74</v>
      </c>
      <c r="AF366" t="s">
        <v>74</v>
      </c>
      <c r="AG366" t="s">
        <v>74</v>
      </c>
      <c r="AH366" t="s">
        <v>74</v>
      </c>
      <c r="AI366" t="s">
        <v>74</v>
      </c>
      <c r="AJ366" t="s">
        <v>74</v>
      </c>
      <c r="AK366" t="s">
        <v>74</v>
      </c>
      <c r="AL366" t="s">
        <v>74</v>
      </c>
      <c r="AM366" t="s">
        <v>74</v>
      </c>
      <c r="AN366" t="s">
        <v>74</v>
      </c>
      <c r="AO366" t="s">
        <v>132</v>
      </c>
      <c r="AP366" t="s">
        <v>133</v>
      </c>
      <c r="AQ366" t="s">
        <v>74</v>
      </c>
      <c r="AR366" t="s">
        <v>74</v>
      </c>
      <c r="AS366" t="s">
        <v>74</v>
      </c>
      <c r="AT366" t="s">
        <v>255</v>
      </c>
      <c r="AU366">
        <v>2016</v>
      </c>
      <c r="AV366">
        <v>70</v>
      </c>
      <c r="AW366">
        <v>1</v>
      </c>
      <c r="AX366" t="s">
        <v>74</v>
      </c>
      <c r="AY366" t="s">
        <v>74</v>
      </c>
      <c r="AZ366" t="s">
        <v>74</v>
      </c>
      <c r="BA366" t="s">
        <v>74</v>
      </c>
      <c r="BB366">
        <v>83</v>
      </c>
      <c r="BC366">
        <v>97</v>
      </c>
      <c r="BD366" t="s">
        <v>74</v>
      </c>
      <c r="BE366" t="s">
        <v>2718</v>
      </c>
      <c r="BF366" t="str">
        <f>HYPERLINK("http://dx.doi.org/10.1007/s00265-015-2027-5","http://dx.doi.org/10.1007/s00265-015-2027-5")</f>
        <v>http://dx.doi.org/10.1007/s00265-015-2027-5</v>
      </c>
      <c r="BG366" t="s">
        <v>74</v>
      </c>
      <c r="BH366" t="s">
        <v>74</v>
      </c>
      <c r="BI366" t="s">
        <v>74</v>
      </c>
      <c r="BJ366" t="s">
        <v>74</v>
      </c>
      <c r="BK366" t="s">
        <v>74</v>
      </c>
      <c r="BL366" t="s">
        <v>74</v>
      </c>
      <c r="BM366" t="s">
        <v>74</v>
      </c>
      <c r="BN366" t="s">
        <v>74</v>
      </c>
      <c r="BO366" t="s">
        <v>74</v>
      </c>
      <c r="BP366" t="s">
        <v>74</v>
      </c>
      <c r="BQ366" t="s">
        <v>74</v>
      </c>
      <c r="BR366" t="s">
        <v>74</v>
      </c>
      <c r="BS366" t="s">
        <v>2719</v>
      </c>
      <c r="BT366" t="str">
        <f>HYPERLINK("https%3A%2F%2Fwww.webofscience.com%2Fwos%2Fwoscc%2Ffull-record%2FWOS:000367686200008","View Full Record in Web of Science")</f>
        <v>View Full Record in Web of Science</v>
      </c>
    </row>
    <row r="367" spans="1:72" x14ac:dyDescent="0.4">
      <c r="A367" t="s">
        <v>72</v>
      </c>
      <c r="B367" t="s">
        <v>4361</v>
      </c>
      <c r="C367" t="s">
        <v>74</v>
      </c>
      <c r="D367" t="s">
        <v>74</v>
      </c>
      <c r="E367" t="s">
        <v>74</v>
      </c>
      <c r="F367" t="s">
        <v>4362</v>
      </c>
      <c r="G367" t="s">
        <v>74</v>
      </c>
      <c r="H367" t="s">
        <v>74</v>
      </c>
      <c r="I367" t="s">
        <v>4363</v>
      </c>
      <c r="J367" t="s">
        <v>4364</v>
      </c>
      <c r="K367" t="s">
        <v>74</v>
      </c>
      <c r="L367" t="s">
        <v>74</v>
      </c>
      <c r="M367" t="s">
        <v>74</v>
      </c>
      <c r="N367" t="s">
        <v>74</v>
      </c>
      <c r="O367" t="s">
        <v>74</v>
      </c>
      <c r="P367" t="s">
        <v>74</v>
      </c>
      <c r="Q367" t="s">
        <v>74</v>
      </c>
      <c r="R367" t="s">
        <v>74</v>
      </c>
      <c r="S367" t="s">
        <v>74</v>
      </c>
      <c r="T367" t="s">
        <v>74</v>
      </c>
      <c r="U367" t="s">
        <v>74</v>
      </c>
      <c r="V367" s="3" t="s">
        <v>4365</v>
      </c>
      <c r="W367" t="s">
        <v>74</v>
      </c>
      <c r="X367" t="s">
        <v>74</v>
      </c>
      <c r="Y367" t="s">
        <v>74</v>
      </c>
      <c r="Z367" t="s">
        <v>74</v>
      </c>
      <c r="AA367" t="s">
        <v>4366</v>
      </c>
      <c r="AB367" t="s">
        <v>4367</v>
      </c>
      <c r="AC367" t="s">
        <v>74</v>
      </c>
      <c r="AD367" t="s">
        <v>74</v>
      </c>
      <c r="AE367" t="s">
        <v>74</v>
      </c>
      <c r="AF367" t="s">
        <v>74</v>
      </c>
      <c r="AG367" t="s">
        <v>74</v>
      </c>
      <c r="AH367" t="s">
        <v>74</v>
      </c>
      <c r="AI367" t="s">
        <v>74</v>
      </c>
      <c r="AJ367" t="s">
        <v>74</v>
      </c>
      <c r="AK367" t="s">
        <v>74</v>
      </c>
      <c r="AL367" t="s">
        <v>74</v>
      </c>
      <c r="AM367" t="s">
        <v>74</v>
      </c>
      <c r="AN367" t="s">
        <v>74</v>
      </c>
      <c r="AO367" t="s">
        <v>4368</v>
      </c>
      <c r="AP367" t="s">
        <v>4369</v>
      </c>
      <c r="AQ367" t="s">
        <v>74</v>
      </c>
      <c r="AR367" t="s">
        <v>74</v>
      </c>
      <c r="AS367" t="s">
        <v>74</v>
      </c>
      <c r="AT367" t="s">
        <v>4370</v>
      </c>
      <c r="AU367">
        <v>2009</v>
      </c>
      <c r="AV367">
        <v>46</v>
      </c>
      <c r="AW367">
        <v>4</v>
      </c>
      <c r="AX367" t="s">
        <v>74</v>
      </c>
      <c r="AY367" t="s">
        <v>74</v>
      </c>
      <c r="AZ367" t="s">
        <v>74</v>
      </c>
      <c r="BA367" t="s">
        <v>74</v>
      </c>
      <c r="BB367">
        <v>271</v>
      </c>
      <c r="BC367">
        <v>282</v>
      </c>
      <c r="BD367" t="s">
        <v>74</v>
      </c>
      <c r="BE367" t="s">
        <v>4371</v>
      </c>
      <c r="BF367" t="str">
        <f>HYPERLINK("http://dx.doi.org/10.5735/086.046.0404","http://dx.doi.org/10.5735/086.046.0404")</f>
        <v>http://dx.doi.org/10.5735/086.046.0404</v>
      </c>
      <c r="BG367" t="s">
        <v>74</v>
      </c>
      <c r="BH367" t="s">
        <v>74</v>
      </c>
      <c r="BI367" t="s">
        <v>74</v>
      </c>
      <c r="BJ367" t="s">
        <v>74</v>
      </c>
      <c r="BK367" t="s">
        <v>74</v>
      </c>
      <c r="BL367" t="s">
        <v>74</v>
      </c>
      <c r="BM367" t="s">
        <v>74</v>
      </c>
      <c r="BN367" t="s">
        <v>74</v>
      </c>
      <c r="BO367" t="s">
        <v>74</v>
      </c>
      <c r="BP367" t="s">
        <v>74</v>
      </c>
      <c r="BQ367" t="s">
        <v>74</v>
      </c>
      <c r="BR367" t="s">
        <v>74</v>
      </c>
      <c r="BS367" t="s">
        <v>4372</v>
      </c>
      <c r="BT367" t="str">
        <f>HYPERLINK("https%3A%2F%2Fwww.webofscience.com%2Fwos%2Fwoscc%2Ffull-record%2FWOS:000269935900004","View Full Record in Web of Science")</f>
        <v>View Full Record in Web of Science</v>
      </c>
    </row>
    <row r="368" spans="1:72" x14ac:dyDescent="0.4">
      <c r="A368" t="s">
        <v>72</v>
      </c>
      <c r="B368" t="s">
        <v>1256</v>
      </c>
      <c r="C368" t="s">
        <v>74</v>
      </c>
      <c r="D368" t="s">
        <v>74</v>
      </c>
      <c r="E368" t="s">
        <v>74</v>
      </c>
      <c r="F368" t="s">
        <v>1257</v>
      </c>
      <c r="G368" t="s">
        <v>74</v>
      </c>
      <c r="H368" t="s">
        <v>74</v>
      </c>
      <c r="I368" t="s">
        <v>1258</v>
      </c>
      <c r="J368" t="s">
        <v>333</v>
      </c>
      <c r="K368" t="s">
        <v>74</v>
      </c>
      <c r="L368" t="s">
        <v>74</v>
      </c>
      <c r="M368" t="s">
        <v>74</v>
      </c>
      <c r="N368" t="s">
        <v>74</v>
      </c>
      <c r="O368" t="s">
        <v>74</v>
      </c>
      <c r="P368" t="s">
        <v>74</v>
      </c>
      <c r="Q368" t="s">
        <v>74</v>
      </c>
      <c r="R368" t="s">
        <v>74</v>
      </c>
      <c r="S368" t="s">
        <v>74</v>
      </c>
      <c r="T368" t="s">
        <v>74</v>
      </c>
      <c r="U368" t="s">
        <v>74</v>
      </c>
      <c r="V368" s="3" t="s">
        <v>1259</v>
      </c>
      <c r="W368" t="s">
        <v>74</v>
      </c>
      <c r="X368" t="s">
        <v>74</v>
      </c>
      <c r="Y368" t="s">
        <v>74</v>
      </c>
      <c r="Z368" t="s">
        <v>74</v>
      </c>
      <c r="AA368" t="s">
        <v>1260</v>
      </c>
      <c r="AB368" t="s">
        <v>1261</v>
      </c>
      <c r="AC368" t="s">
        <v>74</v>
      </c>
      <c r="AD368" t="s">
        <v>74</v>
      </c>
      <c r="AE368" t="s">
        <v>74</v>
      </c>
      <c r="AF368" t="s">
        <v>74</v>
      </c>
      <c r="AG368" t="s">
        <v>74</v>
      </c>
      <c r="AH368" t="s">
        <v>74</v>
      </c>
      <c r="AI368" t="s">
        <v>74</v>
      </c>
      <c r="AJ368" t="s">
        <v>74</v>
      </c>
      <c r="AK368" t="s">
        <v>74</v>
      </c>
      <c r="AL368" t="s">
        <v>74</v>
      </c>
      <c r="AM368" t="s">
        <v>74</v>
      </c>
      <c r="AN368" t="s">
        <v>74</v>
      </c>
      <c r="AO368" t="s">
        <v>337</v>
      </c>
      <c r="AP368" t="s">
        <v>338</v>
      </c>
      <c r="AQ368" t="s">
        <v>74</v>
      </c>
      <c r="AR368" t="s">
        <v>74</v>
      </c>
      <c r="AS368" t="s">
        <v>74</v>
      </c>
      <c r="AT368" t="s">
        <v>1075</v>
      </c>
      <c r="AU368">
        <v>2018</v>
      </c>
      <c r="AV368">
        <v>29</v>
      </c>
      <c r="AW368">
        <v>6</v>
      </c>
      <c r="AX368" t="s">
        <v>74</v>
      </c>
      <c r="AY368" t="s">
        <v>74</v>
      </c>
      <c r="AZ368" t="s">
        <v>74</v>
      </c>
      <c r="BA368" t="s">
        <v>74</v>
      </c>
      <c r="BB368">
        <v>1286</v>
      </c>
      <c r="BC368">
        <v>1297</v>
      </c>
      <c r="BD368" t="s">
        <v>74</v>
      </c>
      <c r="BE368" t="s">
        <v>1262</v>
      </c>
      <c r="BF368" t="str">
        <f>HYPERLINK("http://dx.doi.org/10.1093/beheco/ary127","http://dx.doi.org/10.1093/beheco/ary127")</f>
        <v>http://dx.doi.org/10.1093/beheco/ary127</v>
      </c>
      <c r="BG368" t="s">
        <v>74</v>
      </c>
      <c r="BH368" t="s">
        <v>74</v>
      </c>
      <c r="BI368" t="s">
        <v>74</v>
      </c>
      <c r="BJ368" t="s">
        <v>74</v>
      </c>
      <c r="BK368" t="s">
        <v>74</v>
      </c>
      <c r="BL368" t="s">
        <v>74</v>
      </c>
      <c r="BM368" t="s">
        <v>74</v>
      </c>
      <c r="BN368" t="s">
        <v>74</v>
      </c>
      <c r="BO368" t="s">
        <v>74</v>
      </c>
      <c r="BP368" t="s">
        <v>74</v>
      </c>
      <c r="BQ368" t="s">
        <v>74</v>
      </c>
      <c r="BR368" t="s">
        <v>74</v>
      </c>
      <c r="BS368" t="s">
        <v>1263</v>
      </c>
      <c r="BT368" t="str">
        <f>HYPERLINK("https%3A%2F%2Fwww.webofscience.com%2Fwos%2Fwoscc%2Ffull-record%2FWOS:000453209600018","View Full Record in Web of Science")</f>
        <v>View Full Record in Web of Science</v>
      </c>
    </row>
    <row r="369" spans="1:72" x14ac:dyDescent="0.4">
      <c r="A369" t="s">
        <v>72</v>
      </c>
      <c r="B369" t="s">
        <v>3419</v>
      </c>
      <c r="C369" t="s">
        <v>74</v>
      </c>
      <c r="D369" t="s">
        <v>74</v>
      </c>
      <c r="E369" t="s">
        <v>74</v>
      </c>
      <c r="F369" t="s">
        <v>3419</v>
      </c>
      <c r="G369" t="s">
        <v>74</v>
      </c>
      <c r="H369" t="s">
        <v>74</v>
      </c>
      <c r="I369" t="s">
        <v>3420</v>
      </c>
      <c r="J369" t="s">
        <v>2207</v>
      </c>
      <c r="K369" t="s">
        <v>74</v>
      </c>
      <c r="L369" t="s">
        <v>74</v>
      </c>
      <c r="M369" t="s">
        <v>74</v>
      </c>
      <c r="N369" t="s">
        <v>74</v>
      </c>
      <c r="O369" t="s">
        <v>74</v>
      </c>
      <c r="P369" t="s">
        <v>74</v>
      </c>
      <c r="Q369" t="s">
        <v>74</v>
      </c>
      <c r="R369" t="s">
        <v>74</v>
      </c>
      <c r="S369" t="s">
        <v>74</v>
      </c>
      <c r="T369" t="s">
        <v>74</v>
      </c>
      <c r="U369" t="s">
        <v>74</v>
      </c>
      <c r="V369" s="3" t="s">
        <v>3421</v>
      </c>
      <c r="W369" t="s">
        <v>74</v>
      </c>
      <c r="X369" t="s">
        <v>74</v>
      </c>
      <c r="Y369" t="s">
        <v>74</v>
      </c>
      <c r="Z369" t="s">
        <v>74</v>
      </c>
      <c r="AA369" t="s">
        <v>3422</v>
      </c>
      <c r="AB369" t="s">
        <v>3423</v>
      </c>
      <c r="AC369" t="s">
        <v>74</v>
      </c>
      <c r="AD369" t="s">
        <v>74</v>
      </c>
      <c r="AE369" t="s">
        <v>74</v>
      </c>
      <c r="AF369" t="s">
        <v>74</v>
      </c>
      <c r="AG369" t="s">
        <v>74</v>
      </c>
      <c r="AH369" t="s">
        <v>74</v>
      </c>
      <c r="AI369" t="s">
        <v>74</v>
      </c>
      <c r="AJ369" t="s">
        <v>74</v>
      </c>
      <c r="AK369" t="s">
        <v>74</v>
      </c>
      <c r="AL369" t="s">
        <v>74</v>
      </c>
      <c r="AM369" t="s">
        <v>74</v>
      </c>
      <c r="AN369" t="s">
        <v>74</v>
      </c>
      <c r="AO369" t="s">
        <v>2211</v>
      </c>
      <c r="AP369" t="s">
        <v>2461</v>
      </c>
      <c r="AQ369" t="s">
        <v>74</v>
      </c>
      <c r="AR369" t="s">
        <v>74</v>
      </c>
      <c r="AS369" t="s">
        <v>74</v>
      </c>
      <c r="AT369" t="s">
        <v>305</v>
      </c>
      <c r="AU369">
        <v>2003</v>
      </c>
      <c r="AV369">
        <v>34</v>
      </c>
      <c r="AW369">
        <v>4</v>
      </c>
      <c r="AX369" t="s">
        <v>74</v>
      </c>
      <c r="AY369" t="s">
        <v>74</v>
      </c>
      <c r="AZ369" t="s">
        <v>74</v>
      </c>
      <c r="BA369" t="s">
        <v>74</v>
      </c>
      <c r="BB369">
        <v>402</v>
      </c>
      <c r="BC369">
        <v>408</v>
      </c>
      <c r="BD369" t="s">
        <v>74</v>
      </c>
      <c r="BE369" t="s">
        <v>3424</v>
      </c>
      <c r="BF369" t="str">
        <f>HYPERLINK("http://dx.doi.org/10.1111/j.0908-8857.2003.03064.x","http://dx.doi.org/10.1111/j.0908-8857.2003.03064.x")</f>
        <v>http://dx.doi.org/10.1111/j.0908-8857.2003.03064.x</v>
      </c>
      <c r="BG369" t="s">
        <v>74</v>
      </c>
      <c r="BH369" t="s">
        <v>74</v>
      </c>
      <c r="BI369" t="s">
        <v>74</v>
      </c>
      <c r="BJ369" t="s">
        <v>74</v>
      </c>
      <c r="BK369" t="s">
        <v>74</v>
      </c>
      <c r="BL369" t="s">
        <v>74</v>
      </c>
      <c r="BM369" t="s">
        <v>74</v>
      </c>
      <c r="BN369" t="s">
        <v>74</v>
      </c>
      <c r="BO369" t="s">
        <v>74</v>
      </c>
      <c r="BP369" t="s">
        <v>74</v>
      </c>
      <c r="BQ369" t="s">
        <v>74</v>
      </c>
      <c r="BR369" t="s">
        <v>74</v>
      </c>
      <c r="BS369" t="s">
        <v>3425</v>
      </c>
      <c r="BT369" t="str">
        <f>HYPERLINK("https%3A%2F%2Fwww.webofscience.com%2Fwos%2Fwoscc%2Ffull-record%2FWOS:000187792000014","View Full Record in Web of Science")</f>
        <v>View Full Record in Web of Science</v>
      </c>
    </row>
    <row r="370" spans="1:72" x14ac:dyDescent="0.4">
      <c r="A370" t="s">
        <v>72</v>
      </c>
      <c r="B370" t="s">
        <v>5008</v>
      </c>
      <c r="C370" t="s">
        <v>74</v>
      </c>
      <c r="D370" t="s">
        <v>74</v>
      </c>
      <c r="E370" t="s">
        <v>74</v>
      </c>
      <c r="F370" t="s">
        <v>5009</v>
      </c>
      <c r="G370" t="s">
        <v>74</v>
      </c>
      <c r="H370" t="s">
        <v>74</v>
      </c>
      <c r="I370" t="s">
        <v>5010</v>
      </c>
      <c r="J370" t="s">
        <v>545</v>
      </c>
      <c r="K370" t="s">
        <v>74</v>
      </c>
      <c r="L370" t="s">
        <v>74</v>
      </c>
      <c r="M370" t="s">
        <v>74</v>
      </c>
      <c r="N370" t="s">
        <v>74</v>
      </c>
      <c r="O370" t="s">
        <v>74</v>
      </c>
      <c r="P370" t="s">
        <v>74</v>
      </c>
      <c r="Q370" t="s">
        <v>74</v>
      </c>
      <c r="R370" t="s">
        <v>74</v>
      </c>
      <c r="S370" t="s">
        <v>74</v>
      </c>
      <c r="T370" t="s">
        <v>74</v>
      </c>
      <c r="U370" t="s">
        <v>74</v>
      </c>
      <c r="V370" s="3" t="s">
        <v>5011</v>
      </c>
      <c r="W370" t="s">
        <v>74</v>
      </c>
      <c r="X370" t="s">
        <v>74</v>
      </c>
      <c r="Y370" t="s">
        <v>74</v>
      </c>
      <c r="Z370" t="s">
        <v>74</v>
      </c>
      <c r="AA370" t="s">
        <v>5012</v>
      </c>
      <c r="AB370" t="s">
        <v>5013</v>
      </c>
      <c r="AC370" t="s">
        <v>74</v>
      </c>
      <c r="AD370" t="s">
        <v>74</v>
      </c>
      <c r="AE370" t="s">
        <v>74</v>
      </c>
      <c r="AF370" t="s">
        <v>74</v>
      </c>
      <c r="AG370" t="s">
        <v>74</v>
      </c>
      <c r="AH370" t="s">
        <v>74</v>
      </c>
      <c r="AI370" t="s">
        <v>74</v>
      </c>
      <c r="AJ370" t="s">
        <v>74</v>
      </c>
      <c r="AK370" t="s">
        <v>74</v>
      </c>
      <c r="AL370" t="s">
        <v>74</v>
      </c>
      <c r="AM370" t="s">
        <v>74</v>
      </c>
      <c r="AN370" t="s">
        <v>74</v>
      </c>
      <c r="AO370" t="s">
        <v>547</v>
      </c>
      <c r="AP370" t="s">
        <v>74</v>
      </c>
      <c r="AQ370" t="s">
        <v>74</v>
      </c>
      <c r="AR370" t="s">
        <v>74</v>
      </c>
      <c r="AS370" t="s">
        <v>74</v>
      </c>
      <c r="AT370" t="s">
        <v>74</v>
      </c>
      <c r="AU370">
        <v>2017</v>
      </c>
      <c r="AV370">
        <v>267</v>
      </c>
      <c r="AW370" t="s">
        <v>74</v>
      </c>
      <c r="AX370" t="s">
        <v>74</v>
      </c>
      <c r="AY370" t="s">
        <v>74</v>
      </c>
      <c r="AZ370" t="s">
        <v>74</v>
      </c>
      <c r="BA370" t="s">
        <v>74</v>
      </c>
      <c r="BB370">
        <v>21</v>
      </c>
      <c r="BC370">
        <v>30</v>
      </c>
      <c r="BD370" t="s">
        <v>74</v>
      </c>
      <c r="BE370" t="s">
        <v>5014</v>
      </c>
      <c r="BF370" t="str">
        <f>HYPERLINK("http://dx.doi.org/10.1016/j.jcz.2017.01.002","http://dx.doi.org/10.1016/j.jcz.2017.01.002")</f>
        <v>http://dx.doi.org/10.1016/j.jcz.2017.01.002</v>
      </c>
      <c r="BG370" t="s">
        <v>74</v>
      </c>
      <c r="BH370" t="s">
        <v>74</v>
      </c>
      <c r="BI370" t="s">
        <v>74</v>
      </c>
      <c r="BJ370" t="s">
        <v>74</v>
      </c>
      <c r="BK370" t="s">
        <v>74</v>
      </c>
      <c r="BL370" t="s">
        <v>74</v>
      </c>
      <c r="BM370" t="s">
        <v>74</v>
      </c>
      <c r="BN370" t="s">
        <v>74</v>
      </c>
      <c r="BO370" t="s">
        <v>74</v>
      </c>
      <c r="BP370" t="s">
        <v>74</v>
      </c>
      <c r="BQ370" t="s">
        <v>74</v>
      </c>
      <c r="BR370" t="s">
        <v>74</v>
      </c>
      <c r="BS370" t="s">
        <v>5015</v>
      </c>
      <c r="BT370" t="str">
        <f>HYPERLINK("https%3A%2F%2Fwww.webofscience.com%2Fwos%2Fwoscc%2Ffull-record%2FWOS:000403123700004","View Full Record in Web of Science")</f>
        <v>View Full Record in Web of Science</v>
      </c>
    </row>
    <row r="371" spans="1:72" x14ac:dyDescent="0.4">
      <c r="A371" t="s">
        <v>72</v>
      </c>
      <c r="B371" t="s">
        <v>3431</v>
      </c>
      <c r="C371" t="s">
        <v>74</v>
      </c>
      <c r="D371" t="s">
        <v>74</v>
      </c>
      <c r="E371" t="s">
        <v>74</v>
      </c>
      <c r="F371" t="s">
        <v>3432</v>
      </c>
      <c r="G371" t="s">
        <v>74</v>
      </c>
      <c r="H371" t="s">
        <v>74</v>
      </c>
      <c r="I371" t="s">
        <v>3433</v>
      </c>
      <c r="J371" t="s">
        <v>610</v>
      </c>
      <c r="K371" t="s">
        <v>74</v>
      </c>
      <c r="L371" t="s">
        <v>74</v>
      </c>
      <c r="M371" t="s">
        <v>74</v>
      </c>
      <c r="N371" t="s">
        <v>74</v>
      </c>
      <c r="O371" t="s">
        <v>74</v>
      </c>
      <c r="P371" t="s">
        <v>74</v>
      </c>
      <c r="Q371" t="s">
        <v>74</v>
      </c>
      <c r="R371" t="s">
        <v>74</v>
      </c>
      <c r="S371" t="s">
        <v>74</v>
      </c>
      <c r="T371" t="s">
        <v>74</v>
      </c>
      <c r="U371" t="s">
        <v>74</v>
      </c>
      <c r="V371" s="3" t="s">
        <v>3434</v>
      </c>
      <c r="W371" t="s">
        <v>74</v>
      </c>
      <c r="X371" t="s">
        <v>74</v>
      </c>
      <c r="Y371" t="s">
        <v>74</v>
      </c>
      <c r="Z371" t="s">
        <v>74</v>
      </c>
      <c r="AA371" t="s">
        <v>3435</v>
      </c>
      <c r="AB371" t="s">
        <v>3436</v>
      </c>
      <c r="AC371" t="s">
        <v>74</v>
      </c>
      <c r="AD371" t="s">
        <v>74</v>
      </c>
      <c r="AE371" t="s">
        <v>74</v>
      </c>
      <c r="AF371" t="s">
        <v>74</v>
      </c>
      <c r="AG371" t="s">
        <v>74</v>
      </c>
      <c r="AH371" t="s">
        <v>74</v>
      </c>
      <c r="AI371" t="s">
        <v>74</v>
      </c>
      <c r="AJ371" t="s">
        <v>74</v>
      </c>
      <c r="AK371" t="s">
        <v>74</v>
      </c>
      <c r="AL371" t="s">
        <v>74</v>
      </c>
      <c r="AM371" t="s">
        <v>74</v>
      </c>
      <c r="AN371" t="s">
        <v>74</v>
      </c>
      <c r="AO371" t="s">
        <v>614</v>
      </c>
      <c r="AP371" t="s">
        <v>615</v>
      </c>
      <c r="AQ371" t="s">
        <v>74</v>
      </c>
      <c r="AR371" t="s">
        <v>74</v>
      </c>
      <c r="AS371" t="s">
        <v>74</v>
      </c>
      <c r="AT371" t="s">
        <v>305</v>
      </c>
      <c r="AU371">
        <v>2021</v>
      </c>
      <c r="AV371">
        <v>127</v>
      </c>
      <c r="AW371">
        <v>12</v>
      </c>
      <c r="AX371" t="s">
        <v>74</v>
      </c>
      <c r="AY371" t="s">
        <v>74</v>
      </c>
      <c r="AZ371" t="s">
        <v>74</v>
      </c>
      <c r="BA371" t="s">
        <v>74</v>
      </c>
      <c r="BB371">
        <v>1053</v>
      </c>
      <c r="BC371">
        <v>1063</v>
      </c>
      <c r="BD371" t="s">
        <v>74</v>
      </c>
      <c r="BE371" t="s">
        <v>3437</v>
      </c>
      <c r="BF371" t="str">
        <f>HYPERLINK("http://dx.doi.org/10.1111/eth.13228","http://dx.doi.org/10.1111/eth.13228")</f>
        <v>http://dx.doi.org/10.1111/eth.13228</v>
      </c>
      <c r="BG371" t="s">
        <v>74</v>
      </c>
      <c r="BH371" t="s">
        <v>675</v>
      </c>
      <c r="BI371" t="s">
        <v>74</v>
      </c>
      <c r="BJ371" t="s">
        <v>74</v>
      </c>
      <c r="BK371" t="s">
        <v>74</v>
      </c>
      <c r="BL371" t="s">
        <v>74</v>
      </c>
      <c r="BM371" t="s">
        <v>74</v>
      </c>
      <c r="BN371" t="s">
        <v>74</v>
      </c>
      <c r="BO371" t="s">
        <v>74</v>
      </c>
      <c r="BP371" t="s">
        <v>74</v>
      </c>
      <c r="BQ371" t="s">
        <v>74</v>
      </c>
      <c r="BR371" t="s">
        <v>74</v>
      </c>
      <c r="BS371" t="s">
        <v>3438</v>
      </c>
      <c r="BT371" t="str">
        <f>HYPERLINK("https%3A%2F%2Fwww.webofscience.com%2Fwos%2Fwoscc%2Ffull-record%2FWOS:000692844500001","View Full Record in Web of Science")</f>
        <v>View Full Record in Web of Science</v>
      </c>
    </row>
    <row r="372" spans="1:72" x14ac:dyDescent="0.4">
      <c r="A372" t="s">
        <v>72</v>
      </c>
      <c r="B372" t="s">
        <v>7510</v>
      </c>
      <c r="C372" t="s">
        <v>74</v>
      </c>
      <c r="D372" t="s">
        <v>74</v>
      </c>
      <c r="E372" t="s">
        <v>74</v>
      </c>
      <c r="F372" t="s">
        <v>7510</v>
      </c>
      <c r="G372" t="s">
        <v>74</v>
      </c>
      <c r="H372" t="s">
        <v>74</v>
      </c>
      <c r="I372" t="s">
        <v>7511</v>
      </c>
      <c r="J372" t="s">
        <v>140</v>
      </c>
      <c r="K372" t="s">
        <v>74</v>
      </c>
      <c r="L372" t="s">
        <v>74</v>
      </c>
      <c r="M372" t="s">
        <v>74</v>
      </c>
      <c r="N372" t="s">
        <v>74</v>
      </c>
      <c r="O372" t="s">
        <v>74</v>
      </c>
      <c r="P372" t="s">
        <v>74</v>
      </c>
      <c r="Q372" t="s">
        <v>74</v>
      </c>
      <c r="R372" t="s">
        <v>74</v>
      </c>
      <c r="S372" t="s">
        <v>74</v>
      </c>
      <c r="T372" t="s">
        <v>74</v>
      </c>
      <c r="U372" t="s">
        <v>74</v>
      </c>
      <c r="V372" s="3" t="s">
        <v>7512</v>
      </c>
      <c r="W372" t="s">
        <v>74</v>
      </c>
      <c r="X372" t="s">
        <v>74</v>
      </c>
      <c r="Y372" t="s">
        <v>74</v>
      </c>
      <c r="Z372" t="s">
        <v>74</v>
      </c>
      <c r="AA372" t="s">
        <v>7513</v>
      </c>
      <c r="AB372" t="s">
        <v>7514</v>
      </c>
      <c r="AC372" t="s">
        <v>74</v>
      </c>
      <c r="AD372" t="s">
        <v>74</v>
      </c>
      <c r="AE372" t="s">
        <v>74</v>
      </c>
      <c r="AF372" t="s">
        <v>74</v>
      </c>
      <c r="AG372" t="s">
        <v>74</v>
      </c>
      <c r="AH372" t="s">
        <v>74</v>
      </c>
      <c r="AI372" t="s">
        <v>74</v>
      </c>
      <c r="AJ372" t="s">
        <v>74</v>
      </c>
      <c r="AK372" t="s">
        <v>74</v>
      </c>
      <c r="AL372" t="s">
        <v>74</v>
      </c>
      <c r="AM372" t="s">
        <v>74</v>
      </c>
      <c r="AN372" t="s">
        <v>74</v>
      </c>
      <c r="AO372" t="s">
        <v>143</v>
      </c>
      <c r="AP372" t="s">
        <v>74</v>
      </c>
      <c r="AQ372" t="s">
        <v>74</v>
      </c>
      <c r="AR372" t="s">
        <v>74</v>
      </c>
      <c r="AS372" t="s">
        <v>74</v>
      </c>
      <c r="AT372" t="s">
        <v>352</v>
      </c>
      <c r="AU372">
        <v>2003</v>
      </c>
      <c r="AV372">
        <v>66</v>
      </c>
      <c r="AW372" t="s">
        <v>74</v>
      </c>
      <c r="AX372">
        <v>3</v>
      </c>
      <c r="AY372" t="s">
        <v>74</v>
      </c>
      <c r="AZ372" t="s">
        <v>74</v>
      </c>
      <c r="BA372" t="s">
        <v>74</v>
      </c>
      <c r="BB372">
        <v>521</v>
      </c>
      <c r="BC372">
        <v>530</v>
      </c>
      <c r="BD372" t="s">
        <v>74</v>
      </c>
      <c r="BE372" t="s">
        <v>7515</v>
      </c>
      <c r="BF372" t="str">
        <f>HYPERLINK("http://dx.doi.org/10.1006/anbe.2003.2206","http://dx.doi.org/10.1006/anbe.2003.2206")</f>
        <v>http://dx.doi.org/10.1006/anbe.2003.2206</v>
      </c>
      <c r="BG372" t="s">
        <v>74</v>
      </c>
      <c r="BH372" t="s">
        <v>74</v>
      </c>
      <c r="BI372" t="s">
        <v>74</v>
      </c>
      <c r="BJ372" t="s">
        <v>74</v>
      </c>
      <c r="BK372" t="s">
        <v>74</v>
      </c>
      <c r="BL372" t="s">
        <v>74</v>
      </c>
      <c r="BM372" t="s">
        <v>74</v>
      </c>
      <c r="BN372" t="s">
        <v>74</v>
      </c>
      <c r="BO372" t="s">
        <v>74</v>
      </c>
      <c r="BP372" t="s">
        <v>74</v>
      </c>
      <c r="BQ372" t="s">
        <v>74</v>
      </c>
      <c r="BR372" t="s">
        <v>74</v>
      </c>
      <c r="BS372" t="s">
        <v>7516</v>
      </c>
      <c r="BT372" t="str">
        <f>HYPERLINK("https%3A%2F%2Fwww.webofscience.com%2Fwos%2Fwoscc%2Ffull-record%2FWOS:000185477900013","View Full Record in Web of Science")</f>
        <v>View Full Record in Web of Science</v>
      </c>
    </row>
    <row r="373" spans="1:72" x14ac:dyDescent="0.4">
      <c r="A373" t="s">
        <v>72</v>
      </c>
      <c r="B373" t="s">
        <v>1085</v>
      </c>
      <c r="C373" t="s">
        <v>74</v>
      </c>
      <c r="D373" t="s">
        <v>74</v>
      </c>
      <c r="E373" t="s">
        <v>74</v>
      </c>
      <c r="F373" t="s">
        <v>1086</v>
      </c>
      <c r="G373" t="s">
        <v>74</v>
      </c>
      <c r="H373" t="s">
        <v>74</v>
      </c>
      <c r="I373" t="s">
        <v>1087</v>
      </c>
      <c r="J373" t="s">
        <v>475</v>
      </c>
      <c r="K373" t="s">
        <v>74</v>
      </c>
      <c r="L373" t="s">
        <v>74</v>
      </c>
      <c r="M373" t="s">
        <v>74</v>
      </c>
      <c r="N373" t="s">
        <v>74</v>
      </c>
      <c r="O373" t="s">
        <v>74</v>
      </c>
      <c r="P373" t="s">
        <v>74</v>
      </c>
      <c r="Q373" t="s">
        <v>74</v>
      </c>
      <c r="R373" t="s">
        <v>74</v>
      </c>
      <c r="S373" t="s">
        <v>74</v>
      </c>
      <c r="T373" t="s">
        <v>74</v>
      </c>
      <c r="U373" t="s">
        <v>74</v>
      </c>
      <c r="V373" s="3" t="s">
        <v>1088</v>
      </c>
      <c r="W373" t="s">
        <v>74</v>
      </c>
      <c r="X373" t="s">
        <v>74</v>
      </c>
      <c r="Y373" t="s">
        <v>74</v>
      </c>
      <c r="Z373" t="s">
        <v>74</v>
      </c>
      <c r="AA373" t="s">
        <v>74</v>
      </c>
      <c r="AB373" t="s">
        <v>74</v>
      </c>
      <c r="AC373" t="s">
        <v>74</v>
      </c>
      <c r="AD373" t="s">
        <v>74</v>
      </c>
      <c r="AE373" t="s">
        <v>74</v>
      </c>
      <c r="AF373" t="s">
        <v>74</v>
      </c>
      <c r="AG373" t="s">
        <v>74</v>
      </c>
      <c r="AH373" t="s">
        <v>74</v>
      </c>
      <c r="AI373" t="s">
        <v>74</v>
      </c>
      <c r="AJ373" t="s">
        <v>74</v>
      </c>
      <c r="AK373" t="s">
        <v>74</v>
      </c>
      <c r="AL373" t="s">
        <v>74</v>
      </c>
      <c r="AM373" t="s">
        <v>74</v>
      </c>
      <c r="AN373" t="s">
        <v>74</v>
      </c>
      <c r="AO373" t="s">
        <v>477</v>
      </c>
      <c r="AP373" t="s">
        <v>1089</v>
      </c>
      <c r="AQ373" t="s">
        <v>74</v>
      </c>
      <c r="AR373" t="s">
        <v>74</v>
      </c>
      <c r="AS373" t="s">
        <v>74</v>
      </c>
      <c r="AT373" t="s">
        <v>1090</v>
      </c>
      <c r="AU373">
        <v>2020</v>
      </c>
      <c r="AV373">
        <v>285</v>
      </c>
      <c r="AW373" t="s">
        <v>74</v>
      </c>
      <c r="AX373" t="s">
        <v>74</v>
      </c>
      <c r="AY373" t="s">
        <v>74</v>
      </c>
      <c r="AZ373" t="s">
        <v>74</v>
      </c>
      <c r="BA373" t="s">
        <v>74</v>
      </c>
      <c r="BB373" t="s">
        <v>74</v>
      </c>
      <c r="BC373" t="s">
        <v>74</v>
      </c>
      <c r="BD373">
        <v>113292</v>
      </c>
      <c r="BE373" t="s">
        <v>1091</v>
      </c>
      <c r="BF373" t="str">
        <f>HYPERLINK("http://dx.doi.org/10.1016/j.ygcen.2019.113292","http://dx.doi.org/10.1016/j.ygcen.2019.113292")</f>
        <v>http://dx.doi.org/10.1016/j.ygcen.2019.113292</v>
      </c>
      <c r="BG373" t="s">
        <v>74</v>
      </c>
      <c r="BH373" t="s">
        <v>74</v>
      </c>
      <c r="BI373" t="s">
        <v>74</v>
      </c>
      <c r="BJ373" t="s">
        <v>74</v>
      </c>
      <c r="BK373" t="s">
        <v>74</v>
      </c>
      <c r="BL373" t="s">
        <v>74</v>
      </c>
      <c r="BM373" t="s">
        <v>74</v>
      </c>
      <c r="BN373">
        <v>31580882</v>
      </c>
      <c r="BO373" t="s">
        <v>74</v>
      </c>
      <c r="BP373" t="s">
        <v>74</v>
      </c>
      <c r="BQ373" t="s">
        <v>74</v>
      </c>
      <c r="BR373" t="s">
        <v>74</v>
      </c>
      <c r="BS373" t="s">
        <v>1092</v>
      </c>
      <c r="BT373" t="str">
        <f>HYPERLINK("https%3A%2F%2Fwww.webofscience.com%2Fwos%2Fwoscc%2Ffull-record%2FWOS:000504341800024","View Full Record in Web of Science")</f>
        <v>View Full Record in Web of Science</v>
      </c>
    </row>
    <row r="374" spans="1:72" x14ac:dyDescent="0.4">
      <c r="A374" t="s">
        <v>72</v>
      </c>
      <c r="B374" t="s">
        <v>3383</v>
      </c>
      <c r="C374" t="s">
        <v>74</v>
      </c>
      <c r="D374" t="s">
        <v>74</v>
      </c>
      <c r="E374" t="s">
        <v>74</v>
      </c>
      <c r="F374" t="s">
        <v>3384</v>
      </c>
      <c r="G374" t="s">
        <v>74</v>
      </c>
      <c r="H374" t="s">
        <v>74</v>
      </c>
      <c r="I374" t="s">
        <v>3385</v>
      </c>
      <c r="J374" t="s">
        <v>610</v>
      </c>
      <c r="K374" t="s">
        <v>74</v>
      </c>
      <c r="L374" t="s">
        <v>74</v>
      </c>
      <c r="M374" t="s">
        <v>74</v>
      </c>
      <c r="N374" t="s">
        <v>74</v>
      </c>
      <c r="O374" t="s">
        <v>74</v>
      </c>
      <c r="P374" t="s">
        <v>74</v>
      </c>
      <c r="Q374" t="s">
        <v>74</v>
      </c>
      <c r="R374" t="s">
        <v>74</v>
      </c>
      <c r="S374" t="s">
        <v>74</v>
      </c>
      <c r="T374" t="s">
        <v>74</v>
      </c>
      <c r="U374" t="s">
        <v>74</v>
      </c>
      <c r="V374" s="3" t="s">
        <v>3386</v>
      </c>
      <c r="W374" t="s">
        <v>74</v>
      </c>
      <c r="X374" t="s">
        <v>74</v>
      </c>
      <c r="Y374" t="s">
        <v>74</v>
      </c>
      <c r="Z374" t="s">
        <v>74</v>
      </c>
      <c r="AA374" t="s">
        <v>74</v>
      </c>
      <c r="AB374" t="s">
        <v>3387</v>
      </c>
      <c r="AC374" t="s">
        <v>74</v>
      </c>
      <c r="AD374" t="s">
        <v>74</v>
      </c>
      <c r="AE374" t="s">
        <v>74</v>
      </c>
      <c r="AF374" t="s">
        <v>74</v>
      </c>
      <c r="AG374" t="s">
        <v>74</v>
      </c>
      <c r="AH374" t="s">
        <v>74</v>
      </c>
      <c r="AI374" t="s">
        <v>74</v>
      </c>
      <c r="AJ374" t="s">
        <v>74</v>
      </c>
      <c r="AK374" t="s">
        <v>74</v>
      </c>
      <c r="AL374" t="s">
        <v>74</v>
      </c>
      <c r="AM374" t="s">
        <v>74</v>
      </c>
      <c r="AN374" t="s">
        <v>74</v>
      </c>
      <c r="AO374" t="s">
        <v>614</v>
      </c>
      <c r="AP374" t="s">
        <v>615</v>
      </c>
      <c r="AQ374" t="s">
        <v>74</v>
      </c>
      <c r="AR374" t="s">
        <v>74</v>
      </c>
      <c r="AS374" t="s">
        <v>74</v>
      </c>
      <c r="AT374" t="s">
        <v>102</v>
      </c>
      <c r="AU374">
        <v>2021</v>
      </c>
      <c r="AV374">
        <v>127</v>
      </c>
      <c r="AW374">
        <v>6</v>
      </c>
      <c r="AX374" t="s">
        <v>74</v>
      </c>
      <c r="AY374" t="s">
        <v>74</v>
      </c>
      <c r="AZ374" t="s">
        <v>74</v>
      </c>
      <c r="BA374" t="s">
        <v>74</v>
      </c>
      <c r="BB374">
        <v>475</v>
      </c>
      <c r="BC374">
        <v>483</v>
      </c>
      <c r="BD374" t="s">
        <v>74</v>
      </c>
      <c r="BE374" t="s">
        <v>3388</v>
      </c>
      <c r="BF374" t="str">
        <f>HYPERLINK("http://dx.doi.org/10.1111/eth.13156","http://dx.doi.org/10.1111/eth.13156")</f>
        <v>http://dx.doi.org/10.1111/eth.13156</v>
      </c>
      <c r="BG374" t="s">
        <v>74</v>
      </c>
      <c r="BH374" t="s">
        <v>1051</v>
      </c>
      <c r="BI374" t="s">
        <v>74</v>
      </c>
      <c r="BJ374" t="s">
        <v>74</v>
      </c>
      <c r="BK374" t="s">
        <v>74</v>
      </c>
      <c r="BL374" t="s">
        <v>74</v>
      </c>
      <c r="BM374" t="s">
        <v>74</v>
      </c>
      <c r="BN374" t="s">
        <v>74</v>
      </c>
      <c r="BO374" t="s">
        <v>74</v>
      </c>
      <c r="BP374" t="s">
        <v>74</v>
      </c>
      <c r="BQ374" t="s">
        <v>74</v>
      </c>
      <c r="BR374" t="s">
        <v>74</v>
      </c>
      <c r="BS374" t="s">
        <v>3389</v>
      </c>
      <c r="BT374" t="str">
        <f>HYPERLINK("https%3A%2F%2Fwww.webofscience.com%2Fwos%2Fwoscc%2Ffull-record%2FWOS:000640929900001","View Full Record in Web of Science")</f>
        <v>View Full Record in Web of Science</v>
      </c>
    </row>
    <row r="375" spans="1:72" x14ac:dyDescent="0.4">
      <c r="A375" t="s">
        <v>72</v>
      </c>
      <c r="B375" t="s">
        <v>7432</v>
      </c>
      <c r="C375" t="s">
        <v>74</v>
      </c>
      <c r="D375" t="s">
        <v>74</v>
      </c>
      <c r="E375" t="s">
        <v>74</v>
      </c>
      <c r="F375" t="s">
        <v>7433</v>
      </c>
      <c r="G375" t="s">
        <v>74</v>
      </c>
      <c r="H375" t="s">
        <v>74</v>
      </c>
      <c r="I375" t="s">
        <v>7434</v>
      </c>
      <c r="J375" t="s">
        <v>1995</v>
      </c>
      <c r="K375" t="s">
        <v>74</v>
      </c>
      <c r="L375" t="s">
        <v>74</v>
      </c>
      <c r="M375" t="s">
        <v>74</v>
      </c>
      <c r="N375" t="s">
        <v>74</v>
      </c>
      <c r="O375" t="s">
        <v>74</v>
      </c>
      <c r="P375" t="s">
        <v>74</v>
      </c>
      <c r="Q375" t="s">
        <v>74</v>
      </c>
      <c r="R375" t="s">
        <v>74</v>
      </c>
      <c r="S375" t="s">
        <v>74</v>
      </c>
      <c r="T375" t="s">
        <v>74</v>
      </c>
      <c r="U375" t="s">
        <v>74</v>
      </c>
      <c r="V375" s="3" t="s">
        <v>7435</v>
      </c>
      <c r="W375" t="s">
        <v>74</v>
      </c>
      <c r="X375" t="s">
        <v>74</v>
      </c>
      <c r="Y375" t="s">
        <v>74</v>
      </c>
      <c r="Z375" t="s">
        <v>74</v>
      </c>
      <c r="AA375" t="s">
        <v>74</v>
      </c>
      <c r="AB375" t="s">
        <v>7436</v>
      </c>
      <c r="AC375" t="s">
        <v>74</v>
      </c>
      <c r="AD375" t="s">
        <v>74</v>
      </c>
      <c r="AE375" t="s">
        <v>74</v>
      </c>
      <c r="AF375" t="s">
        <v>74</v>
      </c>
      <c r="AG375" t="s">
        <v>74</v>
      </c>
      <c r="AH375" t="s">
        <v>74</v>
      </c>
      <c r="AI375" t="s">
        <v>74</v>
      </c>
      <c r="AJ375" t="s">
        <v>74</v>
      </c>
      <c r="AK375" t="s">
        <v>74</v>
      </c>
      <c r="AL375" t="s">
        <v>74</v>
      </c>
      <c r="AM375" t="s">
        <v>74</v>
      </c>
      <c r="AN375" t="s">
        <v>74</v>
      </c>
      <c r="AO375" t="s">
        <v>1997</v>
      </c>
      <c r="AP375" t="s">
        <v>3917</v>
      </c>
      <c r="AQ375" t="s">
        <v>74</v>
      </c>
      <c r="AR375" t="s">
        <v>74</v>
      </c>
      <c r="AS375" t="s">
        <v>74</v>
      </c>
      <c r="AT375" t="s">
        <v>305</v>
      </c>
      <c r="AU375">
        <v>2021</v>
      </c>
      <c r="AV375">
        <v>92</v>
      </c>
      <c r="AW375">
        <v>4</v>
      </c>
      <c r="AX375" t="s">
        <v>74</v>
      </c>
      <c r="AY375" t="s">
        <v>74</v>
      </c>
      <c r="AZ375" t="s">
        <v>74</v>
      </c>
      <c r="BA375" t="s">
        <v>74</v>
      </c>
      <c r="BB375">
        <v>365</v>
      </c>
      <c r="BC375">
        <v>376</v>
      </c>
      <c r="BD375" t="s">
        <v>74</v>
      </c>
      <c r="BE375" t="s">
        <v>7437</v>
      </c>
      <c r="BF375" t="str">
        <f>HYPERLINK("http://dx.doi.org/10.1111/jofo.12395","http://dx.doi.org/10.1111/jofo.12395")</f>
        <v>http://dx.doi.org/10.1111/jofo.12395</v>
      </c>
      <c r="BG375" t="s">
        <v>74</v>
      </c>
      <c r="BH375" t="s">
        <v>7438</v>
      </c>
      <c r="BI375" t="s">
        <v>74</v>
      </c>
      <c r="BJ375" t="s">
        <v>74</v>
      </c>
      <c r="BK375" t="s">
        <v>74</v>
      </c>
      <c r="BL375" t="s">
        <v>74</v>
      </c>
      <c r="BM375" t="s">
        <v>74</v>
      </c>
      <c r="BN375" t="s">
        <v>74</v>
      </c>
      <c r="BO375" t="s">
        <v>74</v>
      </c>
      <c r="BP375" t="s">
        <v>74</v>
      </c>
      <c r="BQ375" t="s">
        <v>74</v>
      </c>
      <c r="BR375" t="s">
        <v>74</v>
      </c>
      <c r="BS375" t="s">
        <v>7439</v>
      </c>
      <c r="BT375" t="str">
        <f>HYPERLINK("https%3A%2F%2Fwww.webofscience.com%2Fwos%2Fwoscc%2Ffull-record%2FWOS:000751937600001","View Full Record in Web of Science")</f>
        <v>View Full Record in Web of Science</v>
      </c>
    </row>
    <row r="376" spans="1:72" x14ac:dyDescent="0.4">
      <c r="A376" t="s">
        <v>72</v>
      </c>
      <c r="B376" t="s">
        <v>8324</v>
      </c>
      <c r="C376" t="s">
        <v>74</v>
      </c>
      <c r="D376" t="s">
        <v>74</v>
      </c>
      <c r="E376" t="s">
        <v>74</v>
      </c>
      <c r="F376" t="s">
        <v>8325</v>
      </c>
      <c r="G376" t="s">
        <v>74</v>
      </c>
      <c r="H376" t="s">
        <v>74</v>
      </c>
      <c r="I376" t="s">
        <v>8326</v>
      </c>
      <c r="J376" t="s">
        <v>408</v>
      </c>
      <c r="K376" t="s">
        <v>74</v>
      </c>
      <c r="L376" t="s">
        <v>74</v>
      </c>
      <c r="M376" t="s">
        <v>74</v>
      </c>
      <c r="N376" t="s">
        <v>74</v>
      </c>
      <c r="O376" t="s">
        <v>74</v>
      </c>
      <c r="P376" t="s">
        <v>74</v>
      </c>
      <c r="Q376" t="s">
        <v>74</v>
      </c>
      <c r="R376" t="s">
        <v>74</v>
      </c>
      <c r="S376" t="s">
        <v>74</v>
      </c>
      <c r="T376" t="s">
        <v>74</v>
      </c>
      <c r="U376" t="s">
        <v>74</v>
      </c>
      <c r="V376" s="3" t="s">
        <v>8327</v>
      </c>
      <c r="W376" t="s">
        <v>74</v>
      </c>
      <c r="X376" t="s">
        <v>74</v>
      </c>
      <c r="Y376" t="s">
        <v>74</v>
      </c>
      <c r="Z376" t="s">
        <v>74</v>
      </c>
      <c r="AA376" t="s">
        <v>8328</v>
      </c>
      <c r="AB376" t="s">
        <v>8329</v>
      </c>
      <c r="AC376" t="s">
        <v>74</v>
      </c>
      <c r="AD376" t="s">
        <v>74</v>
      </c>
      <c r="AE376" t="s">
        <v>74</v>
      </c>
      <c r="AF376" t="s">
        <v>74</v>
      </c>
      <c r="AG376" t="s">
        <v>74</v>
      </c>
      <c r="AH376" t="s">
        <v>74</v>
      </c>
      <c r="AI376" t="s">
        <v>74</v>
      </c>
      <c r="AJ376" t="s">
        <v>74</v>
      </c>
      <c r="AK376" t="s">
        <v>74</v>
      </c>
      <c r="AL376" t="s">
        <v>74</v>
      </c>
      <c r="AM376" t="s">
        <v>74</v>
      </c>
      <c r="AN376" t="s">
        <v>74</v>
      </c>
      <c r="AO376" t="s">
        <v>412</v>
      </c>
      <c r="AP376" t="s">
        <v>413</v>
      </c>
      <c r="AQ376" t="s">
        <v>74</v>
      </c>
      <c r="AR376" t="s">
        <v>74</v>
      </c>
      <c r="AS376" t="s">
        <v>74</v>
      </c>
      <c r="AT376" t="s">
        <v>175</v>
      </c>
      <c r="AU376">
        <v>2013</v>
      </c>
      <c r="AV376">
        <v>110</v>
      </c>
      <c r="AW376">
        <v>2</v>
      </c>
      <c r="AX376" t="s">
        <v>74</v>
      </c>
      <c r="AY376" t="s">
        <v>74</v>
      </c>
      <c r="AZ376" t="s">
        <v>74</v>
      </c>
      <c r="BA376" t="s">
        <v>74</v>
      </c>
      <c r="BB376">
        <v>409</v>
      </c>
      <c r="BC376">
        <v>426</v>
      </c>
      <c r="BD376" t="s">
        <v>74</v>
      </c>
      <c r="BE376" t="s">
        <v>8330</v>
      </c>
      <c r="BF376" t="str">
        <f>HYPERLINK("http://dx.doi.org/10.1111/bij.12131","http://dx.doi.org/10.1111/bij.12131")</f>
        <v>http://dx.doi.org/10.1111/bij.12131</v>
      </c>
      <c r="BG376" t="s">
        <v>74</v>
      </c>
      <c r="BH376" t="s">
        <v>74</v>
      </c>
      <c r="BI376" t="s">
        <v>74</v>
      </c>
      <c r="BJ376" t="s">
        <v>74</v>
      </c>
      <c r="BK376" t="s">
        <v>74</v>
      </c>
      <c r="BL376" t="s">
        <v>74</v>
      </c>
      <c r="BM376" t="s">
        <v>74</v>
      </c>
      <c r="BN376" t="s">
        <v>74</v>
      </c>
      <c r="BO376" t="s">
        <v>74</v>
      </c>
      <c r="BP376" t="s">
        <v>74</v>
      </c>
      <c r="BQ376" t="s">
        <v>74</v>
      </c>
      <c r="BR376" t="s">
        <v>74</v>
      </c>
      <c r="BS376" t="s">
        <v>8331</v>
      </c>
      <c r="BT376" t="str">
        <f>HYPERLINK("https%3A%2F%2Fwww.webofscience.com%2Fwos%2Fwoscc%2Ffull-record%2FWOS:000324302400012","View Full Record in Web of Science")</f>
        <v>View Full Record in Web of Science</v>
      </c>
    </row>
    <row r="377" spans="1:72" x14ac:dyDescent="0.4">
      <c r="A377" t="s">
        <v>72</v>
      </c>
      <c r="B377" t="s">
        <v>7777</v>
      </c>
      <c r="C377" t="s">
        <v>74</v>
      </c>
      <c r="D377" t="s">
        <v>74</v>
      </c>
      <c r="E377" t="s">
        <v>74</v>
      </c>
      <c r="F377" t="s">
        <v>7777</v>
      </c>
      <c r="G377" t="s">
        <v>74</v>
      </c>
      <c r="H377" t="s">
        <v>74</v>
      </c>
      <c r="I377" t="s">
        <v>7778</v>
      </c>
      <c r="J377" t="s">
        <v>129</v>
      </c>
      <c r="K377" t="s">
        <v>74</v>
      </c>
      <c r="L377" t="s">
        <v>74</v>
      </c>
      <c r="M377" t="s">
        <v>74</v>
      </c>
      <c r="N377" t="s">
        <v>74</v>
      </c>
      <c r="O377" t="s">
        <v>74</v>
      </c>
      <c r="P377" t="s">
        <v>74</v>
      </c>
      <c r="Q377" t="s">
        <v>74</v>
      </c>
      <c r="R377" t="s">
        <v>74</v>
      </c>
      <c r="S377" t="s">
        <v>74</v>
      </c>
      <c r="T377" t="s">
        <v>74</v>
      </c>
      <c r="U377" t="s">
        <v>74</v>
      </c>
      <c r="V377" s="3" t="s">
        <v>7779</v>
      </c>
      <c r="W377" t="s">
        <v>74</v>
      </c>
      <c r="X377" t="s">
        <v>74</v>
      </c>
      <c r="Y377" t="s">
        <v>74</v>
      </c>
      <c r="Z377" t="s">
        <v>74</v>
      </c>
      <c r="AA377" t="s">
        <v>7780</v>
      </c>
      <c r="AB377" t="s">
        <v>7781</v>
      </c>
      <c r="AC377" t="s">
        <v>74</v>
      </c>
      <c r="AD377" t="s">
        <v>74</v>
      </c>
      <c r="AE377" t="s">
        <v>74</v>
      </c>
      <c r="AF377" t="s">
        <v>74</v>
      </c>
      <c r="AG377" t="s">
        <v>74</v>
      </c>
      <c r="AH377" t="s">
        <v>74</v>
      </c>
      <c r="AI377" t="s">
        <v>74</v>
      </c>
      <c r="AJ377" t="s">
        <v>74</v>
      </c>
      <c r="AK377" t="s">
        <v>74</v>
      </c>
      <c r="AL377" t="s">
        <v>74</v>
      </c>
      <c r="AM377" t="s">
        <v>74</v>
      </c>
      <c r="AN377" t="s">
        <v>74</v>
      </c>
      <c r="AO377" t="s">
        <v>132</v>
      </c>
      <c r="AP377" t="s">
        <v>74</v>
      </c>
      <c r="AQ377" t="s">
        <v>74</v>
      </c>
      <c r="AR377" t="s">
        <v>74</v>
      </c>
      <c r="AS377" t="s">
        <v>74</v>
      </c>
      <c r="AT377" t="s">
        <v>123</v>
      </c>
      <c r="AU377">
        <v>1994</v>
      </c>
      <c r="AV377">
        <v>34</v>
      </c>
      <c r="AW377">
        <v>3</v>
      </c>
      <c r="AX377" t="s">
        <v>74</v>
      </c>
      <c r="AY377" t="s">
        <v>74</v>
      </c>
      <c r="AZ377" t="s">
        <v>74</v>
      </c>
      <c r="BA377" t="s">
        <v>74</v>
      </c>
      <c r="BB377">
        <v>203</v>
      </c>
      <c r="BC377">
        <v>210</v>
      </c>
      <c r="BD377" t="s">
        <v>74</v>
      </c>
      <c r="BE377" t="s">
        <v>7782</v>
      </c>
      <c r="BF377" t="str">
        <f>HYPERLINK("http://dx.doi.org/10.1007/s002650050034","http://dx.doi.org/10.1007/s002650050034")</f>
        <v>http://dx.doi.org/10.1007/s002650050034</v>
      </c>
      <c r="BG377" t="s">
        <v>74</v>
      </c>
      <c r="BH377" t="s">
        <v>74</v>
      </c>
      <c r="BI377" t="s">
        <v>74</v>
      </c>
      <c r="BJ377" t="s">
        <v>74</v>
      </c>
      <c r="BK377" t="s">
        <v>74</v>
      </c>
      <c r="BL377" t="s">
        <v>74</v>
      </c>
      <c r="BM377" t="s">
        <v>74</v>
      </c>
      <c r="BN377" t="s">
        <v>74</v>
      </c>
      <c r="BO377" t="s">
        <v>74</v>
      </c>
      <c r="BP377" t="s">
        <v>74</v>
      </c>
      <c r="BQ377" t="s">
        <v>74</v>
      </c>
      <c r="BR377" t="s">
        <v>74</v>
      </c>
      <c r="BS377" t="s">
        <v>7783</v>
      </c>
      <c r="BT377" t="str">
        <f>HYPERLINK("https%3A%2F%2Fwww.webofscience.com%2Fwos%2Fwoscc%2Ffull-record%2FWOS:A1994NG04500006","View Full Record in Web of Science")</f>
        <v>View Full Record in Web of Science</v>
      </c>
    </row>
    <row r="378" spans="1:72" x14ac:dyDescent="0.4">
      <c r="A378" t="s">
        <v>72</v>
      </c>
      <c r="B378" t="s">
        <v>5575</v>
      </c>
      <c r="C378" t="s">
        <v>74</v>
      </c>
      <c r="D378" t="s">
        <v>74</v>
      </c>
      <c r="E378" t="s">
        <v>74</v>
      </c>
      <c r="F378" t="s">
        <v>5575</v>
      </c>
      <c r="G378" t="s">
        <v>74</v>
      </c>
      <c r="H378" t="s">
        <v>74</v>
      </c>
      <c r="I378" t="s">
        <v>5576</v>
      </c>
      <c r="J378" t="s">
        <v>5577</v>
      </c>
      <c r="K378" t="s">
        <v>74</v>
      </c>
      <c r="L378" t="s">
        <v>74</v>
      </c>
      <c r="M378" t="s">
        <v>74</v>
      </c>
      <c r="N378" t="s">
        <v>74</v>
      </c>
      <c r="O378" t="s">
        <v>74</v>
      </c>
      <c r="P378" t="s">
        <v>74</v>
      </c>
      <c r="Q378" t="s">
        <v>74</v>
      </c>
      <c r="R378" t="s">
        <v>74</v>
      </c>
      <c r="S378" t="s">
        <v>74</v>
      </c>
      <c r="T378" t="s">
        <v>74</v>
      </c>
      <c r="U378" t="s">
        <v>74</v>
      </c>
      <c r="V378" s="3" t="s">
        <v>5578</v>
      </c>
      <c r="W378" t="s">
        <v>74</v>
      </c>
      <c r="X378" t="s">
        <v>74</v>
      </c>
      <c r="Y378" t="s">
        <v>74</v>
      </c>
      <c r="Z378" t="s">
        <v>74</v>
      </c>
      <c r="AA378" t="s">
        <v>74</v>
      </c>
      <c r="AB378" t="s">
        <v>74</v>
      </c>
      <c r="AC378" t="s">
        <v>74</v>
      </c>
      <c r="AD378" t="s">
        <v>74</v>
      </c>
      <c r="AE378" t="s">
        <v>74</v>
      </c>
      <c r="AF378" t="s">
        <v>74</v>
      </c>
      <c r="AG378" t="s">
        <v>74</v>
      </c>
      <c r="AH378" t="s">
        <v>74</v>
      </c>
      <c r="AI378" t="s">
        <v>74</v>
      </c>
      <c r="AJ378" t="s">
        <v>74</v>
      </c>
      <c r="AK378" t="s">
        <v>74</v>
      </c>
      <c r="AL378" t="s">
        <v>74</v>
      </c>
      <c r="AM378" t="s">
        <v>74</v>
      </c>
      <c r="AN378" t="s">
        <v>74</v>
      </c>
      <c r="AO378" t="s">
        <v>5579</v>
      </c>
      <c r="AP378" t="s">
        <v>74</v>
      </c>
      <c r="AQ378" t="s">
        <v>74</v>
      </c>
      <c r="AR378" t="s">
        <v>74</v>
      </c>
      <c r="AS378" t="s">
        <v>74</v>
      </c>
      <c r="AT378" t="s">
        <v>123</v>
      </c>
      <c r="AU378">
        <v>1989</v>
      </c>
      <c r="AV378">
        <v>68</v>
      </c>
      <c r="AW378">
        <v>3</v>
      </c>
      <c r="AX378" t="s">
        <v>74</v>
      </c>
      <c r="AY378" t="s">
        <v>74</v>
      </c>
      <c r="AZ378" t="s">
        <v>74</v>
      </c>
      <c r="BA378" t="s">
        <v>74</v>
      </c>
      <c r="BB378">
        <v>67</v>
      </c>
      <c r="BC378">
        <v>76</v>
      </c>
      <c r="BD378" t="s">
        <v>74</v>
      </c>
      <c r="BE378" t="s">
        <v>74</v>
      </c>
      <c r="BF378" t="s">
        <v>74</v>
      </c>
      <c r="BG378" t="s">
        <v>74</v>
      </c>
      <c r="BH378" t="s">
        <v>74</v>
      </c>
      <c r="BI378" t="s">
        <v>74</v>
      </c>
      <c r="BJ378" t="s">
        <v>74</v>
      </c>
      <c r="BK378" t="s">
        <v>74</v>
      </c>
      <c r="BL378" t="s">
        <v>74</v>
      </c>
      <c r="BM378" t="s">
        <v>74</v>
      </c>
      <c r="BN378" t="s">
        <v>74</v>
      </c>
      <c r="BO378" t="s">
        <v>74</v>
      </c>
      <c r="BP378" t="s">
        <v>74</v>
      </c>
      <c r="BQ378" t="s">
        <v>74</v>
      </c>
      <c r="BR378" t="s">
        <v>74</v>
      </c>
      <c r="BS378" t="s">
        <v>5580</v>
      </c>
      <c r="BT378" t="str">
        <f>HYPERLINK("https%3A%2F%2Fwww.webofscience.com%2Fwos%2Fwoscc%2Ffull-record%2FWOS:A1989U136200008","View Full Record in Web of Science")</f>
        <v>View Full Record in Web of Science</v>
      </c>
    </row>
    <row r="379" spans="1:72" x14ac:dyDescent="0.4">
      <c r="A379" t="s">
        <v>72</v>
      </c>
      <c r="B379" t="s">
        <v>6932</v>
      </c>
      <c r="C379" t="s">
        <v>74</v>
      </c>
      <c r="D379" t="s">
        <v>74</v>
      </c>
      <c r="E379" t="s">
        <v>74</v>
      </c>
      <c r="F379" t="s">
        <v>6933</v>
      </c>
      <c r="G379" t="s">
        <v>74</v>
      </c>
      <c r="H379" t="s">
        <v>74</v>
      </c>
      <c r="I379" t="s">
        <v>6934</v>
      </c>
      <c r="J379" t="s">
        <v>129</v>
      </c>
      <c r="K379" t="s">
        <v>74</v>
      </c>
      <c r="L379" t="s">
        <v>74</v>
      </c>
      <c r="M379" t="s">
        <v>74</v>
      </c>
      <c r="N379" t="s">
        <v>74</v>
      </c>
      <c r="O379" t="s">
        <v>74</v>
      </c>
      <c r="P379" t="s">
        <v>74</v>
      </c>
      <c r="Q379" t="s">
        <v>74</v>
      </c>
      <c r="R379" t="s">
        <v>74</v>
      </c>
      <c r="S379" t="s">
        <v>74</v>
      </c>
      <c r="T379" t="s">
        <v>74</v>
      </c>
      <c r="U379" t="s">
        <v>74</v>
      </c>
      <c r="V379" s="3" t="s">
        <v>6935</v>
      </c>
      <c r="W379" t="s">
        <v>74</v>
      </c>
      <c r="X379" t="s">
        <v>74</v>
      </c>
      <c r="Y379" t="s">
        <v>74</v>
      </c>
      <c r="Z379" t="s">
        <v>74</v>
      </c>
      <c r="AA379" t="s">
        <v>6936</v>
      </c>
      <c r="AB379" t="s">
        <v>6937</v>
      </c>
      <c r="AC379" t="s">
        <v>74</v>
      </c>
      <c r="AD379" t="s">
        <v>74</v>
      </c>
      <c r="AE379" t="s">
        <v>74</v>
      </c>
      <c r="AF379" t="s">
        <v>74</v>
      </c>
      <c r="AG379" t="s">
        <v>74</v>
      </c>
      <c r="AH379" t="s">
        <v>74</v>
      </c>
      <c r="AI379" t="s">
        <v>74</v>
      </c>
      <c r="AJ379" t="s">
        <v>74</v>
      </c>
      <c r="AK379" t="s">
        <v>74</v>
      </c>
      <c r="AL379" t="s">
        <v>74</v>
      </c>
      <c r="AM379" t="s">
        <v>74</v>
      </c>
      <c r="AN379" t="s">
        <v>74</v>
      </c>
      <c r="AO379" t="s">
        <v>132</v>
      </c>
      <c r="AP379" t="s">
        <v>133</v>
      </c>
      <c r="AQ379" t="s">
        <v>74</v>
      </c>
      <c r="AR379" t="s">
        <v>74</v>
      </c>
      <c r="AS379" t="s">
        <v>74</v>
      </c>
      <c r="AT379" t="s">
        <v>255</v>
      </c>
      <c r="AU379">
        <v>2022</v>
      </c>
      <c r="AV379">
        <v>76</v>
      </c>
      <c r="AW379">
        <v>1</v>
      </c>
      <c r="AX379" t="s">
        <v>74</v>
      </c>
      <c r="AY379" t="s">
        <v>74</v>
      </c>
      <c r="AZ379" t="s">
        <v>74</v>
      </c>
      <c r="BA379" t="s">
        <v>74</v>
      </c>
      <c r="BB379" t="s">
        <v>74</v>
      </c>
      <c r="BC379" t="s">
        <v>74</v>
      </c>
      <c r="BD379">
        <v>5</v>
      </c>
      <c r="BE379" t="s">
        <v>6938</v>
      </c>
      <c r="BF379" t="str">
        <f>HYPERLINK("http://dx.doi.org/10.1007/s00265-021-03122-0","http://dx.doi.org/10.1007/s00265-021-03122-0")</f>
        <v>http://dx.doi.org/10.1007/s00265-021-03122-0</v>
      </c>
      <c r="BG379" t="s">
        <v>74</v>
      </c>
      <c r="BH379" t="s">
        <v>74</v>
      </c>
      <c r="BI379" t="s">
        <v>74</v>
      </c>
      <c r="BJ379" t="s">
        <v>74</v>
      </c>
      <c r="BK379" t="s">
        <v>74</v>
      </c>
      <c r="BL379" t="s">
        <v>74</v>
      </c>
      <c r="BM379" t="s">
        <v>74</v>
      </c>
      <c r="BN379" t="s">
        <v>74</v>
      </c>
      <c r="BO379" t="s">
        <v>74</v>
      </c>
      <c r="BP379" t="s">
        <v>74</v>
      </c>
      <c r="BQ379" t="s">
        <v>74</v>
      </c>
      <c r="BR379" t="s">
        <v>74</v>
      </c>
      <c r="BS379" t="s">
        <v>6939</v>
      </c>
      <c r="BT379" t="str">
        <f>HYPERLINK("https%3A%2F%2Fwww.webofscience.com%2Fwos%2Fwoscc%2Ffull-record%2FWOS:000736712500001","View Full Record in Web of Science")</f>
        <v>View Full Record in Web of Science</v>
      </c>
    </row>
    <row r="380" spans="1:72" x14ac:dyDescent="0.4">
      <c r="A380" t="s">
        <v>72</v>
      </c>
      <c r="B380" t="s">
        <v>2507</v>
      </c>
      <c r="C380" t="s">
        <v>74</v>
      </c>
      <c r="D380" t="s">
        <v>74</v>
      </c>
      <c r="E380" t="s">
        <v>74</v>
      </c>
      <c r="F380" t="s">
        <v>2508</v>
      </c>
      <c r="G380" t="s">
        <v>74</v>
      </c>
      <c r="H380" t="s">
        <v>74</v>
      </c>
      <c r="I380" t="s">
        <v>2509</v>
      </c>
      <c r="J380" t="s">
        <v>509</v>
      </c>
      <c r="K380" t="s">
        <v>74</v>
      </c>
      <c r="L380" t="s">
        <v>74</v>
      </c>
      <c r="M380" t="s">
        <v>74</v>
      </c>
      <c r="N380" t="s">
        <v>74</v>
      </c>
      <c r="O380" t="s">
        <v>74</v>
      </c>
      <c r="P380" t="s">
        <v>74</v>
      </c>
      <c r="Q380" t="s">
        <v>74</v>
      </c>
      <c r="R380" t="s">
        <v>74</v>
      </c>
      <c r="S380" t="s">
        <v>74</v>
      </c>
      <c r="T380" t="s">
        <v>74</v>
      </c>
      <c r="U380" t="s">
        <v>74</v>
      </c>
      <c r="V380" s="3" t="s">
        <v>2510</v>
      </c>
      <c r="W380" t="s">
        <v>74</v>
      </c>
      <c r="X380" t="s">
        <v>74</v>
      </c>
      <c r="Y380" t="s">
        <v>74</v>
      </c>
      <c r="Z380" t="s">
        <v>74</v>
      </c>
      <c r="AA380" t="s">
        <v>2511</v>
      </c>
      <c r="AB380" t="s">
        <v>2512</v>
      </c>
      <c r="AC380" t="s">
        <v>74</v>
      </c>
      <c r="AD380" t="s">
        <v>74</v>
      </c>
      <c r="AE380" t="s">
        <v>74</v>
      </c>
      <c r="AF380" t="s">
        <v>74</v>
      </c>
      <c r="AG380" t="s">
        <v>74</v>
      </c>
      <c r="AH380" t="s">
        <v>74</v>
      </c>
      <c r="AI380" t="s">
        <v>74</v>
      </c>
      <c r="AJ380" t="s">
        <v>74</v>
      </c>
      <c r="AK380" t="s">
        <v>74</v>
      </c>
      <c r="AL380" t="s">
        <v>74</v>
      </c>
      <c r="AM380" t="s">
        <v>74</v>
      </c>
      <c r="AN380" t="s">
        <v>74</v>
      </c>
      <c r="AO380" t="s">
        <v>511</v>
      </c>
      <c r="AP380" t="s">
        <v>512</v>
      </c>
      <c r="AQ380" t="s">
        <v>74</v>
      </c>
      <c r="AR380" t="s">
        <v>74</v>
      </c>
      <c r="AS380" t="s">
        <v>74</v>
      </c>
      <c r="AT380" t="s">
        <v>204</v>
      </c>
      <c r="AU380">
        <v>2018</v>
      </c>
      <c r="AV380">
        <v>103</v>
      </c>
      <c r="AW380" t="s">
        <v>74</v>
      </c>
      <c r="AX380" t="s">
        <v>74</v>
      </c>
      <c r="AY380" t="s">
        <v>74</v>
      </c>
      <c r="AZ380" t="s">
        <v>74</v>
      </c>
      <c r="BA380" t="s">
        <v>74</v>
      </c>
      <c r="BB380">
        <v>28</v>
      </c>
      <c r="BC380">
        <v>35</v>
      </c>
      <c r="BD380" t="s">
        <v>74</v>
      </c>
      <c r="BE380" t="s">
        <v>2513</v>
      </c>
      <c r="BF380" t="str">
        <f>HYPERLINK("http://dx.doi.org/10.1016/j.yhbeh.2018.05.015","http://dx.doi.org/10.1016/j.yhbeh.2018.05.015")</f>
        <v>http://dx.doi.org/10.1016/j.yhbeh.2018.05.015</v>
      </c>
      <c r="BG380" t="s">
        <v>74</v>
      </c>
      <c r="BH380" t="s">
        <v>74</v>
      </c>
      <c r="BI380" t="s">
        <v>74</v>
      </c>
      <c r="BJ380" t="s">
        <v>74</v>
      </c>
      <c r="BK380" t="s">
        <v>74</v>
      </c>
      <c r="BL380" t="s">
        <v>74</v>
      </c>
      <c r="BM380" t="s">
        <v>74</v>
      </c>
      <c r="BN380">
        <v>29807035</v>
      </c>
      <c r="BO380" t="s">
        <v>74</v>
      </c>
      <c r="BP380" t="s">
        <v>74</v>
      </c>
      <c r="BQ380" t="s">
        <v>74</v>
      </c>
      <c r="BR380" t="s">
        <v>74</v>
      </c>
      <c r="BS380" t="s">
        <v>2514</v>
      </c>
      <c r="BT380" t="str">
        <f>HYPERLINK("https%3A%2F%2Fwww.webofscience.com%2Fwos%2Fwoscc%2Ffull-record%2FWOS:000441368400004","View Full Record in Web of Science")</f>
        <v>View Full Record in Web of Science</v>
      </c>
    </row>
    <row r="381" spans="1:72" x14ac:dyDescent="0.4">
      <c r="A381" t="s">
        <v>72</v>
      </c>
      <c r="B381" t="s">
        <v>5095</v>
      </c>
      <c r="C381" t="s">
        <v>74</v>
      </c>
      <c r="D381" t="s">
        <v>74</v>
      </c>
      <c r="E381" t="s">
        <v>74</v>
      </c>
      <c r="F381" t="s">
        <v>5096</v>
      </c>
      <c r="G381" t="s">
        <v>74</v>
      </c>
      <c r="H381" t="s">
        <v>74</v>
      </c>
      <c r="I381" t="s">
        <v>5097</v>
      </c>
      <c r="J381" t="s">
        <v>333</v>
      </c>
      <c r="K381" t="s">
        <v>74</v>
      </c>
      <c r="L381" t="s">
        <v>74</v>
      </c>
      <c r="M381" t="s">
        <v>74</v>
      </c>
      <c r="N381" t="s">
        <v>74</v>
      </c>
      <c r="O381" t="s">
        <v>74</v>
      </c>
      <c r="P381" t="s">
        <v>74</v>
      </c>
      <c r="Q381" t="s">
        <v>74</v>
      </c>
      <c r="R381" t="s">
        <v>74</v>
      </c>
      <c r="S381" t="s">
        <v>74</v>
      </c>
      <c r="T381" t="s">
        <v>74</v>
      </c>
      <c r="U381" t="s">
        <v>74</v>
      </c>
      <c r="V381" s="3" t="s">
        <v>5098</v>
      </c>
      <c r="W381" t="s">
        <v>74</v>
      </c>
      <c r="X381" t="s">
        <v>74</v>
      </c>
      <c r="Y381" t="s">
        <v>74</v>
      </c>
      <c r="Z381" t="s">
        <v>74</v>
      </c>
      <c r="AA381" t="s">
        <v>2511</v>
      </c>
      <c r="AB381" t="s">
        <v>5099</v>
      </c>
      <c r="AC381" t="s">
        <v>74</v>
      </c>
      <c r="AD381" t="s">
        <v>74</v>
      </c>
      <c r="AE381" t="s">
        <v>74</v>
      </c>
      <c r="AF381" t="s">
        <v>74</v>
      </c>
      <c r="AG381" t="s">
        <v>74</v>
      </c>
      <c r="AH381" t="s">
        <v>74</v>
      </c>
      <c r="AI381" t="s">
        <v>74</v>
      </c>
      <c r="AJ381" t="s">
        <v>74</v>
      </c>
      <c r="AK381" t="s">
        <v>74</v>
      </c>
      <c r="AL381" t="s">
        <v>74</v>
      </c>
      <c r="AM381" t="s">
        <v>74</v>
      </c>
      <c r="AN381" t="s">
        <v>74</v>
      </c>
      <c r="AO381" t="s">
        <v>337</v>
      </c>
      <c r="AP381" t="s">
        <v>338</v>
      </c>
      <c r="AQ381" t="s">
        <v>74</v>
      </c>
      <c r="AR381" t="s">
        <v>74</v>
      </c>
      <c r="AS381" t="s">
        <v>74</v>
      </c>
      <c r="AT381" t="s">
        <v>5100</v>
      </c>
      <c r="AU381">
        <v>2022</v>
      </c>
      <c r="AV381">
        <v>33</v>
      </c>
      <c r="AW381">
        <v>1</v>
      </c>
      <c r="AX381" t="s">
        <v>74</v>
      </c>
      <c r="AY381" t="s">
        <v>74</v>
      </c>
      <c r="AZ381" t="s">
        <v>74</v>
      </c>
      <c r="BA381" t="s">
        <v>74</v>
      </c>
      <c r="BB381">
        <v>233</v>
      </c>
      <c r="BC381">
        <v>244</v>
      </c>
      <c r="BD381" t="s">
        <v>5101</v>
      </c>
      <c r="BE381" t="s">
        <v>5102</v>
      </c>
      <c r="BF381" t="str">
        <f>HYPERLINK("http://dx.doi.org/10.1093/beheco/arab129","http://dx.doi.org/10.1093/beheco/arab129")</f>
        <v>http://dx.doi.org/10.1093/beheco/arab129</v>
      </c>
      <c r="BG381" t="s">
        <v>74</v>
      </c>
      <c r="BH381" t="s">
        <v>5103</v>
      </c>
      <c r="BI381" t="s">
        <v>74</v>
      </c>
      <c r="BJ381" t="s">
        <v>74</v>
      </c>
      <c r="BK381" t="s">
        <v>74</v>
      </c>
      <c r="BL381" t="s">
        <v>74</v>
      </c>
      <c r="BM381" t="s">
        <v>74</v>
      </c>
      <c r="BN381">
        <v>35210941</v>
      </c>
      <c r="BO381" t="s">
        <v>74</v>
      </c>
      <c r="BP381" t="s">
        <v>74</v>
      </c>
      <c r="BQ381" t="s">
        <v>74</v>
      </c>
      <c r="BR381" t="s">
        <v>74</v>
      </c>
      <c r="BS381" t="s">
        <v>5104</v>
      </c>
      <c r="BT381" t="str">
        <f>HYPERLINK("https%3A%2F%2Fwww.webofscience.com%2Fwos%2Fwoscc%2Ffull-record%2FWOS:000757960400024","View Full Record in Web of Science")</f>
        <v>View Full Record in Web of Science</v>
      </c>
    </row>
    <row r="382" spans="1:72" x14ac:dyDescent="0.4">
      <c r="A382" t="s">
        <v>72</v>
      </c>
      <c r="B382" t="s">
        <v>7619</v>
      </c>
      <c r="C382" t="s">
        <v>74</v>
      </c>
      <c r="D382" t="s">
        <v>74</v>
      </c>
      <c r="E382" t="s">
        <v>74</v>
      </c>
      <c r="F382" t="s">
        <v>7620</v>
      </c>
      <c r="G382" t="s">
        <v>74</v>
      </c>
      <c r="H382" t="s">
        <v>74</v>
      </c>
      <c r="I382" t="s">
        <v>7621</v>
      </c>
      <c r="J382" t="s">
        <v>7622</v>
      </c>
      <c r="K382" t="s">
        <v>74</v>
      </c>
      <c r="L382" t="s">
        <v>74</v>
      </c>
      <c r="M382" t="s">
        <v>74</v>
      </c>
      <c r="N382" t="s">
        <v>74</v>
      </c>
      <c r="O382" t="s">
        <v>74</v>
      </c>
      <c r="P382" t="s">
        <v>74</v>
      </c>
      <c r="Q382" t="s">
        <v>74</v>
      </c>
      <c r="R382" t="s">
        <v>74</v>
      </c>
      <c r="S382" t="s">
        <v>74</v>
      </c>
      <c r="T382" t="s">
        <v>74</v>
      </c>
      <c r="U382" t="s">
        <v>74</v>
      </c>
      <c r="V382" s="3" t="s">
        <v>7623</v>
      </c>
      <c r="W382" t="s">
        <v>74</v>
      </c>
      <c r="X382" t="s">
        <v>74</v>
      </c>
      <c r="Y382" t="s">
        <v>74</v>
      </c>
      <c r="Z382" t="s">
        <v>74</v>
      </c>
      <c r="AA382" t="s">
        <v>74</v>
      </c>
      <c r="AB382" t="s">
        <v>74</v>
      </c>
      <c r="AC382" t="s">
        <v>74</v>
      </c>
      <c r="AD382" t="s">
        <v>74</v>
      </c>
      <c r="AE382" t="s">
        <v>74</v>
      </c>
      <c r="AF382" t="s">
        <v>74</v>
      </c>
      <c r="AG382" t="s">
        <v>74</v>
      </c>
      <c r="AH382" t="s">
        <v>74</v>
      </c>
      <c r="AI382" t="s">
        <v>74</v>
      </c>
      <c r="AJ382" t="s">
        <v>74</v>
      </c>
      <c r="AK382" t="s">
        <v>74</v>
      </c>
      <c r="AL382" t="s">
        <v>74</v>
      </c>
      <c r="AM382" t="s">
        <v>74</v>
      </c>
      <c r="AN382" t="s">
        <v>74</v>
      </c>
      <c r="AO382" t="s">
        <v>7624</v>
      </c>
      <c r="AP382" t="s">
        <v>74</v>
      </c>
      <c r="AQ382" t="s">
        <v>74</v>
      </c>
      <c r="AR382" t="s">
        <v>74</v>
      </c>
      <c r="AS382" t="s">
        <v>74</v>
      </c>
      <c r="AT382" t="s">
        <v>305</v>
      </c>
      <c r="AU382">
        <v>2007</v>
      </c>
      <c r="AV382">
        <v>36</v>
      </c>
      <c r="AW382">
        <v>6</v>
      </c>
      <c r="AX382" t="s">
        <v>74</v>
      </c>
      <c r="AY382" t="s">
        <v>74</v>
      </c>
      <c r="AZ382" t="s">
        <v>74</v>
      </c>
      <c r="BA382" t="s">
        <v>74</v>
      </c>
      <c r="BB382">
        <v>348</v>
      </c>
      <c r="BC382">
        <v>354</v>
      </c>
      <c r="BD382" t="s">
        <v>74</v>
      </c>
      <c r="BE382" t="s">
        <v>7625</v>
      </c>
      <c r="BF382" t="str">
        <f>HYPERLINK("http://dx.doi.org/10.1111/j.1600-0684.2007.00227.x","http://dx.doi.org/10.1111/j.1600-0684.2007.00227.x")</f>
        <v>http://dx.doi.org/10.1111/j.1600-0684.2007.00227.x</v>
      </c>
      <c r="BG382" t="s">
        <v>74</v>
      </c>
      <c r="BH382" t="s">
        <v>74</v>
      </c>
      <c r="BI382" t="s">
        <v>74</v>
      </c>
      <c r="BJ382" t="s">
        <v>74</v>
      </c>
      <c r="BK382" t="s">
        <v>74</v>
      </c>
      <c r="BL382" t="s">
        <v>74</v>
      </c>
      <c r="BM382" t="s">
        <v>74</v>
      </c>
      <c r="BN382">
        <v>17976039</v>
      </c>
      <c r="BO382" t="s">
        <v>74</v>
      </c>
      <c r="BP382" t="s">
        <v>74</v>
      </c>
      <c r="BQ382" t="s">
        <v>74</v>
      </c>
      <c r="BR382" t="s">
        <v>74</v>
      </c>
      <c r="BS382" t="s">
        <v>7626</v>
      </c>
      <c r="BT382" t="str">
        <f>HYPERLINK("https%3A%2F%2Fwww.webofscience.com%2Fwos%2Fwoscc%2Ffull-record%2FWOS:000250553200003","View Full Record in Web of Science")</f>
        <v>View Full Record in Web of Science</v>
      </c>
    </row>
    <row r="383" spans="1:72" x14ac:dyDescent="0.4">
      <c r="A383" t="s">
        <v>72</v>
      </c>
      <c r="B383" t="s">
        <v>207</v>
      </c>
      <c r="C383" t="s">
        <v>74</v>
      </c>
      <c r="D383" t="s">
        <v>74</v>
      </c>
      <c r="E383" t="s">
        <v>74</v>
      </c>
      <c r="F383" t="s">
        <v>208</v>
      </c>
      <c r="G383" t="s">
        <v>74</v>
      </c>
      <c r="H383" t="s">
        <v>74</v>
      </c>
      <c r="I383" t="s">
        <v>209</v>
      </c>
      <c r="J383" t="s">
        <v>210</v>
      </c>
      <c r="K383" t="s">
        <v>74</v>
      </c>
      <c r="L383" t="s">
        <v>74</v>
      </c>
      <c r="M383" t="s">
        <v>74</v>
      </c>
      <c r="N383" t="s">
        <v>74</v>
      </c>
      <c r="O383" t="s">
        <v>74</v>
      </c>
      <c r="P383" t="s">
        <v>74</v>
      </c>
      <c r="Q383" t="s">
        <v>74</v>
      </c>
      <c r="R383" t="s">
        <v>74</v>
      </c>
      <c r="S383" t="s">
        <v>74</v>
      </c>
      <c r="T383" t="s">
        <v>74</v>
      </c>
      <c r="U383" t="s">
        <v>74</v>
      </c>
      <c r="V383" s="3" t="s">
        <v>211</v>
      </c>
      <c r="W383" t="s">
        <v>74</v>
      </c>
      <c r="X383" t="s">
        <v>74</v>
      </c>
      <c r="Y383" t="s">
        <v>74</v>
      </c>
      <c r="Z383" t="s">
        <v>74</v>
      </c>
      <c r="AA383" t="s">
        <v>74</v>
      </c>
      <c r="AB383" t="s">
        <v>74</v>
      </c>
      <c r="AC383" t="s">
        <v>74</v>
      </c>
      <c r="AD383" t="s">
        <v>74</v>
      </c>
      <c r="AE383" t="s">
        <v>74</v>
      </c>
      <c r="AF383" t="s">
        <v>74</v>
      </c>
      <c r="AG383" t="s">
        <v>74</v>
      </c>
      <c r="AH383" t="s">
        <v>74</v>
      </c>
      <c r="AI383" t="s">
        <v>74</v>
      </c>
      <c r="AJ383" t="s">
        <v>74</v>
      </c>
      <c r="AK383" t="s">
        <v>74</v>
      </c>
      <c r="AL383" t="s">
        <v>74</v>
      </c>
      <c r="AM383" t="s">
        <v>74</v>
      </c>
      <c r="AN383" t="s">
        <v>74</v>
      </c>
      <c r="AO383" t="s">
        <v>212</v>
      </c>
      <c r="AP383" t="s">
        <v>74</v>
      </c>
      <c r="AQ383" t="s">
        <v>74</v>
      </c>
      <c r="AR383" t="s">
        <v>74</v>
      </c>
      <c r="AS383" t="s">
        <v>74</v>
      </c>
      <c r="AT383" t="s">
        <v>213</v>
      </c>
      <c r="AU383">
        <v>2006</v>
      </c>
      <c r="AV383">
        <v>15</v>
      </c>
      <c r="AW383">
        <v>4</v>
      </c>
      <c r="AX383" t="s">
        <v>74</v>
      </c>
      <c r="AY383" t="s">
        <v>74</v>
      </c>
      <c r="AZ383" t="s">
        <v>74</v>
      </c>
      <c r="BA383" t="s">
        <v>74</v>
      </c>
      <c r="BB383">
        <v>363</v>
      </c>
      <c r="BC383">
        <v>369</v>
      </c>
      <c r="BD383" t="s">
        <v>74</v>
      </c>
      <c r="BE383" t="s">
        <v>74</v>
      </c>
      <c r="BF383" t="s">
        <v>74</v>
      </c>
      <c r="BG383" t="s">
        <v>74</v>
      </c>
      <c r="BH383" t="s">
        <v>74</v>
      </c>
      <c r="BI383" t="s">
        <v>74</v>
      </c>
      <c r="BJ383" t="s">
        <v>74</v>
      </c>
      <c r="BK383" t="s">
        <v>74</v>
      </c>
      <c r="BL383" t="s">
        <v>74</v>
      </c>
      <c r="BM383" t="s">
        <v>74</v>
      </c>
      <c r="BN383" t="s">
        <v>74</v>
      </c>
      <c r="BO383" t="s">
        <v>74</v>
      </c>
      <c r="BP383" t="s">
        <v>74</v>
      </c>
      <c r="BQ383" t="s">
        <v>74</v>
      </c>
      <c r="BR383" t="s">
        <v>74</v>
      </c>
      <c r="BS383" t="s">
        <v>214</v>
      </c>
      <c r="BT383" t="str">
        <f>HYPERLINK("https%3A%2F%2Fwww.webofscience.com%2Fwos%2Fwoscc%2Ffull-record%2FWOS:000241770100007","View Full Record in Web of Science")</f>
        <v>View Full Record in Web of Science</v>
      </c>
    </row>
    <row r="384" spans="1:72" x14ac:dyDescent="0.4">
      <c r="A384" t="s">
        <v>72</v>
      </c>
      <c r="B384" t="s">
        <v>3316</v>
      </c>
      <c r="C384" t="s">
        <v>74</v>
      </c>
      <c r="D384" t="s">
        <v>74</v>
      </c>
      <c r="E384" t="s">
        <v>74</v>
      </c>
      <c r="F384" t="s">
        <v>3317</v>
      </c>
      <c r="G384" t="s">
        <v>74</v>
      </c>
      <c r="H384" t="s">
        <v>74</v>
      </c>
      <c r="I384" t="s">
        <v>3318</v>
      </c>
      <c r="J384" t="s">
        <v>119</v>
      </c>
      <c r="K384" t="s">
        <v>74</v>
      </c>
      <c r="L384" t="s">
        <v>74</v>
      </c>
      <c r="M384" t="s">
        <v>74</v>
      </c>
      <c r="N384" t="s">
        <v>74</v>
      </c>
      <c r="O384" t="s">
        <v>74</v>
      </c>
      <c r="P384" t="s">
        <v>74</v>
      </c>
      <c r="Q384" t="s">
        <v>74</v>
      </c>
      <c r="R384" t="s">
        <v>74</v>
      </c>
      <c r="S384" t="s">
        <v>74</v>
      </c>
      <c r="T384" t="s">
        <v>74</v>
      </c>
      <c r="U384" t="s">
        <v>74</v>
      </c>
      <c r="V384" s="3" t="s">
        <v>3319</v>
      </c>
      <c r="W384" t="s">
        <v>74</v>
      </c>
      <c r="X384" t="s">
        <v>74</v>
      </c>
      <c r="Y384" t="s">
        <v>74</v>
      </c>
      <c r="Z384" t="s">
        <v>74</v>
      </c>
      <c r="AA384" t="s">
        <v>1028</v>
      </c>
      <c r="AB384" t="s">
        <v>1029</v>
      </c>
      <c r="AC384" t="s">
        <v>74</v>
      </c>
      <c r="AD384" t="s">
        <v>74</v>
      </c>
      <c r="AE384" t="s">
        <v>74</v>
      </c>
      <c r="AF384" t="s">
        <v>74</v>
      </c>
      <c r="AG384" t="s">
        <v>74</v>
      </c>
      <c r="AH384" t="s">
        <v>74</v>
      </c>
      <c r="AI384" t="s">
        <v>74</v>
      </c>
      <c r="AJ384" t="s">
        <v>74</v>
      </c>
      <c r="AK384" t="s">
        <v>74</v>
      </c>
      <c r="AL384" t="s">
        <v>74</v>
      </c>
      <c r="AM384" t="s">
        <v>74</v>
      </c>
      <c r="AN384" t="s">
        <v>74</v>
      </c>
      <c r="AO384" t="s">
        <v>121</v>
      </c>
      <c r="AP384" t="s">
        <v>74</v>
      </c>
      <c r="AQ384" t="s">
        <v>74</v>
      </c>
      <c r="AR384" t="s">
        <v>74</v>
      </c>
      <c r="AS384" t="s">
        <v>74</v>
      </c>
      <c r="AT384" t="s">
        <v>255</v>
      </c>
      <c r="AU384">
        <v>2009</v>
      </c>
      <c r="AV384">
        <v>80</v>
      </c>
      <c r="AW384">
        <v>1</v>
      </c>
      <c r="AX384" t="s">
        <v>74</v>
      </c>
      <c r="AY384" t="s">
        <v>74</v>
      </c>
      <c r="AZ384" t="s">
        <v>74</v>
      </c>
      <c r="BA384" t="s">
        <v>74</v>
      </c>
      <c r="BB384">
        <v>7</v>
      </c>
      <c r="BC384">
        <v>11</v>
      </c>
      <c r="BD384" t="s">
        <v>74</v>
      </c>
      <c r="BE384" t="s">
        <v>3320</v>
      </c>
      <c r="BF384" t="str">
        <f>HYPERLINK("http://dx.doi.org/10.1016/j.beproc.2008.08.001","http://dx.doi.org/10.1016/j.beproc.2008.08.001")</f>
        <v>http://dx.doi.org/10.1016/j.beproc.2008.08.001</v>
      </c>
      <c r="BG384" t="s">
        <v>74</v>
      </c>
      <c r="BH384" t="s">
        <v>74</v>
      </c>
      <c r="BI384" t="s">
        <v>74</v>
      </c>
      <c r="BJ384" t="s">
        <v>74</v>
      </c>
      <c r="BK384" t="s">
        <v>74</v>
      </c>
      <c r="BL384" t="s">
        <v>74</v>
      </c>
      <c r="BM384" t="s">
        <v>74</v>
      </c>
      <c r="BN384">
        <v>18761061</v>
      </c>
      <c r="BO384" t="s">
        <v>74</v>
      </c>
      <c r="BP384" t="s">
        <v>74</v>
      </c>
      <c r="BQ384" t="s">
        <v>74</v>
      </c>
      <c r="BR384" t="s">
        <v>74</v>
      </c>
      <c r="BS384" t="s">
        <v>3321</v>
      </c>
      <c r="BT384" t="str">
        <f>HYPERLINK("https%3A%2F%2Fwww.webofscience.com%2Fwos%2Fwoscc%2Ffull-record%2FWOS:000262546900002","View Full Record in Web of Science")</f>
        <v>View Full Record in Web of Science</v>
      </c>
    </row>
    <row r="385" spans="1:72" x14ac:dyDescent="0.4">
      <c r="A385" t="s">
        <v>72</v>
      </c>
      <c r="B385" t="s">
        <v>1023</v>
      </c>
      <c r="C385" t="s">
        <v>74</v>
      </c>
      <c r="D385" t="s">
        <v>74</v>
      </c>
      <c r="E385" t="s">
        <v>74</v>
      </c>
      <c r="F385" t="s">
        <v>1024</v>
      </c>
      <c r="G385" t="s">
        <v>74</v>
      </c>
      <c r="H385" t="s">
        <v>74</v>
      </c>
      <c r="I385" t="s">
        <v>1025</v>
      </c>
      <c r="J385" t="s">
        <v>1026</v>
      </c>
      <c r="K385" t="s">
        <v>74</v>
      </c>
      <c r="L385" t="s">
        <v>74</v>
      </c>
      <c r="M385" t="s">
        <v>74</v>
      </c>
      <c r="N385" t="s">
        <v>74</v>
      </c>
      <c r="O385" t="s">
        <v>74</v>
      </c>
      <c r="P385" t="s">
        <v>74</v>
      </c>
      <c r="Q385" t="s">
        <v>74</v>
      </c>
      <c r="R385" t="s">
        <v>74</v>
      </c>
      <c r="S385" t="s">
        <v>74</v>
      </c>
      <c r="T385" t="s">
        <v>74</v>
      </c>
      <c r="U385" t="s">
        <v>74</v>
      </c>
      <c r="V385" s="3" t="s">
        <v>1027</v>
      </c>
      <c r="W385" t="s">
        <v>74</v>
      </c>
      <c r="X385" t="s">
        <v>74</v>
      </c>
      <c r="Y385" t="s">
        <v>74</v>
      </c>
      <c r="Z385" t="s">
        <v>74</v>
      </c>
      <c r="AA385" t="s">
        <v>1028</v>
      </c>
      <c r="AB385" t="s">
        <v>1029</v>
      </c>
      <c r="AC385" t="s">
        <v>74</v>
      </c>
      <c r="AD385" t="s">
        <v>74</v>
      </c>
      <c r="AE385" t="s">
        <v>74</v>
      </c>
      <c r="AF385" t="s">
        <v>74</v>
      </c>
      <c r="AG385" t="s">
        <v>74</v>
      </c>
      <c r="AH385" t="s">
        <v>74</v>
      </c>
      <c r="AI385" t="s">
        <v>74</v>
      </c>
      <c r="AJ385" t="s">
        <v>74</v>
      </c>
      <c r="AK385" t="s">
        <v>74</v>
      </c>
      <c r="AL385" t="s">
        <v>74</v>
      </c>
      <c r="AM385" t="s">
        <v>74</v>
      </c>
      <c r="AN385" t="s">
        <v>74</v>
      </c>
      <c r="AO385" t="s">
        <v>1030</v>
      </c>
      <c r="AP385" t="s">
        <v>1031</v>
      </c>
      <c r="AQ385" t="s">
        <v>74</v>
      </c>
      <c r="AR385" t="s">
        <v>74</v>
      </c>
      <c r="AS385" t="s">
        <v>74</v>
      </c>
      <c r="AT385" t="s">
        <v>964</v>
      </c>
      <c r="AU385">
        <v>2007</v>
      </c>
      <c r="AV385">
        <v>28</v>
      </c>
      <c r="AW385">
        <v>1</v>
      </c>
      <c r="AX385" t="s">
        <v>74</v>
      </c>
      <c r="AY385" t="s">
        <v>74</v>
      </c>
      <c r="AZ385" t="s">
        <v>74</v>
      </c>
      <c r="BA385" t="s">
        <v>74</v>
      </c>
      <c r="BB385">
        <v>1</v>
      </c>
      <c r="BC385">
        <v>7</v>
      </c>
      <c r="BD385" t="s">
        <v>74</v>
      </c>
      <c r="BE385" t="s">
        <v>1032</v>
      </c>
      <c r="BF385" t="str">
        <f>HYPERLINK("http://dx.doi.org/10.1007/s10764-006-9110-8","http://dx.doi.org/10.1007/s10764-006-9110-8")</f>
        <v>http://dx.doi.org/10.1007/s10764-006-9110-8</v>
      </c>
      <c r="BG385" t="s">
        <v>74</v>
      </c>
      <c r="BH385" t="s">
        <v>74</v>
      </c>
      <c r="BI385" t="s">
        <v>74</v>
      </c>
      <c r="BJ385" t="s">
        <v>74</v>
      </c>
      <c r="BK385" t="s">
        <v>74</v>
      </c>
      <c r="BL385" t="s">
        <v>74</v>
      </c>
      <c r="BM385" t="s">
        <v>74</v>
      </c>
      <c r="BN385" t="s">
        <v>74</v>
      </c>
      <c r="BO385" t="s">
        <v>74</v>
      </c>
      <c r="BP385" t="s">
        <v>74</v>
      </c>
      <c r="BQ385" t="s">
        <v>74</v>
      </c>
      <c r="BR385" t="s">
        <v>74</v>
      </c>
      <c r="BS385" t="s">
        <v>1033</v>
      </c>
      <c r="BT385" t="str">
        <f>HYPERLINK("https%3A%2F%2Fwww.webofscience.com%2Fwos%2Fwoscc%2Ffull-record%2FWOS:000246843800001","View Full Record in Web of Science")</f>
        <v>View Full Record in Web of Science</v>
      </c>
    </row>
    <row r="386" spans="1:72" x14ac:dyDescent="0.4">
      <c r="A386" t="s">
        <v>72</v>
      </c>
      <c r="B386" t="s">
        <v>7627</v>
      </c>
      <c r="C386" t="s">
        <v>74</v>
      </c>
      <c r="D386" t="s">
        <v>74</v>
      </c>
      <c r="E386" t="s">
        <v>74</v>
      </c>
      <c r="F386" t="s">
        <v>7628</v>
      </c>
      <c r="G386" t="s">
        <v>74</v>
      </c>
      <c r="H386" t="s">
        <v>74</v>
      </c>
      <c r="I386" t="s">
        <v>7629</v>
      </c>
      <c r="J386" t="s">
        <v>1526</v>
      </c>
      <c r="K386" t="s">
        <v>74</v>
      </c>
      <c r="L386" t="s">
        <v>74</v>
      </c>
      <c r="M386" t="s">
        <v>74</v>
      </c>
      <c r="N386" t="s">
        <v>74</v>
      </c>
      <c r="O386" t="s">
        <v>74</v>
      </c>
      <c r="P386" t="s">
        <v>74</v>
      </c>
      <c r="Q386" t="s">
        <v>74</v>
      </c>
      <c r="R386" t="s">
        <v>74</v>
      </c>
      <c r="S386" t="s">
        <v>74</v>
      </c>
      <c r="T386" t="s">
        <v>74</v>
      </c>
      <c r="U386" t="s">
        <v>74</v>
      </c>
      <c r="V386" s="3" t="s">
        <v>7630</v>
      </c>
      <c r="W386" t="s">
        <v>74</v>
      </c>
      <c r="X386" t="s">
        <v>74</v>
      </c>
      <c r="Y386" t="s">
        <v>74</v>
      </c>
      <c r="Z386" t="s">
        <v>74</v>
      </c>
      <c r="AA386" t="s">
        <v>7631</v>
      </c>
      <c r="AB386" t="s">
        <v>7632</v>
      </c>
      <c r="AC386" t="s">
        <v>74</v>
      </c>
      <c r="AD386" t="s">
        <v>74</v>
      </c>
      <c r="AE386" t="s">
        <v>74</v>
      </c>
      <c r="AF386" t="s">
        <v>74</v>
      </c>
      <c r="AG386" t="s">
        <v>74</v>
      </c>
      <c r="AH386" t="s">
        <v>74</v>
      </c>
      <c r="AI386" t="s">
        <v>74</v>
      </c>
      <c r="AJ386" t="s">
        <v>74</v>
      </c>
      <c r="AK386" t="s">
        <v>74</v>
      </c>
      <c r="AL386" t="s">
        <v>74</v>
      </c>
      <c r="AM386" t="s">
        <v>74</v>
      </c>
      <c r="AN386" t="s">
        <v>74</v>
      </c>
      <c r="AO386" t="s">
        <v>1528</v>
      </c>
      <c r="AP386" t="s">
        <v>74</v>
      </c>
      <c r="AQ386" t="s">
        <v>74</v>
      </c>
      <c r="AR386" t="s">
        <v>74</v>
      </c>
      <c r="AS386" t="s">
        <v>74</v>
      </c>
      <c r="AT386" t="s">
        <v>213</v>
      </c>
      <c r="AU386">
        <v>2010</v>
      </c>
      <c r="AV386">
        <v>112</v>
      </c>
      <c r="AW386">
        <v>4</v>
      </c>
      <c r="AX386" t="s">
        <v>74</v>
      </c>
      <c r="AY386" t="s">
        <v>74</v>
      </c>
      <c r="AZ386" t="s">
        <v>74</v>
      </c>
      <c r="BA386" t="s">
        <v>74</v>
      </c>
      <c r="BB386">
        <v>676</v>
      </c>
      <c r="BC386">
        <v>682</v>
      </c>
      <c r="BD386" t="s">
        <v>74</v>
      </c>
      <c r="BE386" t="s">
        <v>7633</v>
      </c>
      <c r="BF386" t="str">
        <f>HYPERLINK("http://dx.doi.org/10.1525/cond.2010.090193","http://dx.doi.org/10.1525/cond.2010.090193")</f>
        <v>http://dx.doi.org/10.1525/cond.2010.090193</v>
      </c>
      <c r="BG386" t="s">
        <v>74</v>
      </c>
      <c r="BH386" t="s">
        <v>74</v>
      </c>
      <c r="BI386" t="s">
        <v>74</v>
      </c>
      <c r="BJ386" t="s">
        <v>74</v>
      </c>
      <c r="BK386" t="s">
        <v>74</v>
      </c>
      <c r="BL386" t="s">
        <v>74</v>
      </c>
      <c r="BM386" t="s">
        <v>74</v>
      </c>
      <c r="BN386" t="s">
        <v>74</v>
      </c>
      <c r="BO386" t="s">
        <v>74</v>
      </c>
      <c r="BP386" t="s">
        <v>74</v>
      </c>
      <c r="BQ386" t="s">
        <v>74</v>
      </c>
      <c r="BR386" t="s">
        <v>74</v>
      </c>
      <c r="BS386" t="s">
        <v>7634</v>
      </c>
      <c r="BT386" t="str">
        <f>HYPERLINK("https%3A%2F%2Fwww.webofscience.com%2Fwos%2Fwoscc%2Ffull-record%2FWOS:000285727700006","View Full Record in Web of Science")</f>
        <v>View Full Record in Web of Science</v>
      </c>
    </row>
    <row r="387" spans="1:72" x14ac:dyDescent="0.4">
      <c r="A387" t="s">
        <v>72</v>
      </c>
      <c r="B387" t="s">
        <v>4659</v>
      </c>
      <c r="C387" t="s">
        <v>74</v>
      </c>
      <c r="D387" t="s">
        <v>74</v>
      </c>
      <c r="E387" t="s">
        <v>74</v>
      </c>
      <c r="F387" t="s">
        <v>4659</v>
      </c>
      <c r="G387" t="s">
        <v>74</v>
      </c>
      <c r="H387" t="s">
        <v>74</v>
      </c>
      <c r="I387" t="s">
        <v>4660</v>
      </c>
      <c r="J387" t="s">
        <v>4661</v>
      </c>
      <c r="K387" t="s">
        <v>74</v>
      </c>
      <c r="L387" t="s">
        <v>74</v>
      </c>
      <c r="M387" t="s">
        <v>74</v>
      </c>
      <c r="N387" t="s">
        <v>74</v>
      </c>
      <c r="O387" t="s">
        <v>74</v>
      </c>
      <c r="P387" t="s">
        <v>74</v>
      </c>
      <c r="Q387" t="s">
        <v>74</v>
      </c>
      <c r="R387" t="s">
        <v>74</v>
      </c>
      <c r="S387" t="s">
        <v>74</v>
      </c>
      <c r="T387" t="s">
        <v>74</v>
      </c>
      <c r="U387" t="s">
        <v>74</v>
      </c>
      <c r="V387" s="3" t="s">
        <v>4662</v>
      </c>
      <c r="W387" t="s">
        <v>74</v>
      </c>
      <c r="X387" t="s">
        <v>74</v>
      </c>
      <c r="Y387" t="s">
        <v>74</v>
      </c>
      <c r="Z387" t="s">
        <v>74</v>
      </c>
      <c r="AA387" t="s">
        <v>74</v>
      </c>
      <c r="AB387" t="s">
        <v>74</v>
      </c>
      <c r="AC387" t="s">
        <v>74</v>
      </c>
      <c r="AD387" t="s">
        <v>74</v>
      </c>
      <c r="AE387" t="s">
        <v>74</v>
      </c>
      <c r="AF387" t="s">
        <v>74</v>
      </c>
      <c r="AG387" t="s">
        <v>74</v>
      </c>
      <c r="AH387" t="s">
        <v>74</v>
      </c>
      <c r="AI387" t="s">
        <v>74</v>
      </c>
      <c r="AJ387" t="s">
        <v>74</v>
      </c>
      <c r="AK387" t="s">
        <v>74</v>
      </c>
      <c r="AL387" t="s">
        <v>74</v>
      </c>
      <c r="AM387" t="s">
        <v>74</v>
      </c>
      <c r="AN387" t="s">
        <v>74</v>
      </c>
      <c r="AO387" t="s">
        <v>4663</v>
      </c>
      <c r="AP387" t="s">
        <v>74</v>
      </c>
      <c r="AQ387" t="s">
        <v>74</v>
      </c>
      <c r="AR387" t="s">
        <v>74</v>
      </c>
      <c r="AS387" t="s">
        <v>74</v>
      </c>
      <c r="AT387" t="s">
        <v>74</v>
      </c>
      <c r="AU387">
        <v>1996</v>
      </c>
      <c r="AV387">
        <v>24</v>
      </c>
      <c r="AW387">
        <v>2</v>
      </c>
      <c r="AX387" t="s">
        <v>74</v>
      </c>
      <c r="AY387" t="s">
        <v>74</v>
      </c>
      <c r="AZ387" t="s">
        <v>74</v>
      </c>
      <c r="BA387" t="s">
        <v>74</v>
      </c>
      <c r="BB387">
        <v>93</v>
      </c>
      <c r="BC387">
        <v>100</v>
      </c>
      <c r="BD387" t="s">
        <v>74</v>
      </c>
      <c r="BE387" t="s">
        <v>74</v>
      </c>
      <c r="BF387" t="s">
        <v>74</v>
      </c>
      <c r="BG387" t="s">
        <v>74</v>
      </c>
      <c r="BH387" t="s">
        <v>74</v>
      </c>
      <c r="BI387" t="s">
        <v>74</v>
      </c>
      <c r="BJ387" t="s">
        <v>74</v>
      </c>
      <c r="BK387" t="s">
        <v>74</v>
      </c>
      <c r="BL387" t="s">
        <v>74</v>
      </c>
      <c r="BM387" t="s">
        <v>74</v>
      </c>
      <c r="BN387" t="s">
        <v>74</v>
      </c>
      <c r="BO387" t="s">
        <v>74</v>
      </c>
      <c r="BP387" t="s">
        <v>74</v>
      </c>
      <c r="BQ387" t="s">
        <v>74</v>
      </c>
      <c r="BR387" t="s">
        <v>74</v>
      </c>
      <c r="BS387" t="s">
        <v>4664</v>
      </c>
      <c r="BT387" t="str">
        <f>HYPERLINK("https%3A%2F%2Fwww.webofscience.com%2Fwos%2Fwoscc%2Ffull-record%2FWOS:A1996VW78600003","View Full Record in Web of Science")</f>
        <v>View Full Record in Web of Science</v>
      </c>
    </row>
    <row r="388" spans="1:72" x14ac:dyDescent="0.4">
      <c r="A388" t="s">
        <v>72</v>
      </c>
      <c r="B388" t="s">
        <v>7730</v>
      </c>
      <c r="C388" t="s">
        <v>74</v>
      </c>
      <c r="D388" t="s">
        <v>74</v>
      </c>
      <c r="E388" t="s">
        <v>74</v>
      </c>
      <c r="F388" t="s">
        <v>7731</v>
      </c>
      <c r="G388" t="s">
        <v>74</v>
      </c>
      <c r="H388" t="s">
        <v>74</v>
      </c>
      <c r="I388" t="s">
        <v>7732</v>
      </c>
      <c r="J388" t="s">
        <v>1656</v>
      </c>
      <c r="K388" t="s">
        <v>74</v>
      </c>
      <c r="L388" t="s">
        <v>74</v>
      </c>
      <c r="M388" t="s">
        <v>74</v>
      </c>
      <c r="N388" t="s">
        <v>74</v>
      </c>
      <c r="O388" t="s">
        <v>74</v>
      </c>
      <c r="P388" t="s">
        <v>74</v>
      </c>
      <c r="Q388" t="s">
        <v>74</v>
      </c>
      <c r="R388" t="s">
        <v>74</v>
      </c>
      <c r="S388" t="s">
        <v>74</v>
      </c>
      <c r="T388" t="s">
        <v>74</v>
      </c>
      <c r="U388" t="s">
        <v>74</v>
      </c>
      <c r="V388" s="3" t="s">
        <v>7733</v>
      </c>
      <c r="W388" t="s">
        <v>74</v>
      </c>
      <c r="X388" t="s">
        <v>74</v>
      </c>
      <c r="Y388" t="s">
        <v>74</v>
      </c>
      <c r="Z388" t="s">
        <v>74</v>
      </c>
      <c r="AA388" t="s">
        <v>7734</v>
      </c>
      <c r="AB388" t="s">
        <v>7735</v>
      </c>
      <c r="AC388" t="s">
        <v>74</v>
      </c>
      <c r="AD388" t="s">
        <v>74</v>
      </c>
      <c r="AE388" t="s">
        <v>74</v>
      </c>
      <c r="AF388" t="s">
        <v>74</v>
      </c>
      <c r="AG388" t="s">
        <v>74</v>
      </c>
      <c r="AH388" t="s">
        <v>74</v>
      </c>
      <c r="AI388" t="s">
        <v>74</v>
      </c>
      <c r="AJ388" t="s">
        <v>74</v>
      </c>
      <c r="AK388" t="s">
        <v>74</v>
      </c>
      <c r="AL388" t="s">
        <v>74</v>
      </c>
      <c r="AM388" t="s">
        <v>74</v>
      </c>
      <c r="AN388" t="s">
        <v>74</v>
      </c>
      <c r="AO388" t="s">
        <v>1658</v>
      </c>
      <c r="AP388" t="s">
        <v>1659</v>
      </c>
      <c r="AQ388" t="s">
        <v>74</v>
      </c>
      <c r="AR388" t="s">
        <v>74</v>
      </c>
      <c r="AS388" t="s">
        <v>74</v>
      </c>
      <c r="AT388" t="s">
        <v>275</v>
      </c>
      <c r="AU388">
        <v>2022</v>
      </c>
      <c r="AV388">
        <v>5128</v>
      </c>
      <c r="AW388">
        <v>4</v>
      </c>
      <c r="AX388" t="s">
        <v>74</v>
      </c>
      <c r="AY388" t="s">
        <v>74</v>
      </c>
      <c r="AZ388" t="s">
        <v>74</v>
      </c>
      <c r="BA388" t="s">
        <v>74</v>
      </c>
      <c r="BB388">
        <v>486</v>
      </c>
      <c r="BC388">
        <v>502</v>
      </c>
      <c r="BD388" t="s">
        <v>74</v>
      </c>
      <c r="BE388" t="s">
        <v>7736</v>
      </c>
      <c r="BF388" t="str">
        <f>HYPERLINK("http://dx.doi.org/10.11646/zootaxa.5128.4.2","http://dx.doi.org/10.11646/zootaxa.5128.4.2")</f>
        <v>http://dx.doi.org/10.11646/zootaxa.5128.4.2</v>
      </c>
      <c r="BG388" t="s">
        <v>74</v>
      </c>
      <c r="BH388" t="s">
        <v>74</v>
      </c>
      <c r="BI388" t="s">
        <v>74</v>
      </c>
      <c r="BJ388" t="s">
        <v>74</v>
      </c>
      <c r="BK388" t="s">
        <v>74</v>
      </c>
      <c r="BL388" t="s">
        <v>74</v>
      </c>
      <c r="BM388" t="s">
        <v>74</v>
      </c>
      <c r="BN388">
        <v>36101160</v>
      </c>
      <c r="BO388" t="s">
        <v>74</v>
      </c>
      <c r="BP388" t="s">
        <v>74</v>
      </c>
      <c r="BQ388" t="s">
        <v>74</v>
      </c>
      <c r="BR388" t="s">
        <v>74</v>
      </c>
      <c r="BS388" t="s">
        <v>7737</v>
      </c>
      <c r="BT388" t="str">
        <f>HYPERLINK("https%3A%2F%2Fwww.webofscience.com%2Fwos%2Fwoscc%2Ffull-record%2FWOS:000792772900002","View Full Record in Web of Science")</f>
        <v>View Full Record in Web of Science</v>
      </c>
    </row>
    <row r="389" spans="1:72" x14ac:dyDescent="0.4">
      <c r="A389" t="s">
        <v>72</v>
      </c>
      <c r="B389" t="s">
        <v>6811</v>
      </c>
      <c r="C389" t="s">
        <v>74</v>
      </c>
      <c r="D389" t="s">
        <v>74</v>
      </c>
      <c r="E389" t="s">
        <v>74</v>
      </c>
      <c r="F389" t="s">
        <v>6812</v>
      </c>
      <c r="G389" t="s">
        <v>74</v>
      </c>
      <c r="H389" t="s">
        <v>74</v>
      </c>
      <c r="I389" t="s">
        <v>6813</v>
      </c>
      <c r="J389" t="s">
        <v>6814</v>
      </c>
      <c r="K389" t="s">
        <v>74</v>
      </c>
      <c r="L389" t="s">
        <v>74</v>
      </c>
      <c r="M389" t="s">
        <v>74</v>
      </c>
      <c r="N389" t="s">
        <v>74</v>
      </c>
      <c r="O389" t="s">
        <v>74</v>
      </c>
      <c r="P389" t="s">
        <v>74</v>
      </c>
      <c r="Q389" t="s">
        <v>74</v>
      </c>
      <c r="R389" t="s">
        <v>74</v>
      </c>
      <c r="S389" t="s">
        <v>74</v>
      </c>
      <c r="T389" t="s">
        <v>74</v>
      </c>
      <c r="U389" t="s">
        <v>74</v>
      </c>
      <c r="V389" s="3" t="s">
        <v>6815</v>
      </c>
      <c r="W389" t="s">
        <v>74</v>
      </c>
      <c r="X389" t="s">
        <v>74</v>
      </c>
      <c r="Y389" t="s">
        <v>74</v>
      </c>
      <c r="Z389" t="s">
        <v>74</v>
      </c>
      <c r="AA389" t="s">
        <v>6816</v>
      </c>
      <c r="AB389" t="s">
        <v>6817</v>
      </c>
      <c r="AC389" t="s">
        <v>74</v>
      </c>
      <c r="AD389" t="s">
        <v>74</v>
      </c>
      <c r="AE389" t="s">
        <v>74</v>
      </c>
      <c r="AF389" t="s">
        <v>74</v>
      </c>
      <c r="AG389" t="s">
        <v>74</v>
      </c>
      <c r="AH389" t="s">
        <v>74</v>
      </c>
      <c r="AI389" t="s">
        <v>74</v>
      </c>
      <c r="AJ389" t="s">
        <v>74</v>
      </c>
      <c r="AK389" t="s">
        <v>74</v>
      </c>
      <c r="AL389" t="s">
        <v>74</v>
      </c>
      <c r="AM389" t="s">
        <v>74</v>
      </c>
      <c r="AN389" t="s">
        <v>74</v>
      </c>
      <c r="AO389" t="s">
        <v>6818</v>
      </c>
      <c r="AP389" t="s">
        <v>6819</v>
      </c>
      <c r="AQ389" t="s">
        <v>74</v>
      </c>
      <c r="AR389" t="s">
        <v>74</v>
      </c>
      <c r="AS389" t="s">
        <v>74</v>
      </c>
      <c r="AT389" t="s">
        <v>352</v>
      </c>
      <c r="AU389">
        <v>2021</v>
      </c>
      <c r="AV389">
        <v>14</v>
      </c>
      <c r="AW389">
        <v>5</v>
      </c>
      <c r="AX389" t="s">
        <v>74</v>
      </c>
      <c r="AY389" t="s">
        <v>74</v>
      </c>
      <c r="AZ389" t="s">
        <v>74</v>
      </c>
      <c r="BA389" t="s">
        <v>74</v>
      </c>
      <c r="BB389">
        <v>661</v>
      </c>
      <c r="BC389">
        <v>674</v>
      </c>
      <c r="BD389" t="s">
        <v>74</v>
      </c>
      <c r="BE389" t="s">
        <v>6820</v>
      </c>
      <c r="BF389" t="str">
        <f>HYPERLINK("http://dx.doi.org/10.1111/icad.12500","http://dx.doi.org/10.1111/icad.12500")</f>
        <v>http://dx.doi.org/10.1111/icad.12500</v>
      </c>
      <c r="BG389" t="s">
        <v>74</v>
      </c>
      <c r="BH389" t="s">
        <v>571</v>
      </c>
      <c r="BI389" t="s">
        <v>74</v>
      </c>
      <c r="BJ389" t="s">
        <v>74</v>
      </c>
      <c r="BK389" t="s">
        <v>74</v>
      </c>
      <c r="BL389" t="s">
        <v>74</v>
      </c>
      <c r="BM389" t="s">
        <v>74</v>
      </c>
      <c r="BN389" t="s">
        <v>74</v>
      </c>
      <c r="BO389" t="s">
        <v>74</v>
      </c>
      <c r="BP389" t="s">
        <v>74</v>
      </c>
      <c r="BQ389" t="s">
        <v>74</v>
      </c>
      <c r="BR389" t="s">
        <v>74</v>
      </c>
      <c r="BS389" t="s">
        <v>6821</v>
      </c>
      <c r="BT389" t="str">
        <f>HYPERLINK("https%3A%2F%2Fwww.webofscience.com%2Fwos%2Fwoscc%2Ffull-record%2FWOS:000653231000001","View Full Record in Web of Science")</f>
        <v>View Full Record in Web of Science</v>
      </c>
    </row>
    <row r="390" spans="1:72" x14ac:dyDescent="0.4">
      <c r="A390" t="s">
        <v>72</v>
      </c>
      <c r="B390" t="s">
        <v>7206</v>
      </c>
      <c r="C390" t="s">
        <v>74</v>
      </c>
      <c r="D390" t="s">
        <v>74</v>
      </c>
      <c r="E390" t="s">
        <v>74</v>
      </c>
      <c r="F390" t="s">
        <v>7207</v>
      </c>
      <c r="G390" t="s">
        <v>74</v>
      </c>
      <c r="H390" t="s">
        <v>74</v>
      </c>
      <c r="I390" t="s">
        <v>7208</v>
      </c>
      <c r="J390" t="s">
        <v>1237</v>
      </c>
      <c r="K390" t="s">
        <v>74</v>
      </c>
      <c r="L390" t="s">
        <v>74</v>
      </c>
      <c r="M390" t="s">
        <v>74</v>
      </c>
      <c r="N390" t="s">
        <v>74</v>
      </c>
      <c r="O390" t="s">
        <v>74</v>
      </c>
      <c r="P390" t="s">
        <v>74</v>
      </c>
      <c r="Q390" t="s">
        <v>74</v>
      </c>
      <c r="R390" t="s">
        <v>74</v>
      </c>
      <c r="S390" t="s">
        <v>74</v>
      </c>
      <c r="T390" t="s">
        <v>74</v>
      </c>
      <c r="U390" t="s">
        <v>74</v>
      </c>
      <c r="V390" s="3" t="s">
        <v>7209</v>
      </c>
      <c r="W390" t="s">
        <v>74</v>
      </c>
      <c r="X390" t="s">
        <v>74</v>
      </c>
      <c r="Y390" t="s">
        <v>74</v>
      </c>
      <c r="Z390" t="s">
        <v>74</v>
      </c>
      <c r="AA390" t="s">
        <v>74</v>
      </c>
      <c r="AB390" t="s">
        <v>74</v>
      </c>
      <c r="AC390" t="s">
        <v>74</v>
      </c>
      <c r="AD390" t="s">
        <v>74</v>
      </c>
      <c r="AE390" t="s">
        <v>74</v>
      </c>
      <c r="AF390" t="s">
        <v>74</v>
      </c>
      <c r="AG390" t="s">
        <v>74</v>
      </c>
      <c r="AH390" t="s">
        <v>74</v>
      </c>
      <c r="AI390" t="s">
        <v>74</v>
      </c>
      <c r="AJ390" t="s">
        <v>74</v>
      </c>
      <c r="AK390" t="s">
        <v>74</v>
      </c>
      <c r="AL390" t="s">
        <v>74</v>
      </c>
      <c r="AM390" t="s">
        <v>74</v>
      </c>
      <c r="AN390" t="s">
        <v>74</v>
      </c>
      <c r="AO390" t="s">
        <v>1239</v>
      </c>
      <c r="AP390" t="s">
        <v>74</v>
      </c>
      <c r="AQ390" t="s">
        <v>74</v>
      </c>
      <c r="AR390" t="s">
        <v>74</v>
      </c>
      <c r="AS390" t="s">
        <v>74</v>
      </c>
      <c r="AT390" t="s">
        <v>102</v>
      </c>
      <c r="AU390">
        <v>2009</v>
      </c>
      <c r="AV390">
        <v>87</v>
      </c>
      <c r="AW390">
        <v>6</v>
      </c>
      <c r="AX390" t="s">
        <v>74</v>
      </c>
      <c r="AY390" t="s">
        <v>74</v>
      </c>
      <c r="AZ390" t="s">
        <v>74</v>
      </c>
      <c r="BA390" t="s">
        <v>74</v>
      </c>
      <c r="BB390">
        <v>529</v>
      </c>
      <c r="BC390">
        <v>536</v>
      </c>
      <c r="BD390" t="s">
        <v>74</v>
      </c>
      <c r="BE390" t="s">
        <v>7210</v>
      </c>
      <c r="BF390" t="str">
        <f>HYPERLINK("http://dx.doi.org/10.1139/Z09-039","http://dx.doi.org/10.1139/Z09-039")</f>
        <v>http://dx.doi.org/10.1139/Z09-039</v>
      </c>
      <c r="BG390" t="s">
        <v>74</v>
      </c>
      <c r="BH390" t="s">
        <v>74</v>
      </c>
      <c r="BI390" t="s">
        <v>74</v>
      </c>
      <c r="BJ390" t="s">
        <v>74</v>
      </c>
      <c r="BK390" t="s">
        <v>74</v>
      </c>
      <c r="BL390" t="s">
        <v>74</v>
      </c>
      <c r="BM390" t="s">
        <v>74</v>
      </c>
      <c r="BN390" t="s">
        <v>74</v>
      </c>
      <c r="BO390" t="s">
        <v>74</v>
      </c>
      <c r="BP390" t="s">
        <v>74</v>
      </c>
      <c r="BQ390" t="s">
        <v>74</v>
      </c>
      <c r="BR390" t="s">
        <v>74</v>
      </c>
      <c r="BS390" t="s">
        <v>7211</v>
      </c>
      <c r="BT390" t="str">
        <f>HYPERLINK("https%3A%2F%2Fwww.webofscience.com%2Fwos%2Fwoscc%2Ffull-record%2FWOS:000267075500008","View Full Record in Web of Science")</f>
        <v>View Full Record in Web of Science</v>
      </c>
    </row>
    <row r="391" spans="1:72" x14ac:dyDescent="0.4">
      <c r="A391" t="s">
        <v>72</v>
      </c>
      <c r="B391" t="s">
        <v>4257</v>
      </c>
      <c r="C391" t="s">
        <v>74</v>
      </c>
      <c r="D391" t="s">
        <v>74</v>
      </c>
      <c r="E391" t="s">
        <v>74</v>
      </c>
      <c r="F391" t="s">
        <v>4257</v>
      </c>
      <c r="G391" t="s">
        <v>74</v>
      </c>
      <c r="H391" t="s">
        <v>74</v>
      </c>
      <c r="I391" t="s">
        <v>4258</v>
      </c>
      <c r="J391" t="s">
        <v>431</v>
      </c>
      <c r="K391" t="s">
        <v>74</v>
      </c>
      <c r="L391" t="s">
        <v>74</v>
      </c>
      <c r="M391" t="s">
        <v>74</v>
      </c>
      <c r="N391" t="s">
        <v>74</v>
      </c>
      <c r="O391" t="s">
        <v>74</v>
      </c>
      <c r="P391" t="s">
        <v>74</v>
      </c>
      <c r="Q391" t="s">
        <v>74</v>
      </c>
      <c r="R391" t="s">
        <v>74</v>
      </c>
      <c r="S391" t="s">
        <v>74</v>
      </c>
      <c r="T391" t="s">
        <v>74</v>
      </c>
      <c r="U391" t="s">
        <v>74</v>
      </c>
      <c r="V391" s="3" t="s">
        <v>4259</v>
      </c>
      <c r="W391" t="s">
        <v>74</v>
      </c>
      <c r="X391" t="s">
        <v>74</v>
      </c>
      <c r="Y391" t="s">
        <v>74</v>
      </c>
      <c r="Z391" t="s">
        <v>74</v>
      </c>
      <c r="AA391" t="s">
        <v>74</v>
      </c>
      <c r="AB391" t="s">
        <v>74</v>
      </c>
      <c r="AC391" t="s">
        <v>74</v>
      </c>
      <c r="AD391" t="s">
        <v>74</v>
      </c>
      <c r="AE391" t="s">
        <v>74</v>
      </c>
      <c r="AF391" t="s">
        <v>74</v>
      </c>
      <c r="AG391" t="s">
        <v>74</v>
      </c>
      <c r="AH391" t="s">
        <v>74</v>
      </c>
      <c r="AI391" t="s">
        <v>74</v>
      </c>
      <c r="AJ391" t="s">
        <v>74</v>
      </c>
      <c r="AK391" t="s">
        <v>74</v>
      </c>
      <c r="AL391" t="s">
        <v>74</v>
      </c>
      <c r="AM391" t="s">
        <v>74</v>
      </c>
      <c r="AN391" t="s">
        <v>74</v>
      </c>
      <c r="AO391" t="s">
        <v>74</v>
      </c>
      <c r="AP391" t="s">
        <v>435</v>
      </c>
      <c r="AQ391" t="s">
        <v>74</v>
      </c>
      <c r="AR391" t="s">
        <v>74</v>
      </c>
      <c r="AS391" t="s">
        <v>74</v>
      </c>
      <c r="AT391" t="s">
        <v>204</v>
      </c>
      <c r="AU391">
        <v>1987</v>
      </c>
      <c r="AV391">
        <v>104</v>
      </c>
      <c r="AW391">
        <v>3</v>
      </c>
      <c r="AX391" t="s">
        <v>74</v>
      </c>
      <c r="AY391" t="s">
        <v>74</v>
      </c>
      <c r="AZ391" t="s">
        <v>74</v>
      </c>
      <c r="BA391" t="s">
        <v>74</v>
      </c>
      <c r="BB391">
        <v>444</v>
      </c>
      <c r="BC391">
        <v>449</v>
      </c>
      <c r="BD391" t="s">
        <v>74</v>
      </c>
      <c r="BE391" t="s">
        <v>4260</v>
      </c>
      <c r="BF391" t="str">
        <f>HYPERLINK("http://dx.doi.org/10.2307/4087543","http://dx.doi.org/10.2307/4087543")</f>
        <v>http://dx.doi.org/10.2307/4087543</v>
      </c>
      <c r="BG391" t="s">
        <v>74</v>
      </c>
      <c r="BH391" t="s">
        <v>74</v>
      </c>
      <c r="BI391" t="s">
        <v>74</v>
      </c>
      <c r="BJ391" t="s">
        <v>74</v>
      </c>
      <c r="BK391" t="s">
        <v>74</v>
      </c>
      <c r="BL391" t="s">
        <v>74</v>
      </c>
      <c r="BM391" t="s">
        <v>74</v>
      </c>
      <c r="BN391" t="s">
        <v>74</v>
      </c>
      <c r="BO391" t="s">
        <v>74</v>
      </c>
      <c r="BP391" t="s">
        <v>74</v>
      </c>
      <c r="BQ391" t="s">
        <v>74</v>
      </c>
      <c r="BR391" t="s">
        <v>74</v>
      </c>
      <c r="BS391" t="s">
        <v>4261</v>
      </c>
      <c r="BT391" t="str">
        <f>HYPERLINK("https%3A%2F%2Fwww.webofscience.com%2Fwos%2Fwoscc%2Ffull-record%2FWOS:A1987J266100010","View Full Record in Web of Science")</f>
        <v>View Full Record in Web of Science</v>
      </c>
    </row>
    <row r="392" spans="1:72" x14ac:dyDescent="0.4">
      <c r="A392" t="s">
        <v>72</v>
      </c>
      <c r="B392" t="s">
        <v>2794</v>
      </c>
      <c r="C392" t="s">
        <v>74</v>
      </c>
      <c r="D392" t="s">
        <v>74</v>
      </c>
      <c r="E392" t="s">
        <v>74</v>
      </c>
      <c r="F392" t="s">
        <v>2795</v>
      </c>
      <c r="G392" t="s">
        <v>74</v>
      </c>
      <c r="H392" t="s">
        <v>74</v>
      </c>
      <c r="I392" t="s">
        <v>2796</v>
      </c>
      <c r="J392" t="s">
        <v>1656</v>
      </c>
      <c r="K392" t="s">
        <v>74</v>
      </c>
      <c r="L392" t="s">
        <v>74</v>
      </c>
      <c r="M392" t="s">
        <v>74</v>
      </c>
      <c r="N392" t="s">
        <v>74</v>
      </c>
      <c r="O392" t="s">
        <v>74</v>
      </c>
      <c r="P392" t="s">
        <v>74</v>
      </c>
      <c r="Q392" t="s">
        <v>74</v>
      </c>
      <c r="R392" t="s">
        <v>74</v>
      </c>
      <c r="S392" t="s">
        <v>74</v>
      </c>
      <c r="T392" t="s">
        <v>74</v>
      </c>
      <c r="U392" t="s">
        <v>74</v>
      </c>
      <c r="V392" s="3" t="s">
        <v>2797</v>
      </c>
      <c r="W392" t="s">
        <v>74</v>
      </c>
      <c r="X392" t="s">
        <v>74</v>
      </c>
      <c r="Y392" t="s">
        <v>74</v>
      </c>
      <c r="Z392" t="s">
        <v>74</v>
      </c>
      <c r="AA392" t="s">
        <v>2798</v>
      </c>
      <c r="AB392" t="s">
        <v>2799</v>
      </c>
      <c r="AC392" t="s">
        <v>74</v>
      </c>
      <c r="AD392" t="s">
        <v>74</v>
      </c>
      <c r="AE392" t="s">
        <v>74</v>
      </c>
      <c r="AF392" t="s">
        <v>74</v>
      </c>
      <c r="AG392" t="s">
        <v>74</v>
      </c>
      <c r="AH392" t="s">
        <v>74</v>
      </c>
      <c r="AI392" t="s">
        <v>74</v>
      </c>
      <c r="AJ392" t="s">
        <v>74</v>
      </c>
      <c r="AK392" t="s">
        <v>74</v>
      </c>
      <c r="AL392" t="s">
        <v>74</v>
      </c>
      <c r="AM392" t="s">
        <v>74</v>
      </c>
      <c r="AN392" t="s">
        <v>74</v>
      </c>
      <c r="AO392" t="s">
        <v>1658</v>
      </c>
      <c r="AP392" t="s">
        <v>1659</v>
      </c>
      <c r="AQ392" t="s">
        <v>74</v>
      </c>
      <c r="AR392" t="s">
        <v>74</v>
      </c>
      <c r="AS392" t="s">
        <v>74</v>
      </c>
      <c r="AT392" t="s">
        <v>2800</v>
      </c>
      <c r="AU392">
        <v>2013</v>
      </c>
      <c r="AV392">
        <v>3700</v>
      </c>
      <c r="AW392">
        <v>3</v>
      </c>
      <c r="AX392" t="s">
        <v>74</v>
      </c>
      <c r="AY392" t="s">
        <v>74</v>
      </c>
      <c r="AZ392" t="s">
        <v>74</v>
      </c>
      <c r="BA392" t="s">
        <v>74</v>
      </c>
      <c r="BB392">
        <v>348</v>
      </c>
      <c r="BC392">
        <v>360</v>
      </c>
      <c r="BD392" t="s">
        <v>74</v>
      </c>
      <c r="BE392" t="s">
        <v>2801</v>
      </c>
      <c r="BF392" t="str">
        <f>HYPERLINK("http://dx.doi.org/10.11646/zootaxa.3700.3.2","http://dx.doi.org/10.11646/zootaxa.3700.3.2")</f>
        <v>http://dx.doi.org/10.11646/zootaxa.3700.3.2</v>
      </c>
      <c r="BG392" t="s">
        <v>74</v>
      </c>
      <c r="BH392" t="s">
        <v>74</v>
      </c>
      <c r="BI392" t="s">
        <v>74</v>
      </c>
      <c r="BJ392" t="s">
        <v>74</v>
      </c>
      <c r="BK392" t="s">
        <v>74</v>
      </c>
      <c r="BL392" t="s">
        <v>74</v>
      </c>
      <c r="BM392" t="s">
        <v>74</v>
      </c>
      <c r="BN392">
        <v>26106731</v>
      </c>
      <c r="BO392" t="s">
        <v>74</v>
      </c>
      <c r="BP392" t="s">
        <v>74</v>
      </c>
      <c r="BQ392" t="s">
        <v>74</v>
      </c>
      <c r="BR392" t="s">
        <v>74</v>
      </c>
      <c r="BS392" t="s">
        <v>2802</v>
      </c>
      <c r="BT392" t="str">
        <f>HYPERLINK("https%3A%2F%2Fwww.webofscience.com%2Fwos%2Fwoscc%2Ffull-record%2FWOS:000323105800002","View Full Record in Web of Science")</f>
        <v>View Full Record in Web of Science</v>
      </c>
    </row>
    <row r="393" spans="1:72" x14ac:dyDescent="0.4">
      <c r="A393" t="s">
        <v>72</v>
      </c>
      <c r="B393" t="s">
        <v>6424</v>
      </c>
      <c r="C393" t="s">
        <v>74</v>
      </c>
      <c r="D393" t="s">
        <v>74</v>
      </c>
      <c r="E393" t="s">
        <v>74</v>
      </c>
      <c r="F393" t="s">
        <v>6425</v>
      </c>
      <c r="G393" t="s">
        <v>74</v>
      </c>
      <c r="H393" t="s">
        <v>74</v>
      </c>
      <c r="I393" t="s">
        <v>6426</v>
      </c>
      <c r="J393" t="s">
        <v>6427</v>
      </c>
      <c r="K393" t="s">
        <v>74</v>
      </c>
      <c r="L393" t="s">
        <v>74</v>
      </c>
      <c r="M393" t="s">
        <v>74</v>
      </c>
      <c r="N393" t="s">
        <v>74</v>
      </c>
      <c r="O393" t="s">
        <v>74</v>
      </c>
      <c r="P393" t="s">
        <v>74</v>
      </c>
      <c r="Q393" t="s">
        <v>74</v>
      </c>
      <c r="R393" t="s">
        <v>74</v>
      </c>
      <c r="S393" t="s">
        <v>74</v>
      </c>
      <c r="T393" t="s">
        <v>74</v>
      </c>
      <c r="U393" t="s">
        <v>74</v>
      </c>
      <c r="V393" s="3" t="s">
        <v>6428</v>
      </c>
      <c r="W393" t="s">
        <v>74</v>
      </c>
      <c r="X393" t="s">
        <v>74</v>
      </c>
      <c r="Y393" t="s">
        <v>74</v>
      </c>
      <c r="Z393" t="s">
        <v>74</v>
      </c>
      <c r="AA393" t="s">
        <v>6429</v>
      </c>
      <c r="AB393" t="s">
        <v>6430</v>
      </c>
      <c r="AC393" t="s">
        <v>74</v>
      </c>
      <c r="AD393" t="s">
        <v>74</v>
      </c>
      <c r="AE393" t="s">
        <v>74</v>
      </c>
      <c r="AF393" t="s">
        <v>74</v>
      </c>
      <c r="AG393" t="s">
        <v>74</v>
      </c>
      <c r="AH393" t="s">
        <v>74</v>
      </c>
      <c r="AI393" t="s">
        <v>74</v>
      </c>
      <c r="AJ393" t="s">
        <v>74</v>
      </c>
      <c r="AK393" t="s">
        <v>74</v>
      </c>
      <c r="AL393" t="s">
        <v>74</v>
      </c>
      <c r="AM393" t="s">
        <v>74</v>
      </c>
      <c r="AN393" t="s">
        <v>74</v>
      </c>
      <c r="AO393" t="s">
        <v>6431</v>
      </c>
      <c r="AP393" t="s">
        <v>74</v>
      </c>
      <c r="AQ393" t="s">
        <v>74</v>
      </c>
      <c r="AR393" t="s">
        <v>74</v>
      </c>
      <c r="AS393" t="s">
        <v>74</v>
      </c>
      <c r="AT393" t="s">
        <v>113</v>
      </c>
      <c r="AU393">
        <v>2023</v>
      </c>
      <c r="AV393">
        <v>59</v>
      </c>
      <c r="AW393">
        <v>3</v>
      </c>
      <c r="AX393" t="s">
        <v>74</v>
      </c>
      <c r="AY393" t="s">
        <v>74</v>
      </c>
      <c r="AZ393" t="s">
        <v>74</v>
      </c>
      <c r="BA393" t="s">
        <v>74</v>
      </c>
      <c r="BB393">
        <v>239</v>
      </c>
      <c r="BC393">
        <v>261</v>
      </c>
      <c r="BD393" t="s">
        <v>74</v>
      </c>
      <c r="BE393" t="s">
        <v>74</v>
      </c>
      <c r="BF393" t="s">
        <v>74</v>
      </c>
      <c r="BG393" t="s">
        <v>74</v>
      </c>
      <c r="BH393" t="s">
        <v>74</v>
      </c>
      <c r="BI393" t="s">
        <v>74</v>
      </c>
      <c r="BJ393" t="s">
        <v>74</v>
      </c>
      <c r="BK393" t="s">
        <v>74</v>
      </c>
      <c r="BL393" t="s">
        <v>74</v>
      </c>
      <c r="BM393" t="s">
        <v>74</v>
      </c>
      <c r="BN393" t="s">
        <v>74</v>
      </c>
      <c r="BO393" t="s">
        <v>74</v>
      </c>
      <c r="BP393" t="s">
        <v>74</v>
      </c>
      <c r="BQ393" t="s">
        <v>74</v>
      </c>
      <c r="BR393" t="s">
        <v>74</v>
      </c>
      <c r="BS393" t="s">
        <v>6432</v>
      </c>
      <c r="BT393" t="str">
        <f>HYPERLINK("https%3A%2F%2Fwww.webofscience.com%2Fwos%2Fwoscc%2Ffull-record%2FWOS:001051428100001","View Full Record in Web of Science")</f>
        <v>View Full Record in Web of Science</v>
      </c>
    </row>
    <row r="394" spans="1:72" x14ac:dyDescent="0.4">
      <c r="A394" t="s">
        <v>72</v>
      </c>
      <c r="B394" t="s">
        <v>7841</v>
      </c>
      <c r="C394" t="s">
        <v>74</v>
      </c>
      <c r="D394" t="s">
        <v>74</v>
      </c>
      <c r="E394" t="s">
        <v>74</v>
      </c>
      <c r="F394" t="s">
        <v>7842</v>
      </c>
      <c r="G394" t="s">
        <v>74</v>
      </c>
      <c r="H394" t="s">
        <v>74</v>
      </c>
      <c r="I394" t="s">
        <v>7843</v>
      </c>
      <c r="J394" t="s">
        <v>7612</v>
      </c>
      <c r="K394" t="s">
        <v>74</v>
      </c>
      <c r="L394" t="s">
        <v>74</v>
      </c>
      <c r="M394" t="s">
        <v>74</v>
      </c>
      <c r="N394" t="s">
        <v>74</v>
      </c>
      <c r="O394" t="s">
        <v>74</v>
      </c>
      <c r="P394" t="s">
        <v>74</v>
      </c>
      <c r="Q394" t="s">
        <v>74</v>
      </c>
      <c r="R394" t="s">
        <v>74</v>
      </c>
      <c r="S394" t="s">
        <v>74</v>
      </c>
      <c r="T394" t="s">
        <v>74</v>
      </c>
      <c r="U394" t="s">
        <v>74</v>
      </c>
      <c r="V394" s="3" t="s">
        <v>7844</v>
      </c>
      <c r="W394" t="s">
        <v>74</v>
      </c>
      <c r="X394" t="s">
        <v>74</v>
      </c>
      <c r="Y394" t="s">
        <v>74</v>
      </c>
      <c r="Z394" t="s">
        <v>74</v>
      </c>
      <c r="AA394" t="s">
        <v>74</v>
      </c>
      <c r="AB394" t="s">
        <v>7845</v>
      </c>
      <c r="AC394" t="s">
        <v>74</v>
      </c>
      <c r="AD394" t="s">
        <v>74</v>
      </c>
      <c r="AE394" t="s">
        <v>74</v>
      </c>
      <c r="AF394" t="s">
        <v>74</v>
      </c>
      <c r="AG394" t="s">
        <v>74</v>
      </c>
      <c r="AH394" t="s">
        <v>74</v>
      </c>
      <c r="AI394" t="s">
        <v>74</v>
      </c>
      <c r="AJ394" t="s">
        <v>74</v>
      </c>
      <c r="AK394" t="s">
        <v>74</v>
      </c>
      <c r="AL394" t="s">
        <v>74</v>
      </c>
      <c r="AM394" t="s">
        <v>74</v>
      </c>
      <c r="AN394" t="s">
        <v>74</v>
      </c>
      <c r="AO394" t="s">
        <v>7615</v>
      </c>
      <c r="AP394" t="s">
        <v>7616</v>
      </c>
      <c r="AQ394" t="s">
        <v>74</v>
      </c>
      <c r="AR394" t="s">
        <v>74</v>
      </c>
      <c r="AS394" t="s">
        <v>74</v>
      </c>
      <c r="AT394" t="s">
        <v>7846</v>
      </c>
      <c r="AU394">
        <v>2023</v>
      </c>
      <c r="AV394">
        <v>2023</v>
      </c>
      <c r="AW394" t="s">
        <v>74</v>
      </c>
      <c r="AX394" t="s">
        <v>74</v>
      </c>
      <c r="AY394" t="s">
        <v>74</v>
      </c>
      <c r="AZ394" t="s">
        <v>74</v>
      </c>
      <c r="BA394" t="s">
        <v>74</v>
      </c>
      <c r="BB394" t="s">
        <v>74</v>
      </c>
      <c r="BC394" t="s">
        <v>74</v>
      </c>
      <c r="BD394">
        <v>8868453</v>
      </c>
      <c r="BE394" t="s">
        <v>7847</v>
      </c>
      <c r="BF394" t="str">
        <f>HYPERLINK("http://dx.doi.org/10.1155/2023/8868453","http://dx.doi.org/10.1155/2023/8868453")</f>
        <v>http://dx.doi.org/10.1155/2023/8868453</v>
      </c>
      <c r="BG394" t="s">
        <v>74</v>
      </c>
      <c r="BH394" t="s">
        <v>74</v>
      </c>
      <c r="BI394" t="s">
        <v>74</v>
      </c>
      <c r="BJ394" t="s">
        <v>74</v>
      </c>
      <c r="BK394" t="s">
        <v>74</v>
      </c>
      <c r="BL394" t="s">
        <v>74</v>
      </c>
      <c r="BM394" t="s">
        <v>74</v>
      </c>
      <c r="BN394" t="s">
        <v>74</v>
      </c>
      <c r="BO394" t="s">
        <v>74</v>
      </c>
      <c r="BP394" t="s">
        <v>74</v>
      </c>
      <c r="BQ394" t="s">
        <v>74</v>
      </c>
      <c r="BR394" t="s">
        <v>74</v>
      </c>
      <c r="BS394" t="s">
        <v>7848</v>
      </c>
      <c r="BT394" t="str">
        <f>HYPERLINK("https%3A%2F%2Fwww.webofscience.com%2Fwos%2Fwoscc%2Ffull-record%2FWOS:000982639500001","View Full Record in Web of Science")</f>
        <v>View Full Record in Web of Science</v>
      </c>
    </row>
    <row r="395" spans="1:72" x14ac:dyDescent="0.4">
      <c r="A395" t="s">
        <v>72</v>
      </c>
      <c r="B395" t="s">
        <v>7002</v>
      </c>
      <c r="C395" t="s">
        <v>74</v>
      </c>
      <c r="D395" t="s">
        <v>74</v>
      </c>
      <c r="E395" t="s">
        <v>74</v>
      </c>
      <c r="F395" t="s">
        <v>7002</v>
      </c>
      <c r="G395" t="s">
        <v>74</v>
      </c>
      <c r="H395" t="s">
        <v>74</v>
      </c>
      <c r="I395" t="s">
        <v>7003</v>
      </c>
      <c r="J395" t="s">
        <v>140</v>
      </c>
      <c r="K395" t="s">
        <v>74</v>
      </c>
      <c r="L395" t="s">
        <v>74</v>
      </c>
      <c r="M395" t="s">
        <v>74</v>
      </c>
      <c r="N395" t="s">
        <v>74</v>
      </c>
      <c r="O395" t="s">
        <v>74</v>
      </c>
      <c r="P395" t="s">
        <v>74</v>
      </c>
      <c r="Q395" t="s">
        <v>74</v>
      </c>
      <c r="R395" t="s">
        <v>74</v>
      </c>
      <c r="S395" t="s">
        <v>74</v>
      </c>
      <c r="T395" t="s">
        <v>74</v>
      </c>
      <c r="U395" t="s">
        <v>74</v>
      </c>
      <c r="V395" s="3" t="s">
        <v>7004</v>
      </c>
      <c r="W395" t="s">
        <v>74</v>
      </c>
      <c r="X395" t="s">
        <v>74</v>
      </c>
      <c r="Y395" t="s">
        <v>74</v>
      </c>
      <c r="Z395" t="s">
        <v>74</v>
      </c>
      <c r="AA395" t="s">
        <v>74</v>
      </c>
      <c r="AB395" t="s">
        <v>74</v>
      </c>
      <c r="AC395" t="s">
        <v>74</v>
      </c>
      <c r="AD395" t="s">
        <v>74</v>
      </c>
      <c r="AE395" t="s">
        <v>74</v>
      </c>
      <c r="AF395" t="s">
        <v>74</v>
      </c>
      <c r="AG395" t="s">
        <v>74</v>
      </c>
      <c r="AH395" t="s">
        <v>74</v>
      </c>
      <c r="AI395" t="s">
        <v>74</v>
      </c>
      <c r="AJ395" t="s">
        <v>74</v>
      </c>
      <c r="AK395" t="s">
        <v>74</v>
      </c>
      <c r="AL395" t="s">
        <v>74</v>
      </c>
      <c r="AM395" t="s">
        <v>74</v>
      </c>
      <c r="AN395" t="s">
        <v>74</v>
      </c>
      <c r="AO395" t="s">
        <v>143</v>
      </c>
      <c r="AP395" t="s">
        <v>144</v>
      </c>
      <c r="AQ395" t="s">
        <v>74</v>
      </c>
      <c r="AR395" t="s">
        <v>74</v>
      </c>
      <c r="AS395" t="s">
        <v>74</v>
      </c>
      <c r="AT395" t="s">
        <v>633</v>
      </c>
      <c r="AU395">
        <v>2005</v>
      </c>
      <c r="AV395">
        <v>69</v>
      </c>
      <c r="AW395" t="s">
        <v>74</v>
      </c>
      <c r="AX395">
        <v>4</v>
      </c>
      <c r="AY395" t="s">
        <v>74</v>
      </c>
      <c r="AZ395" t="s">
        <v>74</v>
      </c>
      <c r="BA395" t="s">
        <v>74</v>
      </c>
      <c r="BB395">
        <v>999</v>
      </c>
      <c r="BC395">
        <v>1005</v>
      </c>
      <c r="BD395" t="s">
        <v>74</v>
      </c>
      <c r="BE395" t="s">
        <v>7005</v>
      </c>
      <c r="BF395" t="str">
        <f>HYPERLINK("http://dx.doi.org/10.1016/j.anbehav.2004.07.016","http://dx.doi.org/10.1016/j.anbehav.2004.07.016")</f>
        <v>http://dx.doi.org/10.1016/j.anbehav.2004.07.016</v>
      </c>
      <c r="BG395" t="s">
        <v>74</v>
      </c>
      <c r="BH395" t="s">
        <v>74</v>
      </c>
      <c r="BI395" t="s">
        <v>74</v>
      </c>
      <c r="BJ395" t="s">
        <v>74</v>
      </c>
      <c r="BK395" t="s">
        <v>74</v>
      </c>
      <c r="BL395" t="s">
        <v>74</v>
      </c>
      <c r="BM395" t="s">
        <v>74</v>
      </c>
      <c r="BN395" t="s">
        <v>74</v>
      </c>
      <c r="BO395" t="s">
        <v>74</v>
      </c>
      <c r="BP395" t="s">
        <v>74</v>
      </c>
      <c r="BQ395" t="s">
        <v>74</v>
      </c>
      <c r="BR395" t="s">
        <v>74</v>
      </c>
      <c r="BS395" t="s">
        <v>7006</v>
      </c>
      <c r="BT395" t="str">
        <f>HYPERLINK("https%3A%2F%2Fwww.webofscience.com%2Fwos%2Fwoscc%2Ffull-record%2FWOS:000228511900028","View Full Record in Web of Science")</f>
        <v>View Full Record in Web of Science</v>
      </c>
    </row>
    <row r="396" spans="1:72" x14ac:dyDescent="0.4">
      <c r="A396" t="s">
        <v>72</v>
      </c>
      <c r="B396" t="s">
        <v>4143</v>
      </c>
      <c r="C396" t="s">
        <v>74</v>
      </c>
      <c r="D396" t="s">
        <v>74</v>
      </c>
      <c r="E396" t="s">
        <v>74</v>
      </c>
      <c r="F396" t="s">
        <v>4143</v>
      </c>
      <c r="G396" t="s">
        <v>74</v>
      </c>
      <c r="H396" t="s">
        <v>74</v>
      </c>
      <c r="I396" t="s">
        <v>4144</v>
      </c>
      <c r="J396" t="s">
        <v>4145</v>
      </c>
      <c r="K396" t="s">
        <v>74</v>
      </c>
      <c r="L396" t="s">
        <v>74</v>
      </c>
      <c r="M396" t="s">
        <v>74</v>
      </c>
      <c r="N396" t="s">
        <v>74</v>
      </c>
      <c r="O396" t="s">
        <v>74</v>
      </c>
      <c r="P396" t="s">
        <v>74</v>
      </c>
      <c r="Q396" t="s">
        <v>74</v>
      </c>
      <c r="R396" t="s">
        <v>74</v>
      </c>
      <c r="S396" t="s">
        <v>74</v>
      </c>
      <c r="T396" t="s">
        <v>74</v>
      </c>
      <c r="U396" t="s">
        <v>74</v>
      </c>
      <c r="V396" s="3" t="s">
        <v>4146</v>
      </c>
      <c r="W396" t="s">
        <v>74</v>
      </c>
      <c r="X396" t="s">
        <v>74</v>
      </c>
      <c r="Y396" t="s">
        <v>74</v>
      </c>
      <c r="Z396" t="s">
        <v>74</v>
      </c>
      <c r="AA396" t="s">
        <v>74</v>
      </c>
      <c r="AB396" t="s">
        <v>74</v>
      </c>
      <c r="AC396" t="s">
        <v>74</v>
      </c>
      <c r="AD396" t="s">
        <v>74</v>
      </c>
      <c r="AE396" t="s">
        <v>74</v>
      </c>
      <c r="AF396" t="s">
        <v>74</v>
      </c>
      <c r="AG396" t="s">
        <v>74</v>
      </c>
      <c r="AH396" t="s">
        <v>74</v>
      </c>
      <c r="AI396" t="s">
        <v>74</v>
      </c>
      <c r="AJ396" t="s">
        <v>74</v>
      </c>
      <c r="AK396" t="s">
        <v>74</v>
      </c>
      <c r="AL396" t="s">
        <v>74</v>
      </c>
      <c r="AM396" t="s">
        <v>74</v>
      </c>
      <c r="AN396" t="s">
        <v>74</v>
      </c>
      <c r="AO396" t="s">
        <v>4147</v>
      </c>
      <c r="AP396" t="s">
        <v>74</v>
      </c>
      <c r="AQ396" t="s">
        <v>74</v>
      </c>
      <c r="AR396" t="s">
        <v>74</v>
      </c>
      <c r="AS396" t="s">
        <v>74</v>
      </c>
      <c r="AT396" t="s">
        <v>964</v>
      </c>
      <c r="AU396">
        <v>2003</v>
      </c>
      <c r="AV396">
        <v>189</v>
      </c>
      <c r="AW396">
        <v>2</v>
      </c>
      <c r="AX396" t="s">
        <v>74</v>
      </c>
      <c r="AY396" t="s">
        <v>74</v>
      </c>
      <c r="AZ396" t="s">
        <v>74</v>
      </c>
      <c r="BA396" t="s">
        <v>74</v>
      </c>
      <c r="BB396">
        <v>135</v>
      </c>
      <c r="BC396">
        <v>142</v>
      </c>
      <c r="BD396" t="s">
        <v>74</v>
      </c>
      <c r="BE396" t="s">
        <v>4148</v>
      </c>
      <c r="BF396" t="str">
        <f>HYPERLINK("http://dx.doi.org/10.1007/s00359-002-0385-8","http://dx.doi.org/10.1007/s00359-002-0385-8")</f>
        <v>http://dx.doi.org/10.1007/s00359-002-0385-8</v>
      </c>
      <c r="BG396" t="s">
        <v>74</v>
      </c>
      <c r="BH396" t="s">
        <v>74</v>
      </c>
      <c r="BI396" t="s">
        <v>74</v>
      </c>
      <c r="BJ396" t="s">
        <v>74</v>
      </c>
      <c r="BK396" t="s">
        <v>74</v>
      </c>
      <c r="BL396" t="s">
        <v>74</v>
      </c>
      <c r="BM396" t="s">
        <v>74</v>
      </c>
      <c r="BN396">
        <v>12607042</v>
      </c>
      <c r="BO396" t="s">
        <v>74</v>
      </c>
      <c r="BP396" t="s">
        <v>74</v>
      </c>
      <c r="BQ396" t="s">
        <v>74</v>
      </c>
      <c r="BR396" t="s">
        <v>74</v>
      </c>
      <c r="BS396" t="s">
        <v>4149</v>
      </c>
      <c r="BT396" t="str">
        <f>HYPERLINK("https%3A%2F%2Fwww.webofscience.com%2Fwos%2Fwoscc%2Ffull-record%2FWOS:000181896800007","View Full Record in Web of Science")</f>
        <v>View Full Record in Web of Science</v>
      </c>
    </row>
    <row r="397" spans="1:72" x14ac:dyDescent="0.4">
      <c r="A397" t="s">
        <v>72</v>
      </c>
      <c r="B397" t="s">
        <v>7768</v>
      </c>
      <c r="C397" t="s">
        <v>74</v>
      </c>
      <c r="D397" t="s">
        <v>74</v>
      </c>
      <c r="E397" t="s">
        <v>74</v>
      </c>
      <c r="F397" t="s">
        <v>7769</v>
      </c>
      <c r="G397" t="s">
        <v>74</v>
      </c>
      <c r="H397" t="s">
        <v>74</v>
      </c>
      <c r="I397" t="s">
        <v>7770</v>
      </c>
      <c r="J397" t="s">
        <v>1656</v>
      </c>
      <c r="K397" t="s">
        <v>74</v>
      </c>
      <c r="L397" t="s">
        <v>74</v>
      </c>
      <c r="M397" t="s">
        <v>74</v>
      </c>
      <c r="N397" t="s">
        <v>74</v>
      </c>
      <c r="O397" t="s">
        <v>74</v>
      </c>
      <c r="P397" t="s">
        <v>74</v>
      </c>
      <c r="Q397" t="s">
        <v>74</v>
      </c>
      <c r="R397" t="s">
        <v>74</v>
      </c>
      <c r="S397" t="s">
        <v>74</v>
      </c>
      <c r="T397" t="s">
        <v>74</v>
      </c>
      <c r="U397" t="s">
        <v>74</v>
      </c>
      <c r="V397" s="3" t="s">
        <v>7771</v>
      </c>
      <c r="W397" t="s">
        <v>74</v>
      </c>
      <c r="X397" t="s">
        <v>74</v>
      </c>
      <c r="Y397" t="s">
        <v>74</v>
      </c>
      <c r="Z397" t="s">
        <v>74</v>
      </c>
      <c r="AA397" t="s">
        <v>7772</v>
      </c>
      <c r="AB397" t="s">
        <v>7773</v>
      </c>
      <c r="AC397" t="s">
        <v>74</v>
      </c>
      <c r="AD397" t="s">
        <v>74</v>
      </c>
      <c r="AE397" t="s">
        <v>74</v>
      </c>
      <c r="AF397" t="s">
        <v>74</v>
      </c>
      <c r="AG397" t="s">
        <v>74</v>
      </c>
      <c r="AH397" t="s">
        <v>74</v>
      </c>
      <c r="AI397" t="s">
        <v>74</v>
      </c>
      <c r="AJ397" t="s">
        <v>74</v>
      </c>
      <c r="AK397" t="s">
        <v>74</v>
      </c>
      <c r="AL397" t="s">
        <v>74</v>
      </c>
      <c r="AM397" t="s">
        <v>74</v>
      </c>
      <c r="AN397" t="s">
        <v>74</v>
      </c>
      <c r="AO397" t="s">
        <v>1658</v>
      </c>
      <c r="AP397" t="s">
        <v>1659</v>
      </c>
      <c r="AQ397" t="s">
        <v>74</v>
      </c>
      <c r="AR397" t="s">
        <v>74</v>
      </c>
      <c r="AS397" t="s">
        <v>74</v>
      </c>
      <c r="AT397" t="s">
        <v>7774</v>
      </c>
      <c r="AU397">
        <v>2020</v>
      </c>
      <c r="AV397">
        <v>4819</v>
      </c>
      <c r="AW397">
        <v>2</v>
      </c>
      <c r="AX397" t="s">
        <v>74</v>
      </c>
      <c r="AY397" t="s">
        <v>74</v>
      </c>
      <c r="AZ397" t="s">
        <v>74</v>
      </c>
      <c r="BA397" t="s">
        <v>74</v>
      </c>
      <c r="BB397">
        <v>316</v>
      </c>
      <c r="BC397">
        <v>334</v>
      </c>
      <c r="BD397" t="s">
        <v>74</v>
      </c>
      <c r="BE397" t="s">
        <v>7775</v>
      </c>
      <c r="BF397" t="str">
        <f>HYPERLINK("http://dx.doi.org/10.11646/zootaxa.4819.2.5","http://dx.doi.org/10.11646/zootaxa.4819.2.5")</f>
        <v>http://dx.doi.org/10.11646/zootaxa.4819.2.5</v>
      </c>
      <c r="BG397" t="s">
        <v>74</v>
      </c>
      <c r="BH397" t="s">
        <v>74</v>
      </c>
      <c r="BI397" t="s">
        <v>74</v>
      </c>
      <c r="BJ397" t="s">
        <v>74</v>
      </c>
      <c r="BK397" t="s">
        <v>74</v>
      </c>
      <c r="BL397" t="s">
        <v>74</v>
      </c>
      <c r="BM397" t="s">
        <v>74</v>
      </c>
      <c r="BN397">
        <v>33055661</v>
      </c>
      <c r="BO397" t="s">
        <v>74</v>
      </c>
      <c r="BP397" t="s">
        <v>74</v>
      </c>
      <c r="BQ397" t="s">
        <v>74</v>
      </c>
      <c r="BR397" t="s">
        <v>74</v>
      </c>
      <c r="BS397" t="s">
        <v>7776</v>
      </c>
      <c r="BT397" t="str">
        <f>HYPERLINK("https%3A%2F%2Fwww.webofscience.com%2Fwos%2Fwoscc%2Ffull-record%2FWOS:000552250100005","View Full Record in Web of Science")</f>
        <v>View Full Record in Web of Science</v>
      </c>
    </row>
    <row r="398" spans="1:72" x14ac:dyDescent="0.4">
      <c r="A398" t="s">
        <v>72</v>
      </c>
      <c r="B398" t="s">
        <v>8259</v>
      </c>
      <c r="C398" t="s">
        <v>74</v>
      </c>
      <c r="D398" t="s">
        <v>74</v>
      </c>
      <c r="E398" t="s">
        <v>74</v>
      </c>
      <c r="F398" t="s">
        <v>8259</v>
      </c>
      <c r="G398" t="s">
        <v>74</v>
      </c>
      <c r="H398" t="s">
        <v>74</v>
      </c>
      <c r="I398" t="s">
        <v>8260</v>
      </c>
      <c r="J398" t="s">
        <v>77</v>
      </c>
      <c r="K398" t="s">
        <v>74</v>
      </c>
      <c r="L398" t="s">
        <v>74</v>
      </c>
      <c r="M398" t="s">
        <v>74</v>
      </c>
      <c r="N398" t="s">
        <v>74</v>
      </c>
      <c r="O398" t="s">
        <v>74</v>
      </c>
      <c r="P398" t="s">
        <v>74</v>
      </c>
      <c r="Q398" t="s">
        <v>74</v>
      </c>
      <c r="R398" t="s">
        <v>74</v>
      </c>
      <c r="S398" t="s">
        <v>74</v>
      </c>
      <c r="T398" t="s">
        <v>74</v>
      </c>
      <c r="U398" t="s">
        <v>74</v>
      </c>
      <c r="V398" s="3" t="s">
        <v>8261</v>
      </c>
      <c r="W398" t="s">
        <v>74</v>
      </c>
      <c r="X398" t="s">
        <v>74</v>
      </c>
      <c r="Y398" t="s">
        <v>74</v>
      </c>
      <c r="Z398" t="s">
        <v>74</v>
      </c>
      <c r="AA398" t="s">
        <v>8262</v>
      </c>
      <c r="AB398" t="s">
        <v>8263</v>
      </c>
      <c r="AC398" t="s">
        <v>74</v>
      </c>
      <c r="AD398" t="s">
        <v>74</v>
      </c>
      <c r="AE398" t="s">
        <v>74</v>
      </c>
      <c r="AF398" t="s">
        <v>74</v>
      </c>
      <c r="AG398" t="s">
        <v>74</v>
      </c>
      <c r="AH398" t="s">
        <v>74</v>
      </c>
      <c r="AI398" t="s">
        <v>74</v>
      </c>
      <c r="AJ398" t="s">
        <v>74</v>
      </c>
      <c r="AK398" t="s">
        <v>74</v>
      </c>
      <c r="AL398" t="s">
        <v>74</v>
      </c>
      <c r="AM398" t="s">
        <v>74</v>
      </c>
      <c r="AN398" t="s">
        <v>74</v>
      </c>
      <c r="AO398" t="s">
        <v>81</v>
      </c>
      <c r="AP398" t="s">
        <v>82</v>
      </c>
      <c r="AQ398" t="s">
        <v>74</v>
      </c>
      <c r="AR398" t="s">
        <v>74</v>
      </c>
      <c r="AS398" t="s">
        <v>74</v>
      </c>
      <c r="AT398" t="s">
        <v>102</v>
      </c>
      <c r="AU398">
        <v>2005</v>
      </c>
      <c r="AV398">
        <v>142</v>
      </c>
      <c r="AW398" t="s">
        <v>74</v>
      </c>
      <c r="AX398">
        <v>6</v>
      </c>
      <c r="AY398" t="s">
        <v>74</v>
      </c>
      <c r="AZ398" t="s">
        <v>74</v>
      </c>
      <c r="BA398" t="s">
        <v>74</v>
      </c>
      <c r="BB398">
        <v>827</v>
      </c>
      <c r="BC398">
        <v>844</v>
      </c>
      <c r="BD398" t="s">
        <v>74</v>
      </c>
      <c r="BE398" t="s">
        <v>8264</v>
      </c>
      <c r="BF398" t="str">
        <f>HYPERLINK("http://dx.doi.org/10.1163/1568539054729141","http://dx.doi.org/10.1163/1568539054729141")</f>
        <v>http://dx.doi.org/10.1163/1568539054729141</v>
      </c>
      <c r="BG398" t="s">
        <v>74</v>
      </c>
      <c r="BH398" t="s">
        <v>74</v>
      </c>
      <c r="BI398" t="s">
        <v>74</v>
      </c>
      <c r="BJ398" t="s">
        <v>74</v>
      </c>
      <c r="BK398" t="s">
        <v>74</v>
      </c>
      <c r="BL398" t="s">
        <v>74</v>
      </c>
      <c r="BM398" t="s">
        <v>74</v>
      </c>
      <c r="BN398" t="s">
        <v>74</v>
      </c>
      <c r="BO398" t="s">
        <v>74</v>
      </c>
      <c r="BP398" t="s">
        <v>74</v>
      </c>
      <c r="BQ398" t="s">
        <v>74</v>
      </c>
      <c r="BR398" t="s">
        <v>74</v>
      </c>
      <c r="BS398" t="s">
        <v>8265</v>
      </c>
      <c r="BT398" t="str">
        <f>HYPERLINK("https%3A%2F%2Fwww.webofscience.com%2Fwos%2Fwoscc%2Ffull-record%2FWOS:000231869400008","View Full Record in Web of Science")</f>
        <v>View Full Record in Web of Science</v>
      </c>
    </row>
    <row r="399" spans="1:72" x14ac:dyDescent="0.4">
      <c r="A399" t="s">
        <v>72</v>
      </c>
      <c r="B399" t="s">
        <v>5504</v>
      </c>
      <c r="C399" t="s">
        <v>74</v>
      </c>
      <c r="D399" t="s">
        <v>74</v>
      </c>
      <c r="E399" t="s">
        <v>74</v>
      </c>
      <c r="F399" t="s">
        <v>5505</v>
      </c>
      <c r="G399" t="s">
        <v>74</v>
      </c>
      <c r="H399" t="s">
        <v>74</v>
      </c>
      <c r="I399" t="s">
        <v>5506</v>
      </c>
      <c r="J399" t="s">
        <v>545</v>
      </c>
      <c r="K399" t="s">
        <v>74</v>
      </c>
      <c r="L399" t="s">
        <v>74</v>
      </c>
      <c r="M399" t="s">
        <v>74</v>
      </c>
      <c r="N399" t="s">
        <v>74</v>
      </c>
      <c r="O399" t="s">
        <v>74</v>
      </c>
      <c r="P399" t="s">
        <v>74</v>
      </c>
      <c r="Q399" t="s">
        <v>74</v>
      </c>
      <c r="R399" t="s">
        <v>74</v>
      </c>
      <c r="S399" t="s">
        <v>74</v>
      </c>
      <c r="T399" t="s">
        <v>74</v>
      </c>
      <c r="U399" t="s">
        <v>74</v>
      </c>
      <c r="V399" s="3" t="s">
        <v>5507</v>
      </c>
      <c r="W399" t="s">
        <v>74</v>
      </c>
      <c r="X399" t="s">
        <v>74</v>
      </c>
      <c r="Y399" t="s">
        <v>74</v>
      </c>
      <c r="Z399" t="s">
        <v>74</v>
      </c>
      <c r="AA399" t="s">
        <v>5508</v>
      </c>
      <c r="AB399" t="s">
        <v>5509</v>
      </c>
      <c r="AC399" t="s">
        <v>74</v>
      </c>
      <c r="AD399" t="s">
        <v>74</v>
      </c>
      <c r="AE399" t="s">
        <v>74</v>
      </c>
      <c r="AF399" t="s">
        <v>74</v>
      </c>
      <c r="AG399" t="s">
        <v>74</v>
      </c>
      <c r="AH399" t="s">
        <v>74</v>
      </c>
      <c r="AI399" t="s">
        <v>74</v>
      </c>
      <c r="AJ399" t="s">
        <v>74</v>
      </c>
      <c r="AK399" t="s">
        <v>74</v>
      </c>
      <c r="AL399" t="s">
        <v>74</v>
      </c>
      <c r="AM399" t="s">
        <v>74</v>
      </c>
      <c r="AN399" t="s">
        <v>74</v>
      </c>
      <c r="AO399" t="s">
        <v>547</v>
      </c>
      <c r="AP399" t="s">
        <v>74</v>
      </c>
      <c r="AQ399" t="s">
        <v>74</v>
      </c>
      <c r="AR399" t="s">
        <v>74</v>
      </c>
      <c r="AS399" t="s">
        <v>74</v>
      </c>
      <c r="AT399" t="s">
        <v>213</v>
      </c>
      <c r="AU399">
        <v>2021</v>
      </c>
      <c r="AV399">
        <v>295</v>
      </c>
      <c r="AW399" t="s">
        <v>74</v>
      </c>
      <c r="AX399" t="s">
        <v>74</v>
      </c>
      <c r="AY399" t="s">
        <v>74</v>
      </c>
      <c r="AZ399" t="s">
        <v>74</v>
      </c>
      <c r="BA399" t="s">
        <v>74</v>
      </c>
      <c r="BB399">
        <v>1</v>
      </c>
      <c r="BC399">
        <v>11</v>
      </c>
      <c r="BD399" t="s">
        <v>74</v>
      </c>
      <c r="BE399" t="s">
        <v>5510</v>
      </c>
      <c r="BF399" t="str">
        <f>HYPERLINK("http://dx.doi.org/10.1016/j.jcz.2021.08.009","http://dx.doi.org/10.1016/j.jcz.2021.08.009")</f>
        <v>http://dx.doi.org/10.1016/j.jcz.2021.08.009</v>
      </c>
      <c r="BG399" t="s">
        <v>74</v>
      </c>
      <c r="BH399" t="s">
        <v>675</v>
      </c>
      <c r="BI399" t="s">
        <v>74</v>
      </c>
      <c r="BJ399" t="s">
        <v>74</v>
      </c>
      <c r="BK399" t="s">
        <v>74</v>
      </c>
      <c r="BL399" t="s">
        <v>74</v>
      </c>
      <c r="BM399" t="s">
        <v>74</v>
      </c>
      <c r="BN399" t="s">
        <v>74</v>
      </c>
      <c r="BO399" t="s">
        <v>74</v>
      </c>
      <c r="BP399" t="s">
        <v>74</v>
      </c>
      <c r="BQ399" t="s">
        <v>74</v>
      </c>
      <c r="BR399" t="s">
        <v>74</v>
      </c>
      <c r="BS399" t="s">
        <v>5511</v>
      </c>
      <c r="BT399" t="str">
        <f>HYPERLINK("https%3A%2F%2Fwww.webofscience.com%2Fwos%2Fwoscc%2Ffull-record%2FWOS:000697574600001","View Full Record in Web of Science")</f>
        <v>View Full Record in Web of Science</v>
      </c>
    </row>
    <row r="400" spans="1:72" x14ac:dyDescent="0.4">
      <c r="A400" t="s">
        <v>72</v>
      </c>
      <c r="B400" t="s">
        <v>5202</v>
      </c>
      <c r="C400" t="s">
        <v>74</v>
      </c>
      <c r="D400" t="s">
        <v>74</v>
      </c>
      <c r="E400" t="s">
        <v>74</v>
      </c>
      <c r="F400" t="s">
        <v>5203</v>
      </c>
      <c r="G400" t="s">
        <v>74</v>
      </c>
      <c r="H400" t="s">
        <v>74</v>
      </c>
      <c r="I400" t="s">
        <v>5204</v>
      </c>
      <c r="J400" t="s">
        <v>108</v>
      </c>
      <c r="K400" t="s">
        <v>74</v>
      </c>
      <c r="L400" t="s">
        <v>74</v>
      </c>
      <c r="M400" t="s">
        <v>74</v>
      </c>
      <c r="N400" t="s">
        <v>74</v>
      </c>
      <c r="O400" t="s">
        <v>74</v>
      </c>
      <c r="P400" t="s">
        <v>74</v>
      </c>
      <c r="Q400" t="s">
        <v>74</v>
      </c>
      <c r="R400" t="s">
        <v>74</v>
      </c>
      <c r="S400" t="s">
        <v>74</v>
      </c>
      <c r="T400" t="s">
        <v>74</v>
      </c>
      <c r="U400" t="s">
        <v>74</v>
      </c>
      <c r="V400" s="3" t="s">
        <v>5205</v>
      </c>
      <c r="W400" t="s">
        <v>74</v>
      </c>
      <c r="X400" t="s">
        <v>74</v>
      </c>
      <c r="Y400" t="s">
        <v>74</v>
      </c>
      <c r="Z400" t="s">
        <v>74</v>
      </c>
      <c r="AA400" t="s">
        <v>5206</v>
      </c>
      <c r="AB400" t="s">
        <v>5207</v>
      </c>
      <c r="AC400" t="s">
        <v>74</v>
      </c>
      <c r="AD400" t="s">
        <v>74</v>
      </c>
      <c r="AE400" t="s">
        <v>74</v>
      </c>
      <c r="AF400" t="s">
        <v>74</v>
      </c>
      <c r="AG400" t="s">
        <v>74</v>
      </c>
      <c r="AH400" t="s">
        <v>74</v>
      </c>
      <c r="AI400" t="s">
        <v>74</v>
      </c>
      <c r="AJ400" t="s">
        <v>74</v>
      </c>
      <c r="AK400" t="s">
        <v>74</v>
      </c>
      <c r="AL400" t="s">
        <v>74</v>
      </c>
      <c r="AM400" t="s">
        <v>74</v>
      </c>
      <c r="AN400" t="s">
        <v>74</v>
      </c>
      <c r="AO400" t="s">
        <v>111</v>
      </c>
      <c r="AP400" t="s">
        <v>112</v>
      </c>
      <c r="AQ400" t="s">
        <v>74</v>
      </c>
      <c r="AR400" t="s">
        <v>74</v>
      </c>
      <c r="AS400" t="s">
        <v>74</v>
      </c>
      <c r="AT400" t="s">
        <v>5208</v>
      </c>
      <c r="AU400">
        <v>2020</v>
      </c>
      <c r="AV400">
        <v>287</v>
      </c>
      <c r="AW400">
        <v>1926</v>
      </c>
      <c r="AX400" t="s">
        <v>74</v>
      </c>
      <c r="AY400" t="s">
        <v>74</v>
      </c>
      <c r="AZ400" t="s">
        <v>74</v>
      </c>
      <c r="BA400" t="s">
        <v>74</v>
      </c>
      <c r="BB400" t="s">
        <v>74</v>
      </c>
      <c r="BC400" t="s">
        <v>74</v>
      </c>
      <c r="BD400" t="s">
        <v>74</v>
      </c>
      <c r="BE400" t="s">
        <v>5209</v>
      </c>
      <c r="BF400" t="str">
        <f>HYPERLINK("http://dx.doi.org/10.1098/rspb.2020.0587","http://dx.doi.org/10.1098/rspb.2020.0587")</f>
        <v>http://dx.doi.org/10.1098/rspb.2020.0587</v>
      </c>
      <c r="BG400" t="s">
        <v>74</v>
      </c>
      <c r="BH400" t="s">
        <v>74</v>
      </c>
      <c r="BI400" t="s">
        <v>74</v>
      </c>
      <c r="BJ400" t="s">
        <v>74</v>
      </c>
      <c r="BK400" t="s">
        <v>74</v>
      </c>
      <c r="BL400" t="s">
        <v>74</v>
      </c>
      <c r="BM400" t="s">
        <v>74</v>
      </c>
      <c r="BN400">
        <v>32370676</v>
      </c>
      <c r="BO400" t="s">
        <v>74</v>
      </c>
      <c r="BP400" t="s">
        <v>74</v>
      </c>
      <c r="BQ400" t="s">
        <v>74</v>
      </c>
      <c r="BR400" t="s">
        <v>74</v>
      </c>
      <c r="BS400" t="s">
        <v>5210</v>
      </c>
      <c r="BT400" t="str">
        <f>HYPERLINK("https%3A%2F%2Fwww.webofscience.com%2Fwos%2Fwoscc%2Ffull-record%2FWOS:000540446700001","View Full Record in Web of Science")</f>
        <v>View Full Record in Web of Science</v>
      </c>
    </row>
    <row r="401" spans="1:72" x14ac:dyDescent="0.4">
      <c r="A401" t="s">
        <v>72</v>
      </c>
      <c r="B401" t="s">
        <v>6198</v>
      </c>
      <c r="C401" t="s">
        <v>74</v>
      </c>
      <c r="D401" t="s">
        <v>74</v>
      </c>
      <c r="E401" t="s">
        <v>74</v>
      </c>
      <c r="F401" t="s">
        <v>6198</v>
      </c>
      <c r="G401" t="s">
        <v>74</v>
      </c>
      <c r="H401" t="s">
        <v>74</v>
      </c>
      <c r="I401" t="s">
        <v>6199</v>
      </c>
      <c r="J401" t="s">
        <v>6200</v>
      </c>
      <c r="K401" t="s">
        <v>74</v>
      </c>
      <c r="L401" t="s">
        <v>74</v>
      </c>
      <c r="M401" t="s">
        <v>74</v>
      </c>
      <c r="N401" t="s">
        <v>74</v>
      </c>
      <c r="O401" t="s">
        <v>74</v>
      </c>
      <c r="P401" t="s">
        <v>74</v>
      </c>
      <c r="Q401" t="s">
        <v>74</v>
      </c>
      <c r="R401" t="s">
        <v>74</v>
      </c>
      <c r="S401" t="s">
        <v>74</v>
      </c>
      <c r="T401" t="s">
        <v>74</v>
      </c>
      <c r="U401" t="s">
        <v>74</v>
      </c>
      <c r="V401" s="3" t="s">
        <v>6201</v>
      </c>
      <c r="W401" t="s">
        <v>74</v>
      </c>
      <c r="X401" t="s">
        <v>74</v>
      </c>
      <c r="Y401" t="s">
        <v>74</v>
      </c>
      <c r="Z401" t="s">
        <v>74</v>
      </c>
      <c r="AA401" t="s">
        <v>74</v>
      </c>
      <c r="AB401" t="s">
        <v>74</v>
      </c>
      <c r="AC401" t="s">
        <v>74</v>
      </c>
      <c r="AD401" t="s">
        <v>74</v>
      </c>
      <c r="AE401" t="s">
        <v>74</v>
      </c>
      <c r="AF401" t="s">
        <v>74</v>
      </c>
      <c r="AG401" t="s">
        <v>74</v>
      </c>
      <c r="AH401" t="s">
        <v>74</v>
      </c>
      <c r="AI401" t="s">
        <v>74</v>
      </c>
      <c r="AJ401" t="s">
        <v>74</v>
      </c>
      <c r="AK401" t="s">
        <v>74</v>
      </c>
      <c r="AL401" t="s">
        <v>74</v>
      </c>
      <c r="AM401" t="s">
        <v>74</v>
      </c>
      <c r="AN401" t="s">
        <v>74</v>
      </c>
      <c r="AO401" t="s">
        <v>6202</v>
      </c>
      <c r="AP401" t="s">
        <v>74</v>
      </c>
      <c r="AQ401" t="s">
        <v>74</v>
      </c>
      <c r="AR401" t="s">
        <v>74</v>
      </c>
      <c r="AS401" t="s">
        <v>74</v>
      </c>
      <c r="AT401" t="s">
        <v>1620</v>
      </c>
      <c r="AU401">
        <v>1999</v>
      </c>
      <c r="AV401">
        <v>42</v>
      </c>
      <c r="AW401">
        <v>3</v>
      </c>
      <c r="AX401" t="s">
        <v>74</v>
      </c>
      <c r="AY401" t="s">
        <v>74</v>
      </c>
      <c r="AZ401" t="s">
        <v>74</v>
      </c>
      <c r="BA401" t="s">
        <v>74</v>
      </c>
      <c r="BB401">
        <v>201</v>
      </c>
      <c r="BC401">
        <v>210</v>
      </c>
      <c r="BD401" t="s">
        <v>74</v>
      </c>
      <c r="BE401" t="s">
        <v>74</v>
      </c>
      <c r="BF401" t="s">
        <v>74</v>
      </c>
      <c r="BG401" t="s">
        <v>74</v>
      </c>
      <c r="BH401" t="s">
        <v>74</v>
      </c>
      <c r="BI401" t="s">
        <v>74</v>
      </c>
      <c r="BJ401" t="s">
        <v>74</v>
      </c>
      <c r="BK401" t="s">
        <v>74</v>
      </c>
      <c r="BL401" t="s">
        <v>74</v>
      </c>
      <c r="BM401" t="s">
        <v>74</v>
      </c>
      <c r="BN401" t="s">
        <v>74</v>
      </c>
      <c r="BO401" t="s">
        <v>74</v>
      </c>
      <c r="BP401" t="s">
        <v>74</v>
      </c>
      <c r="BQ401" t="s">
        <v>74</v>
      </c>
      <c r="BR401" t="s">
        <v>74</v>
      </c>
      <c r="BS401" t="s">
        <v>6203</v>
      </c>
      <c r="BT401" t="str">
        <f>HYPERLINK("https%3A%2F%2Fwww.webofscience.com%2Fwos%2Fwoscc%2Ffull-record%2FWOS:000081353100001","View Full Record in Web of Science")</f>
        <v>View Full Record in Web of Science</v>
      </c>
    </row>
    <row r="402" spans="1:72" x14ac:dyDescent="0.4">
      <c r="A402" t="s">
        <v>72</v>
      </c>
      <c r="B402" t="s">
        <v>8723</v>
      </c>
      <c r="C402" t="s">
        <v>74</v>
      </c>
      <c r="D402" t="s">
        <v>74</v>
      </c>
      <c r="E402" t="s">
        <v>74</v>
      </c>
      <c r="F402" t="s">
        <v>8724</v>
      </c>
      <c r="G402" t="s">
        <v>74</v>
      </c>
      <c r="H402" t="s">
        <v>74</v>
      </c>
      <c r="I402" t="s">
        <v>8725</v>
      </c>
      <c r="J402" t="s">
        <v>397</v>
      </c>
      <c r="K402" t="s">
        <v>74</v>
      </c>
      <c r="L402" t="s">
        <v>74</v>
      </c>
      <c r="M402" t="s">
        <v>74</v>
      </c>
      <c r="N402" t="s">
        <v>74</v>
      </c>
      <c r="O402" t="s">
        <v>74</v>
      </c>
      <c r="P402" t="s">
        <v>74</v>
      </c>
      <c r="Q402" t="s">
        <v>74</v>
      </c>
      <c r="R402" t="s">
        <v>74</v>
      </c>
      <c r="S402" t="s">
        <v>74</v>
      </c>
      <c r="T402" t="s">
        <v>74</v>
      </c>
      <c r="U402" t="s">
        <v>74</v>
      </c>
      <c r="V402" s="3" t="s">
        <v>8726</v>
      </c>
      <c r="W402" t="s">
        <v>74</v>
      </c>
      <c r="X402" t="s">
        <v>74</v>
      </c>
      <c r="Y402" t="s">
        <v>74</v>
      </c>
      <c r="Z402" t="s">
        <v>74</v>
      </c>
      <c r="AA402" t="s">
        <v>8727</v>
      </c>
      <c r="AB402" t="s">
        <v>8728</v>
      </c>
      <c r="AC402" t="s">
        <v>74</v>
      </c>
      <c r="AD402" t="s">
        <v>74</v>
      </c>
      <c r="AE402" t="s">
        <v>74</v>
      </c>
      <c r="AF402" t="s">
        <v>74</v>
      </c>
      <c r="AG402" t="s">
        <v>74</v>
      </c>
      <c r="AH402" t="s">
        <v>74</v>
      </c>
      <c r="AI402" t="s">
        <v>74</v>
      </c>
      <c r="AJ402" t="s">
        <v>74</v>
      </c>
      <c r="AK402" t="s">
        <v>74</v>
      </c>
      <c r="AL402" t="s">
        <v>74</v>
      </c>
      <c r="AM402" t="s">
        <v>74</v>
      </c>
      <c r="AN402" t="s">
        <v>74</v>
      </c>
      <c r="AO402" t="s">
        <v>401</v>
      </c>
      <c r="AP402" t="s">
        <v>402</v>
      </c>
      <c r="AQ402" t="s">
        <v>74</v>
      </c>
      <c r="AR402" t="s">
        <v>74</v>
      </c>
      <c r="AS402" t="s">
        <v>74</v>
      </c>
      <c r="AT402" t="s">
        <v>213</v>
      </c>
      <c r="AU402">
        <v>2013</v>
      </c>
      <c r="AV402">
        <v>12</v>
      </c>
      <c r="AW402">
        <v>8</v>
      </c>
      <c r="AX402" t="s">
        <v>74</v>
      </c>
      <c r="AY402" t="s">
        <v>74</v>
      </c>
      <c r="AZ402" t="s">
        <v>74</v>
      </c>
      <c r="BA402" t="s">
        <v>74</v>
      </c>
      <c r="BB402">
        <v>760</v>
      </c>
      <c r="BC402">
        <v>770</v>
      </c>
      <c r="BD402" t="s">
        <v>74</v>
      </c>
      <c r="BE402" t="s">
        <v>8729</v>
      </c>
      <c r="BF402" t="str">
        <f>HYPERLINK("http://dx.doi.org/10.1111/gbb.12088","http://dx.doi.org/10.1111/gbb.12088")</f>
        <v>http://dx.doi.org/10.1111/gbb.12088</v>
      </c>
      <c r="BG402" t="s">
        <v>74</v>
      </c>
      <c r="BH402" t="s">
        <v>74</v>
      </c>
      <c r="BI402" t="s">
        <v>74</v>
      </c>
      <c r="BJ402" t="s">
        <v>74</v>
      </c>
      <c r="BK402" t="s">
        <v>74</v>
      </c>
      <c r="BL402" t="s">
        <v>74</v>
      </c>
      <c r="BM402" t="s">
        <v>74</v>
      </c>
      <c r="BN402">
        <v>24034605</v>
      </c>
      <c r="BO402" t="s">
        <v>74</v>
      </c>
      <c r="BP402" t="s">
        <v>74</v>
      </c>
      <c r="BQ402" t="s">
        <v>74</v>
      </c>
      <c r="BR402" t="s">
        <v>74</v>
      </c>
      <c r="BS402" t="s">
        <v>8730</v>
      </c>
      <c r="BT402" t="str">
        <f>HYPERLINK("https%3A%2F%2Fwww.webofscience.com%2Fwos%2Fwoscc%2Ffull-record%2FWOS:000330101600002","View Full Record in Web of Science")</f>
        <v>View Full Record in Web of Science</v>
      </c>
    </row>
    <row r="403" spans="1:72" x14ac:dyDescent="0.4">
      <c r="A403" t="s">
        <v>72</v>
      </c>
      <c r="B403" t="s">
        <v>6520</v>
      </c>
      <c r="C403" t="s">
        <v>74</v>
      </c>
      <c r="D403" t="s">
        <v>74</v>
      </c>
      <c r="E403" t="s">
        <v>74</v>
      </c>
      <c r="F403" t="s">
        <v>6521</v>
      </c>
      <c r="G403" t="s">
        <v>74</v>
      </c>
      <c r="H403" t="s">
        <v>74</v>
      </c>
      <c r="I403" t="s">
        <v>6522</v>
      </c>
      <c r="J403" t="s">
        <v>129</v>
      </c>
      <c r="K403" t="s">
        <v>74</v>
      </c>
      <c r="L403" t="s">
        <v>74</v>
      </c>
      <c r="M403" t="s">
        <v>74</v>
      </c>
      <c r="N403" t="s">
        <v>74</v>
      </c>
      <c r="O403" t="s">
        <v>74</v>
      </c>
      <c r="P403" t="s">
        <v>74</v>
      </c>
      <c r="Q403" t="s">
        <v>74</v>
      </c>
      <c r="R403" t="s">
        <v>74</v>
      </c>
      <c r="S403" t="s">
        <v>74</v>
      </c>
      <c r="T403" t="s">
        <v>74</v>
      </c>
      <c r="U403" t="s">
        <v>74</v>
      </c>
      <c r="V403" s="3" t="s">
        <v>6523</v>
      </c>
      <c r="W403" t="s">
        <v>74</v>
      </c>
      <c r="X403" t="s">
        <v>74</v>
      </c>
      <c r="Y403" t="s">
        <v>74</v>
      </c>
      <c r="Z403" t="s">
        <v>74</v>
      </c>
      <c r="AA403" t="s">
        <v>6524</v>
      </c>
      <c r="AB403" t="s">
        <v>6525</v>
      </c>
      <c r="AC403" t="s">
        <v>74</v>
      </c>
      <c r="AD403" t="s">
        <v>74</v>
      </c>
      <c r="AE403" t="s">
        <v>74</v>
      </c>
      <c r="AF403" t="s">
        <v>74</v>
      </c>
      <c r="AG403" t="s">
        <v>74</v>
      </c>
      <c r="AH403" t="s">
        <v>74</v>
      </c>
      <c r="AI403" t="s">
        <v>74</v>
      </c>
      <c r="AJ403" t="s">
        <v>74</v>
      </c>
      <c r="AK403" t="s">
        <v>74</v>
      </c>
      <c r="AL403" t="s">
        <v>74</v>
      </c>
      <c r="AM403" t="s">
        <v>74</v>
      </c>
      <c r="AN403" t="s">
        <v>74</v>
      </c>
      <c r="AO403" t="s">
        <v>132</v>
      </c>
      <c r="AP403" t="s">
        <v>133</v>
      </c>
      <c r="AQ403" t="s">
        <v>74</v>
      </c>
      <c r="AR403" t="s">
        <v>74</v>
      </c>
      <c r="AS403" t="s">
        <v>74</v>
      </c>
      <c r="AT403" t="s">
        <v>6526</v>
      </c>
      <c r="AU403">
        <v>2020</v>
      </c>
      <c r="AV403">
        <v>74</v>
      </c>
      <c r="AW403">
        <v>11</v>
      </c>
      <c r="AX403" t="s">
        <v>74</v>
      </c>
      <c r="AY403" t="s">
        <v>74</v>
      </c>
      <c r="AZ403" t="s">
        <v>74</v>
      </c>
      <c r="BA403" t="s">
        <v>74</v>
      </c>
      <c r="BB403" t="s">
        <v>74</v>
      </c>
      <c r="BC403" t="s">
        <v>74</v>
      </c>
      <c r="BD403">
        <v>137</v>
      </c>
      <c r="BE403" t="s">
        <v>6527</v>
      </c>
      <c r="BF403" t="str">
        <f>HYPERLINK("http://dx.doi.org/10.1007/s00265-020-02920-2","http://dx.doi.org/10.1007/s00265-020-02920-2")</f>
        <v>http://dx.doi.org/10.1007/s00265-020-02920-2</v>
      </c>
      <c r="BG403" t="s">
        <v>74</v>
      </c>
      <c r="BH403" t="s">
        <v>74</v>
      </c>
      <c r="BI403" t="s">
        <v>74</v>
      </c>
      <c r="BJ403" t="s">
        <v>74</v>
      </c>
      <c r="BK403" t="s">
        <v>74</v>
      </c>
      <c r="BL403" t="s">
        <v>74</v>
      </c>
      <c r="BM403" t="s">
        <v>74</v>
      </c>
      <c r="BN403" t="s">
        <v>74</v>
      </c>
      <c r="BO403" t="s">
        <v>74</v>
      </c>
      <c r="BP403" t="s">
        <v>74</v>
      </c>
      <c r="BQ403" t="s">
        <v>74</v>
      </c>
      <c r="BR403" t="s">
        <v>74</v>
      </c>
      <c r="BS403" t="s">
        <v>6528</v>
      </c>
      <c r="BT403" t="str">
        <f>HYPERLINK("https%3A%2F%2Fwww.webofscience.com%2Fwos%2Fwoscc%2Ffull-record%2FWOS:000588357200001","View Full Record in Web of Science")</f>
        <v>View Full Record in Web of Science</v>
      </c>
    </row>
    <row r="404" spans="1:72" x14ac:dyDescent="0.4">
      <c r="A404" t="s">
        <v>72</v>
      </c>
      <c r="B404" t="s">
        <v>6739</v>
      </c>
      <c r="C404" t="s">
        <v>74</v>
      </c>
      <c r="D404" t="s">
        <v>74</v>
      </c>
      <c r="E404" t="s">
        <v>74</v>
      </c>
      <c r="F404" t="s">
        <v>6739</v>
      </c>
      <c r="G404" t="s">
        <v>74</v>
      </c>
      <c r="H404" t="s">
        <v>74</v>
      </c>
      <c r="I404" t="s">
        <v>6740</v>
      </c>
      <c r="J404" t="s">
        <v>201</v>
      </c>
      <c r="K404" t="s">
        <v>74</v>
      </c>
      <c r="L404" t="s">
        <v>74</v>
      </c>
      <c r="M404" t="s">
        <v>74</v>
      </c>
      <c r="N404" t="s">
        <v>74</v>
      </c>
      <c r="O404" t="s">
        <v>6741</v>
      </c>
      <c r="P404" t="s">
        <v>6742</v>
      </c>
      <c r="Q404" t="s">
        <v>6743</v>
      </c>
      <c r="R404" t="s">
        <v>6744</v>
      </c>
      <c r="S404" t="s">
        <v>74</v>
      </c>
      <c r="T404" t="s">
        <v>74</v>
      </c>
      <c r="U404" t="s">
        <v>74</v>
      </c>
      <c r="V404" s="3" t="s">
        <v>6745</v>
      </c>
      <c r="W404" t="s">
        <v>74</v>
      </c>
      <c r="X404" t="s">
        <v>74</v>
      </c>
      <c r="Y404" t="s">
        <v>74</v>
      </c>
      <c r="Z404" t="s">
        <v>74</v>
      </c>
      <c r="AA404" t="s">
        <v>6746</v>
      </c>
      <c r="AB404" t="s">
        <v>74</v>
      </c>
      <c r="AC404" t="s">
        <v>74</v>
      </c>
      <c r="AD404" t="s">
        <v>74</v>
      </c>
      <c r="AE404" t="s">
        <v>74</v>
      </c>
      <c r="AF404" t="s">
        <v>74</v>
      </c>
      <c r="AG404" t="s">
        <v>74</v>
      </c>
      <c r="AH404" t="s">
        <v>74</v>
      </c>
      <c r="AI404" t="s">
        <v>74</v>
      </c>
      <c r="AJ404" t="s">
        <v>74</v>
      </c>
      <c r="AK404" t="s">
        <v>74</v>
      </c>
      <c r="AL404" t="s">
        <v>74</v>
      </c>
      <c r="AM404" t="s">
        <v>74</v>
      </c>
      <c r="AN404" t="s">
        <v>74</v>
      </c>
      <c r="AO404" t="s">
        <v>203</v>
      </c>
      <c r="AP404" t="s">
        <v>1192</v>
      </c>
      <c r="AQ404" t="s">
        <v>74</v>
      </c>
      <c r="AR404" t="s">
        <v>74</v>
      </c>
      <c r="AS404" t="s">
        <v>74</v>
      </c>
      <c r="AT404" t="s">
        <v>305</v>
      </c>
      <c r="AU404">
        <v>2003</v>
      </c>
      <c r="AV404">
        <v>63</v>
      </c>
      <c r="AW404" t="s">
        <v>74</v>
      </c>
      <c r="AX404" t="s">
        <v>74</v>
      </c>
      <c r="AY404" t="s">
        <v>6747</v>
      </c>
      <c r="AZ404" t="s">
        <v>74</v>
      </c>
      <c r="BA404" t="s">
        <v>74</v>
      </c>
      <c r="BB404">
        <v>131</v>
      </c>
      <c r="BC404">
        <v>143</v>
      </c>
      <c r="BD404" t="s">
        <v>74</v>
      </c>
      <c r="BE404" t="s">
        <v>6748</v>
      </c>
      <c r="BF404" t="str">
        <f>HYPERLINK("http://dx.doi.org/10.1111/j.1095-8649.2003.00210.x","http://dx.doi.org/10.1111/j.1095-8649.2003.00210.x")</f>
        <v>http://dx.doi.org/10.1111/j.1095-8649.2003.00210.x</v>
      </c>
      <c r="BG404" t="s">
        <v>74</v>
      </c>
      <c r="BH404" t="s">
        <v>74</v>
      </c>
      <c r="BI404" t="s">
        <v>74</v>
      </c>
      <c r="BJ404" t="s">
        <v>74</v>
      </c>
      <c r="BK404" t="s">
        <v>74</v>
      </c>
      <c r="BL404" t="s">
        <v>74</v>
      </c>
      <c r="BM404" t="s">
        <v>74</v>
      </c>
      <c r="BN404" t="s">
        <v>74</v>
      </c>
      <c r="BO404" t="s">
        <v>74</v>
      </c>
      <c r="BP404" t="s">
        <v>74</v>
      </c>
      <c r="BQ404" t="s">
        <v>74</v>
      </c>
      <c r="BR404" t="s">
        <v>74</v>
      </c>
      <c r="BS404" t="s">
        <v>6749</v>
      </c>
      <c r="BT404" t="str">
        <f>HYPERLINK("https%3A%2F%2Fwww.webofscience.com%2Fwos%2Fwoscc%2Ffull-record%2FWOS:000187879700008","View Full Record in Web of Science")</f>
        <v>View Full Record in Web of Science</v>
      </c>
    </row>
    <row r="405" spans="1:72" x14ac:dyDescent="0.4">
      <c r="A405" t="s">
        <v>72</v>
      </c>
      <c r="B405" t="s">
        <v>8101</v>
      </c>
      <c r="C405" t="s">
        <v>74</v>
      </c>
      <c r="D405" t="s">
        <v>74</v>
      </c>
      <c r="E405" t="s">
        <v>74</v>
      </c>
      <c r="F405" t="s">
        <v>8101</v>
      </c>
      <c r="G405" t="s">
        <v>74</v>
      </c>
      <c r="H405" t="s">
        <v>74</v>
      </c>
      <c r="I405" t="s">
        <v>8102</v>
      </c>
      <c r="J405" t="s">
        <v>8103</v>
      </c>
      <c r="K405" t="s">
        <v>74</v>
      </c>
      <c r="L405" t="s">
        <v>74</v>
      </c>
      <c r="M405" t="s">
        <v>74</v>
      </c>
      <c r="N405" t="s">
        <v>74</v>
      </c>
      <c r="O405" t="s">
        <v>74</v>
      </c>
      <c r="P405" t="s">
        <v>74</v>
      </c>
      <c r="Q405" t="s">
        <v>74</v>
      </c>
      <c r="R405" t="s">
        <v>74</v>
      </c>
      <c r="S405" t="s">
        <v>74</v>
      </c>
      <c r="T405" t="s">
        <v>74</v>
      </c>
      <c r="U405" t="s">
        <v>74</v>
      </c>
      <c r="V405" s="3" t="s">
        <v>8104</v>
      </c>
      <c r="W405" t="s">
        <v>74</v>
      </c>
      <c r="X405" t="s">
        <v>74</v>
      </c>
      <c r="Y405" t="s">
        <v>74</v>
      </c>
      <c r="Z405" t="s">
        <v>74</v>
      </c>
      <c r="AA405" t="s">
        <v>74</v>
      </c>
      <c r="AB405" t="s">
        <v>74</v>
      </c>
      <c r="AC405" t="s">
        <v>74</v>
      </c>
      <c r="AD405" t="s">
        <v>74</v>
      </c>
      <c r="AE405" t="s">
        <v>74</v>
      </c>
      <c r="AF405" t="s">
        <v>74</v>
      </c>
      <c r="AG405" t="s">
        <v>74</v>
      </c>
      <c r="AH405" t="s">
        <v>74</v>
      </c>
      <c r="AI405" t="s">
        <v>74</v>
      </c>
      <c r="AJ405" t="s">
        <v>74</v>
      </c>
      <c r="AK405" t="s">
        <v>74</v>
      </c>
      <c r="AL405" t="s">
        <v>74</v>
      </c>
      <c r="AM405" t="s">
        <v>74</v>
      </c>
      <c r="AN405" t="s">
        <v>74</v>
      </c>
      <c r="AO405" t="s">
        <v>8105</v>
      </c>
      <c r="AP405" t="s">
        <v>74</v>
      </c>
      <c r="AQ405" t="s">
        <v>74</v>
      </c>
      <c r="AR405" t="s">
        <v>74</v>
      </c>
      <c r="AS405" t="s">
        <v>74</v>
      </c>
      <c r="AT405" t="s">
        <v>74</v>
      </c>
      <c r="AU405">
        <v>2006</v>
      </c>
      <c r="AV405">
        <v>47</v>
      </c>
      <c r="AW405">
        <v>2</v>
      </c>
      <c r="AX405" t="s">
        <v>74</v>
      </c>
      <c r="AY405" t="s">
        <v>74</v>
      </c>
      <c r="AZ405" t="s">
        <v>74</v>
      </c>
      <c r="BA405" t="s">
        <v>74</v>
      </c>
      <c r="BB405">
        <v>315</v>
      </c>
      <c r="BC405">
        <v>327</v>
      </c>
      <c r="BD405" t="s">
        <v>74</v>
      </c>
      <c r="BE405" t="s">
        <v>74</v>
      </c>
      <c r="BF405" t="s">
        <v>74</v>
      </c>
      <c r="BG405" t="s">
        <v>74</v>
      </c>
      <c r="BH405" t="s">
        <v>74</v>
      </c>
      <c r="BI405" t="s">
        <v>74</v>
      </c>
      <c r="BJ405" t="s">
        <v>74</v>
      </c>
      <c r="BK405" t="s">
        <v>74</v>
      </c>
      <c r="BL405" t="s">
        <v>74</v>
      </c>
      <c r="BM405" t="s">
        <v>74</v>
      </c>
      <c r="BN405" t="s">
        <v>74</v>
      </c>
      <c r="BO405" t="s">
        <v>74</v>
      </c>
      <c r="BP405" t="s">
        <v>74</v>
      </c>
      <c r="BQ405" t="s">
        <v>74</v>
      </c>
      <c r="BR405" t="s">
        <v>74</v>
      </c>
      <c r="BS405" t="s">
        <v>8106</v>
      </c>
      <c r="BT405" t="str">
        <f>HYPERLINK("https%3A%2F%2Fwww.webofscience.com%2Fwos%2Fwoscc%2Ffull-record%2FWOS:000236117900003","View Full Record in Web of Science")</f>
        <v>View Full Record in Web of Science</v>
      </c>
    </row>
    <row r="406" spans="1:72" x14ac:dyDescent="0.4">
      <c r="A406" t="s">
        <v>72</v>
      </c>
      <c r="B406" t="s">
        <v>5219</v>
      </c>
      <c r="C406" t="s">
        <v>74</v>
      </c>
      <c r="D406" t="s">
        <v>74</v>
      </c>
      <c r="E406" t="s">
        <v>74</v>
      </c>
      <c r="F406" t="s">
        <v>5220</v>
      </c>
      <c r="G406" t="s">
        <v>74</v>
      </c>
      <c r="H406" t="s">
        <v>74</v>
      </c>
      <c r="I406" t="s">
        <v>5221</v>
      </c>
      <c r="J406" t="s">
        <v>475</v>
      </c>
      <c r="K406" t="s">
        <v>74</v>
      </c>
      <c r="L406" t="s">
        <v>74</v>
      </c>
      <c r="M406" t="s">
        <v>74</v>
      </c>
      <c r="N406" t="s">
        <v>74</v>
      </c>
      <c r="O406" t="s">
        <v>74</v>
      </c>
      <c r="P406" t="s">
        <v>74</v>
      </c>
      <c r="Q406" t="s">
        <v>74</v>
      </c>
      <c r="R406" t="s">
        <v>74</v>
      </c>
      <c r="S406" t="s">
        <v>74</v>
      </c>
      <c r="T406" t="s">
        <v>74</v>
      </c>
      <c r="U406" t="s">
        <v>74</v>
      </c>
      <c r="V406" s="3" t="s">
        <v>5222</v>
      </c>
      <c r="W406" t="s">
        <v>74</v>
      </c>
      <c r="X406" t="s">
        <v>74</v>
      </c>
      <c r="Y406" t="s">
        <v>74</v>
      </c>
      <c r="Z406" t="s">
        <v>74</v>
      </c>
      <c r="AA406" t="s">
        <v>74</v>
      </c>
      <c r="AB406" t="s">
        <v>5223</v>
      </c>
      <c r="AC406" t="s">
        <v>74</v>
      </c>
      <c r="AD406" t="s">
        <v>74</v>
      </c>
      <c r="AE406" t="s">
        <v>74</v>
      </c>
      <c r="AF406" t="s">
        <v>74</v>
      </c>
      <c r="AG406" t="s">
        <v>74</v>
      </c>
      <c r="AH406" t="s">
        <v>74</v>
      </c>
      <c r="AI406" t="s">
        <v>74</v>
      </c>
      <c r="AJ406" t="s">
        <v>74</v>
      </c>
      <c r="AK406" t="s">
        <v>74</v>
      </c>
      <c r="AL406" t="s">
        <v>74</v>
      </c>
      <c r="AM406" t="s">
        <v>74</v>
      </c>
      <c r="AN406" t="s">
        <v>74</v>
      </c>
      <c r="AO406" t="s">
        <v>477</v>
      </c>
      <c r="AP406" t="s">
        <v>1089</v>
      </c>
      <c r="AQ406" t="s">
        <v>74</v>
      </c>
      <c r="AR406" t="s">
        <v>74</v>
      </c>
      <c r="AS406" t="s">
        <v>74</v>
      </c>
      <c r="AT406" t="s">
        <v>3671</v>
      </c>
      <c r="AU406">
        <v>2022</v>
      </c>
      <c r="AV406">
        <v>316</v>
      </c>
      <c r="AW406" t="s">
        <v>74</v>
      </c>
      <c r="AX406" t="s">
        <v>74</v>
      </c>
      <c r="AY406" t="s">
        <v>74</v>
      </c>
      <c r="AZ406" t="s">
        <v>74</v>
      </c>
      <c r="BA406" t="s">
        <v>74</v>
      </c>
      <c r="BB406" t="s">
        <v>74</v>
      </c>
      <c r="BC406" t="s">
        <v>74</v>
      </c>
      <c r="BD406">
        <v>113948</v>
      </c>
      <c r="BE406" t="s">
        <v>5224</v>
      </c>
      <c r="BF406" t="str">
        <f>HYPERLINK("http://dx.doi.org/10.1016/j.ygcen.2021.113948","http://dx.doi.org/10.1016/j.ygcen.2021.113948")</f>
        <v>http://dx.doi.org/10.1016/j.ygcen.2021.113948</v>
      </c>
      <c r="BG406" t="s">
        <v>74</v>
      </c>
      <c r="BH406" t="s">
        <v>74</v>
      </c>
      <c r="BI406" t="s">
        <v>74</v>
      </c>
      <c r="BJ406" t="s">
        <v>74</v>
      </c>
      <c r="BK406" t="s">
        <v>74</v>
      </c>
      <c r="BL406" t="s">
        <v>74</v>
      </c>
      <c r="BM406" t="s">
        <v>74</v>
      </c>
      <c r="BN406">
        <v>34826430</v>
      </c>
      <c r="BO406" t="s">
        <v>74</v>
      </c>
      <c r="BP406" t="s">
        <v>74</v>
      </c>
      <c r="BQ406" t="s">
        <v>74</v>
      </c>
      <c r="BR406" t="s">
        <v>74</v>
      </c>
      <c r="BS406" t="s">
        <v>5225</v>
      </c>
      <c r="BT406" t="str">
        <f>HYPERLINK("https%3A%2F%2Fwww.webofscience.com%2Fwos%2Fwoscc%2Ffull-record%2FWOS:000784337800003","View Full Record in Web of Science")</f>
        <v>View Full Record in Web of Science</v>
      </c>
    </row>
    <row r="407" spans="1:72" x14ac:dyDescent="0.4">
      <c r="A407" t="s">
        <v>72</v>
      </c>
      <c r="B407" t="s">
        <v>6600</v>
      </c>
      <c r="C407" t="s">
        <v>74</v>
      </c>
      <c r="D407" t="s">
        <v>74</v>
      </c>
      <c r="E407" t="s">
        <v>74</v>
      </c>
      <c r="F407" t="s">
        <v>6600</v>
      </c>
      <c r="G407" t="s">
        <v>74</v>
      </c>
      <c r="H407" t="s">
        <v>74</v>
      </c>
      <c r="I407" t="s">
        <v>6601</v>
      </c>
      <c r="J407" t="s">
        <v>691</v>
      </c>
      <c r="K407" t="s">
        <v>74</v>
      </c>
      <c r="L407" t="s">
        <v>74</v>
      </c>
      <c r="M407" t="s">
        <v>74</v>
      </c>
      <c r="N407" t="s">
        <v>74</v>
      </c>
      <c r="O407" t="s">
        <v>6602</v>
      </c>
      <c r="P407" t="s">
        <v>6603</v>
      </c>
      <c r="Q407" t="s">
        <v>6604</v>
      </c>
      <c r="R407" t="s">
        <v>6605</v>
      </c>
      <c r="S407" t="s">
        <v>74</v>
      </c>
      <c r="T407" t="s">
        <v>74</v>
      </c>
      <c r="U407" t="s">
        <v>74</v>
      </c>
      <c r="V407" s="3" t="s">
        <v>6606</v>
      </c>
      <c r="W407" t="s">
        <v>74</v>
      </c>
      <c r="X407" t="s">
        <v>74</v>
      </c>
      <c r="Y407" t="s">
        <v>74</v>
      </c>
      <c r="Z407" t="s">
        <v>74</v>
      </c>
      <c r="AA407" t="s">
        <v>74</v>
      </c>
      <c r="AB407" t="s">
        <v>74</v>
      </c>
      <c r="AC407" t="s">
        <v>74</v>
      </c>
      <c r="AD407" t="s">
        <v>74</v>
      </c>
      <c r="AE407" t="s">
        <v>74</v>
      </c>
      <c r="AF407" t="s">
        <v>74</v>
      </c>
      <c r="AG407" t="s">
        <v>74</v>
      </c>
      <c r="AH407" t="s">
        <v>74</v>
      </c>
      <c r="AI407" t="s">
        <v>74</v>
      </c>
      <c r="AJ407" t="s">
        <v>74</v>
      </c>
      <c r="AK407" t="s">
        <v>74</v>
      </c>
      <c r="AL407" t="s">
        <v>74</v>
      </c>
      <c r="AM407" t="s">
        <v>74</v>
      </c>
      <c r="AN407" t="s">
        <v>74</v>
      </c>
      <c r="AO407" t="s">
        <v>695</v>
      </c>
      <c r="AP407" t="s">
        <v>74</v>
      </c>
      <c r="AQ407" t="s">
        <v>74</v>
      </c>
      <c r="AR407" t="s">
        <v>74</v>
      </c>
      <c r="AS407" t="s">
        <v>74</v>
      </c>
      <c r="AT407" t="s">
        <v>145</v>
      </c>
      <c r="AU407">
        <v>2003</v>
      </c>
      <c r="AV407">
        <v>79</v>
      </c>
      <c r="AW407">
        <v>3</v>
      </c>
      <c r="AX407" t="s">
        <v>74</v>
      </c>
      <c r="AY407" t="s">
        <v>74</v>
      </c>
      <c r="AZ407" t="s">
        <v>74</v>
      </c>
      <c r="BA407" t="s">
        <v>74</v>
      </c>
      <c r="BB407">
        <v>429</v>
      </c>
      <c r="BC407">
        <v>440</v>
      </c>
      <c r="BD407" t="s">
        <v>74</v>
      </c>
      <c r="BE407" t="s">
        <v>6607</v>
      </c>
      <c r="BF407" t="str">
        <f>HYPERLINK("http://dx.doi.org/10.1016/S0031-9384(03)00162-8","http://dx.doi.org/10.1016/S0031-9384(03)00162-8")</f>
        <v>http://dx.doi.org/10.1016/S0031-9384(03)00162-8</v>
      </c>
      <c r="BG407" t="s">
        <v>74</v>
      </c>
      <c r="BH407" t="s">
        <v>74</v>
      </c>
      <c r="BI407" t="s">
        <v>74</v>
      </c>
      <c r="BJ407" t="s">
        <v>74</v>
      </c>
      <c r="BK407" t="s">
        <v>74</v>
      </c>
      <c r="BL407" t="s">
        <v>74</v>
      </c>
      <c r="BM407" t="s">
        <v>74</v>
      </c>
      <c r="BN407">
        <v>12954437</v>
      </c>
      <c r="BO407" t="s">
        <v>74</v>
      </c>
      <c r="BP407" t="s">
        <v>74</v>
      </c>
      <c r="BQ407" t="s">
        <v>74</v>
      </c>
      <c r="BR407" t="s">
        <v>74</v>
      </c>
      <c r="BS407" t="s">
        <v>6608</v>
      </c>
      <c r="BT407" t="str">
        <f>HYPERLINK("https%3A%2F%2Fwww.webofscience.com%2Fwos%2Fwoscc%2Ffull-record%2FWOS:000185291300010","View Full Record in Web of Science")</f>
        <v>View Full Record in Web of Science</v>
      </c>
    </row>
    <row r="408" spans="1:72" ht="14.25" customHeight="1" x14ac:dyDescent="0.4">
      <c r="A408" t="s">
        <v>72</v>
      </c>
      <c r="B408" t="s">
        <v>5164</v>
      </c>
      <c r="C408" t="s">
        <v>74</v>
      </c>
      <c r="D408" t="s">
        <v>74</v>
      </c>
      <c r="E408" t="s">
        <v>74</v>
      </c>
      <c r="F408" t="s">
        <v>5164</v>
      </c>
      <c r="G408" t="s">
        <v>74</v>
      </c>
      <c r="H408" t="s">
        <v>74</v>
      </c>
      <c r="I408" t="s">
        <v>5165</v>
      </c>
      <c r="J408" t="s">
        <v>509</v>
      </c>
      <c r="K408" t="s">
        <v>74</v>
      </c>
      <c r="L408" t="s">
        <v>74</v>
      </c>
      <c r="M408" t="s">
        <v>74</v>
      </c>
      <c r="N408" t="s">
        <v>74</v>
      </c>
      <c r="O408" t="s">
        <v>74</v>
      </c>
      <c r="P408" t="s">
        <v>74</v>
      </c>
      <c r="Q408" t="s">
        <v>74</v>
      </c>
      <c r="R408" t="s">
        <v>74</v>
      </c>
      <c r="S408" t="s">
        <v>74</v>
      </c>
      <c r="T408" t="s">
        <v>74</v>
      </c>
      <c r="U408" t="s">
        <v>74</v>
      </c>
      <c r="V408" s="3" t="s">
        <v>5166</v>
      </c>
      <c r="W408" t="s">
        <v>74</v>
      </c>
      <c r="X408" t="s">
        <v>74</v>
      </c>
      <c r="Y408" t="s">
        <v>74</v>
      </c>
      <c r="Z408" t="s">
        <v>74</v>
      </c>
      <c r="AA408" t="s">
        <v>74</v>
      </c>
      <c r="AB408" t="s">
        <v>74</v>
      </c>
      <c r="AC408" t="s">
        <v>74</v>
      </c>
      <c r="AD408" t="s">
        <v>74</v>
      </c>
      <c r="AE408" t="s">
        <v>74</v>
      </c>
      <c r="AF408" t="s">
        <v>74</v>
      </c>
      <c r="AG408" t="s">
        <v>74</v>
      </c>
      <c r="AH408" t="s">
        <v>74</v>
      </c>
      <c r="AI408" t="s">
        <v>74</v>
      </c>
      <c r="AJ408" t="s">
        <v>74</v>
      </c>
      <c r="AK408" t="s">
        <v>74</v>
      </c>
      <c r="AL408" t="s">
        <v>74</v>
      </c>
      <c r="AM408" t="s">
        <v>74</v>
      </c>
      <c r="AN408" t="s">
        <v>74</v>
      </c>
      <c r="AO408" t="s">
        <v>511</v>
      </c>
      <c r="AP408" t="s">
        <v>512</v>
      </c>
      <c r="AQ408" t="s">
        <v>74</v>
      </c>
      <c r="AR408" t="s">
        <v>74</v>
      </c>
      <c r="AS408" t="s">
        <v>74</v>
      </c>
      <c r="AT408" t="s">
        <v>74</v>
      </c>
      <c r="AU408">
        <v>1984</v>
      </c>
      <c r="AV408">
        <v>18</v>
      </c>
      <c r="AW408">
        <v>1</v>
      </c>
      <c r="AX408" t="s">
        <v>74</v>
      </c>
      <c r="AY408" t="s">
        <v>74</v>
      </c>
      <c r="AZ408" t="s">
        <v>74</v>
      </c>
      <c r="BA408" t="s">
        <v>74</v>
      </c>
      <c r="BB408">
        <v>1</v>
      </c>
      <c r="BC408">
        <v>11</v>
      </c>
      <c r="BD408" t="s">
        <v>74</v>
      </c>
      <c r="BE408" t="s">
        <v>5167</v>
      </c>
      <c r="BF408" t="str">
        <f>HYPERLINK("http://dx.doi.org/10.1016/0018-506X(84)90045-X","http://dx.doi.org/10.1016/0018-506X(84)90045-X")</f>
        <v>http://dx.doi.org/10.1016/0018-506X(84)90045-X</v>
      </c>
      <c r="BG408" t="s">
        <v>74</v>
      </c>
      <c r="BH408" t="s">
        <v>74</v>
      </c>
      <c r="BI408" t="s">
        <v>74</v>
      </c>
      <c r="BJ408" t="s">
        <v>74</v>
      </c>
      <c r="BK408" t="s">
        <v>74</v>
      </c>
      <c r="BL408" t="s">
        <v>74</v>
      </c>
      <c r="BM408" t="s">
        <v>74</v>
      </c>
      <c r="BN408">
        <v>6706316</v>
      </c>
      <c r="BO408" t="s">
        <v>74</v>
      </c>
      <c r="BP408" t="s">
        <v>74</v>
      </c>
      <c r="BQ408" t="s">
        <v>74</v>
      </c>
      <c r="BR408" t="s">
        <v>74</v>
      </c>
      <c r="BS408" t="s">
        <v>5168</v>
      </c>
      <c r="BT408" t="str">
        <f>HYPERLINK("https%3A%2F%2Fwww.webofscience.com%2Fwos%2Fwoscc%2Ffull-record%2FWOS:A1984SG50600001","View Full Record in Web of Science")</f>
        <v>View Full Record in Web of Science</v>
      </c>
    </row>
    <row r="409" spans="1:72" x14ac:dyDescent="0.4">
      <c r="A409" t="s">
        <v>72</v>
      </c>
      <c r="B409" t="s">
        <v>3660</v>
      </c>
      <c r="C409" t="s">
        <v>74</v>
      </c>
      <c r="D409" t="s">
        <v>74</v>
      </c>
      <c r="E409" t="s">
        <v>74</v>
      </c>
      <c r="F409" t="s">
        <v>3660</v>
      </c>
      <c r="G409" t="s">
        <v>74</v>
      </c>
      <c r="H409" t="s">
        <v>74</v>
      </c>
      <c r="I409" t="s">
        <v>3661</v>
      </c>
      <c r="J409" t="s">
        <v>475</v>
      </c>
      <c r="K409" t="s">
        <v>74</v>
      </c>
      <c r="L409" t="s">
        <v>74</v>
      </c>
      <c r="M409" t="s">
        <v>74</v>
      </c>
      <c r="N409" t="s">
        <v>74</v>
      </c>
      <c r="O409" t="s">
        <v>74</v>
      </c>
      <c r="P409" t="s">
        <v>74</v>
      </c>
      <c r="Q409" t="s">
        <v>74</v>
      </c>
      <c r="R409" t="s">
        <v>74</v>
      </c>
      <c r="S409" t="s">
        <v>74</v>
      </c>
      <c r="T409" t="s">
        <v>74</v>
      </c>
      <c r="U409" t="s">
        <v>74</v>
      </c>
      <c r="V409" s="3" t="s">
        <v>3662</v>
      </c>
      <c r="W409" t="s">
        <v>74</v>
      </c>
      <c r="X409" t="s">
        <v>74</v>
      </c>
      <c r="Y409" t="s">
        <v>74</v>
      </c>
      <c r="Z409" t="s">
        <v>74</v>
      </c>
      <c r="AA409" t="s">
        <v>74</v>
      </c>
      <c r="AB409" t="s">
        <v>74</v>
      </c>
      <c r="AC409" t="s">
        <v>74</v>
      </c>
      <c r="AD409" t="s">
        <v>74</v>
      </c>
      <c r="AE409" t="s">
        <v>74</v>
      </c>
      <c r="AF409" t="s">
        <v>74</v>
      </c>
      <c r="AG409" t="s">
        <v>74</v>
      </c>
      <c r="AH409" t="s">
        <v>74</v>
      </c>
      <c r="AI409" t="s">
        <v>74</v>
      </c>
      <c r="AJ409" t="s">
        <v>74</v>
      </c>
      <c r="AK409" t="s">
        <v>74</v>
      </c>
      <c r="AL409" t="s">
        <v>74</v>
      </c>
      <c r="AM409" t="s">
        <v>74</v>
      </c>
      <c r="AN409" t="s">
        <v>74</v>
      </c>
      <c r="AO409" t="s">
        <v>477</v>
      </c>
      <c r="AP409" t="s">
        <v>1089</v>
      </c>
      <c r="AQ409" t="s">
        <v>74</v>
      </c>
      <c r="AR409" t="s">
        <v>74</v>
      </c>
      <c r="AS409" t="s">
        <v>74</v>
      </c>
      <c r="AT409" t="s">
        <v>964</v>
      </c>
      <c r="AU409">
        <v>1990</v>
      </c>
      <c r="AV409">
        <v>77</v>
      </c>
      <c r="AW409">
        <v>2</v>
      </c>
      <c r="AX409" t="s">
        <v>74</v>
      </c>
      <c r="AY409" t="s">
        <v>74</v>
      </c>
      <c r="AZ409" t="s">
        <v>74</v>
      </c>
      <c r="BA409" t="s">
        <v>74</v>
      </c>
      <c r="BB409">
        <v>246</v>
      </c>
      <c r="BC409">
        <v>255</v>
      </c>
      <c r="BD409" t="s">
        <v>74</v>
      </c>
      <c r="BE409" t="s">
        <v>3663</v>
      </c>
      <c r="BF409" t="str">
        <f>HYPERLINK("http://dx.doi.org/10.1016/0016-6480(90)90309-A","http://dx.doi.org/10.1016/0016-6480(90)90309-A")</f>
        <v>http://dx.doi.org/10.1016/0016-6480(90)90309-A</v>
      </c>
      <c r="BG409" t="s">
        <v>74</v>
      </c>
      <c r="BH409" t="s">
        <v>74</v>
      </c>
      <c r="BI409" t="s">
        <v>74</v>
      </c>
      <c r="BJ409" t="s">
        <v>74</v>
      </c>
      <c r="BK409" t="s">
        <v>74</v>
      </c>
      <c r="BL409" t="s">
        <v>74</v>
      </c>
      <c r="BM409" t="s">
        <v>74</v>
      </c>
      <c r="BN409">
        <v>2307346</v>
      </c>
      <c r="BO409" t="s">
        <v>74</v>
      </c>
      <c r="BP409" t="s">
        <v>74</v>
      </c>
      <c r="BQ409" t="s">
        <v>74</v>
      </c>
      <c r="BR409" t="s">
        <v>74</v>
      </c>
      <c r="BS409" t="s">
        <v>3664</v>
      </c>
      <c r="BT409" t="str">
        <f>HYPERLINK("https%3A%2F%2Fwww.webofscience.com%2Fwos%2Fwoscc%2Ffull-record%2FWOS:A1990CN99400009","View Full Record in Web of Science")</f>
        <v>View Full Record in Web of Science</v>
      </c>
    </row>
    <row r="410" spans="1:72" x14ac:dyDescent="0.4">
      <c r="A410" t="s">
        <v>72</v>
      </c>
      <c r="B410" t="s">
        <v>6913</v>
      </c>
      <c r="C410" t="s">
        <v>74</v>
      </c>
      <c r="D410" t="s">
        <v>74</v>
      </c>
      <c r="E410" t="s">
        <v>74</v>
      </c>
      <c r="F410" t="s">
        <v>6914</v>
      </c>
      <c r="G410" t="s">
        <v>74</v>
      </c>
      <c r="H410" t="s">
        <v>74</v>
      </c>
      <c r="I410" t="s">
        <v>6915</v>
      </c>
      <c r="J410" t="s">
        <v>171</v>
      </c>
      <c r="K410" t="s">
        <v>74</v>
      </c>
      <c r="L410" t="s">
        <v>74</v>
      </c>
      <c r="M410" t="s">
        <v>74</v>
      </c>
      <c r="N410" t="s">
        <v>74</v>
      </c>
      <c r="O410" t="s">
        <v>74</v>
      </c>
      <c r="P410" t="s">
        <v>74</v>
      </c>
      <c r="Q410" t="s">
        <v>74</v>
      </c>
      <c r="R410" t="s">
        <v>74</v>
      </c>
      <c r="S410" t="s">
        <v>74</v>
      </c>
      <c r="T410" t="s">
        <v>74</v>
      </c>
      <c r="U410" t="s">
        <v>74</v>
      </c>
      <c r="V410" s="3" t="s">
        <v>6916</v>
      </c>
      <c r="W410" t="s">
        <v>74</v>
      </c>
      <c r="X410" t="s">
        <v>74</v>
      </c>
      <c r="Y410" t="s">
        <v>74</v>
      </c>
      <c r="Z410" t="s">
        <v>74</v>
      </c>
      <c r="AA410" t="s">
        <v>4216</v>
      </c>
      <c r="AB410" t="s">
        <v>4217</v>
      </c>
      <c r="AC410" t="s">
        <v>74</v>
      </c>
      <c r="AD410" t="s">
        <v>74</v>
      </c>
      <c r="AE410" t="s">
        <v>74</v>
      </c>
      <c r="AF410" t="s">
        <v>74</v>
      </c>
      <c r="AG410" t="s">
        <v>74</v>
      </c>
      <c r="AH410" t="s">
        <v>74</v>
      </c>
      <c r="AI410" t="s">
        <v>74</v>
      </c>
      <c r="AJ410" t="s">
        <v>74</v>
      </c>
      <c r="AK410" t="s">
        <v>74</v>
      </c>
      <c r="AL410" t="s">
        <v>74</v>
      </c>
      <c r="AM410" t="s">
        <v>74</v>
      </c>
      <c r="AN410" t="s">
        <v>74</v>
      </c>
      <c r="AO410" t="s">
        <v>173</v>
      </c>
      <c r="AP410" t="s">
        <v>174</v>
      </c>
      <c r="AQ410" t="s">
        <v>74</v>
      </c>
      <c r="AR410" t="s">
        <v>74</v>
      </c>
      <c r="AS410" t="s">
        <v>74</v>
      </c>
      <c r="AT410" t="s">
        <v>175</v>
      </c>
      <c r="AU410">
        <v>2015</v>
      </c>
      <c r="AV410">
        <v>69</v>
      </c>
      <c r="AW410">
        <v>10</v>
      </c>
      <c r="AX410" t="s">
        <v>74</v>
      </c>
      <c r="AY410" t="s">
        <v>74</v>
      </c>
      <c r="AZ410" t="s">
        <v>74</v>
      </c>
      <c r="BA410" t="s">
        <v>74</v>
      </c>
      <c r="BB410">
        <v>2602</v>
      </c>
      <c r="BC410">
        <v>2612</v>
      </c>
      <c r="BD410" t="s">
        <v>74</v>
      </c>
      <c r="BE410" t="s">
        <v>6917</v>
      </c>
      <c r="BF410" t="str">
        <f>HYPERLINK("http://dx.doi.org/10.1111/evo.12756","http://dx.doi.org/10.1111/evo.12756")</f>
        <v>http://dx.doi.org/10.1111/evo.12756</v>
      </c>
      <c r="BG410" t="s">
        <v>74</v>
      </c>
      <c r="BH410" t="s">
        <v>74</v>
      </c>
      <c r="BI410" t="s">
        <v>74</v>
      </c>
      <c r="BJ410" t="s">
        <v>74</v>
      </c>
      <c r="BK410" t="s">
        <v>74</v>
      </c>
      <c r="BL410" t="s">
        <v>74</v>
      </c>
      <c r="BM410" t="s">
        <v>74</v>
      </c>
      <c r="BN410">
        <v>26292844</v>
      </c>
      <c r="BO410" t="s">
        <v>74</v>
      </c>
      <c r="BP410" t="s">
        <v>74</v>
      </c>
      <c r="BQ410" t="s">
        <v>74</v>
      </c>
      <c r="BR410" t="s">
        <v>74</v>
      </c>
      <c r="BS410" t="s">
        <v>6918</v>
      </c>
      <c r="BT410" t="str">
        <f>HYPERLINK("https%3A%2F%2Fwww.webofscience.com%2Fwos%2Fwoscc%2Ffull-record%2FWOS:000362970600006","View Full Record in Web of Science")</f>
        <v>View Full Record in Web of Science</v>
      </c>
    </row>
    <row r="411" spans="1:72" x14ac:dyDescent="0.4">
      <c r="A411" t="s">
        <v>72</v>
      </c>
      <c r="B411" t="s">
        <v>6630</v>
      </c>
      <c r="C411" t="s">
        <v>74</v>
      </c>
      <c r="D411" t="s">
        <v>74</v>
      </c>
      <c r="E411" t="s">
        <v>74</v>
      </c>
      <c r="F411" t="s">
        <v>6631</v>
      </c>
      <c r="G411" t="s">
        <v>74</v>
      </c>
      <c r="H411" t="s">
        <v>74</v>
      </c>
      <c r="I411" t="s">
        <v>6632</v>
      </c>
      <c r="J411" t="s">
        <v>6633</v>
      </c>
      <c r="K411" t="s">
        <v>74</v>
      </c>
      <c r="L411" t="s">
        <v>74</v>
      </c>
      <c r="M411" t="s">
        <v>74</v>
      </c>
      <c r="N411" t="s">
        <v>74</v>
      </c>
      <c r="O411" t="s">
        <v>6634</v>
      </c>
      <c r="P411" t="s">
        <v>6635</v>
      </c>
      <c r="Q411" t="s">
        <v>6636</v>
      </c>
      <c r="R411" t="s">
        <v>6637</v>
      </c>
      <c r="S411" t="s">
        <v>74</v>
      </c>
      <c r="T411" t="s">
        <v>74</v>
      </c>
      <c r="U411" t="s">
        <v>74</v>
      </c>
      <c r="V411" s="3" t="s">
        <v>6638</v>
      </c>
      <c r="W411" t="s">
        <v>74</v>
      </c>
      <c r="X411" t="s">
        <v>74</v>
      </c>
      <c r="Y411" t="s">
        <v>74</v>
      </c>
      <c r="Z411" t="s">
        <v>74</v>
      </c>
      <c r="AA411" t="s">
        <v>74</v>
      </c>
      <c r="AB411" t="s">
        <v>624</v>
      </c>
      <c r="AC411" t="s">
        <v>74</v>
      </c>
      <c r="AD411" t="s">
        <v>74</v>
      </c>
      <c r="AE411" t="s">
        <v>74</v>
      </c>
      <c r="AF411" t="s">
        <v>74</v>
      </c>
      <c r="AG411" t="s">
        <v>74</v>
      </c>
      <c r="AH411" t="s">
        <v>74</v>
      </c>
      <c r="AI411" t="s">
        <v>74</v>
      </c>
      <c r="AJ411" t="s">
        <v>74</v>
      </c>
      <c r="AK411" t="s">
        <v>74</v>
      </c>
      <c r="AL411" t="s">
        <v>74</v>
      </c>
      <c r="AM411" t="s">
        <v>74</v>
      </c>
      <c r="AN411" t="s">
        <v>74</v>
      </c>
      <c r="AO411" t="s">
        <v>6639</v>
      </c>
      <c r="AP411" t="s">
        <v>6640</v>
      </c>
      <c r="AQ411" t="s">
        <v>74</v>
      </c>
      <c r="AR411" t="s">
        <v>74</v>
      </c>
      <c r="AS411" t="s">
        <v>74</v>
      </c>
      <c r="AT411" t="s">
        <v>213</v>
      </c>
      <c r="AU411">
        <v>2011</v>
      </c>
      <c r="AV411">
        <v>51</v>
      </c>
      <c r="AW411">
        <v>5</v>
      </c>
      <c r="AX411" t="s">
        <v>74</v>
      </c>
      <c r="AY411" t="s">
        <v>74</v>
      </c>
      <c r="AZ411" t="s">
        <v>74</v>
      </c>
      <c r="BA411" t="s">
        <v>74</v>
      </c>
      <c r="BB411">
        <v>807</v>
      </c>
      <c r="BC411">
        <v>818</v>
      </c>
      <c r="BD411" t="s">
        <v>74</v>
      </c>
      <c r="BE411" t="s">
        <v>6641</v>
      </c>
      <c r="BF411" t="str">
        <f>HYPERLINK("http://dx.doi.org/10.1093/icb/icr060","http://dx.doi.org/10.1093/icb/icr060")</f>
        <v>http://dx.doi.org/10.1093/icb/icr060</v>
      </c>
      <c r="BG411" t="s">
        <v>74</v>
      </c>
      <c r="BH411" t="s">
        <v>74</v>
      </c>
      <c r="BI411" t="s">
        <v>74</v>
      </c>
      <c r="BJ411" t="s">
        <v>74</v>
      </c>
      <c r="BK411" t="s">
        <v>74</v>
      </c>
      <c r="BL411" t="s">
        <v>74</v>
      </c>
      <c r="BM411" t="s">
        <v>74</v>
      </c>
      <c r="BN411">
        <v>21700572</v>
      </c>
      <c r="BO411" t="s">
        <v>74</v>
      </c>
      <c r="BP411" t="s">
        <v>74</v>
      </c>
      <c r="BQ411" t="s">
        <v>74</v>
      </c>
      <c r="BR411" t="s">
        <v>74</v>
      </c>
      <c r="BS411" t="s">
        <v>6642</v>
      </c>
      <c r="BT411" t="str">
        <f>HYPERLINK("https%3A%2F%2Fwww.webofscience.com%2Fwos%2Fwoscc%2Ffull-record%2FWOS:000296101600014","View Full Record in Web of Science")</f>
        <v>View Full Record in Web of Science</v>
      </c>
    </row>
    <row r="412" spans="1:72" x14ac:dyDescent="0.4">
      <c r="A412" t="s">
        <v>72</v>
      </c>
      <c r="B412" t="s">
        <v>7804</v>
      </c>
      <c r="C412" t="s">
        <v>74</v>
      </c>
      <c r="D412" t="s">
        <v>74</v>
      </c>
      <c r="E412" t="s">
        <v>74</v>
      </c>
      <c r="F412" t="s">
        <v>7805</v>
      </c>
      <c r="G412" t="s">
        <v>74</v>
      </c>
      <c r="H412" t="s">
        <v>74</v>
      </c>
      <c r="I412" t="s">
        <v>7806</v>
      </c>
      <c r="J412" t="s">
        <v>333</v>
      </c>
      <c r="K412" t="s">
        <v>74</v>
      </c>
      <c r="L412" t="s">
        <v>74</v>
      </c>
      <c r="M412" t="s">
        <v>74</v>
      </c>
      <c r="N412" t="s">
        <v>74</v>
      </c>
      <c r="O412" t="s">
        <v>74</v>
      </c>
      <c r="P412" t="s">
        <v>74</v>
      </c>
      <c r="Q412" t="s">
        <v>74</v>
      </c>
      <c r="R412" t="s">
        <v>74</v>
      </c>
      <c r="S412" t="s">
        <v>74</v>
      </c>
      <c r="T412" t="s">
        <v>74</v>
      </c>
      <c r="U412" t="s">
        <v>74</v>
      </c>
      <c r="V412" s="3" t="s">
        <v>7807</v>
      </c>
      <c r="W412" t="s">
        <v>74</v>
      </c>
      <c r="X412" t="s">
        <v>74</v>
      </c>
      <c r="Y412" t="s">
        <v>74</v>
      </c>
      <c r="Z412" t="s">
        <v>74</v>
      </c>
      <c r="AA412" t="s">
        <v>7808</v>
      </c>
      <c r="AB412" t="s">
        <v>7809</v>
      </c>
      <c r="AC412" t="s">
        <v>74</v>
      </c>
      <c r="AD412" t="s">
        <v>74</v>
      </c>
      <c r="AE412" t="s">
        <v>74</v>
      </c>
      <c r="AF412" t="s">
        <v>74</v>
      </c>
      <c r="AG412" t="s">
        <v>74</v>
      </c>
      <c r="AH412" t="s">
        <v>74</v>
      </c>
      <c r="AI412" t="s">
        <v>74</v>
      </c>
      <c r="AJ412" t="s">
        <v>74</v>
      </c>
      <c r="AK412" t="s">
        <v>74</v>
      </c>
      <c r="AL412" t="s">
        <v>74</v>
      </c>
      <c r="AM412" t="s">
        <v>74</v>
      </c>
      <c r="AN412" t="s">
        <v>74</v>
      </c>
      <c r="AO412" t="s">
        <v>337</v>
      </c>
      <c r="AP412" t="s">
        <v>338</v>
      </c>
      <c r="AQ412" t="s">
        <v>74</v>
      </c>
      <c r="AR412" t="s">
        <v>74</v>
      </c>
      <c r="AS412" t="s">
        <v>74</v>
      </c>
      <c r="AT412" t="s">
        <v>1013</v>
      </c>
      <c r="AU412">
        <v>2009</v>
      </c>
      <c r="AV412">
        <v>20</v>
      </c>
      <c r="AW412">
        <v>5</v>
      </c>
      <c r="AX412" t="s">
        <v>74</v>
      </c>
      <c r="AY412" t="s">
        <v>74</v>
      </c>
      <c r="AZ412" t="s">
        <v>74</v>
      </c>
      <c r="BA412" t="s">
        <v>74</v>
      </c>
      <c r="BB412">
        <v>1072</v>
      </c>
      <c r="BC412">
        <v>1078</v>
      </c>
      <c r="BD412" t="s">
        <v>74</v>
      </c>
      <c r="BE412" t="s">
        <v>7810</v>
      </c>
      <c r="BF412" t="str">
        <f>HYPERLINK("http://dx.doi.org/10.1093/beheco/arp099","http://dx.doi.org/10.1093/beheco/arp099")</f>
        <v>http://dx.doi.org/10.1093/beheco/arp099</v>
      </c>
      <c r="BG412" t="s">
        <v>74</v>
      </c>
      <c r="BH412" t="s">
        <v>74</v>
      </c>
      <c r="BI412" t="s">
        <v>74</v>
      </c>
      <c r="BJ412" t="s">
        <v>74</v>
      </c>
      <c r="BK412" t="s">
        <v>74</v>
      </c>
      <c r="BL412" t="s">
        <v>74</v>
      </c>
      <c r="BM412" t="s">
        <v>74</v>
      </c>
      <c r="BN412" t="s">
        <v>74</v>
      </c>
      <c r="BO412" t="s">
        <v>74</v>
      </c>
      <c r="BP412" t="s">
        <v>74</v>
      </c>
      <c r="BQ412" t="s">
        <v>74</v>
      </c>
      <c r="BR412" t="s">
        <v>74</v>
      </c>
      <c r="BS412" t="s">
        <v>7811</v>
      </c>
      <c r="BT412" t="str">
        <f>HYPERLINK("https%3A%2F%2Fwww.webofscience.com%2Fwos%2Fwoscc%2Ffull-record%2FWOS:000269956400023","View Full Record in Web of Science")</f>
        <v>View Full Record in Web of Science</v>
      </c>
    </row>
    <row r="413" spans="1:72" x14ac:dyDescent="0.4">
      <c r="A413" t="s">
        <v>72</v>
      </c>
      <c r="B413" t="s">
        <v>5032</v>
      </c>
      <c r="C413" t="s">
        <v>74</v>
      </c>
      <c r="D413" t="s">
        <v>74</v>
      </c>
      <c r="E413" t="s">
        <v>74</v>
      </c>
      <c r="F413" t="s">
        <v>5033</v>
      </c>
      <c r="G413" t="s">
        <v>74</v>
      </c>
      <c r="H413" t="s">
        <v>74</v>
      </c>
      <c r="I413" t="s">
        <v>5034</v>
      </c>
      <c r="J413" t="s">
        <v>1656</v>
      </c>
      <c r="K413" t="s">
        <v>74</v>
      </c>
      <c r="L413" t="s">
        <v>74</v>
      </c>
      <c r="M413" t="s">
        <v>74</v>
      </c>
      <c r="N413" t="s">
        <v>74</v>
      </c>
      <c r="O413" t="s">
        <v>74</v>
      </c>
      <c r="P413" t="s">
        <v>74</v>
      </c>
      <c r="Q413" t="s">
        <v>74</v>
      </c>
      <c r="R413" t="s">
        <v>74</v>
      </c>
      <c r="S413" t="s">
        <v>74</v>
      </c>
      <c r="T413" t="s">
        <v>74</v>
      </c>
      <c r="U413" t="s">
        <v>74</v>
      </c>
      <c r="V413" s="3" t="s">
        <v>5035</v>
      </c>
      <c r="W413" t="s">
        <v>74</v>
      </c>
      <c r="X413" t="s">
        <v>74</v>
      </c>
      <c r="Y413" t="s">
        <v>74</v>
      </c>
      <c r="Z413" t="s">
        <v>74</v>
      </c>
      <c r="AA413" t="s">
        <v>74</v>
      </c>
      <c r="AB413" t="s">
        <v>74</v>
      </c>
      <c r="AC413" t="s">
        <v>74</v>
      </c>
      <c r="AD413" t="s">
        <v>74</v>
      </c>
      <c r="AE413" t="s">
        <v>74</v>
      </c>
      <c r="AF413" t="s">
        <v>74</v>
      </c>
      <c r="AG413" t="s">
        <v>74</v>
      </c>
      <c r="AH413" t="s">
        <v>74</v>
      </c>
      <c r="AI413" t="s">
        <v>74</v>
      </c>
      <c r="AJ413" t="s">
        <v>74</v>
      </c>
      <c r="AK413" t="s">
        <v>74</v>
      </c>
      <c r="AL413" t="s">
        <v>74</v>
      </c>
      <c r="AM413" t="s">
        <v>74</v>
      </c>
      <c r="AN413" t="s">
        <v>74</v>
      </c>
      <c r="AO413" t="s">
        <v>1658</v>
      </c>
      <c r="AP413" t="s">
        <v>1659</v>
      </c>
      <c r="AQ413" t="s">
        <v>74</v>
      </c>
      <c r="AR413" t="s">
        <v>74</v>
      </c>
      <c r="AS413" t="s">
        <v>74</v>
      </c>
      <c r="AT413" t="s">
        <v>5036</v>
      </c>
      <c r="AU413">
        <v>2006</v>
      </c>
      <c r="AV413" t="s">
        <v>74</v>
      </c>
      <c r="AW413">
        <v>1327</v>
      </c>
      <c r="AX413" t="s">
        <v>74</v>
      </c>
      <c r="AY413" t="s">
        <v>74</v>
      </c>
      <c r="AZ413" t="s">
        <v>74</v>
      </c>
      <c r="BA413" t="s">
        <v>74</v>
      </c>
      <c r="BB413">
        <v>1</v>
      </c>
      <c r="BC413">
        <v>21</v>
      </c>
      <c r="BD413" t="s">
        <v>74</v>
      </c>
      <c r="BE413" t="s">
        <v>74</v>
      </c>
      <c r="BF413" t="s">
        <v>74</v>
      </c>
      <c r="BG413" t="s">
        <v>74</v>
      </c>
      <c r="BH413" t="s">
        <v>74</v>
      </c>
      <c r="BI413" t="s">
        <v>74</v>
      </c>
      <c r="BJ413" t="s">
        <v>74</v>
      </c>
      <c r="BK413" t="s">
        <v>74</v>
      </c>
      <c r="BL413" t="s">
        <v>74</v>
      </c>
      <c r="BM413" t="s">
        <v>74</v>
      </c>
      <c r="BN413" t="s">
        <v>74</v>
      </c>
      <c r="BO413" t="s">
        <v>74</v>
      </c>
      <c r="BP413" t="s">
        <v>74</v>
      </c>
      <c r="BQ413" t="s">
        <v>74</v>
      </c>
      <c r="BR413" t="s">
        <v>74</v>
      </c>
      <c r="BS413" t="s">
        <v>5037</v>
      </c>
      <c r="BT413" t="str">
        <f>HYPERLINK("https%3A%2F%2Fwww.webofscience.com%2Fwos%2Fwoscc%2Ffull-record%2FWOS:000240866100001","View Full Record in Web of Science")</f>
        <v>View Full Record in Web of Science</v>
      </c>
    </row>
    <row r="414" spans="1:72" x14ac:dyDescent="0.4">
      <c r="A414" t="s">
        <v>72</v>
      </c>
      <c r="B414" t="s">
        <v>5322</v>
      </c>
      <c r="C414" t="s">
        <v>74</v>
      </c>
      <c r="D414" t="s">
        <v>74</v>
      </c>
      <c r="E414" t="s">
        <v>74</v>
      </c>
      <c r="F414" t="s">
        <v>5323</v>
      </c>
      <c r="G414" t="s">
        <v>74</v>
      </c>
      <c r="H414" t="s">
        <v>74</v>
      </c>
      <c r="I414" t="s">
        <v>5324</v>
      </c>
      <c r="J414" t="s">
        <v>1656</v>
      </c>
      <c r="K414" t="s">
        <v>74</v>
      </c>
      <c r="L414" t="s">
        <v>74</v>
      </c>
      <c r="M414" t="s">
        <v>74</v>
      </c>
      <c r="N414" t="s">
        <v>74</v>
      </c>
      <c r="O414" t="s">
        <v>74</v>
      </c>
      <c r="P414" t="s">
        <v>74</v>
      </c>
      <c r="Q414" t="s">
        <v>74</v>
      </c>
      <c r="R414" t="s">
        <v>74</v>
      </c>
      <c r="S414" t="s">
        <v>74</v>
      </c>
      <c r="T414" t="s">
        <v>74</v>
      </c>
      <c r="U414" t="s">
        <v>74</v>
      </c>
      <c r="V414" s="3" t="s">
        <v>5325</v>
      </c>
      <c r="W414" t="s">
        <v>74</v>
      </c>
      <c r="X414" t="s">
        <v>74</v>
      </c>
      <c r="Y414" t="s">
        <v>74</v>
      </c>
      <c r="Z414" t="s">
        <v>74</v>
      </c>
      <c r="AA414" t="s">
        <v>5326</v>
      </c>
      <c r="AB414" t="s">
        <v>5327</v>
      </c>
      <c r="AC414" t="s">
        <v>74</v>
      </c>
      <c r="AD414" t="s">
        <v>74</v>
      </c>
      <c r="AE414" t="s">
        <v>74</v>
      </c>
      <c r="AF414" t="s">
        <v>74</v>
      </c>
      <c r="AG414" t="s">
        <v>74</v>
      </c>
      <c r="AH414" t="s">
        <v>74</v>
      </c>
      <c r="AI414" t="s">
        <v>74</v>
      </c>
      <c r="AJ414" t="s">
        <v>74</v>
      </c>
      <c r="AK414" t="s">
        <v>74</v>
      </c>
      <c r="AL414" t="s">
        <v>74</v>
      </c>
      <c r="AM414" t="s">
        <v>74</v>
      </c>
      <c r="AN414" t="s">
        <v>74</v>
      </c>
      <c r="AO414" t="s">
        <v>1658</v>
      </c>
      <c r="AP414" t="s">
        <v>1659</v>
      </c>
      <c r="AQ414" t="s">
        <v>74</v>
      </c>
      <c r="AR414" t="s">
        <v>74</v>
      </c>
      <c r="AS414" t="s">
        <v>74</v>
      </c>
      <c r="AT414" t="s">
        <v>5328</v>
      </c>
      <c r="AU414">
        <v>2016</v>
      </c>
      <c r="AV414">
        <v>4105</v>
      </c>
      <c r="AW414">
        <v>5</v>
      </c>
      <c r="AX414" t="s">
        <v>74</v>
      </c>
      <c r="AY414" t="s">
        <v>74</v>
      </c>
      <c r="AZ414" t="s">
        <v>74</v>
      </c>
      <c r="BA414" t="s">
        <v>74</v>
      </c>
      <c r="BB414">
        <v>401</v>
      </c>
      <c r="BC414">
        <v>429</v>
      </c>
      <c r="BD414" t="s">
        <v>74</v>
      </c>
      <c r="BE414" t="s">
        <v>5329</v>
      </c>
      <c r="BF414" t="str">
        <f>HYPERLINK("http://dx.doi.org/10.11646/zootaxa.4105.5.1","http://dx.doi.org/10.11646/zootaxa.4105.5.1")</f>
        <v>http://dx.doi.org/10.11646/zootaxa.4105.5.1</v>
      </c>
      <c r="BG414" t="s">
        <v>74</v>
      </c>
      <c r="BH414" t="s">
        <v>74</v>
      </c>
      <c r="BI414" t="s">
        <v>74</v>
      </c>
      <c r="BJ414" t="s">
        <v>74</v>
      </c>
      <c r="BK414" t="s">
        <v>74</v>
      </c>
      <c r="BL414" t="s">
        <v>74</v>
      </c>
      <c r="BM414" t="s">
        <v>74</v>
      </c>
      <c r="BN414">
        <v>27394789</v>
      </c>
      <c r="BO414" t="s">
        <v>74</v>
      </c>
      <c r="BP414" t="s">
        <v>74</v>
      </c>
      <c r="BQ414" t="s">
        <v>74</v>
      </c>
      <c r="BR414" t="s">
        <v>74</v>
      </c>
      <c r="BS414" t="s">
        <v>5330</v>
      </c>
      <c r="BT414" t="str">
        <f>HYPERLINK("https%3A%2F%2Fwww.webofscience.com%2Fwos%2Fwoscc%2Ffull-record%2FWOS:000375273900001","View Full Record in Web of Science")</f>
        <v>View Full Record in Web of Science</v>
      </c>
    </row>
    <row r="415" spans="1:72" x14ac:dyDescent="0.4">
      <c r="A415" t="s">
        <v>72</v>
      </c>
      <c r="B415" t="s">
        <v>7754</v>
      </c>
      <c r="C415" t="s">
        <v>74</v>
      </c>
      <c r="D415" t="s">
        <v>74</v>
      </c>
      <c r="E415" t="s">
        <v>74</v>
      </c>
      <c r="F415" t="s">
        <v>7755</v>
      </c>
      <c r="G415" t="s">
        <v>74</v>
      </c>
      <c r="H415" t="s">
        <v>74</v>
      </c>
      <c r="I415" t="s">
        <v>7756</v>
      </c>
      <c r="J415" t="s">
        <v>1574</v>
      </c>
      <c r="K415" t="s">
        <v>74</v>
      </c>
      <c r="L415" t="s">
        <v>74</v>
      </c>
      <c r="M415" t="s">
        <v>74</v>
      </c>
      <c r="N415" t="s">
        <v>74</v>
      </c>
      <c r="O415" t="s">
        <v>74</v>
      </c>
      <c r="P415" t="s">
        <v>74</v>
      </c>
      <c r="Q415" t="s">
        <v>74</v>
      </c>
      <c r="R415" t="s">
        <v>74</v>
      </c>
      <c r="S415" t="s">
        <v>74</v>
      </c>
      <c r="T415" t="s">
        <v>74</v>
      </c>
      <c r="U415" t="s">
        <v>74</v>
      </c>
      <c r="V415" s="3" t="s">
        <v>7757</v>
      </c>
      <c r="W415" t="s">
        <v>74</v>
      </c>
      <c r="X415" t="s">
        <v>74</v>
      </c>
      <c r="Y415" t="s">
        <v>74</v>
      </c>
      <c r="Z415" t="s">
        <v>74</v>
      </c>
      <c r="AA415" t="s">
        <v>74</v>
      </c>
      <c r="AB415" t="s">
        <v>7758</v>
      </c>
      <c r="AC415" t="s">
        <v>74</v>
      </c>
      <c r="AD415" t="s">
        <v>74</v>
      </c>
      <c r="AE415" t="s">
        <v>74</v>
      </c>
      <c r="AF415" t="s">
        <v>74</v>
      </c>
      <c r="AG415" t="s">
        <v>74</v>
      </c>
      <c r="AH415" t="s">
        <v>74</v>
      </c>
      <c r="AI415" t="s">
        <v>74</v>
      </c>
      <c r="AJ415" t="s">
        <v>74</v>
      </c>
      <c r="AK415" t="s">
        <v>74</v>
      </c>
      <c r="AL415" t="s">
        <v>74</v>
      </c>
      <c r="AM415" t="s">
        <v>74</v>
      </c>
      <c r="AN415" t="s">
        <v>74</v>
      </c>
      <c r="AO415" t="s">
        <v>1576</v>
      </c>
      <c r="AP415" t="s">
        <v>1577</v>
      </c>
      <c r="AQ415" t="s">
        <v>74</v>
      </c>
      <c r="AR415" t="s">
        <v>74</v>
      </c>
      <c r="AS415" t="s">
        <v>74</v>
      </c>
      <c r="AT415" t="s">
        <v>74</v>
      </c>
      <c r="AU415">
        <v>2008</v>
      </c>
      <c r="AV415">
        <v>71</v>
      </c>
      <c r="AW415">
        <v>1</v>
      </c>
      <c r="AX415" t="s">
        <v>74</v>
      </c>
      <c r="AY415" t="s">
        <v>74</v>
      </c>
      <c r="AZ415" t="s">
        <v>74</v>
      </c>
      <c r="BA415" t="s">
        <v>74</v>
      </c>
      <c r="BB415">
        <v>1</v>
      </c>
      <c r="BC415">
        <v>14</v>
      </c>
      <c r="BD415" t="s">
        <v>74</v>
      </c>
      <c r="BE415" t="s">
        <v>7759</v>
      </c>
      <c r="BF415" t="str">
        <f>HYPERLINK("http://dx.doi.org/10.1159/000108607","http://dx.doi.org/10.1159/000108607")</f>
        <v>http://dx.doi.org/10.1159/000108607</v>
      </c>
      <c r="BG415" t="s">
        <v>74</v>
      </c>
      <c r="BH415" t="s">
        <v>74</v>
      </c>
      <c r="BI415" t="s">
        <v>74</v>
      </c>
      <c r="BJ415" t="s">
        <v>74</v>
      </c>
      <c r="BK415" t="s">
        <v>74</v>
      </c>
      <c r="BL415" t="s">
        <v>74</v>
      </c>
      <c r="BM415" t="s">
        <v>74</v>
      </c>
      <c r="BN415">
        <v>17878714</v>
      </c>
      <c r="BO415" t="s">
        <v>74</v>
      </c>
      <c r="BP415" t="s">
        <v>74</v>
      </c>
      <c r="BQ415" t="s">
        <v>74</v>
      </c>
      <c r="BR415" t="s">
        <v>74</v>
      </c>
      <c r="BS415" t="s">
        <v>7760</v>
      </c>
      <c r="BT415" t="str">
        <f>HYPERLINK("https%3A%2F%2Fwww.webofscience.com%2Fwos%2Fwoscc%2Ffull-record%2FWOS:000251137800001","View Full Record in Web of Science")</f>
        <v>View Full Record in Web of Science</v>
      </c>
    </row>
    <row r="416" spans="1:72" x14ac:dyDescent="0.4">
      <c r="A416" t="s">
        <v>72</v>
      </c>
      <c r="B416" t="s">
        <v>3791</v>
      </c>
      <c r="C416" t="s">
        <v>74</v>
      </c>
      <c r="D416" t="s">
        <v>74</v>
      </c>
      <c r="E416" t="s">
        <v>74</v>
      </c>
      <c r="F416" t="s">
        <v>3792</v>
      </c>
      <c r="G416" t="s">
        <v>74</v>
      </c>
      <c r="H416" t="s">
        <v>74</v>
      </c>
      <c r="I416" t="s">
        <v>3793</v>
      </c>
      <c r="J416" t="s">
        <v>1755</v>
      </c>
      <c r="K416" t="s">
        <v>74</v>
      </c>
      <c r="L416" t="s">
        <v>74</v>
      </c>
      <c r="M416" t="s">
        <v>74</v>
      </c>
      <c r="N416" t="s">
        <v>74</v>
      </c>
      <c r="O416" t="s">
        <v>74</v>
      </c>
      <c r="P416" t="s">
        <v>74</v>
      </c>
      <c r="Q416" t="s">
        <v>74</v>
      </c>
      <c r="R416" t="s">
        <v>74</v>
      </c>
      <c r="S416" t="s">
        <v>74</v>
      </c>
      <c r="T416" t="s">
        <v>74</v>
      </c>
      <c r="U416" t="s">
        <v>74</v>
      </c>
      <c r="V416" s="3" t="s">
        <v>3794</v>
      </c>
      <c r="W416" t="s">
        <v>74</v>
      </c>
      <c r="X416" t="s">
        <v>74</v>
      </c>
      <c r="Y416" t="s">
        <v>74</v>
      </c>
      <c r="Z416" t="s">
        <v>74</v>
      </c>
      <c r="AA416" t="s">
        <v>3795</v>
      </c>
      <c r="AB416" t="s">
        <v>3796</v>
      </c>
      <c r="AC416" t="s">
        <v>74</v>
      </c>
      <c r="AD416" t="s">
        <v>74</v>
      </c>
      <c r="AE416" t="s">
        <v>74</v>
      </c>
      <c r="AF416" t="s">
        <v>74</v>
      </c>
      <c r="AG416" t="s">
        <v>74</v>
      </c>
      <c r="AH416" t="s">
        <v>74</v>
      </c>
      <c r="AI416" t="s">
        <v>74</v>
      </c>
      <c r="AJ416" t="s">
        <v>74</v>
      </c>
      <c r="AK416" t="s">
        <v>74</v>
      </c>
      <c r="AL416" t="s">
        <v>74</v>
      </c>
      <c r="AM416" t="s">
        <v>74</v>
      </c>
      <c r="AN416" t="s">
        <v>74</v>
      </c>
      <c r="AO416" t="s">
        <v>1759</v>
      </c>
      <c r="AP416" t="s">
        <v>1760</v>
      </c>
      <c r="AQ416" t="s">
        <v>74</v>
      </c>
      <c r="AR416" t="s">
        <v>74</v>
      </c>
      <c r="AS416" t="s">
        <v>74</v>
      </c>
      <c r="AT416" t="s">
        <v>255</v>
      </c>
      <c r="AU416">
        <v>2014</v>
      </c>
      <c r="AV416">
        <v>27</v>
      </c>
      <c r="AW416">
        <v>1</v>
      </c>
      <c r="AX416" t="s">
        <v>74</v>
      </c>
      <c r="AY416" t="s">
        <v>74</v>
      </c>
      <c r="AZ416" t="s">
        <v>74</v>
      </c>
      <c r="BA416" t="s">
        <v>74</v>
      </c>
      <c r="BB416">
        <v>67</v>
      </c>
      <c r="BC416">
        <v>80</v>
      </c>
      <c r="BD416" t="s">
        <v>74</v>
      </c>
      <c r="BE416" t="s">
        <v>3797</v>
      </c>
      <c r="BF416" t="str">
        <f>HYPERLINK("http://dx.doi.org/10.1007/s10905-013-9406-4","http://dx.doi.org/10.1007/s10905-013-9406-4")</f>
        <v>http://dx.doi.org/10.1007/s10905-013-9406-4</v>
      </c>
      <c r="BG416" t="s">
        <v>74</v>
      </c>
      <c r="BH416" t="s">
        <v>74</v>
      </c>
      <c r="BI416" t="s">
        <v>74</v>
      </c>
      <c r="BJ416" t="s">
        <v>74</v>
      </c>
      <c r="BK416" t="s">
        <v>74</v>
      </c>
      <c r="BL416" t="s">
        <v>74</v>
      </c>
      <c r="BM416" t="s">
        <v>74</v>
      </c>
      <c r="BN416" t="s">
        <v>74</v>
      </c>
      <c r="BO416" t="s">
        <v>74</v>
      </c>
      <c r="BP416" t="s">
        <v>74</v>
      </c>
      <c r="BQ416" t="s">
        <v>74</v>
      </c>
      <c r="BR416" t="s">
        <v>74</v>
      </c>
      <c r="BS416" t="s">
        <v>3798</v>
      </c>
      <c r="BT416" t="str">
        <f>HYPERLINK("https%3A%2F%2Fwww.webofscience.com%2Fwos%2Fwoscc%2Ffull-record%2FWOS:000329237700006","View Full Record in Web of Science")</f>
        <v>View Full Record in Web of Science</v>
      </c>
    </row>
    <row r="417" spans="1:72" x14ac:dyDescent="0.4">
      <c r="A417" t="s">
        <v>72</v>
      </c>
      <c r="B417" t="s">
        <v>3390</v>
      </c>
      <c r="C417" t="s">
        <v>74</v>
      </c>
      <c r="D417" t="s">
        <v>74</v>
      </c>
      <c r="E417" t="s">
        <v>74</v>
      </c>
      <c r="F417" t="s">
        <v>3391</v>
      </c>
      <c r="G417" t="s">
        <v>74</v>
      </c>
      <c r="H417" t="s">
        <v>74</v>
      </c>
      <c r="I417" t="s">
        <v>3392</v>
      </c>
      <c r="J417" t="s">
        <v>119</v>
      </c>
      <c r="K417" t="s">
        <v>74</v>
      </c>
      <c r="L417" t="s">
        <v>74</v>
      </c>
      <c r="M417" t="s">
        <v>74</v>
      </c>
      <c r="N417" t="s">
        <v>74</v>
      </c>
      <c r="O417" t="s">
        <v>74</v>
      </c>
      <c r="P417" t="s">
        <v>74</v>
      </c>
      <c r="Q417" t="s">
        <v>74</v>
      </c>
      <c r="R417" t="s">
        <v>74</v>
      </c>
      <c r="S417" t="s">
        <v>74</v>
      </c>
      <c r="T417" t="s">
        <v>74</v>
      </c>
      <c r="U417" t="s">
        <v>74</v>
      </c>
      <c r="V417" s="3" t="s">
        <v>3393</v>
      </c>
      <c r="W417" t="s">
        <v>74</v>
      </c>
      <c r="X417" t="s">
        <v>74</v>
      </c>
      <c r="Y417" t="s">
        <v>74</v>
      </c>
      <c r="Z417" t="s">
        <v>74</v>
      </c>
      <c r="AA417" t="s">
        <v>2838</v>
      </c>
      <c r="AB417" t="s">
        <v>3394</v>
      </c>
      <c r="AC417" t="s">
        <v>74</v>
      </c>
      <c r="AD417" t="s">
        <v>74</v>
      </c>
      <c r="AE417" t="s">
        <v>74</v>
      </c>
      <c r="AF417" t="s">
        <v>74</v>
      </c>
      <c r="AG417" t="s">
        <v>74</v>
      </c>
      <c r="AH417" t="s">
        <v>74</v>
      </c>
      <c r="AI417" t="s">
        <v>74</v>
      </c>
      <c r="AJ417" t="s">
        <v>74</v>
      </c>
      <c r="AK417" t="s">
        <v>74</v>
      </c>
      <c r="AL417" t="s">
        <v>74</v>
      </c>
      <c r="AM417" t="s">
        <v>74</v>
      </c>
      <c r="AN417" t="s">
        <v>74</v>
      </c>
      <c r="AO417" t="s">
        <v>121</v>
      </c>
      <c r="AP417" t="s">
        <v>122</v>
      </c>
      <c r="AQ417" t="s">
        <v>74</v>
      </c>
      <c r="AR417" t="s">
        <v>74</v>
      </c>
      <c r="AS417" t="s">
        <v>74</v>
      </c>
      <c r="AT417" t="s">
        <v>213</v>
      </c>
      <c r="AU417">
        <v>2014</v>
      </c>
      <c r="AV417">
        <v>109</v>
      </c>
      <c r="AW417" t="s">
        <v>74</v>
      </c>
      <c r="AX417" t="s">
        <v>3395</v>
      </c>
      <c r="AY417" t="s">
        <v>74</v>
      </c>
      <c r="AZ417" t="s">
        <v>848</v>
      </c>
      <c r="BA417" t="s">
        <v>74</v>
      </c>
      <c r="BB417">
        <v>145</v>
      </c>
      <c r="BC417">
        <v>150</v>
      </c>
      <c r="BD417" t="s">
        <v>74</v>
      </c>
      <c r="BE417" t="s">
        <v>3396</v>
      </c>
      <c r="BF417" t="str">
        <f>HYPERLINK("http://dx.doi.org/10.1016/j.beproc.2014.04.013","http://dx.doi.org/10.1016/j.beproc.2014.04.013")</f>
        <v>http://dx.doi.org/10.1016/j.beproc.2014.04.013</v>
      </c>
      <c r="BG417" t="s">
        <v>74</v>
      </c>
      <c r="BH417" t="s">
        <v>74</v>
      </c>
      <c r="BI417" t="s">
        <v>74</v>
      </c>
      <c r="BJ417" t="s">
        <v>74</v>
      </c>
      <c r="BK417" t="s">
        <v>74</v>
      </c>
      <c r="BL417" t="s">
        <v>74</v>
      </c>
      <c r="BM417" t="s">
        <v>74</v>
      </c>
      <c r="BN417">
        <v>24797456</v>
      </c>
      <c r="BO417" t="s">
        <v>74</v>
      </c>
      <c r="BP417" t="s">
        <v>74</v>
      </c>
      <c r="BQ417" t="s">
        <v>74</v>
      </c>
      <c r="BR417" t="s">
        <v>74</v>
      </c>
      <c r="BS417" t="s">
        <v>3397</v>
      </c>
      <c r="BT417" t="str">
        <f>HYPERLINK("https%3A%2F%2Fwww.webofscience.com%2Fwos%2Fwoscc%2Ffull-record%2FWOS:000347742900006","View Full Record in Web of Science")</f>
        <v>View Full Record in Web of Science</v>
      </c>
    </row>
    <row r="418" spans="1:72" x14ac:dyDescent="0.4">
      <c r="A418" t="s">
        <v>72</v>
      </c>
      <c r="B418" t="s">
        <v>5870</v>
      </c>
      <c r="C418" t="s">
        <v>74</v>
      </c>
      <c r="D418" t="s">
        <v>74</v>
      </c>
      <c r="E418" t="s">
        <v>74</v>
      </c>
      <c r="F418" t="s">
        <v>5871</v>
      </c>
      <c r="G418" t="s">
        <v>74</v>
      </c>
      <c r="H418" t="s">
        <v>74</v>
      </c>
      <c r="I418" t="s">
        <v>5872</v>
      </c>
      <c r="J418" t="s">
        <v>108</v>
      </c>
      <c r="K418" t="s">
        <v>74</v>
      </c>
      <c r="L418" t="s">
        <v>74</v>
      </c>
      <c r="M418" t="s">
        <v>74</v>
      </c>
      <c r="N418" t="s">
        <v>74</v>
      </c>
      <c r="O418" t="s">
        <v>74</v>
      </c>
      <c r="P418" t="s">
        <v>74</v>
      </c>
      <c r="Q418" t="s">
        <v>74</v>
      </c>
      <c r="R418" t="s">
        <v>74</v>
      </c>
      <c r="S418" t="s">
        <v>74</v>
      </c>
      <c r="T418" t="s">
        <v>74</v>
      </c>
      <c r="U418" t="s">
        <v>74</v>
      </c>
      <c r="V418" s="3" t="s">
        <v>5873</v>
      </c>
      <c r="W418" t="s">
        <v>74</v>
      </c>
      <c r="X418" t="s">
        <v>74</v>
      </c>
      <c r="Y418" t="s">
        <v>74</v>
      </c>
      <c r="Z418" t="s">
        <v>74</v>
      </c>
      <c r="AA418" t="s">
        <v>2838</v>
      </c>
      <c r="AB418" t="s">
        <v>5874</v>
      </c>
      <c r="AC418" t="s">
        <v>74</v>
      </c>
      <c r="AD418" t="s">
        <v>74</v>
      </c>
      <c r="AE418" t="s">
        <v>74</v>
      </c>
      <c r="AF418" t="s">
        <v>74</v>
      </c>
      <c r="AG418" t="s">
        <v>74</v>
      </c>
      <c r="AH418" t="s">
        <v>74</v>
      </c>
      <c r="AI418" t="s">
        <v>74</v>
      </c>
      <c r="AJ418" t="s">
        <v>74</v>
      </c>
      <c r="AK418" t="s">
        <v>74</v>
      </c>
      <c r="AL418" t="s">
        <v>74</v>
      </c>
      <c r="AM418" t="s">
        <v>74</v>
      </c>
      <c r="AN418" t="s">
        <v>74</v>
      </c>
      <c r="AO418" t="s">
        <v>111</v>
      </c>
      <c r="AP418" t="s">
        <v>112</v>
      </c>
      <c r="AQ418" t="s">
        <v>74</v>
      </c>
      <c r="AR418" t="s">
        <v>74</v>
      </c>
      <c r="AS418" t="s">
        <v>74</v>
      </c>
      <c r="AT418" t="s">
        <v>5875</v>
      </c>
      <c r="AU418">
        <v>2016</v>
      </c>
      <c r="AV418">
        <v>283</v>
      </c>
      <c r="AW418">
        <v>1827</v>
      </c>
      <c r="AX418" t="s">
        <v>74</v>
      </c>
      <c r="AY418" t="s">
        <v>74</v>
      </c>
      <c r="AZ418" t="s">
        <v>74</v>
      </c>
      <c r="BA418" t="s">
        <v>74</v>
      </c>
      <c r="BB418" t="s">
        <v>74</v>
      </c>
      <c r="BC418" t="s">
        <v>74</v>
      </c>
      <c r="BD418">
        <v>20152685</v>
      </c>
      <c r="BE418" t="s">
        <v>5876</v>
      </c>
      <c r="BF418" t="str">
        <f>HYPERLINK("http://dx.doi.org/10.1098/rspb.2015.2685","http://dx.doi.org/10.1098/rspb.2015.2685")</f>
        <v>http://dx.doi.org/10.1098/rspb.2015.2685</v>
      </c>
      <c r="BG418" t="s">
        <v>74</v>
      </c>
      <c r="BH418" t="s">
        <v>74</v>
      </c>
      <c r="BI418" t="s">
        <v>74</v>
      </c>
      <c r="BJ418" t="s">
        <v>74</v>
      </c>
      <c r="BK418" t="s">
        <v>74</v>
      </c>
      <c r="BL418" t="s">
        <v>74</v>
      </c>
      <c r="BM418" t="s">
        <v>74</v>
      </c>
      <c r="BN418">
        <v>27009230</v>
      </c>
      <c r="BO418" t="s">
        <v>74</v>
      </c>
      <c r="BP418" t="s">
        <v>74</v>
      </c>
      <c r="BQ418" t="s">
        <v>74</v>
      </c>
      <c r="BR418" t="s">
        <v>74</v>
      </c>
      <c r="BS418" t="s">
        <v>5877</v>
      </c>
      <c r="BT418" t="str">
        <f>HYPERLINK("https%3A%2F%2Fwww.webofscience.com%2Fwos%2Fwoscc%2Ffull-record%2FWOS:000375732500019","View Full Record in Web of Science")</f>
        <v>View Full Record in Web of Science</v>
      </c>
    </row>
    <row r="419" spans="1:72" x14ac:dyDescent="0.4">
      <c r="A419" t="s">
        <v>72</v>
      </c>
      <c r="B419" t="s">
        <v>6883</v>
      </c>
      <c r="C419" t="s">
        <v>74</v>
      </c>
      <c r="D419" t="s">
        <v>74</v>
      </c>
      <c r="E419" t="s">
        <v>74</v>
      </c>
      <c r="F419" t="s">
        <v>6883</v>
      </c>
      <c r="G419" t="s">
        <v>74</v>
      </c>
      <c r="H419" t="s">
        <v>74</v>
      </c>
      <c r="I419" t="s">
        <v>6884</v>
      </c>
      <c r="J419" t="s">
        <v>4235</v>
      </c>
      <c r="K419" t="s">
        <v>74</v>
      </c>
      <c r="L419" t="s">
        <v>74</v>
      </c>
      <c r="M419" t="s">
        <v>74</v>
      </c>
      <c r="N419" t="s">
        <v>74</v>
      </c>
      <c r="O419" t="s">
        <v>74</v>
      </c>
      <c r="P419" t="s">
        <v>74</v>
      </c>
      <c r="Q419" t="s">
        <v>74</v>
      </c>
      <c r="R419" t="s">
        <v>74</v>
      </c>
      <c r="S419" t="s">
        <v>74</v>
      </c>
      <c r="T419" t="s">
        <v>74</v>
      </c>
      <c r="U419" t="s">
        <v>74</v>
      </c>
      <c r="V419" s="3" t="s">
        <v>6885</v>
      </c>
      <c r="W419" t="s">
        <v>74</v>
      </c>
      <c r="X419" t="s">
        <v>74</v>
      </c>
      <c r="Y419" t="s">
        <v>74</v>
      </c>
      <c r="Z419" t="s">
        <v>74</v>
      </c>
      <c r="AA419" t="s">
        <v>74</v>
      </c>
      <c r="AB419" t="s">
        <v>6886</v>
      </c>
      <c r="AC419" t="s">
        <v>74</v>
      </c>
      <c r="AD419" t="s">
        <v>74</v>
      </c>
      <c r="AE419" t="s">
        <v>74</v>
      </c>
      <c r="AF419" t="s">
        <v>74</v>
      </c>
      <c r="AG419" t="s">
        <v>74</v>
      </c>
      <c r="AH419" t="s">
        <v>74</v>
      </c>
      <c r="AI419" t="s">
        <v>74</v>
      </c>
      <c r="AJ419" t="s">
        <v>74</v>
      </c>
      <c r="AK419" t="s">
        <v>74</v>
      </c>
      <c r="AL419" t="s">
        <v>74</v>
      </c>
      <c r="AM419" t="s">
        <v>74</v>
      </c>
      <c r="AN419" t="s">
        <v>74</v>
      </c>
      <c r="AO419" t="s">
        <v>4239</v>
      </c>
      <c r="AP419" t="s">
        <v>4240</v>
      </c>
      <c r="AQ419" t="s">
        <v>74</v>
      </c>
      <c r="AR419" t="s">
        <v>74</v>
      </c>
      <c r="AS419" t="s">
        <v>74</v>
      </c>
      <c r="AT419" t="s">
        <v>305</v>
      </c>
      <c r="AU419">
        <v>2005</v>
      </c>
      <c r="AV419">
        <v>37</v>
      </c>
      <c r="AW419">
        <v>3</v>
      </c>
      <c r="AX419" t="s">
        <v>74</v>
      </c>
      <c r="AY419" t="s">
        <v>74</v>
      </c>
      <c r="AZ419" t="s">
        <v>74</v>
      </c>
      <c r="BA419" t="s">
        <v>74</v>
      </c>
      <c r="BB419">
        <v>644</v>
      </c>
      <c r="BC419">
        <v>660</v>
      </c>
      <c r="BD419" t="s">
        <v>74</v>
      </c>
      <c r="BE419" t="s">
        <v>6887</v>
      </c>
      <c r="BF419" t="str">
        <f>HYPERLINK("http://dx.doi.org/10.1016/j.ympev.2005.04.026","http://dx.doi.org/10.1016/j.ympev.2005.04.026")</f>
        <v>http://dx.doi.org/10.1016/j.ympev.2005.04.026</v>
      </c>
      <c r="BG419" t="s">
        <v>74</v>
      </c>
      <c r="BH419" t="s">
        <v>74</v>
      </c>
      <c r="BI419" t="s">
        <v>74</v>
      </c>
      <c r="BJ419" t="s">
        <v>74</v>
      </c>
      <c r="BK419" t="s">
        <v>74</v>
      </c>
      <c r="BL419" t="s">
        <v>74</v>
      </c>
      <c r="BM419" t="s">
        <v>74</v>
      </c>
      <c r="BN419">
        <v>16055353</v>
      </c>
      <c r="BO419" t="s">
        <v>74</v>
      </c>
      <c r="BP419" t="s">
        <v>74</v>
      </c>
      <c r="BQ419" t="s">
        <v>74</v>
      </c>
      <c r="BR419" t="s">
        <v>74</v>
      </c>
      <c r="BS419" t="s">
        <v>6888</v>
      </c>
      <c r="BT419" t="str">
        <f>HYPERLINK("https%3A%2F%2Fwww.webofscience.com%2Fwos%2Fwoscc%2Ffull-record%2FWOS:000233658100002","View Full Record in Web of Science")</f>
        <v>View Full Record in Web of Science</v>
      </c>
    </row>
    <row r="420" spans="1:72" x14ac:dyDescent="0.4">
      <c r="A420" t="s">
        <v>72</v>
      </c>
      <c r="B420" t="s">
        <v>4796</v>
      </c>
      <c r="C420" t="s">
        <v>74</v>
      </c>
      <c r="D420" t="s">
        <v>74</v>
      </c>
      <c r="E420" t="s">
        <v>74</v>
      </c>
      <c r="F420" t="s">
        <v>4796</v>
      </c>
      <c r="G420" t="s">
        <v>74</v>
      </c>
      <c r="H420" t="s">
        <v>74</v>
      </c>
      <c r="I420" t="s">
        <v>4797</v>
      </c>
      <c r="J420" t="s">
        <v>691</v>
      </c>
      <c r="K420" t="s">
        <v>74</v>
      </c>
      <c r="L420" t="s">
        <v>74</v>
      </c>
      <c r="M420" t="s">
        <v>74</v>
      </c>
      <c r="N420" t="s">
        <v>74</v>
      </c>
      <c r="O420" t="s">
        <v>74</v>
      </c>
      <c r="P420" t="s">
        <v>74</v>
      </c>
      <c r="Q420" t="s">
        <v>74</v>
      </c>
      <c r="R420" t="s">
        <v>74</v>
      </c>
      <c r="S420" t="s">
        <v>74</v>
      </c>
      <c r="T420" t="s">
        <v>74</v>
      </c>
      <c r="U420" t="s">
        <v>74</v>
      </c>
      <c r="V420" s="3" t="s">
        <v>4798</v>
      </c>
      <c r="W420" t="s">
        <v>74</v>
      </c>
      <c r="X420" t="s">
        <v>74</v>
      </c>
      <c r="Y420" t="s">
        <v>74</v>
      </c>
      <c r="Z420" t="s">
        <v>74</v>
      </c>
      <c r="AA420" t="s">
        <v>4799</v>
      </c>
      <c r="AB420" t="s">
        <v>4800</v>
      </c>
      <c r="AC420" t="s">
        <v>74</v>
      </c>
      <c r="AD420" t="s">
        <v>74</v>
      </c>
      <c r="AE420" t="s">
        <v>74</v>
      </c>
      <c r="AF420" t="s">
        <v>74</v>
      </c>
      <c r="AG420" t="s">
        <v>74</v>
      </c>
      <c r="AH420" t="s">
        <v>74</v>
      </c>
      <c r="AI420" t="s">
        <v>74</v>
      </c>
      <c r="AJ420" t="s">
        <v>74</v>
      </c>
      <c r="AK420" t="s">
        <v>74</v>
      </c>
      <c r="AL420" t="s">
        <v>74</v>
      </c>
      <c r="AM420" t="s">
        <v>74</v>
      </c>
      <c r="AN420" t="s">
        <v>74</v>
      </c>
      <c r="AO420" t="s">
        <v>695</v>
      </c>
      <c r="AP420" t="s">
        <v>74</v>
      </c>
      <c r="AQ420" t="s">
        <v>74</v>
      </c>
      <c r="AR420" t="s">
        <v>74</v>
      </c>
      <c r="AS420" t="s">
        <v>74</v>
      </c>
      <c r="AT420" t="s">
        <v>964</v>
      </c>
      <c r="AU420">
        <v>1994</v>
      </c>
      <c r="AV420">
        <v>55</v>
      </c>
      <c r="AW420">
        <v>2</v>
      </c>
      <c r="AX420" t="s">
        <v>74</v>
      </c>
      <c r="AY420" t="s">
        <v>74</v>
      </c>
      <c r="AZ420" t="s">
        <v>74</v>
      </c>
      <c r="BA420" t="s">
        <v>74</v>
      </c>
      <c r="BB420">
        <v>313</v>
      </c>
      <c r="BC420">
        <v>316</v>
      </c>
      <c r="BD420" t="s">
        <v>74</v>
      </c>
      <c r="BE420" t="s">
        <v>4801</v>
      </c>
      <c r="BF420" t="str">
        <f>HYPERLINK("http://dx.doi.org/10.1016/0031-9384(94)90139-2","http://dx.doi.org/10.1016/0031-9384(94)90139-2")</f>
        <v>http://dx.doi.org/10.1016/0031-9384(94)90139-2</v>
      </c>
      <c r="BG420" t="s">
        <v>74</v>
      </c>
      <c r="BH420" t="s">
        <v>74</v>
      </c>
      <c r="BI420" t="s">
        <v>74</v>
      </c>
      <c r="BJ420" t="s">
        <v>74</v>
      </c>
      <c r="BK420" t="s">
        <v>74</v>
      </c>
      <c r="BL420" t="s">
        <v>74</v>
      </c>
      <c r="BM420" t="s">
        <v>74</v>
      </c>
      <c r="BN420">
        <v>8153171</v>
      </c>
      <c r="BO420" t="s">
        <v>74</v>
      </c>
      <c r="BP420" t="s">
        <v>74</v>
      </c>
      <c r="BQ420" t="s">
        <v>74</v>
      </c>
      <c r="BR420" t="s">
        <v>74</v>
      </c>
      <c r="BS420" t="s">
        <v>4802</v>
      </c>
      <c r="BT420" t="str">
        <f>HYPERLINK("https%3A%2F%2Fwww.webofscience.com%2Fwos%2Fwoscc%2Ffull-record%2FWOS:A1994MV64200016","View Full Record in Web of Science")</f>
        <v>View Full Record in Web of Science</v>
      </c>
    </row>
    <row r="421" spans="1:72" x14ac:dyDescent="0.4">
      <c r="A421" t="s">
        <v>72</v>
      </c>
      <c r="B421" t="s">
        <v>5151</v>
      </c>
      <c r="C421" t="s">
        <v>74</v>
      </c>
      <c r="D421" t="s">
        <v>74</v>
      </c>
      <c r="E421" t="s">
        <v>74</v>
      </c>
      <c r="F421" t="s">
        <v>5152</v>
      </c>
      <c r="G421" t="s">
        <v>74</v>
      </c>
      <c r="H421" t="s">
        <v>74</v>
      </c>
      <c r="I421" t="s">
        <v>5153</v>
      </c>
      <c r="J421" t="s">
        <v>1673</v>
      </c>
      <c r="K421" t="s">
        <v>74</v>
      </c>
      <c r="L421" t="s">
        <v>74</v>
      </c>
      <c r="M421" t="s">
        <v>74</v>
      </c>
      <c r="N421" t="s">
        <v>74</v>
      </c>
      <c r="O421" t="s">
        <v>74</v>
      </c>
      <c r="P421" t="s">
        <v>74</v>
      </c>
      <c r="Q421" t="s">
        <v>74</v>
      </c>
      <c r="R421" t="s">
        <v>74</v>
      </c>
      <c r="S421" t="s">
        <v>74</v>
      </c>
      <c r="T421" t="s">
        <v>74</v>
      </c>
      <c r="U421" t="s">
        <v>74</v>
      </c>
      <c r="V421" s="3" t="s">
        <v>5154</v>
      </c>
      <c r="W421" t="s">
        <v>74</v>
      </c>
      <c r="X421" t="s">
        <v>74</v>
      </c>
      <c r="Y421" t="s">
        <v>74</v>
      </c>
      <c r="Z421" t="s">
        <v>74</v>
      </c>
      <c r="AA421" t="s">
        <v>5155</v>
      </c>
      <c r="AB421" t="s">
        <v>5156</v>
      </c>
      <c r="AC421" t="s">
        <v>74</v>
      </c>
      <c r="AD421" t="s">
        <v>74</v>
      </c>
      <c r="AE421" t="s">
        <v>74</v>
      </c>
      <c r="AF421" t="s">
        <v>74</v>
      </c>
      <c r="AG421" t="s">
        <v>74</v>
      </c>
      <c r="AH421" t="s">
        <v>74</v>
      </c>
      <c r="AI421" t="s">
        <v>74</v>
      </c>
      <c r="AJ421" t="s">
        <v>74</v>
      </c>
      <c r="AK421" t="s">
        <v>74</v>
      </c>
      <c r="AL421" t="s">
        <v>74</v>
      </c>
      <c r="AM421" t="s">
        <v>74</v>
      </c>
      <c r="AN421" t="s">
        <v>74</v>
      </c>
      <c r="AO421" t="s">
        <v>1239</v>
      </c>
      <c r="AP421" t="s">
        <v>1675</v>
      </c>
      <c r="AQ421" t="s">
        <v>74</v>
      </c>
      <c r="AR421" t="s">
        <v>74</v>
      </c>
      <c r="AS421" t="s">
        <v>74</v>
      </c>
      <c r="AT421" t="s">
        <v>305</v>
      </c>
      <c r="AU421">
        <v>2014</v>
      </c>
      <c r="AV421">
        <v>92</v>
      </c>
      <c r="AW421">
        <v>12</v>
      </c>
      <c r="AX421" t="s">
        <v>74</v>
      </c>
      <c r="AY421" t="s">
        <v>74</v>
      </c>
      <c r="AZ421" t="s">
        <v>74</v>
      </c>
      <c r="BA421" t="s">
        <v>74</v>
      </c>
      <c r="BB421">
        <v>1075</v>
      </c>
      <c r="BC421">
        <v>1082</v>
      </c>
      <c r="BD421" t="s">
        <v>74</v>
      </c>
      <c r="BE421" t="s">
        <v>5157</v>
      </c>
      <c r="BF421" t="str">
        <f>HYPERLINK("http://dx.doi.org/10.1139/cjz-2014-0256","http://dx.doi.org/10.1139/cjz-2014-0256")</f>
        <v>http://dx.doi.org/10.1139/cjz-2014-0256</v>
      </c>
      <c r="BG421" t="s">
        <v>74</v>
      </c>
      <c r="BH421" t="s">
        <v>74</v>
      </c>
      <c r="BI421" t="s">
        <v>74</v>
      </c>
      <c r="BJ421" t="s">
        <v>74</v>
      </c>
      <c r="BK421" t="s">
        <v>74</v>
      </c>
      <c r="BL421" t="s">
        <v>74</v>
      </c>
      <c r="BM421" t="s">
        <v>74</v>
      </c>
      <c r="BN421" t="s">
        <v>74</v>
      </c>
      <c r="BO421" t="s">
        <v>74</v>
      </c>
      <c r="BP421" t="s">
        <v>74</v>
      </c>
      <c r="BQ421" t="s">
        <v>74</v>
      </c>
      <c r="BR421" t="s">
        <v>74</v>
      </c>
      <c r="BS421" t="s">
        <v>5158</v>
      </c>
      <c r="BT421" t="str">
        <f>HYPERLINK("https%3A%2F%2Fwww.webofscience.com%2Fwos%2Fwoscc%2Ffull-record%2FWOS:000345617300010","View Full Record in Web of Science")</f>
        <v>View Full Record in Web of Science</v>
      </c>
    </row>
    <row r="422" spans="1:72" x14ac:dyDescent="0.4">
      <c r="A422" t="s">
        <v>72</v>
      </c>
      <c r="B422" t="s">
        <v>3143</v>
      </c>
      <c r="C422" t="s">
        <v>74</v>
      </c>
      <c r="D422" t="s">
        <v>74</v>
      </c>
      <c r="E422" t="s">
        <v>74</v>
      </c>
      <c r="F422" t="s">
        <v>3144</v>
      </c>
      <c r="G422" t="s">
        <v>74</v>
      </c>
      <c r="H422" t="s">
        <v>74</v>
      </c>
      <c r="I422" t="s">
        <v>3145</v>
      </c>
      <c r="J422" t="s">
        <v>456</v>
      </c>
      <c r="K422" t="s">
        <v>74</v>
      </c>
      <c r="L422" t="s">
        <v>74</v>
      </c>
      <c r="M422" t="s">
        <v>74</v>
      </c>
      <c r="N422" t="s">
        <v>74</v>
      </c>
      <c r="O422" t="s">
        <v>74</v>
      </c>
      <c r="P422" t="s">
        <v>74</v>
      </c>
      <c r="Q422" t="s">
        <v>74</v>
      </c>
      <c r="R422" t="s">
        <v>74</v>
      </c>
      <c r="S422" t="s">
        <v>74</v>
      </c>
      <c r="T422" t="s">
        <v>74</v>
      </c>
      <c r="U422" t="s">
        <v>74</v>
      </c>
      <c r="V422" s="3" t="s">
        <v>3146</v>
      </c>
      <c r="W422" t="s">
        <v>74</v>
      </c>
      <c r="X422" t="s">
        <v>74</v>
      </c>
      <c r="Y422" t="s">
        <v>74</v>
      </c>
      <c r="Z422" t="s">
        <v>74</v>
      </c>
      <c r="AA422" t="s">
        <v>3147</v>
      </c>
      <c r="AB422" t="s">
        <v>3148</v>
      </c>
      <c r="AC422" t="s">
        <v>74</v>
      </c>
      <c r="AD422" t="s">
        <v>74</v>
      </c>
      <c r="AE422" t="s">
        <v>74</v>
      </c>
      <c r="AF422" t="s">
        <v>74</v>
      </c>
      <c r="AG422" t="s">
        <v>74</v>
      </c>
      <c r="AH422" t="s">
        <v>74</v>
      </c>
      <c r="AI422" t="s">
        <v>74</v>
      </c>
      <c r="AJ422" t="s">
        <v>74</v>
      </c>
      <c r="AK422" t="s">
        <v>74</v>
      </c>
      <c r="AL422" t="s">
        <v>74</v>
      </c>
      <c r="AM422" t="s">
        <v>74</v>
      </c>
      <c r="AN422" t="s">
        <v>74</v>
      </c>
      <c r="AO422" t="s">
        <v>460</v>
      </c>
      <c r="AP422" t="s">
        <v>461</v>
      </c>
      <c r="AQ422" t="s">
        <v>74</v>
      </c>
      <c r="AR422" t="s">
        <v>74</v>
      </c>
      <c r="AS422" t="s">
        <v>74</v>
      </c>
      <c r="AT422" t="s">
        <v>123</v>
      </c>
      <c r="AU422">
        <v>2020</v>
      </c>
      <c r="AV422">
        <v>310</v>
      </c>
      <c r="AW422">
        <v>3</v>
      </c>
      <c r="AX422" t="s">
        <v>74</v>
      </c>
      <c r="AY422" t="s">
        <v>74</v>
      </c>
      <c r="AZ422" t="s">
        <v>74</v>
      </c>
      <c r="BA422" t="s">
        <v>74</v>
      </c>
      <c r="BB422">
        <v>246</v>
      </c>
      <c r="BC422">
        <v>253</v>
      </c>
      <c r="BD422" t="s">
        <v>74</v>
      </c>
      <c r="BE422" t="s">
        <v>3149</v>
      </c>
      <c r="BF422" t="str">
        <f>HYPERLINK("http://dx.doi.org/10.1111/jzo.12738","http://dx.doi.org/10.1111/jzo.12738")</f>
        <v>http://dx.doi.org/10.1111/jzo.12738</v>
      </c>
      <c r="BG422" t="s">
        <v>74</v>
      </c>
      <c r="BH422" t="s">
        <v>74</v>
      </c>
      <c r="BI422" t="s">
        <v>74</v>
      </c>
      <c r="BJ422" t="s">
        <v>74</v>
      </c>
      <c r="BK422" t="s">
        <v>74</v>
      </c>
      <c r="BL422" t="s">
        <v>74</v>
      </c>
      <c r="BM422" t="s">
        <v>74</v>
      </c>
      <c r="BN422" t="s">
        <v>74</v>
      </c>
      <c r="BO422" t="s">
        <v>74</v>
      </c>
      <c r="BP422" t="s">
        <v>74</v>
      </c>
      <c r="BQ422" t="s">
        <v>74</v>
      </c>
      <c r="BR422" t="s">
        <v>74</v>
      </c>
      <c r="BS422" t="s">
        <v>3150</v>
      </c>
      <c r="BT422" t="str">
        <f>HYPERLINK("https%3A%2F%2Fwww.webofscience.com%2Fwos%2Fwoscc%2Ffull-record%2FWOS:000517127100008","View Full Record in Web of Science")</f>
        <v>View Full Record in Web of Science</v>
      </c>
    </row>
    <row r="423" spans="1:72" x14ac:dyDescent="0.4">
      <c r="A423" t="s">
        <v>72</v>
      </c>
      <c r="B423" t="s">
        <v>6365</v>
      </c>
      <c r="C423" t="s">
        <v>74</v>
      </c>
      <c r="D423" t="s">
        <v>74</v>
      </c>
      <c r="E423" t="s">
        <v>74</v>
      </c>
      <c r="F423" t="s">
        <v>6366</v>
      </c>
      <c r="G423" t="s">
        <v>74</v>
      </c>
      <c r="H423" t="s">
        <v>74</v>
      </c>
      <c r="I423" t="s">
        <v>6367</v>
      </c>
      <c r="J423" t="s">
        <v>140</v>
      </c>
      <c r="K423" t="s">
        <v>74</v>
      </c>
      <c r="L423" t="s">
        <v>74</v>
      </c>
      <c r="M423" t="s">
        <v>74</v>
      </c>
      <c r="N423" t="s">
        <v>74</v>
      </c>
      <c r="O423" t="s">
        <v>74</v>
      </c>
      <c r="P423" t="s">
        <v>74</v>
      </c>
      <c r="Q423" t="s">
        <v>74</v>
      </c>
      <c r="R423" t="s">
        <v>74</v>
      </c>
      <c r="S423" t="s">
        <v>74</v>
      </c>
      <c r="T423" t="s">
        <v>74</v>
      </c>
      <c r="U423" t="s">
        <v>74</v>
      </c>
      <c r="V423" s="3" t="s">
        <v>6368</v>
      </c>
      <c r="W423" t="s">
        <v>74</v>
      </c>
      <c r="X423" t="s">
        <v>74</v>
      </c>
      <c r="Y423" t="s">
        <v>74</v>
      </c>
      <c r="Z423" t="s">
        <v>74</v>
      </c>
      <c r="AA423" t="s">
        <v>74</v>
      </c>
      <c r="AB423" t="s">
        <v>74</v>
      </c>
      <c r="AC423" t="s">
        <v>74</v>
      </c>
      <c r="AD423" t="s">
        <v>74</v>
      </c>
      <c r="AE423" t="s">
        <v>74</v>
      </c>
      <c r="AF423" t="s">
        <v>74</v>
      </c>
      <c r="AG423" t="s">
        <v>74</v>
      </c>
      <c r="AH423" t="s">
        <v>74</v>
      </c>
      <c r="AI423" t="s">
        <v>74</v>
      </c>
      <c r="AJ423" t="s">
        <v>74</v>
      </c>
      <c r="AK423" t="s">
        <v>74</v>
      </c>
      <c r="AL423" t="s">
        <v>74</v>
      </c>
      <c r="AM423" t="s">
        <v>74</v>
      </c>
      <c r="AN423" t="s">
        <v>74</v>
      </c>
      <c r="AO423" t="s">
        <v>143</v>
      </c>
      <c r="AP423" t="s">
        <v>74</v>
      </c>
      <c r="AQ423" t="s">
        <v>74</v>
      </c>
      <c r="AR423" t="s">
        <v>74</v>
      </c>
      <c r="AS423" t="s">
        <v>74</v>
      </c>
      <c r="AT423" t="s">
        <v>175</v>
      </c>
      <c r="AU423">
        <v>2008</v>
      </c>
      <c r="AV423">
        <v>76</v>
      </c>
      <c r="AW423" t="s">
        <v>74</v>
      </c>
      <c r="AX423">
        <v>4</v>
      </c>
      <c r="AY423" t="s">
        <v>74</v>
      </c>
      <c r="AZ423" t="s">
        <v>74</v>
      </c>
      <c r="BA423" t="s">
        <v>74</v>
      </c>
      <c r="BB423">
        <v>1403</v>
      </c>
      <c r="BC423">
        <v>1410</v>
      </c>
      <c r="BD423" t="s">
        <v>74</v>
      </c>
      <c r="BE423" t="s">
        <v>6369</v>
      </c>
      <c r="BF423" t="str">
        <f>HYPERLINK("http://dx.doi.org/10.1016/j.anbehav.2008.06.021","http://dx.doi.org/10.1016/j.anbehav.2008.06.021")</f>
        <v>http://dx.doi.org/10.1016/j.anbehav.2008.06.021</v>
      </c>
      <c r="BG423" t="s">
        <v>74</v>
      </c>
      <c r="BH423" t="s">
        <v>74</v>
      </c>
      <c r="BI423" t="s">
        <v>74</v>
      </c>
      <c r="BJ423" t="s">
        <v>74</v>
      </c>
      <c r="BK423" t="s">
        <v>74</v>
      </c>
      <c r="BL423" t="s">
        <v>74</v>
      </c>
      <c r="BM423" t="s">
        <v>74</v>
      </c>
      <c r="BN423" t="s">
        <v>74</v>
      </c>
      <c r="BO423" t="s">
        <v>74</v>
      </c>
      <c r="BP423" t="s">
        <v>74</v>
      </c>
      <c r="BQ423" t="s">
        <v>74</v>
      </c>
      <c r="BR423" t="s">
        <v>74</v>
      </c>
      <c r="BS423" t="s">
        <v>6370</v>
      </c>
      <c r="BT423" t="str">
        <f>HYPERLINK("https%3A%2F%2Fwww.webofscience.com%2Fwos%2Fwoscc%2Ffull-record%2FWOS:000260118000031","View Full Record in Web of Science")</f>
        <v>View Full Record in Web of Science</v>
      </c>
    </row>
    <row r="424" spans="1:72" x14ac:dyDescent="0.4">
      <c r="A424" t="s">
        <v>72</v>
      </c>
      <c r="B424" t="s">
        <v>2674</v>
      </c>
      <c r="C424" t="s">
        <v>74</v>
      </c>
      <c r="D424" t="s">
        <v>74</v>
      </c>
      <c r="E424" t="s">
        <v>74</v>
      </c>
      <c r="F424" t="s">
        <v>2675</v>
      </c>
      <c r="G424" t="s">
        <v>74</v>
      </c>
      <c r="H424" t="s">
        <v>74</v>
      </c>
      <c r="I424" t="s">
        <v>2676</v>
      </c>
      <c r="J424" t="s">
        <v>2677</v>
      </c>
      <c r="K424" t="s">
        <v>74</v>
      </c>
      <c r="L424" t="s">
        <v>74</v>
      </c>
      <c r="M424" t="s">
        <v>74</v>
      </c>
      <c r="N424" t="s">
        <v>74</v>
      </c>
      <c r="O424" t="s">
        <v>74</v>
      </c>
      <c r="P424" t="s">
        <v>74</v>
      </c>
      <c r="Q424" t="s">
        <v>74</v>
      </c>
      <c r="R424" t="s">
        <v>74</v>
      </c>
      <c r="S424" t="s">
        <v>74</v>
      </c>
      <c r="T424" t="s">
        <v>74</v>
      </c>
      <c r="U424" t="s">
        <v>74</v>
      </c>
      <c r="V424" s="3" t="s">
        <v>2678</v>
      </c>
      <c r="W424" t="s">
        <v>74</v>
      </c>
      <c r="X424" t="s">
        <v>74</v>
      </c>
      <c r="Y424" t="s">
        <v>74</v>
      </c>
      <c r="Z424" t="s">
        <v>74</v>
      </c>
      <c r="AA424" t="s">
        <v>2679</v>
      </c>
      <c r="AB424" t="s">
        <v>2680</v>
      </c>
      <c r="AC424" t="s">
        <v>74</v>
      </c>
      <c r="AD424" t="s">
        <v>74</v>
      </c>
      <c r="AE424" t="s">
        <v>74</v>
      </c>
      <c r="AF424" t="s">
        <v>74</v>
      </c>
      <c r="AG424" t="s">
        <v>74</v>
      </c>
      <c r="AH424" t="s">
        <v>74</v>
      </c>
      <c r="AI424" t="s">
        <v>74</v>
      </c>
      <c r="AJ424" t="s">
        <v>74</v>
      </c>
      <c r="AK424" t="s">
        <v>74</v>
      </c>
      <c r="AL424" t="s">
        <v>74</v>
      </c>
      <c r="AM424" t="s">
        <v>74</v>
      </c>
      <c r="AN424" t="s">
        <v>74</v>
      </c>
      <c r="AO424" t="s">
        <v>2681</v>
      </c>
      <c r="AP424" t="s">
        <v>2682</v>
      </c>
      <c r="AQ424" t="s">
        <v>74</v>
      </c>
      <c r="AR424" t="s">
        <v>74</v>
      </c>
      <c r="AS424" t="s">
        <v>74</v>
      </c>
      <c r="AT424" t="s">
        <v>74</v>
      </c>
      <c r="AU424">
        <v>2013</v>
      </c>
      <c r="AV424">
        <v>6</v>
      </c>
      <c r="AW424">
        <v>2</v>
      </c>
      <c r="AX424" t="s">
        <v>74</v>
      </c>
      <c r="AY424" t="s">
        <v>74</v>
      </c>
      <c r="AZ424" t="s">
        <v>74</v>
      </c>
      <c r="BA424" t="s">
        <v>74</v>
      </c>
      <c r="BB424">
        <v>147</v>
      </c>
      <c r="BC424">
        <v>156</v>
      </c>
      <c r="BD424" t="s">
        <v>74</v>
      </c>
      <c r="BE424" t="s">
        <v>2683</v>
      </c>
      <c r="BF424" t="str">
        <f>HYPERLINK("http://dx.doi.org/10.3184/175815513X13617279883973","http://dx.doi.org/10.3184/175815513X13617279883973")</f>
        <v>http://dx.doi.org/10.3184/175815513X13617279883973</v>
      </c>
      <c r="BG424" t="s">
        <v>74</v>
      </c>
      <c r="BH424" t="s">
        <v>74</v>
      </c>
      <c r="BI424" t="s">
        <v>74</v>
      </c>
      <c r="BJ424" t="s">
        <v>74</v>
      </c>
      <c r="BK424" t="s">
        <v>74</v>
      </c>
      <c r="BL424" t="s">
        <v>74</v>
      </c>
      <c r="BM424" t="s">
        <v>74</v>
      </c>
      <c r="BN424" t="s">
        <v>74</v>
      </c>
      <c r="BO424" t="s">
        <v>74</v>
      </c>
      <c r="BP424" t="s">
        <v>74</v>
      </c>
      <c r="BQ424" t="s">
        <v>74</v>
      </c>
      <c r="BR424" t="s">
        <v>74</v>
      </c>
      <c r="BS424" t="s">
        <v>2684</v>
      </c>
      <c r="BT424" t="str">
        <f>HYPERLINK("https%3A%2F%2Fwww.webofscience.com%2Fwos%2Fwoscc%2Ffull-record%2FWOS:000318967100007","View Full Record in Web of Science")</f>
        <v>View Full Record in Web of Science</v>
      </c>
    </row>
    <row r="425" spans="1:72" x14ac:dyDescent="0.4">
      <c r="A425" t="s">
        <v>72</v>
      </c>
      <c r="B425" t="s">
        <v>3627</v>
      </c>
      <c r="C425" t="s">
        <v>74</v>
      </c>
      <c r="D425" t="s">
        <v>74</v>
      </c>
      <c r="E425" t="s">
        <v>74</v>
      </c>
      <c r="F425" t="s">
        <v>3628</v>
      </c>
      <c r="G425" t="s">
        <v>74</v>
      </c>
      <c r="H425" t="s">
        <v>74</v>
      </c>
      <c r="I425" t="s">
        <v>3629</v>
      </c>
      <c r="J425" t="s">
        <v>2901</v>
      </c>
      <c r="K425" t="s">
        <v>74</v>
      </c>
      <c r="L425" t="s">
        <v>74</v>
      </c>
      <c r="M425" t="s">
        <v>74</v>
      </c>
      <c r="N425" t="s">
        <v>74</v>
      </c>
      <c r="O425" t="s">
        <v>74</v>
      </c>
      <c r="P425" t="s">
        <v>74</v>
      </c>
      <c r="Q425" t="s">
        <v>74</v>
      </c>
      <c r="R425" t="s">
        <v>74</v>
      </c>
      <c r="S425" t="s">
        <v>74</v>
      </c>
      <c r="T425" t="s">
        <v>74</v>
      </c>
      <c r="U425" t="s">
        <v>74</v>
      </c>
      <c r="V425" s="3" t="s">
        <v>3630</v>
      </c>
      <c r="W425" t="s">
        <v>74</v>
      </c>
      <c r="X425" t="s">
        <v>74</v>
      </c>
      <c r="Y425" t="s">
        <v>74</v>
      </c>
      <c r="Z425" t="s">
        <v>74</v>
      </c>
      <c r="AA425" t="s">
        <v>74</v>
      </c>
      <c r="AB425" t="s">
        <v>2504</v>
      </c>
      <c r="AC425" t="s">
        <v>74</v>
      </c>
      <c r="AD425" t="s">
        <v>74</v>
      </c>
      <c r="AE425" t="s">
        <v>74</v>
      </c>
      <c r="AF425" t="s">
        <v>74</v>
      </c>
      <c r="AG425" t="s">
        <v>74</v>
      </c>
      <c r="AH425" t="s">
        <v>74</v>
      </c>
      <c r="AI425" t="s">
        <v>74</v>
      </c>
      <c r="AJ425" t="s">
        <v>74</v>
      </c>
      <c r="AK425" t="s">
        <v>74</v>
      </c>
      <c r="AL425" t="s">
        <v>74</v>
      </c>
      <c r="AM425" t="s">
        <v>74</v>
      </c>
      <c r="AN425" t="s">
        <v>74</v>
      </c>
      <c r="AO425" t="s">
        <v>2903</v>
      </c>
      <c r="AP425" t="s">
        <v>2904</v>
      </c>
      <c r="AQ425" t="s">
        <v>74</v>
      </c>
      <c r="AR425" t="s">
        <v>74</v>
      </c>
      <c r="AS425" t="s">
        <v>74</v>
      </c>
      <c r="AT425" t="s">
        <v>3631</v>
      </c>
      <c r="AU425">
        <v>2013</v>
      </c>
      <c r="AV425">
        <v>25</v>
      </c>
      <c r="AW425">
        <v>2</v>
      </c>
      <c r="AX425" t="s">
        <v>74</v>
      </c>
      <c r="AY425" t="s">
        <v>74</v>
      </c>
      <c r="AZ425" t="s">
        <v>74</v>
      </c>
      <c r="BA425" t="s">
        <v>74</v>
      </c>
      <c r="BB425">
        <v>161</v>
      </c>
      <c r="BC425">
        <v>173</v>
      </c>
      <c r="BD425" t="s">
        <v>74</v>
      </c>
      <c r="BE425" t="s">
        <v>3632</v>
      </c>
      <c r="BF425" t="str">
        <f>HYPERLINK("http://dx.doi.org/10.1080/03949370.2012.742464","http://dx.doi.org/10.1080/03949370.2012.742464")</f>
        <v>http://dx.doi.org/10.1080/03949370.2012.742464</v>
      </c>
      <c r="BG425" t="s">
        <v>74</v>
      </c>
      <c r="BH425" t="s">
        <v>74</v>
      </c>
      <c r="BI425" t="s">
        <v>74</v>
      </c>
      <c r="BJ425" t="s">
        <v>74</v>
      </c>
      <c r="BK425" t="s">
        <v>74</v>
      </c>
      <c r="BL425" t="s">
        <v>74</v>
      </c>
      <c r="BM425" t="s">
        <v>74</v>
      </c>
      <c r="BN425" t="s">
        <v>74</v>
      </c>
      <c r="BO425" t="s">
        <v>74</v>
      </c>
      <c r="BP425" t="s">
        <v>74</v>
      </c>
      <c r="BQ425" t="s">
        <v>74</v>
      </c>
      <c r="BR425" t="s">
        <v>74</v>
      </c>
      <c r="BS425" t="s">
        <v>3633</v>
      </c>
      <c r="BT425" t="str">
        <f>HYPERLINK("https%3A%2F%2Fwww.webofscience.com%2Fwos%2Fwoscc%2Ffull-record%2FWOS:000317742200005","View Full Record in Web of Science")</f>
        <v>View Full Record in Web of Science</v>
      </c>
    </row>
    <row r="426" spans="1:72" x14ac:dyDescent="0.4">
      <c r="A426" t="s">
        <v>72</v>
      </c>
      <c r="B426" t="s">
        <v>2500</v>
      </c>
      <c r="C426" t="s">
        <v>74</v>
      </c>
      <c r="D426" t="s">
        <v>74</v>
      </c>
      <c r="E426" t="s">
        <v>74</v>
      </c>
      <c r="F426" t="s">
        <v>2500</v>
      </c>
      <c r="G426" t="s">
        <v>74</v>
      </c>
      <c r="H426" t="s">
        <v>74</v>
      </c>
      <c r="I426" t="s">
        <v>2501</v>
      </c>
      <c r="J426" t="s">
        <v>140</v>
      </c>
      <c r="K426" t="s">
        <v>74</v>
      </c>
      <c r="L426" t="s">
        <v>74</v>
      </c>
      <c r="M426" t="s">
        <v>74</v>
      </c>
      <c r="N426" t="s">
        <v>74</v>
      </c>
      <c r="O426" t="s">
        <v>74</v>
      </c>
      <c r="P426" t="s">
        <v>74</v>
      </c>
      <c r="Q426" t="s">
        <v>74</v>
      </c>
      <c r="R426" t="s">
        <v>74</v>
      </c>
      <c r="S426" t="s">
        <v>74</v>
      </c>
      <c r="T426" t="s">
        <v>74</v>
      </c>
      <c r="U426" t="s">
        <v>74</v>
      </c>
      <c r="V426" s="3" t="s">
        <v>2502</v>
      </c>
      <c r="W426" t="s">
        <v>74</v>
      </c>
      <c r="X426" t="s">
        <v>74</v>
      </c>
      <c r="Y426" t="s">
        <v>74</v>
      </c>
      <c r="Z426" t="s">
        <v>74</v>
      </c>
      <c r="AA426" t="s">
        <v>2503</v>
      </c>
      <c r="AB426" t="s">
        <v>2504</v>
      </c>
      <c r="AC426" t="s">
        <v>74</v>
      </c>
      <c r="AD426" t="s">
        <v>74</v>
      </c>
      <c r="AE426" t="s">
        <v>74</v>
      </c>
      <c r="AF426" t="s">
        <v>74</v>
      </c>
      <c r="AG426" t="s">
        <v>74</v>
      </c>
      <c r="AH426" t="s">
        <v>74</v>
      </c>
      <c r="AI426" t="s">
        <v>74</v>
      </c>
      <c r="AJ426" t="s">
        <v>74</v>
      </c>
      <c r="AK426" t="s">
        <v>74</v>
      </c>
      <c r="AL426" t="s">
        <v>74</v>
      </c>
      <c r="AM426" t="s">
        <v>74</v>
      </c>
      <c r="AN426" t="s">
        <v>74</v>
      </c>
      <c r="AO426" t="s">
        <v>143</v>
      </c>
      <c r="AP426" t="s">
        <v>74</v>
      </c>
      <c r="AQ426" t="s">
        <v>74</v>
      </c>
      <c r="AR426" t="s">
        <v>74</v>
      </c>
      <c r="AS426" t="s">
        <v>74</v>
      </c>
      <c r="AT426" t="s">
        <v>255</v>
      </c>
      <c r="AU426">
        <v>1995</v>
      </c>
      <c r="AV426">
        <v>49</v>
      </c>
      <c r="AW426">
        <v>1</v>
      </c>
      <c r="AX426" t="s">
        <v>74</v>
      </c>
      <c r="AY426" t="s">
        <v>74</v>
      </c>
      <c r="AZ426" t="s">
        <v>74</v>
      </c>
      <c r="BA426" t="s">
        <v>74</v>
      </c>
      <c r="BB426">
        <v>53</v>
      </c>
      <c r="BC426">
        <v>62</v>
      </c>
      <c r="BD426" t="s">
        <v>74</v>
      </c>
      <c r="BE426" t="s">
        <v>2505</v>
      </c>
      <c r="BF426" t="str">
        <f>HYPERLINK("http://dx.doi.org/10.1016/0003-3472(95)80153-7","http://dx.doi.org/10.1016/0003-3472(95)80153-7")</f>
        <v>http://dx.doi.org/10.1016/0003-3472(95)80153-7</v>
      </c>
      <c r="BG426" t="s">
        <v>74</v>
      </c>
      <c r="BH426" t="s">
        <v>74</v>
      </c>
      <c r="BI426" t="s">
        <v>74</v>
      </c>
      <c r="BJ426" t="s">
        <v>74</v>
      </c>
      <c r="BK426" t="s">
        <v>74</v>
      </c>
      <c r="BL426" t="s">
        <v>74</v>
      </c>
      <c r="BM426" t="s">
        <v>74</v>
      </c>
      <c r="BN426" t="s">
        <v>74</v>
      </c>
      <c r="BO426" t="s">
        <v>74</v>
      </c>
      <c r="BP426" t="s">
        <v>74</v>
      </c>
      <c r="BQ426" t="s">
        <v>74</v>
      </c>
      <c r="BR426" t="s">
        <v>74</v>
      </c>
      <c r="BS426" t="s">
        <v>2506</v>
      </c>
      <c r="BT426" t="str">
        <f>HYPERLINK("https%3A%2F%2Fwww.webofscience.com%2Fwos%2Fwoscc%2Ffull-record%2FWOS:A1995QC44700006","View Full Record in Web of Science")</f>
        <v>View Full Record in Web of Science</v>
      </c>
    </row>
    <row r="427" spans="1:72" x14ac:dyDescent="0.4">
      <c r="A427" t="s">
        <v>72</v>
      </c>
      <c r="B427" t="s">
        <v>6492</v>
      </c>
      <c r="C427" t="s">
        <v>74</v>
      </c>
      <c r="D427" t="s">
        <v>74</v>
      </c>
      <c r="E427" t="s">
        <v>74</v>
      </c>
      <c r="F427" t="s">
        <v>6492</v>
      </c>
      <c r="G427" t="s">
        <v>74</v>
      </c>
      <c r="H427" t="s">
        <v>74</v>
      </c>
      <c r="I427" t="s">
        <v>6493</v>
      </c>
      <c r="J427" t="s">
        <v>140</v>
      </c>
      <c r="K427" t="s">
        <v>74</v>
      </c>
      <c r="L427" t="s">
        <v>74</v>
      </c>
      <c r="M427" t="s">
        <v>74</v>
      </c>
      <c r="N427" t="s">
        <v>74</v>
      </c>
      <c r="O427" t="s">
        <v>74</v>
      </c>
      <c r="P427" t="s">
        <v>74</v>
      </c>
      <c r="Q427" t="s">
        <v>74</v>
      </c>
      <c r="R427" t="s">
        <v>74</v>
      </c>
      <c r="S427" t="s">
        <v>74</v>
      </c>
      <c r="T427" t="s">
        <v>74</v>
      </c>
      <c r="U427" t="s">
        <v>74</v>
      </c>
      <c r="V427" s="3" t="s">
        <v>6494</v>
      </c>
      <c r="W427" t="s">
        <v>74</v>
      </c>
      <c r="X427" t="s">
        <v>74</v>
      </c>
      <c r="Y427" t="s">
        <v>74</v>
      </c>
      <c r="Z427" t="s">
        <v>74</v>
      </c>
      <c r="AA427" t="s">
        <v>74</v>
      </c>
      <c r="AB427" t="s">
        <v>74</v>
      </c>
      <c r="AC427" t="s">
        <v>74</v>
      </c>
      <c r="AD427" t="s">
        <v>74</v>
      </c>
      <c r="AE427" t="s">
        <v>74</v>
      </c>
      <c r="AF427" t="s">
        <v>74</v>
      </c>
      <c r="AG427" t="s">
        <v>74</v>
      </c>
      <c r="AH427" t="s">
        <v>74</v>
      </c>
      <c r="AI427" t="s">
        <v>74</v>
      </c>
      <c r="AJ427" t="s">
        <v>74</v>
      </c>
      <c r="AK427" t="s">
        <v>74</v>
      </c>
      <c r="AL427" t="s">
        <v>74</v>
      </c>
      <c r="AM427" t="s">
        <v>74</v>
      </c>
      <c r="AN427" t="s">
        <v>74</v>
      </c>
      <c r="AO427" t="s">
        <v>143</v>
      </c>
      <c r="AP427" t="s">
        <v>144</v>
      </c>
      <c r="AQ427" t="s">
        <v>74</v>
      </c>
      <c r="AR427" t="s">
        <v>74</v>
      </c>
      <c r="AS427" t="s">
        <v>74</v>
      </c>
      <c r="AT427" t="s">
        <v>964</v>
      </c>
      <c r="AU427">
        <v>1986</v>
      </c>
      <c r="AV427">
        <v>34</v>
      </c>
      <c r="AW427" t="s">
        <v>74</v>
      </c>
      <c r="AX427">
        <v>1</v>
      </c>
      <c r="AY427" t="s">
        <v>74</v>
      </c>
      <c r="AZ427" t="s">
        <v>74</v>
      </c>
      <c r="BA427" t="s">
        <v>74</v>
      </c>
      <c r="BB427">
        <v>69</v>
      </c>
      <c r="BC427">
        <v>76</v>
      </c>
      <c r="BD427" t="s">
        <v>74</v>
      </c>
      <c r="BE427" t="s">
        <v>6495</v>
      </c>
      <c r="BF427" t="str">
        <f>HYPERLINK("http://dx.doi.org/10.1016/0003-3472(86)90007-2","http://dx.doi.org/10.1016/0003-3472(86)90007-2")</f>
        <v>http://dx.doi.org/10.1016/0003-3472(86)90007-2</v>
      </c>
      <c r="BG427" t="s">
        <v>74</v>
      </c>
      <c r="BH427" t="s">
        <v>74</v>
      </c>
      <c r="BI427" t="s">
        <v>74</v>
      </c>
      <c r="BJ427" t="s">
        <v>74</v>
      </c>
      <c r="BK427" t="s">
        <v>74</v>
      </c>
      <c r="BL427" t="s">
        <v>74</v>
      </c>
      <c r="BM427" t="s">
        <v>74</v>
      </c>
      <c r="BN427" t="s">
        <v>74</v>
      </c>
      <c r="BO427" t="s">
        <v>74</v>
      </c>
      <c r="BP427" t="s">
        <v>74</v>
      </c>
      <c r="BQ427" t="s">
        <v>74</v>
      </c>
      <c r="BR427" t="s">
        <v>74</v>
      </c>
      <c r="BS427" t="s">
        <v>6496</v>
      </c>
      <c r="BT427" t="str">
        <f>HYPERLINK("https%3A%2F%2Fwww.webofscience.com%2Fwos%2Fwoscc%2Ffull-record%2FWOS:A1986AZF6400007","View Full Record in Web of Science")</f>
        <v>View Full Record in Web of Science</v>
      </c>
    </row>
    <row r="428" spans="1:72" x14ac:dyDescent="0.4">
      <c r="A428" t="s">
        <v>72</v>
      </c>
      <c r="B428" t="s">
        <v>3225</v>
      </c>
      <c r="C428" t="s">
        <v>74</v>
      </c>
      <c r="D428" t="s">
        <v>74</v>
      </c>
      <c r="E428" t="s">
        <v>74</v>
      </c>
      <c r="F428" t="s">
        <v>3226</v>
      </c>
      <c r="G428" t="s">
        <v>74</v>
      </c>
      <c r="H428" t="s">
        <v>74</v>
      </c>
      <c r="I428" t="s">
        <v>3227</v>
      </c>
      <c r="J428" t="s">
        <v>1112</v>
      </c>
      <c r="K428" t="s">
        <v>74</v>
      </c>
      <c r="L428" t="s">
        <v>74</v>
      </c>
      <c r="M428" t="s">
        <v>74</v>
      </c>
      <c r="N428" t="s">
        <v>74</v>
      </c>
      <c r="O428" t="s">
        <v>74</v>
      </c>
      <c r="P428" t="s">
        <v>74</v>
      </c>
      <c r="Q428" t="s">
        <v>74</v>
      </c>
      <c r="R428" t="s">
        <v>74</v>
      </c>
      <c r="S428" t="s">
        <v>74</v>
      </c>
      <c r="T428" t="s">
        <v>74</v>
      </c>
      <c r="U428" t="s">
        <v>74</v>
      </c>
      <c r="V428" s="3" t="s">
        <v>3228</v>
      </c>
      <c r="W428" t="s">
        <v>74</v>
      </c>
      <c r="X428" t="s">
        <v>74</v>
      </c>
      <c r="Y428" t="s">
        <v>74</v>
      </c>
      <c r="Z428" t="s">
        <v>74</v>
      </c>
      <c r="AA428" t="s">
        <v>74</v>
      </c>
      <c r="AB428" t="s">
        <v>3229</v>
      </c>
      <c r="AC428" t="s">
        <v>74</v>
      </c>
      <c r="AD428" t="s">
        <v>74</v>
      </c>
      <c r="AE428" t="s">
        <v>74</v>
      </c>
      <c r="AF428" t="s">
        <v>74</v>
      </c>
      <c r="AG428" t="s">
        <v>74</v>
      </c>
      <c r="AH428" t="s">
        <v>74</v>
      </c>
      <c r="AI428" t="s">
        <v>74</v>
      </c>
      <c r="AJ428" t="s">
        <v>74</v>
      </c>
      <c r="AK428" t="s">
        <v>74</v>
      </c>
      <c r="AL428" t="s">
        <v>74</v>
      </c>
      <c r="AM428" t="s">
        <v>74</v>
      </c>
      <c r="AN428" t="s">
        <v>74</v>
      </c>
      <c r="AO428" t="s">
        <v>1114</v>
      </c>
      <c r="AP428" t="s">
        <v>1115</v>
      </c>
      <c r="AQ428" t="s">
        <v>74</v>
      </c>
      <c r="AR428" t="s">
        <v>74</v>
      </c>
      <c r="AS428" t="s">
        <v>74</v>
      </c>
      <c r="AT428" t="s">
        <v>352</v>
      </c>
      <c r="AU428">
        <v>2014</v>
      </c>
      <c r="AV428">
        <v>158</v>
      </c>
      <c r="AW428" t="s">
        <v>74</v>
      </c>
      <c r="AX428" t="s">
        <v>74</v>
      </c>
      <c r="AY428" t="s">
        <v>74</v>
      </c>
      <c r="AZ428" t="s">
        <v>74</v>
      </c>
      <c r="BA428" t="s">
        <v>74</v>
      </c>
      <c r="BB428">
        <v>76</v>
      </c>
      <c r="BC428">
        <v>85</v>
      </c>
      <c r="BD428" t="s">
        <v>74</v>
      </c>
      <c r="BE428" t="s">
        <v>3230</v>
      </c>
      <c r="BF428" t="str">
        <f>HYPERLINK("http://dx.doi.org/10.1016/j.applanim.2014.06.008","http://dx.doi.org/10.1016/j.applanim.2014.06.008")</f>
        <v>http://dx.doi.org/10.1016/j.applanim.2014.06.008</v>
      </c>
      <c r="BG428" t="s">
        <v>74</v>
      </c>
      <c r="BH428" t="s">
        <v>74</v>
      </c>
      <c r="BI428" t="s">
        <v>74</v>
      </c>
      <c r="BJ428" t="s">
        <v>74</v>
      </c>
      <c r="BK428" t="s">
        <v>74</v>
      </c>
      <c r="BL428" t="s">
        <v>74</v>
      </c>
      <c r="BM428" t="s">
        <v>74</v>
      </c>
      <c r="BN428" t="s">
        <v>74</v>
      </c>
      <c r="BO428" t="s">
        <v>74</v>
      </c>
      <c r="BP428" t="s">
        <v>74</v>
      </c>
      <c r="BQ428" t="s">
        <v>74</v>
      </c>
      <c r="BR428" t="s">
        <v>74</v>
      </c>
      <c r="BS428" t="s">
        <v>3231</v>
      </c>
      <c r="BT428" t="str">
        <f>HYPERLINK("https%3A%2F%2Fwww.webofscience.com%2Fwos%2Fwoscc%2Ffull-record%2FWOS:000341480200009","View Full Record in Web of Science")</f>
        <v>View Full Record in Web of Science</v>
      </c>
    </row>
    <row r="429" spans="1:72" x14ac:dyDescent="0.4">
      <c r="A429" t="s">
        <v>72</v>
      </c>
      <c r="B429" t="s">
        <v>4129</v>
      </c>
      <c r="C429" t="s">
        <v>74</v>
      </c>
      <c r="D429" t="s">
        <v>74</v>
      </c>
      <c r="E429" t="s">
        <v>74</v>
      </c>
      <c r="F429" t="s">
        <v>4130</v>
      </c>
      <c r="G429" t="s">
        <v>74</v>
      </c>
      <c r="H429" t="s">
        <v>74</v>
      </c>
      <c r="I429" t="s">
        <v>4131</v>
      </c>
      <c r="J429" t="s">
        <v>610</v>
      </c>
      <c r="K429" t="s">
        <v>74</v>
      </c>
      <c r="L429" t="s">
        <v>74</v>
      </c>
      <c r="M429" t="s">
        <v>74</v>
      </c>
      <c r="N429" t="s">
        <v>74</v>
      </c>
      <c r="O429" t="s">
        <v>74</v>
      </c>
      <c r="P429" t="s">
        <v>74</v>
      </c>
      <c r="Q429" t="s">
        <v>74</v>
      </c>
      <c r="R429" t="s">
        <v>74</v>
      </c>
      <c r="S429" t="s">
        <v>74</v>
      </c>
      <c r="T429" t="s">
        <v>74</v>
      </c>
      <c r="U429" t="s">
        <v>74</v>
      </c>
      <c r="V429" s="3" t="s">
        <v>4132</v>
      </c>
      <c r="W429" t="s">
        <v>74</v>
      </c>
      <c r="X429" t="s">
        <v>74</v>
      </c>
      <c r="Y429" t="s">
        <v>74</v>
      </c>
      <c r="Z429" t="s">
        <v>74</v>
      </c>
      <c r="AA429" t="s">
        <v>4133</v>
      </c>
      <c r="AB429" t="s">
        <v>4134</v>
      </c>
      <c r="AC429" t="s">
        <v>74</v>
      </c>
      <c r="AD429" t="s">
        <v>74</v>
      </c>
      <c r="AE429" t="s">
        <v>74</v>
      </c>
      <c r="AF429" t="s">
        <v>74</v>
      </c>
      <c r="AG429" t="s">
        <v>74</v>
      </c>
      <c r="AH429" t="s">
        <v>74</v>
      </c>
      <c r="AI429" t="s">
        <v>74</v>
      </c>
      <c r="AJ429" t="s">
        <v>74</v>
      </c>
      <c r="AK429" t="s">
        <v>74</v>
      </c>
      <c r="AL429" t="s">
        <v>74</v>
      </c>
      <c r="AM429" t="s">
        <v>74</v>
      </c>
      <c r="AN429" t="s">
        <v>74</v>
      </c>
      <c r="AO429" t="s">
        <v>614</v>
      </c>
      <c r="AP429" t="s">
        <v>615</v>
      </c>
      <c r="AQ429" t="s">
        <v>74</v>
      </c>
      <c r="AR429" t="s">
        <v>74</v>
      </c>
      <c r="AS429" t="s">
        <v>74</v>
      </c>
      <c r="AT429" t="s">
        <v>213</v>
      </c>
      <c r="AU429">
        <v>2017</v>
      </c>
      <c r="AV429">
        <v>123</v>
      </c>
      <c r="AW429">
        <v>11</v>
      </c>
      <c r="AX429" t="s">
        <v>74</v>
      </c>
      <c r="AY429" t="s">
        <v>74</v>
      </c>
      <c r="AZ429" t="s">
        <v>74</v>
      </c>
      <c r="BA429" t="s">
        <v>74</v>
      </c>
      <c r="BB429">
        <v>875</v>
      </c>
      <c r="BC429">
        <v>884</v>
      </c>
      <c r="BD429" t="s">
        <v>74</v>
      </c>
      <c r="BE429" t="s">
        <v>4135</v>
      </c>
      <c r="BF429" t="str">
        <f>HYPERLINK("http://dx.doi.org/10.1111/eth.12664","http://dx.doi.org/10.1111/eth.12664")</f>
        <v>http://dx.doi.org/10.1111/eth.12664</v>
      </c>
      <c r="BG429" t="s">
        <v>74</v>
      </c>
      <c r="BH429" t="s">
        <v>74</v>
      </c>
      <c r="BI429" t="s">
        <v>74</v>
      </c>
      <c r="BJ429" t="s">
        <v>74</v>
      </c>
      <c r="BK429" t="s">
        <v>74</v>
      </c>
      <c r="BL429" t="s">
        <v>74</v>
      </c>
      <c r="BM429" t="s">
        <v>74</v>
      </c>
      <c r="BN429" t="s">
        <v>74</v>
      </c>
      <c r="BO429" t="s">
        <v>74</v>
      </c>
      <c r="BP429" t="s">
        <v>74</v>
      </c>
      <c r="BQ429" t="s">
        <v>74</v>
      </c>
      <c r="BR429" t="s">
        <v>74</v>
      </c>
      <c r="BS429" t="s">
        <v>4136</v>
      </c>
      <c r="BT429" t="str">
        <f>HYPERLINK("https%3A%2F%2Fwww.webofscience.com%2Fwos%2Fwoscc%2Ffull-record%2FWOS:000414036700013","View Full Record in Web of Science")</f>
        <v>View Full Record in Web of Science</v>
      </c>
    </row>
    <row r="430" spans="1:72" x14ac:dyDescent="0.4">
      <c r="A430" t="s">
        <v>72</v>
      </c>
      <c r="B430" t="s">
        <v>342</v>
      </c>
      <c r="C430" t="s">
        <v>74</v>
      </c>
      <c r="D430" t="s">
        <v>74</v>
      </c>
      <c r="E430" t="s">
        <v>74</v>
      </c>
      <c r="F430" t="s">
        <v>342</v>
      </c>
      <c r="G430" t="s">
        <v>74</v>
      </c>
      <c r="H430" t="s">
        <v>74</v>
      </c>
      <c r="I430" t="s">
        <v>343</v>
      </c>
      <c r="J430" t="s">
        <v>344</v>
      </c>
      <c r="K430" t="s">
        <v>74</v>
      </c>
      <c r="L430" t="s">
        <v>74</v>
      </c>
      <c r="M430" t="s">
        <v>74</v>
      </c>
      <c r="N430" t="s">
        <v>74</v>
      </c>
      <c r="O430" t="s">
        <v>74</v>
      </c>
      <c r="P430" t="s">
        <v>74</v>
      </c>
      <c r="Q430" t="s">
        <v>74</v>
      </c>
      <c r="R430" t="s">
        <v>74</v>
      </c>
      <c r="S430" t="s">
        <v>74</v>
      </c>
      <c r="T430" t="s">
        <v>74</v>
      </c>
      <c r="U430" t="s">
        <v>74</v>
      </c>
      <c r="V430" s="3" t="s">
        <v>345</v>
      </c>
      <c r="W430" t="s">
        <v>74</v>
      </c>
      <c r="X430" t="s">
        <v>74</v>
      </c>
      <c r="Y430" t="s">
        <v>74</v>
      </c>
      <c r="Z430" t="s">
        <v>74</v>
      </c>
      <c r="AA430" t="s">
        <v>74</v>
      </c>
      <c r="AB430" t="s">
        <v>74</v>
      </c>
      <c r="AC430" t="s">
        <v>74</v>
      </c>
      <c r="AD430" t="s">
        <v>74</v>
      </c>
      <c r="AE430" t="s">
        <v>74</v>
      </c>
      <c r="AF430" t="s">
        <v>74</v>
      </c>
      <c r="AG430" t="s">
        <v>74</v>
      </c>
      <c r="AH430" t="s">
        <v>74</v>
      </c>
      <c r="AI430" t="s">
        <v>74</v>
      </c>
      <c r="AJ430" t="s">
        <v>74</v>
      </c>
      <c r="AK430" t="s">
        <v>74</v>
      </c>
      <c r="AL430" t="s">
        <v>74</v>
      </c>
      <c r="AM430" t="s">
        <v>74</v>
      </c>
      <c r="AN430" t="s">
        <v>74</v>
      </c>
      <c r="AO430" t="s">
        <v>346</v>
      </c>
      <c r="AP430" t="s">
        <v>74</v>
      </c>
      <c r="AQ430" t="s">
        <v>74</v>
      </c>
      <c r="AR430" t="s">
        <v>74</v>
      </c>
      <c r="AS430" t="s">
        <v>74</v>
      </c>
      <c r="AT430" t="s">
        <v>255</v>
      </c>
      <c r="AU430">
        <v>1995</v>
      </c>
      <c r="AV430">
        <v>42</v>
      </c>
      <c r="AW430">
        <v>1</v>
      </c>
      <c r="AX430" t="s">
        <v>74</v>
      </c>
      <c r="AY430" t="s">
        <v>74</v>
      </c>
      <c r="AZ430" t="s">
        <v>74</v>
      </c>
      <c r="BA430" t="s">
        <v>74</v>
      </c>
      <c r="BB430">
        <v>25</v>
      </c>
      <c r="BC430">
        <v>35</v>
      </c>
      <c r="BD430" t="s">
        <v>74</v>
      </c>
      <c r="BE430" t="s">
        <v>347</v>
      </c>
      <c r="BF430" t="str">
        <f>HYPERLINK("http://dx.doi.org/10.1007/BF00002348","http://dx.doi.org/10.1007/BF00002348")</f>
        <v>http://dx.doi.org/10.1007/BF00002348</v>
      </c>
      <c r="BG430" t="s">
        <v>74</v>
      </c>
      <c r="BH430" t="s">
        <v>74</v>
      </c>
      <c r="BI430" t="s">
        <v>74</v>
      </c>
      <c r="BJ430" t="s">
        <v>74</v>
      </c>
      <c r="BK430" t="s">
        <v>74</v>
      </c>
      <c r="BL430" t="s">
        <v>74</v>
      </c>
      <c r="BM430" t="s">
        <v>74</v>
      </c>
      <c r="BN430" t="s">
        <v>74</v>
      </c>
      <c r="BO430" t="s">
        <v>74</v>
      </c>
      <c r="BP430" t="s">
        <v>74</v>
      </c>
      <c r="BQ430" t="s">
        <v>74</v>
      </c>
      <c r="BR430" t="s">
        <v>74</v>
      </c>
      <c r="BS430" t="s">
        <v>348</v>
      </c>
      <c r="BT430" t="str">
        <f>HYPERLINK("https%3A%2F%2Fwww.webofscience.com%2Fwos%2Fwoscc%2Ffull-record%2FWOS:A1995QG52700004","View Full Record in Web of Science")</f>
        <v>View Full Record in Web of Science</v>
      </c>
    </row>
    <row r="431" spans="1:72" x14ac:dyDescent="0.4">
      <c r="A431" t="s">
        <v>72</v>
      </c>
      <c r="B431" t="s">
        <v>342</v>
      </c>
      <c r="C431" t="s">
        <v>74</v>
      </c>
      <c r="D431" t="s">
        <v>74</v>
      </c>
      <c r="E431" t="s">
        <v>74</v>
      </c>
      <c r="F431" t="s">
        <v>342</v>
      </c>
      <c r="G431" t="s">
        <v>74</v>
      </c>
      <c r="H431" t="s">
        <v>74</v>
      </c>
      <c r="I431" t="s">
        <v>1125</v>
      </c>
      <c r="J431" t="s">
        <v>1126</v>
      </c>
      <c r="K431" t="s">
        <v>74</v>
      </c>
      <c r="L431" t="s">
        <v>74</v>
      </c>
      <c r="M431" t="s">
        <v>74</v>
      </c>
      <c r="N431" t="s">
        <v>74</v>
      </c>
      <c r="O431" t="s">
        <v>74</v>
      </c>
      <c r="P431" t="s">
        <v>74</v>
      </c>
      <c r="Q431" t="s">
        <v>74</v>
      </c>
      <c r="R431" t="s">
        <v>74</v>
      </c>
      <c r="S431" t="s">
        <v>74</v>
      </c>
      <c r="T431" t="s">
        <v>74</v>
      </c>
      <c r="U431" t="s">
        <v>74</v>
      </c>
      <c r="V431" s="3" t="s">
        <v>1127</v>
      </c>
      <c r="W431" t="s">
        <v>74</v>
      </c>
      <c r="X431" t="s">
        <v>74</v>
      </c>
      <c r="Y431" t="s">
        <v>74</v>
      </c>
      <c r="Z431" t="s">
        <v>74</v>
      </c>
      <c r="AA431" t="s">
        <v>74</v>
      </c>
      <c r="AB431" t="s">
        <v>74</v>
      </c>
      <c r="AC431" t="s">
        <v>74</v>
      </c>
      <c r="AD431" t="s">
        <v>74</v>
      </c>
      <c r="AE431" t="s">
        <v>74</v>
      </c>
      <c r="AF431" t="s">
        <v>74</v>
      </c>
      <c r="AG431" t="s">
        <v>74</v>
      </c>
      <c r="AH431" t="s">
        <v>74</v>
      </c>
      <c r="AI431" t="s">
        <v>74</v>
      </c>
      <c r="AJ431" t="s">
        <v>74</v>
      </c>
      <c r="AK431" t="s">
        <v>74</v>
      </c>
      <c r="AL431" t="s">
        <v>74</v>
      </c>
      <c r="AM431" t="s">
        <v>74</v>
      </c>
      <c r="AN431" t="s">
        <v>74</v>
      </c>
      <c r="AO431" t="s">
        <v>1128</v>
      </c>
      <c r="AP431" t="s">
        <v>1129</v>
      </c>
      <c r="AQ431" t="s">
        <v>74</v>
      </c>
      <c r="AR431" t="s">
        <v>74</v>
      </c>
      <c r="AS431" t="s">
        <v>74</v>
      </c>
      <c r="AT431" t="s">
        <v>1130</v>
      </c>
      <c r="AU431">
        <v>1993</v>
      </c>
      <c r="AV431" t="s">
        <v>74</v>
      </c>
      <c r="AW431">
        <v>1</v>
      </c>
      <c r="AX431" t="s">
        <v>74</v>
      </c>
      <c r="AY431" t="s">
        <v>74</v>
      </c>
      <c r="AZ431" t="s">
        <v>74</v>
      </c>
      <c r="BA431" t="s">
        <v>74</v>
      </c>
      <c r="BB431">
        <v>67</v>
      </c>
      <c r="BC431">
        <v>74</v>
      </c>
      <c r="BD431" t="s">
        <v>74</v>
      </c>
      <c r="BE431" t="s">
        <v>1131</v>
      </c>
      <c r="BF431" t="str">
        <f>HYPERLINK("http://dx.doi.org/10.2307/1446296","http://dx.doi.org/10.2307/1446296")</f>
        <v>http://dx.doi.org/10.2307/1446296</v>
      </c>
      <c r="BG431" t="s">
        <v>74</v>
      </c>
      <c r="BH431" t="s">
        <v>74</v>
      </c>
      <c r="BI431" t="s">
        <v>74</v>
      </c>
      <c r="BJ431" t="s">
        <v>74</v>
      </c>
      <c r="BK431" t="s">
        <v>74</v>
      </c>
      <c r="BL431" t="s">
        <v>74</v>
      </c>
      <c r="BM431" t="s">
        <v>74</v>
      </c>
      <c r="BN431" t="s">
        <v>74</v>
      </c>
      <c r="BO431" t="s">
        <v>74</v>
      </c>
      <c r="BP431" t="s">
        <v>74</v>
      </c>
      <c r="BQ431" t="s">
        <v>74</v>
      </c>
      <c r="BR431" t="s">
        <v>74</v>
      </c>
      <c r="BS431" t="s">
        <v>1132</v>
      </c>
      <c r="BT431" t="str">
        <f>HYPERLINK("https%3A%2F%2Fwww.webofscience.com%2Fwos%2Fwoscc%2Ffull-record%2FWOS:A1993KN22000006","View Full Record in Web of Science")</f>
        <v>View Full Record in Web of Science</v>
      </c>
    </row>
    <row r="432" spans="1:72" x14ac:dyDescent="0.4">
      <c r="A432" t="s">
        <v>72</v>
      </c>
      <c r="B432" t="s">
        <v>6025</v>
      </c>
      <c r="C432" t="s">
        <v>74</v>
      </c>
      <c r="D432" t="s">
        <v>74</v>
      </c>
      <c r="E432" t="s">
        <v>74</v>
      </c>
      <c r="F432" t="s">
        <v>6026</v>
      </c>
      <c r="G432" t="s">
        <v>74</v>
      </c>
      <c r="H432" t="s">
        <v>74</v>
      </c>
      <c r="I432" t="s">
        <v>6027</v>
      </c>
      <c r="J432" t="s">
        <v>4727</v>
      </c>
      <c r="K432" t="s">
        <v>74</v>
      </c>
      <c r="L432" t="s">
        <v>74</v>
      </c>
      <c r="M432" t="s">
        <v>74</v>
      </c>
      <c r="N432" t="s">
        <v>74</v>
      </c>
      <c r="O432" t="s">
        <v>74</v>
      </c>
      <c r="P432" t="s">
        <v>74</v>
      </c>
      <c r="Q432" t="s">
        <v>74</v>
      </c>
      <c r="R432" t="s">
        <v>74</v>
      </c>
      <c r="S432" t="s">
        <v>74</v>
      </c>
      <c r="T432" t="s">
        <v>74</v>
      </c>
      <c r="U432" t="s">
        <v>74</v>
      </c>
      <c r="V432" s="3" t="s">
        <v>6028</v>
      </c>
      <c r="W432" t="s">
        <v>74</v>
      </c>
      <c r="X432" t="s">
        <v>74</v>
      </c>
      <c r="Y432" t="s">
        <v>74</v>
      </c>
      <c r="Z432" t="s">
        <v>74</v>
      </c>
      <c r="AA432" t="s">
        <v>74</v>
      </c>
      <c r="AB432" t="s">
        <v>6029</v>
      </c>
      <c r="AC432" t="s">
        <v>74</v>
      </c>
      <c r="AD432" t="s">
        <v>74</v>
      </c>
      <c r="AE432" t="s">
        <v>74</v>
      </c>
      <c r="AF432" t="s">
        <v>74</v>
      </c>
      <c r="AG432" t="s">
        <v>74</v>
      </c>
      <c r="AH432" t="s">
        <v>74</v>
      </c>
      <c r="AI432" t="s">
        <v>74</v>
      </c>
      <c r="AJ432" t="s">
        <v>74</v>
      </c>
      <c r="AK432" t="s">
        <v>74</v>
      </c>
      <c r="AL432" t="s">
        <v>74</v>
      </c>
      <c r="AM432" t="s">
        <v>74</v>
      </c>
      <c r="AN432" t="s">
        <v>74</v>
      </c>
      <c r="AO432" t="s">
        <v>74</v>
      </c>
      <c r="AP432" t="s">
        <v>4730</v>
      </c>
      <c r="AQ432" t="s">
        <v>74</v>
      </c>
      <c r="AR432" t="s">
        <v>74</v>
      </c>
      <c r="AS432" t="s">
        <v>74</v>
      </c>
      <c r="AT432" t="s">
        <v>123</v>
      </c>
      <c r="AU432">
        <v>2024</v>
      </c>
      <c r="AV432">
        <v>5</v>
      </c>
      <c r="AW432">
        <v>1</v>
      </c>
      <c r="AX432" t="s">
        <v>74</v>
      </c>
      <c r="AY432" t="s">
        <v>74</v>
      </c>
      <c r="AZ432" t="s">
        <v>74</v>
      </c>
      <c r="BA432" t="s">
        <v>74</v>
      </c>
      <c r="BB432">
        <v>173</v>
      </c>
      <c r="BC432">
        <v>189</v>
      </c>
      <c r="BD432" t="s">
        <v>74</v>
      </c>
      <c r="BE432" t="s">
        <v>6030</v>
      </c>
      <c r="BF432" t="str">
        <f>HYPERLINK("http://dx.doi.org/10.3390/birds5010012","http://dx.doi.org/10.3390/birds5010012")</f>
        <v>http://dx.doi.org/10.3390/birds5010012</v>
      </c>
      <c r="BG432" t="s">
        <v>74</v>
      </c>
      <c r="BH432" t="s">
        <v>74</v>
      </c>
      <c r="BI432" t="s">
        <v>74</v>
      </c>
      <c r="BJ432" t="s">
        <v>74</v>
      </c>
      <c r="BK432" t="s">
        <v>74</v>
      </c>
      <c r="BL432" t="s">
        <v>74</v>
      </c>
      <c r="BM432" t="s">
        <v>74</v>
      </c>
      <c r="BN432" t="s">
        <v>74</v>
      </c>
      <c r="BO432" t="s">
        <v>74</v>
      </c>
      <c r="BP432" t="s">
        <v>74</v>
      </c>
      <c r="BQ432" t="s">
        <v>74</v>
      </c>
      <c r="BR432" t="s">
        <v>74</v>
      </c>
      <c r="BS432" t="s">
        <v>6031</v>
      </c>
      <c r="BT432" t="str">
        <f>HYPERLINK("https%3A%2F%2Fwww.webofscience.com%2Fwos%2Fwoscc%2Ffull-record%2FWOS:001191523100001","View Full Record in Web of Science")</f>
        <v>View Full Record in Web of Science</v>
      </c>
    </row>
    <row r="433" spans="1:72" x14ac:dyDescent="0.4">
      <c r="A433" t="s">
        <v>72</v>
      </c>
      <c r="B433" t="s">
        <v>6099</v>
      </c>
      <c r="C433" t="s">
        <v>74</v>
      </c>
      <c r="D433" t="s">
        <v>74</v>
      </c>
      <c r="E433" t="s">
        <v>74</v>
      </c>
      <c r="F433" t="s">
        <v>6100</v>
      </c>
      <c r="G433" t="s">
        <v>74</v>
      </c>
      <c r="H433" t="s">
        <v>74</v>
      </c>
      <c r="I433" t="s">
        <v>6101</v>
      </c>
      <c r="J433" t="s">
        <v>333</v>
      </c>
      <c r="K433" t="s">
        <v>74</v>
      </c>
      <c r="L433" t="s">
        <v>74</v>
      </c>
      <c r="M433" t="s">
        <v>74</v>
      </c>
      <c r="N433" t="s">
        <v>74</v>
      </c>
      <c r="O433" t="s">
        <v>74</v>
      </c>
      <c r="P433" t="s">
        <v>74</v>
      </c>
      <c r="Q433" t="s">
        <v>74</v>
      </c>
      <c r="R433" t="s">
        <v>74</v>
      </c>
      <c r="S433" t="s">
        <v>74</v>
      </c>
      <c r="T433" t="s">
        <v>74</v>
      </c>
      <c r="U433" t="s">
        <v>74</v>
      </c>
      <c r="V433" s="3" t="s">
        <v>6102</v>
      </c>
      <c r="W433" t="s">
        <v>74</v>
      </c>
      <c r="X433" t="s">
        <v>74</v>
      </c>
      <c r="Y433" t="s">
        <v>74</v>
      </c>
      <c r="Z433" t="s">
        <v>74</v>
      </c>
      <c r="AA433" t="s">
        <v>6103</v>
      </c>
      <c r="AB433" t="s">
        <v>1012</v>
      </c>
      <c r="AC433" t="s">
        <v>74</v>
      </c>
      <c r="AD433" t="s">
        <v>74</v>
      </c>
      <c r="AE433" t="s">
        <v>74</v>
      </c>
      <c r="AF433" t="s">
        <v>74</v>
      </c>
      <c r="AG433" t="s">
        <v>74</v>
      </c>
      <c r="AH433" t="s">
        <v>74</v>
      </c>
      <c r="AI433" t="s">
        <v>74</v>
      </c>
      <c r="AJ433" t="s">
        <v>74</v>
      </c>
      <c r="AK433" t="s">
        <v>74</v>
      </c>
      <c r="AL433" t="s">
        <v>74</v>
      </c>
      <c r="AM433" t="s">
        <v>74</v>
      </c>
      <c r="AN433" t="s">
        <v>74</v>
      </c>
      <c r="AO433" t="s">
        <v>337</v>
      </c>
      <c r="AP433" t="s">
        <v>338</v>
      </c>
      <c r="AQ433" t="s">
        <v>74</v>
      </c>
      <c r="AR433" t="s">
        <v>74</v>
      </c>
      <c r="AS433" t="s">
        <v>74</v>
      </c>
      <c r="AT433" t="s">
        <v>808</v>
      </c>
      <c r="AU433">
        <v>2014</v>
      </c>
      <c r="AV433">
        <v>25</v>
      </c>
      <c r="AW433">
        <v>3</v>
      </c>
      <c r="AX433" t="s">
        <v>74</v>
      </c>
      <c r="AY433" t="s">
        <v>74</v>
      </c>
      <c r="AZ433" t="s">
        <v>74</v>
      </c>
      <c r="BA433" t="s">
        <v>74</v>
      </c>
      <c r="BB433" t="s">
        <v>74</v>
      </c>
      <c r="BC433" t="s">
        <v>74</v>
      </c>
      <c r="BD433" t="s">
        <v>74</v>
      </c>
      <c r="BE433" t="s">
        <v>6104</v>
      </c>
      <c r="BF433" t="str">
        <f>HYPERLINK("http://dx.doi.org/10.1093/beheco/aru034","http://dx.doi.org/10.1093/beheco/aru034")</f>
        <v>http://dx.doi.org/10.1093/beheco/aru034</v>
      </c>
      <c r="BG433" t="s">
        <v>74</v>
      </c>
      <c r="BH433" t="s">
        <v>74</v>
      </c>
      <c r="BI433" t="s">
        <v>74</v>
      </c>
      <c r="BJ433" t="s">
        <v>74</v>
      </c>
      <c r="BK433" t="s">
        <v>74</v>
      </c>
      <c r="BL433" t="s">
        <v>74</v>
      </c>
      <c r="BM433" t="s">
        <v>74</v>
      </c>
      <c r="BN433" t="s">
        <v>74</v>
      </c>
      <c r="BO433" t="s">
        <v>74</v>
      </c>
      <c r="BP433" t="s">
        <v>74</v>
      </c>
      <c r="BQ433" t="s">
        <v>74</v>
      </c>
      <c r="BR433" t="s">
        <v>74</v>
      </c>
      <c r="BS433" t="s">
        <v>6105</v>
      </c>
      <c r="BT433" t="str">
        <f>HYPERLINK("https%3A%2F%2Fwww.webofscience.com%2Fwos%2Fwoscc%2Ffull-record%2FWOS:000336486100029","View Full Record in Web of Science")</f>
        <v>View Full Record in Web of Science</v>
      </c>
    </row>
    <row r="434" spans="1:72" x14ac:dyDescent="0.4">
      <c r="A434" t="s">
        <v>72</v>
      </c>
      <c r="B434" t="s">
        <v>3023</v>
      </c>
      <c r="C434" t="s">
        <v>74</v>
      </c>
      <c r="D434" t="s">
        <v>74</v>
      </c>
      <c r="E434" t="s">
        <v>74</v>
      </c>
      <c r="F434" t="s">
        <v>3024</v>
      </c>
      <c r="G434" t="s">
        <v>74</v>
      </c>
      <c r="H434" t="s">
        <v>74</v>
      </c>
      <c r="I434" t="s">
        <v>3025</v>
      </c>
      <c r="J434" t="s">
        <v>3026</v>
      </c>
      <c r="K434" t="s">
        <v>74</v>
      </c>
      <c r="L434" t="s">
        <v>74</v>
      </c>
      <c r="M434" t="s">
        <v>74</v>
      </c>
      <c r="N434" t="s">
        <v>74</v>
      </c>
      <c r="O434" t="s">
        <v>74</v>
      </c>
      <c r="P434" t="s">
        <v>74</v>
      </c>
      <c r="Q434" t="s">
        <v>74</v>
      </c>
      <c r="R434" t="s">
        <v>74</v>
      </c>
      <c r="S434" t="s">
        <v>74</v>
      </c>
      <c r="T434" t="s">
        <v>74</v>
      </c>
      <c r="U434" t="s">
        <v>74</v>
      </c>
      <c r="V434" s="3" t="s">
        <v>3027</v>
      </c>
      <c r="W434" t="s">
        <v>74</v>
      </c>
      <c r="X434" t="s">
        <v>74</v>
      </c>
      <c r="Y434" t="s">
        <v>74</v>
      </c>
      <c r="Z434" t="s">
        <v>74</v>
      </c>
      <c r="AA434" t="s">
        <v>3028</v>
      </c>
      <c r="AB434" t="s">
        <v>3029</v>
      </c>
      <c r="AC434" t="s">
        <v>74</v>
      </c>
      <c r="AD434" t="s">
        <v>74</v>
      </c>
      <c r="AE434" t="s">
        <v>74</v>
      </c>
      <c r="AF434" t="s">
        <v>74</v>
      </c>
      <c r="AG434" t="s">
        <v>74</v>
      </c>
      <c r="AH434" t="s">
        <v>74</v>
      </c>
      <c r="AI434" t="s">
        <v>74</v>
      </c>
      <c r="AJ434" t="s">
        <v>74</v>
      </c>
      <c r="AK434" t="s">
        <v>74</v>
      </c>
      <c r="AL434" t="s">
        <v>74</v>
      </c>
      <c r="AM434" t="s">
        <v>74</v>
      </c>
      <c r="AN434" t="s">
        <v>74</v>
      </c>
      <c r="AO434" t="s">
        <v>3030</v>
      </c>
      <c r="AP434" t="s">
        <v>74</v>
      </c>
      <c r="AQ434" t="s">
        <v>74</v>
      </c>
      <c r="AR434" t="s">
        <v>74</v>
      </c>
      <c r="AS434" t="s">
        <v>74</v>
      </c>
      <c r="AT434" t="s">
        <v>175</v>
      </c>
      <c r="AU434">
        <v>2023</v>
      </c>
      <c r="AV434">
        <v>12</v>
      </c>
      <c r="AW434">
        <v>10</v>
      </c>
      <c r="AX434" t="s">
        <v>74</v>
      </c>
      <c r="AY434" t="s">
        <v>74</v>
      </c>
      <c r="AZ434" t="s">
        <v>74</v>
      </c>
      <c r="BA434" t="s">
        <v>74</v>
      </c>
      <c r="BB434" t="s">
        <v>74</v>
      </c>
      <c r="BC434" t="s">
        <v>74</v>
      </c>
      <c r="BD434" t="s">
        <v>3031</v>
      </c>
      <c r="BE434" t="s">
        <v>3032</v>
      </c>
      <c r="BF434" t="str">
        <f>HYPERLINK("http://dx.doi.org/10.1242/bio.060114","http://dx.doi.org/10.1242/bio.060114")</f>
        <v>http://dx.doi.org/10.1242/bio.060114</v>
      </c>
      <c r="BG434" t="s">
        <v>74</v>
      </c>
      <c r="BH434" t="s">
        <v>74</v>
      </c>
      <c r="BI434" t="s">
        <v>74</v>
      </c>
      <c r="BJ434" t="s">
        <v>74</v>
      </c>
      <c r="BK434" t="s">
        <v>74</v>
      </c>
      <c r="BL434" t="s">
        <v>74</v>
      </c>
      <c r="BM434" t="s">
        <v>74</v>
      </c>
      <c r="BN434">
        <v>37756597</v>
      </c>
      <c r="BO434" t="s">
        <v>74</v>
      </c>
      <c r="BP434" t="s">
        <v>74</v>
      </c>
      <c r="BQ434" t="s">
        <v>74</v>
      </c>
      <c r="BR434" t="s">
        <v>74</v>
      </c>
      <c r="BS434" t="s">
        <v>3033</v>
      </c>
      <c r="BT434" t="str">
        <f>HYPERLINK("https%3A%2F%2Fwww.webofscience.com%2Fwos%2Fwoscc%2Ffull-record%2FWOS:001108722600005","View Full Record in Web of Science")</f>
        <v>View Full Record in Web of Science</v>
      </c>
    </row>
    <row r="435" spans="1:72" x14ac:dyDescent="0.4">
      <c r="A435" t="s">
        <v>72</v>
      </c>
      <c r="B435" t="s">
        <v>3946</v>
      </c>
      <c r="C435" t="s">
        <v>74</v>
      </c>
      <c r="D435" t="s">
        <v>74</v>
      </c>
      <c r="E435" t="s">
        <v>74</v>
      </c>
      <c r="F435" t="s">
        <v>3947</v>
      </c>
      <c r="G435" t="s">
        <v>74</v>
      </c>
      <c r="H435" t="s">
        <v>74</v>
      </c>
      <c r="I435" t="s">
        <v>3948</v>
      </c>
      <c r="J435" t="s">
        <v>88</v>
      </c>
      <c r="K435" t="s">
        <v>74</v>
      </c>
      <c r="L435" t="s">
        <v>74</v>
      </c>
      <c r="M435" t="s">
        <v>74</v>
      </c>
      <c r="N435" t="s">
        <v>74</v>
      </c>
      <c r="O435" t="s">
        <v>74</v>
      </c>
      <c r="P435" t="s">
        <v>74</v>
      </c>
      <c r="Q435" t="s">
        <v>74</v>
      </c>
      <c r="R435" t="s">
        <v>74</v>
      </c>
      <c r="S435" t="s">
        <v>74</v>
      </c>
      <c r="T435" t="s">
        <v>74</v>
      </c>
      <c r="U435" t="s">
        <v>74</v>
      </c>
      <c r="V435" s="3" t="s">
        <v>3949</v>
      </c>
      <c r="W435" t="s">
        <v>74</v>
      </c>
      <c r="X435" t="s">
        <v>74</v>
      </c>
      <c r="Y435" t="s">
        <v>74</v>
      </c>
      <c r="Z435" t="s">
        <v>74</v>
      </c>
      <c r="AA435" t="s">
        <v>74</v>
      </c>
      <c r="AB435" t="s">
        <v>74</v>
      </c>
      <c r="AC435" t="s">
        <v>74</v>
      </c>
      <c r="AD435" t="s">
        <v>74</v>
      </c>
      <c r="AE435" t="s">
        <v>74</v>
      </c>
      <c r="AF435" t="s">
        <v>74</v>
      </c>
      <c r="AG435" t="s">
        <v>74</v>
      </c>
      <c r="AH435" t="s">
        <v>74</v>
      </c>
      <c r="AI435" t="s">
        <v>74</v>
      </c>
      <c r="AJ435" t="s">
        <v>74</v>
      </c>
      <c r="AK435" t="s">
        <v>74</v>
      </c>
      <c r="AL435" t="s">
        <v>74</v>
      </c>
      <c r="AM435" t="s">
        <v>74</v>
      </c>
      <c r="AN435" t="s">
        <v>74</v>
      </c>
      <c r="AO435" t="s">
        <v>91</v>
      </c>
      <c r="AP435" t="s">
        <v>92</v>
      </c>
      <c r="AQ435" t="s">
        <v>74</v>
      </c>
      <c r="AR435" t="s">
        <v>74</v>
      </c>
      <c r="AS435" t="s">
        <v>74</v>
      </c>
      <c r="AT435" t="s">
        <v>3950</v>
      </c>
      <c r="AU435">
        <v>2006</v>
      </c>
      <c r="AV435">
        <v>2</v>
      </c>
      <c r="AW435">
        <v>2</v>
      </c>
      <c r="AX435" t="s">
        <v>74</v>
      </c>
      <c r="AY435" t="s">
        <v>74</v>
      </c>
      <c r="AZ435" t="s">
        <v>74</v>
      </c>
      <c r="BA435" t="s">
        <v>74</v>
      </c>
      <c r="BB435">
        <v>177</v>
      </c>
      <c r="BC435">
        <v>180</v>
      </c>
      <c r="BD435" t="s">
        <v>74</v>
      </c>
      <c r="BE435" t="s">
        <v>3951</v>
      </c>
      <c r="BF435" t="str">
        <f>HYPERLINK("http://dx.doi.org/10.1098/rsbl.2005.0438","http://dx.doi.org/10.1098/rsbl.2005.0438")</f>
        <v>http://dx.doi.org/10.1098/rsbl.2005.0438</v>
      </c>
      <c r="BG435" t="s">
        <v>74</v>
      </c>
      <c r="BH435" t="s">
        <v>74</v>
      </c>
      <c r="BI435" t="s">
        <v>74</v>
      </c>
      <c r="BJ435" t="s">
        <v>74</v>
      </c>
      <c r="BK435" t="s">
        <v>74</v>
      </c>
      <c r="BL435" t="s">
        <v>74</v>
      </c>
      <c r="BM435" t="s">
        <v>74</v>
      </c>
      <c r="BN435">
        <v>17148357</v>
      </c>
      <c r="BO435" t="s">
        <v>74</v>
      </c>
      <c r="BP435" t="s">
        <v>74</v>
      </c>
      <c r="BQ435" t="s">
        <v>74</v>
      </c>
      <c r="BR435" t="s">
        <v>74</v>
      </c>
      <c r="BS435" t="s">
        <v>3952</v>
      </c>
      <c r="BT435" t="str">
        <f>HYPERLINK("https%3A%2F%2Fwww.webofscience.com%2Fwos%2Fwoscc%2Ffull-record%2FWOS:000241862500005","View Full Record in Web of Science")</f>
        <v>View Full Record in Web of Science</v>
      </c>
    </row>
    <row r="436" spans="1:72" x14ac:dyDescent="0.4">
      <c r="A436" t="s">
        <v>72</v>
      </c>
      <c r="B436" t="s">
        <v>7849</v>
      </c>
      <c r="C436" t="s">
        <v>74</v>
      </c>
      <c r="D436" t="s">
        <v>74</v>
      </c>
      <c r="E436" t="s">
        <v>74</v>
      </c>
      <c r="F436" t="s">
        <v>7850</v>
      </c>
      <c r="G436" t="s">
        <v>74</v>
      </c>
      <c r="H436" t="s">
        <v>74</v>
      </c>
      <c r="I436" t="s">
        <v>7851</v>
      </c>
      <c r="J436" t="s">
        <v>218</v>
      </c>
      <c r="K436" t="s">
        <v>74</v>
      </c>
      <c r="L436" t="s">
        <v>74</v>
      </c>
      <c r="M436" t="s">
        <v>74</v>
      </c>
      <c r="N436" t="s">
        <v>74</v>
      </c>
      <c r="O436" t="s">
        <v>74</v>
      </c>
      <c r="P436" t="s">
        <v>74</v>
      </c>
      <c r="Q436" t="s">
        <v>74</v>
      </c>
      <c r="R436" t="s">
        <v>74</v>
      </c>
      <c r="S436" t="s">
        <v>74</v>
      </c>
      <c r="T436" t="s">
        <v>74</v>
      </c>
      <c r="U436" t="s">
        <v>74</v>
      </c>
      <c r="V436" s="3" t="s">
        <v>7852</v>
      </c>
      <c r="W436" t="s">
        <v>74</v>
      </c>
      <c r="X436" t="s">
        <v>74</v>
      </c>
      <c r="Y436" t="s">
        <v>74</v>
      </c>
      <c r="Z436" t="s">
        <v>74</v>
      </c>
      <c r="AA436" t="s">
        <v>7853</v>
      </c>
      <c r="AB436" t="s">
        <v>7854</v>
      </c>
      <c r="AC436" t="s">
        <v>74</v>
      </c>
      <c r="AD436" t="s">
        <v>74</v>
      </c>
      <c r="AE436" t="s">
        <v>74</v>
      </c>
      <c r="AF436" t="s">
        <v>74</v>
      </c>
      <c r="AG436" t="s">
        <v>74</v>
      </c>
      <c r="AH436" t="s">
        <v>74</v>
      </c>
      <c r="AI436" t="s">
        <v>74</v>
      </c>
      <c r="AJ436" t="s">
        <v>74</v>
      </c>
      <c r="AK436" t="s">
        <v>74</v>
      </c>
      <c r="AL436" t="s">
        <v>74</v>
      </c>
      <c r="AM436" t="s">
        <v>74</v>
      </c>
      <c r="AN436" t="s">
        <v>74</v>
      </c>
      <c r="AO436" t="s">
        <v>221</v>
      </c>
      <c r="AP436" t="s">
        <v>222</v>
      </c>
      <c r="AQ436" t="s">
        <v>74</v>
      </c>
      <c r="AR436" t="s">
        <v>74</v>
      </c>
      <c r="AS436" t="s">
        <v>74</v>
      </c>
      <c r="AT436" t="s">
        <v>123</v>
      </c>
      <c r="AU436">
        <v>2023</v>
      </c>
      <c r="AV436">
        <v>36</v>
      </c>
      <c r="AW436">
        <v>3</v>
      </c>
      <c r="AX436" t="s">
        <v>74</v>
      </c>
      <c r="AY436" t="s">
        <v>74</v>
      </c>
      <c r="AZ436" t="s">
        <v>74</v>
      </c>
      <c r="BA436" t="s">
        <v>74</v>
      </c>
      <c r="BB436">
        <v>563</v>
      </c>
      <c r="BC436">
        <v>578</v>
      </c>
      <c r="BD436" t="s">
        <v>74</v>
      </c>
      <c r="BE436" t="s">
        <v>7855</v>
      </c>
      <c r="BF436" t="str">
        <f>HYPERLINK("http://dx.doi.org/10.1111/jeb.14151","http://dx.doi.org/10.1111/jeb.14151")</f>
        <v>http://dx.doi.org/10.1111/jeb.14151</v>
      </c>
      <c r="BG436" t="s">
        <v>74</v>
      </c>
      <c r="BH436" t="s">
        <v>3048</v>
      </c>
      <c r="BI436" t="s">
        <v>74</v>
      </c>
      <c r="BJ436" t="s">
        <v>74</v>
      </c>
      <c r="BK436" t="s">
        <v>74</v>
      </c>
      <c r="BL436" t="s">
        <v>74</v>
      </c>
      <c r="BM436" t="s">
        <v>74</v>
      </c>
      <c r="BN436">
        <v>36702779</v>
      </c>
      <c r="BO436" t="s">
        <v>74</v>
      </c>
      <c r="BP436" t="s">
        <v>74</v>
      </c>
      <c r="BQ436" t="s">
        <v>74</v>
      </c>
      <c r="BR436" t="s">
        <v>74</v>
      </c>
      <c r="BS436" t="s">
        <v>7856</v>
      </c>
      <c r="BT436" t="str">
        <f>HYPERLINK("https%3A%2F%2Fwww.webofscience.com%2Fwos%2Fwoscc%2Ffull-record%2FWOS:000922981900001","View Full Record in Web of Science")</f>
        <v>View Full Record in Web of Science</v>
      </c>
    </row>
    <row r="437" spans="1:72" x14ac:dyDescent="0.4">
      <c r="A437" t="s">
        <v>72</v>
      </c>
      <c r="B437" t="s">
        <v>7529</v>
      </c>
      <c r="C437" t="s">
        <v>74</v>
      </c>
      <c r="D437" t="s">
        <v>74</v>
      </c>
      <c r="E437" t="s">
        <v>74</v>
      </c>
      <c r="F437" t="s">
        <v>7529</v>
      </c>
      <c r="G437" t="s">
        <v>74</v>
      </c>
      <c r="H437" t="s">
        <v>74</v>
      </c>
      <c r="I437" t="s">
        <v>7530</v>
      </c>
      <c r="J437" t="s">
        <v>4145</v>
      </c>
      <c r="K437" t="s">
        <v>74</v>
      </c>
      <c r="L437" t="s">
        <v>74</v>
      </c>
      <c r="M437" t="s">
        <v>74</v>
      </c>
      <c r="N437" t="s">
        <v>74</v>
      </c>
      <c r="O437" t="s">
        <v>74</v>
      </c>
      <c r="P437" t="s">
        <v>74</v>
      </c>
      <c r="Q437" t="s">
        <v>74</v>
      </c>
      <c r="R437" t="s">
        <v>74</v>
      </c>
      <c r="S437" t="s">
        <v>74</v>
      </c>
      <c r="T437" t="s">
        <v>74</v>
      </c>
      <c r="U437" t="s">
        <v>74</v>
      </c>
      <c r="V437" s="3" t="s">
        <v>7531</v>
      </c>
      <c r="W437" t="s">
        <v>74</v>
      </c>
      <c r="X437" t="s">
        <v>74</v>
      </c>
      <c r="Y437" t="s">
        <v>74</v>
      </c>
      <c r="Z437" t="s">
        <v>74</v>
      </c>
      <c r="AA437" t="s">
        <v>7532</v>
      </c>
      <c r="AB437" t="s">
        <v>7533</v>
      </c>
      <c r="AC437" t="s">
        <v>74</v>
      </c>
      <c r="AD437" t="s">
        <v>74</v>
      </c>
      <c r="AE437" t="s">
        <v>74</v>
      </c>
      <c r="AF437" t="s">
        <v>74</v>
      </c>
      <c r="AG437" t="s">
        <v>74</v>
      </c>
      <c r="AH437" t="s">
        <v>74</v>
      </c>
      <c r="AI437" t="s">
        <v>74</v>
      </c>
      <c r="AJ437" t="s">
        <v>74</v>
      </c>
      <c r="AK437" t="s">
        <v>74</v>
      </c>
      <c r="AL437" t="s">
        <v>74</v>
      </c>
      <c r="AM437" t="s">
        <v>74</v>
      </c>
      <c r="AN437" t="s">
        <v>74</v>
      </c>
      <c r="AO437" t="s">
        <v>4147</v>
      </c>
      <c r="AP437" t="s">
        <v>7534</v>
      </c>
      <c r="AQ437" t="s">
        <v>74</v>
      </c>
      <c r="AR437" t="s">
        <v>74</v>
      </c>
      <c r="AS437" t="s">
        <v>74</v>
      </c>
      <c r="AT437" t="s">
        <v>123</v>
      </c>
      <c r="AU437">
        <v>2003</v>
      </c>
      <c r="AV437">
        <v>189</v>
      </c>
      <c r="AW437">
        <v>3</v>
      </c>
      <c r="AX437" t="s">
        <v>74</v>
      </c>
      <c r="AY437" t="s">
        <v>74</v>
      </c>
      <c r="AZ437" t="s">
        <v>74</v>
      </c>
      <c r="BA437" t="s">
        <v>74</v>
      </c>
      <c r="BB437">
        <v>213</v>
      </c>
      <c r="BC437">
        <v>220</v>
      </c>
      <c r="BD437" t="s">
        <v>74</v>
      </c>
      <c r="BE437" t="s">
        <v>7535</v>
      </c>
      <c r="BF437" t="str">
        <f>HYPERLINK("http://dx.doi.org/10.1007/s00359-003-0392-4","http://dx.doi.org/10.1007/s00359-003-0392-4")</f>
        <v>http://dx.doi.org/10.1007/s00359-003-0392-4</v>
      </c>
      <c r="BG437" t="s">
        <v>74</v>
      </c>
      <c r="BH437" t="s">
        <v>74</v>
      </c>
      <c r="BI437" t="s">
        <v>74</v>
      </c>
      <c r="BJ437" t="s">
        <v>74</v>
      </c>
      <c r="BK437" t="s">
        <v>74</v>
      </c>
      <c r="BL437" t="s">
        <v>74</v>
      </c>
      <c r="BM437" t="s">
        <v>74</v>
      </c>
      <c r="BN437">
        <v>12664097</v>
      </c>
      <c r="BO437" t="s">
        <v>74</v>
      </c>
      <c r="BP437" t="s">
        <v>74</v>
      </c>
      <c r="BQ437" t="s">
        <v>74</v>
      </c>
      <c r="BR437" t="s">
        <v>74</v>
      </c>
      <c r="BS437" t="s">
        <v>7536</v>
      </c>
      <c r="BT437" t="str">
        <f>HYPERLINK("https%3A%2F%2Fwww.webofscience.com%2Fwos%2Fwoscc%2Ffull-record%2FWOS:000182652100007","View Full Record in Web of Science")</f>
        <v>View Full Record in Web of Science</v>
      </c>
    </row>
    <row r="438" spans="1:72" x14ac:dyDescent="0.4">
      <c r="A438" t="s">
        <v>72</v>
      </c>
      <c r="B438" t="s">
        <v>7018</v>
      </c>
      <c r="C438" t="s">
        <v>74</v>
      </c>
      <c r="D438" t="s">
        <v>74</v>
      </c>
      <c r="E438" t="s">
        <v>74</v>
      </c>
      <c r="F438" t="s">
        <v>7018</v>
      </c>
      <c r="G438" t="s">
        <v>74</v>
      </c>
      <c r="H438" t="s">
        <v>74</v>
      </c>
      <c r="I438" t="s">
        <v>7019</v>
      </c>
      <c r="J438" t="s">
        <v>7020</v>
      </c>
      <c r="K438" t="s">
        <v>74</v>
      </c>
      <c r="L438" t="s">
        <v>74</v>
      </c>
      <c r="M438" t="s">
        <v>74</v>
      </c>
      <c r="N438" t="s">
        <v>74</v>
      </c>
      <c r="O438" t="s">
        <v>74</v>
      </c>
      <c r="P438" t="s">
        <v>74</v>
      </c>
      <c r="Q438" t="s">
        <v>74</v>
      </c>
      <c r="R438" t="s">
        <v>74</v>
      </c>
      <c r="S438" t="s">
        <v>74</v>
      </c>
      <c r="T438" t="s">
        <v>74</v>
      </c>
      <c r="U438" t="s">
        <v>74</v>
      </c>
      <c r="V438" s="3" t="s">
        <v>7021</v>
      </c>
      <c r="W438" t="s">
        <v>74</v>
      </c>
      <c r="X438" t="s">
        <v>74</v>
      </c>
      <c r="Y438" t="s">
        <v>74</v>
      </c>
      <c r="Z438" t="s">
        <v>74</v>
      </c>
      <c r="AA438" t="s">
        <v>74</v>
      </c>
      <c r="AB438" t="s">
        <v>7022</v>
      </c>
      <c r="AC438" t="s">
        <v>74</v>
      </c>
      <c r="AD438" t="s">
        <v>74</v>
      </c>
      <c r="AE438" t="s">
        <v>74</v>
      </c>
      <c r="AF438" t="s">
        <v>74</v>
      </c>
      <c r="AG438" t="s">
        <v>74</v>
      </c>
      <c r="AH438" t="s">
        <v>74</v>
      </c>
      <c r="AI438" t="s">
        <v>74</v>
      </c>
      <c r="AJ438" t="s">
        <v>74</v>
      </c>
      <c r="AK438" t="s">
        <v>74</v>
      </c>
      <c r="AL438" t="s">
        <v>74</v>
      </c>
      <c r="AM438" t="s">
        <v>74</v>
      </c>
      <c r="AN438" t="s">
        <v>74</v>
      </c>
      <c r="AO438" t="s">
        <v>7023</v>
      </c>
      <c r="AP438" t="s">
        <v>74</v>
      </c>
      <c r="AQ438" t="s">
        <v>74</v>
      </c>
      <c r="AR438" t="s">
        <v>74</v>
      </c>
      <c r="AS438" t="s">
        <v>74</v>
      </c>
      <c r="AT438" t="s">
        <v>175</v>
      </c>
      <c r="AU438">
        <v>2000</v>
      </c>
      <c r="AV438">
        <v>73</v>
      </c>
      <c r="AW438" t="s">
        <v>74</v>
      </c>
      <c r="AX438">
        <v>8</v>
      </c>
      <c r="AY438" t="s">
        <v>74</v>
      </c>
      <c r="AZ438" t="s">
        <v>74</v>
      </c>
      <c r="BA438" t="s">
        <v>74</v>
      </c>
      <c r="BB438">
        <v>899</v>
      </c>
      <c r="BC438">
        <v>912</v>
      </c>
      <c r="BD438" t="s">
        <v>74</v>
      </c>
      <c r="BE438" t="s">
        <v>7024</v>
      </c>
      <c r="BF438" t="str">
        <f>HYPERLINK("http://dx.doi.org/10.1163/156854000504903","http://dx.doi.org/10.1163/156854000504903")</f>
        <v>http://dx.doi.org/10.1163/156854000504903</v>
      </c>
      <c r="BG438" t="s">
        <v>74</v>
      </c>
      <c r="BH438" t="s">
        <v>74</v>
      </c>
      <c r="BI438" t="s">
        <v>74</v>
      </c>
      <c r="BJ438" t="s">
        <v>74</v>
      </c>
      <c r="BK438" t="s">
        <v>74</v>
      </c>
      <c r="BL438" t="s">
        <v>74</v>
      </c>
      <c r="BM438" t="s">
        <v>74</v>
      </c>
      <c r="BN438" t="s">
        <v>74</v>
      </c>
      <c r="BO438" t="s">
        <v>74</v>
      </c>
      <c r="BP438" t="s">
        <v>74</v>
      </c>
      <c r="BQ438" t="s">
        <v>74</v>
      </c>
      <c r="BR438" t="s">
        <v>74</v>
      </c>
      <c r="BS438" t="s">
        <v>7025</v>
      </c>
      <c r="BT438" t="str">
        <f>HYPERLINK("https%3A%2F%2Fwww.webofscience.com%2Fwos%2Fwoscc%2Ffull-record%2FWOS:000165977200001","View Full Record in Web of Science")</f>
        <v>View Full Record in Web of Science</v>
      </c>
    </row>
    <row r="439" spans="1:72" x14ac:dyDescent="0.4">
      <c r="A439" t="s">
        <v>72</v>
      </c>
      <c r="B439" t="s">
        <v>3350</v>
      </c>
      <c r="C439" t="s">
        <v>74</v>
      </c>
      <c r="D439" t="s">
        <v>74</v>
      </c>
      <c r="E439" t="s">
        <v>74</v>
      </c>
      <c r="F439" t="s">
        <v>3351</v>
      </c>
      <c r="G439" t="s">
        <v>74</v>
      </c>
      <c r="H439" t="s">
        <v>74</v>
      </c>
      <c r="I439" t="s">
        <v>3352</v>
      </c>
      <c r="J439" t="s">
        <v>3353</v>
      </c>
      <c r="K439" t="s">
        <v>74</v>
      </c>
      <c r="L439" t="s">
        <v>74</v>
      </c>
      <c r="M439" t="s">
        <v>74</v>
      </c>
      <c r="N439" t="s">
        <v>74</v>
      </c>
      <c r="O439" t="s">
        <v>74</v>
      </c>
      <c r="P439" t="s">
        <v>74</v>
      </c>
      <c r="Q439" t="s">
        <v>74</v>
      </c>
      <c r="R439" t="s">
        <v>74</v>
      </c>
      <c r="S439" t="s">
        <v>74</v>
      </c>
      <c r="T439" t="s">
        <v>74</v>
      </c>
      <c r="U439" t="s">
        <v>74</v>
      </c>
      <c r="V439" s="3" t="s">
        <v>3354</v>
      </c>
      <c r="W439" t="s">
        <v>74</v>
      </c>
      <c r="X439" t="s">
        <v>74</v>
      </c>
      <c r="Y439" t="s">
        <v>74</v>
      </c>
      <c r="Z439" t="s">
        <v>74</v>
      </c>
      <c r="AA439" t="s">
        <v>3355</v>
      </c>
      <c r="AB439" t="s">
        <v>3356</v>
      </c>
      <c r="AC439" t="s">
        <v>74</v>
      </c>
      <c r="AD439" t="s">
        <v>74</v>
      </c>
      <c r="AE439" t="s">
        <v>74</v>
      </c>
      <c r="AF439" t="s">
        <v>74</v>
      </c>
      <c r="AG439" t="s">
        <v>74</v>
      </c>
      <c r="AH439" t="s">
        <v>74</v>
      </c>
      <c r="AI439" t="s">
        <v>74</v>
      </c>
      <c r="AJ439" t="s">
        <v>74</v>
      </c>
      <c r="AK439" t="s">
        <v>74</v>
      </c>
      <c r="AL439" t="s">
        <v>74</v>
      </c>
      <c r="AM439" t="s">
        <v>74</v>
      </c>
      <c r="AN439" t="s">
        <v>74</v>
      </c>
      <c r="AO439" t="s">
        <v>3357</v>
      </c>
      <c r="AP439" t="s">
        <v>3358</v>
      </c>
      <c r="AQ439" t="s">
        <v>74</v>
      </c>
      <c r="AR439" t="s">
        <v>74</v>
      </c>
      <c r="AS439" t="s">
        <v>74</v>
      </c>
      <c r="AT439" t="s">
        <v>352</v>
      </c>
      <c r="AU439">
        <v>2009</v>
      </c>
      <c r="AV439">
        <v>34</v>
      </c>
      <c r="AW439">
        <v>6</v>
      </c>
      <c r="AX439" t="s">
        <v>74</v>
      </c>
      <c r="AY439" t="s">
        <v>74</v>
      </c>
      <c r="AZ439" t="s">
        <v>74</v>
      </c>
      <c r="BA439" t="s">
        <v>74</v>
      </c>
      <c r="BB439">
        <v>636</v>
      </c>
      <c r="BC439">
        <v>640</v>
      </c>
      <c r="BD439" t="s">
        <v>74</v>
      </c>
      <c r="BE439" t="s">
        <v>3359</v>
      </c>
      <c r="BF439" t="str">
        <f>HYPERLINK("http://dx.doi.org/10.1111/j.1442-9993.2009.01968.x","http://dx.doi.org/10.1111/j.1442-9993.2009.01968.x")</f>
        <v>http://dx.doi.org/10.1111/j.1442-9993.2009.01968.x</v>
      </c>
      <c r="BG439" t="s">
        <v>74</v>
      </c>
      <c r="BH439" t="s">
        <v>74</v>
      </c>
      <c r="BI439" t="s">
        <v>74</v>
      </c>
      <c r="BJ439" t="s">
        <v>74</v>
      </c>
      <c r="BK439" t="s">
        <v>74</v>
      </c>
      <c r="BL439" t="s">
        <v>74</v>
      </c>
      <c r="BM439" t="s">
        <v>74</v>
      </c>
      <c r="BN439" t="s">
        <v>74</v>
      </c>
      <c r="BO439" t="s">
        <v>74</v>
      </c>
      <c r="BP439" t="s">
        <v>74</v>
      </c>
      <c r="BQ439" t="s">
        <v>74</v>
      </c>
      <c r="BR439" t="s">
        <v>74</v>
      </c>
      <c r="BS439" t="s">
        <v>3360</v>
      </c>
      <c r="BT439" t="str">
        <f>HYPERLINK("https%3A%2F%2Fwww.webofscience.com%2Fwos%2Fwoscc%2Ffull-record%2FWOS:000269675600004","View Full Record in Web of Science")</f>
        <v>View Full Record in Web of Science</v>
      </c>
    </row>
    <row r="440" spans="1:72" x14ac:dyDescent="0.4">
      <c r="A440" t="s">
        <v>72</v>
      </c>
      <c r="B440" t="s">
        <v>5724</v>
      </c>
      <c r="C440" t="s">
        <v>74</v>
      </c>
      <c r="D440" t="s">
        <v>74</v>
      </c>
      <c r="E440" t="s">
        <v>74</v>
      </c>
      <c r="F440" t="s">
        <v>5724</v>
      </c>
      <c r="G440" t="s">
        <v>74</v>
      </c>
      <c r="H440" t="s">
        <v>74</v>
      </c>
      <c r="I440" t="s">
        <v>5725</v>
      </c>
      <c r="J440" t="s">
        <v>1755</v>
      </c>
      <c r="K440" t="s">
        <v>74</v>
      </c>
      <c r="L440" t="s">
        <v>74</v>
      </c>
      <c r="M440" t="s">
        <v>74</v>
      </c>
      <c r="N440" t="s">
        <v>74</v>
      </c>
      <c r="O440" t="s">
        <v>74</v>
      </c>
      <c r="P440" t="s">
        <v>74</v>
      </c>
      <c r="Q440" t="s">
        <v>74</v>
      </c>
      <c r="R440" t="s">
        <v>74</v>
      </c>
      <c r="S440" t="s">
        <v>74</v>
      </c>
      <c r="T440" t="s">
        <v>74</v>
      </c>
      <c r="U440" t="s">
        <v>74</v>
      </c>
      <c r="V440" s="3" t="s">
        <v>5726</v>
      </c>
      <c r="W440" t="s">
        <v>74</v>
      </c>
      <c r="X440" t="s">
        <v>74</v>
      </c>
      <c r="Y440" t="s">
        <v>74</v>
      </c>
      <c r="Z440" t="s">
        <v>74</v>
      </c>
      <c r="AA440" t="s">
        <v>5727</v>
      </c>
      <c r="AB440" t="s">
        <v>74</v>
      </c>
      <c r="AC440" t="s">
        <v>74</v>
      </c>
      <c r="AD440" t="s">
        <v>74</v>
      </c>
      <c r="AE440" t="s">
        <v>74</v>
      </c>
      <c r="AF440" t="s">
        <v>74</v>
      </c>
      <c r="AG440" t="s">
        <v>74</v>
      </c>
      <c r="AH440" t="s">
        <v>74</v>
      </c>
      <c r="AI440" t="s">
        <v>74</v>
      </c>
      <c r="AJ440" t="s">
        <v>74</v>
      </c>
      <c r="AK440" t="s">
        <v>74</v>
      </c>
      <c r="AL440" t="s">
        <v>74</v>
      </c>
      <c r="AM440" t="s">
        <v>74</v>
      </c>
      <c r="AN440" t="s">
        <v>74</v>
      </c>
      <c r="AO440" t="s">
        <v>1759</v>
      </c>
      <c r="AP440" t="s">
        <v>1760</v>
      </c>
      <c r="AQ440" t="s">
        <v>74</v>
      </c>
      <c r="AR440" t="s">
        <v>74</v>
      </c>
      <c r="AS440" t="s">
        <v>74</v>
      </c>
      <c r="AT440" t="s">
        <v>352</v>
      </c>
      <c r="AU440">
        <v>1996</v>
      </c>
      <c r="AV440">
        <v>9</v>
      </c>
      <c r="AW440">
        <v>5</v>
      </c>
      <c r="AX440" t="s">
        <v>74</v>
      </c>
      <c r="AY440" t="s">
        <v>74</v>
      </c>
      <c r="AZ440" t="s">
        <v>74</v>
      </c>
      <c r="BA440" t="s">
        <v>74</v>
      </c>
      <c r="BB440">
        <v>709</v>
      </c>
      <c r="BC440">
        <v>717</v>
      </c>
      <c r="BD440" t="s">
        <v>74</v>
      </c>
      <c r="BE440" t="s">
        <v>5728</v>
      </c>
      <c r="BF440" t="str">
        <f>HYPERLINK("http://dx.doi.org/10.1007/BF02213551","http://dx.doi.org/10.1007/BF02213551")</f>
        <v>http://dx.doi.org/10.1007/BF02213551</v>
      </c>
      <c r="BG440" t="s">
        <v>74</v>
      </c>
      <c r="BH440" t="s">
        <v>74</v>
      </c>
      <c r="BI440" t="s">
        <v>74</v>
      </c>
      <c r="BJ440" t="s">
        <v>74</v>
      </c>
      <c r="BK440" t="s">
        <v>74</v>
      </c>
      <c r="BL440" t="s">
        <v>74</v>
      </c>
      <c r="BM440" t="s">
        <v>74</v>
      </c>
      <c r="BN440" t="s">
        <v>74</v>
      </c>
      <c r="BO440" t="s">
        <v>74</v>
      </c>
      <c r="BP440" t="s">
        <v>74</v>
      </c>
      <c r="BQ440" t="s">
        <v>74</v>
      </c>
      <c r="BR440" t="s">
        <v>74</v>
      </c>
      <c r="BS440" t="s">
        <v>5729</v>
      </c>
      <c r="BT440" t="str">
        <f>HYPERLINK("https%3A%2F%2Fwww.webofscience.com%2Fwos%2Fwoscc%2Ffull-record%2FWOS:A1996VX87000005","View Full Record in Web of Science")</f>
        <v>View Full Record in Web of Science</v>
      </c>
    </row>
    <row r="441" spans="1:72" x14ac:dyDescent="0.4">
      <c r="A441" t="s">
        <v>72</v>
      </c>
      <c r="B441" t="s">
        <v>6204</v>
      </c>
      <c r="C441" t="s">
        <v>74</v>
      </c>
      <c r="D441" t="s">
        <v>74</v>
      </c>
      <c r="E441" t="s">
        <v>74</v>
      </c>
      <c r="F441" t="s">
        <v>6205</v>
      </c>
      <c r="G441" t="s">
        <v>74</v>
      </c>
      <c r="H441" t="s">
        <v>74</v>
      </c>
      <c r="I441" t="s">
        <v>6206</v>
      </c>
      <c r="J441" t="s">
        <v>3238</v>
      </c>
      <c r="K441" t="s">
        <v>74</v>
      </c>
      <c r="L441" t="s">
        <v>74</v>
      </c>
      <c r="M441" t="s">
        <v>74</v>
      </c>
      <c r="N441" t="s">
        <v>74</v>
      </c>
      <c r="O441" t="s">
        <v>74</v>
      </c>
      <c r="P441" t="s">
        <v>74</v>
      </c>
      <c r="Q441" t="s">
        <v>74</v>
      </c>
      <c r="R441" t="s">
        <v>74</v>
      </c>
      <c r="S441" t="s">
        <v>74</v>
      </c>
      <c r="T441" t="s">
        <v>74</v>
      </c>
      <c r="U441" t="s">
        <v>74</v>
      </c>
      <c r="V441" s="3" t="s">
        <v>6207</v>
      </c>
      <c r="W441" t="s">
        <v>74</v>
      </c>
      <c r="X441" t="s">
        <v>74</v>
      </c>
      <c r="Y441" t="s">
        <v>74</v>
      </c>
      <c r="Z441" t="s">
        <v>74</v>
      </c>
      <c r="AA441" t="s">
        <v>74</v>
      </c>
      <c r="AB441" t="s">
        <v>74</v>
      </c>
      <c r="AC441" t="s">
        <v>74</v>
      </c>
      <c r="AD441" t="s">
        <v>74</v>
      </c>
      <c r="AE441" t="s">
        <v>74</v>
      </c>
      <c r="AF441" t="s">
        <v>74</v>
      </c>
      <c r="AG441" t="s">
        <v>74</v>
      </c>
      <c r="AH441" t="s">
        <v>74</v>
      </c>
      <c r="AI441" t="s">
        <v>74</v>
      </c>
      <c r="AJ441" t="s">
        <v>74</v>
      </c>
      <c r="AK441" t="s">
        <v>74</v>
      </c>
      <c r="AL441" t="s">
        <v>74</v>
      </c>
      <c r="AM441" t="s">
        <v>74</v>
      </c>
      <c r="AN441" t="s">
        <v>74</v>
      </c>
      <c r="AO441" t="s">
        <v>3240</v>
      </c>
      <c r="AP441" t="s">
        <v>3241</v>
      </c>
      <c r="AQ441" t="s">
        <v>74</v>
      </c>
      <c r="AR441" t="s">
        <v>74</v>
      </c>
      <c r="AS441" t="s">
        <v>74</v>
      </c>
      <c r="AT441" t="s">
        <v>255</v>
      </c>
      <c r="AU441">
        <v>2019</v>
      </c>
      <c r="AV441">
        <v>112</v>
      </c>
      <c r="AW441">
        <v>1</v>
      </c>
      <c r="AX441" t="s">
        <v>74</v>
      </c>
      <c r="AY441" t="s">
        <v>74</v>
      </c>
      <c r="AZ441" t="s">
        <v>74</v>
      </c>
      <c r="BA441" t="s">
        <v>74</v>
      </c>
      <c r="BB441">
        <v>33</v>
      </c>
      <c r="BC441">
        <v>43</v>
      </c>
      <c r="BD441" t="s">
        <v>74</v>
      </c>
      <c r="BE441" t="s">
        <v>6208</v>
      </c>
      <c r="BF441" t="str">
        <f>HYPERLINK("http://dx.doi.org/10.1093/aesa/say045","http://dx.doi.org/10.1093/aesa/say045")</f>
        <v>http://dx.doi.org/10.1093/aesa/say045</v>
      </c>
      <c r="BG441" t="s">
        <v>74</v>
      </c>
      <c r="BH441" t="s">
        <v>74</v>
      </c>
      <c r="BI441" t="s">
        <v>74</v>
      </c>
      <c r="BJ441" t="s">
        <v>74</v>
      </c>
      <c r="BK441" t="s">
        <v>74</v>
      </c>
      <c r="BL441" t="s">
        <v>74</v>
      </c>
      <c r="BM441" t="s">
        <v>74</v>
      </c>
      <c r="BN441" t="s">
        <v>74</v>
      </c>
      <c r="BO441" t="s">
        <v>74</v>
      </c>
      <c r="BP441" t="s">
        <v>74</v>
      </c>
      <c r="BQ441" t="s">
        <v>74</v>
      </c>
      <c r="BR441" t="s">
        <v>74</v>
      </c>
      <c r="BS441" t="s">
        <v>6209</v>
      </c>
      <c r="BT441" t="str">
        <f>HYPERLINK("https%3A%2F%2Fwww.webofscience.com%2Fwos%2Fwoscc%2Ffull-record%2FWOS:000467951400004","View Full Record in Web of Science")</f>
        <v>View Full Record in Web of Science</v>
      </c>
    </row>
    <row r="442" spans="1:72" x14ac:dyDescent="0.4">
      <c r="A442" t="s">
        <v>72</v>
      </c>
      <c r="B442" t="s">
        <v>2752</v>
      </c>
      <c r="C442" t="s">
        <v>74</v>
      </c>
      <c r="D442" t="s">
        <v>74</v>
      </c>
      <c r="E442" t="s">
        <v>74</v>
      </c>
      <c r="F442" t="s">
        <v>2752</v>
      </c>
      <c r="G442" t="s">
        <v>74</v>
      </c>
      <c r="H442" t="s">
        <v>74</v>
      </c>
      <c r="I442" t="s">
        <v>2753</v>
      </c>
      <c r="J442" t="s">
        <v>408</v>
      </c>
      <c r="K442" t="s">
        <v>74</v>
      </c>
      <c r="L442" t="s">
        <v>74</v>
      </c>
      <c r="M442" t="s">
        <v>74</v>
      </c>
      <c r="N442" t="s">
        <v>74</v>
      </c>
      <c r="O442" t="s">
        <v>74</v>
      </c>
      <c r="P442" t="s">
        <v>74</v>
      </c>
      <c r="Q442" t="s">
        <v>74</v>
      </c>
      <c r="R442" t="s">
        <v>74</v>
      </c>
      <c r="S442" t="s">
        <v>74</v>
      </c>
      <c r="T442" t="s">
        <v>74</v>
      </c>
      <c r="U442" t="s">
        <v>74</v>
      </c>
      <c r="V442" s="3" t="s">
        <v>2754</v>
      </c>
      <c r="W442" t="s">
        <v>74</v>
      </c>
      <c r="X442" t="s">
        <v>74</v>
      </c>
      <c r="Y442" t="s">
        <v>74</v>
      </c>
      <c r="Z442" t="s">
        <v>74</v>
      </c>
      <c r="AA442" t="s">
        <v>74</v>
      </c>
      <c r="AB442" t="s">
        <v>74</v>
      </c>
      <c r="AC442" t="s">
        <v>74</v>
      </c>
      <c r="AD442" t="s">
        <v>74</v>
      </c>
      <c r="AE442" t="s">
        <v>74</v>
      </c>
      <c r="AF442" t="s">
        <v>74</v>
      </c>
      <c r="AG442" t="s">
        <v>74</v>
      </c>
      <c r="AH442" t="s">
        <v>74</v>
      </c>
      <c r="AI442" t="s">
        <v>74</v>
      </c>
      <c r="AJ442" t="s">
        <v>74</v>
      </c>
      <c r="AK442" t="s">
        <v>74</v>
      </c>
      <c r="AL442" t="s">
        <v>74</v>
      </c>
      <c r="AM442" t="s">
        <v>74</v>
      </c>
      <c r="AN442" t="s">
        <v>74</v>
      </c>
      <c r="AO442" t="s">
        <v>412</v>
      </c>
      <c r="AP442" t="s">
        <v>413</v>
      </c>
      <c r="AQ442" t="s">
        <v>74</v>
      </c>
      <c r="AR442" t="s">
        <v>74</v>
      </c>
      <c r="AS442" t="s">
        <v>74</v>
      </c>
      <c r="AT442" t="s">
        <v>305</v>
      </c>
      <c r="AU442">
        <v>2003</v>
      </c>
      <c r="AV442">
        <v>80</v>
      </c>
      <c r="AW442">
        <v>4</v>
      </c>
      <c r="AX442" t="s">
        <v>74</v>
      </c>
      <c r="AY442" t="s">
        <v>74</v>
      </c>
      <c r="AZ442" t="s">
        <v>74</v>
      </c>
      <c r="BA442" t="s">
        <v>74</v>
      </c>
      <c r="BB442">
        <v>647</v>
      </c>
      <c r="BC442">
        <v>658</v>
      </c>
      <c r="BD442" t="s">
        <v>74</v>
      </c>
      <c r="BE442" t="s">
        <v>2755</v>
      </c>
      <c r="BF442" t="str">
        <f>HYPERLINK("http://dx.doi.org/10.1111/j.1095-8312.2003.00264.x","http://dx.doi.org/10.1111/j.1095-8312.2003.00264.x")</f>
        <v>http://dx.doi.org/10.1111/j.1095-8312.2003.00264.x</v>
      </c>
      <c r="BG442" t="s">
        <v>74</v>
      </c>
      <c r="BH442" t="s">
        <v>74</v>
      </c>
      <c r="BI442" t="s">
        <v>74</v>
      </c>
      <c r="BJ442" t="s">
        <v>74</v>
      </c>
      <c r="BK442" t="s">
        <v>74</v>
      </c>
      <c r="BL442" t="s">
        <v>74</v>
      </c>
      <c r="BM442" t="s">
        <v>74</v>
      </c>
      <c r="BN442" t="s">
        <v>74</v>
      </c>
      <c r="BO442" t="s">
        <v>74</v>
      </c>
      <c r="BP442" t="s">
        <v>74</v>
      </c>
      <c r="BQ442" t="s">
        <v>74</v>
      </c>
      <c r="BR442" t="s">
        <v>74</v>
      </c>
      <c r="BS442" t="s">
        <v>2756</v>
      </c>
      <c r="BT442" t="str">
        <f>HYPERLINK("https%3A%2F%2Fwww.webofscience.com%2Fwos%2Fwoscc%2Ffull-record%2FWOS:000187247200007","View Full Record in Web of Science")</f>
        <v>View Full Record in Web of Science</v>
      </c>
    </row>
    <row r="443" spans="1:72" x14ac:dyDescent="0.4">
      <c r="A443" t="s">
        <v>72</v>
      </c>
      <c r="B443" t="s">
        <v>8254</v>
      </c>
      <c r="C443" t="s">
        <v>74</v>
      </c>
      <c r="D443" t="s">
        <v>74</v>
      </c>
      <c r="E443" t="s">
        <v>74</v>
      </c>
      <c r="F443" t="s">
        <v>8254</v>
      </c>
      <c r="G443" t="s">
        <v>74</v>
      </c>
      <c r="H443" t="s">
        <v>74</v>
      </c>
      <c r="I443" t="s">
        <v>8255</v>
      </c>
      <c r="J443" t="s">
        <v>4278</v>
      </c>
      <c r="K443" t="s">
        <v>74</v>
      </c>
      <c r="L443" t="s">
        <v>74</v>
      </c>
      <c r="M443" t="s">
        <v>74</v>
      </c>
      <c r="N443" t="s">
        <v>74</v>
      </c>
      <c r="O443" t="s">
        <v>74</v>
      </c>
      <c r="P443" t="s">
        <v>74</v>
      </c>
      <c r="Q443" t="s">
        <v>74</v>
      </c>
      <c r="R443" t="s">
        <v>74</v>
      </c>
      <c r="S443" t="s">
        <v>74</v>
      </c>
      <c r="T443" t="s">
        <v>74</v>
      </c>
      <c r="U443" t="s">
        <v>74</v>
      </c>
      <c r="V443" s="3" t="s">
        <v>8256</v>
      </c>
      <c r="W443" t="s">
        <v>74</v>
      </c>
      <c r="X443" t="s">
        <v>74</v>
      </c>
      <c r="Y443" t="s">
        <v>74</v>
      </c>
      <c r="Z443" t="s">
        <v>74</v>
      </c>
      <c r="AA443" t="s">
        <v>74</v>
      </c>
      <c r="AB443" t="s">
        <v>74</v>
      </c>
      <c r="AC443" t="s">
        <v>74</v>
      </c>
      <c r="AD443" t="s">
        <v>74</v>
      </c>
      <c r="AE443" t="s">
        <v>74</v>
      </c>
      <c r="AF443" t="s">
        <v>74</v>
      </c>
      <c r="AG443" t="s">
        <v>74</v>
      </c>
      <c r="AH443" t="s">
        <v>74</v>
      </c>
      <c r="AI443" t="s">
        <v>74</v>
      </c>
      <c r="AJ443" t="s">
        <v>74</v>
      </c>
      <c r="AK443" t="s">
        <v>74</v>
      </c>
      <c r="AL443" t="s">
        <v>74</v>
      </c>
      <c r="AM443" t="s">
        <v>74</v>
      </c>
      <c r="AN443" t="s">
        <v>74</v>
      </c>
      <c r="AO443" t="s">
        <v>4282</v>
      </c>
      <c r="AP443" t="s">
        <v>74</v>
      </c>
      <c r="AQ443" t="s">
        <v>74</v>
      </c>
      <c r="AR443" t="s">
        <v>74</v>
      </c>
      <c r="AS443" t="s">
        <v>74</v>
      </c>
      <c r="AT443" t="s">
        <v>204</v>
      </c>
      <c r="AU443">
        <v>1999</v>
      </c>
      <c r="AV443">
        <v>25</v>
      </c>
      <c r="AW443">
        <v>7</v>
      </c>
      <c r="AX443" t="s">
        <v>74</v>
      </c>
      <c r="AY443" t="s">
        <v>74</v>
      </c>
      <c r="AZ443" t="s">
        <v>74</v>
      </c>
      <c r="BA443" t="s">
        <v>74</v>
      </c>
      <c r="BB443">
        <v>1671</v>
      </c>
      <c r="BC443">
        <v>1685</v>
      </c>
      <c r="BD443" t="s">
        <v>74</v>
      </c>
      <c r="BE443" t="s">
        <v>8257</v>
      </c>
      <c r="BF443" t="str">
        <f>HYPERLINK("http://dx.doi.org/10.1023/A:1020853303321","http://dx.doi.org/10.1023/A:1020853303321")</f>
        <v>http://dx.doi.org/10.1023/A:1020853303321</v>
      </c>
      <c r="BG443" t="s">
        <v>74</v>
      </c>
      <c r="BH443" t="s">
        <v>74</v>
      </c>
      <c r="BI443" t="s">
        <v>74</v>
      </c>
      <c r="BJ443" t="s">
        <v>74</v>
      </c>
      <c r="BK443" t="s">
        <v>74</v>
      </c>
      <c r="BL443" t="s">
        <v>74</v>
      </c>
      <c r="BM443" t="s">
        <v>74</v>
      </c>
      <c r="BN443" t="s">
        <v>74</v>
      </c>
      <c r="BO443" t="s">
        <v>74</v>
      </c>
      <c r="BP443" t="s">
        <v>74</v>
      </c>
      <c r="BQ443" t="s">
        <v>74</v>
      </c>
      <c r="BR443" t="s">
        <v>74</v>
      </c>
      <c r="BS443" t="s">
        <v>8258</v>
      </c>
      <c r="BT443" t="str">
        <f>HYPERLINK("https%3A%2F%2Fwww.webofscience.com%2Fwos%2Fwoscc%2Ffull-record%2FWOS:000081611500016","View Full Record in Web of Science")</f>
        <v>View Full Record in Web of Science</v>
      </c>
    </row>
    <row r="444" spans="1:72" x14ac:dyDescent="0.4">
      <c r="A444" t="s">
        <v>72</v>
      </c>
      <c r="B444" t="s">
        <v>2150</v>
      </c>
      <c r="C444" t="s">
        <v>74</v>
      </c>
      <c r="D444" t="s">
        <v>74</v>
      </c>
      <c r="E444" t="s">
        <v>74</v>
      </c>
      <c r="F444" t="s">
        <v>2150</v>
      </c>
      <c r="G444" t="s">
        <v>74</v>
      </c>
      <c r="H444" t="s">
        <v>74</v>
      </c>
      <c r="I444" t="s">
        <v>2151</v>
      </c>
      <c r="J444" t="s">
        <v>2152</v>
      </c>
      <c r="K444" t="s">
        <v>74</v>
      </c>
      <c r="L444" t="s">
        <v>74</v>
      </c>
      <c r="M444" t="s">
        <v>74</v>
      </c>
      <c r="N444" t="s">
        <v>74</v>
      </c>
      <c r="O444" t="s">
        <v>74</v>
      </c>
      <c r="P444" t="s">
        <v>74</v>
      </c>
      <c r="Q444" t="s">
        <v>74</v>
      </c>
      <c r="R444" t="s">
        <v>74</v>
      </c>
      <c r="S444" t="s">
        <v>74</v>
      </c>
      <c r="T444" t="s">
        <v>74</v>
      </c>
      <c r="U444" t="s">
        <v>74</v>
      </c>
      <c r="V444" s="3" t="s">
        <v>74</v>
      </c>
      <c r="W444" t="s">
        <v>74</v>
      </c>
      <c r="X444" t="s">
        <v>74</v>
      </c>
      <c r="Y444" t="s">
        <v>74</v>
      </c>
      <c r="Z444" t="s">
        <v>74</v>
      </c>
      <c r="AA444" t="s">
        <v>74</v>
      </c>
      <c r="AB444" t="s">
        <v>74</v>
      </c>
      <c r="AC444" t="s">
        <v>74</v>
      </c>
      <c r="AD444" t="s">
        <v>74</v>
      </c>
      <c r="AE444" t="s">
        <v>74</v>
      </c>
      <c r="AF444" t="s">
        <v>74</v>
      </c>
      <c r="AG444" t="s">
        <v>74</v>
      </c>
      <c r="AH444" t="s">
        <v>74</v>
      </c>
      <c r="AI444" t="s">
        <v>74</v>
      </c>
      <c r="AJ444" t="s">
        <v>74</v>
      </c>
      <c r="AK444" t="s">
        <v>74</v>
      </c>
      <c r="AL444" t="s">
        <v>74</v>
      </c>
      <c r="AM444" t="s">
        <v>74</v>
      </c>
      <c r="AN444" t="s">
        <v>74</v>
      </c>
      <c r="AO444" t="s">
        <v>2153</v>
      </c>
      <c r="AP444" t="s">
        <v>74</v>
      </c>
      <c r="AQ444" t="s">
        <v>74</v>
      </c>
      <c r="AR444" t="s">
        <v>74</v>
      </c>
      <c r="AS444" t="s">
        <v>74</v>
      </c>
      <c r="AT444" t="s">
        <v>74</v>
      </c>
      <c r="AU444">
        <v>1981</v>
      </c>
      <c r="AV444">
        <v>30</v>
      </c>
      <c r="AW444" t="s">
        <v>548</v>
      </c>
      <c r="AX444" t="s">
        <v>74</v>
      </c>
      <c r="AY444" t="s">
        <v>74</v>
      </c>
      <c r="AZ444" t="s">
        <v>74</v>
      </c>
      <c r="BA444" t="s">
        <v>74</v>
      </c>
      <c r="BB444">
        <v>88</v>
      </c>
      <c r="BC444">
        <v>91</v>
      </c>
      <c r="BD444" t="s">
        <v>74</v>
      </c>
      <c r="BE444" t="s">
        <v>74</v>
      </c>
      <c r="BF444" t="s">
        <v>74</v>
      </c>
      <c r="BG444" t="s">
        <v>74</v>
      </c>
      <c r="BH444" t="s">
        <v>74</v>
      </c>
      <c r="BI444" t="s">
        <v>74</v>
      </c>
      <c r="BJ444" t="s">
        <v>74</v>
      </c>
      <c r="BK444" t="s">
        <v>74</v>
      </c>
      <c r="BL444" t="s">
        <v>74</v>
      </c>
      <c r="BM444" t="s">
        <v>74</v>
      </c>
      <c r="BN444" t="s">
        <v>74</v>
      </c>
      <c r="BO444" t="s">
        <v>74</v>
      </c>
      <c r="BP444" t="s">
        <v>74</v>
      </c>
      <c r="BQ444" t="s">
        <v>74</v>
      </c>
      <c r="BR444" t="s">
        <v>74</v>
      </c>
      <c r="BS444" t="s">
        <v>2154</v>
      </c>
      <c r="BT444" t="str">
        <f>HYPERLINK("https%3A%2F%2Fwww.webofscience.com%2Fwos%2Fwoscc%2Ffull-record%2FWOS:A1981MW98300007","View Full Record in Web of Science")</f>
        <v>View Full Record in Web of Science</v>
      </c>
    </row>
    <row r="445" spans="1:72" x14ac:dyDescent="0.4">
      <c r="A445" t="s">
        <v>72</v>
      </c>
      <c r="B445" t="s">
        <v>5192</v>
      </c>
      <c r="C445" t="s">
        <v>74</v>
      </c>
      <c r="D445" t="s">
        <v>74</v>
      </c>
      <c r="E445" t="s">
        <v>74</v>
      </c>
      <c r="F445" t="s">
        <v>5192</v>
      </c>
      <c r="G445" t="s">
        <v>74</v>
      </c>
      <c r="H445" t="s">
        <v>74</v>
      </c>
      <c r="I445" t="s">
        <v>5193</v>
      </c>
      <c r="J445" t="s">
        <v>5194</v>
      </c>
      <c r="K445" t="s">
        <v>74</v>
      </c>
      <c r="L445" t="s">
        <v>74</v>
      </c>
      <c r="M445" t="s">
        <v>74</v>
      </c>
      <c r="N445" t="s">
        <v>74</v>
      </c>
      <c r="O445" t="s">
        <v>74</v>
      </c>
      <c r="P445" t="s">
        <v>74</v>
      </c>
      <c r="Q445" t="s">
        <v>74</v>
      </c>
      <c r="R445" t="s">
        <v>74</v>
      </c>
      <c r="S445" t="s">
        <v>74</v>
      </c>
      <c r="T445" t="s">
        <v>74</v>
      </c>
      <c r="U445" t="s">
        <v>74</v>
      </c>
      <c r="V445" s="3" t="s">
        <v>5195</v>
      </c>
      <c r="W445" t="s">
        <v>74</v>
      </c>
      <c r="X445" t="s">
        <v>74</v>
      </c>
      <c r="Y445" t="s">
        <v>74</v>
      </c>
      <c r="Z445" t="s">
        <v>74</v>
      </c>
      <c r="AA445" t="s">
        <v>5196</v>
      </c>
      <c r="AB445" t="s">
        <v>5197</v>
      </c>
      <c r="AC445" t="s">
        <v>74</v>
      </c>
      <c r="AD445" t="s">
        <v>74</v>
      </c>
      <c r="AE445" t="s">
        <v>74</v>
      </c>
      <c r="AF445" t="s">
        <v>74</v>
      </c>
      <c r="AG445" t="s">
        <v>74</v>
      </c>
      <c r="AH445" t="s">
        <v>74</v>
      </c>
      <c r="AI445" t="s">
        <v>74</v>
      </c>
      <c r="AJ445" t="s">
        <v>74</v>
      </c>
      <c r="AK445" t="s">
        <v>74</v>
      </c>
      <c r="AL445" t="s">
        <v>74</v>
      </c>
      <c r="AM445" t="s">
        <v>74</v>
      </c>
      <c r="AN445" t="s">
        <v>74</v>
      </c>
      <c r="AO445" t="s">
        <v>5198</v>
      </c>
      <c r="AP445" t="s">
        <v>5199</v>
      </c>
      <c r="AQ445" t="s">
        <v>74</v>
      </c>
      <c r="AR445" t="s">
        <v>74</v>
      </c>
      <c r="AS445" t="s">
        <v>74</v>
      </c>
      <c r="AT445" t="s">
        <v>74</v>
      </c>
      <c r="AU445">
        <v>1985</v>
      </c>
      <c r="AV445">
        <v>20</v>
      </c>
      <c r="AW445">
        <v>3</v>
      </c>
      <c r="AX445" t="s">
        <v>74</v>
      </c>
      <c r="AY445" t="s">
        <v>74</v>
      </c>
      <c r="AZ445" t="s">
        <v>74</v>
      </c>
      <c r="BA445" t="s">
        <v>74</v>
      </c>
      <c r="BB445">
        <v>167</v>
      </c>
      <c r="BC445">
        <v>173</v>
      </c>
      <c r="BD445" t="s">
        <v>74</v>
      </c>
      <c r="BE445" t="s">
        <v>5200</v>
      </c>
      <c r="BF445" t="str">
        <f>HYPERLINK("http://dx.doi.org/10.1080/01650528509360685","http://dx.doi.org/10.1080/01650528509360685")</f>
        <v>http://dx.doi.org/10.1080/01650528509360685</v>
      </c>
      <c r="BG445" t="s">
        <v>74</v>
      </c>
      <c r="BH445" t="s">
        <v>74</v>
      </c>
      <c r="BI445" t="s">
        <v>74</v>
      </c>
      <c r="BJ445" t="s">
        <v>74</v>
      </c>
      <c r="BK445" t="s">
        <v>74</v>
      </c>
      <c r="BL445" t="s">
        <v>74</v>
      </c>
      <c r="BM445" t="s">
        <v>74</v>
      </c>
      <c r="BN445" t="s">
        <v>74</v>
      </c>
      <c r="BO445" t="s">
        <v>74</v>
      </c>
      <c r="BP445" t="s">
        <v>74</v>
      </c>
      <c r="BQ445" t="s">
        <v>74</v>
      </c>
      <c r="BR445" t="s">
        <v>74</v>
      </c>
      <c r="BS445" t="s">
        <v>5201</v>
      </c>
      <c r="BT445" t="str">
        <f>HYPERLINK("https%3A%2F%2Fwww.webofscience.com%2Fwos%2Fwoscc%2Ffull-record%2FWOS:A1985C168200004","View Full Record in Web of Science")</f>
        <v>View Full Record in Web of Science</v>
      </c>
    </row>
    <row r="446" spans="1:72" x14ac:dyDescent="0.4">
      <c r="A446" t="s">
        <v>72</v>
      </c>
      <c r="B446" t="s">
        <v>8692</v>
      </c>
      <c r="C446" t="s">
        <v>74</v>
      </c>
      <c r="D446" t="s">
        <v>74</v>
      </c>
      <c r="E446" t="s">
        <v>74</v>
      </c>
      <c r="F446" t="s">
        <v>8693</v>
      </c>
      <c r="G446" t="s">
        <v>74</v>
      </c>
      <c r="H446" t="s">
        <v>74</v>
      </c>
      <c r="I446" t="s">
        <v>8694</v>
      </c>
      <c r="J446" t="s">
        <v>1656</v>
      </c>
      <c r="K446" t="s">
        <v>74</v>
      </c>
      <c r="L446" t="s">
        <v>74</v>
      </c>
      <c r="M446" t="s">
        <v>74</v>
      </c>
      <c r="N446" t="s">
        <v>74</v>
      </c>
      <c r="O446" t="s">
        <v>74</v>
      </c>
      <c r="P446" t="s">
        <v>74</v>
      </c>
      <c r="Q446" t="s">
        <v>74</v>
      </c>
      <c r="R446" t="s">
        <v>74</v>
      </c>
      <c r="S446" t="s">
        <v>74</v>
      </c>
      <c r="T446" t="s">
        <v>74</v>
      </c>
      <c r="U446" t="s">
        <v>74</v>
      </c>
      <c r="V446" s="3" t="s">
        <v>8695</v>
      </c>
      <c r="W446" t="s">
        <v>74</v>
      </c>
      <c r="X446" t="s">
        <v>74</v>
      </c>
      <c r="Y446" t="s">
        <v>74</v>
      </c>
      <c r="Z446" t="s">
        <v>74</v>
      </c>
      <c r="AA446" t="s">
        <v>8696</v>
      </c>
      <c r="AB446" t="s">
        <v>8697</v>
      </c>
      <c r="AC446" t="s">
        <v>74</v>
      </c>
      <c r="AD446" t="s">
        <v>74</v>
      </c>
      <c r="AE446" t="s">
        <v>74</v>
      </c>
      <c r="AF446" t="s">
        <v>74</v>
      </c>
      <c r="AG446" t="s">
        <v>74</v>
      </c>
      <c r="AH446" t="s">
        <v>74</v>
      </c>
      <c r="AI446" t="s">
        <v>74</v>
      </c>
      <c r="AJ446" t="s">
        <v>74</v>
      </c>
      <c r="AK446" t="s">
        <v>74</v>
      </c>
      <c r="AL446" t="s">
        <v>74</v>
      </c>
      <c r="AM446" t="s">
        <v>74</v>
      </c>
      <c r="AN446" t="s">
        <v>74</v>
      </c>
      <c r="AO446" t="s">
        <v>1658</v>
      </c>
      <c r="AP446" t="s">
        <v>1659</v>
      </c>
      <c r="AQ446" t="s">
        <v>74</v>
      </c>
      <c r="AR446" t="s">
        <v>74</v>
      </c>
      <c r="AS446" t="s">
        <v>74</v>
      </c>
      <c r="AT446" t="s">
        <v>4744</v>
      </c>
      <c r="AU446">
        <v>2016</v>
      </c>
      <c r="AV446">
        <v>4159</v>
      </c>
      <c r="AW446">
        <v>1</v>
      </c>
      <c r="AX446" t="s">
        <v>74</v>
      </c>
      <c r="AY446" t="s">
        <v>74</v>
      </c>
      <c r="AZ446" t="s">
        <v>74</v>
      </c>
      <c r="BA446" t="s">
        <v>74</v>
      </c>
      <c r="BB446">
        <v>1</v>
      </c>
      <c r="BC446">
        <v>219</v>
      </c>
      <c r="BD446" t="s">
        <v>74</v>
      </c>
      <c r="BE446" t="s">
        <v>8698</v>
      </c>
      <c r="BF446" t="str">
        <f>HYPERLINK("http://dx.doi.org/10.11646/zootaxa.4159.1.1","http://dx.doi.org/10.11646/zootaxa.4159.1.1")</f>
        <v>http://dx.doi.org/10.11646/zootaxa.4159.1.1</v>
      </c>
      <c r="BG446" t="s">
        <v>74</v>
      </c>
      <c r="BH446" t="s">
        <v>74</v>
      </c>
      <c r="BI446" t="s">
        <v>74</v>
      </c>
      <c r="BJ446" t="s">
        <v>74</v>
      </c>
      <c r="BK446" t="s">
        <v>74</v>
      </c>
      <c r="BL446" t="s">
        <v>74</v>
      </c>
      <c r="BM446" t="s">
        <v>74</v>
      </c>
      <c r="BN446">
        <v>27615907</v>
      </c>
      <c r="BO446" t="s">
        <v>74</v>
      </c>
      <c r="BP446" t="s">
        <v>74</v>
      </c>
      <c r="BQ446" t="s">
        <v>74</v>
      </c>
      <c r="BR446" t="s">
        <v>74</v>
      </c>
      <c r="BS446" t="s">
        <v>8699</v>
      </c>
      <c r="BT446" t="str">
        <f>HYPERLINK("https%3A%2F%2Fwww.webofscience.com%2Fwos%2Fwoscc%2Ffull-record%2FWOS:000382724900001","View Full Record in Web of Science")</f>
        <v>View Full Record in Web of Science</v>
      </c>
    </row>
    <row r="447" spans="1:72" x14ac:dyDescent="0.4">
      <c r="A447" t="s">
        <v>72</v>
      </c>
      <c r="B447" t="s">
        <v>7169</v>
      </c>
      <c r="C447" t="s">
        <v>74</v>
      </c>
      <c r="D447" t="s">
        <v>74</v>
      </c>
      <c r="E447" t="s">
        <v>74</v>
      </c>
      <c r="F447" t="s">
        <v>7169</v>
      </c>
      <c r="G447" t="s">
        <v>74</v>
      </c>
      <c r="H447" t="s">
        <v>74</v>
      </c>
      <c r="I447" t="s">
        <v>7170</v>
      </c>
      <c r="J447" t="s">
        <v>3238</v>
      </c>
      <c r="K447" t="s">
        <v>74</v>
      </c>
      <c r="L447" t="s">
        <v>74</v>
      </c>
      <c r="M447" t="s">
        <v>74</v>
      </c>
      <c r="N447" t="s">
        <v>74</v>
      </c>
      <c r="O447" t="s">
        <v>74</v>
      </c>
      <c r="P447" t="s">
        <v>74</v>
      </c>
      <c r="Q447" t="s">
        <v>74</v>
      </c>
      <c r="R447" t="s">
        <v>74</v>
      </c>
      <c r="S447" t="s">
        <v>74</v>
      </c>
      <c r="T447" t="s">
        <v>74</v>
      </c>
      <c r="U447" t="s">
        <v>74</v>
      </c>
      <c r="V447" s="3" t="s">
        <v>7171</v>
      </c>
      <c r="W447" t="s">
        <v>74</v>
      </c>
      <c r="X447" t="s">
        <v>74</v>
      </c>
      <c r="Y447" t="s">
        <v>74</v>
      </c>
      <c r="Z447" t="s">
        <v>74</v>
      </c>
      <c r="AA447" t="s">
        <v>74</v>
      </c>
      <c r="AB447" t="s">
        <v>7172</v>
      </c>
      <c r="AC447" t="s">
        <v>74</v>
      </c>
      <c r="AD447" t="s">
        <v>74</v>
      </c>
      <c r="AE447" t="s">
        <v>74</v>
      </c>
      <c r="AF447" t="s">
        <v>74</v>
      </c>
      <c r="AG447" t="s">
        <v>74</v>
      </c>
      <c r="AH447" t="s">
        <v>74</v>
      </c>
      <c r="AI447" t="s">
        <v>74</v>
      </c>
      <c r="AJ447" t="s">
        <v>74</v>
      </c>
      <c r="AK447" t="s">
        <v>74</v>
      </c>
      <c r="AL447" t="s">
        <v>74</v>
      </c>
      <c r="AM447" t="s">
        <v>74</v>
      </c>
      <c r="AN447" t="s">
        <v>74</v>
      </c>
      <c r="AO447" t="s">
        <v>3240</v>
      </c>
      <c r="AP447" t="s">
        <v>74</v>
      </c>
      <c r="AQ447" t="s">
        <v>74</v>
      </c>
      <c r="AR447" t="s">
        <v>74</v>
      </c>
      <c r="AS447" t="s">
        <v>74</v>
      </c>
      <c r="AT447" t="s">
        <v>123</v>
      </c>
      <c r="AU447">
        <v>2002</v>
      </c>
      <c r="AV447">
        <v>95</v>
      </c>
      <c r="AW447">
        <v>2</v>
      </c>
      <c r="AX447" t="s">
        <v>74</v>
      </c>
      <c r="AY447" t="s">
        <v>74</v>
      </c>
      <c r="AZ447" t="s">
        <v>74</v>
      </c>
      <c r="BA447" t="s">
        <v>74</v>
      </c>
      <c r="BB447">
        <v>172</v>
      </c>
      <c r="BC447">
        <v>191</v>
      </c>
      <c r="BD447" t="s">
        <v>74</v>
      </c>
      <c r="BE447" t="s">
        <v>7173</v>
      </c>
      <c r="BF447" t="str">
        <f>HYPERLINK("http://dx.doi.org/10.1603/0013-8746(2002)095[0172:DTTCCI]2.0.CO;2","http://dx.doi.org/10.1603/0013-8746(2002)095[0172:DTTCCI]2.0.CO;2")</f>
        <v>http://dx.doi.org/10.1603/0013-8746(2002)095[0172:DTTCCI]2.0.CO;2</v>
      </c>
      <c r="BG447" t="s">
        <v>74</v>
      </c>
      <c r="BH447" t="s">
        <v>74</v>
      </c>
      <c r="BI447" t="s">
        <v>74</v>
      </c>
      <c r="BJ447" t="s">
        <v>74</v>
      </c>
      <c r="BK447" t="s">
        <v>74</v>
      </c>
      <c r="BL447" t="s">
        <v>74</v>
      </c>
      <c r="BM447" t="s">
        <v>74</v>
      </c>
      <c r="BN447" t="s">
        <v>74</v>
      </c>
      <c r="BO447" t="s">
        <v>74</v>
      </c>
      <c r="BP447" t="s">
        <v>74</v>
      </c>
      <c r="BQ447" t="s">
        <v>74</v>
      </c>
      <c r="BR447" t="s">
        <v>74</v>
      </c>
      <c r="BS447" t="s">
        <v>7174</v>
      </c>
      <c r="BT447" t="str">
        <f>HYPERLINK("https%3A%2F%2Fwww.webofscience.com%2Fwos%2Fwoscc%2Ffull-record%2FWOS:000178373100006","View Full Record in Web of Science")</f>
        <v>View Full Record in Web of Science</v>
      </c>
    </row>
    <row r="448" spans="1:72" x14ac:dyDescent="0.4">
      <c r="A448" t="s">
        <v>72</v>
      </c>
      <c r="B448" t="s">
        <v>8504</v>
      </c>
      <c r="C448" t="s">
        <v>74</v>
      </c>
      <c r="D448" t="s">
        <v>74</v>
      </c>
      <c r="E448" t="s">
        <v>74</v>
      </c>
      <c r="F448" t="s">
        <v>8505</v>
      </c>
      <c r="G448" t="s">
        <v>74</v>
      </c>
      <c r="H448" t="s">
        <v>74</v>
      </c>
      <c r="I448" t="s">
        <v>8506</v>
      </c>
      <c r="J448" t="s">
        <v>2847</v>
      </c>
      <c r="K448" t="s">
        <v>74</v>
      </c>
      <c r="L448" t="s">
        <v>74</v>
      </c>
      <c r="M448" t="s">
        <v>74</v>
      </c>
      <c r="N448" t="s">
        <v>74</v>
      </c>
      <c r="O448" t="s">
        <v>74</v>
      </c>
      <c r="P448" t="s">
        <v>74</v>
      </c>
      <c r="Q448" t="s">
        <v>74</v>
      </c>
      <c r="R448" t="s">
        <v>74</v>
      </c>
      <c r="S448" t="s">
        <v>74</v>
      </c>
      <c r="T448" t="s">
        <v>74</v>
      </c>
      <c r="U448" t="s">
        <v>74</v>
      </c>
      <c r="V448" s="3" t="s">
        <v>8507</v>
      </c>
      <c r="W448" t="s">
        <v>74</v>
      </c>
      <c r="X448" t="s">
        <v>74</v>
      </c>
      <c r="Y448" t="s">
        <v>74</v>
      </c>
      <c r="Z448" t="s">
        <v>74</v>
      </c>
      <c r="AA448" t="s">
        <v>8508</v>
      </c>
      <c r="AB448" t="s">
        <v>8509</v>
      </c>
      <c r="AC448" t="s">
        <v>74</v>
      </c>
      <c r="AD448" t="s">
        <v>74</v>
      </c>
      <c r="AE448" t="s">
        <v>74</v>
      </c>
      <c r="AF448" t="s">
        <v>74</v>
      </c>
      <c r="AG448" t="s">
        <v>74</v>
      </c>
      <c r="AH448" t="s">
        <v>74</v>
      </c>
      <c r="AI448" t="s">
        <v>74</v>
      </c>
      <c r="AJ448" t="s">
        <v>74</v>
      </c>
      <c r="AK448" t="s">
        <v>74</v>
      </c>
      <c r="AL448" t="s">
        <v>74</v>
      </c>
      <c r="AM448" t="s">
        <v>74</v>
      </c>
      <c r="AN448" t="s">
        <v>74</v>
      </c>
      <c r="AO448" t="s">
        <v>2849</v>
      </c>
      <c r="AP448" t="s">
        <v>2850</v>
      </c>
      <c r="AQ448" t="s">
        <v>74</v>
      </c>
      <c r="AR448" t="s">
        <v>74</v>
      </c>
      <c r="AS448" t="s">
        <v>74</v>
      </c>
      <c r="AT448" t="s">
        <v>4744</v>
      </c>
      <c r="AU448">
        <v>2012</v>
      </c>
      <c r="AV448">
        <v>426</v>
      </c>
      <c r="AW448" t="s">
        <v>74</v>
      </c>
      <c r="AX448" t="s">
        <v>74</v>
      </c>
      <c r="AY448" t="s">
        <v>74</v>
      </c>
      <c r="AZ448" t="s">
        <v>74</v>
      </c>
      <c r="BA448" t="s">
        <v>74</v>
      </c>
      <c r="BB448">
        <v>1</v>
      </c>
      <c r="BC448">
        <v>4</v>
      </c>
      <c r="BD448" t="s">
        <v>74</v>
      </c>
      <c r="BE448" t="s">
        <v>8510</v>
      </c>
      <c r="BF448" t="str">
        <f>HYPERLINK("http://dx.doi.org/10.1016/j.jembe.2012.05.011","http://dx.doi.org/10.1016/j.jembe.2012.05.011")</f>
        <v>http://dx.doi.org/10.1016/j.jembe.2012.05.011</v>
      </c>
      <c r="BG448" t="s">
        <v>74</v>
      </c>
      <c r="BH448" t="s">
        <v>74</v>
      </c>
      <c r="BI448" t="s">
        <v>74</v>
      </c>
      <c r="BJ448" t="s">
        <v>74</v>
      </c>
      <c r="BK448" t="s">
        <v>74</v>
      </c>
      <c r="BL448" t="s">
        <v>74</v>
      </c>
      <c r="BM448" t="s">
        <v>74</v>
      </c>
      <c r="BN448" t="s">
        <v>74</v>
      </c>
      <c r="BO448" t="s">
        <v>74</v>
      </c>
      <c r="BP448" t="s">
        <v>74</v>
      </c>
      <c r="BQ448" t="s">
        <v>74</v>
      </c>
      <c r="BR448" t="s">
        <v>74</v>
      </c>
      <c r="BS448" t="s">
        <v>8511</v>
      </c>
      <c r="BT448" t="str">
        <f>HYPERLINK("https%3A%2F%2Fwww.webofscience.com%2Fwos%2Fwoscc%2Ffull-record%2FWOS:000306623700001","View Full Record in Web of Science")</f>
        <v>View Full Record in Web of Science</v>
      </c>
    </row>
    <row r="449" spans="1:72" x14ac:dyDescent="0.4">
      <c r="A449" t="s">
        <v>72</v>
      </c>
      <c r="B449" t="s">
        <v>1644</v>
      </c>
      <c r="C449" t="s">
        <v>74</v>
      </c>
      <c r="D449" t="s">
        <v>74</v>
      </c>
      <c r="E449" t="s">
        <v>74</v>
      </c>
      <c r="F449" t="s">
        <v>1645</v>
      </c>
      <c r="G449" t="s">
        <v>74</v>
      </c>
      <c r="H449" t="s">
        <v>74</v>
      </c>
      <c r="I449" t="s">
        <v>1646</v>
      </c>
      <c r="J449" t="s">
        <v>1647</v>
      </c>
      <c r="K449" t="s">
        <v>74</v>
      </c>
      <c r="L449" t="s">
        <v>74</v>
      </c>
      <c r="M449" t="s">
        <v>74</v>
      </c>
      <c r="N449" t="s">
        <v>74</v>
      </c>
      <c r="O449" t="s">
        <v>74</v>
      </c>
      <c r="P449" t="s">
        <v>74</v>
      </c>
      <c r="Q449" t="s">
        <v>74</v>
      </c>
      <c r="R449" t="s">
        <v>74</v>
      </c>
      <c r="S449" t="s">
        <v>74</v>
      </c>
      <c r="T449" t="s">
        <v>74</v>
      </c>
      <c r="U449" t="s">
        <v>74</v>
      </c>
      <c r="V449" s="3" t="s">
        <v>1648</v>
      </c>
      <c r="W449" t="s">
        <v>74</v>
      </c>
      <c r="X449" t="s">
        <v>74</v>
      </c>
      <c r="Y449" t="s">
        <v>74</v>
      </c>
      <c r="Z449" t="s">
        <v>74</v>
      </c>
      <c r="AA449" t="s">
        <v>74</v>
      </c>
      <c r="AB449" t="s">
        <v>74</v>
      </c>
      <c r="AC449" t="s">
        <v>74</v>
      </c>
      <c r="AD449" t="s">
        <v>74</v>
      </c>
      <c r="AE449" t="s">
        <v>74</v>
      </c>
      <c r="AF449" t="s">
        <v>74</v>
      </c>
      <c r="AG449" t="s">
        <v>74</v>
      </c>
      <c r="AH449" t="s">
        <v>74</v>
      </c>
      <c r="AI449" t="s">
        <v>74</v>
      </c>
      <c r="AJ449" t="s">
        <v>74</v>
      </c>
      <c r="AK449" t="s">
        <v>74</v>
      </c>
      <c r="AL449" t="s">
        <v>74</v>
      </c>
      <c r="AM449" t="s">
        <v>74</v>
      </c>
      <c r="AN449" t="s">
        <v>74</v>
      </c>
      <c r="AO449" t="s">
        <v>1649</v>
      </c>
      <c r="AP449" t="s">
        <v>74</v>
      </c>
      <c r="AQ449" t="s">
        <v>74</v>
      </c>
      <c r="AR449" t="s">
        <v>74</v>
      </c>
      <c r="AS449" t="s">
        <v>74</v>
      </c>
      <c r="AT449" t="s">
        <v>1650</v>
      </c>
      <c r="AU449">
        <v>2018</v>
      </c>
      <c r="AV449">
        <v>69</v>
      </c>
      <c r="AW449">
        <v>2</v>
      </c>
      <c r="AX449" t="s">
        <v>74</v>
      </c>
      <c r="AY449" t="s">
        <v>74</v>
      </c>
      <c r="AZ449" t="s">
        <v>74</v>
      </c>
      <c r="BA449" t="s">
        <v>74</v>
      </c>
      <c r="BB449">
        <v>951</v>
      </c>
      <c r="BC449">
        <v>958</v>
      </c>
      <c r="BD449" t="s">
        <v>74</v>
      </c>
      <c r="BE449" t="s">
        <v>1651</v>
      </c>
      <c r="BF449" t="str">
        <f>HYPERLINK("http://dx.doi.org/10.12681/jhvms.18017","http://dx.doi.org/10.12681/jhvms.18017")</f>
        <v>http://dx.doi.org/10.12681/jhvms.18017</v>
      </c>
      <c r="BG449" t="s">
        <v>74</v>
      </c>
      <c r="BH449" t="s">
        <v>74</v>
      </c>
      <c r="BI449" t="s">
        <v>74</v>
      </c>
      <c r="BJ449" t="s">
        <v>74</v>
      </c>
      <c r="BK449" t="s">
        <v>74</v>
      </c>
      <c r="BL449" t="s">
        <v>74</v>
      </c>
      <c r="BM449" t="s">
        <v>74</v>
      </c>
      <c r="BN449" t="s">
        <v>74</v>
      </c>
      <c r="BO449" t="s">
        <v>74</v>
      </c>
      <c r="BP449" t="s">
        <v>74</v>
      </c>
      <c r="BQ449" t="s">
        <v>74</v>
      </c>
      <c r="BR449" t="s">
        <v>74</v>
      </c>
      <c r="BS449" t="s">
        <v>1652</v>
      </c>
      <c r="BT449" t="str">
        <f>HYPERLINK("https%3A%2F%2Fwww.webofscience.com%2Fwos%2Fwoscc%2Ffull-record%2FWOS:000439066300006","View Full Record in Web of Science")</f>
        <v>View Full Record in Web of Science</v>
      </c>
    </row>
    <row r="450" spans="1:72" x14ac:dyDescent="0.4">
      <c r="A450" t="s">
        <v>72</v>
      </c>
      <c r="B450" t="s">
        <v>6168</v>
      </c>
      <c r="C450" t="s">
        <v>74</v>
      </c>
      <c r="D450" t="s">
        <v>74</v>
      </c>
      <c r="E450" t="s">
        <v>74</v>
      </c>
      <c r="F450" t="s">
        <v>6168</v>
      </c>
      <c r="G450" t="s">
        <v>74</v>
      </c>
      <c r="H450" t="s">
        <v>74</v>
      </c>
      <c r="I450" t="s">
        <v>6169</v>
      </c>
      <c r="J450" t="s">
        <v>201</v>
      </c>
      <c r="K450" t="s">
        <v>74</v>
      </c>
      <c r="L450" t="s">
        <v>74</v>
      </c>
      <c r="M450" t="s">
        <v>74</v>
      </c>
      <c r="N450" t="s">
        <v>74</v>
      </c>
      <c r="O450" t="s">
        <v>74</v>
      </c>
      <c r="P450" t="s">
        <v>74</v>
      </c>
      <c r="Q450" t="s">
        <v>74</v>
      </c>
      <c r="R450" t="s">
        <v>74</v>
      </c>
      <c r="S450" t="s">
        <v>74</v>
      </c>
      <c r="T450" t="s">
        <v>74</v>
      </c>
      <c r="U450" t="s">
        <v>74</v>
      </c>
      <c r="V450" s="3" t="s">
        <v>6170</v>
      </c>
      <c r="W450" t="s">
        <v>74</v>
      </c>
      <c r="X450" t="s">
        <v>74</v>
      </c>
      <c r="Y450" t="s">
        <v>74</v>
      </c>
      <c r="Z450" t="s">
        <v>74</v>
      </c>
      <c r="AA450" t="s">
        <v>6171</v>
      </c>
      <c r="AB450" t="s">
        <v>6172</v>
      </c>
      <c r="AC450" t="s">
        <v>74</v>
      </c>
      <c r="AD450" t="s">
        <v>74</v>
      </c>
      <c r="AE450" t="s">
        <v>74</v>
      </c>
      <c r="AF450" t="s">
        <v>74</v>
      </c>
      <c r="AG450" t="s">
        <v>74</v>
      </c>
      <c r="AH450" t="s">
        <v>74</v>
      </c>
      <c r="AI450" t="s">
        <v>74</v>
      </c>
      <c r="AJ450" t="s">
        <v>74</v>
      </c>
      <c r="AK450" t="s">
        <v>74</v>
      </c>
      <c r="AL450" t="s">
        <v>74</v>
      </c>
      <c r="AM450" t="s">
        <v>74</v>
      </c>
      <c r="AN450" t="s">
        <v>74</v>
      </c>
      <c r="AO450" t="s">
        <v>203</v>
      </c>
      <c r="AP450" t="s">
        <v>1192</v>
      </c>
      <c r="AQ450" t="s">
        <v>74</v>
      </c>
      <c r="AR450" t="s">
        <v>74</v>
      </c>
      <c r="AS450" t="s">
        <v>74</v>
      </c>
      <c r="AT450" t="s">
        <v>964</v>
      </c>
      <c r="AU450">
        <v>2006</v>
      </c>
      <c r="AV450">
        <v>68</v>
      </c>
      <c r="AW450">
        <v>2</v>
      </c>
      <c r="AX450" t="s">
        <v>74</v>
      </c>
      <c r="AY450" t="s">
        <v>74</v>
      </c>
      <c r="AZ450" t="s">
        <v>74</v>
      </c>
      <c r="BA450" t="s">
        <v>74</v>
      </c>
      <c r="BB450">
        <v>555</v>
      </c>
      <c r="BC450">
        <v>568</v>
      </c>
      <c r="BD450" t="s">
        <v>74</v>
      </c>
      <c r="BE450" t="s">
        <v>6173</v>
      </c>
      <c r="BF450" t="str">
        <f>HYPERLINK("http://dx.doi.org/10.1111/j.0022-1112.2006.00941.x","http://dx.doi.org/10.1111/j.0022-1112.2006.00941.x")</f>
        <v>http://dx.doi.org/10.1111/j.0022-1112.2006.00941.x</v>
      </c>
      <c r="BG450" t="s">
        <v>74</v>
      </c>
      <c r="BH450" t="s">
        <v>74</v>
      </c>
      <c r="BI450" t="s">
        <v>74</v>
      </c>
      <c r="BJ450" t="s">
        <v>74</v>
      </c>
      <c r="BK450" t="s">
        <v>74</v>
      </c>
      <c r="BL450" t="s">
        <v>74</v>
      </c>
      <c r="BM450" t="s">
        <v>74</v>
      </c>
      <c r="BN450" t="s">
        <v>74</v>
      </c>
      <c r="BO450" t="s">
        <v>74</v>
      </c>
      <c r="BP450" t="s">
        <v>74</v>
      </c>
      <c r="BQ450" t="s">
        <v>74</v>
      </c>
      <c r="BR450" t="s">
        <v>74</v>
      </c>
      <c r="BS450" t="s">
        <v>6174</v>
      </c>
      <c r="BT450" t="str">
        <f>HYPERLINK("https%3A%2F%2Fwww.webofscience.com%2Fwos%2Fwoscc%2Ffull-record%2FWOS:000235469400016","View Full Record in Web of Science")</f>
        <v>View Full Record in Web of Science</v>
      </c>
    </row>
    <row r="451" spans="1:72" x14ac:dyDescent="0.4">
      <c r="A451" t="s">
        <v>72</v>
      </c>
      <c r="B451" t="s">
        <v>1229</v>
      </c>
      <c r="C451" t="s">
        <v>74</v>
      </c>
      <c r="D451" t="s">
        <v>74</v>
      </c>
      <c r="E451" t="s">
        <v>74</v>
      </c>
      <c r="F451" t="s">
        <v>1229</v>
      </c>
      <c r="G451" t="s">
        <v>74</v>
      </c>
      <c r="H451" t="s">
        <v>74</v>
      </c>
      <c r="I451" t="s">
        <v>1230</v>
      </c>
      <c r="J451" t="s">
        <v>119</v>
      </c>
      <c r="K451" t="s">
        <v>74</v>
      </c>
      <c r="L451" t="s">
        <v>74</v>
      </c>
      <c r="M451" t="s">
        <v>74</v>
      </c>
      <c r="N451" t="s">
        <v>74</v>
      </c>
      <c r="O451" t="s">
        <v>74</v>
      </c>
      <c r="P451" t="s">
        <v>74</v>
      </c>
      <c r="Q451" t="s">
        <v>74</v>
      </c>
      <c r="R451" t="s">
        <v>74</v>
      </c>
      <c r="S451" t="s">
        <v>74</v>
      </c>
      <c r="T451" t="s">
        <v>74</v>
      </c>
      <c r="U451" t="s">
        <v>74</v>
      </c>
      <c r="V451" s="3" t="s">
        <v>1231</v>
      </c>
      <c r="W451" t="s">
        <v>74</v>
      </c>
      <c r="X451" t="s">
        <v>74</v>
      </c>
      <c r="Y451" t="s">
        <v>74</v>
      </c>
      <c r="Z451" t="s">
        <v>74</v>
      </c>
      <c r="AA451" t="s">
        <v>1232</v>
      </c>
      <c r="AB451" t="s">
        <v>74</v>
      </c>
      <c r="AC451" t="s">
        <v>74</v>
      </c>
      <c r="AD451" t="s">
        <v>74</v>
      </c>
      <c r="AE451" t="s">
        <v>74</v>
      </c>
      <c r="AF451" t="s">
        <v>74</v>
      </c>
      <c r="AG451" t="s">
        <v>74</v>
      </c>
      <c r="AH451" t="s">
        <v>74</v>
      </c>
      <c r="AI451" t="s">
        <v>74</v>
      </c>
      <c r="AJ451" t="s">
        <v>74</v>
      </c>
      <c r="AK451" t="s">
        <v>74</v>
      </c>
      <c r="AL451" t="s">
        <v>74</v>
      </c>
      <c r="AM451" t="s">
        <v>74</v>
      </c>
      <c r="AN451" t="s">
        <v>74</v>
      </c>
      <c r="AO451" t="s">
        <v>121</v>
      </c>
      <c r="AP451" t="s">
        <v>74</v>
      </c>
      <c r="AQ451" t="s">
        <v>74</v>
      </c>
      <c r="AR451" t="s">
        <v>74</v>
      </c>
      <c r="AS451" t="s">
        <v>74</v>
      </c>
      <c r="AT451" t="s">
        <v>102</v>
      </c>
      <c r="AU451">
        <v>1998</v>
      </c>
      <c r="AV451">
        <v>43</v>
      </c>
      <c r="AW451">
        <v>3</v>
      </c>
      <c r="AX451" t="s">
        <v>74</v>
      </c>
      <c r="AY451" t="s">
        <v>74</v>
      </c>
      <c r="AZ451" t="s">
        <v>74</v>
      </c>
      <c r="BA451" t="s">
        <v>74</v>
      </c>
      <c r="BB451">
        <v>251</v>
      </c>
      <c r="BC451">
        <v>255</v>
      </c>
      <c r="BD451" t="s">
        <v>74</v>
      </c>
      <c r="BE451" t="s">
        <v>1233</v>
      </c>
      <c r="BF451" t="str">
        <f>HYPERLINK("http://dx.doi.org/10.1016/S0376-6357(98)00006-0","http://dx.doi.org/10.1016/S0376-6357(98)00006-0")</f>
        <v>http://dx.doi.org/10.1016/S0376-6357(98)00006-0</v>
      </c>
      <c r="BG451" t="s">
        <v>74</v>
      </c>
      <c r="BH451" t="s">
        <v>74</v>
      </c>
      <c r="BI451" t="s">
        <v>74</v>
      </c>
      <c r="BJ451" t="s">
        <v>74</v>
      </c>
      <c r="BK451" t="s">
        <v>74</v>
      </c>
      <c r="BL451" t="s">
        <v>74</v>
      </c>
      <c r="BM451" t="s">
        <v>74</v>
      </c>
      <c r="BN451">
        <v>24896492</v>
      </c>
      <c r="BO451" t="s">
        <v>74</v>
      </c>
      <c r="BP451" t="s">
        <v>74</v>
      </c>
      <c r="BQ451" t="s">
        <v>74</v>
      </c>
      <c r="BR451" t="s">
        <v>74</v>
      </c>
      <c r="BS451" t="s">
        <v>1234</v>
      </c>
      <c r="BT451" t="str">
        <f>HYPERLINK("https%3A%2F%2Fwww.webofscience.com%2Fwos%2Fwoscc%2Ffull-record%2FWOS:000075498300002","View Full Record in Web of Science")</f>
        <v>View Full Record in Web of Science</v>
      </c>
    </row>
    <row r="452" spans="1:72" x14ac:dyDescent="0.4">
      <c r="A452" t="s">
        <v>72</v>
      </c>
      <c r="B452" t="s">
        <v>3905</v>
      </c>
      <c r="C452" t="s">
        <v>74</v>
      </c>
      <c r="D452" t="s">
        <v>74</v>
      </c>
      <c r="E452" t="s">
        <v>74</v>
      </c>
      <c r="F452" t="s">
        <v>3906</v>
      </c>
      <c r="G452" t="s">
        <v>74</v>
      </c>
      <c r="H452" t="s">
        <v>74</v>
      </c>
      <c r="I452" t="s">
        <v>3907</v>
      </c>
      <c r="J452" t="s">
        <v>129</v>
      </c>
      <c r="K452" t="s">
        <v>74</v>
      </c>
      <c r="L452" t="s">
        <v>74</v>
      </c>
      <c r="M452" t="s">
        <v>74</v>
      </c>
      <c r="N452" t="s">
        <v>74</v>
      </c>
      <c r="O452" t="s">
        <v>74</v>
      </c>
      <c r="P452" t="s">
        <v>74</v>
      </c>
      <c r="Q452" t="s">
        <v>74</v>
      </c>
      <c r="R452" t="s">
        <v>74</v>
      </c>
      <c r="S452" t="s">
        <v>74</v>
      </c>
      <c r="T452" t="s">
        <v>74</v>
      </c>
      <c r="U452" t="s">
        <v>74</v>
      </c>
      <c r="V452" s="3" t="s">
        <v>3908</v>
      </c>
      <c r="W452" t="s">
        <v>74</v>
      </c>
      <c r="X452" t="s">
        <v>74</v>
      </c>
      <c r="Y452" t="s">
        <v>74</v>
      </c>
      <c r="Z452" t="s">
        <v>74</v>
      </c>
      <c r="AA452" t="s">
        <v>3909</v>
      </c>
      <c r="AB452" t="s">
        <v>3910</v>
      </c>
      <c r="AC452" t="s">
        <v>74</v>
      </c>
      <c r="AD452" t="s">
        <v>74</v>
      </c>
      <c r="AE452" t="s">
        <v>74</v>
      </c>
      <c r="AF452" t="s">
        <v>74</v>
      </c>
      <c r="AG452" t="s">
        <v>74</v>
      </c>
      <c r="AH452" t="s">
        <v>74</v>
      </c>
      <c r="AI452" t="s">
        <v>74</v>
      </c>
      <c r="AJ452" t="s">
        <v>74</v>
      </c>
      <c r="AK452" t="s">
        <v>74</v>
      </c>
      <c r="AL452" t="s">
        <v>74</v>
      </c>
      <c r="AM452" t="s">
        <v>74</v>
      </c>
      <c r="AN452" t="s">
        <v>74</v>
      </c>
      <c r="AO452" t="s">
        <v>132</v>
      </c>
      <c r="AP452" t="s">
        <v>74</v>
      </c>
      <c r="AQ452" t="s">
        <v>74</v>
      </c>
      <c r="AR452" t="s">
        <v>74</v>
      </c>
      <c r="AS452" t="s">
        <v>74</v>
      </c>
      <c r="AT452" t="s">
        <v>204</v>
      </c>
      <c r="AU452">
        <v>2011</v>
      </c>
      <c r="AV452">
        <v>65</v>
      </c>
      <c r="AW452">
        <v>7</v>
      </c>
      <c r="AX452" t="s">
        <v>74</v>
      </c>
      <c r="AY452" t="s">
        <v>74</v>
      </c>
      <c r="AZ452" t="s">
        <v>74</v>
      </c>
      <c r="BA452" t="s">
        <v>74</v>
      </c>
      <c r="BB452">
        <v>1403</v>
      </c>
      <c r="BC452">
        <v>1410</v>
      </c>
      <c r="BD452" t="s">
        <v>74</v>
      </c>
      <c r="BE452" t="s">
        <v>3911</v>
      </c>
      <c r="BF452" t="str">
        <f>HYPERLINK("http://dx.doi.org/10.1007/s00265-011-1150-1","http://dx.doi.org/10.1007/s00265-011-1150-1")</f>
        <v>http://dx.doi.org/10.1007/s00265-011-1150-1</v>
      </c>
      <c r="BG452" t="s">
        <v>74</v>
      </c>
      <c r="BH452" t="s">
        <v>74</v>
      </c>
      <c r="BI452" t="s">
        <v>74</v>
      </c>
      <c r="BJ452" t="s">
        <v>74</v>
      </c>
      <c r="BK452" t="s">
        <v>74</v>
      </c>
      <c r="BL452" t="s">
        <v>74</v>
      </c>
      <c r="BM452" t="s">
        <v>74</v>
      </c>
      <c r="BN452" t="s">
        <v>74</v>
      </c>
      <c r="BO452" t="s">
        <v>74</v>
      </c>
      <c r="BP452" t="s">
        <v>74</v>
      </c>
      <c r="BQ452" t="s">
        <v>74</v>
      </c>
      <c r="BR452" t="s">
        <v>74</v>
      </c>
      <c r="BS452" t="s">
        <v>3912</v>
      </c>
      <c r="BT452" t="str">
        <f>HYPERLINK("https%3A%2F%2Fwww.webofscience.com%2Fwos%2Fwoscc%2Ffull-record%2FWOS:000291654000006","View Full Record in Web of Science")</f>
        <v>View Full Record in Web of Science</v>
      </c>
    </row>
    <row r="453" spans="1:72" x14ac:dyDescent="0.4">
      <c r="A453" t="s">
        <v>72</v>
      </c>
      <c r="B453" t="s">
        <v>472</v>
      </c>
      <c r="C453" t="s">
        <v>74</v>
      </c>
      <c r="D453" t="s">
        <v>74</v>
      </c>
      <c r="E453" t="s">
        <v>74</v>
      </c>
      <c r="F453" t="s">
        <v>473</v>
      </c>
      <c r="G453" t="s">
        <v>74</v>
      </c>
      <c r="H453" t="s">
        <v>74</v>
      </c>
      <c r="I453" t="s">
        <v>474</v>
      </c>
      <c r="J453" t="s">
        <v>475</v>
      </c>
      <c r="K453" t="s">
        <v>74</v>
      </c>
      <c r="L453" t="s">
        <v>74</v>
      </c>
      <c r="M453" t="s">
        <v>74</v>
      </c>
      <c r="N453" t="s">
        <v>74</v>
      </c>
      <c r="O453" t="s">
        <v>74</v>
      </c>
      <c r="P453" t="s">
        <v>74</v>
      </c>
      <c r="Q453" t="s">
        <v>74</v>
      </c>
      <c r="R453" t="s">
        <v>74</v>
      </c>
      <c r="S453" t="s">
        <v>74</v>
      </c>
      <c r="T453" t="s">
        <v>74</v>
      </c>
      <c r="U453" t="s">
        <v>74</v>
      </c>
      <c r="V453" s="3" t="s">
        <v>476</v>
      </c>
      <c r="W453" t="s">
        <v>74</v>
      </c>
      <c r="X453" t="s">
        <v>74</v>
      </c>
      <c r="Y453" t="s">
        <v>74</v>
      </c>
      <c r="Z453" t="s">
        <v>74</v>
      </c>
      <c r="AA453" t="s">
        <v>74</v>
      </c>
      <c r="AB453" t="s">
        <v>274</v>
      </c>
      <c r="AC453" t="s">
        <v>74</v>
      </c>
      <c r="AD453" t="s">
        <v>74</v>
      </c>
      <c r="AE453" t="s">
        <v>74</v>
      </c>
      <c r="AF453" t="s">
        <v>74</v>
      </c>
      <c r="AG453" t="s">
        <v>74</v>
      </c>
      <c r="AH453" t="s">
        <v>74</v>
      </c>
      <c r="AI453" t="s">
        <v>74</v>
      </c>
      <c r="AJ453" t="s">
        <v>74</v>
      </c>
      <c r="AK453" t="s">
        <v>74</v>
      </c>
      <c r="AL453" t="s">
        <v>74</v>
      </c>
      <c r="AM453" t="s">
        <v>74</v>
      </c>
      <c r="AN453" t="s">
        <v>74</v>
      </c>
      <c r="AO453" t="s">
        <v>477</v>
      </c>
      <c r="AP453" t="s">
        <v>74</v>
      </c>
      <c r="AQ453" t="s">
        <v>74</v>
      </c>
      <c r="AR453" t="s">
        <v>74</v>
      </c>
      <c r="AS453" t="s">
        <v>74</v>
      </c>
      <c r="AT453" t="s">
        <v>361</v>
      </c>
      <c r="AU453">
        <v>2012</v>
      </c>
      <c r="AV453">
        <v>176</v>
      </c>
      <c r="AW453">
        <v>3</v>
      </c>
      <c r="AX453" t="s">
        <v>74</v>
      </c>
      <c r="AY453" t="s">
        <v>74</v>
      </c>
      <c r="AZ453" t="s">
        <v>74</v>
      </c>
      <c r="BA453" t="s">
        <v>74</v>
      </c>
      <c r="BB453">
        <v>493</v>
      </c>
      <c r="BC453">
        <v>499</v>
      </c>
      <c r="BD453" t="s">
        <v>74</v>
      </c>
      <c r="BE453" t="s">
        <v>478</v>
      </c>
      <c r="BF453" t="str">
        <f>HYPERLINK("http://dx.doi.org/10.1016/j.ygcen.2011.12.028","http://dx.doi.org/10.1016/j.ygcen.2011.12.028")</f>
        <v>http://dx.doi.org/10.1016/j.ygcen.2011.12.028</v>
      </c>
      <c r="BG453" t="s">
        <v>74</v>
      </c>
      <c r="BH453" t="s">
        <v>74</v>
      </c>
      <c r="BI453" t="s">
        <v>74</v>
      </c>
      <c r="BJ453" t="s">
        <v>74</v>
      </c>
      <c r="BK453" t="s">
        <v>74</v>
      </c>
      <c r="BL453" t="s">
        <v>74</v>
      </c>
      <c r="BM453" t="s">
        <v>74</v>
      </c>
      <c r="BN453">
        <v>22230767</v>
      </c>
      <c r="BO453" t="s">
        <v>74</v>
      </c>
      <c r="BP453" t="s">
        <v>74</v>
      </c>
      <c r="BQ453" t="s">
        <v>74</v>
      </c>
      <c r="BR453" t="s">
        <v>74</v>
      </c>
      <c r="BS453" t="s">
        <v>479</v>
      </c>
      <c r="BT453" t="str">
        <f>HYPERLINK("https%3A%2F%2Fwww.webofscience.com%2Fwos%2Fwoscc%2Ffull-record%2FWOS:000303700900032","View Full Record in Web of Science")</f>
        <v>View Full Record in Web of Science</v>
      </c>
    </row>
    <row r="454" spans="1:72" x14ac:dyDescent="0.4">
      <c r="A454" t="s">
        <v>72</v>
      </c>
      <c r="B454" t="s">
        <v>4567</v>
      </c>
      <c r="C454" t="s">
        <v>74</v>
      </c>
      <c r="D454" t="s">
        <v>74</v>
      </c>
      <c r="E454" t="s">
        <v>74</v>
      </c>
      <c r="F454" t="s">
        <v>4567</v>
      </c>
      <c r="G454" t="s">
        <v>74</v>
      </c>
      <c r="H454" t="s">
        <v>74</v>
      </c>
      <c r="I454" t="s">
        <v>4568</v>
      </c>
      <c r="J454" t="s">
        <v>610</v>
      </c>
      <c r="K454" t="s">
        <v>74</v>
      </c>
      <c r="L454" t="s">
        <v>74</v>
      </c>
      <c r="M454" t="s">
        <v>74</v>
      </c>
      <c r="N454" t="s">
        <v>74</v>
      </c>
      <c r="O454" t="s">
        <v>74</v>
      </c>
      <c r="P454" t="s">
        <v>74</v>
      </c>
      <c r="Q454" t="s">
        <v>74</v>
      </c>
      <c r="R454" t="s">
        <v>74</v>
      </c>
      <c r="S454" t="s">
        <v>74</v>
      </c>
      <c r="T454" t="s">
        <v>74</v>
      </c>
      <c r="U454" t="s">
        <v>74</v>
      </c>
      <c r="V454" s="3" t="s">
        <v>4569</v>
      </c>
      <c r="W454" t="s">
        <v>74</v>
      </c>
      <c r="X454" t="s">
        <v>74</v>
      </c>
      <c r="Y454" t="s">
        <v>74</v>
      </c>
      <c r="Z454" t="s">
        <v>74</v>
      </c>
      <c r="AA454" t="s">
        <v>74</v>
      </c>
      <c r="AB454" t="s">
        <v>4570</v>
      </c>
      <c r="AC454" t="s">
        <v>74</v>
      </c>
      <c r="AD454" t="s">
        <v>74</v>
      </c>
      <c r="AE454" t="s">
        <v>74</v>
      </c>
      <c r="AF454" t="s">
        <v>74</v>
      </c>
      <c r="AG454" t="s">
        <v>74</v>
      </c>
      <c r="AH454" t="s">
        <v>74</v>
      </c>
      <c r="AI454" t="s">
        <v>74</v>
      </c>
      <c r="AJ454" t="s">
        <v>74</v>
      </c>
      <c r="AK454" t="s">
        <v>74</v>
      </c>
      <c r="AL454" t="s">
        <v>74</v>
      </c>
      <c r="AM454" t="s">
        <v>74</v>
      </c>
      <c r="AN454" t="s">
        <v>74</v>
      </c>
      <c r="AO454" t="s">
        <v>614</v>
      </c>
      <c r="AP454" t="s">
        <v>615</v>
      </c>
      <c r="AQ454" t="s">
        <v>74</v>
      </c>
      <c r="AR454" t="s">
        <v>74</v>
      </c>
      <c r="AS454" t="s">
        <v>74</v>
      </c>
      <c r="AT454" t="s">
        <v>352</v>
      </c>
      <c r="AU454">
        <v>2001</v>
      </c>
      <c r="AV454">
        <v>107</v>
      </c>
      <c r="AW454">
        <v>9</v>
      </c>
      <c r="AX454" t="s">
        <v>74</v>
      </c>
      <c r="AY454" t="s">
        <v>74</v>
      </c>
      <c r="AZ454" t="s">
        <v>74</v>
      </c>
      <c r="BA454" t="s">
        <v>74</v>
      </c>
      <c r="BB454">
        <v>839</v>
      </c>
      <c r="BC454">
        <v>850</v>
      </c>
      <c r="BD454" t="s">
        <v>74</v>
      </c>
      <c r="BE454" t="s">
        <v>4571</v>
      </c>
      <c r="BF454" t="str">
        <f>HYPERLINK("http://dx.doi.org/10.1046/j.1439-0310.2001.00712.x","http://dx.doi.org/10.1046/j.1439-0310.2001.00712.x")</f>
        <v>http://dx.doi.org/10.1046/j.1439-0310.2001.00712.x</v>
      </c>
      <c r="BG454" t="s">
        <v>74</v>
      </c>
      <c r="BH454" t="s">
        <v>74</v>
      </c>
      <c r="BI454" t="s">
        <v>74</v>
      </c>
      <c r="BJ454" t="s">
        <v>74</v>
      </c>
      <c r="BK454" t="s">
        <v>74</v>
      </c>
      <c r="BL454" t="s">
        <v>74</v>
      </c>
      <c r="BM454" t="s">
        <v>74</v>
      </c>
      <c r="BN454" t="s">
        <v>74</v>
      </c>
      <c r="BO454" t="s">
        <v>74</v>
      </c>
      <c r="BP454" t="s">
        <v>74</v>
      </c>
      <c r="BQ454" t="s">
        <v>74</v>
      </c>
      <c r="BR454" t="s">
        <v>74</v>
      </c>
      <c r="BS454" t="s">
        <v>4572</v>
      </c>
      <c r="BT454" t="str">
        <f>HYPERLINK("https%3A%2F%2Fwww.webofscience.com%2Fwos%2Fwoscc%2Ffull-record%2FWOS:000171378500006","View Full Record in Web of Science")</f>
        <v>View Full Record in Web of Science</v>
      </c>
    </row>
    <row r="455" spans="1:72" x14ac:dyDescent="0.4">
      <c r="A455" t="s">
        <v>72</v>
      </c>
      <c r="B455" t="s">
        <v>4299</v>
      </c>
      <c r="C455" t="s">
        <v>74</v>
      </c>
      <c r="D455" t="s">
        <v>74</v>
      </c>
      <c r="E455" t="s">
        <v>74</v>
      </c>
      <c r="F455" t="s">
        <v>4299</v>
      </c>
      <c r="G455" t="s">
        <v>74</v>
      </c>
      <c r="H455" t="s">
        <v>74</v>
      </c>
      <c r="I455" t="s">
        <v>4300</v>
      </c>
      <c r="J455" t="s">
        <v>140</v>
      </c>
      <c r="K455" t="s">
        <v>74</v>
      </c>
      <c r="L455" t="s">
        <v>74</v>
      </c>
      <c r="M455" t="s">
        <v>74</v>
      </c>
      <c r="N455" t="s">
        <v>74</v>
      </c>
      <c r="O455" t="s">
        <v>74</v>
      </c>
      <c r="P455" t="s">
        <v>74</v>
      </c>
      <c r="Q455" t="s">
        <v>74</v>
      </c>
      <c r="R455" t="s">
        <v>74</v>
      </c>
      <c r="S455" t="s">
        <v>74</v>
      </c>
      <c r="T455" t="s">
        <v>74</v>
      </c>
      <c r="U455" t="s">
        <v>74</v>
      </c>
      <c r="V455" s="3" t="s">
        <v>4301</v>
      </c>
      <c r="W455" t="s">
        <v>74</v>
      </c>
      <c r="X455" t="s">
        <v>74</v>
      </c>
      <c r="Y455" t="s">
        <v>74</v>
      </c>
      <c r="Z455" t="s">
        <v>74</v>
      </c>
      <c r="AA455" t="s">
        <v>74</v>
      </c>
      <c r="AB455" t="s">
        <v>74</v>
      </c>
      <c r="AC455" t="s">
        <v>74</v>
      </c>
      <c r="AD455" t="s">
        <v>74</v>
      </c>
      <c r="AE455" t="s">
        <v>74</v>
      </c>
      <c r="AF455" t="s">
        <v>74</v>
      </c>
      <c r="AG455" t="s">
        <v>74</v>
      </c>
      <c r="AH455" t="s">
        <v>74</v>
      </c>
      <c r="AI455" t="s">
        <v>74</v>
      </c>
      <c r="AJ455" t="s">
        <v>74</v>
      </c>
      <c r="AK455" t="s">
        <v>74</v>
      </c>
      <c r="AL455" t="s">
        <v>74</v>
      </c>
      <c r="AM455" t="s">
        <v>74</v>
      </c>
      <c r="AN455" t="s">
        <v>74</v>
      </c>
      <c r="AO455" t="s">
        <v>143</v>
      </c>
      <c r="AP455" t="s">
        <v>144</v>
      </c>
      <c r="AQ455" t="s">
        <v>74</v>
      </c>
      <c r="AR455" t="s">
        <v>74</v>
      </c>
      <c r="AS455" t="s">
        <v>74</v>
      </c>
      <c r="AT455" t="s">
        <v>305</v>
      </c>
      <c r="AU455">
        <v>2002</v>
      </c>
      <c r="AV455">
        <v>64</v>
      </c>
      <c r="AW455" t="s">
        <v>74</v>
      </c>
      <c r="AX455">
        <v>6</v>
      </c>
      <c r="AY455" t="s">
        <v>74</v>
      </c>
      <c r="AZ455" t="s">
        <v>74</v>
      </c>
      <c r="BA455" t="s">
        <v>74</v>
      </c>
      <c r="BB455">
        <v>851</v>
      </c>
      <c r="BC455">
        <v>859</v>
      </c>
      <c r="BD455" t="s">
        <v>74</v>
      </c>
      <c r="BE455" t="s">
        <v>4302</v>
      </c>
      <c r="BF455" t="str">
        <f>HYPERLINK("http://dx.doi.org/10.1006/anbe.2003.2002","http://dx.doi.org/10.1006/anbe.2003.2002")</f>
        <v>http://dx.doi.org/10.1006/anbe.2003.2002</v>
      </c>
      <c r="BG455" t="s">
        <v>74</v>
      </c>
      <c r="BH455" t="s">
        <v>74</v>
      </c>
      <c r="BI455" t="s">
        <v>74</v>
      </c>
      <c r="BJ455" t="s">
        <v>74</v>
      </c>
      <c r="BK455" t="s">
        <v>74</v>
      </c>
      <c r="BL455" t="s">
        <v>74</v>
      </c>
      <c r="BM455" t="s">
        <v>74</v>
      </c>
      <c r="BN455" t="s">
        <v>74</v>
      </c>
      <c r="BO455" t="s">
        <v>74</v>
      </c>
      <c r="BP455" t="s">
        <v>74</v>
      </c>
      <c r="BQ455" t="s">
        <v>74</v>
      </c>
      <c r="BR455" t="s">
        <v>74</v>
      </c>
      <c r="BS455" t="s">
        <v>4303</v>
      </c>
      <c r="BT455" t="str">
        <f>HYPERLINK("https%3A%2F%2Fwww.webofscience.com%2Fwos%2Fwoscc%2Ffull-record%2FWOS:000180910400003","View Full Record in Web of Science")</f>
        <v>View Full Record in Web of Science</v>
      </c>
    </row>
    <row r="456" spans="1:72" x14ac:dyDescent="0.4">
      <c r="A456" t="s">
        <v>72</v>
      </c>
      <c r="B456" t="s">
        <v>7566</v>
      </c>
      <c r="C456" t="s">
        <v>74</v>
      </c>
      <c r="D456" t="s">
        <v>74</v>
      </c>
      <c r="E456" t="s">
        <v>74</v>
      </c>
      <c r="F456" t="s">
        <v>7566</v>
      </c>
      <c r="G456" t="s">
        <v>74</v>
      </c>
      <c r="H456" t="s">
        <v>74</v>
      </c>
      <c r="I456" t="s">
        <v>7567</v>
      </c>
      <c r="J456" t="s">
        <v>140</v>
      </c>
      <c r="K456" t="s">
        <v>74</v>
      </c>
      <c r="L456" t="s">
        <v>74</v>
      </c>
      <c r="M456" t="s">
        <v>74</v>
      </c>
      <c r="N456" t="s">
        <v>74</v>
      </c>
      <c r="O456" t="s">
        <v>74</v>
      </c>
      <c r="P456" t="s">
        <v>74</v>
      </c>
      <c r="Q456" t="s">
        <v>74</v>
      </c>
      <c r="R456" t="s">
        <v>74</v>
      </c>
      <c r="S456" t="s">
        <v>74</v>
      </c>
      <c r="T456" t="s">
        <v>74</v>
      </c>
      <c r="U456" t="s">
        <v>74</v>
      </c>
      <c r="V456" s="3" t="s">
        <v>7568</v>
      </c>
      <c r="W456" t="s">
        <v>74</v>
      </c>
      <c r="X456" t="s">
        <v>74</v>
      </c>
      <c r="Y456" t="s">
        <v>74</v>
      </c>
      <c r="Z456" t="s">
        <v>74</v>
      </c>
      <c r="AA456" t="s">
        <v>74</v>
      </c>
      <c r="AB456" t="s">
        <v>74</v>
      </c>
      <c r="AC456" t="s">
        <v>74</v>
      </c>
      <c r="AD456" t="s">
        <v>74</v>
      </c>
      <c r="AE456" t="s">
        <v>74</v>
      </c>
      <c r="AF456" t="s">
        <v>74</v>
      </c>
      <c r="AG456" t="s">
        <v>74</v>
      </c>
      <c r="AH456" t="s">
        <v>74</v>
      </c>
      <c r="AI456" t="s">
        <v>74</v>
      </c>
      <c r="AJ456" t="s">
        <v>74</v>
      </c>
      <c r="AK456" t="s">
        <v>74</v>
      </c>
      <c r="AL456" t="s">
        <v>74</v>
      </c>
      <c r="AM456" t="s">
        <v>74</v>
      </c>
      <c r="AN456" t="s">
        <v>74</v>
      </c>
      <c r="AO456" t="s">
        <v>143</v>
      </c>
      <c r="AP456" t="s">
        <v>144</v>
      </c>
      <c r="AQ456" t="s">
        <v>74</v>
      </c>
      <c r="AR456" t="s">
        <v>74</v>
      </c>
      <c r="AS456" t="s">
        <v>74</v>
      </c>
      <c r="AT456" t="s">
        <v>123</v>
      </c>
      <c r="AU456">
        <v>2001</v>
      </c>
      <c r="AV456">
        <v>61</v>
      </c>
      <c r="AW456" t="s">
        <v>74</v>
      </c>
      <c r="AX456">
        <v>3</v>
      </c>
      <c r="AY456" t="s">
        <v>74</v>
      </c>
      <c r="AZ456" t="s">
        <v>74</v>
      </c>
      <c r="BA456" t="s">
        <v>74</v>
      </c>
      <c r="BB456">
        <v>567</v>
      </c>
      <c r="BC456">
        <v>577</v>
      </c>
      <c r="BD456" t="s">
        <v>74</v>
      </c>
      <c r="BE456" t="s">
        <v>7569</v>
      </c>
      <c r="BF456" t="str">
        <f>HYPERLINK("http://dx.doi.org/10.1006/anbe.2000.1642","http://dx.doi.org/10.1006/anbe.2000.1642")</f>
        <v>http://dx.doi.org/10.1006/anbe.2000.1642</v>
      </c>
      <c r="BG456" t="s">
        <v>74</v>
      </c>
      <c r="BH456" t="s">
        <v>74</v>
      </c>
      <c r="BI456" t="s">
        <v>74</v>
      </c>
      <c r="BJ456" t="s">
        <v>74</v>
      </c>
      <c r="BK456" t="s">
        <v>74</v>
      </c>
      <c r="BL456" t="s">
        <v>74</v>
      </c>
      <c r="BM456" t="s">
        <v>74</v>
      </c>
      <c r="BN456" t="s">
        <v>74</v>
      </c>
      <c r="BO456" t="s">
        <v>74</v>
      </c>
      <c r="BP456" t="s">
        <v>74</v>
      </c>
      <c r="BQ456" t="s">
        <v>74</v>
      </c>
      <c r="BR456" t="s">
        <v>74</v>
      </c>
      <c r="BS456" t="s">
        <v>7570</v>
      </c>
      <c r="BT456" t="str">
        <f>HYPERLINK("https%3A%2F%2Fwww.webofscience.com%2Fwos%2Fwoscc%2Ffull-record%2FWOS:000167990100006","View Full Record in Web of Science")</f>
        <v>View Full Record in Web of Science</v>
      </c>
    </row>
    <row r="457" spans="1:72" x14ac:dyDescent="0.4">
      <c r="A457" t="s">
        <v>72</v>
      </c>
      <c r="B457" t="s">
        <v>1763</v>
      </c>
      <c r="C457" t="s">
        <v>74</v>
      </c>
      <c r="D457" t="s">
        <v>74</v>
      </c>
      <c r="E457" t="s">
        <v>74</v>
      </c>
      <c r="F457" t="s">
        <v>1764</v>
      </c>
      <c r="G457" t="s">
        <v>74</v>
      </c>
      <c r="H457" t="s">
        <v>74</v>
      </c>
      <c r="I457" t="s">
        <v>1765</v>
      </c>
      <c r="J457" t="s">
        <v>775</v>
      </c>
      <c r="K457" t="s">
        <v>74</v>
      </c>
      <c r="L457" t="s">
        <v>74</v>
      </c>
      <c r="M457" t="s">
        <v>74</v>
      </c>
      <c r="N457" t="s">
        <v>74</v>
      </c>
      <c r="O457" t="s">
        <v>74</v>
      </c>
      <c r="P457" t="s">
        <v>74</v>
      </c>
      <c r="Q457" t="s">
        <v>74</v>
      </c>
      <c r="R457" t="s">
        <v>74</v>
      </c>
      <c r="S457" t="s">
        <v>74</v>
      </c>
      <c r="T457" t="s">
        <v>74</v>
      </c>
      <c r="U457" t="s">
        <v>74</v>
      </c>
      <c r="V457" s="3" t="s">
        <v>1766</v>
      </c>
      <c r="W457" t="s">
        <v>74</v>
      </c>
      <c r="X457" t="s">
        <v>74</v>
      </c>
      <c r="Y457" t="s">
        <v>74</v>
      </c>
      <c r="Z457" t="s">
        <v>74</v>
      </c>
      <c r="AA457" t="s">
        <v>1767</v>
      </c>
      <c r="AB457" t="s">
        <v>1768</v>
      </c>
      <c r="AC457" t="s">
        <v>74</v>
      </c>
      <c r="AD457" t="s">
        <v>74</v>
      </c>
      <c r="AE457" t="s">
        <v>74</v>
      </c>
      <c r="AF457" t="s">
        <v>74</v>
      </c>
      <c r="AG457" t="s">
        <v>74</v>
      </c>
      <c r="AH457" t="s">
        <v>74</v>
      </c>
      <c r="AI457" t="s">
        <v>74</v>
      </c>
      <c r="AJ457" t="s">
        <v>74</v>
      </c>
      <c r="AK457" t="s">
        <v>74</v>
      </c>
      <c r="AL457" t="s">
        <v>74</v>
      </c>
      <c r="AM457" t="s">
        <v>74</v>
      </c>
      <c r="AN457" t="s">
        <v>74</v>
      </c>
      <c r="AO457" t="s">
        <v>778</v>
      </c>
      <c r="AP457" t="s">
        <v>779</v>
      </c>
      <c r="AQ457" t="s">
        <v>74</v>
      </c>
      <c r="AR457" t="s">
        <v>74</v>
      </c>
      <c r="AS457" t="s">
        <v>74</v>
      </c>
      <c r="AT457" t="s">
        <v>964</v>
      </c>
      <c r="AU457">
        <v>2016</v>
      </c>
      <c r="AV457">
        <v>62</v>
      </c>
      <c r="AW457">
        <v>1</v>
      </c>
      <c r="AX457" t="s">
        <v>74</v>
      </c>
      <c r="AY457" t="s">
        <v>74</v>
      </c>
      <c r="AZ457" t="s">
        <v>74</v>
      </c>
      <c r="BA457" t="s">
        <v>74</v>
      </c>
      <c r="BB457">
        <v>23</v>
      </c>
      <c r="BC457">
        <v>31</v>
      </c>
      <c r="BD457" t="s">
        <v>74</v>
      </c>
      <c r="BE457" t="s">
        <v>1769</v>
      </c>
      <c r="BF457" t="str">
        <f>HYPERLINK("http://dx.doi.org/10.1093/cz/zov009","http://dx.doi.org/10.1093/cz/zov009")</f>
        <v>http://dx.doi.org/10.1093/cz/zov009</v>
      </c>
      <c r="BG457" t="s">
        <v>74</v>
      </c>
      <c r="BH457" t="s">
        <v>74</v>
      </c>
      <c r="BI457" t="s">
        <v>74</v>
      </c>
      <c r="BJ457" t="s">
        <v>74</v>
      </c>
      <c r="BK457" t="s">
        <v>74</v>
      </c>
      <c r="BL457" t="s">
        <v>74</v>
      </c>
      <c r="BM457" t="s">
        <v>74</v>
      </c>
      <c r="BN457">
        <v>29491887</v>
      </c>
      <c r="BO457" t="s">
        <v>74</v>
      </c>
      <c r="BP457" t="s">
        <v>74</v>
      </c>
      <c r="BQ457" t="s">
        <v>74</v>
      </c>
      <c r="BR457" t="s">
        <v>74</v>
      </c>
      <c r="BS457" t="s">
        <v>1770</v>
      </c>
      <c r="BT457" t="str">
        <f>HYPERLINK("https%3A%2F%2Fwww.webofscience.com%2Fwos%2Fwoscc%2Ffull-record%2FWOS:000374258900004","View Full Record in Web of Science")</f>
        <v>View Full Record in Web of Science</v>
      </c>
    </row>
    <row r="458" spans="1:72" x14ac:dyDescent="0.4">
      <c r="A458" t="s">
        <v>72</v>
      </c>
      <c r="B458" t="s">
        <v>7706</v>
      </c>
      <c r="C458" t="s">
        <v>74</v>
      </c>
      <c r="D458" t="s">
        <v>74</v>
      </c>
      <c r="E458" t="s">
        <v>74</v>
      </c>
      <c r="F458" t="s">
        <v>7706</v>
      </c>
      <c r="G458" t="s">
        <v>74</v>
      </c>
      <c r="H458" t="s">
        <v>74</v>
      </c>
      <c r="I458" t="s">
        <v>7707</v>
      </c>
      <c r="J458" t="s">
        <v>1526</v>
      </c>
      <c r="K458" t="s">
        <v>74</v>
      </c>
      <c r="L458" t="s">
        <v>74</v>
      </c>
      <c r="M458" t="s">
        <v>74</v>
      </c>
      <c r="N458" t="s">
        <v>74</v>
      </c>
      <c r="O458" t="s">
        <v>74</v>
      </c>
      <c r="P458" t="s">
        <v>74</v>
      </c>
      <c r="Q458" t="s">
        <v>74</v>
      </c>
      <c r="R458" t="s">
        <v>74</v>
      </c>
      <c r="S458" t="s">
        <v>74</v>
      </c>
      <c r="T458" t="s">
        <v>74</v>
      </c>
      <c r="U458" t="s">
        <v>74</v>
      </c>
      <c r="V458" s="3" t="s">
        <v>7708</v>
      </c>
      <c r="W458" t="s">
        <v>74</v>
      </c>
      <c r="X458" t="s">
        <v>74</v>
      </c>
      <c r="Y458" t="s">
        <v>74</v>
      </c>
      <c r="Z458" t="s">
        <v>74</v>
      </c>
      <c r="AA458" t="s">
        <v>5351</v>
      </c>
      <c r="AB458" t="s">
        <v>6109</v>
      </c>
      <c r="AC458" t="s">
        <v>74</v>
      </c>
      <c r="AD458" t="s">
        <v>74</v>
      </c>
      <c r="AE458" t="s">
        <v>74</v>
      </c>
      <c r="AF458" t="s">
        <v>74</v>
      </c>
      <c r="AG458" t="s">
        <v>74</v>
      </c>
      <c r="AH458" t="s">
        <v>74</v>
      </c>
      <c r="AI458" t="s">
        <v>74</v>
      </c>
      <c r="AJ458" t="s">
        <v>74</v>
      </c>
      <c r="AK458" t="s">
        <v>74</v>
      </c>
      <c r="AL458" t="s">
        <v>74</v>
      </c>
      <c r="AM458" t="s">
        <v>74</v>
      </c>
      <c r="AN458" t="s">
        <v>74</v>
      </c>
      <c r="AO458" t="s">
        <v>1528</v>
      </c>
      <c r="AP458" t="s">
        <v>2131</v>
      </c>
      <c r="AQ458" t="s">
        <v>74</v>
      </c>
      <c r="AR458" t="s">
        <v>74</v>
      </c>
      <c r="AS458" t="s">
        <v>74</v>
      </c>
      <c r="AT458" t="s">
        <v>145</v>
      </c>
      <c r="AU458">
        <v>1994</v>
      </c>
      <c r="AV458">
        <v>96</v>
      </c>
      <c r="AW458">
        <v>3</v>
      </c>
      <c r="AX458" t="s">
        <v>74</v>
      </c>
      <c r="AY458" t="s">
        <v>74</v>
      </c>
      <c r="AZ458" t="s">
        <v>74</v>
      </c>
      <c r="BA458" t="s">
        <v>74</v>
      </c>
      <c r="BB458">
        <v>626</v>
      </c>
      <c r="BC458">
        <v>630</v>
      </c>
      <c r="BD458" t="s">
        <v>74</v>
      </c>
      <c r="BE458" t="s">
        <v>7709</v>
      </c>
      <c r="BF458" t="str">
        <f>HYPERLINK("http://dx.doi.org/10.2307/1369465","http://dx.doi.org/10.2307/1369465")</f>
        <v>http://dx.doi.org/10.2307/1369465</v>
      </c>
      <c r="BG458" t="s">
        <v>74</v>
      </c>
      <c r="BH458" t="s">
        <v>74</v>
      </c>
      <c r="BI458" t="s">
        <v>74</v>
      </c>
      <c r="BJ458" t="s">
        <v>74</v>
      </c>
      <c r="BK458" t="s">
        <v>74</v>
      </c>
      <c r="BL458" t="s">
        <v>74</v>
      </c>
      <c r="BM458" t="s">
        <v>74</v>
      </c>
      <c r="BN458" t="s">
        <v>74</v>
      </c>
      <c r="BO458" t="s">
        <v>74</v>
      </c>
      <c r="BP458" t="s">
        <v>74</v>
      </c>
      <c r="BQ458" t="s">
        <v>74</v>
      </c>
      <c r="BR458" t="s">
        <v>74</v>
      </c>
      <c r="BS458" t="s">
        <v>7710</v>
      </c>
      <c r="BT458" t="str">
        <f>HYPERLINK("https%3A%2F%2Fwww.webofscience.com%2Fwos%2Fwoscc%2Ffull-record%2FWOS:A1994PE53800006","View Full Record in Web of Science")</f>
        <v>View Full Record in Web of Science</v>
      </c>
    </row>
    <row r="459" spans="1:72" x14ac:dyDescent="0.4">
      <c r="A459" t="s">
        <v>72</v>
      </c>
      <c r="B459" t="s">
        <v>1937</v>
      </c>
      <c r="C459" t="s">
        <v>74</v>
      </c>
      <c r="D459" t="s">
        <v>74</v>
      </c>
      <c r="E459" t="s">
        <v>74</v>
      </c>
      <c r="F459" t="s">
        <v>1938</v>
      </c>
      <c r="G459" t="s">
        <v>74</v>
      </c>
      <c r="H459" t="s">
        <v>74</v>
      </c>
      <c r="I459" t="s">
        <v>1939</v>
      </c>
      <c r="J459" t="s">
        <v>1044</v>
      </c>
      <c r="K459" t="s">
        <v>74</v>
      </c>
      <c r="L459" t="s">
        <v>74</v>
      </c>
      <c r="M459" t="s">
        <v>74</v>
      </c>
      <c r="N459" t="s">
        <v>74</v>
      </c>
      <c r="O459" t="s">
        <v>74</v>
      </c>
      <c r="P459" t="s">
        <v>74</v>
      </c>
      <c r="Q459" t="s">
        <v>74</v>
      </c>
      <c r="R459" t="s">
        <v>74</v>
      </c>
      <c r="S459" t="s">
        <v>74</v>
      </c>
      <c r="T459" t="s">
        <v>74</v>
      </c>
      <c r="U459" t="s">
        <v>74</v>
      </c>
      <c r="V459" s="3" t="s">
        <v>1940</v>
      </c>
      <c r="W459" t="s">
        <v>74</v>
      </c>
      <c r="X459" t="s">
        <v>74</v>
      </c>
      <c r="Y459" t="s">
        <v>74</v>
      </c>
      <c r="Z459" t="s">
        <v>74</v>
      </c>
      <c r="AA459" t="s">
        <v>1941</v>
      </c>
      <c r="AB459" t="s">
        <v>1942</v>
      </c>
      <c r="AC459" t="s">
        <v>74</v>
      </c>
      <c r="AD459" t="s">
        <v>74</v>
      </c>
      <c r="AE459" t="s">
        <v>74</v>
      </c>
      <c r="AF459" t="s">
        <v>74</v>
      </c>
      <c r="AG459" t="s">
        <v>74</v>
      </c>
      <c r="AH459" t="s">
        <v>74</v>
      </c>
      <c r="AI459" t="s">
        <v>74</v>
      </c>
      <c r="AJ459" t="s">
        <v>74</v>
      </c>
      <c r="AK459" t="s">
        <v>74</v>
      </c>
      <c r="AL459" t="s">
        <v>74</v>
      </c>
      <c r="AM459" t="s">
        <v>74</v>
      </c>
      <c r="AN459" t="s">
        <v>74</v>
      </c>
      <c r="AO459" t="s">
        <v>1048</v>
      </c>
      <c r="AP459" t="s">
        <v>1049</v>
      </c>
      <c r="AQ459" t="s">
        <v>74</v>
      </c>
      <c r="AR459" t="s">
        <v>74</v>
      </c>
      <c r="AS459" t="s">
        <v>74</v>
      </c>
      <c r="AT459" t="s">
        <v>305</v>
      </c>
      <c r="AU459">
        <v>2020</v>
      </c>
      <c r="AV459">
        <v>29</v>
      </c>
      <c r="AW459">
        <v>24</v>
      </c>
      <c r="AX459" t="s">
        <v>74</v>
      </c>
      <c r="AY459" t="s">
        <v>74</v>
      </c>
      <c r="AZ459" t="s">
        <v>74</v>
      </c>
      <c r="BA459" t="s">
        <v>74</v>
      </c>
      <c r="BB459">
        <v>4942</v>
      </c>
      <c r="BC459">
        <v>4955</v>
      </c>
      <c r="BD459" t="s">
        <v>74</v>
      </c>
      <c r="BE459" t="s">
        <v>1943</v>
      </c>
      <c r="BF459" t="str">
        <f>HYPERLINK("http://dx.doi.org/10.1111/mec.15682","http://dx.doi.org/10.1111/mec.15682")</f>
        <v>http://dx.doi.org/10.1111/mec.15682</v>
      </c>
      <c r="BG459" t="s">
        <v>74</v>
      </c>
      <c r="BH459" t="s">
        <v>1944</v>
      </c>
      <c r="BI459" t="s">
        <v>74</v>
      </c>
      <c r="BJ459" t="s">
        <v>74</v>
      </c>
      <c r="BK459" t="s">
        <v>74</v>
      </c>
      <c r="BL459" t="s">
        <v>74</v>
      </c>
      <c r="BM459" t="s">
        <v>74</v>
      </c>
      <c r="BN459">
        <v>33051915</v>
      </c>
      <c r="BO459" t="s">
        <v>74</v>
      </c>
      <c r="BP459" t="s">
        <v>74</v>
      </c>
      <c r="BQ459" t="s">
        <v>74</v>
      </c>
      <c r="BR459" t="s">
        <v>74</v>
      </c>
      <c r="BS459" t="s">
        <v>1945</v>
      </c>
      <c r="BT459" t="str">
        <f>HYPERLINK("https%3A%2F%2Fwww.webofscience.com%2Fwos%2Fwoscc%2Ffull-record%2FWOS:000586619500001","View Full Record in Web of Science")</f>
        <v>View Full Record in Web of Science</v>
      </c>
    </row>
    <row r="460" spans="1:72" x14ac:dyDescent="0.4">
      <c r="A460" t="s">
        <v>72</v>
      </c>
      <c r="B460" t="s">
        <v>4970</v>
      </c>
      <c r="C460" t="s">
        <v>74</v>
      </c>
      <c r="D460" t="s">
        <v>74</v>
      </c>
      <c r="E460" t="s">
        <v>74</v>
      </c>
      <c r="F460" t="s">
        <v>4970</v>
      </c>
      <c r="G460" t="s">
        <v>74</v>
      </c>
      <c r="H460" t="s">
        <v>74</v>
      </c>
      <c r="I460" t="s">
        <v>4971</v>
      </c>
      <c r="J460" t="s">
        <v>281</v>
      </c>
      <c r="K460" t="s">
        <v>74</v>
      </c>
      <c r="L460" t="s">
        <v>74</v>
      </c>
      <c r="M460" t="s">
        <v>74</v>
      </c>
      <c r="N460" t="s">
        <v>74</v>
      </c>
      <c r="O460" t="s">
        <v>74</v>
      </c>
      <c r="P460" t="s">
        <v>74</v>
      </c>
      <c r="Q460" t="s">
        <v>74</v>
      </c>
      <c r="R460" t="s">
        <v>74</v>
      </c>
      <c r="S460" t="s">
        <v>74</v>
      </c>
      <c r="T460" t="s">
        <v>74</v>
      </c>
      <c r="U460" t="s">
        <v>74</v>
      </c>
      <c r="V460" s="3" t="s">
        <v>4972</v>
      </c>
      <c r="W460" t="s">
        <v>74</v>
      </c>
      <c r="X460" t="s">
        <v>74</v>
      </c>
      <c r="Y460" t="s">
        <v>74</v>
      </c>
      <c r="Z460" t="s">
        <v>74</v>
      </c>
      <c r="AA460" t="s">
        <v>74</v>
      </c>
      <c r="AB460" t="s">
        <v>4973</v>
      </c>
      <c r="AC460" t="s">
        <v>74</v>
      </c>
      <c r="AD460" t="s">
        <v>74</v>
      </c>
      <c r="AE460" t="s">
        <v>74</v>
      </c>
      <c r="AF460" t="s">
        <v>74</v>
      </c>
      <c r="AG460" t="s">
        <v>74</v>
      </c>
      <c r="AH460" t="s">
        <v>74</v>
      </c>
      <c r="AI460" t="s">
        <v>74</v>
      </c>
      <c r="AJ460" t="s">
        <v>74</v>
      </c>
      <c r="AK460" t="s">
        <v>74</v>
      </c>
      <c r="AL460" t="s">
        <v>74</v>
      </c>
      <c r="AM460" t="s">
        <v>74</v>
      </c>
      <c r="AN460" t="s">
        <v>74</v>
      </c>
      <c r="AO460" t="s">
        <v>285</v>
      </c>
      <c r="AP460" t="s">
        <v>286</v>
      </c>
      <c r="AQ460" t="s">
        <v>74</v>
      </c>
      <c r="AR460" t="s">
        <v>74</v>
      </c>
      <c r="AS460" t="s">
        <v>74</v>
      </c>
      <c r="AT460" t="s">
        <v>204</v>
      </c>
      <c r="AU460">
        <v>2005</v>
      </c>
      <c r="AV460">
        <v>8</v>
      </c>
      <c r="AW460">
        <v>3</v>
      </c>
      <c r="AX460" t="s">
        <v>74</v>
      </c>
      <c r="AY460" t="s">
        <v>74</v>
      </c>
      <c r="AZ460" t="s">
        <v>74</v>
      </c>
      <c r="BA460" t="s">
        <v>74</v>
      </c>
      <c r="BB460">
        <v>211</v>
      </c>
      <c r="BC460">
        <v>214</v>
      </c>
      <c r="BD460" t="s">
        <v>74</v>
      </c>
      <c r="BE460" t="s">
        <v>4974</v>
      </c>
      <c r="BF460" t="str">
        <f>HYPERLINK("http://dx.doi.org/10.1007/s10071-004-0249-4","http://dx.doi.org/10.1007/s10071-004-0249-4")</f>
        <v>http://dx.doi.org/10.1007/s10071-004-0249-4</v>
      </c>
      <c r="BG460" t="s">
        <v>74</v>
      </c>
      <c r="BH460" t="s">
        <v>74</v>
      </c>
      <c r="BI460" t="s">
        <v>74</v>
      </c>
      <c r="BJ460" t="s">
        <v>74</v>
      </c>
      <c r="BK460" t="s">
        <v>74</v>
      </c>
      <c r="BL460" t="s">
        <v>74</v>
      </c>
      <c r="BM460" t="s">
        <v>74</v>
      </c>
      <c r="BN460">
        <v>15611879</v>
      </c>
      <c r="BO460" t="s">
        <v>74</v>
      </c>
      <c r="BP460" t="s">
        <v>74</v>
      </c>
      <c r="BQ460" t="s">
        <v>74</v>
      </c>
      <c r="BR460" t="s">
        <v>74</v>
      </c>
      <c r="BS460" t="s">
        <v>4975</v>
      </c>
      <c r="BT460" t="str">
        <f>HYPERLINK("https%3A%2F%2Fwww.webofscience.com%2Fwos%2Fwoscc%2Ffull-record%2FWOS:000231236200007","View Full Record in Web of Science")</f>
        <v>View Full Record in Web of Science</v>
      </c>
    </row>
    <row r="461" spans="1:72" x14ac:dyDescent="0.4">
      <c r="A461" t="s">
        <v>72</v>
      </c>
      <c r="B461" t="s">
        <v>4310</v>
      </c>
      <c r="C461" t="s">
        <v>74</v>
      </c>
      <c r="D461" t="s">
        <v>74</v>
      </c>
      <c r="E461" t="s">
        <v>74</v>
      </c>
      <c r="F461" t="s">
        <v>4310</v>
      </c>
      <c r="G461" t="s">
        <v>74</v>
      </c>
      <c r="H461" t="s">
        <v>74</v>
      </c>
      <c r="I461" t="s">
        <v>4311</v>
      </c>
      <c r="J461" t="s">
        <v>610</v>
      </c>
      <c r="K461" t="s">
        <v>74</v>
      </c>
      <c r="L461" t="s">
        <v>74</v>
      </c>
      <c r="M461" t="s">
        <v>74</v>
      </c>
      <c r="N461" t="s">
        <v>74</v>
      </c>
      <c r="O461" t="s">
        <v>74</v>
      </c>
      <c r="P461" t="s">
        <v>74</v>
      </c>
      <c r="Q461" t="s">
        <v>74</v>
      </c>
      <c r="R461" t="s">
        <v>74</v>
      </c>
      <c r="S461" t="s">
        <v>74</v>
      </c>
      <c r="T461" t="s">
        <v>74</v>
      </c>
      <c r="U461" t="s">
        <v>74</v>
      </c>
      <c r="V461" s="3" t="s">
        <v>4312</v>
      </c>
      <c r="W461" t="s">
        <v>74</v>
      </c>
      <c r="X461" t="s">
        <v>74</v>
      </c>
      <c r="Y461" t="s">
        <v>74</v>
      </c>
      <c r="Z461" t="s">
        <v>74</v>
      </c>
      <c r="AA461" t="s">
        <v>74</v>
      </c>
      <c r="AB461" t="s">
        <v>3979</v>
      </c>
      <c r="AC461" t="s">
        <v>74</v>
      </c>
      <c r="AD461" t="s">
        <v>74</v>
      </c>
      <c r="AE461" t="s">
        <v>74</v>
      </c>
      <c r="AF461" t="s">
        <v>74</v>
      </c>
      <c r="AG461" t="s">
        <v>74</v>
      </c>
      <c r="AH461" t="s">
        <v>74</v>
      </c>
      <c r="AI461" t="s">
        <v>74</v>
      </c>
      <c r="AJ461" t="s">
        <v>74</v>
      </c>
      <c r="AK461" t="s">
        <v>74</v>
      </c>
      <c r="AL461" t="s">
        <v>74</v>
      </c>
      <c r="AM461" t="s">
        <v>74</v>
      </c>
      <c r="AN461" t="s">
        <v>74</v>
      </c>
      <c r="AO461" t="s">
        <v>614</v>
      </c>
      <c r="AP461" t="s">
        <v>615</v>
      </c>
      <c r="AQ461" t="s">
        <v>74</v>
      </c>
      <c r="AR461" t="s">
        <v>74</v>
      </c>
      <c r="AS461" t="s">
        <v>74</v>
      </c>
      <c r="AT461" t="s">
        <v>134</v>
      </c>
      <c r="AU461">
        <v>1999</v>
      </c>
      <c r="AV461">
        <v>105</v>
      </c>
      <c r="AW461">
        <v>5</v>
      </c>
      <c r="AX461" t="s">
        <v>74</v>
      </c>
      <c r="AY461" t="s">
        <v>74</v>
      </c>
      <c r="AZ461" t="s">
        <v>74</v>
      </c>
      <c r="BA461" t="s">
        <v>74</v>
      </c>
      <c r="BB461">
        <v>431</v>
      </c>
      <c r="BC461">
        <v>438</v>
      </c>
      <c r="BD461" t="s">
        <v>74</v>
      </c>
      <c r="BE461" t="s">
        <v>4313</v>
      </c>
      <c r="BF461" t="str">
        <f>HYPERLINK("http://dx.doi.org/10.1046/j.1439-0310.1999.00400.x","http://dx.doi.org/10.1046/j.1439-0310.1999.00400.x")</f>
        <v>http://dx.doi.org/10.1046/j.1439-0310.1999.00400.x</v>
      </c>
      <c r="BG461" t="s">
        <v>74</v>
      </c>
      <c r="BH461" t="s">
        <v>74</v>
      </c>
      <c r="BI461" t="s">
        <v>74</v>
      </c>
      <c r="BJ461" t="s">
        <v>74</v>
      </c>
      <c r="BK461" t="s">
        <v>74</v>
      </c>
      <c r="BL461" t="s">
        <v>74</v>
      </c>
      <c r="BM461" t="s">
        <v>74</v>
      </c>
      <c r="BN461" t="s">
        <v>74</v>
      </c>
      <c r="BO461" t="s">
        <v>74</v>
      </c>
      <c r="BP461" t="s">
        <v>74</v>
      </c>
      <c r="BQ461" t="s">
        <v>74</v>
      </c>
      <c r="BR461" t="s">
        <v>74</v>
      </c>
      <c r="BS461" t="s">
        <v>4314</v>
      </c>
      <c r="BT461" t="str">
        <f>HYPERLINK("https%3A%2F%2Fwww.webofscience.com%2Fwos%2Fwoscc%2Ffull-record%2FWOS:000080438000006","View Full Record in Web of Science")</f>
        <v>View Full Record in Web of Science</v>
      </c>
    </row>
    <row r="462" spans="1:72" x14ac:dyDescent="0.4">
      <c r="A462" t="s">
        <v>72</v>
      </c>
      <c r="B462" t="s">
        <v>1599</v>
      </c>
      <c r="C462" t="s">
        <v>74</v>
      </c>
      <c r="D462" t="s">
        <v>74</v>
      </c>
      <c r="E462" t="s">
        <v>74</v>
      </c>
      <c r="F462" t="s">
        <v>1599</v>
      </c>
      <c r="G462" t="s">
        <v>74</v>
      </c>
      <c r="H462" t="s">
        <v>74</v>
      </c>
      <c r="I462" t="s">
        <v>1600</v>
      </c>
      <c r="J462" t="s">
        <v>1601</v>
      </c>
      <c r="K462" t="s">
        <v>74</v>
      </c>
      <c r="L462" t="s">
        <v>74</v>
      </c>
      <c r="M462" t="s">
        <v>74</v>
      </c>
      <c r="N462" t="s">
        <v>74</v>
      </c>
      <c r="O462" t="s">
        <v>74</v>
      </c>
      <c r="P462" t="s">
        <v>74</v>
      </c>
      <c r="Q462" t="s">
        <v>74</v>
      </c>
      <c r="R462" t="s">
        <v>74</v>
      </c>
      <c r="S462" t="s">
        <v>74</v>
      </c>
      <c r="T462" t="s">
        <v>74</v>
      </c>
      <c r="U462" t="s">
        <v>74</v>
      </c>
      <c r="V462" s="3" t="s">
        <v>1602</v>
      </c>
      <c r="W462" t="s">
        <v>74</v>
      </c>
      <c r="X462" t="s">
        <v>74</v>
      </c>
      <c r="Y462" t="s">
        <v>74</v>
      </c>
      <c r="Z462" t="s">
        <v>74</v>
      </c>
      <c r="AA462" t="s">
        <v>74</v>
      </c>
      <c r="AB462" t="s">
        <v>74</v>
      </c>
      <c r="AC462" t="s">
        <v>74</v>
      </c>
      <c r="AD462" t="s">
        <v>74</v>
      </c>
      <c r="AE462" t="s">
        <v>74</v>
      </c>
      <c r="AF462" t="s">
        <v>74</v>
      </c>
      <c r="AG462" t="s">
        <v>74</v>
      </c>
      <c r="AH462" t="s">
        <v>74</v>
      </c>
      <c r="AI462" t="s">
        <v>74</v>
      </c>
      <c r="AJ462" t="s">
        <v>74</v>
      </c>
      <c r="AK462" t="s">
        <v>74</v>
      </c>
      <c r="AL462" t="s">
        <v>74</v>
      </c>
      <c r="AM462" t="s">
        <v>74</v>
      </c>
      <c r="AN462" t="s">
        <v>74</v>
      </c>
      <c r="AO462" t="s">
        <v>1603</v>
      </c>
      <c r="AP462" t="s">
        <v>74</v>
      </c>
      <c r="AQ462" t="s">
        <v>74</v>
      </c>
      <c r="AR462" t="s">
        <v>74</v>
      </c>
      <c r="AS462" t="s">
        <v>74</v>
      </c>
      <c r="AT462" t="s">
        <v>352</v>
      </c>
      <c r="AU462">
        <v>1999</v>
      </c>
      <c r="AV462">
        <v>106</v>
      </c>
      <c r="AW462">
        <v>3</v>
      </c>
      <c r="AX462" t="s">
        <v>74</v>
      </c>
      <c r="AY462" t="s">
        <v>74</v>
      </c>
      <c r="AZ462" t="s">
        <v>74</v>
      </c>
      <c r="BA462" t="s">
        <v>74</v>
      </c>
      <c r="BB462">
        <v>643</v>
      </c>
      <c r="BC462">
        <v>661</v>
      </c>
      <c r="BD462" t="s">
        <v>74</v>
      </c>
      <c r="BE462" t="s">
        <v>1604</v>
      </c>
      <c r="BF462" t="str">
        <f>HYPERLINK("http://dx.doi.org/10.5962/bhl.part.80100","http://dx.doi.org/10.5962/bhl.part.80100")</f>
        <v>http://dx.doi.org/10.5962/bhl.part.80100</v>
      </c>
      <c r="BG462" t="s">
        <v>74</v>
      </c>
      <c r="BH462" t="s">
        <v>74</v>
      </c>
      <c r="BI462" t="s">
        <v>74</v>
      </c>
      <c r="BJ462" t="s">
        <v>74</v>
      </c>
      <c r="BK462" t="s">
        <v>74</v>
      </c>
      <c r="BL462" t="s">
        <v>74</v>
      </c>
      <c r="BM462" t="s">
        <v>74</v>
      </c>
      <c r="BN462" t="s">
        <v>74</v>
      </c>
      <c r="BO462" t="s">
        <v>74</v>
      </c>
      <c r="BP462" t="s">
        <v>74</v>
      </c>
      <c r="BQ462" t="s">
        <v>74</v>
      </c>
      <c r="BR462" t="s">
        <v>74</v>
      </c>
      <c r="BS462" t="s">
        <v>1605</v>
      </c>
      <c r="BT462" t="str">
        <f>HYPERLINK("https%3A%2F%2Fwww.webofscience.com%2Fwos%2Fwoscc%2Ffull-record%2FWOS:000082969900010","View Full Record in Web of Science")</f>
        <v>View Full Record in Web of Science</v>
      </c>
    </row>
    <row r="463" spans="1:72" x14ac:dyDescent="0.4">
      <c r="A463" t="s">
        <v>72</v>
      </c>
      <c r="B463" t="s">
        <v>3709</v>
      </c>
      <c r="C463" t="s">
        <v>74</v>
      </c>
      <c r="D463" t="s">
        <v>74</v>
      </c>
      <c r="E463" t="s">
        <v>74</v>
      </c>
      <c r="F463" t="s">
        <v>3710</v>
      </c>
      <c r="G463" t="s">
        <v>74</v>
      </c>
      <c r="H463" t="s">
        <v>74</v>
      </c>
      <c r="I463" t="s">
        <v>3711</v>
      </c>
      <c r="J463" t="s">
        <v>1656</v>
      </c>
      <c r="K463" t="s">
        <v>74</v>
      </c>
      <c r="L463" t="s">
        <v>74</v>
      </c>
      <c r="M463" t="s">
        <v>74</v>
      </c>
      <c r="N463" t="s">
        <v>74</v>
      </c>
      <c r="O463" t="s">
        <v>74</v>
      </c>
      <c r="P463" t="s">
        <v>74</v>
      </c>
      <c r="Q463" t="s">
        <v>74</v>
      </c>
      <c r="R463" t="s">
        <v>74</v>
      </c>
      <c r="S463" t="s">
        <v>74</v>
      </c>
      <c r="T463" t="s">
        <v>74</v>
      </c>
      <c r="U463" t="s">
        <v>74</v>
      </c>
      <c r="V463" s="3" t="s">
        <v>3712</v>
      </c>
      <c r="W463" t="s">
        <v>74</v>
      </c>
      <c r="X463" t="s">
        <v>74</v>
      </c>
      <c r="Y463" t="s">
        <v>74</v>
      </c>
      <c r="Z463" t="s">
        <v>74</v>
      </c>
      <c r="AA463" t="s">
        <v>3713</v>
      </c>
      <c r="AB463" t="s">
        <v>3714</v>
      </c>
      <c r="AC463" t="s">
        <v>74</v>
      </c>
      <c r="AD463" t="s">
        <v>74</v>
      </c>
      <c r="AE463" t="s">
        <v>74</v>
      </c>
      <c r="AF463" t="s">
        <v>74</v>
      </c>
      <c r="AG463" t="s">
        <v>74</v>
      </c>
      <c r="AH463" t="s">
        <v>74</v>
      </c>
      <c r="AI463" t="s">
        <v>74</v>
      </c>
      <c r="AJ463" t="s">
        <v>74</v>
      </c>
      <c r="AK463" t="s">
        <v>74</v>
      </c>
      <c r="AL463" t="s">
        <v>74</v>
      </c>
      <c r="AM463" t="s">
        <v>74</v>
      </c>
      <c r="AN463" t="s">
        <v>74</v>
      </c>
      <c r="AO463" t="s">
        <v>1658</v>
      </c>
      <c r="AP463" t="s">
        <v>1659</v>
      </c>
      <c r="AQ463" t="s">
        <v>74</v>
      </c>
      <c r="AR463" t="s">
        <v>74</v>
      </c>
      <c r="AS463" t="s">
        <v>74</v>
      </c>
      <c r="AT463" t="s">
        <v>1629</v>
      </c>
      <c r="AU463">
        <v>2018</v>
      </c>
      <c r="AV463">
        <v>4471</v>
      </c>
      <c r="AW463">
        <v>1</v>
      </c>
      <c r="AX463" t="s">
        <v>74</v>
      </c>
      <c r="AY463" t="s">
        <v>74</v>
      </c>
      <c r="AZ463" t="s">
        <v>74</v>
      </c>
      <c r="BA463" t="s">
        <v>74</v>
      </c>
      <c r="BB463">
        <v>137</v>
      </c>
      <c r="BC463">
        <v>153</v>
      </c>
      <c r="BD463" t="s">
        <v>74</v>
      </c>
      <c r="BE463" t="s">
        <v>3715</v>
      </c>
      <c r="BF463" t="str">
        <f>HYPERLINK("http://dx.doi.org/10.11646/zootaxa.4471.1.6","http://dx.doi.org/10.11646/zootaxa.4471.1.6")</f>
        <v>http://dx.doi.org/10.11646/zootaxa.4471.1.6</v>
      </c>
      <c r="BG463" t="s">
        <v>74</v>
      </c>
      <c r="BH463" t="s">
        <v>74</v>
      </c>
      <c r="BI463" t="s">
        <v>74</v>
      </c>
      <c r="BJ463" t="s">
        <v>74</v>
      </c>
      <c r="BK463" t="s">
        <v>74</v>
      </c>
      <c r="BL463" t="s">
        <v>74</v>
      </c>
      <c r="BM463" t="s">
        <v>74</v>
      </c>
      <c r="BN463">
        <v>30313421</v>
      </c>
      <c r="BO463" t="s">
        <v>74</v>
      </c>
      <c r="BP463" t="s">
        <v>74</v>
      </c>
      <c r="BQ463" t="s">
        <v>74</v>
      </c>
      <c r="BR463" t="s">
        <v>74</v>
      </c>
      <c r="BS463" t="s">
        <v>3716</v>
      </c>
      <c r="BT463" t="str">
        <f>HYPERLINK("https%3A%2F%2Fwww.webofscience.com%2Fwos%2Fwoscc%2Ffull-record%2FWOS:000443458800006","View Full Record in Web of Science")</f>
        <v>View Full Record in Web of Science</v>
      </c>
    </row>
    <row r="464" spans="1:72" x14ac:dyDescent="0.4">
      <c r="A464" t="s">
        <v>72</v>
      </c>
      <c r="B464" t="s">
        <v>3703</v>
      </c>
      <c r="C464" t="s">
        <v>74</v>
      </c>
      <c r="D464" t="s">
        <v>74</v>
      </c>
      <c r="E464" t="s">
        <v>74</v>
      </c>
      <c r="F464" t="s">
        <v>3703</v>
      </c>
      <c r="G464" t="s">
        <v>74</v>
      </c>
      <c r="H464" t="s">
        <v>74</v>
      </c>
      <c r="I464" t="s">
        <v>3704</v>
      </c>
      <c r="J464" t="s">
        <v>763</v>
      </c>
      <c r="K464" t="s">
        <v>74</v>
      </c>
      <c r="L464" t="s">
        <v>74</v>
      </c>
      <c r="M464" t="s">
        <v>74</v>
      </c>
      <c r="N464" t="s">
        <v>74</v>
      </c>
      <c r="O464" t="s">
        <v>74</v>
      </c>
      <c r="P464" t="s">
        <v>74</v>
      </c>
      <c r="Q464" t="s">
        <v>74</v>
      </c>
      <c r="R464" t="s">
        <v>74</v>
      </c>
      <c r="S464" t="s">
        <v>74</v>
      </c>
      <c r="T464" t="s">
        <v>74</v>
      </c>
      <c r="U464" t="s">
        <v>74</v>
      </c>
      <c r="V464" s="3" t="s">
        <v>3705</v>
      </c>
      <c r="W464" t="s">
        <v>74</v>
      </c>
      <c r="X464" t="s">
        <v>74</v>
      </c>
      <c r="Y464" t="s">
        <v>74</v>
      </c>
      <c r="Z464" t="s">
        <v>74</v>
      </c>
      <c r="AA464" t="s">
        <v>3706</v>
      </c>
      <c r="AB464" t="s">
        <v>3707</v>
      </c>
      <c r="AC464" t="s">
        <v>74</v>
      </c>
      <c r="AD464" t="s">
        <v>74</v>
      </c>
      <c r="AE464" t="s">
        <v>74</v>
      </c>
      <c r="AF464" t="s">
        <v>74</v>
      </c>
      <c r="AG464" t="s">
        <v>74</v>
      </c>
      <c r="AH464" t="s">
        <v>74</v>
      </c>
      <c r="AI464" t="s">
        <v>74</v>
      </c>
      <c r="AJ464" t="s">
        <v>74</v>
      </c>
      <c r="AK464" t="s">
        <v>74</v>
      </c>
      <c r="AL464" t="s">
        <v>74</v>
      </c>
      <c r="AM464" t="s">
        <v>74</v>
      </c>
      <c r="AN464" t="s">
        <v>74</v>
      </c>
      <c r="AO464" t="s">
        <v>767</v>
      </c>
      <c r="AP464" t="s">
        <v>74</v>
      </c>
      <c r="AQ464" t="s">
        <v>74</v>
      </c>
      <c r="AR464" t="s">
        <v>74</v>
      </c>
      <c r="AS464" t="s">
        <v>74</v>
      </c>
      <c r="AT464" t="s">
        <v>145</v>
      </c>
      <c r="AU464">
        <v>2002</v>
      </c>
      <c r="AV464">
        <v>205</v>
      </c>
      <c r="AW464">
        <v>16</v>
      </c>
      <c r="AX464" t="s">
        <v>74</v>
      </c>
      <c r="AY464" t="s">
        <v>74</v>
      </c>
      <c r="AZ464" t="s">
        <v>74</v>
      </c>
      <c r="BA464" t="s">
        <v>74</v>
      </c>
      <c r="BB464">
        <v>2535</v>
      </c>
      <c r="BC464">
        <v>2543</v>
      </c>
      <c r="BD464" t="s">
        <v>74</v>
      </c>
      <c r="BE464" t="s">
        <v>74</v>
      </c>
      <c r="BF464" t="s">
        <v>74</v>
      </c>
      <c r="BG464" t="s">
        <v>74</v>
      </c>
      <c r="BH464" t="s">
        <v>74</v>
      </c>
      <c r="BI464" t="s">
        <v>74</v>
      </c>
      <c r="BJ464" t="s">
        <v>74</v>
      </c>
      <c r="BK464" t="s">
        <v>74</v>
      </c>
      <c r="BL464" t="s">
        <v>74</v>
      </c>
      <c r="BM464" t="s">
        <v>74</v>
      </c>
      <c r="BN464">
        <v>12124377</v>
      </c>
      <c r="BO464" t="s">
        <v>74</v>
      </c>
      <c r="BP464" t="s">
        <v>74</v>
      </c>
      <c r="BQ464" t="s">
        <v>74</v>
      </c>
      <c r="BR464" t="s">
        <v>74</v>
      </c>
      <c r="BS464" t="s">
        <v>3708</v>
      </c>
      <c r="BT464" t="str">
        <f>HYPERLINK("https%3A%2F%2Fwww.webofscience.com%2Fwos%2Fwoscc%2Ffull-record%2FWOS:000177855700019","View Full Record in Web of Science")</f>
        <v>View Full Record in Web of Science</v>
      </c>
    </row>
    <row r="465" spans="1:72" x14ac:dyDescent="0.4">
      <c r="A465" t="s">
        <v>72</v>
      </c>
      <c r="B465" t="s">
        <v>2515</v>
      </c>
      <c r="C465" t="s">
        <v>74</v>
      </c>
      <c r="D465" t="s">
        <v>74</v>
      </c>
      <c r="E465" t="s">
        <v>74</v>
      </c>
      <c r="F465" t="s">
        <v>2515</v>
      </c>
      <c r="G465" t="s">
        <v>74</v>
      </c>
      <c r="H465" t="s">
        <v>74</v>
      </c>
      <c r="I465" t="s">
        <v>2516</v>
      </c>
      <c r="J465" t="s">
        <v>1135</v>
      </c>
      <c r="K465" t="s">
        <v>74</v>
      </c>
      <c r="L465" t="s">
        <v>74</v>
      </c>
      <c r="M465" t="s">
        <v>74</v>
      </c>
      <c r="N465" t="s">
        <v>74</v>
      </c>
      <c r="O465" t="s">
        <v>74</v>
      </c>
      <c r="P465" t="s">
        <v>74</v>
      </c>
      <c r="Q465" t="s">
        <v>74</v>
      </c>
      <c r="R465" t="s">
        <v>74</v>
      </c>
      <c r="S465" t="s">
        <v>74</v>
      </c>
      <c r="T465" t="s">
        <v>74</v>
      </c>
      <c r="U465" t="s">
        <v>74</v>
      </c>
      <c r="V465" s="3" t="s">
        <v>2517</v>
      </c>
      <c r="W465" t="s">
        <v>74</v>
      </c>
      <c r="X465" t="s">
        <v>74</v>
      </c>
      <c r="Y465" t="s">
        <v>74</v>
      </c>
      <c r="Z465" t="s">
        <v>74</v>
      </c>
      <c r="AA465" t="s">
        <v>2518</v>
      </c>
      <c r="AB465" t="s">
        <v>2519</v>
      </c>
      <c r="AC465" t="s">
        <v>74</v>
      </c>
      <c r="AD465" t="s">
        <v>74</v>
      </c>
      <c r="AE465" t="s">
        <v>74</v>
      </c>
      <c r="AF465" t="s">
        <v>74</v>
      </c>
      <c r="AG465" t="s">
        <v>74</v>
      </c>
      <c r="AH465" t="s">
        <v>74</v>
      </c>
      <c r="AI465" t="s">
        <v>74</v>
      </c>
      <c r="AJ465" t="s">
        <v>74</v>
      </c>
      <c r="AK465" t="s">
        <v>74</v>
      </c>
      <c r="AL465" t="s">
        <v>74</v>
      </c>
      <c r="AM465" t="s">
        <v>74</v>
      </c>
      <c r="AN465" t="s">
        <v>74</v>
      </c>
      <c r="AO465" t="s">
        <v>1137</v>
      </c>
      <c r="AP465" t="s">
        <v>74</v>
      </c>
      <c r="AQ465" t="s">
        <v>74</v>
      </c>
      <c r="AR465" t="s">
        <v>74</v>
      </c>
      <c r="AS465" t="s">
        <v>74</v>
      </c>
      <c r="AT465" t="s">
        <v>1611</v>
      </c>
      <c r="AU465">
        <v>1993</v>
      </c>
      <c r="AV465">
        <v>24</v>
      </c>
      <c r="AW465">
        <v>1</v>
      </c>
      <c r="AX465" t="s">
        <v>74</v>
      </c>
      <c r="AY465" t="s">
        <v>74</v>
      </c>
      <c r="AZ465" t="s">
        <v>74</v>
      </c>
      <c r="BA465" t="s">
        <v>74</v>
      </c>
      <c r="BB465">
        <v>53</v>
      </c>
      <c r="BC465">
        <v>58</v>
      </c>
      <c r="BD465" t="s">
        <v>74</v>
      </c>
      <c r="BE465" t="s">
        <v>2520</v>
      </c>
      <c r="BF465" t="str">
        <f>HYPERLINK("http://dx.doi.org/10.2307/3676410","http://dx.doi.org/10.2307/3676410")</f>
        <v>http://dx.doi.org/10.2307/3676410</v>
      </c>
      <c r="BG465" t="s">
        <v>74</v>
      </c>
      <c r="BH465" t="s">
        <v>74</v>
      </c>
      <c r="BI465" t="s">
        <v>74</v>
      </c>
      <c r="BJ465" t="s">
        <v>74</v>
      </c>
      <c r="BK465" t="s">
        <v>74</v>
      </c>
      <c r="BL465" t="s">
        <v>74</v>
      </c>
      <c r="BM465" t="s">
        <v>74</v>
      </c>
      <c r="BN465" t="s">
        <v>74</v>
      </c>
      <c r="BO465" t="s">
        <v>74</v>
      </c>
      <c r="BP465" t="s">
        <v>74</v>
      </c>
      <c r="BQ465" t="s">
        <v>74</v>
      </c>
      <c r="BR465" t="s">
        <v>74</v>
      </c>
      <c r="BS465" t="s">
        <v>2521</v>
      </c>
      <c r="BT465" t="str">
        <f>HYPERLINK("https%3A%2F%2Fwww.webofscience.com%2Fwos%2Fwoscc%2Ffull-record%2FWOS:A1993KP96900009","View Full Record in Web of Science")</f>
        <v>View Full Record in Web of Science</v>
      </c>
    </row>
    <row r="466" spans="1:72" x14ac:dyDescent="0.4">
      <c r="A466" t="s">
        <v>72</v>
      </c>
      <c r="B466" t="s">
        <v>6371</v>
      </c>
      <c r="C466" t="s">
        <v>74</v>
      </c>
      <c r="D466" t="s">
        <v>74</v>
      </c>
      <c r="E466" t="s">
        <v>74</v>
      </c>
      <c r="F466" t="s">
        <v>6371</v>
      </c>
      <c r="G466" t="s">
        <v>74</v>
      </c>
      <c r="H466" t="s">
        <v>74</v>
      </c>
      <c r="I466" t="s">
        <v>6372</v>
      </c>
      <c r="J466" t="s">
        <v>6373</v>
      </c>
      <c r="K466" t="s">
        <v>74</v>
      </c>
      <c r="L466" t="s">
        <v>74</v>
      </c>
      <c r="M466" t="s">
        <v>74</v>
      </c>
      <c r="N466" t="s">
        <v>74</v>
      </c>
      <c r="O466" t="s">
        <v>6374</v>
      </c>
      <c r="P466" t="s">
        <v>6375</v>
      </c>
      <c r="Q466" t="s">
        <v>6376</v>
      </c>
      <c r="R466" t="s">
        <v>74</v>
      </c>
      <c r="S466" t="s">
        <v>74</v>
      </c>
      <c r="T466" t="s">
        <v>74</v>
      </c>
      <c r="U466" t="s">
        <v>74</v>
      </c>
      <c r="V466" s="3" t="s">
        <v>6377</v>
      </c>
      <c r="W466" t="s">
        <v>74</v>
      </c>
      <c r="X466" t="s">
        <v>74</v>
      </c>
      <c r="Y466" t="s">
        <v>74</v>
      </c>
      <c r="Z466" t="s">
        <v>74</v>
      </c>
      <c r="AA466" t="s">
        <v>74</v>
      </c>
      <c r="AB466" t="s">
        <v>74</v>
      </c>
      <c r="AC466" t="s">
        <v>74</v>
      </c>
      <c r="AD466" t="s">
        <v>74</v>
      </c>
      <c r="AE466" t="s">
        <v>74</v>
      </c>
      <c r="AF466" t="s">
        <v>74</v>
      </c>
      <c r="AG466" t="s">
        <v>74</v>
      </c>
      <c r="AH466" t="s">
        <v>74</v>
      </c>
      <c r="AI466" t="s">
        <v>74</v>
      </c>
      <c r="AJ466" t="s">
        <v>74</v>
      </c>
      <c r="AK466" t="s">
        <v>74</v>
      </c>
      <c r="AL466" t="s">
        <v>74</v>
      </c>
      <c r="AM466" t="s">
        <v>74</v>
      </c>
      <c r="AN466" t="s">
        <v>74</v>
      </c>
      <c r="AO466" t="s">
        <v>6378</v>
      </c>
      <c r="AP466" t="s">
        <v>74</v>
      </c>
      <c r="AQ466" t="s">
        <v>74</v>
      </c>
      <c r="AR466" t="s">
        <v>74</v>
      </c>
      <c r="AS466" t="s">
        <v>74</v>
      </c>
      <c r="AT466" t="s">
        <v>134</v>
      </c>
      <c r="AU466">
        <v>1997</v>
      </c>
      <c r="AV466">
        <v>25</v>
      </c>
      <c r="AW466">
        <v>3</v>
      </c>
      <c r="AX466" t="s">
        <v>74</v>
      </c>
      <c r="AY466" t="s">
        <v>74</v>
      </c>
      <c r="AZ466" t="s">
        <v>74</v>
      </c>
      <c r="BA466" t="s">
        <v>74</v>
      </c>
      <c r="BB466">
        <v>233</v>
      </c>
      <c r="BC466">
        <v>240</v>
      </c>
      <c r="BD466" t="s">
        <v>74</v>
      </c>
      <c r="BE466" t="s">
        <v>74</v>
      </c>
      <c r="BF466" t="s">
        <v>74</v>
      </c>
      <c r="BG466" t="s">
        <v>74</v>
      </c>
      <c r="BH466" t="s">
        <v>74</v>
      </c>
      <c r="BI466" t="s">
        <v>74</v>
      </c>
      <c r="BJ466" t="s">
        <v>74</v>
      </c>
      <c r="BK466" t="s">
        <v>74</v>
      </c>
      <c r="BL466" t="s">
        <v>74</v>
      </c>
      <c r="BM466" t="s">
        <v>74</v>
      </c>
      <c r="BN466">
        <v>9289882</v>
      </c>
      <c r="BO466" t="s">
        <v>74</v>
      </c>
      <c r="BP466" t="s">
        <v>74</v>
      </c>
      <c r="BQ466" t="s">
        <v>74</v>
      </c>
      <c r="BR466" t="s">
        <v>74</v>
      </c>
      <c r="BS466" t="s">
        <v>6379</v>
      </c>
      <c r="BT466" t="str">
        <f>HYPERLINK("https%3A%2F%2Fwww.webofscience.com%2Fwos%2Fwoscc%2Ffull-record%2FWOS:A1997XB94300007","View Full Record in Web of Science")</f>
        <v>View Full Record in Web of Science</v>
      </c>
    </row>
    <row r="467" spans="1:72" x14ac:dyDescent="0.4">
      <c r="A467" t="s">
        <v>72</v>
      </c>
      <c r="B467" t="s">
        <v>2230</v>
      </c>
      <c r="C467" t="s">
        <v>74</v>
      </c>
      <c r="D467" t="s">
        <v>74</v>
      </c>
      <c r="E467" t="s">
        <v>74</v>
      </c>
      <c r="F467" t="s">
        <v>2230</v>
      </c>
      <c r="G467" t="s">
        <v>74</v>
      </c>
      <c r="H467" t="s">
        <v>74</v>
      </c>
      <c r="I467" t="s">
        <v>2231</v>
      </c>
      <c r="J467" t="s">
        <v>2232</v>
      </c>
      <c r="K467" t="s">
        <v>74</v>
      </c>
      <c r="L467" t="s">
        <v>74</v>
      </c>
      <c r="M467" t="s">
        <v>74</v>
      </c>
      <c r="N467" t="s">
        <v>74</v>
      </c>
      <c r="O467" t="s">
        <v>74</v>
      </c>
      <c r="P467" t="s">
        <v>74</v>
      </c>
      <c r="Q467" t="s">
        <v>74</v>
      </c>
      <c r="R467" t="s">
        <v>74</v>
      </c>
      <c r="S467" t="s">
        <v>74</v>
      </c>
      <c r="T467" t="s">
        <v>74</v>
      </c>
      <c r="U467" t="s">
        <v>74</v>
      </c>
      <c r="V467" s="3" t="s">
        <v>2233</v>
      </c>
      <c r="W467" t="s">
        <v>74</v>
      </c>
      <c r="X467" t="s">
        <v>74</v>
      </c>
      <c r="Y467" t="s">
        <v>74</v>
      </c>
      <c r="Z467" t="s">
        <v>74</v>
      </c>
      <c r="AA467" t="s">
        <v>2234</v>
      </c>
      <c r="AB467" t="s">
        <v>2235</v>
      </c>
      <c r="AC467" t="s">
        <v>74</v>
      </c>
      <c r="AD467" t="s">
        <v>74</v>
      </c>
      <c r="AE467" t="s">
        <v>74</v>
      </c>
      <c r="AF467" t="s">
        <v>74</v>
      </c>
      <c r="AG467" t="s">
        <v>74</v>
      </c>
      <c r="AH467" t="s">
        <v>74</v>
      </c>
      <c r="AI467" t="s">
        <v>74</v>
      </c>
      <c r="AJ467" t="s">
        <v>74</v>
      </c>
      <c r="AK467" t="s">
        <v>74</v>
      </c>
      <c r="AL467" t="s">
        <v>74</v>
      </c>
      <c r="AM467" t="s">
        <v>74</v>
      </c>
      <c r="AN467" t="s">
        <v>74</v>
      </c>
      <c r="AO467" t="s">
        <v>2236</v>
      </c>
      <c r="AP467" t="s">
        <v>2237</v>
      </c>
      <c r="AQ467" t="s">
        <v>74</v>
      </c>
      <c r="AR467" t="s">
        <v>74</v>
      </c>
      <c r="AS467" t="s">
        <v>74</v>
      </c>
      <c r="AT467" t="s">
        <v>175</v>
      </c>
      <c r="AU467">
        <v>2002</v>
      </c>
      <c r="AV467">
        <v>99</v>
      </c>
      <c r="AW467">
        <v>1</v>
      </c>
      <c r="AX467" t="s">
        <v>74</v>
      </c>
      <c r="AY467" t="s">
        <v>74</v>
      </c>
      <c r="AZ467" t="s">
        <v>74</v>
      </c>
      <c r="BA467" t="s">
        <v>74</v>
      </c>
      <c r="BB467">
        <v>184</v>
      </c>
      <c r="BC467">
        <v>188</v>
      </c>
      <c r="BD467" t="s">
        <v>74</v>
      </c>
      <c r="BE467" t="s">
        <v>2238</v>
      </c>
      <c r="BF467" t="str">
        <f>HYPERLINK("http://dx.doi.org/10.1034/j.1600-0706.2002.990119.x","http://dx.doi.org/10.1034/j.1600-0706.2002.990119.x")</f>
        <v>http://dx.doi.org/10.1034/j.1600-0706.2002.990119.x</v>
      </c>
      <c r="BG467" t="s">
        <v>74</v>
      </c>
      <c r="BH467" t="s">
        <v>74</v>
      </c>
      <c r="BI467" t="s">
        <v>74</v>
      </c>
      <c r="BJ467" t="s">
        <v>74</v>
      </c>
      <c r="BK467" t="s">
        <v>74</v>
      </c>
      <c r="BL467" t="s">
        <v>74</v>
      </c>
      <c r="BM467" t="s">
        <v>74</v>
      </c>
      <c r="BN467" t="s">
        <v>74</v>
      </c>
      <c r="BO467" t="s">
        <v>74</v>
      </c>
      <c r="BP467" t="s">
        <v>74</v>
      </c>
      <c r="BQ467" t="s">
        <v>74</v>
      </c>
      <c r="BR467" t="s">
        <v>74</v>
      </c>
      <c r="BS467" t="s">
        <v>2239</v>
      </c>
      <c r="BT467" t="str">
        <f>HYPERLINK("https%3A%2F%2Fwww.webofscience.com%2Fwos%2Fwoscc%2Ffull-record%2FWOS:000178883100019","View Full Record in Web of Science")</f>
        <v>View Full Record in Web of Science</v>
      </c>
    </row>
    <row r="468" spans="1:72" x14ac:dyDescent="0.4">
      <c r="A468" t="s">
        <v>72</v>
      </c>
      <c r="B468" t="s">
        <v>6327</v>
      </c>
      <c r="C468" t="s">
        <v>74</v>
      </c>
      <c r="D468" t="s">
        <v>74</v>
      </c>
      <c r="E468" t="s">
        <v>74</v>
      </c>
      <c r="F468" t="s">
        <v>6328</v>
      </c>
      <c r="G468" t="s">
        <v>74</v>
      </c>
      <c r="H468" t="s">
        <v>74</v>
      </c>
      <c r="I468" t="s">
        <v>6329</v>
      </c>
      <c r="J468" t="s">
        <v>763</v>
      </c>
      <c r="K468" t="s">
        <v>74</v>
      </c>
      <c r="L468" t="s">
        <v>74</v>
      </c>
      <c r="M468" t="s">
        <v>74</v>
      </c>
      <c r="N468" t="s">
        <v>74</v>
      </c>
      <c r="O468" t="s">
        <v>74</v>
      </c>
      <c r="P468" t="s">
        <v>74</v>
      </c>
      <c r="Q468" t="s">
        <v>74</v>
      </c>
      <c r="R468" t="s">
        <v>74</v>
      </c>
      <c r="S468" t="s">
        <v>74</v>
      </c>
      <c r="T468" t="s">
        <v>74</v>
      </c>
      <c r="U468" t="s">
        <v>74</v>
      </c>
      <c r="V468" s="3" t="s">
        <v>6330</v>
      </c>
      <c r="W468" t="s">
        <v>74</v>
      </c>
      <c r="X468" t="s">
        <v>74</v>
      </c>
      <c r="Y468" t="s">
        <v>74</v>
      </c>
      <c r="Z468" t="s">
        <v>74</v>
      </c>
      <c r="AA468" t="s">
        <v>6331</v>
      </c>
      <c r="AB468" t="s">
        <v>74</v>
      </c>
      <c r="AC468" t="s">
        <v>74</v>
      </c>
      <c r="AD468" t="s">
        <v>74</v>
      </c>
      <c r="AE468" t="s">
        <v>74</v>
      </c>
      <c r="AF468" t="s">
        <v>74</v>
      </c>
      <c r="AG468" t="s">
        <v>74</v>
      </c>
      <c r="AH468" t="s">
        <v>74</v>
      </c>
      <c r="AI468" t="s">
        <v>74</v>
      </c>
      <c r="AJ468" t="s">
        <v>74</v>
      </c>
      <c r="AK468" t="s">
        <v>74</v>
      </c>
      <c r="AL468" t="s">
        <v>74</v>
      </c>
      <c r="AM468" t="s">
        <v>74</v>
      </c>
      <c r="AN468" t="s">
        <v>74</v>
      </c>
      <c r="AO468" t="s">
        <v>767</v>
      </c>
      <c r="AP468" t="s">
        <v>768</v>
      </c>
      <c r="AQ468" t="s">
        <v>74</v>
      </c>
      <c r="AR468" t="s">
        <v>74</v>
      </c>
      <c r="AS468" t="s">
        <v>74</v>
      </c>
      <c r="AT468" t="s">
        <v>1146</v>
      </c>
      <c r="AU468">
        <v>2008</v>
      </c>
      <c r="AV468">
        <v>211</v>
      </c>
      <c r="AW468">
        <v>15</v>
      </c>
      <c r="AX468" t="s">
        <v>74</v>
      </c>
      <c r="AY468" t="s">
        <v>74</v>
      </c>
      <c r="AZ468" t="s">
        <v>74</v>
      </c>
      <c r="BA468" t="s">
        <v>74</v>
      </c>
      <c r="BB468">
        <v>2519</v>
      </c>
      <c r="BC468">
        <v>2523</v>
      </c>
      <c r="BD468" t="s">
        <v>74</v>
      </c>
      <c r="BE468" t="s">
        <v>6332</v>
      </c>
      <c r="BF468" t="str">
        <f>HYPERLINK("http://dx.doi.org/10.1242/jeb.017327","http://dx.doi.org/10.1242/jeb.017327")</f>
        <v>http://dx.doi.org/10.1242/jeb.017327</v>
      </c>
      <c r="BG468" t="s">
        <v>74</v>
      </c>
      <c r="BH468" t="s">
        <v>74</v>
      </c>
      <c r="BI468" t="s">
        <v>74</v>
      </c>
      <c r="BJ468" t="s">
        <v>74</v>
      </c>
      <c r="BK468" t="s">
        <v>74</v>
      </c>
      <c r="BL468" t="s">
        <v>74</v>
      </c>
      <c r="BM468" t="s">
        <v>74</v>
      </c>
      <c r="BN468">
        <v>18626087</v>
      </c>
      <c r="BO468" t="s">
        <v>74</v>
      </c>
      <c r="BP468" t="s">
        <v>74</v>
      </c>
      <c r="BQ468" t="s">
        <v>74</v>
      </c>
      <c r="BR468" t="s">
        <v>74</v>
      </c>
      <c r="BS468" t="s">
        <v>6333</v>
      </c>
      <c r="BT468" t="str">
        <f>HYPERLINK("https%3A%2F%2Fwww.webofscience.com%2Fwos%2Fwoscc%2Ffull-record%2FWOS:000257620300027","View Full Record in Web of Science")</f>
        <v>View Full Record in Web of Science</v>
      </c>
    </row>
    <row r="469" spans="1:72" x14ac:dyDescent="0.4">
      <c r="A469" t="s">
        <v>72</v>
      </c>
      <c r="B469" t="s">
        <v>1971</v>
      </c>
      <c r="C469" t="s">
        <v>74</v>
      </c>
      <c r="D469" t="s">
        <v>74</v>
      </c>
      <c r="E469" t="s">
        <v>74</v>
      </c>
      <c r="F469" t="s">
        <v>1972</v>
      </c>
      <c r="G469" t="s">
        <v>74</v>
      </c>
      <c r="H469" t="s">
        <v>74</v>
      </c>
      <c r="I469" t="s">
        <v>1973</v>
      </c>
      <c r="J469" t="s">
        <v>970</v>
      </c>
      <c r="K469" t="s">
        <v>74</v>
      </c>
      <c r="L469" t="s">
        <v>74</v>
      </c>
      <c r="M469" t="s">
        <v>74</v>
      </c>
      <c r="N469" t="s">
        <v>74</v>
      </c>
      <c r="O469" t="s">
        <v>74</v>
      </c>
      <c r="P469" t="s">
        <v>74</v>
      </c>
      <c r="Q469" t="s">
        <v>74</v>
      </c>
      <c r="R469" t="s">
        <v>74</v>
      </c>
      <c r="S469" t="s">
        <v>74</v>
      </c>
      <c r="T469" t="s">
        <v>74</v>
      </c>
      <c r="U469" t="s">
        <v>74</v>
      </c>
      <c r="V469" s="3" t="s">
        <v>1974</v>
      </c>
      <c r="W469" t="s">
        <v>74</v>
      </c>
      <c r="X469" t="s">
        <v>74</v>
      </c>
      <c r="Y469" t="s">
        <v>74</v>
      </c>
      <c r="Z469" t="s">
        <v>74</v>
      </c>
      <c r="AA469" t="s">
        <v>1975</v>
      </c>
      <c r="AB469" t="s">
        <v>1976</v>
      </c>
      <c r="AC469" t="s">
        <v>74</v>
      </c>
      <c r="AD469" t="s">
        <v>74</v>
      </c>
      <c r="AE469" t="s">
        <v>74</v>
      </c>
      <c r="AF469" t="s">
        <v>74</v>
      </c>
      <c r="AG469" t="s">
        <v>74</v>
      </c>
      <c r="AH469" t="s">
        <v>74</v>
      </c>
      <c r="AI469" t="s">
        <v>74</v>
      </c>
      <c r="AJ469" t="s">
        <v>74</v>
      </c>
      <c r="AK469" t="s">
        <v>74</v>
      </c>
      <c r="AL469" t="s">
        <v>74</v>
      </c>
      <c r="AM469" t="s">
        <v>74</v>
      </c>
      <c r="AN469" t="s">
        <v>74</v>
      </c>
      <c r="AO469" t="s">
        <v>974</v>
      </c>
      <c r="AP469" t="s">
        <v>975</v>
      </c>
      <c r="AQ469" t="s">
        <v>74</v>
      </c>
      <c r="AR469" t="s">
        <v>74</v>
      </c>
      <c r="AS469" t="s">
        <v>74</v>
      </c>
      <c r="AT469" t="s">
        <v>175</v>
      </c>
      <c r="AU469">
        <v>2006</v>
      </c>
      <c r="AV469">
        <v>147</v>
      </c>
      <c r="AW469">
        <v>4</v>
      </c>
      <c r="AX469" t="s">
        <v>74</v>
      </c>
      <c r="AY469" t="s">
        <v>74</v>
      </c>
      <c r="AZ469" t="s">
        <v>74</v>
      </c>
      <c r="BA469" t="s">
        <v>74</v>
      </c>
      <c r="BB469">
        <v>629</v>
      </c>
      <c r="BC469">
        <v>637</v>
      </c>
      <c r="BD469" t="s">
        <v>74</v>
      </c>
      <c r="BE469" t="s">
        <v>1977</v>
      </c>
      <c r="BF469" t="str">
        <f>HYPERLINK("http://dx.doi.org/10.1007/s10336-006-0088-y","http://dx.doi.org/10.1007/s10336-006-0088-y")</f>
        <v>http://dx.doi.org/10.1007/s10336-006-0088-y</v>
      </c>
      <c r="BG469" t="s">
        <v>74</v>
      </c>
      <c r="BH469" t="s">
        <v>74</v>
      </c>
      <c r="BI469" t="s">
        <v>74</v>
      </c>
      <c r="BJ469" t="s">
        <v>74</v>
      </c>
      <c r="BK469" t="s">
        <v>74</v>
      </c>
      <c r="BL469" t="s">
        <v>74</v>
      </c>
      <c r="BM469" t="s">
        <v>74</v>
      </c>
      <c r="BN469" t="s">
        <v>74</v>
      </c>
      <c r="BO469" t="s">
        <v>74</v>
      </c>
      <c r="BP469" t="s">
        <v>74</v>
      </c>
      <c r="BQ469" t="s">
        <v>74</v>
      </c>
      <c r="BR469" t="s">
        <v>74</v>
      </c>
      <c r="BS469" t="s">
        <v>1978</v>
      </c>
      <c r="BT469" t="str">
        <f>HYPERLINK("https%3A%2F%2Fwww.webofscience.com%2Fwos%2Fwoscc%2Ffull-record%2FWOS:000241113000015","View Full Record in Web of Science")</f>
        <v>View Full Record in Web of Science</v>
      </c>
    </row>
    <row r="470" spans="1:72" x14ac:dyDescent="0.4">
      <c r="A470" t="s">
        <v>72</v>
      </c>
      <c r="B470" t="s">
        <v>3298</v>
      </c>
      <c r="C470" t="s">
        <v>74</v>
      </c>
      <c r="D470" t="s">
        <v>74</v>
      </c>
      <c r="E470" t="s">
        <v>74</v>
      </c>
      <c r="F470" t="s">
        <v>3298</v>
      </c>
      <c r="G470" t="s">
        <v>74</v>
      </c>
      <c r="H470" t="s">
        <v>74</v>
      </c>
      <c r="I470" t="s">
        <v>3299</v>
      </c>
      <c r="J470" t="s">
        <v>1244</v>
      </c>
      <c r="K470" t="s">
        <v>74</v>
      </c>
      <c r="L470" t="s">
        <v>74</v>
      </c>
      <c r="M470" t="s">
        <v>74</v>
      </c>
      <c r="N470" t="s">
        <v>74</v>
      </c>
      <c r="O470" t="s">
        <v>74</v>
      </c>
      <c r="P470" t="s">
        <v>74</v>
      </c>
      <c r="Q470" t="s">
        <v>74</v>
      </c>
      <c r="R470" t="s">
        <v>74</v>
      </c>
      <c r="S470" t="s">
        <v>74</v>
      </c>
      <c r="T470" t="s">
        <v>74</v>
      </c>
      <c r="U470" t="s">
        <v>74</v>
      </c>
      <c r="V470" s="3" t="s">
        <v>3300</v>
      </c>
      <c r="W470" t="s">
        <v>74</v>
      </c>
      <c r="X470" t="s">
        <v>74</v>
      </c>
      <c r="Y470" t="s">
        <v>74</v>
      </c>
      <c r="Z470" t="s">
        <v>74</v>
      </c>
      <c r="AA470" t="s">
        <v>3301</v>
      </c>
      <c r="AB470" t="s">
        <v>74</v>
      </c>
      <c r="AC470" t="s">
        <v>74</v>
      </c>
      <c r="AD470" t="s">
        <v>74</v>
      </c>
      <c r="AE470" t="s">
        <v>74</v>
      </c>
      <c r="AF470" t="s">
        <v>74</v>
      </c>
      <c r="AG470" t="s">
        <v>74</v>
      </c>
      <c r="AH470" t="s">
        <v>74</v>
      </c>
      <c r="AI470" t="s">
        <v>74</v>
      </c>
      <c r="AJ470" t="s">
        <v>74</v>
      </c>
      <c r="AK470" t="s">
        <v>74</v>
      </c>
      <c r="AL470" t="s">
        <v>74</v>
      </c>
      <c r="AM470" t="s">
        <v>74</v>
      </c>
      <c r="AN470" t="s">
        <v>74</v>
      </c>
      <c r="AO470" t="s">
        <v>1246</v>
      </c>
      <c r="AP470" t="s">
        <v>74</v>
      </c>
      <c r="AQ470" t="s">
        <v>74</v>
      </c>
      <c r="AR470" t="s">
        <v>74</v>
      </c>
      <c r="AS470" t="s">
        <v>74</v>
      </c>
      <c r="AT470" t="s">
        <v>3302</v>
      </c>
      <c r="AU470">
        <v>2006</v>
      </c>
      <c r="AV470">
        <v>35</v>
      </c>
      <c r="AW470">
        <v>1</v>
      </c>
      <c r="AX470" t="s">
        <v>74</v>
      </c>
      <c r="AY470" t="s">
        <v>74</v>
      </c>
      <c r="AZ470" t="s">
        <v>74</v>
      </c>
      <c r="BA470" t="s">
        <v>74</v>
      </c>
      <c r="BB470">
        <v>15</v>
      </c>
      <c r="BC470">
        <v>22</v>
      </c>
      <c r="BD470" t="s">
        <v>74</v>
      </c>
      <c r="BE470" t="s">
        <v>74</v>
      </c>
      <c r="BF470" t="s">
        <v>74</v>
      </c>
      <c r="BG470" t="s">
        <v>74</v>
      </c>
      <c r="BH470" t="s">
        <v>74</v>
      </c>
      <c r="BI470" t="s">
        <v>74</v>
      </c>
      <c r="BJ470" t="s">
        <v>74</v>
      </c>
      <c r="BK470" t="s">
        <v>74</v>
      </c>
      <c r="BL470" t="s">
        <v>74</v>
      </c>
      <c r="BM470" t="s">
        <v>74</v>
      </c>
      <c r="BN470" t="s">
        <v>74</v>
      </c>
      <c r="BO470" t="s">
        <v>74</v>
      </c>
      <c r="BP470" t="s">
        <v>74</v>
      </c>
      <c r="BQ470" t="s">
        <v>74</v>
      </c>
      <c r="BR470" t="s">
        <v>74</v>
      </c>
      <c r="BS470" t="s">
        <v>3303</v>
      </c>
      <c r="BT470" t="str">
        <f>HYPERLINK("https%3A%2F%2Fwww.webofscience.com%2Fwos%2Fwoscc%2Ffull-record%2FWOS:000235795700002","View Full Record in Web of Science")</f>
        <v>View Full Record in Web of Science</v>
      </c>
    </row>
    <row r="471" spans="1:72" x14ac:dyDescent="0.4">
      <c r="A471" t="s">
        <v>72</v>
      </c>
      <c r="B471" t="s">
        <v>3151</v>
      </c>
      <c r="C471" t="s">
        <v>74</v>
      </c>
      <c r="D471" t="s">
        <v>74</v>
      </c>
      <c r="E471" t="s">
        <v>74</v>
      </c>
      <c r="F471" t="s">
        <v>3152</v>
      </c>
      <c r="G471" t="s">
        <v>74</v>
      </c>
      <c r="H471" t="s">
        <v>74</v>
      </c>
      <c r="I471" t="s">
        <v>3153</v>
      </c>
      <c r="J471" t="s">
        <v>2232</v>
      </c>
      <c r="K471" t="s">
        <v>74</v>
      </c>
      <c r="L471" t="s">
        <v>74</v>
      </c>
      <c r="M471" t="s">
        <v>74</v>
      </c>
      <c r="N471" t="s">
        <v>74</v>
      </c>
      <c r="O471" t="s">
        <v>74</v>
      </c>
      <c r="P471" t="s">
        <v>74</v>
      </c>
      <c r="Q471" t="s">
        <v>74</v>
      </c>
      <c r="R471" t="s">
        <v>74</v>
      </c>
      <c r="S471" t="s">
        <v>74</v>
      </c>
      <c r="T471" t="s">
        <v>74</v>
      </c>
      <c r="U471" t="s">
        <v>74</v>
      </c>
      <c r="V471" s="3" t="s">
        <v>3154</v>
      </c>
      <c r="W471" t="s">
        <v>74</v>
      </c>
      <c r="X471" t="s">
        <v>74</v>
      </c>
      <c r="Y471" t="s">
        <v>74</v>
      </c>
      <c r="Z471" t="s">
        <v>74</v>
      </c>
      <c r="AA471" t="s">
        <v>3155</v>
      </c>
      <c r="AB471" t="s">
        <v>3156</v>
      </c>
      <c r="AC471" t="s">
        <v>74</v>
      </c>
      <c r="AD471" t="s">
        <v>74</v>
      </c>
      <c r="AE471" t="s">
        <v>74</v>
      </c>
      <c r="AF471" t="s">
        <v>74</v>
      </c>
      <c r="AG471" t="s">
        <v>74</v>
      </c>
      <c r="AH471" t="s">
        <v>74</v>
      </c>
      <c r="AI471" t="s">
        <v>74</v>
      </c>
      <c r="AJ471" t="s">
        <v>74</v>
      </c>
      <c r="AK471" t="s">
        <v>74</v>
      </c>
      <c r="AL471" t="s">
        <v>74</v>
      </c>
      <c r="AM471" t="s">
        <v>74</v>
      </c>
      <c r="AN471" t="s">
        <v>74</v>
      </c>
      <c r="AO471" t="s">
        <v>2236</v>
      </c>
      <c r="AP471" t="s">
        <v>74</v>
      </c>
      <c r="AQ471" t="s">
        <v>74</v>
      </c>
      <c r="AR471" t="s">
        <v>74</v>
      </c>
      <c r="AS471" t="s">
        <v>74</v>
      </c>
      <c r="AT471" t="s">
        <v>102</v>
      </c>
      <c r="AU471">
        <v>2011</v>
      </c>
      <c r="AV471">
        <v>120</v>
      </c>
      <c r="AW471">
        <v>6</v>
      </c>
      <c r="AX471" t="s">
        <v>74</v>
      </c>
      <c r="AY471" t="s">
        <v>74</v>
      </c>
      <c r="AZ471" t="s">
        <v>74</v>
      </c>
      <c r="BA471" t="s">
        <v>74</v>
      </c>
      <c r="BB471">
        <v>855</v>
      </c>
      <c r="BC471">
        <v>861</v>
      </c>
      <c r="BD471" t="s">
        <v>74</v>
      </c>
      <c r="BE471" t="s">
        <v>3157</v>
      </c>
      <c r="BF471" t="str">
        <f>HYPERLINK("http://dx.doi.org/10.1111/j.1600-0706.2010.19056.x","http://dx.doi.org/10.1111/j.1600-0706.2010.19056.x")</f>
        <v>http://dx.doi.org/10.1111/j.1600-0706.2010.19056.x</v>
      </c>
      <c r="BG471" t="s">
        <v>74</v>
      </c>
      <c r="BH471" t="s">
        <v>74</v>
      </c>
      <c r="BI471" t="s">
        <v>74</v>
      </c>
      <c r="BJ471" t="s">
        <v>74</v>
      </c>
      <c r="BK471" t="s">
        <v>74</v>
      </c>
      <c r="BL471" t="s">
        <v>74</v>
      </c>
      <c r="BM471" t="s">
        <v>74</v>
      </c>
      <c r="BN471" t="s">
        <v>74</v>
      </c>
      <c r="BO471" t="s">
        <v>74</v>
      </c>
      <c r="BP471" t="s">
        <v>74</v>
      </c>
      <c r="BQ471" t="s">
        <v>74</v>
      </c>
      <c r="BR471" t="s">
        <v>74</v>
      </c>
      <c r="BS471" t="s">
        <v>3158</v>
      </c>
      <c r="BT471" t="str">
        <f>HYPERLINK("https%3A%2F%2Fwww.webofscience.com%2Fwos%2Fwoscc%2Ffull-record%2FWOS:000290871400007","View Full Record in Web of Science")</f>
        <v>View Full Record in Web of Science</v>
      </c>
    </row>
    <row r="472" spans="1:72" x14ac:dyDescent="0.4">
      <c r="A472" t="s">
        <v>72</v>
      </c>
      <c r="B472" t="s">
        <v>2342</v>
      </c>
      <c r="C472" t="s">
        <v>74</v>
      </c>
      <c r="D472" t="s">
        <v>74</v>
      </c>
      <c r="E472" t="s">
        <v>74</v>
      </c>
      <c r="F472" t="s">
        <v>2342</v>
      </c>
      <c r="G472" t="s">
        <v>74</v>
      </c>
      <c r="H472" t="s">
        <v>74</v>
      </c>
      <c r="I472" t="s">
        <v>2343</v>
      </c>
      <c r="J472" t="s">
        <v>108</v>
      </c>
      <c r="K472" t="s">
        <v>74</v>
      </c>
      <c r="L472" t="s">
        <v>74</v>
      </c>
      <c r="M472" t="s">
        <v>74</v>
      </c>
      <c r="N472" t="s">
        <v>74</v>
      </c>
      <c r="O472" t="s">
        <v>74</v>
      </c>
      <c r="P472" t="s">
        <v>74</v>
      </c>
      <c r="Q472" t="s">
        <v>74</v>
      </c>
      <c r="R472" t="s">
        <v>74</v>
      </c>
      <c r="S472" t="s">
        <v>74</v>
      </c>
      <c r="T472" t="s">
        <v>74</v>
      </c>
      <c r="U472" t="s">
        <v>74</v>
      </c>
      <c r="V472" s="3" t="s">
        <v>2344</v>
      </c>
      <c r="W472" t="s">
        <v>74</v>
      </c>
      <c r="X472" t="s">
        <v>74</v>
      </c>
      <c r="Y472" t="s">
        <v>74</v>
      </c>
      <c r="Z472" t="s">
        <v>74</v>
      </c>
      <c r="AA472" t="s">
        <v>74</v>
      </c>
      <c r="AB472" t="s">
        <v>74</v>
      </c>
      <c r="AC472" t="s">
        <v>74</v>
      </c>
      <c r="AD472" t="s">
        <v>74</v>
      </c>
      <c r="AE472" t="s">
        <v>74</v>
      </c>
      <c r="AF472" t="s">
        <v>74</v>
      </c>
      <c r="AG472" t="s">
        <v>74</v>
      </c>
      <c r="AH472" t="s">
        <v>74</v>
      </c>
      <c r="AI472" t="s">
        <v>74</v>
      </c>
      <c r="AJ472" t="s">
        <v>74</v>
      </c>
      <c r="AK472" t="s">
        <v>74</v>
      </c>
      <c r="AL472" t="s">
        <v>74</v>
      </c>
      <c r="AM472" t="s">
        <v>74</v>
      </c>
      <c r="AN472" t="s">
        <v>74</v>
      </c>
      <c r="AO472" t="s">
        <v>111</v>
      </c>
      <c r="AP472" t="s">
        <v>112</v>
      </c>
      <c r="AQ472" t="s">
        <v>74</v>
      </c>
      <c r="AR472" t="s">
        <v>74</v>
      </c>
      <c r="AS472" t="s">
        <v>74</v>
      </c>
      <c r="AT472" t="s">
        <v>2345</v>
      </c>
      <c r="AU472">
        <v>2003</v>
      </c>
      <c r="AV472">
        <v>270</v>
      </c>
      <c r="AW472">
        <v>1519</v>
      </c>
      <c r="AX472" t="s">
        <v>74</v>
      </c>
      <c r="AY472" t="s">
        <v>74</v>
      </c>
      <c r="AZ472" t="s">
        <v>74</v>
      </c>
      <c r="BA472" t="s">
        <v>74</v>
      </c>
      <c r="BB472">
        <v>1033</v>
      </c>
      <c r="BC472">
        <v>1040</v>
      </c>
      <c r="BD472" t="s">
        <v>74</v>
      </c>
      <c r="BE472" t="s">
        <v>2346</v>
      </c>
      <c r="BF472" t="str">
        <f>HYPERLINK("http://dx.doi.org/10.1098/rspb.2003.2348","http://dx.doi.org/10.1098/rspb.2003.2348")</f>
        <v>http://dx.doi.org/10.1098/rspb.2003.2348</v>
      </c>
      <c r="BG472" t="s">
        <v>74</v>
      </c>
      <c r="BH472" t="s">
        <v>74</v>
      </c>
      <c r="BI472" t="s">
        <v>74</v>
      </c>
      <c r="BJ472" t="s">
        <v>74</v>
      </c>
      <c r="BK472" t="s">
        <v>74</v>
      </c>
      <c r="BL472" t="s">
        <v>74</v>
      </c>
      <c r="BM472" t="s">
        <v>74</v>
      </c>
      <c r="BN472">
        <v>12803892</v>
      </c>
      <c r="BO472" t="s">
        <v>74</v>
      </c>
      <c r="BP472" t="s">
        <v>74</v>
      </c>
      <c r="BQ472" t="s">
        <v>74</v>
      </c>
      <c r="BR472" t="s">
        <v>74</v>
      </c>
      <c r="BS472" t="s">
        <v>2347</v>
      </c>
      <c r="BT472" t="str">
        <f>HYPERLINK("https%3A%2F%2Fwww.webofscience.com%2Fwos%2Fwoscc%2Ffull-record%2FWOS:000182969100005","View Full Record in Web of Science")</f>
        <v>View Full Record in Web of Science</v>
      </c>
    </row>
    <row r="473" spans="1:72" x14ac:dyDescent="0.4">
      <c r="A473" t="s">
        <v>72</v>
      </c>
      <c r="B473" t="s">
        <v>2608</v>
      </c>
      <c r="C473" t="s">
        <v>74</v>
      </c>
      <c r="D473" t="s">
        <v>74</v>
      </c>
      <c r="E473" t="s">
        <v>74</v>
      </c>
      <c r="F473" t="s">
        <v>2609</v>
      </c>
      <c r="G473" t="s">
        <v>74</v>
      </c>
      <c r="H473" t="s">
        <v>74</v>
      </c>
      <c r="I473" t="s">
        <v>2610</v>
      </c>
      <c r="J473" t="s">
        <v>1126</v>
      </c>
      <c r="K473" t="s">
        <v>74</v>
      </c>
      <c r="L473" t="s">
        <v>74</v>
      </c>
      <c r="M473" t="s">
        <v>74</v>
      </c>
      <c r="N473" t="s">
        <v>74</v>
      </c>
      <c r="O473" t="s">
        <v>74</v>
      </c>
      <c r="P473" t="s">
        <v>74</v>
      </c>
      <c r="Q473" t="s">
        <v>74</v>
      </c>
      <c r="R473" t="s">
        <v>74</v>
      </c>
      <c r="S473" t="s">
        <v>74</v>
      </c>
      <c r="T473" t="s">
        <v>74</v>
      </c>
      <c r="U473" t="s">
        <v>74</v>
      </c>
      <c r="V473" s="3" t="s">
        <v>2611</v>
      </c>
      <c r="W473" t="s">
        <v>74</v>
      </c>
      <c r="X473" t="s">
        <v>74</v>
      </c>
      <c r="Y473" t="s">
        <v>74</v>
      </c>
      <c r="Z473" t="s">
        <v>74</v>
      </c>
      <c r="AA473" t="s">
        <v>2612</v>
      </c>
      <c r="AB473" t="s">
        <v>74</v>
      </c>
      <c r="AC473" t="s">
        <v>74</v>
      </c>
      <c r="AD473" t="s">
        <v>74</v>
      </c>
      <c r="AE473" t="s">
        <v>74</v>
      </c>
      <c r="AF473" t="s">
        <v>74</v>
      </c>
      <c r="AG473" t="s">
        <v>74</v>
      </c>
      <c r="AH473" t="s">
        <v>74</v>
      </c>
      <c r="AI473" t="s">
        <v>74</v>
      </c>
      <c r="AJ473" t="s">
        <v>74</v>
      </c>
      <c r="AK473" t="s">
        <v>74</v>
      </c>
      <c r="AL473" t="s">
        <v>74</v>
      </c>
      <c r="AM473" t="s">
        <v>74</v>
      </c>
      <c r="AN473" t="s">
        <v>74</v>
      </c>
      <c r="AO473" t="s">
        <v>1128</v>
      </c>
      <c r="AP473" t="s">
        <v>1129</v>
      </c>
      <c r="AQ473" t="s">
        <v>74</v>
      </c>
      <c r="AR473" t="s">
        <v>74</v>
      </c>
      <c r="AS473" t="s">
        <v>74</v>
      </c>
      <c r="AT473" t="s">
        <v>1116</v>
      </c>
      <c r="AU473">
        <v>2010</v>
      </c>
      <c r="AV473" t="s">
        <v>74</v>
      </c>
      <c r="AW473">
        <v>2</v>
      </c>
      <c r="AX473" t="s">
        <v>74</v>
      </c>
      <c r="AY473" t="s">
        <v>74</v>
      </c>
      <c r="AZ473" t="s">
        <v>74</v>
      </c>
      <c r="BA473" t="s">
        <v>74</v>
      </c>
      <c r="BB473">
        <v>196</v>
      </c>
      <c r="BC473">
        <v>202</v>
      </c>
      <c r="BD473" t="s">
        <v>74</v>
      </c>
      <c r="BE473" t="s">
        <v>2613</v>
      </c>
      <c r="BF473" t="str">
        <f>HYPERLINK("http://dx.doi.org/10.1643/CG-09-044","http://dx.doi.org/10.1643/CG-09-044")</f>
        <v>http://dx.doi.org/10.1643/CG-09-044</v>
      </c>
      <c r="BG473" t="s">
        <v>74</v>
      </c>
      <c r="BH473" t="s">
        <v>74</v>
      </c>
      <c r="BI473" t="s">
        <v>74</v>
      </c>
      <c r="BJ473" t="s">
        <v>74</v>
      </c>
      <c r="BK473" t="s">
        <v>74</v>
      </c>
      <c r="BL473" t="s">
        <v>74</v>
      </c>
      <c r="BM473" t="s">
        <v>74</v>
      </c>
      <c r="BN473" t="s">
        <v>74</v>
      </c>
      <c r="BO473" t="s">
        <v>74</v>
      </c>
      <c r="BP473" t="s">
        <v>74</v>
      </c>
      <c r="BQ473" t="s">
        <v>74</v>
      </c>
      <c r="BR473" t="s">
        <v>74</v>
      </c>
      <c r="BS473" t="s">
        <v>2614</v>
      </c>
      <c r="BT473" t="str">
        <f>HYPERLINK("https%3A%2F%2Fwww.webofscience.com%2Fwos%2Fwoscc%2Ffull-record%2FWOS:000278428900002","View Full Record in Web of Science")</f>
        <v>View Full Record in Web of Science</v>
      </c>
    </row>
    <row r="474" spans="1:72" x14ac:dyDescent="0.4">
      <c r="A474" t="s">
        <v>72</v>
      </c>
      <c r="B474" t="s">
        <v>3799</v>
      </c>
      <c r="C474" t="s">
        <v>74</v>
      </c>
      <c r="D474" t="s">
        <v>74</v>
      </c>
      <c r="E474" t="s">
        <v>74</v>
      </c>
      <c r="F474" t="s">
        <v>3800</v>
      </c>
      <c r="G474" t="s">
        <v>74</v>
      </c>
      <c r="H474" t="s">
        <v>74</v>
      </c>
      <c r="I474" t="s">
        <v>3801</v>
      </c>
      <c r="J474" t="s">
        <v>3026</v>
      </c>
      <c r="K474" t="s">
        <v>74</v>
      </c>
      <c r="L474" t="s">
        <v>74</v>
      </c>
      <c r="M474" t="s">
        <v>74</v>
      </c>
      <c r="N474" t="s">
        <v>74</v>
      </c>
      <c r="O474" t="s">
        <v>74</v>
      </c>
      <c r="P474" t="s">
        <v>74</v>
      </c>
      <c r="Q474" t="s">
        <v>74</v>
      </c>
      <c r="R474" t="s">
        <v>74</v>
      </c>
      <c r="S474" t="s">
        <v>74</v>
      </c>
      <c r="T474" t="s">
        <v>74</v>
      </c>
      <c r="U474" t="s">
        <v>74</v>
      </c>
      <c r="V474" s="3" t="s">
        <v>3802</v>
      </c>
      <c r="W474" t="s">
        <v>74</v>
      </c>
      <c r="X474" t="s">
        <v>74</v>
      </c>
      <c r="Y474" t="s">
        <v>74</v>
      </c>
      <c r="Z474" t="s">
        <v>74</v>
      </c>
      <c r="AA474" t="s">
        <v>74</v>
      </c>
      <c r="AB474" t="s">
        <v>74</v>
      </c>
      <c r="AC474" t="s">
        <v>74</v>
      </c>
      <c r="AD474" t="s">
        <v>74</v>
      </c>
      <c r="AE474" t="s">
        <v>74</v>
      </c>
      <c r="AF474" t="s">
        <v>74</v>
      </c>
      <c r="AG474" t="s">
        <v>74</v>
      </c>
      <c r="AH474" t="s">
        <v>74</v>
      </c>
      <c r="AI474" t="s">
        <v>74</v>
      </c>
      <c r="AJ474" t="s">
        <v>74</v>
      </c>
      <c r="AK474" t="s">
        <v>74</v>
      </c>
      <c r="AL474" t="s">
        <v>74</v>
      </c>
      <c r="AM474" t="s">
        <v>74</v>
      </c>
      <c r="AN474" t="s">
        <v>74</v>
      </c>
      <c r="AO474" t="s">
        <v>3030</v>
      </c>
      <c r="AP474" t="s">
        <v>74</v>
      </c>
      <c r="AQ474" t="s">
        <v>74</v>
      </c>
      <c r="AR474" t="s">
        <v>74</v>
      </c>
      <c r="AS474" t="s">
        <v>74</v>
      </c>
      <c r="AT474" t="s">
        <v>3803</v>
      </c>
      <c r="AU474">
        <v>2014</v>
      </c>
      <c r="AV474">
        <v>3</v>
      </c>
      <c r="AW474">
        <v>3</v>
      </c>
      <c r="AX474" t="s">
        <v>74</v>
      </c>
      <c r="AY474" t="s">
        <v>74</v>
      </c>
      <c r="AZ474" t="s">
        <v>74</v>
      </c>
      <c r="BA474" t="s">
        <v>74</v>
      </c>
      <c r="BB474">
        <v>221</v>
      </c>
      <c r="BC474">
        <v>230</v>
      </c>
      <c r="BD474" t="s">
        <v>74</v>
      </c>
      <c r="BE474" t="s">
        <v>3804</v>
      </c>
      <c r="BF474" t="str">
        <f>HYPERLINK("http://dx.doi.org/10.1242/bio.20146445","http://dx.doi.org/10.1242/bio.20146445")</f>
        <v>http://dx.doi.org/10.1242/bio.20146445</v>
      </c>
      <c r="BG474" t="s">
        <v>74</v>
      </c>
      <c r="BH474" t="s">
        <v>74</v>
      </c>
      <c r="BI474" t="s">
        <v>74</v>
      </c>
      <c r="BJ474" t="s">
        <v>74</v>
      </c>
      <c r="BK474" t="s">
        <v>74</v>
      </c>
      <c r="BL474" t="s">
        <v>74</v>
      </c>
      <c r="BM474" t="s">
        <v>74</v>
      </c>
      <c r="BN474">
        <v>24585774</v>
      </c>
      <c r="BO474" t="s">
        <v>74</v>
      </c>
      <c r="BP474" t="s">
        <v>74</v>
      </c>
      <c r="BQ474" t="s">
        <v>74</v>
      </c>
      <c r="BR474" t="s">
        <v>74</v>
      </c>
      <c r="BS474" t="s">
        <v>3805</v>
      </c>
      <c r="BT474" t="str">
        <f>HYPERLINK("https%3A%2F%2Fwww.webofscience.com%2Fwos%2Fwoscc%2Ffull-record%2FWOS:000348066100005","View Full Record in Web of Science")</f>
        <v>View Full Record in Web of Science</v>
      </c>
    </row>
    <row r="475" spans="1:72" x14ac:dyDescent="0.4">
      <c r="A475" t="s">
        <v>72</v>
      </c>
      <c r="B475" t="s">
        <v>3689</v>
      </c>
      <c r="C475" t="s">
        <v>74</v>
      </c>
      <c r="D475" t="s">
        <v>74</v>
      </c>
      <c r="E475" t="s">
        <v>74</v>
      </c>
      <c r="F475" t="s">
        <v>3690</v>
      </c>
      <c r="G475" t="s">
        <v>74</v>
      </c>
      <c r="H475" t="s">
        <v>74</v>
      </c>
      <c r="I475" t="s">
        <v>3691</v>
      </c>
      <c r="J475" t="s">
        <v>140</v>
      </c>
      <c r="K475" t="s">
        <v>74</v>
      </c>
      <c r="L475" t="s">
        <v>74</v>
      </c>
      <c r="M475" t="s">
        <v>74</v>
      </c>
      <c r="N475" t="s">
        <v>74</v>
      </c>
      <c r="O475" t="s">
        <v>74</v>
      </c>
      <c r="P475" t="s">
        <v>74</v>
      </c>
      <c r="Q475" t="s">
        <v>74</v>
      </c>
      <c r="R475" t="s">
        <v>74</v>
      </c>
      <c r="S475" t="s">
        <v>74</v>
      </c>
      <c r="T475" t="s">
        <v>74</v>
      </c>
      <c r="U475" t="s">
        <v>74</v>
      </c>
      <c r="V475" s="3" t="s">
        <v>3692</v>
      </c>
      <c r="W475" t="s">
        <v>74</v>
      </c>
      <c r="X475" t="s">
        <v>74</v>
      </c>
      <c r="Y475" t="s">
        <v>74</v>
      </c>
      <c r="Z475" t="s">
        <v>74</v>
      </c>
      <c r="AA475" t="s">
        <v>3693</v>
      </c>
      <c r="AB475" t="s">
        <v>3694</v>
      </c>
      <c r="AC475" t="s">
        <v>74</v>
      </c>
      <c r="AD475" t="s">
        <v>74</v>
      </c>
      <c r="AE475" t="s">
        <v>74</v>
      </c>
      <c r="AF475" t="s">
        <v>74</v>
      </c>
      <c r="AG475" t="s">
        <v>74</v>
      </c>
      <c r="AH475" t="s">
        <v>74</v>
      </c>
      <c r="AI475" t="s">
        <v>74</v>
      </c>
      <c r="AJ475" t="s">
        <v>74</v>
      </c>
      <c r="AK475" t="s">
        <v>74</v>
      </c>
      <c r="AL475" t="s">
        <v>74</v>
      </c>
      <c r="AM475" t="s">
        <v>74</v>
      </c>
      <c r="AN475" t="s">
        <v>74</v>
      </c>
      <c r="AO475" t="s">
        <v>143</v>
      </c>
      <c r="AP475" t="s">
        <v>144</v>
      </c>
      <c r="AQ475" t="s">
        <v>74</v>
      </c>
      <c r="AR475" t="s">
        <v>74</v>
      </c>
      <c r="AS475" t="s">
        <v>74</v>
      </c>
      <c r="AT475" t="s">
        <v>204</v>
      </c>
      <c r="AU475">
        <v>2014</v>
      </c>
      <c r="AV475">
        <v>93</v>
      </c>
      <c r="AW475" t="s">
        <v>74</v>
      </c>
      <c r="AX475" t="s">
        <v>74</v>
      </c>
      <c r="AY475" t="s">
        <v>74</v>
      </c>
      <c r="AZ475" t="s">
        <v>74</v>
      </c>
      <c r="BA475" t="s">
        <v>74</v>
      </c>
      <c r="BB475">
        <v>207</v>
      </c>
      <c r="BC475">
        <v>219</v>
      </c>
      <c r="BD475" t="s">
        <v>74</v>
      </c>
      <c r="BE475" t="s">
        <v>3695</v>
      </c>
      <c r="BF475" t="str">
        <f>HYPERLINK("http://dx.doi.org/10.1016/j.anbehav.2014.04.015","http://dx.doi.org/10.1016/j.anbehav.2014.04.015")</f>
        <v>http://dx.doi.org/10.1016/j.anbehav.2014.04.015</v>
      </c>
      <c r="BG475" t="s">
        <v>74</v>
      </c>
      <c r="BH475" t="s">
        <v>74</v>
      </c>
      <c r="BI475" t="s">
        <v>74</v>
      </c>
      <c r="BJ475" t="s">
        <v>74</v>
      </c>
      <c r="BK475" t="s">
        <v>74</v>
      </c>
      <c r="BL475" t="s">
        <v>74</v>
      </c>
      <c r="BM475" t="s">
        <v>74</v>
      </c>
      <c r="BN475">
        <v>25045171</v>
      </c>
      <c r="BO475" t="s">
        <v>74</v>
      </c>
      <c r="BP475" t="s">
        <v>74</v>
      </c>
      <c r="BQ475" t="s">
        <v>74</v>
      </c>
      <c r="BR475" t="s">
        <v>74</v>
      </c>
      <c r="BS475" t="s">
        <v>3696</v>
      </c>
      <c r="BT475" t="str">
        <f>HYPERLINK("https%3A%2F%2Fwww.webofscience.com%2Fwos%2Fwoscc%2Ffull-record%2FWOS:000338712900026","View Full Record in Web of Science")</f>
        <v>View Full Record in Web of Science</v>
      </c>
    </row>
    <row r="476" spans="1:72" x14ac:dyDescent="0.4">
      <c r="A476" t="s">
        <v>72</v>
      </c>
      <c r="B476" t="s">
        <v>2272</v>
      </c>
      <c r="C476" t="s">
        <v>74</v>
      </c>
      <c r="D476" t="s">
        <v>74</v>
      </c>
      <c r="E476" t="s">
        <v>74</v>
      </c>
      <c r="F476" t="s">
        <v>2273</v>
      </c>
      <c r="G476" t="s">
        <v>74</v>
      </c>
      <c r="H476" t="s">
        <v>74</v>
      </c>
      <c r="I476" t="s">
        <v>2274</v>
      </c>
      <c r="J476" t="s">
        <v>2275</v>
      </c>
      <c r="K476" t="s">
        <v>74</v>
      </c>
      <c r="L476" t="s">
        <v>74</v>
      </c>
      <c r="M476" t="s">
        <v>74</v>
      </c>
      <c r="N476" t="s">
        <v>74</v>
      </c>
      <c r="O476" t="s">
        <v>74</v>
      </c>
      <c r="P476" t="s">
        <v>74</v>
      </c>
      <c r="Q476" t="s">
        <v>74</v>
      </c>
      <c r="R476" t="s">
        <v>74</v>
      </c>
      <c r="S476" t="s">
        <v>74</v>
      </c>
      <c r="T476" t="s">
        <v>74</v>
      </c>
      <c r="U476" t="s">
        <v>74</v>
      </c>
      <c r="V476" s="3" t="s">
        <v>2276</v>
      </c>
      <c r="W476" t="s">
        <v>74</v>
      </c>
      <c r="X476" t="s">
        <v>74</v>
      </c>
      <c r="Y476" t="s">
        <v>74</v>
      </c>
      <c r="Z476" t="s">
        <v>74</v>
      </c>
      <c r="AA476" t="s">
        <v>2277</v>
      </c>
      <c r="AB476" t="s">
        <v>2278</v>
      </c>
      <c r="AC476" t="s">
        <v>74</v>
      </c>
      <c r="AD476" t="s">
        <v>74</v>
      </c>
      <c r="AE476" t="s">
        <v>74</v>
      </c>
      <c r="AF476" t="s">
        <v>74</v>
      </c>
      <c r="AG476" t="s">
        <v>74</v>
      </c>
      <c r="AH476" t="s">
        <v>74</v>
      </c>
      <c r="AI476" t="s">
        <v>74</v>
      </c>
      <c r="AJ476" t="s">
        <v>74</v>
      </c>
      <c r="AK476" t="s">
        <v>74</v>
      </c>
      <c r="AL476" t="s">
        <v>74</v>
      </c>
      <c r="AM476" t="s">
        <v>74</v>
      </c>
      <c r="AN476" t="s">
        <v>74</v>
      </c>
      <c r="AO476" t="s">
        <v>2279</v>
      </c>
      <c r="AP476" t="s">
        <v>2280</v>
      </c>
      <c r="AQ476" t="s">
        <v>74</v>
      </c>
      <c r="AR476" t="s">
        <v>74</v>
      </c>
      <c r="AS476" t="s">
        <v>74</v>
      </c>
      <c r="AT476" t="s">
        <v>2281</v>
      </c>
      <c r="AU476">
        <v>2019</v>
      </c>
      <c r="AV476" t="s">
        <v>74</v>
      </c>
      <c r="AW476" t="s">
        <v>74</v>
      </c>
      <c r="AX476" t="s">
        <v>74</v>
      </c>
      <c r="AY476" t="s">
        <v>74</v>
      </c>
      <c r="AZ476" t="s">
        <v>74</v>
      </c>
      <c r="BA476" t="s">
        <v>74</v>
      </c>
      <c r="BB476" t="s">
        <v>74</v>
      </c>
      <c r="BC476" t="s">
        <v>74</v>
      </c>
      <c r="BD476" t="s">
        <v>74</v>
      </c>
      <c r="BE476" t="s">
        <v>2282</v>
      </c>
      <c r="BF476" t="str">
        <f>HYPERLINK("http://dx.doi.org/10.1080/14772000.2019.1687603","http://dx.doi.org/10.1080/14772000.2019.1687603")</f>
        <v>http://dx.doi.org/10.1080/14772000.2019.1687603</v>
      </c>
      <c r="BG476" t="s">
        <v>74</v>
      </c>
      <c r="BH476" t="s">
        <v>2283</v>
      </c>
      <c r="BI476" t="s">
        <v>74</v>
      </c>
      <c r="BJ476" t="s">
        <v>74</v>
      </c>
      <c r="BK476" t="s">
        <v>74</v>
      </c>
      <c r="BL476" t="s">
        <v>74</v>
      </c>
      <c r="BM476" t="s">
        <v>74</v>
      </c>
      <c r="BN476" t="s">
        <v>74</v>
      </c>
      <c r="BO476" t="s">
        <v>74</v>
      </c>
      <c r="BP476" t="s">
        <v>74</v>
      </c>
      <c r="BQ476" t="s">
        <v>74</v>
      </c>
      <c r="BR476" t="s">
        <v>74</v>
      </c>
      <c r="BS476" t="s">
        <v>2284</v>
      </c>
      <c r="BT476" t="str">
        <f>HYPERLINK("https%3A%2F%2Fwww.webofscience.com%2Fwos%2Fwoscc%2Ffull-record%2FWOS:000499312800001","View Full Record in Web of Science")</f>
        <v>View Full Record in Web of Science</v>
      </c>
    </row>
    <row r="477" spans="1:72" x14ac:dyDescent="0.4">
      <c r="A477" t="s">
        <v>72</v>
      </c>
      <c r="B477" t="s">
        <v>3966</v>
      </c>
      <c r="C477" t="s">
        <v>74</v>
      </c>
      <c r="D477" t="s">
        <v>74</v>
      </c>
      <c r="E477" t="s">
        <v>74</v>
      </c>
      <c r="F477" t="s">
        <v>3966</v>
      </c>
      <c r="G477" t="s">
        <v>74</v>
      </c>
      <c r="H477" t="s">
        <v>74</v>
      </c>
      <c r="I477" t="s">
        <v>3967</v>
      </c>
      <c r="J477" t="s">
        <v>610</v>
      </c>
      <c r="K477" t="s">
        <v>74</v>
      </c>
      <c r="L477" t="s">
        <v>74</v>
      </c>
      <c r="M477" t="s">
        <v>74</v>
      </c>
      <c r="N477" t="s">
        <v>74</v>
      </c>
      <c r="O477" t="s">
        <v>74</v>
      </c>
      <c r="P477" t="s">
        <v>74</v>
      </c>
      <c r="Q477" t="s">
        <v>74</v>
      </c>
      <c r="R477" t="s">
        <v>74</v>
      </c>
      <c r="S477" t="s">
        <v>74</v>
      </c>
      <c r="T477" t="s">
        <v>74</v>
      </c>
      <c r="U477" t="s">
        <v>74</v>
      </c>
      <c r="V477" s="3" t="s">
        <v>3968</v>
      </c>
      <c r="W477" t="s">
        <v>74</v>
      </c>
      <c r="X477" t="s">
        <v>74</v>
      </c>
      <c r="Y477" t="s">
        <v>74</v>
      </c>
      <c r="Z477" t="s">
        <v>74</v>
      </c>
      <c r="AA477" t="s">
        <v>74</v>
      </c>
      <c r="AB477" t="s">
        <v>74</v>
      </c>
      <c r="AC477" t="s">
        <v>74</v>
      </c>
      <c r="AD477" t="s">
        <v>74</v>
      </c>
      <c r="AE477" t="s">
        <v>74</v>
      </c>
      <c r="AF477" t="s">
        <v>74</v>
      </c>
      <c r="AG477" t="s">
        <v>74</v>
      </c>
      <c r="AH477" t="s">
        <v>74</v>
      </c>
      <c r="AI477" t="s">
        <v>74</v>
      </c>
      <c r="AJ477" t="s">
        <v>74</v>
      </c>
      <c r="AK477" t="s">
        <v>74</v>
      </c>
      <c r="AL477" t="s">
        <v>74</v>
      </c>
      <c r="AM477" t="s">
        <v>74</v>
      </c>
      <c r="AN477" t="s">
        <v>74</v>
      </c>
      <c r="AO477" t="s">
        <v>614</v>
      </c>
      <c r="AP477" t="s">
        <v>74</v>
      </c>
      <c r="AQ477" t="s">
        <v>74</v>
      </c>
      <c r="AR477" t="s">
        <v>74</v>
      </c>
      <c r="AS477" t="s">
        <v>74</v>
      </c>
      <c r="AT477" t="s">
        <v>964</v>
      </c>
      <c r="AU477">
        <v>1994</v>
      </c>
      <c r="AV477">
        <v>96</v>
      </c>
      <c r="AW477">
        <v>2</v>
      </c>
      <c r="AX477" t="s">
        <v>74</v>
      </c>
      <c r="AY477" t="s">
        <v>74</v>
      </c>
      <c r="AZ477" t="s">
        <v>74</v>
      </c>
      <c r="BA477" t="s">
        <v>74</v>
      </c>
      <c r="BB477">
        <v>147</v>
      </c>
      <c r="BC477">
        <v>154</v>
      </c>
      <c r="BD477" t="s">
        <v>74</v>
      </c>
      <c r="BE477" t="s">
        <v>74</v>
      </c>
      <c r="BF477" t="s">
        <v>74</v>
      </c>
      <c r="BG477" t="s">
        <v>74</v>
      </c>
      <c r="BH477" t="s">
        <v>74</v>
      </c>
      <c r="BI477" t="s">
        <v>74</v>
      </c>
      <c r="BJ477" t="s">
        <v>74</v>
      </c>
      <c r="BK477" t="s">
        <v>74</v>
      </c>
      <c r="BL477" t="s">
        <v>74</v>
      </c>
      <c r="BM477" t="s">
        <v>74</v>
      </c>
      <c r="BN477" t="s">
        <v>74</v>
      </c>
      <c r="BO477" t="s">
        <v>74</v>
      </c>
      <c r="BP477" t="s">
        <v>74</v>
      </c>
      <c r="BQ477" t="s">
        <v>74</v>
      </c>
      <c r="BR477" t="s">
        <v>74</v>
      </c>
      <c r="BS477" t="s">
        <v>3969</v>
      </c>
      <c r="BT477" t="str">
        <f>HYPERLINK("https%3A%2F%2Fwww.webofscience.com%2Fwos%2Fwoscc%2Ffull-record%2FWOS:A1994NJ52600006","View Full Record in Web of Science")</f>
        <v>View Full Record in Web of Science</v>
      </c>
    </row>
    <row r="478" spans="1:72" x14ac:dyDescent="0.4">
      <c r="A478" t="s">
        <v>72</v>
      </c>
      <c r="B478" t="s">
        <v>6224</v>
      </c>
      <c r="C478" t="s">
        <v>74</v>
      </c>
      <c r="D478" t="s">
        <v>74</v>
      </c>
      <c r="E478" t="s">
        <v>74</v>
      </c>
      <c r="F478" t="s">
        <v>6224</v>
      </c>
      <c r="G478" t="s">
        <v>74</v>
      </c>
      <c r="H478" t="s">
        <v>74</v>
      </c>
      <c r="I478" t="s">
        <v>6225</v>
      </c>
      <c r="J478" t="s">
        <v>6226</v>
      </c>
      <c r="K478" t="s">
        <v>74</v>
      </c>
      <c r="L478" t="s">
        <v>74</v>
      </c>
      <c r="M478" t="s">
        <v>74</v>
      </c>
      <c r="N478" t="s">
        <v>74</v>
      </c>
      <c r="O478" t="s">
        <v>74</v>
      </c>
      <c r="P478" t="s">
        <v>74</v>
      </c>
      <c r="Q478" t="s">
        <v>74</v>
      </c>
      <c r="R478" t="s">
        <v>74</v>
      </c>
      <c r="S478" t="s">
        <v>74</v>
      </c>
      <c r="T478" t="s">
        <v>74</v>
      </c>
      <c r="U478" t="s">
        <v>74</v>
      </c>
      <c r="V478" s="3" t="s">
        <v>6227</v>
      </c>
      <c r="W478" t="s">
        <v>74</v>
      </c>
      <c r="X478" t="s">
        <v>74</v>
      </c>
      <c r="Y478" t="s">
        <v>74</v>
      </c>
      <c r="Z478" t="s">
        <v>74</v>
      </c>
      <c r="AA478" t="s">
        <v>74</v>
      </c>
      <c r="AB478" t="s">
        <v>74</v>
      </c>
      <c r="AC478" t="s">
        <v>74</v>
      </c>
      <c r="AD478" t="s">
        <v>74</v>
      </c>
      <c r="AE478" t="s">
        <v>74</v>
      </c>
      <c r="AF478" t="s">
        <v>74</v>
      </c>
      <c r="AG478" t="s">
        <v>74</v>
      </c>
      <c r="AH478" t="s">
        <v>74</v>
      </c>
      <c r="AI478" t="s">
        <v>74</v>
      </c>
      <c r="AJ478" t="s">
        <v>74</v>
      </c>
      <c r="AK478" t="s">
        <v>74</v>
      </c>
      <c r="AL478" t="s">
        <v>74</v>
      </c>
      <c r="AM478" t="s">
        <v>74</v>
      </c>
      <c r="AN478" t="s">
        <v>74</v>
      </c>
      <c r="AO478" t="s">
        <v>6228</v>
      </c>
      <c r="AP478" t="s">
        <v>6229</v>
      </c>
      <c r="AQ478" t="s">
        <v>74</v>
      </c>
      <c r="AR478" t="s">
        <v>74</v>
      </c>
      <c r="AS478" t="s">
        <v>74</v>
      </c>
      <c r="AT478" t="s">
        <v>633</v>
      </c>
      <c r="AU478">
        <v>2005</v>
      </c>
      <c r="AV478">
        <v>44</v>
      </c>
      <c r="AW478">
        <v>2</v>
      </c>
      <c r="AX478" t="s">
        <v>74</v>
      </c>
      <c r="AY478" t="s">
        <v>74</v>
      </c>
      <c r="AZ478" t="s">
        <v>74</v>
      </c>
      <c r="BA478" t="s">
        <v>74</v>
      </c>
      <c r="BB478">
        <v>200</v>
      </c>
      <c r="BC478">
        <v>209</v>
      </c>
      <c r="BD478" t="s">
        <v>74</v>
      </c>
      <c r="BE478" t="s">
        <v>74</v>
      </c>
      <c r="BF478" t="s">
        <v>74</v>
      </c>
      <c r="BG478" t="s">
        <v>74</v>
      </c>
      <c r="BH478" t="s">
        <v>74</v>
      </c>
      <c r="BI478" t="s">
        <v>74</v>
      </c>
      <c r="BJ478" t="s">
        <v>74</v>
      </c>
      <c r="BK478" t="s">
        <v>74</v>
      </c>
      <c r="BL478" t="s">
        <v>74</v>
      </c>
      <c r="BM478" t="s">
        <v>74</v>
      </c>
      <c r="BN478" t="s">
        <v>74</v>
      </c>
      <c r="BO478" t="s">
        <v>74</v>
      </c>
      <c r="BP478" t="s">
        <v>74</v>
      </c>
      <c r="BQ478" t="s">
        <v>74</v>
      </c>
      <c r="BR478" t="s">
        <v>74</v>
      </c>
      <c r="BS478" t="s">
        <v>6230</v>
      </c>
      <c r="BT478" t="str">
        <f>HYPERLINK("https%3A%2F%2Fwww.webofscience.com%2Fwos%2Fwoscc%2Ffull-record%2FWOS:000229810000003","View Full Record in Web of Science")</f>
        <v>View Full Record in Web of Science</v>
      </c>
    </row>
    <row r="479" spans="1:72" x14ac:dyDescent="0.4">
      <c r="A479" t="s">
        <v>72</v>
      </c>
      <c r="B479" t="s">
        <v>5843</v>
      </c>
      <c r="C479" t="s">
        <v>74</v>
      </c>
      <c r="D479" t="s">
        <v>74</v>
      </c>
      <c r="E479" t="s">
        <v>74</v>
      </c>
      <c r="F479" t="s">
        <v>5844</v>
      </c>
      <c r="G479" t="s">
        <v>74</v>
      </c>
      <c r="H479" t="s">
        <v>74</v>
      </c>
      <c r="I479" t="s">
        <v>5845</v>
      </c>
      <c r="J479" t="s">
        <v>814</v>
      </c>
      <c r="K479" t="s">
        <v>74</v>
      </c>
      <c r="L479" t="s">
        <v>74</v>
      </c>
      <c r="M479" t="s">
        <v>74</v>
      </c>
      <c r="N479" t="s">
        <v>74</v>
      </c>
      <c r="O479" t="s">
        <v>74</v>
      </c>
      <c r="P479" t="s">
        <v>74</v>
      </c>
      <c r="Q479" t="s">
        <v>74</v>
      </c>
      <c r="R479" t="s">
        <v>74</v>
      </c>
      <c r="S479" t="s">
        <v>74</v>
      </c>
      <c r="T479" t="s">
        <v>74</v>
      </c>
      <c r="U479" t="s">
        <v>74</v>
      </c>
      <c r="V479" s="3" t="s">
        <v>5846</v>
      </c>
      <c r="W479" t="s">
        <v>74</v>
      </c>
      <c r="X479" t="s">
        <v>74</v>
      </c>
      <c r="Y479" t="s">
        <v>74</v>
      </c>
      <c r="Z479" t="s">
        <v>74</v>
      </c>
      <c r="AA479" t="s">
        <v>74</v>
      </c>
      <c r="AB479" t="s">
        <v>74</v>
      </c>
      <c r="AC479" t="s">
        <v>74</v>
      </c>
      <c r="AD479" t="s">
        <v>74</v>
      </c>
      <c r="AE479" t="s">
        <v>74</v>
      </c>
      <c r="AF479" t="s">
        <v>74</v>
      </c>
      <c r="AG479" t="s">
        <v>74</v>
      </c>
      <c r="AH479" t="s">
        <v>74</v>
      </c>
      <c r="AI479" t="s">
        <v>74</v>
      </c>
      <c r="AJ479" t="s">
        <v>74</v>
      </c>
      <c r="AK479" t="s">
        <v>74</v>
      </c>
      <c r="AL479" t="s">
        <v>74</v>
      </c>
      <c r="AM479" t="s">
        <v>74</v>
      </c>
      <c r="AN479" t="s">
        <v>74</v>
      </c>
      <c r="AO479" t="s">
        <v>818</v>
      </c>
      <c r="AP479" t="s">
        <v>1505</v>
      </c>
      <c r="AQ479" t="s">
        <v>74</v>
      </c>
      <c r="AR479" t="s">
        <v>74</v>
      </c>
      <c r="AS479" t="s">
        <v>74</v>
      </c>
      <c r="AT479" t="s">
        <v>964</v>
      </c>
      <c r="AU479">
        <v>2021</v>
      </c>
      <c r="AV479">
        <v>144</v>
      </c>
      <c r="AW479" t="s">
        <v>74</v>
      </c>
      <c r="AX479" t="s">
        <v>74</v>
      </c>
      <c r="AY479" t="s">
        <v>74</v>
      </c>
      <c r="AZ479" t="s">
        <v>74</v>
      </c>
      <c r="BA479" t="s">
        <v>74</v>
      </c>
      <c r="BB479" t="s">
        <v>74</v>
      </c>
      <c r="BC479" t="s">
        <v>74</v>
      </c>
      <c r="BD479">
        <v>125874</v>
      </c>
      <c r="BE479" t="s">
        <v>5847</v>
      </c>
      <c r="BF479" t="str">
        <f>HYPERLINK("http://dx.doi.org/10.1016/j.zool.2020.125874","http://dx.doi.org/10.1016/j.zool.2020.125874")</f>
        <v>http://dx.doi.org/10.1016/j.zool.2020.125874</v>
      </c>
      <c r="BG479" t="s">
        <v>74</v>
      </c>
      <c r="BH479" t="s">
        <v>74</v>
      </c>
      <c r="BI479" t="s">
        <v>74</v>
      </c>
      <c r="BJ479" t="s">
        <v>74</v>
      </c>
      <c r="BK479" t="s">
        <v>74</v>
      </c>
      <c r="BL479" t="s">
        <v>74</v>
      </c>
      <c r="BM479" t="s">
        <v>74</v>
      </c>
      <c r="BN479">
        <v>33279867</v>
      </c>
      <c r="BO479" t="s">
        <v>74</v>
      </c>
      <c r="BP479" t="s">
        <v>74</v>
      </c>
      <c r="BQ479" t="s">
        <v>74</v>
      </c>
      <c r="BR479" t="s">
        <v>74</v>
      </c>
      <c r="BS479" t="s">
        <v>5848</v>
      </c>
      <c r="BT479" t="str">
        <f>HYPERLINK("https%3A%2F%2Fwww.webofscience.com%2Fwos%2Fwoscc%2Ffull-record%2FWOS:000618276500003","View Full Record in Web of Science")</f>
        <v>View Full Record in Web of Science</v>
      </c>
    </row>
    <row r="480" spans="1:72" x14ac:dyDescent="0.4">
      <c r="A480" t="s">
        <v>72</v>
      </c>
      <c r="B480" t="s">
        <v>2641</v>
      </c>
      <c r="C480" t="s">
        <v>74</v>
      </c>
      <c r="D480" t="s">
        <v>74</v>
      </c>
      <c r="E480" t="s">
        <v>74</v>
      </c>
      <c r="F480" t="s">
        <v>2642</v>
      </c>
      <c r="G480" t="s">
        <v>74</v>
      </c>
      <c r="H480" t="s">
        <v>74</v>
      </c>
      <c r="I480" t="s">
        <v>2643</v>
      </c>
      <c r="J480" t="s">
        <v>192</v>
      </c>
      <c r="K480" t="s">
        <v>74</v>
      </c>
      <c r="L480" t="s">
        <v>74</v>
      </c>
      <c r="M480" t="s">
        <v>74</v>
      </c>
      <c r="N480" t="s">
        <v>74</v>
      </c>
      <c r="O480" t="s">
        <v>74</v>
      </c>
      <c r="P480" t="s">
        <v>74</v>
      </c>
      <c r="Q480" t="s">
        <v>74</v>
      </c>
      <c r="R480" t="s">
        <v>74</v>
      </c>
      <c r="S480" t="s">
        <v>74</v>
      </c>
      <c r="T480" t="s">
        <v>74</v>
      </c>
      <c r="U480" t="s">
        <v>74</v>
      </c>
      <c r="V480" s="3" t="s">
        <v>2644</v>
      </c>
      <c r="W480" t="s">
        <v>74</v>
      </c>
      <c r="X480" t="s">
        <v>74</v>
      </c>
      <c r="Y480" t="s">
        <v>74</v>
      </c>
      <c r="Z480" t="s">
        <v>74</v>
      </c>
      <c r="AA480" t="s">
        <v>2645</v>
      </c>
      <c r="AB480" t="s">
        <v>74</v>
      </c>
      <c r="AC480" t="s">
        <v>74</v>
      </c>
      <c r="AD480" t="s">
        <v>74</v>
      </c>
      <c r="AE480" t="s">
        <v>74</v>
      </c>
      <c r="AF480" t="s">
        <v>74</v>
      </c>
      <c r="AG480" t="s">
        <v>74</v>
      </c>
      <c r="AH480" t="s">
        <v>74</v>
      </c>
      <c r="AI480" t="s">
        <v>74</v>
      </c>
      <c r="AJ480" t="s">
        <v>74</v>
      </c>
      <c r="AK480" t="s">
        <v>74</v>
      </c>
      <c r="AL480" t="s">
        <v>74</v>
      </c>
      <c r="AM480" t="s">
        <v>74</v>
      </c>
      <c r="AN480" t="s">
        <v>74</v>
      </c>
      <c r="AO480" t="s">
        <v>195</v>
      </c>
      <c r="AP480" t="s">
        <v>196</v>
      </c>
      <c r="AQ480" t="s">
        <v>74</v>
      </c>
      <c r="AR480" t="s">
        <v>74</v>
      </c>
      <c r="AS480" t="s">
        <v>74</v>
      </c>
      <c r="AT480" t="s">
        <v>964</v>
      </c>
      <c r="AU480">
        <v>2008</v>
      </c>
      <c r="AV480">
        <v>598</v>
      </c>
      <c r="AW480" t="s">
        <v>74</v>
      </c>
      <c r="AX480" t="s">
        <v>74</v>
      </c>
      <c r="AY480" t="s">
        <v>74</v>
      </c>
      <c r="AZ480" t="s">
        <v>74</v>
      </c>
      <c r="BA480" t="s">
        <v>74</v>
      </c>
      <c r="BB480">
        <v>361</v>
      </c>
      <c r="BC480">
        <v>371</v>
      </c>
      <c r="BD480" t="s">
        <v>74</v>
      </c>
      <c r="BE480" t="s">
        <v>2646</v>
      </c>
      <c r="BF480" t="str">
        <f>HYPERLINK("http://dx.doi.org/10.1007/s10750-007-9169-z","http://dx.doi.org/10.1007/s10750-007-9169-z")</f>
        <v>http://dx.doi.org/10.1007/s10750-007-9169-z</v>
      </c>
      <c r="BG480" t="s">
        <v>74</v>
      </c>
      <c r="BH480" t="s">
        <v>74</v>
      </c>
      <c r="BI480" t="s">
        <v>74</v>
      </c>
      <c r="BJ480" t="s">
        <v>74</v>
      </c>
      <c r="BK480" t="s">
        <v>74</v>
      </c>
      <c r="BL480" t="s">
        <v>74</v>
      </c>
      <c r="BM480" t="s">
        <v>74</v>
      </c>
      <c r="BN480" t="s">
        <v>74</v>
      </c>
      <c r="BO480" t="s">
        <v>74</v>
      </c>
      <c r="BP480" t="s">
        <v>74</v>
      </c>
      <c r="BQ480" t="s">
        <v>74</v>
      </c>
      <c r="BR480" t="s">
        <v>74</v>
      </c>
      <c r="BS480" t="s">
        <v>2647</v>
      </c>
      <c r="BT480" t="str">
        <f>HYPERLINK("https%3A%2F%2Fwww.webofscience.com%2Fwos%2Fwoscc%2Ffull-record%2FWOS:000251874300028","View Full Record in Web of Science")</f>
        <v>View Full Record in Web of Science</v>
      </c>
    </row>
    <row r="481" spans="1:72" x14ac:dyDescent="0.4">
      <c r="A481" t="s">
        <v>72</v>
      </c>
      <c r="B481" t="s">
        <v>2334</v>
      </c>
      <c r="C481" t="s">
        <v>74</v>
      </c>
      <c r="D481" t="s">
        <v>74</v>
      </c>
      <c r="E481" t="s">
        <v>74</v>
      </c>
      <c r="F481" t="s">
        <v>2335</v>
      </c>
      <c r="G481" t="s">
        <v>74</v>
      </c>
      <c r="H481" t="s">
        <v>74</v>
      </c>
      <c r="I481" t="s">
        <v>2336</v>
      </c>
      <c r="J481" t="s">
        <v>545</v>
      </c>
      <c r="K481" t="s">
        <v>74</v>
      </c>
      <c r="L481" t="s">
        <v>74</v>
      </c>
      <c r="M481" t="s">
        <v>74</v>
      </c>
      <c r="N481" t="s">
        <v>74</v>
      </c>
      <c r="O481" t="s">
        <v>74</v>
      </c>
      <c r="P481" t="s">
        <v>74</v>
      </c>
      <c r="Q481" t="s">
        <v>74</v>
      </c>
      <c r="R481" t="s">
        <v>74</v>
      </c>
      <c r="S481" t="s">
        <v>74</v>
      </c>
      <c r="T481" t="s">
        <v>74</v>
      </c>
      <c r="U481" t="s">
        <v>74</v>
      </c>
      <c r="V481" s="3" t="s">
        <v>2337</v>
      </c>
      <c r="W481" t="s">
        <v>74</v>
      </c>
      <c r="X481" t="s">
        <v>74</v>
      </c>
      <c r="Y481" t="s">
        <v>74</v>
      </c>
      <c r="Z481" t="s">
        <v>74</v>
      </c>
      <c r="AA481" t="s">
        <v>2338</v>
      </c>
      <c r="AB481" t="s">
        <v>2339</v>
      </c>
      <c r="AC481" t="s">
        <v>74</v>
      </c>
      <c r="AD481" t="s">
        <v>74</v>
      </c>
      <c r="AE481" t="s">
        <v>74</v>
      </c>
      <c r="AF481" t="s">
        <v>74</v>
      </c>
      <c r="AG481" t="s">
        <v>74</v>
      </c>
      <c r="AH481" t="s">
        <v>74</v>
      </c>
      <c r="AI481" t="s">
        <v>74</v>
      </c>
      <c r="AJ481" t="s">
        <v>74</v>
      </c>
      <c r="AK481" t="s">
        <v>74</v>
      </c>
      <c r="AL481" t="s">
        <v>74</v>
      </c>
      <c r="AM481" t="s">
        <v>74</v>
      </c>
      <c r="AN481" t="s">
        <v>74</v>
      </c>
      <c r="AO481" t="s">
        <v>547</v>
      </c>
      <c r="AP481" t="s">
        <v>74</v>
      </c>
      <c r="AQ481" t="s">
        <v>74</v>
      </c>
      <c r="AR481" t="s">
        <v>74</v>
      </c>
      <c r="AS481" t="s">
        <v>74</v>
      </c>
      <c r="AT481" t="s">
        <v>74</v>
      </c>
      <c r="AU481">
        <v>2013</v>
      </c>
      <c r="AV481">
        <v>252</v>
      </c>
      <c r="AW481">
        <v>4</v>
      </c>
      <c r="AX481" t="s">
        <v>74</v>
      </c>
      <c r="AY481" t="s">
        <v>74</v>
      </c>
      <c r="AZ481" t="s">
        <v>74</v>
      </c>
      <c r="BA481" t="s">
        <v>74</v>
      </c>
      <c r="BB481">
        <v>511</v>
      </c>
      <c r="BC481">
        <v>521</v>
      </c>
      <c r="BD481" t="s">
        <v>74</v>
      </c>
      <c r="BE481" t="s">
        <v>2340</v>
      </c>
      <c r="BF481" t="str">
        <f>HYPERLINK("http://dx.doi.org/10.1016/j.jcz.2012.12.001","http://dx.doi.org/10.1016/j.jcz.2012.12.001")</f>
        <v>http://dx.doi.org/10.1016/j.jcz.2012.12.001</v>
      </c>
      <c r="BG481" t="s">
        <v>74</v>
      </c>
      <c r="BH481" t="s">
        <v>74</v>
      </c>
      <c r="BI481" t="s">
        <v>74</v>
      </c>
      <c r="BJ481" t="s">
        <v>74</v>
      </c>
      <c r="BK481" t="s">
        <v>74</v>
      </c>
      <c r="BL481" t="s">
        <v>74</v>
      </c>
      <c r="BM481" t="s">
        <v>74</v>
      </c>
      <c r="BN481" t="s">
        <v>74</v>
      </c>
      <c r="BO481" t="s">
        <v>74</v>
      </c>
      <c r="BP481" t="s">
        <v>74</v>
      </c>
      <c r="BQ481" t="s">
        <v>74</v>
      </c>
      <c r="BR481" t="s">
        <v>74</v>
      </c>
      <c r="BS481" t="s">
        <v>2341</v>
      </c>
      <c r="BT481" t="str">
        <f>HYPERLINK("https%3A%2F%2Fwww.webofscience.com%2Fwos%2Fwoscc%2Ffull-record%2FWOS:000322803400009","View Full Record in Web of Science")</f>
        <v>View Full Record in Web of Science</v>
      </c>
    </row>
    <row r="482" spans="1:72" x14ac:dyDescent="0.4">
      <c r="A482" t="s">
        <v>72</v>
      </c>
      <c r="B482" t="s">
        <v>1110</v>
      </c>
      <c r="C482" t="s">
        <v>74</v>
      </c>
      <c r="D482" t="s">
        <v>74</v>
      </c>
      <c r="E482" t="s">
        <v>74</v>
      </c>
      <c r="F482" t="s">
        <v>1110</v>
      </c>
      <c r="G482" t="s">
        <v>74</v>
      </c>
      <c r="H482" t="s">
        <v>74</v>
      </c>
      <c r="I482" t="s">
        <v>1111</v>
      </c>
      <c r="J482" t="s">
        <v>1112</v>
      </c>
      <c r="K482" t="s">
        <v>74</v>
      </c>
      <c r="L482" t="s">
        <v>74</v>
      </c>
      <c r="M482" t="s">
        <v>74</v>
      </c>
      <c r="N482" t="s">
        <v>74</v>
      </c>
      <c r="O482" t="s">
        <v>74</v>
      </c>
      <c r="P482" t="s">
        <v>74</v>
      </c>
      <c r="Q482" t="s">
        <v>74</v>
      </c>
      <c r="R482" t="s">
        <v>74</v>
      </c>
      <c r="S482" t="s">
        <v>74</v>
      </c>
      <c r="T482" t="s">
        <v>74</v>
      </c>
      <c r="U482" t="s">
        <v>74</v>
      </c>
      <c r="V482" s="3" t="s">
        <v>1113</v>
      </c>
      <c r="W482" t="s">
        <v>74</v>
      </c>
      <c r="X482" t="s">
        <v>74</v>
      </c>
      <c r="Y482" t="s">
        <v>74</v>
      </c>
      <c r="Z482" t="s">
        <v>74</v>
      </c>
      <c r="AA482" t="s">
        <v>74</v>
      </c>
      <c r="AB482" t="s">
        <v>74</v>
      </c>
      <c r="AC482" t="s">
        <v>74</v>
      </c>
      <c r="AD482" t="s">
        <v>74</v>
      </c>
      <c r="AE482" t="s">
        <v>74</v>
      </c>
      <c r="AF482" t="s">
        <v>74</v>
      </c>
      <c r="AG482" t="s">
        <v>74</v>
      </c>
      <c r="AH482" t="s">
        <v>74</v>
      </c>
      <c r="AI482" t="s">
        <v>74</v>
      </c>
      <c r="AJ482" t="s">
        <v>74</v>
      </c>
      <c r="AK482" t="s">
        <v>74</v>
      </c>
      <c r="AL482" t="s">
        <v>74</v>
      </c>
      <c r="AM482" t="s">
        <v>74</v>
      </c>
      <c r="AN482" t="s">
        <v>74</v>
      </c>
      <c r="AO482" t="s">
        <v>1114</v>
      </c>
      <c r="AP482" t="s">
        <v>1115</v>
      </c>
      <c r="AQ482" t="s">
        <v>74</v>
      </c>
      <c r="AR482" t="s">
        <v>74</v>
      </c>
      <c r="AS482" t="s">
        <v>74</v>
      </c>
      <c r="AT482" t="s">
        <v>1116</v>
      </c>
      <c r="AU482">
        <v>2004</v>
      </c>
      <c r="AV482">
        <v>86</v>
      </c>
      <c r="AW482" t="s">
        <v>548</v>
      </c>
      <c r="AX482" t="s">
        <v>74</v>
      </c>
      <c r="AY482" t="s">
        <v>74</v>
      </c>
      <c r="AZ482" t="s">
        <v>74</v>
      </c>
      <c r="BA482" t="s">
        <v>74</v>
      </c>
      <c r="BB482">
        <v>63</v>
      </c>
      <c r="BC482">
        <v>76</v>
      </c>
      <c r="BD482" t="s">
        <v>74</v>
      </c>
      <c r="BE482" t="s">
        <v>1117</v>
      </c>
      <c r="BF482" t="str">
        <f>HYPERLINK("http://dx.doi.org/10.1016/j.applanim.2003.12.003","http://dx.doi.org/10.1016/j.applanim.2003.12.003")</f>
        <v>http://dx.doi.org/10.1016/j.applanim.2003.12.003</v>
      </c>
      <c r="BG482" t="s">
        <v>74</v>
      </c>
      <c r="BH482" t="s">
        <v>74</v>
      </c>
      <c r="BI482" t="s">
        <v>74</v>
      </c>
      <c r="BJ482" t="s">
        <v>74</v>
      </c>
      <c r="BK482" t="s">
        <v>74</v>
      </c>
      <c r="BL482" t="s">
        <v>74</v>
      </c>
      <c r="BM482" t="s">
        <v>74</v>
      </c>
      <c r="BN482" t="s">
        <v>74</v>
      </c>
      <c r="BO482" t="s">
        <v>74</v>
      </c>
      <c r="BP482" t="s">
        <v>74</v>
      </c>
      <c r="BQ482" t="s">
        <v>74</v>
      </c>
      <c r="BR482" t="s">
        <v>74</v>
      </c>
      <c r="BS482" t="s">
        <v>1118</v>
      </c>
      <c r="BT482" t="str">
        <f>HYPERLINK("https%3A%2F%2Fwww.webofscience.com%2Fwos%2Fwoscc%2Ffull-record%2FWOS:000220316400006","View Full Record in Web of Science")</f>
        <v>View Full Record in Web of Science</v>
      </c>
    </row>
    <row r="483" spans="1:72" x14ac:dyDescent="0.4">
      <c r="A483" t="s">
        <v>72</v>
      </c>
      <c r="B483" t="s">
        <v>7720</v>
      </c>
      <c r="C483" t="s">
        <v>74</v>
      </c>
      <c r="D483" t="s">
        <v>74</v>
      </c>
      <c r="E483" t="s">
        <v>74</v>
      </c>
      <c r="F483" t="s">
        <v>7721</v>
      </c>
      <c r="G483" t="s">
        <v>74</v>
      </c>
      <c r="H483" t="s">
        <v>74</v>
      </c>
      <c r="I483" t="s">
        <v>7722</v>
      </c>
      <c r="J483" t="s">
        <v>7723</v>
      </c>
      <c r="K483" t="s">
        <v>74</v>
      </c>
      <c r="L483" t="s">
        <v>74</v>
      </c>
      <c r="M483" t="s">
        <v>74</v>
      </c>
      <c r="N483" t="s">
        <v>74</v>
      </c>
      <c r="O483" t="s">
        <v>74</v>
      </c>
      <c r="P483" t="s">
        <v>74</v>
      </c>
      <c r="Q483" t="s">
        <v>74</v>
      </c>
      <c r="R483" t="s">
        <v>74</v>
      </c>
      <c r="S483" t="s">
        <v>74</v>
      </c>
      <c r="T483" t="s">
        <v>74</v>
      </c>
      <c r="U483" t="s">
        <v>74</v>
      </c>
      <c r="V483" s="3" t="s">
        <v>7724</v>
      </c>
      <c r="W483" t="s">
        <v>74</v>
      </c>
      <c r="X483" t="s">
        <v>74</v>
      </c>
      <c r="Y483" t="s">
        <v>74</v>
      </c>
      <c r="Z483" t="s">
        <v>74</v>
      </c>
      <c r="AA483" t="s">
        <v>74</v>
      </c>
      <c r="AB483" t="s">
        <v>7725</v>
      </c>
      <c r="AC483" t="s">
        <v>74</v>
      </c>
      <c r="AD483" t="s">
        <v>74</v>
      </c>
      <c r="AE483" t="s">
        <v>74</v>
      </c>
      <c r="AF483" t="s">
        <v>74</v>
      </c>
      <c r="AG483" t="s">
        <v>74</v>
      </c>
      <c r="AH483" t="s">
        <v>74</v>
      </c>
      <c r="AI483" t="s">
        <v>74</v>
      </c>
      <c r="AJ483" t="s">
        <v>74</v>
      </c>
      <c r="AK483" t="s">
        <v>74</v>
      </c>
      <c r="AL483" t="s">
        <v>74</v>
      </c>
      <c r="AM483" t="s">
        <v>74</v>
      </c>
      <c r="AN483" t="s">
        <v>74</v>
      </c>
      <c r="AO483" t="s">
        <v>7726</v>
      </c>
      <c r="AP483" t="s">
        <v>7727</v>
      </c>
      <c r="AQ483" t="s">
        <v>74</v>
      </c>
      <c r="AR483" t="s">
        <v>74</v>
      </c>
      <c r="AS483" t="s">
        <v>74</v>
      </c>
      <c r="AT483" t="s">
        <v>352</v>
      </c>
      <c r="AU483">
        <v>2014</v>
      </c>
      <c r="AV483">
        <v>105</v>
      </c>
      <c r="AW483" t="s">
        <v>74</v>
      </c>
      <c r="AX483" t="s">
        <v>74</v>
      </c>
      <c r="AY483">
        <v>1</v>
      </c>
      <c r="AZ483" t="s">
        <v>848</v>
      </c>
      <c r="BA483" t="s">
        <v>74</v>
      </c>
      <c r="BB483">
        <v>821</v>
      </c>
      <c r="BC483">
        <v>833</v>
      </c>
      <c r="BD483" t="s">
        <v>74</v>
      </c>
      <c r="BE483" t="s">
        <v>7728</v>
      </c>
      <c r="BF483" t="str">
        <f>HYPERLINK("http://dx.doi.org/10.1093/jhered/esu041","http://dx.doi.org/10.1093/jhered/esu041")</f>
        <v>http://dx.doi.org/10.1093/jhered/esu041</v>
      </c>
      <c r="BG483" t="s">
        <v>74</v>
      </c>
      <c r="BH483" t="s">
        <v>74</v>
      </c>
      <c r="BI483" t="s">
        <v>74</v>
      </c>
      <c r="BJ483" t="s">
        <v>74</v>
      </c>
      <c r="BK483" t="s">
        <v>74</v>
      </c>
      <c r="BL483" t="s">
        <v>74</v>
      </c>
      <c r="BM483" t="s">
        <v>74</v>
      </c>
      <c r="BN483">
        <v>25149257</v>
      </c>
      <c r="BO483" t="s">
        <v>74</v>
      </c>
      <c r="BP483" t="s">
        <v>74</v>
      </c>
      <c r="BQ483" t="s">
        <v>74</v>
      </c>
      <c r="BR483" t="s">
        <v>74</v>
      </c>
      <c r="BS483" t="s">
        <v>7729</v>
      </c>
      <c r="BT483" t="str">
        <f>HYPERLINK("https%3A%2F%2Fwww.webofscience.com%2Fwos%2Fwoscc%2Ffull-record%2FWOS:000342995100008","View Full Record in Web of Science")</f>
        <v>View Full Record in Web of Science</v>
      </c>
    </row>
    <row r="484" spans="1:72" x14ac:dyDescent="0.4">
      <c r="A484" t="s">
        <v>72</v>
      </c>
      <c r="B484" t="s">
        <v>4844</v>
      </c>
      <c r="C484" t="s">
        <v>74</v>
      </c>
      <c r="D484" t="s">
        <v>74</v>
      </c>
      <c r="E484" t="s">
        <v>74</v>
      </c>
      <c r="F484" t="s">
        <v>4844</v>
      </c>
      <c r="G484" t="s">
        <v>74</v>
      </c>
      <c r="H484" t="s">
        <v>74</v>
      </c>
      <c r="I484" t="s">
        <v>4845</v>
      </c>
      <c r="J484" t="s">
        <v>140</v>
      </c>
      <c r="K484" t="s">
        <v>74</v>
      </c>
      <c r="L484" t="s">
        <v>74</v>
      </c>
      <c r="M484" t="s">
        <v>74</v>
      </c>
      <c r="N484" t="s">
        <v>74</v>
      </c>
      <c r="O484" t="s">
        <v>74</v>
      </c>
      <c r="P484" t="s">
        <v>74</v>
      </c>
      <c r="Q484" t="s">
        <v>74</v>
      </c>
      <c r="R484" t="s">
        <v>74</v>
      </c>
      <c r="S484" t="s">
        <v>74</v>
      </c>
      <c r="T484" t="s">
        <v>74</v>
      </c>
      <c r="U484" t="s">
        <v>74</v>
      </c>
      <c r="V484" s="3" t="s">
        <v>74</v>
      </c>
      <c r="W484" t="s">
        <v>74</v>
      </c>
      <c r="X484" t="s">
        <v>74</v>
      </c>
      <c r="Y484" t="s">
        <v>74</v>
      </c>
      <c r="Z484" t="s">
        <v>74</v>
      </c>
      <c r="AA484" t="s">
        <v>74</v>
      </c>
      <c r="AB484" t="s">
        <v>74</v>
      </c>
      <c r="AC484" t="s">
        <v>74</v>
      </c>
      <c r="AD484" t="s">
        <v>74</v>
      </c>
      <c r="AE484" t="s">
        <v>74</v>
      </c>
      <c r="AF484" t="s">
        <v>74</v>
      </c>
      <c r="AG484" t="s">
        <v>74</v>
      </c>
      <c r="AH484" t="s">
        <v>74</v>
      </c>
      <c r="AI484" t="s">
        <v>74</v>
      </c>
      <c r="AJ484" t="s">
        <v>74</v>
      </c>
      <c r="AK484" t="s">
        <v>74</v>
      </c>
      <c r="AL484" t="s">
        <v>74</v>
      </c>
      <c r="AM484" t="s">
        <v>74</v>
      </c>
      <c r="AN484" t="s">
        <v>74</v>
      </c>
      <c r="AO484" t="s">
        <v>143</v>
      </c>
      <c r="AP484" t="s">
        <v>144</v>
      </c>
      <c r="AQ484" t="s">
        <v>74</v>
      </c>
      <c r="AR484" t="s">
        <v>74</v>
      </c>
      <c r="AS484" t="s">
        <v>74</v>
      </c>
      <c r="AT484" t="s">
        <v>123</v>
      </c>
      <c r="AU484">
        <v>1993</v>
      </c>
      <c r="AV484">
        <v>45</v>
      </c>
      <c r="AW484">
        <v>3</v>
      </c>
      <c r="AX484" t="s">
        <v>74</v>
      </c>
      <c r="AY484" t="s">
        <v>74</v>
      </c>
      <c r="AZ484" t="s">
        <v>74</v>
      </c>
      <c r="BA484" t="s">
        <v>74</v>
      </c>
      <c r="BB484">
        <v>511</v>
      </c>
      <c r="BC484">
        <v>518</v>
      </c>
      <c r="BD484" t="s">
        <v>74</v>
      </c>
      <c r="BE484" t="s">
        <v>4846</v>
      </c>
      <c r="BF484" t="str">
        <f>HYPERLINK("http://dx.doi.org/10.1006/anbe.1993.1062","http://dx.doi.org/10.1006/anbe.1993.1062")</f>
        <v>http://dx.doi.org/10.1006/anbe.1993.1062</v>
      </c>
      <c r="BG484" t="s">
        <v>74</v>
      </c>
      <c r="BH484" t="s">
        <v>74</v>
      </c>
      <c r="BI484" t="s">
        <v>74</v>
      </c>
      <c r="BJ484" t="s">
        <v>74</v>
      </c>
      <c r="BK484" t="s">
        <v>74</v>
      </c>
      <c r="BL484" t="s">
        <v>74</v>
      </c>
      <c r="BM484" t="s">
        <v>74</v>
      </c>
      <c r="BN484" t="s">
        <v>74</v>
      </c>
      <c r="BO484" t="s">
        <v>74</v>
      </c>
      <c r="BP484" t="s">
        <v>74</v>
      </c>
      <c r="BQ484" t="s">
        <v>74</v>
      </c>
      <c r="BR484" t="s">
        <v>74</v>
      </c>
      <c r="BS484" t="s">
        <v>4847</v>
      </c>
      <c r="BT484" t="str">
        <f>HYPERLINK("https%3A%2F%2Fwww.webofscience.com%2Fwos%2Fwoscc%2Ffull-record%2FWOS:A1993KW24700009","View Full Record in Web of Science")</f>
        <v>View Full Record in Web of Science</v>
      </c>
    </row>
    <row r="485" spans="1:72" x14ac:dyDescent="0.4">
      <c r="A485" t="s">
        <v>72</v>
      </c>
      <c r="B485" t="s">
        <v>6594</v>
      </c>
      <c r="C485" t="s">
        <v>74</v>
      </c>
      <c r="D485" t="s">
        <v>74</v>
      </c>
      <c r="E485" t="s">
        <v>74</v>
      </c>
      <c r="F485" t="s">
        <v>6594</v>
      </c>
      <c r="G485" t="s">
        <v>74</v>
      </c>
      <c r="H485" t="s">
        <v>74</v>
      </c>
      <c r="I485" t="s">
        <v>6595</v>
      </c>
      <c r="J485" t="s">
        <v>140</v>
      </c>
      <c r="K485" t="s">
        <v>74</v>
      </c>
      <c r="L485" t="s">
        <v>74</v>
      </c>
      <c r="M485" t="s">
        <v>74</v>
      </c>
      <c r="N485" t="s">
        <v>74</v>
      </c>
      <c r="O485" t="s">
        <v>74</v>
      </c>
      <c r="P485" t="s">
        <v>74</v>
      </c>
      <c r="Q485" t="s">
        <v>74</v>
      </c>
      <c r="R485" t="s">
        <v>74</v>
      </c>
      <c r="S485" t="s">
        <v>74</v>
      </c>
      <c r="T485" t="s">
        <v>74</v>
      </c>
      <c r="U485" t="s">
        <v>74</v>
      </c>
      <c r="V485" s="3" t="s">
        <v>6596</v>
      </c>
      <c r="W485" t="s">
        <v>74</v>
      </c>
      <c r="X485" t="s">
        <v>74</v>
      </c>
      <c r="Y485" t="s">
        <v>74</v>
      </c>
      <c r="Z485" t="s">
        <v>74</v>
      </c>
      <c r="AA485" t="s">
        <v>6597</v>
      </c>
      <c r="AB485" t="s">
        <v>74</v>
      </c>
      <c r="AC485" t="s">
        <v>74</v>
      </c>
      <c r="AD485" t="s">
        <v>74</v>
      </c>
      <c r="AE485" t="s">
        <v>74</v>
      </c>
      <c r="AF485" t="s">
        <v>74</v>
      </c>
      <c r="AG485" t="s">
        <v>74</v>
      </c>
      <c r="AH485" t="s">
        <v>74</v>
      </c>
      <c r="AI485" t="s">
        <v>74</v>
      </c>
      <c r="AJ485" t="s">
        <v>74</v>
      </c>
      <c r="AK485" t="s">
        <v>74</v>
      </c>
      <c r="AL485" t="s">
        <v>74</v>
      </c>
      <c r="AM485" t="s">
        <v>74</v>
      </c>
      <c r="AN485" t="s">
        <v>74</v>
      </c>
      <c r="AO485" t="s">
        <v>143</v>
      </c>
      <c r="AP485" t="s">
        <v>144</v>
      </c>
      <c r="AQ485" t="s">
        <v>74</v>
      </c>
      <c r="AR485" t="s">
        <v>74</v>
      </c>
      <c r="AS485" t="s">
        <v>74</v>
      </c>
      <c r="AT485" t="s">
        <v>213</v>
      </c>
      <c r="AU485">
        <v>1997</v>
      </c>
      <c r="AV485">
        <v>54</v>
      </c>
      <c r="AW485" t="s">
        <v>74</v>
      </c>
      <c r="AX485">
        <v>5</v>
      </c>
      <c r="AY485" t="s">
        <v>74</v>
      </c>
      <c r="AZ485" t="s">
        <v>74</v>
      </c>
      <c r="BA485" t="s">
        <v>74</v>
      </c>
      <c r="BB485">
        <v>1309</v>
      </c>
      <c r="BC485">
        <v>1315</v>
      </c>
      <c r="BD485" t="s">
        <v>74</v>
      </c>
      <c r="BE485" t="s">
        <v>6598</v>
      </c>
      <c r="BF485" t="str">
        <f>HYPERLINK("http://dx.doi.org/10.1006/anbe.1997.0531","http://dx.doi.org/10.1006/anbe.1997.0531")</f>
        <v>http://dx.doi.org/10.1006/anbe.1997.0531</v>
      </c>
      <c r="BG485" t="s">
        <v>74</v>
      </c>
      <c r="BH485" t="s">
        <v>74</v>
      </c>
      <c r="BI485" t="s">
        <v>74</v>
      </c>
      <c r="BJ485" t="s">
        <v>74</v>
      </c>
      <c r="BK485" t="s">
        <v>74</v>
      </c>
      <c r="BL485" t="s">
        <v>74</v>
      </c>
      <c r="BM485" t="s">
        <v>74</v>
      </c>
      <c r="BN485">
        <v>9398384</v>
      </c>
      <c r="BO485" t="s">
        <v>74</v>
      </c>
      <c r="BP485" t="s">
        <v>74</v>
      </c>
      <c r="BQ485" t="s">
        <v>74</v>
      </c>
      <c r="BR485" t="s">
        <v>74</v>
      </c>
      <c r="BS485" t="s">
        <v>6599</v>
      </c>
      <c r="BT485" t="str">
        <f>HYPERLINK("https%3A%2F%2Fwww.webofscience.com%2Fwos%2Fwoscc%2Ffull-record%2FWOS:A1997YJ17400025","View Full Record in Web of Science")</f>
        <v>View Full Record in Web of Science</v>
      </c>
    </row>
    <row r="486" spans="1:72" x14ac:dyDescent="0.4">
      <c r="A486" t="s">
        <v>72</v>
      </c>
      <c r="B486" t="s">
        <v>2173</v>
      </c>
      <c r="C486" t="s">
        <v>74</v>
      </c>
      <c r="D486" t="s">
        <v>74</v>
      </c>
      <c r="E486" t="s">
        <v>74</v>
      </c>
      <c r="F486" t="s">
        <v>2174</v>
      </c>
      <c r="G486" t="s">
        <v>74</v>
      </c>
      <c r="H486" t="s">
        <v>74</v>
      </c>
      <c r="I486" t="s">
        <v>2175</v>
      </c>
      <c r="J486" t="s">
        <v>420</v>
      </c>
      <c r="K486" t="s">
        <v>74</v>
      </c>
      <c r="L486" t="s">
        <v>74</v>
      </c>
      <c r="M486" t="s">
        <v>74</v>
      </c>
      <c r="N486" t="s">
        <v>74</v>
      </c>
      <c r="O486" t="s">
        <v>74</v>
      </c>
      <c r="P486" t="s">
        <v>74</v>
      </c>
      <c r="Q486" t="s">
        <v>74</v>
      </c>
      <c r="R486" t="s">
        <v>74</v>
      </c>
      <c r="S486" t="s">
        <v>74</v>
      </c>
      <c r="T486" t="s">
        <v>74</v>
      </c>
      <c r="U486" t="s">
        <v>74</v>
      </c>
      <c r="V486" s="3" t="s">
        <v>2176</v>
      </c>
      <c r="W486" t="s">
        <v>74</v>
      </c>
      <c r="X486" t="s">
        <v>74</v>
      </c>
      <c r="Y486" t="s">
        <v>74</v>
      </c>
      <c r="Z486" t="s">
        <v>74</v>
      </c>
      <c r="AA486" t="s">
        <v>74</v>
      </c>
      <c r="AB486" t="s">
        <v>322</v>
      </c>
      <c r="AC486" t="s">
        <v>74</v>
      </c>
      <c r="AD486" t="s">
        <v>74</v>
      </c>
      <c r="AE486" t="s">
        <v>74</v>
      </c>
      <c r="AF486" t="s">
        <v>74</v>
      </c>
      <c r="AG486" t="s">
        <v>74</v>
      </c>
      <c r="AH486" t="s">
        <v>74</v>
      </c>
      <c r="AI486" t="s">
        <v>74</v>
      </c>
      <c r="AJ486" t="s">
        <v>74</v>
      </c>
      <c r="AK486" t="s">
        <v>74</v>
      </c>
      <c r="AL486" t="s">
        <v>74</v>
      </c>
      <c r="AM486" t="s">
        <v>74</v>
      </c>
      <c r="AN486" t="s">
        <v>74</v>
      </c>
      <c r="AO486" t="s">
        <v>424</v>
      </c>
      <c r="AP486" t="s">
        <v>74</v>
      </c>
      <c r="AQ486" t="s">
        <v>74</v>
      </c>
      <c r="AR486" t="s">
        <v>74</v>
      </c>
      <c r="AS486" t="s">
        <v>74</v>
      </c>
      <c r="AT486" t="s">
        <v>2177</v>
      </c>
      <c r="AU486">
        <v>2010</v>
      </c>
      <c r="AV486">
        <v>10</v>
      </c>
      <c r="AW486" t="s">
        <v>74</v>
      </c>
      <c r="AX486" t="s">
        <v>74</v>
      </c>
      <c r="AY486" t="s">
        <v>74</v>
      </c>
      <c r="AZ486" t="s">
        <v>74</v>
      </c>
      <c r="BA486" t="s">
        <v>74</v>
      </c>
      <c r="BB486" t="s">
        <v>74</v>
      </c>
      <c r="BC486" t="s">
        <v>74</v>
      </c>
      <c r="BD486">
        <v>391</v>
      </c>
      <c r="BE486" t="s">
        <v>2178</v>
      </c>
      <c r="BF486" t="str">
        <f>HYPERLINK("http://dx.doi.org/10.1186/1471-2148-10-391","http://dx.doi.org/10.1186/1471-2148-10-391")</f>
        <v>http://dx.doi.org/10.1186/1471-2148-10-391</v>
      </c>
      <c r="BG486" t="s">
        <v>74</v>
      </c>
      <c r="BH486" t="s">
        <v>74</v>
      </c>
      <c r="BI486" t="s">
        <v>74</v>
      </c>
      <c r="BJ486" t="s">
        <v>74</v>
      </c>
      <c r="BK486" t="s">
        <v>74</v>
      </c>
      <c r="BL486" t="s">
        <v>74</v>
      </c>
      <c r="BM486" t="s">
        <v>74</v>
      </c>
      <c r="BN486">
        <v>21182755</v>
      </c>
      <c r="BO486" t="s">
        <v>74</v>
      </c>
      <c r="BP486" t="s">
        <v>74</v>
      </c>
      <c r="BQ486" t="s">
        <v>74</v>
      </c>
      <c r="BR486" t="s">
        <v>74</v>
      </c>
      <c r="BS486" t="s">
        <v>2179</v>
      </c>
      <c r="BT486" t="str">
        <f>HYPERLINK("https%3A%2F%2Fwww.webofscience.com%2Fwos%2Fwoscc%2Ffull-record%2FWOS:000287579200001","View Full Record in Web of Science")</f>
        <v>View Full Record in Web of Science</v>
      </c>
    </row>
    <row r="487" spans="1:72" x14ac:dyDescent="0.4">
      <c r="A487" t="s">
        <v>72</v>
      </c>
      <c r="B487" t="s">
        <v>3970</v>
      </c>
      <c r="C487" t="s">
        <v>74</v>
      </c>
      <c r="D487" t="s">
        <v>74</v>
      </c>
      <c r="E487" t="s">
        <v>74</v>
      </c>
      <c r="F487" t="s">
        <v>3970</v>
      </c>
      <c r="G487" t="s">
        <v>74</v>
      </c>
      <c r="H487" t="s">
        <v>74</v>
      </c>
      <c r="I487" t="s">
        <v>3971</v>
      </c>
      <c r="J487" t="s">
        <v>1812</v>
      </c>
      <c r="K487" t="s">
        <v>74</v>
      </c>
      <c r="L487" t="s">
        <v>74</v>
      </c>
      <c r="M487" t="s">
        <v>74</v>
      </c>
      <c r="N487" t="s">
        <v>74</v>
      </c>
      <c r="O487" t="s">
        <v>74</v>
      </c>
      <c r="P487" t="s">
        <v>74</v>
      </c>
      <c r="Q487" t="s">
        <v>74</v>
      </c>
      <c r="R487" t="s">
        <v>74</v>
      </c>
      <c r="S487" t="s">
        <v>74</v>
      </c>
      <c r="T487" t="s">
        <v>74</v>
      </c>
      <c r="U487" t="s">
        <v>74</v>
      </c>
      <c r="V487" s="3" t="s">
        <v>3972</v>
      </c>
      <c r="W487" t="s">
        <v>74</v>
      </c>
      <c r="X487" t="s">
        <v>74</v>
      </c>
      <c r="Y487" t="s">
        <v>74</v>
      </c>
      <c r="Z487" t="s">
        <v>74</v>
      </c>
      <c r="AA487" t="s">
        <v>74</v>
      </c>
      <c r="AB487" t="s">
        <v>3973</v>
      </c>
      <c r="AC487" t="s">
        <v>74</v>
      </c>
      <c r="AD487" t="s">
        <v>74</v>
      </c>
      <c r="AE487" t="s">
        <v>74</v>
      </c>
      <c r="AF487" t="s">
        <v>74</v>
      </c>
      <c r="AG487" t="s">
        <v>74</v>
      </c>
      <c r="AH487" t="s">
        <v>74</v>
      </c>
      <c r="AI487" t="s">
        <v>74</v>
      </c>
      <c r="AJ487" t="s">
        <v>74</v>
      </c>
      <c r="AK487" t="s">
        <v>74</v>
      </c>
      <c r="AL487" t="s">
        <v>74</v>
      </c>
      <c r="AM487" t="s">
        <v>74</v>
      </c>
      <c r="AN487" t="s">
        <v>74</v>
      </c>
      <c r="AO487" t="s">
        <v>1814</v>
      </c>
      <c r="AP487" t="s">
        <v>1815</v>
      </c>
      <c r="AQ487" t="s">
        <v>74</v>
      </c>
      <c r="AR487" t="s">
        <v>74</v>
      </c>
      <c r="AS487" t="s">
        <v>74</v>
      </c>
      <c r="AT487" t="s">
        <v>123</v>
      </c>
      <c r="AU487">
        <v>2004</v>
      </c>
      <c r="AV487">
        <v>38</v>
      </c>
      <c r="AW487">
        <v>1</v>
      </c>
      <c r="AX487" t="s">
        <v>74</v>
      </c>
      <c r="AY487" t="s">
        <v>74</v>
      </c>
      <c r="AZ487" t="s">
        <v>74</v>
      </c>
      <c r="BA487" t="s">
        <v>74</v>
      </c>
      <c r="BB487">
        <v>156</v>
      </c>
      <c r="BC487">
        <v>160</v>
      </c>
      <c r="BD487" t="s">
        <v>74</v>
      </c>
      <c r="BE487" t="s">
        <v>3974</v>
      </c>
      <c r="BF487" t="str">
        <f>HYPERLINK("http://dx.doi.org/10.1670/138-03N","http://dx.doi.org/10.1670/138-03N")</f>
        <v>http://dx.doi.org/10.1670/138-03N</v>
      </c>
      <c r="BG487" t="s">
        <v>74</v>
      </c>
      <c r="BH487" t="s">
        <v>74</v>
      </c>
      <c r="BI487" t="s">
        <v>74</v>
      </c>
      <c r="BJ487" t="s">
        <v>74</v>
      </c>
      <c r="BK487" t="s">
        <v>74</v>
      </c>
      <c r="BL487" t="s">
        <v>74</v>
      </c>
      <c r="BM487" t="s">
        <v>74</v>
      </c>
      <c r="BN487" t="s">
        <v>74</v>
      </c>
      <c r="BO487" t="s">
        <v>74</v>
      </c>
      <c r="BP487" t="s">
        <v>74</v>
      </c>
      <c r="BQ487" t="s">
        <v>74</v>
      </c>
      <c r="BR487" t="s">
        <v>74</v>
      </c>
      <c r="BS487" t="s">
        <v>3975</v>
      </c>
      <c r="BT487" t="str">
        <f>HYPERLINK("https%3A%2F%2Fwww.webofscience.com%2Fwos%2Fwoscc%2Ffull-record%2FWOS:000220546800025","View Full Record in Web of Science")</f>
        <v>View Full Record in Web of Science</v>
      </c>
    </row>
    <row r="488" spans="1:72" x14ac:dyDescent="0.4">
      <c r="A488" t="s">
        <v>72</v>
      </c>
      <c r="B488" t="s">
        <v>5911</v>
      </c>
      <c r="C488" t="s">
        <v>74</v>
      </c>
      <c r="D488" t="s">
        <v>74</v>
      </c>
      <c r="E488" t="s">
        <v>74</v>
      </c>
      <c r="F488" t="s">
        <v>5912</v>
      </c>
      <c r="G488" t="s">
        <v>74</v>
      </c>
      <c r="H488" t="s">
        <v>74</v>
      </c>
      <c r="I488" t="s">
        <v>5913</v>
      </c>
      <c r="J488" t="s">
        <v>1743</v>
      </c>
      <c r="K488" t="s">
        <v>74</v>
      </c>
      <c r="L488" t="s">
        <v>74</v>
      </c>
      <c r="M488" t="s">
        <v>74</v>
      </c>
      <c r="N488" t="s">
        <v>74</v>
      </c>
      <c r="O488" t="s">
        <v>74</v>
      </c>
      <c r="P488" t="s">
        <v>74</v>
      </c>
      <c r="Q488" t="s">
        <v>74</v>
      </c>
      <c r="R488" t="s">
        <v>74</v>
      </c>
      <c r="S488" t="s">
        <v>74</v>
      </c>
      <c r="T488" t="s">
        <v>74</v>
      </c>
      <c r="U488" t="s">
        <v>74</v>
      </c>
      <c r="V488" s="3" t="s">
        <v>5914</v>
      </c>
      <c r="W488" t="s">
        <v>74</v>
      </c>
      <c r="X488" t="s">
        <v>74</v>
      </c>
      <c r="Y488" t="s">
        <v>74</v>
      </c>
      <c r="Z488" t="s">
        <v>74</v>
      </c>
      <c r="AA488" t="s">
        <v>5915</v>
      </c>
      <c r="AB488" t="s">
        <v>5916</v>
      </c>
      <c r="AC488" t="s">
        <v>74</v>
      </c>
      <c r="AD488" t="s">
        <v>74</v>
      </c>
      <c r="AE488" t="s">
        <v>74</v>
      </c>
      <c r="AF488" t="s">
        <v>74</v>
      </c>
      <c r="AG488" t="s">
        <v>74</v>
      </c>
      <c r="AH488" t="s">
        <v>74</v>
      </c>
      <c r="AI488" t="s">
        <v>74</v>
      </c>
      <c r="AJ488" t="s">
        <v>74</v>
      </c>
      <c r="AK488" t="s">
        <v>74</v>
      </c>
      <c r="AL488" t="s">
        <v>74</v>
      </c>
      <c r="AM488" t="s">
        <v>74</v>
      </c>
      <c r="AN488" t="s">
        <v>74</v>
      </c>
      <c r="AO488" t="s">
        <v>1746</v>
      </c>
      <c r="AP488" t="s">
        <v>74</v>
      </c>
      <c r="AQ488" t="s">
        <v>74</v>
      </c>
      <c r="AR488" t="s">
        <v>74</v>
      </c>
      <c r="AS488" t="s">
        <v>74</v>
      </c>
      <c r="AT488" t="s">
        <v>633</v>
      </c>
      <c r="AU488">
        <v>2021</v>
      </c>
      <c r="AV488">
        <v>38</v>
      </c>
      <c r="AW488">
        <v>2</v>
      </c>
      <c r="AX488" t="s">
        <v>74</v>
      </c>
      <c r="AY488" t="s">
        <v>74</v>
      </c>
      <c r="AZ488" t="s">
        <v>74</v>
      </c>
      <c r="BA488" t="s">
        <v>74</v>
      </c>
      <c r="BB488">
        <v>193</v>
      </c>
      <c r="BC488">
        <v>202</v>
      </c>
      <c r="BD488" t="s">
        <v>74</v>
      </c>
      <c r="BE488" t="s">
        <v>5917</v>
      </c>
      <c r="BF488" t="str">
        <f>HYPERLINK("http://dx.doi.org/10.2108/zs200112","http://dx.doi.org/10.2108/zs200112")</f>
        <v>http://dx.doi.org/10.2108/zs200112</v>
      </c>
      <c r="BG488" t="s">
        <v>74</v>
      </c>
      <c r="BH488" t="s">
        <v>74</v>
      </c>
      <c r="BI488" t="s">
        <v>74</v>
      </c>
      <c r="BJ488" t="s">
        <v>74</v>
      </c>
      <c r="BK488" t="s">
        <v>74</v>
      </c>
      <c r="BL488" t="s">
        <v>74</v>
      </c>
      <c r="BM488" t="s">
        <v>74</v>
      </c>
      <c r="BN488">
        <v>33812359</v>
      </c>
      <c r="BO488" t="s">
        <v>74</v>
      </c>
      <c r="BP488" t="s">
        <v>74</v>
      </c>
      <c r="BQ488" t="s">
        <v>74</v>
      </c>
      <c r="BR488" t="s">
        <v>74</v>
      </c>
      <c r="BS488" t="s">
        <v>5918</v>
      </c>
      <c r="BT488" t="str">
        <f>HYPERLINK("https%3A%2F%2Fwww.webofscience.com%2Fwos%2Fwoscc%2Ffull-record%2FWOS:000635436200010","View Full Record in Web of Science")</f>
        <v>View Full Record in Web of Science</v>
      </c>
    </row>
    <row r="489" spans="1:72" x14ac:dyDescent="0.4">
      <c r="A489" t="s">
        <v>72</v>
      </c>
      <c r="B489" t="s">
        <v>6906</v>
      </c>
      <c r="C489" t="s">
        <v>74</v>
      </c>
      <c r="D489" t="s">
        <v>74</v>
      </c>
      <c r="E489" t="s">
        <v>74</v>
      </c>
      <c r="F489" t="s">
        <v>6907</v>
      </c>
      <c r="G489" t="s">
        <v>74</v>
      </c>
      <c r="H489" t="s">
        <v>74</v>
      </c>
      <c r="I489" t="s">
        <v>6908</v>
      </c>
      <c r="J489" t="s">
        <v>171</v>
      </c>
      <c r="K489" t="s">
        <v>74</v>
      </c>
      <c r="L489" t="s">
        <v>74</v>
      </c>
      <c r="M489" t="s">
        <v>74</v>
      </c>
      <c r="N489" t="s">
        <v>74</v>
      </c>
      <c r="O489" t="s">
        <v>74</v>
      </c>
      <c r="P489" t="s">
        <v>74</v>
      </c>
      <c r="Q489" t="s">
        <v>74</v>
      </c>
      <c r="R489" t="s">
        <v>74</v>
      </c>
      <c r="S489" t="s">
        <v>74</v>
      </c>
      <c r="T489" t="s">
        <v>74</v>
      </c>
      <c r="U489" t="s">
        <v>74</v>
      </c>
      <c r="V489" s="3" t="s">
        <v>6909</v>
      </c>
      <c r="W489" t="s">
        <v>74</v>
      </c>
      <c r="X489" t="s">
        <v>74</v>
      </c>
      <c r="Y489" t="s">
        <v>74</v>
      </c>
      <c r="Z489" t="s">
        <v>74</v>
      </c>
      <c r="AA489" t="s">
        <v>6910</v>
      </c>
      <c r="AB489" t="s">
        <v>434</v>
      </c>
      <c r="AC489" t="s">
        <v>74</v>
      </c>
      <c r="AD489" t="s">
        <v>74</v>
      </c>
      <c r="AE489" t="s">
        <v>74</v>
      </c>
      <c r="AF489" t="s">
        <v>74</v>
      </c>
      <c r="AG489" t="s">
        <v>74</v>
      </c>
      <c r="AH489" t="s">
        <v>74</v>
      </c>
      <c r="AI489" t="s">
        <v>74</v>
      </c>
      <c r="AJ489" t="s">
        <v>74</v>
      </c>
      <c r="AK489" t="s">
        <v>74</v>
      </c>
      <c r="AL489" t="s">
        <v>74</v>
      </c>
      <c r="AM489" t="s">
        <v>74</v>
      </c>
      <c r="AN489" t="s">
        <v>74</v>
      </c>
      <c r="AO489" t="s">
        <v>173</v>
      </c>
      <c r="AP489" t="s">
        <v>174</v>
      </c>
      <c r="AQ489" t="s">
        <v>74</v>
      </c>
      <c r="AR489" t="s">
        <v>74</v>
      </c>
      <c r="AS489" t="s">
        <v>74</v>
      </c>
      <c r="AT489" t="s">
        <v>102</v>
      </c>
      <c r="AU489">
        <v>2010</v>
      </c>
      <c r="AV489">
        <v>64</v>
      </c>
      <c r="AW489">
        <v>6</v>
      </c>
      <c r="AX489" t="s">
        <v>74</v>
      </c>
      <c r="AY489" t="s">
        <v>74</v>
      </c>
      <c r="AZ489" t="s">
        <v>74</v>
      </c>
      <c r="BA489" t="s">
        <v>74</v>
      </c>
      <c r="BB489">
        <v>1634</v>
      </c>
      <c r="BC489">
        <v>1643</v>
      </c>
      <c r="BD489" t="s">
        <v>74</v>
      </c>
      <c r="BE489" t="s">
        <v>6911</v>
      </c>
      <c r="BF489" t="str">
        <f>HYPERLINK("http://dx.doi.org/10.1111/j.1558-5646.2009.00924.x","http://dx.doi.org/10.1111/j.1558-5646.2009.00924.x")</f>
        <v>http://dx.doi.org/10.1111/j.1558-5646.2009.00924.x</v>
      </c>
      <c r="BG489" t="s">
        <v>74</v>
      </c>
      <c r="BH489" t="s">
        <v>74</v>
      </c>
      <c r="BI489" t="s">
        <v>74</v>
      </c>
      <c r="BJ489" t="s">
        <v>74</v>
      </c>
      <c r="BK489" t="s">
        <v>74</v>
      </c>
      <c r="BL489" t="s">
        <v>74</v>
      </c>
      <c r="BM489" t="s">
        <v>74</v>
      </c>
      <c r="BN489">
        <v>20015235</v>
      </c>
      <c r="BO489" t="s">
        <v>74</v>
      </c>
      <c r="BP489" t="s">
        <v>74</v>
      </c>
      <c r="BQ489" t="s">
        <v>74</v>
      </c>
      <c r="BR489" t="s">
        <v>74</v>
      </c>
      <c r="BS489" t="s">
        <v>6912</v>
      </c>
      <c r="BT489" t="str">
        <f>HYPERLINK("https%3A%2F%2Fwww.webofscience.com%2Fwos%2Fwoscc%2Ffull-record%2FWOS:000278343200009","View Full Record in Web of Science")</f>
        <v>View Full Record in Web of Science</v>
      </c>
    </row>
    <row r="490" spans="1:72" x14ac:dyDescent="0.4">
      <c r="A490" t="s">
        <v>72</v>
      </c>
      <c r="B490" t="s">
        <v>3187</v>
      </c>
      <c r="C490" t="s">
        <v>74</v>
      </c>
      <c r="D490" t="s">
        <v>74</v>
      </c>
      <c r="E490" t="s">
        <v>74</v>
      </c>
      <c r="F490" t="s">
        <v>3188</v>
      </c>
      <c r="G490" t="s">
        <v>74</v>
      </c>
      <c r="H490" t="s">
        <v>74</v>
      </c>
      <c r="I490" t="s">
        <v>3189</v>
      </c>
      <c r="J490" t="s">
        <v>3190</v>
      </c>
      <c r="K490" t="s">
        <v>74</v>
      </c>
      <c r="L490" t="s">
        <v>74</v>
      </c>
      <c r="M490" t="s">
        <v>74</v>
      </c>
      <c r="N490" t="s">
        <v>74</v>
      </c>
      <c r="O490" t="s">
        <v>74</v>
      </c>
      <c r="P490" t="s">
        <v>74</v>
      </c>
      <c r="Q490" t="s">
        <v>74</v>
      </c>
      <c r="R490" t="s">
        <v>74</v>
      </c>
      <c r="S490" t="s">
        <v>74</v>
      </c>
      <c r="T490" t="s">
        <v>74</v>
      </c>
      <c r="U490" t="s">
        <v>74</v>
      </c>
      <c r="V490" s="3" t="s">
        <v>3191</v>
      </c>
      <c r="W490" t="s">
        <v>74</v>
      </c>
      <c r="X490" t="s">
        <v>74</v>
      </c>
      <c r="Y490" t="s">
        <v>74</v>
      </c>
      <c r="Z490" t="s">
        <v>74</v>
      </c>
      <c r="AA490" t="s">
        <v>3192</v>
      </c>
      <c r="AB490" t="s">
        <v>74</v>
      </c>
      <c r="AC490" t="s">
        <v>74</v>
      </c>
      <c r="AD490" t="s">
        <v>74</v>
      </c>
      <c r="AE490" t="s">
        <v>74</v>
      </c>
      <c r="AF490" t="s">
        <v>74</v>
      </c>
      <c r="AG490" t="s">
        <v>74</v>
      </c>
      <c r="AH490" t="s">
        <v>74</v>
      </c>
      <c r="AI490" t="s">
        <v>74</v>
      </c>
      <c r="AJ490" t="s">
        <v>74</v>
      </c>
      <c r="AK490" t="s">
        <v>74</v>
      </c>
      <c r="AL490" t="s">
        <v>74</v>
      </c>
      <c r="AM490" t="s">
        <v>74</v>
      </c>
      <c r="AN490" t="s">
        <v>74</v>
      </c>
      <c r="AO490" t="s">
        <v>3193</v>
      </c>
      <c r="AP490" t="s">
        <v>3194</v>
      </c>
      <c r="AQ490" t="s">
        <v>74</v>
      </c>
      <c r="AR490" t="s">
        <v>74</v>
      </c>
      <c r="AS490" t="s">
        <v>74</v>
      </c>
      <c r="AT490" t="s">
        <v>255</v>
      </c>
      <c r="AU490">
        <v>2011</v>
      </c>
      <c r="AV490">
        <v>40</v>
      </c>
      <c r="AW490">
        <v>1</v>
      </c>
      <c r="AX490" t="s">
        <v>74</v>
      </c>
      <c r="AY490" t="s">
        <v>74</v>
      </c>
      <c r="AZ490" t="s">
        <v>74</v>
      </c>
      <c r="BA490" t="s">
        <v>74</v>
      </c>
      <c r="BB490">
        <v>21</v>
      </c>
      <c r="BC490">
        <v>25</v>
      </c>
      <c r="BD490" t="s">
        <v>74</v>
      </c>
      <c r="BE490" t="s">
        <v>3195</v>
      </c>
      <c r="BF490" t="str">
        <f>HYPERLINK("http://dx.doi.org/10.1016/j.asd.2010.07.006","http://dx.doi.org/10.1016/j.asd.2010.07.006")</f>
        <v>http://dx.doi.org/10.1016/j.asd.2010.07.006</v>
      </c>
      <c r="BG490" t="s">
        <v>74</v>
      </c>
      <c r="BH490" t="s">
        <v>74</v>
      </c>
      <c r="BI490" t="s">
        <v>74</v>
      </c>
      <c r="BJ490" t="s">
        <v>74</v>
      </c>
      <c r="BK490" t="s">
        <v>74</v>
      </c>
      <c r="BL490" t="s">
        <v>74</v>
      </c>
      <c r="BM490" t="s">
        <v>74</v>
      </c>
      <c r="BN490">
        <v>20696270</v>
      </c>
      <c r="BO490" t="s">
        <v>74</v>
      </c>
      <c r="BP490" t="s">
        <v>74</v>
      </c>
      <c r="BQ490" t="s">
        <v>74</v>
      </c>
      <c r="BR490" t="s">
        <v>74</v>
      </c>
      <c r="BS490" t="s">
        <v>3196</v>
      </c>
      <c r="BT490" t="str">
        <f>HYPERLINK("https%3A%2F%2Fwww.webofscience.com%2Fwos%2Fwoscc%2Ffull-record%2FWOS:000286405700003","View Full Record in Web of Science")</f>
        <v>View Full Record in Web of Science</v>
      </c>
    </row>
    <row r="491" spans="1:72" x14ac:dyDescent="0.4">
      <c r="A491" t="s">
        <v>72</v>
      </c>
      <c r="B491" t="s">
        <v>3065</v>
      </c>
      <c r="C491" t="s">
        <v>74</v>
      </c>
      <c r="D491" t="s">
        <v>74</v>
      </c>
      <c r="E491" t="s">
        <v>74</v>
      </c>
      <c r="F491" t="s">
        <v>3066</v>
      </c>
      <c r="G491" t="s">
        <v>74</v>
      </c>
      <c r="H491" t="s">
        <v>74</v>
      </c>
      <c r="I491" t="s">
        <v>3067</v>
      </c>
      <c r="J491" t="s">
        <v>3068</v>
      </c>
      <c r="K491" t="s">
        <v>74</v>
      </c>
      <c r="L491" t="s">
        <v>74</v>
      </c>
      <c r="M491" t="s">
        <v>74</v>
      </c>
      <c r="N491" t="s">
        <v>74</v>
      </c>
      <c r="O491" t="s">
        <v>74</v>
      </c>
      <c r="P491" t="s">
        <v>74</v>
      </c>
      <c r="Q491" t="s">
        <v>74</v>
      </c>
      <c r="R491" t="s">
        <v>74</v>
      </c>
      <c r="S491" t="s">
        <v>74</v>
      </c>
      <c r="T491" t="s">
        <v>74</v>
      </c>
      <c r="U491" t="s">
        <v>74</v>
      </c>
      <c r="V491" s="3" t="s">
        <v>3069</v>
      </c>
      <c r="W491" t="s">
        <v>74</v>
      </c>
      <c r="X491" t="s">
        <v>74</v>
      </c>
      <c r="Y491" t="s">
        <v>74</v>
      </c>
      <c r="Z491" t="s">
        <v>74</v>
      </c>
      <c r="AA491" t="s">
        <v>3070</v>
      </c>
      <c r="AB491" t="s">
        <v>3071</v>
      </c>
      <c r="AC491" t="s">
        <v>74</v>
      </c>
      <c r="AD491" t="s">
        <v>74</v>
      </c>
      <c r="AE491" t="s">
        <v>74</v>
      </c>
      <c r="AF491" t="s">
        <v>74</v>
      </c>
      <c r="AG491" t="s">
        <v>74</v>
      </c>
      <c r="AH491" t="s">
        <v>74</v>
      </c>
      <c r="AI491" t="s">
        <v>74</v>
      </c>
      <c r="AJ491" t="s">
        <v>74</v>
      </c>
      <c r="AK491" t="s">
        <v>74</v>
      </c>
      <c r="AL491" t="s">
        <v>74</v>
      </c>
      <c r="AM491" t="s">
        <v>74</v>
      </c>
      <c r="AN491" t="s">
        <v>74</v>
      </c>
      <c r="AO491" t="s">
        <v>3072</v>
      </c>
      <c r="AP491" t="s">
        <v>3073</v>
      </c>
      <c r="AQ491" t="s">
        <v>74</v>
      </c>
      <c r="AR491" t="s">
        <v>74</v>
      </c>
      <c r="AS491" t="s">
        <v>74</v>
      </c>
      <c r="AT491" t="s">
        <v>102</v>
      </c>
      <c r="AU491">
        <v>2018</v>
      </c>
      <c r="AV491">
        <v>37</v>
      </c>
      <c r="AW491">
        <v>2</v>
      </c>
      <c r="AX491" t="s">
        <v>74</v>
      </c>
      <c r="AY491" t="s">
        <v>74</v>
      </c>
      <c r="AZ491" t="s">
        <v>74</v>
      </c>
      <c r="BA491" t="s">
        <v>74</v>
      </c>
      <c r="BB491">
        <v>423</v>
      </c>
      <c r="BC491">
        <v>430</v>
      </c>
      <c r="BD491" t="s">
        <v>74</v>
      </c>
      <c r="BE491" t="s">
        <v>3074</v>
      </c>
      <c r="BF491" t="str">
        <f>HYPERLINK("http://dx.doi.org/10.1007/s00338-018-1667-0","http://dx.doi.org/10.1007/s00338-018-1667-0")</f>
        <v>http://dx.doi.org/10.1007/s00338-018-1667-0</v>
      </c>
      <c r="BG491" t="s">
        <v>74</v>
      </c>
      <c r="BH491" t="s">
        <v>74</v>
      </c>
      <c r="BI491" t="s">
        <v>74</v>
      </c>
      <c r="BJ491" t="s">
        <v>74</v>
      </c>
      <c r="BK491" t="s">
        <v>74</v>
      </c>
      <c r="BL491" t="s">
        <v>74</v>
      </c>
      <c r="BM491" t="s">
        <v>74</v>
      </c>
      <c r="BN491" t="s">
        <v>74</v>
      </c>
      <c r="BO491" t="s">
        <v>74</v>
      </c>
      <c r="BP491" t="s">
        <v>74</v>
      </c>
      <c r="BQ491" t="s">
        <v>74</v>
      </c>
      <c r="BR491" t="s">
        <v>74</v>
      </c>
      <c r="BS491" t="s">
        <v>3075</v>
      </c>
      <c r="BT491" t="str">
        <f>HYPERLINK("https%3A%2F%2Fwww.webofscience.com%2Fwos%2Fwoscc%2Ffull-record%2FWOS:000432285500010","View Full Record in Web of Science")</f>
        <v>View Full Record in Web of Science</v>
      </c>
    </row>
    <row r="492" spans="1:72" x14ac:dyDescent="0.4">
      <c r="A492" t="s">
        <v>72</v>
      </c>
      <c r="B492" t="s">
        <v>2648</v>
      </c>
      <c r="C492" t="s">
        <v>74</v>
      </c>
      <c r="D492" t="s">
        <v>74</v>
      </c>
      <c r="E492" t="s">
        <v>74</v>
      </c>
      <c r="F492" t="s">
        <v>2649</v>
      </c>
      <c r="G492" t="s">
        <v>74</v>
      </c>
      <c r="H492" t="s">
        <v>74</v>
      </c>
      <c r="I492" t="s">
        <v>2650</v>
      </c>
      <c r="J492" t="s">
        <v>2651</v>
      </c>
      <c r="K492" t="s">
        <v>74</v>
      </c>
      <c r="L492" t="s">
        <v>74</v>
      </c>
      <c r="M492" t="s">
        <v>74</v>
      </c>
      <c r="N492" t="s">
        <v>74</v>
      </c>
      <c r="O492" t="s">
        <v>74</v>
      </c>
      <c r="P492" t="s">
        <v>74</v>
      </c>
      <c r="Q492" t="s">
        <v>74</v>
      </c>
      <c r="R492" t="s">
        <v>74</v>
      </c>
      <c r="S492" t="s">
        <v>74</v>
      </c>
      <c r="T492" t="s">
        <v>74</v>
      </c>
      <c r="U492" t="s">
        <v>74</v>
      </c>
      <c r="V492" s="3" t="s">
        <v>2652</v>
      </c>
      <c r="W492" t="s">
        <v>74</v>
      </c>
      <c r="X492" t="s">
        <v>74</v>
      </c>
      <c r="Y492" t="s">
        <v>74</v>
      </c>
      <c r="Z492" t="s">
        <v>74</v>
      </c>
      <c r="AA492" t="s">
        <v>2653</v>
      </c>
      <c r="AB492" t="s">
        <v>2654</v>
      </c>
      <c r="AC492" t="s">
        <v>74</v>
      </c>
      <c r="AD492" t="s">
        <v>74</v>
      </c>
      <c r="AE492" t="s">
        <v>74</v>
      </c>
      <c r="AF492" t="s">
        <v>74</v>
      </c>
      <c r="AG492" t="s">
        <v>74</v>
      </c>
      <c r="AH492" t="s">
        <v>74</v>
      </c>
      <c r="AI492" t="s">
        <v>74</v>
      </c>
      <c r="AJ492" t="s">
        <v>74</v>
      </c>
      <c r="AK492" t="s">
        <v>74</v>
      </c>
      <c r="AL492" t="s">
        <v>74</v>
      </c>
      <c r="AM492" t="s">
        <v>74</v>
      </c>
      <c r="AN492" t="s">
        <v>74</v>
      </c>
      <c r="AO492" t="s">
        <v>2655</v>
      </c>
      <c r="AP492" t="s">
        <v>2656</v>
      </c>
      <c r="AQ492" t="s">
        <v>74</v>
      </c>
      <c r="AR492" t="s">
        <v>74</v>
      </c>
      <c r="AS492" t="s">
        <v>74</v>
      </c>
      <c r="AT492" t="s">
        <v>204</v>
      </c>
      <c r="AU492">
        <v>2007</v>
      </c>
      <c r="AV492">
        <v>28</v>
      </c>
      <c r="AW492">
        <v>4</v>
      </c>
      <c r="AX492" t="s">
        <v>74</v>
      </c>
      <c r="AY492" t="s">
        <v>74</v>
      </c>
      <c r="AZ492" t="s">
        <v>74</v>
      </c>
      <c r="BA492" t="s">
        <v>74</v>
      </c>
      <c r="BB492">
        <v>285</v>
      </c>
      <c r="BC492">
        <v>293</v>
      </c>
      <c r="BD492" t="s">
        <v>74</v>
      </c>
      <c r="BE492" t="s">
        <v>2657</v>
      </c>
      <c r="BF492" t="str">
        <f>HYPERLINK("http://dx.doi.org/10.1016/j.evolhumbehav.2007.03.001","http://dx.doi.org/10.1016/j.evolhumbehav.2007.03.001")</f>
        <v>http://dx.doi.org/10.1016/j.evolhumbehav.2007.03.001</v>
      </c>
      <c r="BG492" t="s">
        <v>74</v>
      </c>
      <c r="BH492" t="s">
        <v>74</v>
      </c>
      <c r="BI492" t="s">
        <v>74</v>
      </c>
      <c r="BJ492" t="s">
        <v>74</v>
      </c>
      <c r="BK492" t="s">
        <v>74</v>
      </c>
      <c r="BL492" t="s">
        <v>74</v>
      </c>
      <c r="BM492" t="s">
        <v>74</v>
      </c>
      <c r="BN492" t="s">
        <v>74</v>
      </c>
      <c r="BO492" t="s">
        <v>74</v>
      </c>
      <c r="BP492" t="s">
        <v>74</v>
      </c>
      <c r="BQ492" t="s">
        <v>74</v>
      </c>
      <c r="BR492" t="s">
        <v>74</v>
      </c>
      <c r="BS492" t="s">
        <v>2658</v>
      </c>
      <c r="BT492" t="str">
        <f>HYPERLINK("https%3A%2F%2Fwww.webofscience.com%2Fwos%2Fwoscc%2Ffull-record%2FWOS:000247824100010","View Full Record in Web of Science")</f>
        <v>View Full Record in Web of Science</v>
      </c>
    </row>
    <row r="493" spans="1:72" x14ac:dyDescent="0.4">
      <c r="A493" t="s">
        <v>72</v>
      </c>
      <c r="B493" t="s">
        <v>5544</v>
      </c>
      <c r="C493" t="s">
        <v>74</v>
      </c>
      <c r="D493" t="s">
        <v>74</v>
      </c>
      <c r="E493" t="s">
        <v>74</v>
      </c>
      <c r="F493" t="s">
        <v>5544</v>
      </c>
      <c r="G493" t="s">
        <v>74</v>
      </c>
      <c r="H493" t="s">
        <v>74</v>
      </c>
      <c r="I493" t="s">
        <v>5545</v>
      </c>
      <c r="J493" t="s">
        <v>140</v>
      </c>
      <c r="K493" t="s">
        <v>74</v>
      </c>
      <c r="L493" t="s">
        <v>74</v>
      </c>
      <c r="M493" t="s">
        <v>74</v>
      </c>
      <c r="N493" t="s">
        <v>74</v>
      </c>
      <c r="O493" t="s">
        <v>74</v>
      </c>
      <c r="P493" t="s">
        <v>74</v>
      </c>
      <c r="Q493" t="s">
        <v>74</v>
      </c>
      <c r="R493" t="s">
        <v>74</v>
      </c>
      <c r="S493" t="s">
        <v>74</v>
      </c>
      <c r="T493" t="s">
        <v>74</v>
      </c>
      <c r="U493" t="s">
        <v>74</v>
      </c>
      <c r="V493" s="3" t="s">
        <v>5546</v>
      </c>
      <c r="W493" t="s">
        <v>74</v>
      </c>
      <c r="X493" t="s">
        <v>74</v>
      </c>
      <c r="Y493" t="s">
        <v>74</v>
      </c>
      <c r="Z493" t="s">
        <v>74</v>
      </c>
      <c r="AA493" t="s">
        <v>74</v>
      </c>
      <c r="AB493" t="s">
        <v>74</v>
      </c>
      <c r="AC493" t="s">
        <v>74</v>
      </c>
      <c r="AD493" t="s">
        <v>74</v>
      </c>
      <c r="AE493" t="s">
        <v>74</v>
      </c>
      <c r="AF493" t="s">
        <v>74</v>
      </c>
      <c r="AG493" t="s">
        <v>74</v>
      </c>
      <c r="AH493" t="s">
        <v>74</v>
      </c>
      <c r="AI493" t="s">
        <v>74</v>
      </c>
      <c r="AJ493" t="s">
        <v>74</v>
      </c>
      <c r="AK493" t="s">
        <v>74</v>
      </c>
      <c r="AL493" t="s">
        <v>74</v>
      </c>
      <c r="AM493" t="s">
        <v>74</v>
      </c>
      <c r="AN493" t="s">
        <v>74</v>
      </c>
      <c r="AO493" t="s">
        <v>143</v>
      </c>
      <c r="AP493" t="s">
        <v>144</v>
      </c>
      <c r="AQ493" t="s">
        <v>74</v>
      </c>
      <c r="AR493" t="s">
        <v>74</v>
      </c>
      <c r="AS493" t="s">
        <v>74</v>
      </c>
      <c r="AT493" t="s">
        <v>134</v>
      </c>
      <c r="AU493">
        <v>2004</v>
      </c>
      <c r="AV493">
        <v>67</v>
      </c>
      <c r="AW493" t="s">
        <v>74</v>
      </c>
      <c r="AX493">
        <v>5</v>
      </c>
      <c r="AY493" t="s">
        <v>74</v>
      </c>
      <c r="AZ493" t="s">
        <v>74</v>
      </c>
      <c r="BA493" t="s">
        <v>74</v>
      </c>
      <c r="BB493">
        <v>875</v>
      </c>
      <c r="BC493">
        <v>882</v>
      </c>
      <c r="BD493" t="s">
        <v>74</v>
      </c>
      <c r="BE493" t="s">
        <v>5547</v>
      </c>
      <c r="BF493" t="str">
        <f>HYPERLINK("http://dx.doi.org/10.1016/j.anbehav.2003.05.015","http://dx.doi.org/10.1016/j.anbehav.2003.05.015")</f>
        <v>http://dx.doi.org/10.1016/j.anbehav.2003.05.015</v>
      </c>
      <c r="BG493" t="s">
        <v>74</v>
      </c>
      <c r="BH493" t="s">
        <v>74</v>
      </c>
      <c r="BI493" t="s">
        <v>74</v>
      </c>
      <c r="BJ493" t="s">
        <v>74</v>
      </c>
      <c r="BK493" t="s">
        <v>74</v>
      </c>
      <c r="BL493" t="s">
        <v>74</v>
      </c>
      <c r="BM493" t="s">
        <v>74</v>
      </c>
      <c r="BN493" t="s">
        <v>74</v>
      </c>
      <c r="BO493" t="s">
        <v>74</v>
      </c>
      <c r="BP493" t="s">
        <v>74</v>
      </c>
      <c r="BQ493" t="s">
        <v>74</v>
      </c>
      <c r="BR493" t="s">
        <v>74</v>
      </c>
      <c r="BS493" t="s">
        <v>5548</v>
      </c>
      <c r="BT493" t="str">
        <f>HYPERLINK("https%3A%2F%2Fwww.webofscience.com%2Fwos%2Fwoscc%2Ffull-record%2FWOS:000221541600007","View Full Record in Web of Science")</f>
        <v>View Full Record in Web of Science</v>
      </c>
    </row>
    <row r="494" spans="1:72" x14ac:dyDescent="0.4">
      <c r="A494" t="s">
        <v>72</v>
      </c>
      <c r="B494" t="s">
        <v>4073</v>
      </c>
      <c r="C494" t="s">
        <v>74</v>
      </c>
      <c r="D494" t="s">
        <v>74</v>
      </c>
      <c r="E494" t="s">
        <v>74</v>
      </c>
      <c r="F494" t="s">
        <v>4073</v>
      </c>
      <c r="G494" t="s">
        <v>74</v>
      </c>
      <c r="H494" t="s">
        <v>74</v>
      </c>
      <c r="I494" t="s">
        <v>4074</v>
      </c>
      <c r="J494" t="s">
        <v>2847</v>
      </c>
      <c r="K494" t="s">
        <v>74</v>
      </c>
      <c r="L494" t="s">
        <v>74</v>
      </c>
      <c r="M494" t="s">
        <v>74</v>
      </c>
      <c r="N494" t="s">
        <v>74</v>
      </c>
      <c r="O494" t="s">
        <v>74</v>
      </c>
      <c r="P494" t="s">
        <v>74</v>
      </c>
      <c r="Q494" t="s">
        <v>74</v>
      </c>
      <c r="R494" t="s">
        <v>74</v>
      </c>
      <c r="S494" t="s">
        <v>74</v>
      </c>
      <c r="T494" t="s">
        <v>74</v>
      </c>
      <c r="U494" t="s">
        <v>74</v>
      </c>
      <c r="V494" s="3" t="s">
        <v>4075</v>
      </c>
      <c r="W494" t="s">
        <v>74</v>
      </c>
      <c r="X494" t="s">
        <v>74</v>
      </c>
      <c r="Y494" t="s">
        <v>74</v>
      </c>
      <c r="Z494" t="s">
        <v>74</v>
      </c>
      <c r="AA494" t="s">
        <v>74</v>
      </c>
      <c r="AB494" t="s">
        <v>74</v>
      </c>
      <c r="AC494" t="s">
        <v>74</v>
      </c>
      <c r="AD494" t="s">
        <v>74</v>
      </c>
      <c r="AE494" t="s">
        <v>74</v>
      </c>
      <c r="AF494" t="s">
        <v>74</v>
      </c>
      <c r="AG494" t="s">
        <v>74</v>
      </c>
      <c r="AH494" t="s">
        <v>74</v>
      </c>
      <c r="AI494" t="s">
        <v>74</v>
      </c>
      <c r="AJ494" t="s">
        <v>74</v>
      </c>
      <c r="AK494" t="s">
        <v>74</v>
      </c>
      <c r="AL494" t="s">
        <v>74</v>
      </c>
      <c r="AM494" t="s">
        <v>74</v>
      </c>
      <c r="AN494" t="s">
        <v>74</v>
      </c>
      <c r="AO494" t="s">
        <v>2849</v>
      </c>
      <c r="AP494" t="s">
        <v>74</v>
      </c>
      <c r="AQ494" t="s">
        <v>74</v>
      </c>
      <c r="AR494" t="s">
        <v>74</v>
      </c>
      <c r="AS494" t="s">
        <v>74</v>
      </c>
      <c r="AT494" t="s">
        <v>74</v>
      </c>
      <c r="AU494">
        <v>1991</v>
      </c>
      <c r="AV494">
        <v>153</v>
      </c>
      <c r="AW494">
        <v>1</v>
      </c>
      <c r="AX494" t="s">
        <v>74</v>
      </c>
      <c r="AY494" t="s">
        <v>74</v>
      </c>
      <c r="AZ494" t="s">
        <v>74</v>
      </c>
      <c r="BA494" t="s">
        <v>74</v>
      </c>
      <c r="BB494">
        <v>49</v>
      </c>
      <c r="BC494">
        <v>61</v>
      </c>
      <c r="BD494" t="s">
        <v>74</v>
      </c>
      <c r="BE494" t="s">
        <v>4076</v>
      </c>
      <c r="BF494" t="str">
        <f>HYPERLINK("http://dx.doi.org/10.1016/S0022-0981(05)80005-X","http://dx.doi.org/10.1016/S0022-0981(05)80005-X")</f>
        <v>http://dx.doi.org/10.1016/S0022-0981(05)80005-X</v>
      </c>
      <c r="BG494" t="s">
        <v>74</v>
      </c>
      <c r="BH494" t="s">
        <v>74</v>
      </c>
      <c r="BI494" t="s">
        <v>74</v>
      </c>
      <c r="BJ494" t="s">
        <v>74</v>
      </c>
      <c r="BK494" t="s">
        <v>74</v>
      </c>
      <c r="BL494" t="s">
        <v>74</v>
      </c>
      <c r="BM494" t="s">
        <v>74</v>
      </c>
      <c r="BN494" t="s">
        <v>74</v>
      </c>
      <c r="BO494" t="s">
        <v>74</v>
      </c>
      <c r="BP494" t="s">
        <v>74</v>
      </c>
      <c r="BQ494" t="s">
        <v>74</v>
      </c>
      <c r="BR494" t="s">
        <v>74</v>
      </c>
      <c r="BS494" t="s">
        <v>4077</v>
      </c>
      <c r="BT494" t="str">
        <f>HYPERLINK("https%3A%2F%2Fwww.webofscience.com%2Fwos%2Fwoscc%2Ffull-record%2FWOS:A1991GR91500004","View Full Record in Web of Science")</f>
        <v>View Full Record in Web of Science</v>
      </c>
    </row>
    <row r="495" spans="1:72" x14ac:dyDescent="0.4">
      <c r="A495" t="s">
        <v>72</v>
      </c>
      <c r="B495" t="s">
        <v>7694</v>
      </c>
      <c r="C495" t="s">
        <v>74</v>
      </c>
      <c r="D495" t="s">
        <v>74</v>
      </c>
      <c r="E495" t="s">
        <v>74</v>
      </c>
      <c r="F495" t="s">
        <v>7695</v>
      </c>
      <c r="G495" t="s">
        <v>74</v>
      </c>
      <c r="H495" t="s">
        <v>74</v>
      </c>
      <c r="I495" t="s">
        <v>7696</v>
      </c>
      <c r="J495" t="s">
        <v>4145</v>
      </c>
      <c r="K495" t="s">
        <v>74</v>
      </c>
      <c r="L495" t="s">
        <v>74</v>
      </c>
      <c r="M495" t="s">
        <v>74</v>
      </c>
      <c r="N495" t="s">
        <v>74</v>
      </c>
      <c r="O495" t="s">
        <v>74</v>
      </c>
      <c r="P495" t="s">
        <v>74</v>
      </c>
      <c r="Q495" t="s">
        <v>74</v>
      </c>
      <c r="R495" t="s">
        <v>74</v>
      </c>
      <c r="S495" t="s">
        <v>74</v>
      </c>
      <c r="T495" t="s">
        <v>74</v>
      </c>
      <c r="U495" t="s">
        <v>74</v>
      </c>
      <c r="V495" s="3" t="s">
        <v>7697</v>
      </c>
      <c r="W495" t="s">
        <v>74</v>
      </c>
      <c r="X495" t="s">
        <v>74</v>
      </c>
      <c r="Y495" t="s">
        <v>74</v>
      </c>
      <c r="Z495" t="s">
        <v>74</v>
      </c>
      <c r="AA495" t="s">
        <v>875</v>
      </c>
      <c r="AB495" t="s">
        <v>7698</v>
      </c>
      <c r="AC495" t="s">
        <v>74</v>
      </c>
      <c r="AD495" t="s">
        <v>74</v>
      </c>
      <c r="AE495" t="s">
        <v>74</v>
      </c>
      <c r="AF495" t="s">
        <v>74</v>
      </c>
      <c r="AG495" t="s">
        <v>74</v>
      </c>
      <c r="AH495" t="s">
        <v>74</v>
      </c>
      <c r="AI495" t="s">
        <v>74</v>
      </c>
      <c r="AJ495" t="s">
        <v>74</v>
      </c>
      <c r="AK495" t="s">
        <v>74</v>
      </c>
      <c r="AL495" t="s">
        <v>74</v>
      </c>
      <c r="AM495" t="s">
        <v>74</v>
      </c>
      <c r="AN495" t="s">
        <v>74</v>
      </c>
      <c r="AO495" t="s">
        <v>4147</v>
      </c>
      <c r="AP495" t="s">
        <v>7534</v>
      </c>
      <c r="AQ495" t="s">
        <v>74</v>
      </c>
      <c r="AR495" t="s">
        <v>74</v>
      </c>
      <c r="AS495" t="s">
        <v>74</v>
      </c>
      <c r="AT495" t="s">
        <v>204</v>
      </c>
      <c r="AU495">
        <v>2009</v>
      </c>
      <c r="AV495">
        <v>195</v>
      </c>
      <c r="AW495">
        <v>7</v>
      </c>
      <c r="AX495" t="s">
        <v>74</v>
      </c>
      <c r="AY495" t="s">
        <v>74</v>
      </c>
      <c r="AZ495" t="s">
        <v>74</v>
      </c>
      <c r="BA495" t="s">
        <v>74</v>
      </c>
      <c r="BB495">
        <v>619</v>
      </c>
      <c r="BC495">
        <v>630</v>
      </c>
      <c r="BD495" t="s">
        <v>74</v>
      </c>
      <c r="BE495" t="s">
        <v>7699</v>
      </c>
      <c r="BF495" t="str">
        <f>HYPERLINK("http://dx.doi.org/10.1007/s00359-009-0437-4","http://dx.doi.org/10.1007/s00359-009-0437-4")</f>
        <v>http://dx.doi.org/10.1007/s00359-009-0437-4</v>
      </c>
      <c r="BG495" t="s">
        <v>74</v>
      </c>
      <c r="BH495" t="s">
        <v>74</v>
      </c>
      <c r="BI495" t="s">
        <v>74</v>
      </c>
      <c r="BJ495" t="s">
        <v>74</v>
      </c>
      <c r="BK495" t="s">
        <v>74</v>
      </c>
      <c r="BL495" t="s">
        <v>74</v>
      </c>
      <c r="BM495" t="s">
        <v>74</v>
      </c>
      <c r="BN495">
        <v>19363614</v>
      </c>
      <c r="BO495" t="s">
        <v>74</v>
      </c>
      <c r="BP495" t="s">
        <v>74</v>
      </c>
      <c r="BQ495" t="s">
        <v>74</v>
      </c>
      <c r="BR495" t="s">
        <v>74</v>
      </c>
      <c r="BS495" t="s">
        <v>7700</v>
      </c>
      <c r="BT495" t="str">
        <f>HYPERLINK("https%3A%2F%2Fwww.webofscience.com%2Fwos%2Fwoscc%2Ffull-record%2FWOS:000267541400001","View Full Record in Web of Science")</f>
        <v>View Full Record in Web of Science</v>
      </c>
    </row>
    <row r="496" spans="1:72" x14ac:dyDescent="0.4">
      <c r="A496" t="s">
        <v>72</v>
      </c>
      <c r="B496" t="s">
        <v>8365</v>
      </c>
      <c r="C496" t="s">
        <v>74</v>
      </c>
      <c r="D496" t="s">
        <v>74</v>
      </c>
      <c r="E496" t="s">
        <v>74</v>
      </c>
      <c r="F496" t="s">
        <v>8366</v>
      </c>
      <c r="G496" t="s">
        <v>74</v>
      </c>
      <c r="H496" t="s">
        <v>74</v>
      </c>
      <c r="I496" t="s">
        <v>8367</v>
      </c>
      <c r="J496" t="s">
        <v>1635</v>
      </c>
      <c r="K496" t="s">
        <v>74</v>
      </c>
      <c r="L496" t="s">
        <v>74</v>
      </c>
      <c r="M496" t="s">
        <v>74</v>
      </c>
      <c r="N496" t="s">
        <v>74</v>
      </c>
      <c r="O496" t="s">
        <v>74</v>
      </c>
      <c r="P496" t="s">
        <v>74</v>
      </c>
      <c r="Q496" t="s">
        <v>74</v>
      </c>
      <c r="R496" t="s">
        <v>74</v>
      </c>
      <c r="S496" t="s">
        <v>74</v>
      </c>
      <c r="T496" t="s">
        <v>74</v>
      </c>
      <c r="U496" t="s">
        <v>74</v>
      </c>
      <c r="V496" s="3" t="s">
        <v>8368</v>
      </c>
      <c r="W496" t="s">
        <v>74</v>
      </c>
      <c r="X496" t="s">
        <v>74</v>
      </c>
      <c r="Y496" t="s">
        <v>74</v>
      </c>
      <c r="Z496" t="s">
        <v>74</v>
      </c>
      <c r="AA496" t="s">
        <v>74</v>
      </c>
      <c r="AB496" t="s">
        <v>8369</v>
      </c>
      <c r="AC496" t="s">
        <v>74</v>
      </c>
      <c r="AD496" t="s">
        <v>74</v>
      </c>
      <c r="AE496" t="s">
        <v>74</v>
      </c>
      <c r="AF496" t="s">
        <v>74</v>
      </c>
      <c r="AG496" t="s">
        <v>74</v>
      </c>
      <c r="AH496" t="s">
        <v>74</v>
      </c>
      <c r="AI496" t="s">
        <v>74</v>
      </c>
      <c r="AJ496" t="s">
        <v>74</v>
      </c>
      <c r="AK496" t="s">
        <v>74</v>
      </c>
      <c r="AL496" t="s">
        <v>74</v>
      </c>
      <c r="AM496" t="s">
        <v>74</v>
      </c>
      <c r="AN496" t="s">
        <v>74</v>
      </c>
      <c r="AO496" t="s">
        <v>1639</v>
      </c>
      <c r="AP496" t="s">
        <v>1640</v>
      </c>
      <c r="AQ496" t="s">
        <v>74</v>
      </c>
      <c r="AR496" t="s">
        <v>74</v>
      </c>
      <c r="AS496" t="s">
        <v>74</v>
      </c>
      <c r="AT496" t="s">
        <v>8370</v>
      </c>
      <c r="AU496">
        <v>2022</v>
      </c>
      <c r="AV496">
        <v>377</v>
      </c>
      <c r="AW496">
        <v>1858</v>
      </c>
      <c r="AX496" t="s">
        <v>74</v>
      </c>
      <c r="AY496" t="s">
        <v>74</v>
      </c>
      <c r="AZ496" t="s">
        <v>74</v>
      </c>
      <c r="BA496" t="s">
        <v>74</v>
      </c>
      <c r="BB496" t="s">
        <v>74</v>
      </c>
      <c r="BC496" t="s">
        <v>74</v>
      </c>
      <c r="BD496">
        <v>20210133</v>
      </c>
      <c r="BE496" t="s">
        <v>8371</v>
      </c>
      <c r="BF496" t="str">
        <f>HYPERLINK("http://dx.doi.org/10.1098/rstb.2021.0133","http://dx.doi.org/10.1098/rstb.2021.0133")</f>
        <v>http://dx.doi.org/10.1098/rstb.2021.0133</v>
      </c>
      <c r="BG496" t="s">
        <v>74</v>
      </c>
      <c r="BH496" t="s">
        <v>74</v>
      </c>
      <c r="BI496" t="s">
        <v>74</v>
      </c>
      <c r="BJ496" t="s">
        <v>74</v>
      </c>
      <c r="BK496" t="s">
        <v>74</v>
      </c>
      <c r="BL496" t="s">
        <v>74</v>
      </c>
      <c r="BM496" t="s">
        <v>74</v>
      </c>
      <c r="BN496">
        <v>35858095</v>
      </c>
      <c r="BO496" t="s">
        <v>74</v>
      </c>
      <c r="BP496" t="s">
        <v>74</v>
      </c>
      <c r="BQ496" t="s">
        <v>74</v>
      </c>
      <c r="BR496" t="s">
        <v>74</v>
      </c>
      <c r="BS496" t="s">
        <v>8372</v>
      </c>
      <c r="BT496" t="str">
        <f>HYPERLINK("https%3A%2F%2Fwww.webofscience.com%2Fwos%2Fwoscc%2Ffull-record%2FWOS:000823209300013","View Full Record in Web of Science")</f>
        <v>View Full Record in Web of Science</v>
      </c>
    </row>
    <row r="497" spans="1:72" x14ac:dyDescent="0.4">
      <c r="A497" t="s">
        <v>72</v>
      </c>
      <c r="B497" t="s">
        <v>1053</v>
      </c>
      <c r="C497" t="s">
        <v>74</v>
      </c>
      <c r="D497" t="s">
        <v>74</v>
      </c>
      <c r="E497" t="s">
        <v>74</v>
      </c>
      <c r="F497" t="s">
        <v>1054</v>
      </c>
      <c r="G497" t="s">
        <v>74</v>
      </c>
      <c r="H497" t="s">
        <v>74</v>
      </c>
      <c r="I497" t="s">
        <v>1055</v>
      </c>
      <c r="J497" t="s">
        <v>218</v>
      </c>
      <c r="K497" t="s">
        <v>74</v>
      </c>
      <c r="L497" t="s">
        <v>74</v>
      </c>
      <c r="M497" t="s">
        <v>74</v>
      </c>
      <c r="N497" t="s">
        <v>74</v>
      </c>
      <c r="O497" t="s">
        <v>74</v>
      </c>
      <c r="P497" t="s">
        <v>74</v>
      </c>
      <c r="Q497" t="s">
        <v>74</v>
      </c>
      <c r="R497" t="s">
        <v>74</v>
      </c>
      <c r="S497" t="s">
        <v>74</v>
      </c>
      <c r="T497" t="s">
        <v>74</v>
      </c>
      <c r="U497" t="s">
        <v>74</v>
      </c>
      <c r="V497" s="3" t="s">
        <v>1056</v>
      </c>
      <c r="W497" t="s">
        <v>74</v>
      </c>
      <c r="X497" t="s">
        <v>74</v>
      </c>
      <c r="Y497" t="s">
        <v>74</v>
      </c>
      <c r="Z497" t="s">
        <v>74</v>
      </c>
      <c r="AA497" t="s">
        <v>74</v>
      </c>
      <c r="AB497" t="s">
        <v>74</v>
      </c>
      <c r="AC497" t="s">
        <v>74</v>
      </c>
      <c r="AD497" t="s">
        <v>74</v>
      </c>
      <c r="AE497" t="s">
        <v>74</v>
      </c>
      <c r="AF497" t="s">
        <v>74</v>
      </c>
      <c r="AG497" t="s">
        <v>74</v>
      </c>
      <c r="AH497" t="s">
        <v>74</v>
      </c>
      <c r="AI497" t="s">
        <v>74</v>
      </c>
      <c r="AJ497" t="s">
        <v>74</v>
      </c>
      <c r="AK497" t="s">
        <v>74</v>
      </c>
      <c r="AL497" t="s">
        <v>74</v>
      </c>
      <c r="AM497" t="s">
        <v>74</v>
      </c>
      <c r="AN497" t="s">
        <v>74</v>
      </c>
      <c r="AO497" t="s">
        <v>221</v>
      </c>
      <c r="AP497" t="s">
        <v>222</v>
      </c>
      <c r="AQ497" t="s">
        <v>74</v>
      </c>
      <c r="AR497" t="s">
        <v>74</v>
      </c>
      <c r="AS497" t="s">
        <v>74</v>
      </c>
      <c r="AT497" t="s">
        <v>145</v>
      </c>
      <c r="AU497">
        <v>2020</v>
      </c>
      <c r="AV497">
        <v>33</v>
      </c>
      <c r="AW497">
        <v>8</v>
      </c>
      <c r="AX497" t="s">
        <v>74</v>
      </c>
      <c r="AY497" t="s">
        <v>74</v>
      </c>
      <c r="AZ497" t="s">
        <v>74</v>
      </c>
      <c r="BA497" t="s">
        <v>74</v>
      </c>
      <c r="BB497">
        <v>1028</v>
      </c>
      <c r="BC497">
        <v>1038</v>
      </c>
      <c r="BD497" t="s">
        <v>74</v>
      </c>
      <c r="BE497" t="s">
        <v>1057</v>
      </c>
      <c r="BF497" t="str">
        <f>HYPERLINK("http://dx.doi.org/10.1111/jeb.13657","http://dx.doi.org/10.1111/jeb.13657")</f>
        <v>http://dx.doi.org/10.1111/jeb.13657</v>
      </c>
      <c r="BG497" t="s">
        <v>74</v>
      </c>
      <c r="BH497" t="s">
        <v>1058</v>
      </c>
      <c r="BI497" t="s">
        <v>74</v>
      </c>
      <c r="BJ497" t="s">
        <v>74</v>
      </c>
      <c r="BK497" t="s">
        <v>74</v>
      </c>
      <c r="BL497" t="s">
        <v>74</v>
      </c>
      <c r="BM497" t="s">
        <v>74</v>
      </c>
      <c r="BN497">
        <v>32500947</v>
      </c>
      <c r="BO497" t="s">
        <v>74</v>
      </c>
      <c r="BP497" t="s">
        <v>74</v>
      </c>
      <c r="BQ497" t="s">
        <v>74</v>
      </c>
      <c r="BR497" t="s">
        <v>74</v>
      </c>
      <c r="BS497" t="s">
        <v>1059</v>
      </c>
      <c r="BT497" t="str">
        <f>HYPERLINK("https%3A%2F%2Fwww.webofscience.com%2Fwos%2Fwoscc%2Ffull-record%2FWOS:000545247500001","View Full Record in Web of Science")</f>
        <v>View Full Record in Web of Science</v>
      </c>
    </row>
    <row r="498" spans="1:72" x14ac:dyDescent="0.4">
      <c r="A498" t="s">
        <v>72</v>
      </c>
      <c r="B498" t="s">
        <v>1443</v>
      </c>
      <c r="C498" t="s">
        <v>74</v>
      </c>
      <c r="D498" t="s">
        <v>74</v>
      </c>
      <c r="E498" t="s">
        <v>74</v>
      </c>
      <c r="F498" t="s">
        <v>1444</v>
      </c>
      <c r="G498" t="s">
        <v>74</v>
      </c>
      <c r="H498" t="s">
        <v>74</v>
      </c>
      <c r="I498" t="s">
        <v>1445</v>
      </c>
      <c r="J498" t="s">
        <v>1446</v>
      </c>
      <c r="K498" t="s">
        <v>74</v>
      </c>
      <c r="L498" t="s">
        <v>74</v>
      </c>
      <c r="M498" t="s">
        <v>74</v>
      </c>
      <c r="N498" t="s">
        <v>74</v>
      </c>
      <c r="O498" t="s">
        <v>74</v>
      </c>
      <c r="P498" t="s">
        <v>74</v>
      </c>
      <c r="Q498" t="s">
        <v>74</v>
      </c>
      <c r="R498" t="s">
        <v>74</v>
      </c>
      <c r="S498" t="s">
        <v>74</v>
      </c>
      <c r="T498" t="s">
        <v>74</v>
      </c>
      <c r="U498" t="s">
        <v>74</v>
      </c>
      <c r="V498" s="3" t="s">
        <v>1447</v>
      </c>
      <c r="W498" t="s">
        <v>74</v>
      </c>
      <c r="X498" t="s">
        <v>74</v>
      </c>
      <c r="Y498" t="s">
        <v>74</v>
      </c>
      <c r="Z498" t="s">
        <v>74</v>
      </c>
      <c r="AA498" t="s">
        <v>74</v>
      </c>
      <c r="AB498" t="s">
        <v>1448</v>
      </c>
      <c r="AC498" t="s">
        <v>74</v>
      </c>
      <c r="AD498" t="s">
        <v>74</v>
      </c>
      <c r="AE498" t="s">
        <v>74</v>
      </c>
      <c r="AF498" t="s">
        <v>74</v>
      </c>
      <c r="AG498" t="s">
        <v>74</v>
      </c>
      <c r="AH498" t="s">
        <v>74</v>
      </c>
      <c r="AI498" t="s">
        <v>74</v>
      </c>
      <c r="AJ498" t="s">
        <v>74</v>
      </c>
      <c r="AK498" t="s">
        <v>74</v>
      </c>
      <c r="AL498" t="s">
        <v>74</v>
      </c>
      <c r="AM498" t="s">
        <v>74</v>
      </c>
      <c r="AN498" t="s">
        <v>74</v>
      </c>
      <c r="AO498" t="s">
        <v>74</v>
      </c>
      <c r="AP498" t="s">
        <v>1449</v>
      </c>
      <c r="AQ498" t="s">
        <v>74</v>
      </c>
      <c r="AR498" t="s">
        <v>74</v>
      </c>
      <c r="AS498" t="s">
        <v>74</v>
      </c>
      <c r="AT498" t="s">
        <v>361</v>
      </c>
      <c r="AU498">
        <v>2021</v>
      </c>
      <c r="AV498">
        <v>6</v>
      </c>
      <c r="AW498">
        <v>1</v>
      </c>
      <c r="AX498" t="s">
        <v>74</v>
      </c>
      <c r="AY498" t="s">
        <v>74</v>
      </c>
      <c r="AZ498" t="s">
        <v>74</v>
      </c>
      <c r="BA498" t="s">
        <v>74</v>
      </c>
      <c r="BB498" t="s">
        <v>74</v>
      </c>
      <c r="BC498" t="s">
        <v>74</v>
      </c>
      <c r="BD498">
        <v>9</v>
      </c>
      <c r="BE498" t="s">
        <v>1450</v>
      </c>
      <c r="BF498" t="str">
        <f>HYPERLINK("http://dx.doi.org/10.1186/s40850-021-00075-9","http://dx.doi.org/10.1186/s40850-021-00075-9")</f>
        <v>http://dx.doi.org/10.1186/s40850-021-00075-9</v>
      </c>
      <c r="BG498" t="s">
        <v>74</v>
      </c>
      <c r="BH498" t="s">
        <v>74</v>
      </c>
      <c r="BI498" t="s">
        <v>74</v>
      </c>
      <c r="BJ498" t="s">
        <v>74</v>
      </c>
      <c r="BK498" t="s">
        <v>74</v>
      </c>
      <c r="BL498" t="s">
        <v>74</v>
      </c>
      <c r="BM498" t="s">
        <v>74</v>
      </c>
      <c r="BN498">
        <v>37170176</v>
      </c>
      <c r="BO498" t="s">
        <v>74</v>
      </c>
      <c r="BP498" t="s">
        <v>74</v>
      </c>
      <c r="BQ498" t="s">
        <v>74</v>
      </c>
      <c r="BR498" t="s">
        <v>74</v>
      </c>
      <c r="BS498" t="s">
        <v>1451</v>
      </c>
      <c r="BT498" t="str">
        <f>HYPERLINK("https%3A%2F%2Fwww.webofscience.com%2Fwos%2Fwoscc%2Ffull-record%2FWOS:000646554600001","View Full Record in Web of Science")</f>
        <v>View Full Record in Web of Science</v>
      </c>
    </row>
    <row r="499" spans="1:72" x14ac:dyDescent="0.4">
      <c r="A499" t="s">
        <v>72</v>
      </c>
      <c r="B499" t="s">
        <v>6055</v>
      </c>
      <c r="C499" t="s">
        <v>74</v>
      </c>
      <c r="D499" t="s">
        <v>74</v>
      </c>
      <c r="E499" t="s">
        <v>74</v>
      </c>
      <c r="F499" t="s">
        <v>6056</v>
      </c>
      <c r="G499" t="s">
        <v>74</v>
      </c>
      <c r="H499" t="s">
        <v>74</v>
      </c>
      <c r="I499" t="s">
        <v>6057</v>
      </c>
      <c r="J499" t="s">
        <v>333</v>
      </c>
      <c r="K499" t="s">
        <v>74</v>
      </c>
      <c r="L499" t="s">
        <v>74</v>
      </c>
      <c r="M499" t="s">
        <v>74</v>
      </c>
      <c r="N499" t="s">
        <v>74</v>
      </c>
      <c r="O499" t="s">
        <v>74</v>
      </c>
      <c r="P499" t="s">
        <v>74</v>
      </c>
      <c r="Q499" t="s">
        <v>74</v>
      </c>
      <c r="R499" t="s">
        <v>74</v>
      </c>
      <c r="S499" t="s">
        <v>74</v>
      </c>
      <c r="T499" t="s">
        <v>74</v>
      </c>
      <c r="U499" t="s">
        <v>74</v>
      </c>
      <c r="V499" s="3" t="s">
        <v>6058</v>
      </c>
      <c r="W499" t="s">
        <v>74</v>
      </c>
      <c r="X499" t="s">
        <v>74</v>
      </c>
      <c r="Y499" t="s">
        <v>74</v>
      </c>
      <c r="Z499" t="s">
        <v>74</v>
      </c>
      <c r="AA499" t="s">
        <v>74</v>
      </c>
      <c r="AB499" t="s">
        <v>3514</v>
      </c>
      <c r="AC499" t="s">
        <v>74</v>
      </c>
      <c r="AD499" t="s">
        <v>74</v>
      </c>
      <c r="AE499" t="s">
        <v>74</v>
      </c>
      <c r="AF499" t="s">
        <v>74</v>
      </c>
      <c r="AG499" t="s">
        <v>74</v>
      </c>
      <c r="AH499" t="s">
        <v>74</v>
      </c>
      <c r="AI499" t="s">
        <v>74</v>
      </c>
      <c r="AJ499" t="s">
        <v>74</v>
      </c>
      <c r="AK499" t="s">
        <v>74</v>
      </c>
      <c r="AL499" t="s">
        <v>74</v>
      </c>
      <c r="AM499" t="s">
        <v>74</v>
      </c>
      <c r="AN499" t="s">
        <v>74</v>
      </c>
      <c r="AO499" t="s">
        <v>337</v>
      </c>
      <c r="AP499" t="s">
        <v>338</v>
      </c>
      <c r="AQ499" t="s">
        <v>74</v>
      </c>
      <c r="AR499" t="s">
        <v>74</v>
      </c>
      <c r="AS499" t="s">
        <v>74</v>
      </c>
      <c r="AT499" t="s">
        <v>1475</v>
      </c>
      <c r="AU499">
        <v>2015</v>
      </c>
      <c r="AV499">
        <v>26</v>
      </c>
      <c r="AW499">
        <v>1</v>
      </c>
      <c r="AX499" t="s">
        <v>74</v>
      </c>
      <c r="AY499" t="s">
        <v>74</v>
      </c>
      <c r="AZ499" t="s">
        <v>74</v>
      </c>
      <c r="BA499" t="s">
        <v>74</v>
      </c>
      <c r="BB499">
        <v>158</v>
      </c>
      <c r="BC499">
        <v>167</v>
      </c>
      <c r="BD499" t="s">
        <v>74</v>
      </c>
      <c r="BE499" t="s">
        <v>6059</v>
      </c>
      <c r="BF499" t="str">
        <f>HYPERLINK("http://dx.doi.org/10.1093/beheco/aru164","http://dx.doi.org/10.1093/beheco/aru164")</f>
        <v>http://dx.doi.org/10.1093/beheco/aru164</v>
      </c>
      <c r="BG499" t="s">
        <v>74</v>
      </c>
      <c r="BH499" t="s">
        <v>74</v>
      </c>
      <c r="BI499" t="s">
        <v>74</v>
      </c>
      <c r="BJ499" t="s">
        <v>74</v>
      </c>
      <c r="BK499" t="s">
        <v>74</v>
      </c>
      <c r="BL499" t="s">
        <v>74</v>
      </c>
      <c r="BM499" t="s">
        <v>74</v>
      </c>
      <c r="BN499" t="s">
        <v>74</v>
      </c>
      <c r="BO499" t="s">
        <v>74</v>
      </c>
      <c r="BP499" t="s">
        <v>74</v>
      </c>
      <c r="BQ499" t="s">
        <v>74</v>
      </c>
      <c r="BR499" t="s">
        <v>74</v>
      </c>
      <c r="BS499" t="s">
        <v>6060</v>
      </c>
      <c r="BT499" t="str">
        <f>HYPERLINK("https%3A%2F%2Fwww.webofscience.com%2Fwos%2Fwoscc%2Ffull-record%2FWOS:000351929300022","View Full Record in Web of Science")</f>
        <v>View Full Record in Web of Science</v>
      </c>
    </row>
    <row r="500" spans="1:72" x14ac:dyDescent="0.4">
      <c r="A500" t="s">
        <v>72</v>
      </c>
      <c r="B500" t="s">
        <v>5411</v>
      </c>
      <c r="C500" t="s">
        <v>74</v>
      </c>
      <c r="D500" t="s">
        <v>74</v>
      </c>
      <c r="E500" t="s">
        <v>74</v>
      </c>
      <c r="F500" t="s">
        <v>5411</v>
      </c>
      <c r="G500" t="s">
        <v>74</v>
      </c>
      <c r="H500" t="s">
        <v>74</v>
      </c>
      <c r="I500" t="s">
        <v>5412</v>
      </c>
      <c r="J500" t="s">
        <v>171</v>
      </c>
      <c r="K500" t="s">
        <v>74</v>
      </c>
      <c r="L500" t="s">
        <v>74</v>
      </c>
      <c r="M500" t="s">
        <v>74</v>
      </c>
      <c r="N500" t="s">
        <v>74</v>
      </c>
      <c r="O500" t="s">
        <v>74</v>
      </c>
      <c r="P500" t="s">
        <v>74</v>
      </c>
      <c r="Q500" t="s">
        <v>74</v>
      </c>
      <c r="R500" t="s">
        <v>74</v>
      </c>
      <c r="S500" t="s">
        <v>74</v>
      </c>
      <c r="T500" t="s">
        <v>74</v>
      </c>
      <c r="U500" t="s">
        <v>74</v>
      </c>
      <c r="V500" s="3" t="s">
        <v>5413</v>
      </c>
      <c r="W500" t="s">
        <v>74</v>
      </c>
      <c r="X500" t="s">
        <v>74</v>
      </c>
      <c r="Y500" t="s">
        <v>74</v>
      </c>
      <c r="Z500" t="s">
        <v>74</v>
      </c>
      <c r="AA500" t="s">
        <v>74</v>
      </c>
      <c r="AB500" t="s">
        <v>74</v>
      </c>
      <c r="AC500" t="s">
        <v>74</v>
      </c>
      <c r="AD500" t="s">
        <v>74</v>
      </c>
      <c r="AE500" t="s">
        <v>74</v>
      </c>
      <c r="AF500" t="s">
        <v>74</v>
      </c>
      <c r="AG500" t="s">
        <v>74</v>
      </c>
      <c r="AH500" t="s">
        <v>74</v>
      </c>
      <c r="AI500" t="s">
        <v>74</v>
      </c>
      <c r="AJ500" t="s">
        <v>74</v>
      </c>
      <c r="AK500" t="s">
        <v>74</v>
      </c>
      <c r="AL500" t="s">
        <v>74</v>
      </c>
      <c r="AM500" t="s">
        <v>74</v>
      </c>
      <c r="AN500" t="s">
        <v>74</v>
      </c>
      <c r="AO500" t="s">
        <v>173</v>
      </c>
      <c r="AP500" t="s">
        <v>174</v>
      </c>
      <c r="AQ500" t="s">
        <v>74</v>
      </c>
      <c r="AR500" t="s">
        <v>74</v>
      </c>
      <c r="AS500" t="s">
        <v>74</v>
      </c>
      <c r="AT500" t="s">
        <v>74</v>
      </c>
      <c r="AU500">
        <v>1964</v>
      </c>
      <c r="AV500">
        <v>18</v>
      </c>
      <c r="AW500">
        <v>1</v>
      </c>
      <c r="AX500" t="s">
        <v>74</v>
      </c>
      <c r="AY500" t="s">
        <v>74</v>
      </c>
      <c r="AZ500" t="s">
        <v>74</v>
      </c>
      <c r="BA500" t="s">
        <v>74</v>
      </c>
      <c r="BB500">
        <v>89</v>
      </c>
      <c r="BC500" t="s">
        <v>726</v>
      </c>
      <c r="BD500" t="s">
        <v>74</v>
      </c>
      <c r="BE500" t="s">
        <v>5414</v>
      </c>
      <c r="BF500" t="str">
        <f>HYPERLINK("http://dx.doi.org/10.2307/2406422","http://dx.doi.org/10.2307/2406422")</f>
        <v>http://dx.doi.org/10.2307/2406422</v>
      </c>
      <c r="BG500" t="s">
        <v>74</v>
      </c>
      <c r="BH500" t="s">
        <v>74</v>
      </c>
      <c r="BI500" t="s">
        <v>74</v>
      </c>
      <c r="BJ500" t="s">
        <v>74</v>
      </c>
      <c r="BK500" t="s">
        <v>74</v>
      </c>
      <c r="BL500" t="s">
        <v>74</v>
      </c>
      <c r="BM500" t="s">
        <v>74</v>
      </c>
      <c r="BN500" t="s">
        <v>74</v>
      </c>
      <c r="BO500" t="s">
        <v>74</v>
      </c>
      <c r="BP500" t="s">
        <v>74</v>
      </c>
      <c r="BQ500" t="s">
        <v>74</v>
      </c>
      <c r="BR500" t="s">
        <v>74</v>
      </c>
      <c r="BS500" t="s">
        <v>5415</v>
      </c>
      <c r="BT500" t="str">
        <f>HYPERLINK("https%3A%2F%2Fwww.webofscience.com%2Fwos%2Fwoscc%2Ffull-record%2FWOS:A1964AV73200005","View Full Record in Web of Science")</f>
        <v>View Full Record in Web of Science</v>
      </c>
    </row>
    <row r="501" spans="1:72" x14ac:dyDescent="0.4">
      <c r="A501" t="s">
        <v>72</v>
      </c>
      <c r="B501" t="s">
        <v>5778</v>
      </c>
      <c r="C501" t="s">
        <v>74</v>
      </c>
      <c r="D501" t="s">
        <v>74</v>
      </c>
      <c r="E501" t="s">
        <v>74</v>
      </c>
      <c r="F501" t="s">
        <v>5779</v>
      </c>
      <c r="G501" t="s">
        <v>74</v>
      </c>
      <c r="H501" t="s">
        <v>74</v>
      </c>
      <c r="I501" t="s">
        <v>5780</v>
      </c>
      <c r="J501" t="s">
        <v>1656</v>
      </c>
      <c r="K501" t="s">
        <v>74</v>
      </c>
      <c r="L501" t="s">
        <v>74</v>
      </c>
      <c r="M501" t="s">
        <v>74</v>
      </c>
      <c r="N501" t="s">
        <v>74</v>
      </c>
      <c r="O501" t="s">
        <v>74</v>
      </c>
      <c r="P501" t="s">
        <v>74</v>
      </c>
      <c r="Q501" t="s">
        <v>74</v>
      </c>
      <c r="R501" t="s">
        <v>74</v>
      </c>
      <c r="S501" t="s">
        <v>74</v>
      </c>
      <c r="T501" t="s">
        <v>74</v>
      </c>
      <c r="U501" t="s">
        <v>74</v>
      </c>
      <c r="V501" s="3" t="s">
        <v>5781</v>
      </c>
      <c r="W501" t="s">
        <v>74</v>
      </c>
      <c r="X501" t="s">
        <v>74</v>
      </c>
      <c r="Y501" t="s">
        <v>74</v>
      </c>
      <c r="Z501" t="s">
        <v>74</v>
      </c>
      <c r="AA501" t="s">
        <v>5782</v>
      </c>
      <c r="AB501" t="s">
        <v>5783</v>
      </c>
      <c r="AC501" t="s">
        <v>74</v>
      </c>
      <c r="AD501" t="s">
        <v>74</v>
      </c>
      <c r="AE501" t="s">
        <v>74</v>
      </c>
      <c r="AF501" t="s">
        <v>74</v>
      </c>
      <c r="AG501" t="s">
        <v>74</v>
      </c>
      <c r="AH501" t="s">
        <v>74</v>
      </c>
      <c r="AI501" t="s">
        <v>74</v>
      </c>
      <c r="AJ501" t="s">
        <v>74</v>
      </c>
      <c r="AK501" t="s">
        <v>74</v>
      </c>
      <c r="AL501" t="s">
        <v>74</v>
      </c>
      <c r="AM501" t="s">
        <v>74</v>
      </c>
      <c r="AN501" t="s">
        <v>74</v>
      </c>
      <c r="AO501" t="s">
        <v>1658</v>
      </c>
      <c r="AP501" t="s">
        <v>1659</v>
      </c>
      <c r="AQ501" t="s">
        <v>74</v>
      </c>
      <c r="AR501" t="s">
        <v>74</v>
      </c>
      <c r="AS501" t="s">
        <v>74</v>
      </c>
      <c r="AT501" t="s">
        <v>1146</v>
      </c>
      <c r="AU501">
        <v>2012</v>
      </c>
      <c r="AV501" t="s">
        <v>74</v>
      </c>
      <c r="AW501">
        <v>3406</v>
      </c>
      <c r="AX501" t="s">
        <v>74</v>
      </c>
      <c r="AY501" t="s">
        <v>74</v>
      </c>
      <c r="AZ501" t="s">
        <v>74</v>
      </c>
      <c r="BA501" t="s">
        <v>74</v>
      </c>
      <c r="BB501">
        <v>39</v>
      </c>
      <c r="BC501">
        <v>58</v>
      </c>
      <c r="BD501" t="s">
        <v>74</v>
      </c>
      <c r="BE501" t="s">
        <v>74</v>
      </c>
      <c r="BF501" t="s">
        <v>74</v>
      </c>
      <c r="BG501" t="s">
        <v>74</v>
      </c>
      <c r="BH501" t="s">
        <v>74</v>
      </c>
      <c r="BI501" t="s">
        <v>74</v>
      </c>
      <c r="BJ501" t="s">
        <v>74</v>
      </c>
      <c r="BK501" t="s">
        <v>74</v>
      </c>
      <c r="BL501" t="s">
        <v>74</v>
      </c>
      <c r="BM501" t="s">
        <v>74</v>
      </c>
      <c r="BN501" t="s">
        <v>74</v>
      </c>
      <c r="BO501" t="s">
        <v>74</v>
      </c>
      <c r="BP501" t="s">
        <v>74</v>
      </c>
      <c r="BQ501" t="s">
        <v>74</v>
      </c>
      <c r="BR501" t="s">
        <v>74</v>
      </c>
      <c r="BS501" t="s">
        <v>5784</v>
      </c>
      <c r="BT501" t="str">
        <f>HYPERLINK("https%3A%2F%2Fwww.webofscience.com%2Fwos%2Fwoscc%2Ffull-record%2FWOS:000306952500003","View Full Record in Web of Science")</f>
        <v>View Full Record in Web of Science</v>
      </c>
    </row>
    <row r="502" spans="1:72" x14ac:dyDescent="0.4">
      <c r="A502" t="s">
        <v>72</v>
      </c>
      <c r="B502" t="s">
        <v>5461</v>
      </c>
      <c r="C502" t="s">
        <v>74</v>
      </c>
      <c r="D502" t="s">
        <v>74</v>
      </c>
      <c r="E502" t="s">
        <v>74</v>
      </c>
      <c r="F502" t="s">
        <v>5461</v>
      </c>
      <c r="G502" t="s">
        <v>74</v>
      </c>
      <c r="H502" t="s">
        <v>74</v>
      </c>
      <c r="I502" t="s">
        <v>5462</v>
      </c>
      <c r="J502" t="s">
        <v>3068</v>
      </c>
      <c r="K502" t="s">
        <v>74</v>
      </c>
      <c r="L502" t="s">
        <v>74</v>
      </c>
      <c r="M502" t="s">
        <v>74</v>
      </c>
      <c r="N502" t="s">
        <v>74</v>
      </c>
      <c r="O502" t="s">
        <v>74</v>
      </c>
      <c r="P502" t="s">
        <v>74</v>
      </c>
      <c r="Q502" t="s">
        <v>74</v>
      </c>
      <c r="R502" t="s">
        <v>74</v>
      </c>
      <c r="S502" t="s">
        <v>74</v>
      </c>
      <c r="T502" t="s">
        <v>74</v>
      </c>
      <c r="U502" t="s">
        <v>74</v>
      </c>
      <c r="V502" s="3" t="s">
        <v>5463</v>
      </c>
      <c r="W502" t="s">
        <v>74</v>
      </c>
      <c r="X502" t="s">
        <v>74</v>
      </c>
      <c r="Y502" t="s">
        <v>74</v>
      </c>
      <c r="Z502" t="s">
        <v>74</v>
      </c>
      <c r="AA502" t="s">
        <v>5464</v>
      </c>
      <c r="AB502" t="s">
        <v>74</v>
      </c>
      <c r="AC502" t="s">
        <v>74</v>
      </c>
      <c r="AD502" t="s">
        <v>74</v>
      </c>
      <c r="AE502" t="s">
        <v>74</v>
      </c>
      <c r="AF502" t="s">
        <v>74</v>
      </c>
      <c r="AG502" t="s">
        <v>74</v>
      </c>
      <c r="AH502" t="s">
        <v>74</v>
      </c>
      <c r="AI502" t="s">
        <v>74</v>
      </c>
      <c r="AJ502" t="s">
        <v>74</v>
      </c>
      <c r="AK502" t="s">
        <v>74</v>
      </c>
      <c r="AL502" t="s">
        <v>74</v>
      </c>
      <c r="AM502" t="s">
        <v>74</v>
      </c>
      <c r="AN502" t="s">
        <v>74</v>
      </c>
      <c r="AO502" t="s">
        <v>3072</v>
      </c>
      <c r="AP502" t="s">
        <v>74</v>
      </c>
      <c r="AQ502" t="s">
        <v>74</v>
      </c>
      <c r="AR502" t="s">
        <v>74</v>
      </c>
      <c r="AS502" t="s">
        <v>74</v>
      </c>
      <c r="AT502" t="s">
        <v>134</v>
      </c>
      <c r="AU502">
        <v>1995</v>
      </c>
      <c r="AV502">
        <v>14</v>
      </c>
      <c r="AW502">
        <v>2</v>
      </c>
      <c r="AX502" t="s">
        <v>74</v>
      </c>
      <c r="AY502" t="s">
        <v>74</v>
      </c>
      <c r="AZ502" t="s">
        <v>74</v>
      </c>
      <c r="BA502" t="s">
        <v>74</v>
      </c>
      <c r="BB502">
        <v>71</v>
      </c>
      <c r="BC502">
        <v>78</v>
      </c>
      <c r="BD502" t="s">
        <v>74</v>
      </c>
      <c r="BE502" t="s">
        <v>5465</v>
      </c>
      <c r="BF502" t="str">
        <f>HYPERLINK("http://dx.doi.org/10.1007/BF00303426","http://dx.doi.org/10.1007/BF00303426")</f>
        <v>http://dx.doi.org/10.1007/BF00303426</v>
      </c>
      <c r="BG502" t="s">
        <v>74</v>
      </c>
      <c r="BH502" t="s">
        <v>74</v>
      </c>
      <c r="BI502" t="s">
        <v>74</v>
      </c>
      <c r="BJ502" t="s">
        <v>74</v>
      </c>
      <c r="BK502" t="s">
        <v>74</v>
      </c>
      <c r="BL502" t="s">
        <v>74</v>
      </c>
      <c r="BM502" t="s">
        <v>74</v>
      </c>
      <c r="BN502" t="s">
        <v>74</v>
      </c>
      <c r="BO502" t="s">
        <v>74</v>
      </c>
      <c r="BP502" t="s">
        <v>74</v>
      </c>
      <c r="BQ502" t="s">
        <v>74</v>
      </c>
      <c r="BR502" t="s">
        <v>74</v>
      </c>
      <c r="BS502" t="s">
        <v>5466</v>
      </c>
      <c r="BT502" t="str">
        <f>HYPERLINK("https%3A%2F%2Fwww.webofscience.com%2Fwos%2Fwoscc%2Ffull-record%2FWOS:A1995RD44200003","View Full Record in Web of Science")</f>
        <v>View Full Record in Web of Science</v>
      </c>
    </row>
    <row r="503" spans="1:72" x14ac:dyDescent="0.4">
      <c r="A503" t="s">
        <v>72</v>
      </c>
      <c r="B503" t="s">
        <v>7401</v>
      </c>
      <c r="C503" t="s">
        <v>74</v>
      </c>
      <c r="D503" t="s">
        <v>74</v>
      </c>
      <c r="E503" t="s">
        <v>74</v>
      </c>
      <c r="F503" t="s">
        <v>7401</v>
      </c>
      <c r="G503" t="s">
        <v>74</v>
      </c>
      <c r="H503" t="s">
        <v>74</v>
      </c>
      <c r="I503" t="s">
        <v>7402</v>
      </c>
      <c r="J503" t="s">
        <v>4522</v>
      </c>
      <c r="K503" t="s">
        <v>74</v>
      </c>
      <c r="L503" t="s">
        <v>74</v>
      </c>
      <c r="M503" t="s">
        <v>74</v>
      </c>
      <c r="N503" t="s">
        <v>74</v>
      </c>
      <c r="O503" t="s">
        <v>74</v>
      </c>
      <c r="P503" t="s">
        <v>74</v>
      </c>
      <c r="Q503" t="s">
        <v>74</v>
      </c>
      <c r="R503" t="s">
        <v>74</v>
      </c>
      <c r="S503" t="s">
        <v>74</v>
      </c>
      <c r="T503" t="s">
        <v>74</v>
      </c>
      <c r="U503" t="s">
        <v>74</v>
      </c>
      <c r="V503" s="3" t="s">
        <v>7403</v>
      </c>
      <c r="W503" t="s">
        <v>74</v>
      </c>
      <c r="X503" t="s">
        <v>74</v>
      </c>
      <c r="Y503" t="s">
        <v>74</v>
      </c>
      <c r="Z503" t="s">
        <v>74</v>
      </c>
      <c r="AA503" t="s">
        <v>7404</v>
      </c>
      <c r="AB503" t="s">
        <v>7405</v>
      </c>
      <c r="AC503" t="s">
        <v>74</v>
      </c>
      <c r="AD503" t="s">
        <v>74</v>
      </c>
      <c r="AE503" t="s">
        <v>74</v>
      </c>
      <c r="AF503" t="s">
        <v>74</v>
      </c>
      <c r="AG503" t="s">
        <v>74</v>
      </c>
      <c r="AH503" t="s">
        <v>74</v>
      </c>
      <c r="AI503" t="s">
        <v>74</v>
      </c>
      <c r="AJ503" t="s">
        <v>74</v>
      </c>
      <c r="AK503" t="s">
        <v>74</v>
      </c>
      <c r="AL503" t="s">
        <v>74</v>
      </c>
      <c r="AM503" t="s">
        <v>74</v>
      </c>
      <c r="AN503" t="s">
        <v>74</v>
      </c>
      <c r="AO503" t="s">
        <v>4526</v>
      </c>
      <c r="AP503" t="s">
        <v>74</v>
      </c>
      <c r="AQ503" t="s">
        <v>74</v>
      </c>
      <c r="AR503" t="s">
        <v>74</v>
      </c>
      <c r="AS503" t="s">
        <v>74</v>
      </c>
      <c r="AT503" t="s">
        <v>352</v>
      </c>
      <c r="AU503">
        <v>2001</v>
      </c>
      <c r="AV503">
        <v>35</v>
      </c>
      <c r="AW503">
        <v>9</v>
      </c>
      <c r="AX503" t="s">
        <v>74</v>
      </c>
      <c r="AY503" t="s">
        <v>74</v>
      </c>
      <c r="AZ503" t="s">
        <v>74</v>
      </c>
      <c r="BA503" t="s">
        <v>74</v>
      </c>
      <c r="BB503">
        <v>1371</v>
      </c>
      <c r="BC503">
        <v>1398</v>
      </c>
      <c r="BD503" t="s">
        <v>74</v>
      </c>
      <c r="BE503" t="s">
        <v>7406</v>
      </c>
      <c r="BF503" t="str">
        <f>HYPERLINK("http://dx.doi.org/10.1080/002229301750384310","http://dx.doi.org/10.1080/002229301750384310")</f>
        <v>http://dx.doi.org/10.1080/002229301750384310</v>
      </c>
      <c r="BG503" t="s">
        <v>74</v>
      </c>
      <c r="BH503" t="s">
        <v>74</v>
      </c>
      <c r="BI503" t="s">
        <v>74</v>
      </c>
      <c r="BJ503" t="s">
        <v>74</v>
      </c>
      <c r="BK503" t="s">
        <v>74</v>
      </c>
      <c r="BL503" t="s">
        <v>74</v>
      </c>
      <c r="BM503" t="s">
        <v>74</v>
      </c>
      <c r="BN503" t="s">
        <v>74</v>
      </c>
      <c r="BO503" t="s">
        <v>74</v>
      </c>
      <c r="BP503" t="s">
        <v>74</v>
      </c>
      <c r="BQ503" t="s">
        <v>74</v>
      </c>
      <c r="BR503" t="s">
        <v>74</v>
      </c>
      <c r="BS503" t="s">
        <v>7407</v>
      </c>
      <c r="BT503" t="str">
        <f>HYPERLINK("https%3A%2F%2Fwww.webofscience.com%2Fwos%2Fwoscc%2Ffull-record%2FWOS:000170467200003","View Full Record in Web of Science")</f>
        <v>View Full Record in Web of Science</v>
      </c>
    </row>
    <row r="504" spans="1:72" x14ac:dyDescent="0.4">
      <c r="A504" t="s">
        <v>72</v>
      </c>
      <c r="B504" t="s">
        <v>7953</v>
      </c>
      <c r="C504" t="s">
        <v>74</v>
      </c>
      <c r="D504" t="s">
        <v>74</v>
      </c>
      <c r="E504" t="s">
        <v>74</v>
      </c>
      <c r="F504" t="s">
        <v>7953</v>
      </c>
      <c r="G504" t="s">
        <v>74</v>
      </c>
      <c r="H504" t="s">
        <v>74</v>
      </c>
      <c r="I504" t="s">
        <v>7954</v>
      </c>
      <c r="J504" t="s">
        <v>7955</v>
      </c>
      <c r="K504" t="s">
        <v>74</v>
      </c>
      <c r="L504" t="s">
        <v>74</v>
      </c>
      <c r="M504" t="s">
        <v>74</v>
      </c>
      <c r="N504" t="s">
        <v>74</v>
      </c>
      <c r="O504" t="s">
        <v>74</v>
      </c>
      <c r="P504" t="s">
        <v>74</v>
      </c>
      <c r="Q504" t="s">
        <v>74</v>
      </c>
      <c r="R504" t="s">
        <v>74</v>
      </c>
      <c r="S504" t="s">
        <v>74</v>
      </c>
      <c r="T504" t="s">
        <v>74</v>
      </c>
      <c r="U504" t="s">
        <v>74</v>
      </c>
      <c r="V504" s="3" t="s">
        <v>7956</v>
      </c>
      <c r="W504" t="s">
        <v>74</v>
      </c>
      <c r="X504" t="s">
        <v>74</v>
      </c>
      <c r="Y504" t="s">
        <v>74</v>
      </c>
      <c r="Z504" t="s">
        <v>74</v>
      </c>
      <c r="AA504" t="s">
        <v>74</v>
      </c>
      <c r="AB504" t="s">
        <v>7957</v>
      </c>
      <c r="AC504" t="s">
        <v>74</v>
      </c>
      <c r="AD504" t="s">
        <v>74</v>
      </c>
      <c r="AE504" t="s">
        <v>74</v>
      </c>
      <c r="AF504" t="s">
        <v>74</v>
      </c>
      <c r="AG504" t="s">
        <v>74</v>
      </c>
      <c r="AH504" t="s">
        <v>74</v>
      </c>
      <c r="AI504" t="s">
        <v>74</v>
      </c>
      <c r="AJ504" t="s">
        <v>74</v>
      </c>
      <c r="AK504" t="s">
        <v>74</v>
      </c>
      <c r="AL504" t="s">
        <v>74</v>
      </c>
      <c r="AM504" t="s">
        <v>74</v>
      </c>
      <c r="AN504" t="s">
        <v>74</v>
      </c>
      <c r="AO504" t="s">
        <v>7958</v>
      </c>
      <c r="AP504" t="s">
        <v>74</v>
      </c>
      <c r="AQ504" t="s">
        <v>74</v>
      </c>
      <c r="AR504" t="s">
        <v>74</v>
      </c>
      <c r="AS504" t="s">
        <v>74</v>
      </c>
      <c r="AT504" t="s">
        <v>74</v>
      </c>
      <c r="AU504">
        <v>2003</v>
      </c>
      <c r="AV504">
        <v>44</v>
      </c>
      <c r="AW504">
        <v>4</v>
      </c>
      <c r="AX504" t="s">
        <v>74</v>
      </c>
      <c r="AY504" t="s">
        <v>74</v>
      </c>
      <c r="AZ504" t="s">
        <v>74</v>
      </c>
      <c r="BA504" t="s">
        <v>74</v>
      </c>
      <c r="BB504">
        <v>319</v>
      </c>
      <c r="BC504">
        <v>327</v>
      </c>
      <c r="BD504" t="s">
        <v>74</v>
      </c>
      <c r="BE504" t="s">
        <v>74</v>
      </c>
      <c r="BF504" t="s">
        <v>74</v>
      </c>
      <c r="BG504" t="s">
        <v>74</v>
      </c>
      <c r="BH504" t="s">
        <v>74</v>
      </c>
      <c r="BI504" t="s">
        <v>74</v>
      </c>
      <c r="BJ504" t="s">
        <v>74</v>
      </c>
      <c r="BK504" t="s">
        <v>74</v>
      </c>
      <c r="BL504" t="s">
        <v>74</v>
      </c>
      <c r="BM504" t="s">
        <v>74</v>
      </c>
      <c r="BN504" t="s">
        <v>74</v>
      </c>
      <c r="BO504" t="s">
        <v>74</v>
      </c>
      <c r="BP504" t="s">
        <v>74</v>
      </c>
      <c r="BQ504" t="s">
        <v>74</v>
      </c>
      <c r="BR504" t="s">
        <v>74</v>
      </c>
      <c r="BS504" t="s">
        <v>7959</v>
      </c>
      <c r="BT504" t="str">
        <f>HYPERLINK("https%3A%2F%2Fwww.webofscience.com%2Fwos%2Fwoscc%2Ffull-record%2FWOS:000188352000002","View Full Record in Web of Science")</f>
        <v>View Full Record in Web of Science</v>
      </c>
    </row>
    <row r="505" spans="1:72" x14ac:dyDescent="0.4">
      <c r="A505" t="s">
        <v>72</v>
      </c>
      <c r="B505" t="s">
        <v>4204</v>
      </c>
      <c r="C505" t="s">
        <v>74</v>
      </c>
      <c r="D505" t="s">
        <v>74</v>
      </c>
      <c r="E505" t="s">
        <v>74</v>
      </c>
      <c r="F505" t="s">
        <v>4205</v>
      </c>
      <c r="G505" t="s">
        <v>74</v>
      </c>
      <c r="H505" t="s">
        <v>74</v>
      </c>
      <c r="I505" t="s">
        <v>4206</v>
      </c>
      <c r="J505" t="s">
        <v>2550</v>
      </c>
      <c r="K505" t="s">
        <v>74</v>
      </c>
      <c r="L505" t="s">
        <v>74</v>
      </c>
      <c r="M505" t="s">
        <v>74</v>
      </c>
      <c r="N505" t="s">
        <v>74</v>
      </c>
      <c r="O505" t="s">
        <v>74</v>
      </c>
      <c r="P505" t="s">
        <v>74</v>
      </c>
      <c r="Q505" t="s">
        <v>74</v>
      </c>
      <c r="R505" t="s">
        <v>74</v>
      </c>
      <c r="S505" t="s">
        <v>74</v>
      </c>
      <c r="T505" t="s">
        <v>74</v>
      </c>
      <c r="U505" t="s">
        <v>74</v>
      </c>
      <c r="V505" s="3" t="s">
        <v>4207</v>
      </c>
      <c r="W505" t="s">
        <v>74</v>
      </c>
      <c r="X505" t="s">
        <v>74</v>
      </c>
      <c r="Y505" t="s">
        <v>74</v>
      </c>
      <c r="Z505" t="s">
        <v>74</v>
      </c>
      <c r="AA505" t="s">
        <v>74</v>
      </c>
      <c r="AB505" t="s">
        <v>4208</v>
      </c>
      <c r="AC505" t="s">
        <v>74</v>
      </c>
      <c r="AD505" t="s">
        <v>74</v>
      </c>
      <c r="AE505" t="s">
        <v>74</v>
      </c>
      <c r="AF505" t="s">
        <v>74</v>
      </c>
      <c r="AG505" t="s">
        <v>74</v>
      </c>
      <c r="AH505" t="s">
        <v>74</v>
      </c>
      <c r="AI505" t="s">
        <v>74</v>
      </c>
      <c r="AJ505" t="s">
        <v>74</v>
      </c>
      <c r="AK505" t="s">
        <v>74</v>
      </c>
      <c r="AL505" t="s">
        <v>74</v>
      </c>
      <c r="AM505" t="s">
        <v>74</v>
      </c>
      <c r="AN505" t="s">
        <v>74</v>
      </c>
      <c r="AO505" t="s">
        <v>2554</v>
      </c>
      <c r="AP505" t="s">
        <v>4209</v>
      </c>
      <c r="AQ505" t="s">
        <v>74</v>
      </c>
      <c r="AR505" t="s">
        <v>74</v>
      </c>
      <c r="AS505" t="s">
        <v>74</v>
      </c>
      <c r="AT505" t="s">
        <v>102</v>
      </c>
      <c r="AU505">
        <v>2019</v>
      </c>
      <c r="AV505">
        <v>42</v>
      </c>
      <c r="AW505">
        <v>6</v>
      </c>
      <c r="AX505" t="s">
        <v>74</v>
      </c>
      <c r="AY505" t="s">
        <v>74</v>
      </c>
      <c r="AZ505" t="s">
        <v>74</v>
      </c>
      <c r="BA505" t="s">
        <v>74</v>
      </c>
      <c r="BB505">
        <v>1217</v>
      </c>
      <c r="BC505">
        <v>1220</v>
      </c>
      <c r="BD505" t="s">
        <v>74</v>
      </c>
      <c r="BE505" t="s">
        <v>4210</v>
      </c>
      <c r="BF505" t="str">
        <f>HYPERLINK("http://dx.doi.org/10.1007/s00300-019-02506-3","http://dx.doi.org/10.1007/s00300-019-02506-3")</f>
        <v>http://dx.doi.org/10.1007/s00300-019-02506-3</v>
      </c>
      <c r="BG505" t="s">
        <v>74</v>
      </c>
      <c r="BH505" t="s">
        <v>74</v>
      </c>
      <c r="BI505" t="s">
        <v>74</v>
      </c>
      <c r="BJ505" t="s">
        <v>74</v>
      </c>
      <c r="BK505" t="s">
        <v>74</v>
      </c>
      <c r="BL505" t="s">
        <v>74</v>
      </c>
      <c r="BM505" t="s">
        <v>74</v>
      </c>
      <c r="BN505" t="s">
        <v>74</v>
      </c>
      <c r="BO505" t="s">
        <v>74</v>
      </c>
      <c r="BP505" t="s">
        <v>74</v>
      </c>
      <c r="BQ505" t="s">
        <v>74</v>
      </c>
      <c r="BR505" t="s">
        <v>74</v>
      </c>
      <c r="BS505" t="s">
        <v>4211</v>
      </c>
      <c r="BT505" t="str">
        <f>HYPERLINK("https%3A%2F%2Fwww.webofscience.com%2Fwos%2Fwoscc%2Ffull-record%2FWOS:000470694200016","View Full Record in Web of Science")</f>
        <v>View Full Record in Web of Science</v>
      </c>
    </row>
    <row r="506" spans="1:72" x14ac:dyDescent="0.4">
      <c r="A506" t="s">
        <v>72</v>
      </c>
      <c r="B506" t="s">
        <v>1213</v>
      </c>
      <c r="C506" t="s">
        <v>74</v>
      </c>
      <c r="D506" t="s">
        <v>74</v>
      </c>
      <c r="E506" t="s">
        <v>74</v>
      </c>
      <c r="F506" t="s">
        <v>1214</v>
      </c>
      <c r="G506" t="s">
        <v>74</v>
      </c>
      <c r="H506" t="s">
        <v>74</v>
      </c>
      <c r="I506" t="s">
        <v>1215</v>
      </c>
      <c r="J506" t="s">
        <v>99</v>
      </c>
      <c r="K506" t="s">
        <v>74</v>
      </c>
      <c r="L506" t="s">
        <v>74</v>
      </c>
      <c r="M506" t="s">
        <v>74</v>
      </c>
      <c r="N506" t="s">
        <v>74</v>
      </c>
      <c r="O506" t="s">
        <v>74</v>
      </c>
      <c r="P506" t="s">
        <v>74</v>
      </c>
      <c r="Q506" t="s">
        <v>74</v>
      </c>
      <c r="R506" t="s">
        <v>74</v>
      </c>
      <c r="S506" t="s">
        <v>74</v>
      </c>
      <c r="T506" t="s">
        <v>74</v>
      </c>
      <c r="U506" t="s">
        <v>74</v>
      </c>
      <c r="V506" s="3" t="s">
        <v>1216</v>
      </c>
      <c r="W506" t="s">
        <v>74</v>
      </c>
      <c r="X506" t="s">
        <v>74</v>
      </c>
      <c r="Y506" t="s">
        <v>74</v>
      </c>
      <c r="Z506" t="s">
        <v>74</v>
      </c>
      <c r="AA506" t="s">
        <v>74</v>
      </c>
      <c r="AB506" t="s">
        <v>1217</v>
      </c>
      <c r="AC506" t="s">
        <v>74</v>
      </c>
      <c r="AD506" t="s">
        <v>74</v>
      </c>
      <c r="AE506" t="s">
        <v>74</v>
      </c>
      <c r="AF506" t="s">
        <v>74</v>
      </c>
      <c r="AG506" t="s">
        <v>74</v>
      </c>
      <c r="AH506" t="s">
        <v>74</v>
      </c>
      <c r="AI506" t="s">
        <v>74</v>
      </c>
      <c r="AJ506" t="s">
        <v>74</v>
      </c>
      <c r="AK506" t="s">
        <v>74</v>
      </c>
      <c r="AL506" t="s">
        <v>74</v>
      </c>
      <c r="AM506" t="s">
        <v>74</v>
      </c>
      <c r="AN506" t="s">
        <v>74</v>
      </c>
      <c r="AO506" t="s">
        <v>101</v>
      </c>
      <c r="AP506" t="s">
        <v>1218</v>
      </c>
      <c r="AQ506" t="s">
        <v>74</v>
      </c>
      <c r="AR506" t="s">
        <v>74</v>
      </c>
      <c r="AS506" t="s">
        <v>74</v>
      </c>
      <c r="AT506" t="s">
        <v>305</v>
      </c>
      <c r="AU506">
        <v>2014</v>
      </c>
      <c r="AV506">
        <v>126</v>
      </c>
      <c r="AW506">
        <v>4</v>
      </c>
      <c r="AX506" t="s">
        <v>74</v>
      </c>
      <c r="AY506" t="s">
        <v>74</v>
      </c>
      <c r="AZ506" t="s">
        <v>74</v>
      </c>
      <c r="BA506" t="s">
        <v>74</v>
      </c>
      <c r="BB506">
        <v>708</v>
      </c>
      <c r="BC506">
        <v>716</v>
      </c>
      <c r="BD506" t="s">
        <v>74</v>
      </c>
      <c r="BE506" t="s">
        <v>1219</v>
      </c>
      <c r="BF506" t="str">
        <f>HYPERLINK("http://dx.doi.org/10.1676/14-028.1","http://dx.doi.org/10.1676/14-028.1")</f>
        <v>http://dx.doi.org/10.1676/14-028.1</v>
      </c>
      <c r="BG506" t="s">
        <v>74</v>
      </c>
      <c r="BH506" t="s">
        <v>74</v>
      </c>
      <c r="BI506" t="s">
        <v>74</v>
      </c>
      <c r="BJ506" t="s">
        <v>74</v>
      </c>
      <c r="BK506" t="s">
        <v>74</v>
      </c>
      <c r="BL506" t="s">
        <v>74</v>
      </c>
      <c r="BM506" t="s">
        <v>74</v>
      </c>
      <c r="BN506" t="s">
        <v>74</v>
      </c>
      <c r="BO506" t="s">
        <v>74</v>
      </c>
      <c r="BP506" t="s">
        <v>74</v>
      </c>
      <c r="BQ506" t="s">
        <v>74</v>
      </c>
      <c r="BR506" t="s">
        <v>74</v>
      </c>
      <c r="BS506" t="s">
        <v>1220</v>
      </c>
      <c r="BT506" t="str">
        <f>HYPERLINK("https%3A%2F%2Fwww.webofscience.com%2Fwos%2Fwoscc%2Ffull-record%2FWOS:000346425400008","View Full Record in Web of Science")</f>
        <v>View Full Record in Web of Science</v>
      </c>
    </row>
    <row r="507" spans="1:72" x14ac:dyDescent="0.4">
      <c r="A507" t="s">
        <v>72</v>
      </c>
      <c r="B507" t="s">
        <v>1686</v>
      </c>
      <c r="C507" t="s">
        <v>74</v>
      </c>
      <c r="D507" t="s">
        <v>74</v>
      </c>
      <c r="E507" t="s">
        <v>74</v>
      </c>
      <c r="F507" t="s">
        <v>1687</v>
      </c>
      <c r="G507" t="s">
        <v>74</v>
      </c>
      <c r="H507" t="s">
        <v>74</v>
      </c>
      <c r="I507" t="s">
        <v>1688</v>
      </c>
      <c r="J507" t="s">
        <v>129</v>
      </c>
      <c r="K507" t="s">
        <v>74</v>
      </c>
      <c r="L507" t="s">
        <v>74</v>
      </c>
      <c r="M507" t="s">
        <v>74</v>
      </c>
      <c r="N507" t="s">
        <v>74</v>
      </c>
      <c r="O507" t="s">
        <v>74</v>
      </c>
      <c r="P507" t="s">
        <v>74</v>
      </c>
      <c r="Q507" t="s">
        <v>74</v>
      </c>
      <c r="R507" t="s">
        <v>74</v>
      </c>
      <c r="S507" t="s">
        <v>74</v>
      </c>
      <c r="T507" t="s">
        <v>74</v>
      </c>
      <c r="U507" t="s">
        <v>74</v>
      </c>
      <c r="V507" s="3" t="s">
        <v>1689</v>
      </c>
      <c r="W507" t="s">
        <v>74</v>
      </c>
      <c r="X507" t="s">
        <v>74</v>
      </c>
      <c r="Y507" t="s">
        <v>74</v>
      </c>
      <c r="Z507" t="s">
        <v>74</v>
      </c>
      <c r="AA507" t="s">
        <v>1690</v>
      </c>
      <c r="AB507" t="s">
        <v>1691</v>
      </c>
      <c r="AC507" t="s">
        <v>74</v>
      </c>
      <c r="AD507" t="s">
        <v>74</v>
      </c>
      <c r="AE507" t="s">
        <v>74</v>
      </c>
      <c r="AF507" t="s">
        <v>74</v>
      </c>
      <c r="AG507" t="s">
        <v>74</v>
      </c>
      <c r="AH507" t="s">
        <v>74</v>
      </c>
      <c r="AI507" t="s">
        <v>74</v>
      </c>
      <c r="AJ507" t="s">
        <v>74</v>
      </c>
      <c r="AK507" t="s">
        <v>74</v>
      </c>
      <c r="AL507" t="s">
        <v>74</v>
      </c>
      <c r="AM507" t="s">
        <v>74</v>
      </c>
      <c r="AN507" t="s">
        <v>74</v>
      </c>
      <c r="AO507" t="s">
        <v>132</v>
      </c>
      <c r="AP507" t="s">
        <v>133</v>
      </c>
      <c r="AQ507" t="s">
        <v>74</v>
      </c>
      <c r="AR507" t="s">
        <v>74</v>
      </c>
      <c r="AS507" t="s">
        <v>74</v>
      </c>
      <c r="AT507" t="s">
        <v>633</v>
      </c>
      <c r="AU507">
        <v>2022</v>
      </c>
      <c r="AV507">
        <v>76</v>
      </c>
      <c r="AW507">
        <v>4</v>
      </c>
      <c r="AX507" t="s">
        <v>74</v>
      </c>
      <c r="AY507" t="s">
        <v>74</v>
      </c>
      <c r="AZ507" t="s">
        <v>74</v>
      </c>
      <c r="BA507" t="s">
        <v>74</v>
      </c>
      <c r="BB507" t="s">
        <v>74</v>
      </c>
      <c r="BC507" t="s">
        <v>74</v>
      </c>
      <c r="BD507">
        <v>57</v>
      </c>
      <c r="BE507" t="s">
        <v>1692</v>
      </c>
      <c r="BF507" t="str">
        <f>HYPERLINK("http://dx.doi.org/10.1007/s00265-022-03165-x","http://dx.doi.org/10.1007/s00265-022-03165-x")</f>
        <v>http://dx.doi.org/10.1007/s00265-022-03165-x</v>
      </c>
      <c r="BG507" t="s">
        <v>74</v>
      </c>
      <c r="BH507" t="s">
        <v>74</v>
      </c>
      <c r="BI507" t="s">
        <v>74</v>
      </c>
      <c r="BJ507" t="s">
        <v>74</v>
      </c>
      <c r="BK507" t="s">
        <v>74</v>
      </c>
      <c r="BL507" t="s">
        <v>74</v>
      </c>
      <c r="BM507" t="s">
        <v>74</v>
      </c>
      <c r="BN507" t="s">
        <v>74</v>
      </c>
      <c r="BO507" t="s">
        <v>74</v>
      </c>
      <c r="BP507" t="s">
        <v>74</v>
      </c>
      <c r="BQ507" t="s">
        <v>74</v>
      </c>
      <c r="BR507" t="s">
        <v>74</v>
      </c>
      <c r="BS507" t="s">
        <v>1693</v>
      </c>
      <c r="BT507" t="str">
        <f>HYPERLINK("https%3A%2F%2Fwww.webofscience.com%2Fwos%2Fwoscc%2Ffull-record%2FWOS:000779357300001","View Full Record in Web of Science")</f>
        <v>View Full Record in Web of Science</v>
      </c>
    </row>
    <row r="508" spans="1:72" x14ac:dyDescent="0.4">
      <c r="A508" t="s">
        <v>72</v>
      </c>
      <c r="B508" t="s">
        <v>2594</v>
      </c>
      <c r="C508" t="s">
        <v>74</v>
      </c>
      <c r="D508" t="s">
        <v>74</v>
      </c>
      <c r="E508" t="s">
        <v>74</v>
      </c>
      <c r="F508" t="s">
        <v>2595</v>
      </c>
      <c r="G508" t="s">
        <v>74</v>
      </c>
      <c r="H508" t="s">
        <v>74</v>
      </c>
      <c r="I508" t="s">
        <v>2596</v>
      </c>
      <c r="J508" t="s">
        <v>140</v>
      </c>
      <c r="K508" t="s">
        <v>74</v>
      </c>
      <c r="L508" t="s">
        <v>74</v>
      </c>
      <c r="M508" t="s">
        <v>74</v>
      </c>
      <c r="N508" t="s">
        <v>74</v>
      </c>
      <c r="O508" t="s">
        <v>74</v>
      </c>
      <c r="P508" t="s">
        <v>74</v>
      </c>
      <c r="Q508" t="s">
        <v>74</v>
      </c>
      <c r="R508" t="s">
        <v>74</v>
      </c>
      <c r="S508" t="s">
        <v>74</v>
      </c>
      <c r="T508" t="s">
        <v>74</v>
      </c>
      <c r="U508" t="s">
        <v>74</v>
      </c>
      <c r="V508" s="3" t="s">
        <v>2597</v>
      </c>
      <c r="W508" t="s">
        <v>74</v>
      </c>
      <c r="X508" t="s">
        <v>74</v>
      </c>
      <c r="Y508" t="s">
        <v>74</v>
      </c>
      <c r="Z508" t="s">
        <v>74</v>
      </c>
      <c r="AA508" t="s">
        <v>946</v>
      </c>
      <c r="AB508" t="s">
        <v>2598</v>
      </c>
      <c r="AC508" t="s">
        <v>74</v>
      </c>
      <c r="AD508" t="s">
        <v>74</v>
      </c>
      <c r="AE508" t="s">
        <v>74</v>
      </c>
      <c r="AF508" t="s">
        <v>74</v>
      </c>
      <c r="AG508" t="s">
        <v>74</v>
      </c>
      <c r="AH508" t="s">
        <v>74</v>
      </c>
      <c r="AI508" t="s">
        <v>74</v>
      </c>
      <c r="AJ508" t="s">
        <v>74</v>
      </c>
      <c r="AK508" t="s">
        <v>74</v>
      </c>
      <c r="AL508" t="s">
        <v>74</v>
      </c>
      <c r="AM508" t="s">
        <v>74</v>
      </c>
      <c r="AN508" t="s">
        <v>74</v>
      </c>
      <c r="AO508" t="s">
        <v>143</v>
      </c>
      <c r="AP508" t="s">
        <v>144</v>
      </c>
      <c r="AQ508" t="s">
        <v>74</v>
      </c>
      <c r="AR508" t="s">
        <v>74</v>
      </c>
      <c r="AS508" t="s">
        <v>74</v>
      </c>
      <c r="AT508" t="s">
        <v>123</v>
      </c>
      <c r="AU508">
        <v>2015</v>
      </c>
      <c r="AV508">
        <v>101</v>
      </c>
      <c r="AW508" t="s">
        <v>74</v>
      </c>
      <c r="AX508" t="s">
        <v>74</v>
      </c>
      <c r="AY508" t="s">
        <v>74</v>
      </c>
      <c r="AZ508" t="s">
        <v>74</v>
      </c>
      <c r="BA508" t="s">
        <v>74</v>
      </c>
      <c r="BB508">
        <v>11</v>
      </c>
      <c r="BC508">
        <v>18</v>
      </c>
      <c r="BD508" t="s">
        <v>74</v>
      </c>
      <c r="BE508" t="s">
        <v>2599</v>
      </c>
      <c r="BF508" t="str">
        <f>HYPERLINK("http://dx.doi.org/10.1016/j.anbehav.2014.12.016","http://dx.doi.org/10.1016/j.anbehav.2014.12.016")</f>
        <v>http://dx.doi.org/10.1016/j.anbehav.2014.12.016</v>
      </c>
      <c r="BG508" t="s">
        <v>74</v>
      </c>
      <c r="BH508" t="s">
        <v>74</v>
      </c>
      <c r="BI508" t="s">
        <v>74</v>
      </c>
      <c r="BJ508" t="s">
        <v>74</v>
      </c>
      <c r="BK508" t="s">
        <v>74</v>
      </c>
      <c r="BL508" t="s">
        <v>74</v>
      </c>
      <c r="BM508" t="s">
        <v>74</v>
      </c>
      <c r="BN508" t="s">
        <v>74</v>
      </c>
      <c r="BO508" t="s">
        <v>74</v>
      </c>
      <c r="BP508" t="s">
        <v>74</v>
      </c>
      <c r="BQ508" t="s">
        <v>74</v>
      </c>
      <c r="BR508" t="s">
        <v>74</v>
      </c>
      <c r="BS508" t="s">
        <v>2600</v>
      </c>
      <c r="BT508" t="str">
        <f>HYPERLINK("https%3A%2F%2Fwww.webofscience.com%2Fwos%2Fwoscc%2Ffull-record%2FWOS:000351020200004","View Full Record in Web of Science")</f>
        <v>View Full Record in Web of Science</v>
      </c>
    </row>
    <row r="509" spans="1:72" x14ac:dyDescent="0.4">
      <c r="A509" t="s">
        <v>72</v>
      </c>
      <c r="B509" t="s">
        <v>6144</v>
      </c>
      <c r="C509" t="s">
        <v>74</v>
      </c>
      <c r="D509" t="s">
        <v>74</v>
      </c>
      <c r="E509" t="s">
        <v>74</v>
      </c>
      <c r="F509" t="s">
        <v>6145</v>
      </c>
      <c r="G509" t="s">
        <v>74</v>
      </c>
      <c r="H509" t="s">
        <v>74</v>
      </c>
      <c r="I509" t="s">
        <v>6146</v>
      </c>
      <c r="J509" t="s">
        <v>99</v>
      </c>
      <c r="K509" t="s">
        <v>74</v>
      </c>
      <c r="L509" t="s">
        <v>74</v>
      </c>
      <c r="M509" t="s">
        <v>74</v>
      </c>
      <c r="N509" t="s">
        <v>74</v>
      </c>
      <c r="O509" t="s">
        <v>74</v>
      </c>
      <c r="P509" t="s">
        <v>74</v>
      </c>
      <c r="Q509" t="s">
        <v>74</v>
      </c>
      <c r="R509" t="s">
        <v>74</v>
      </c>
      <c r="S509" t="s">
        <v>74</v>
      </c>
      <c r="T509" t="s">
        <v>74</v>
      </c>
      <c r="U509" t="s">
        <v>74</v>
      </c>
      <c r="V509" s="3" t="s">
        <v>6147</v>
      </c>
      <c r="W509" t="s">
        <v>74</v>
      </c>
      <c r="X509" t="s">
        <v>74</v>
      </c>
      <c r="Y509" t="s">
        <v>74</v>
      </c>
      <c r="Z509" t="s">
        <v>74</v>
      </c>
      <c r="AA509" t="s">
        <v>74</v>
      </c>
      <c r="AB509" t="s">
        <v>74</v>
      </c>
      <c r="AC509" t="s">
        <v>74</v>
      </c>
      <c r="AD509" t="s">
        <v>74</v>
      </c>
      <c r="AE509" t="s">
        <v>74</v>
      </c>
      <c r="AF509" t="s">
        <v>74</v>
      </c>
      <c r="AG509" t="s">
        <v>74</v>
      </c>
      <c r="AH509" t="s">
        <v>74</v>
      </c>
      <c r="AI509" t="s">
        <v>74</v>
      </c>
      <c r="AJ509" t="s">
        <v>74</v>
      </c>
      <c r="AK509" t="s">
        <v>74</v>
      </c>
      <c r="AL509" t="s">
        <v>74</v>
      </c>
      <c r="AM509" t="s">
        <v>74</v>
      </c>
      <c r="AN509" t="s">
        <v>74</v>
      </c>
      <c r="AO509" t="s">
        <v>101</v>
      </c>
      <c r="AP509" t="s">
        <v>1218</v>
      </c>
      <c r="AQ509" t="s">
        <v>74</v>
      </c>
      <c r="AR509" t="s">
        <v>74</v>
      </c>
      <c r="AS509" t="s">
        <v>74</v>
      </c>
      <c r="AT509" t="s">
        <v>123</v>
      </c>
      <c r="AU509">
        <v>2007</v>
      </c>
      <c r="AV509">
        <v>119</v>
      </c>
      <c r="AW509">
        <v>1</v>
      </c>
      <c r="AX509" t="s">
        <v>74</v>
      </c>
      <c r="AY509" t="s">
        <v>74</v>
      </c>
      <c r="AZ509" t="s">
        <v>74</v>
      </c>
      <c r="BA509" t="s">
        <v>74</v>
      </c>
      <c r="BB509">
        <v>89</v>
      </c>
      <c r="BC509">
        <v>94</v>
      </c>
      <c r="BD509" t="s">
        <v>74</v>
      </c>
      <c r="BE509" t="s">
        <v>6148</v>
      </c>
      <c r="BF509" t="str">
        <f>HYPERLINK("http://dx.doi.org/10.1676/05-158.1","http://dx.doi.org/10.1676/05-158.1")</f>
        <v>http://dx.doi.org/10.1676/05-158.1</v>
      </c>
      <c r="BG509" t="s">
        <v>74</v>
      </c>
      <c r="BH509" t="s">
        <v>74</v>
      </c>
      <c r="BI509" t="s">
        <v>74</v>
      </c>
      <c r="BJ509" t="s">
        <v>74</v>
      </c>
      <c r="BK509" t="s">
        <v>74</v>
      </c>
      <c r="BL509" t="s">
        <v>74</v>
      </c>
      <c r="BM509" t="s">
        <v>74</v>
      </c>
      <c r="BN509" t="s">
        <v>74</v>
      </c>
      <c r="BO509" t="s">
        <v>74</v>
      </c>
      <c r="BP509" t="s">
        <v>74</v>
      </c>
      <c r="BQ509" t="s">
        <v>74</v>
      </c>
      <c r="BR509" t="s">
        <v>74</v>
      </c>
      <c r="BS509" t="s">
        <v>6149</v>
      </c>
      <c r="BT509" t="str">
        <f>HYPERLINK("https%3A%2F%2Fwww.webofscience.com%2Fwos%2Fwoscc%2Ffull-record%2FWOS:000245113700010","View Full Record in Web of Science")</f>
        <v>View Full Record in Web of Science</v>
      </c>
    </row>
    <row r="510" spans="1:72" x14ac:dyDescent="0.4">
      <c r="A510" t="s">
        <v>72</v>
      </c>
      <c r="B510" t="s">
        <v>4825</v>
      </c>
      <c r="C510" t="s">
        <v>74</v>
      </c>
      <c r="D510" t="s">
        <v>74</v>
      </c>
      <c r="E510" t="s">
        <v>74</v>
      </c>
      <c r="F510" t="s">
        <v>4825</v>
      </c>
      <c r="G510" t="s">
        <v>74</v>
      </c>
      <c r="H510" t="s">
        <v>74</v>
      </c>
      <c r="I510" t="s">
        <v>4826</v>
      </c>
      <c r="J510" t="s">
        <v>1126</v>
      </c>
      <c r="K510" t="s">
        <v>74</v>
      </c>
      <c r="L510" t="s">
        <v>74</v>
      </c>
      <c r="M510" t="s">
        <v>74</v>
      </c>
      <c r="N510" t="s">
        <v>74</v>
      </c>
      <c r="O510" t="s">
        <v>74</v>
      </c>
      <c r="P510" t="s">
        <v>74</v>
      </c>
      <c r="Q510" t="s">
        <v>74</v>
      </c>
      <c r="R510" t="s">
        <v>74</v>
      </c>
      <c r="S510" t="s">
        <v>74</v>
      </c>
      <c r="T510" t="s">
        <v>74</v>
      </c>
      <c r="U510" t="s">
        <v>74</v>
      </c>
      <c r="V510" s="3" t="s">
        <v>4827</v>
      </c>
      <c r="W510" t="s">
        <v>74</v>
      </c>
      <c r="X510" t="s">
        <v>74</v>
      </c>
      <c r="Y510" t="s">
        <v>74</v>
      </c>
      <c r="Z510" t="s">
        <v>74</v>
      </c>
      <c r="AA510" t="s">
        <v>4828</v>
      </c>
      <c r="AB510" t="s">
        <v>4829</v>
      </c>
      <c r="AC510" t="s">
        <v>74</v>
      </c>
      <c r="AD510" t="s">
        <v>74</v>
      </c>
      <c r="AE510" t="s">
        <v>74</v>
      </c>
      <c r="AF510" t="s">
        <v>74</v>
      </c>
      <c r="AG510" t="s">
        <v>74</v>
      </c>
      <c r="AH510" t="s">
        <v>74</v>
      </c>
      <c r="AI510" t="s">
        <v>74</v>
      </c>
      <c r="AJ510" t="s">
        <v>74</v>
      </c>
      <c r="AK510" t="s">
        <v>74</v>
      </c>
      <c r="AL510" t="s">
        <v>74</v>
      </c>
      <c r="AM510" t="s">
        <v>74</v>
      </c>
      <c r="AN510" t="s">
        <v>74</v>
      </c>
      <c r="AO510" t="s">
        <v>1128</v>
      </c>
      <c r="AP510" t="s">
        <v>1129</v>
      </c>
      <c r="AQ510" t="s">
        <v>74</v>
      </c>
      <c r="AR510" t="s">
        <v>74</v>
      </c>
      <c r="AS510" t="s">
        <v>74</v>
      </c>
      <c r="AT510" t="s">
        <v>4830</v>
      </c>
      <c r="AU510">
        <v>2003</v>
      </c>
      <c r="AV510" t="s">
        <v>74</v>
      </c>
      <c r="AW510">
        <v>1</v>
      </c>
      <c r="AX510" t="s">
        <v>74</v>
      </c>
      <c r="AY510" t="s">
        <v>74</v>
      </c>
      <c r="AZ510" t="s">
        <v>74</v>
      </c>
      <c r="BA510" t="s">
        <v>74</v>
      </c>
      <c r="BB510">
        <v>181</v>
      </c>
      <c r="BC510">
        <v>186</v>
      </c>
      <c r="BD510" t="s">
        <v>74</v>
      </c>
      <c r="BE510" t="s">
        <v>4831</v>
      </c>
      <c r="BF510" t="str">
        <f>HYPERLINK("http://dx.doi.org/10.1643/0045-8511(2003)003[0181:EOFMCC]2.0.CO;2","http://dx.doi.org/10.1643/0045-8511(2003)003[0181:EOFMCC]2.0.CO;2")</f>
        <v>http://dx.doi.org/10.1643/0045-8511(2003)003[0181:EOFMCC]2.0.CO;2</v>
      </c>
      <c r="BG510" t="s">
        <v>74</v>
      </c>
      <c r="BH510" t="s">
        <v>74</v>
      </c>
      <c r="BI510" t="s">
        <v>74</v>
      </c>
      <c r="BJ510" t="s">
        <v>74</v>
      </c>
      <c r="BK510" t="s">
        <v>74</v>
      </c>
      <c r="BL510" t="s">
        <v>74</v>
      </c>
      <c r="BM510" t="s">
        <v>74</v>
      </c>
      <c r="BN510" t="s">
        <v>74</v>
      </c>
      <c r="BO510" t="s">
        <v>74</v>
      </c>
      <c r="BP510" t="s">
        <v>74</v>
      </c>
      <c r="BQ510" t="s">
        <v>74</v>
      </c>
      <c r="BR510" t="s">
        <v>74</v>
      </c>
      <c r="BS510" t="s">
        <v>4832</v>
      </c>
      <c r="BT510" t="str">
        <f>HYPERLINK("https%3A%2F%2Fwww.webofscience.com%2Fwos%2Fwoscc%2Ffull-record%2FWOS:000181477800020","View Full Record in Web of Science")</f>
        <v>View Full Record in Web of Science</v>
      </c>
    </row>
    <row r="511" spans="1:72" x14ac:dyDescent="0.4">
      <c r="A511" t="s">
        <v>72</v>
      </c>
      <c r="B511" t="s">
        <v>8598</v>
      </c>
      <c r="C511" t="s">
        <v>74</v>
      </c>
      <c r="D511" t="s">
        <v>74</v>
      </c>
      <c r="E511" t="s">
        <v>74</v>
      </c>
      <c r="F511" t="s">
        <v>8599</v>
      </c>
      <c r="G511" t="s">
        <v>74</v>
      </c>
      <c r="H511" t="s">
        <v>74</v>
      </c>
      <c r="I511" t="s">
        <v>8600</v>
      </c>
      <c r="J511" t="s">
        <v>3100</v>
      </c>
      <c r="K511" t="s">
        <v>74</v>
      </c>
      <c r="L511" t="s">
        <v>74</v>
      </c>
      <c r="M511" t="s">
        <v>74</v>
      </c>
      <c r="N511" t="s">
        <v>74</v>
      </c>
      <c r="O511" t="s">
        <v>74</v>
      </c>
      <c r="P511" t="s">
        <v>74</v>
      </c>
      <c r="Q511" t="s">
        <v>74</v>
      </c>
      <c r="R511" t="s">
        <v>74</v>
      </c>
      <c r="S511" t="s">
        <v>74</v>
      </c>
      <c r="T511" t="s">
        <v>74</v>
      </c>
      <c r="U511" t="s">
        <v>74</v>
      </c>
      <c r="V511" s="3" t="s">
        <v>8601</v>
      </c>
      <c r="W511" t="s">
        <v>74</v>
      </c>
      <c r="X511" t="s">
        <v>74</v>
      </c>
      <c r="Y511" t="s">
        <v>74</v>
      </c>
      <c r="Z511" t="s">
        <v>74</v>
      </c>
      <c r="AA511" t="s">
        <v>8602</v>
      </c>
      <c r="AB511" t="s">
        <v>8603</v>
      </c>
      <c r="AC511" t="s">
        <v>74</v>
      </c>
      <c r="AD511" t="s">
        <v>74</v>
      </c>
      <c r="AE511" t="s">
        <v>74</v>
      </c>
      <c r="AF511" t="s">
        <v>74</v>
      </c>
      <c r="AG511" t="s">
        <v>74</v>
      </c>
      <c r="AH511" t="s">
        <v>74</v>
      </c>
      <c r="AI511" t="s">
        <v>74</v>
      </c>
      <c r="AJ511" t="s">
        <v>74</v>
      </c>
      <c r="AK511" t="s">
        <v>74</v>
      </c>
      <c r="AL511" t="s">
        <v>74</v>
      </c>
      <c r="AM511" t="s">
        <v>74</v>
      </c>
      <c r="AN511" t="s">
        <v>74</v>
      </c>
      <c r="AO511" t="s">
        <v>74</v>
      </c>
      <c r="AP511" t="s">
        <v>3104</v>
      </c>
      <c r="AQ511" t="s">
        <v>74</v>
      </c>
      <c r="AR511" t="s">
        <v>74</v>
      </c>
      <c r="AS511" t="s">
        <v>74</v>
      </c>
      <c r="AT511" t="s">
        <v>1247</v>
      </c>
      <c r="AU511">
        <v>2023</v>
      </c>
      <c r="AV511">
        <v>10</v>
      </c>
      <c r="AW511" t="s">
        <v>74</v>
      </c>
      <c r="AX511" t="s">
        <v>74</v>
      </c>
      <c r="AY511" t="s">
        <v>74</v>
      </c>
      <c r="AZ511" t="s">
        <v>74</v>
      </c>
      <c r="BA511" t="s">
        <v>74</v>
      </c>
      <c r="BB511" t="s">
        <v>74</v>
      </c>
      <c r="BC511" t="s">
        <v>74</v>
      </c>
      <c r="BD511">
        <v>1166632</v>
      </c>
      <c r="BE511" t="s">
        <v>8604</v>
      </c>
      <c r="BF511" t="str">
        <f>HYPERLINK("http://dx.doi.org/10.3389/fvets.2023.1166632","http://dx.doi.org/10.3389/fvets.2023.1166632")</f>
        <v>http://dx.doi.org/10.3389/fvets.2023.1166632</v>
      </c>
      <c r="BG511" t="s">
        <v>74</v>
      </c>
      <c r="BH511" t="s">
        <v>74</v>
      </c>
      <c r="BI511" t="s">
        <v>74</v>
      </c>
      <c r="BJ511" t="s">
        <v>74</v>
      </c>
      <c r="BK511" t="s">
        <v>74</v>
      </c>
      <c r="BL511" t="s">
        <v>74</v>
      </c>
      <c r="BM511" t="s">
        <v>74</v>
      </c>
      <c r="BN511">
        <v>37323835</v>
      </c>
      <c r="BO511" t="s">
        <v>74</v>
      </c>
      <c r="BP511" t="s">
        <v>74</v>
      </c>
      <c r="BQ511" t="s">
        <v>74</v>
      </c>
      <c r="BR511" t="s">
        <v>74</v>
      </c>
      <c r="BS511" t="s">
        <v>8605</v>
      </c>
      <c r="BT511" t="str">
        <f>HYPERLINK("https%3A%2F%2Fwww.webofscience.com%2Fwos%2Fwoscc%2Ffull-record%2FWOS:001007647700001","View Full Record in Web of Science")</f>
        <v>View Full Record in Web of Science</v>
      </c>
    </row>
    <row r="512" spans="1:72" x14ac:dyDescent="0.4">
      <c r="A512" t="s">
        <v>72</v>
      </c>
      <c r="B512" t="s">
        <v>5646</v>
      </c>
      <c r="C512" t="s">
        <v>74</v>
      </c>
      <c r="D512" t="s">
        <v>74</v>
      </c>
      <c r="E512" t="s">
        <v>74</v>
      </c>
      <c r="F512" t="s">
        <v>5646</v>
      </c>
      <c r="G512" t="s">
        <v>74</v>
      </c>
      <c r="H512" t="s">
        <v>74</v>
      </c>
      <c r="I512" t="s">
        <v>5647</v>
      </c>
      <c r="J512" t="s">
        <v>731</v>
      </c>
      <c r="K512" t="s">
        <v>74</v>
      </c>
      <c r="L512" t="s">
        <v>74</v>
      </c>
      <c r="M512" t="s">
        <v>74</v>
      </c>
      <c r="N512" t="s">
        <v>74</v>
      </c>
      <c r="O512" t="s">
        <v>74</v>
      </c>
      <c r="P512" t="s">
        <v>74</v>
      </c>
      <c r="Q512" t="s">
        <v>74</v>
      </c>
      <c r="R512" t="s">
        <v>74</v>
      </c>
      <c r="S512" t="s">
        <v>74</v>
      </c>
      <c r="T512" t="s">
        <v>74</v>
      </c>
      <c r="U512" t="s">
        <v>74</v>
      </c>
      <c r="V512" s="3" t="s">
        <v>5648</v>
      </c>
      <c r="W512" t="s">
        <v>74</v>
      </c>
      <c r="X512" t="s">
        <v>74</v>
      </c>
      <c r="Y512" t="s">
        <v>74</v>
      </c>
      <c r="Z512" t="s">
        <v>74</v>
      </c>
      <c r="AA512" t="s">
        <v>74</v>
      </c>
      <c r="AB512" t="s">
        <v>5649</v>
      </c>
      <c r="AC512" t="s">
        <v>74</v>
      </c>
      <c r="AD512" t="s">
        <v>74</v>
      </c>
      <c r="AE512" t="s">
        <v>74</v>
      </c>
      <c r="AF512" t="s">
        <v>74</v>
      </c>
      <c r="AG512" t="s">
        <v>74</v>
      </c>
      <c r="AH512" t="s">
        <v>74</v>
      </c>
      <c r="AI512" t="s">
        <v>74</v>
      </c>
      <c r="AJ512" t="s">
        <v>74</v>
      </c>
      <c r="AK512" t="s">
        <v>74</v>
      </c>
      <c r="AL512" t="s">
        <v>74</v>
      </c>
      <c r="AM512" t="s">
        <v>74</v>
      </c>
      <c r="AN512" t="s">
        <v>74</v>
      </c>
      <c r="AO512" t="s">
        <v>733</v>
      </c>
      <c r="AP512" t="s">
        <v>734</v>
      </c>
      <c r="AQ512" t="s">
        <v>74</v>
      </c>
      <c r="AR512" t="s">
        <v>74</v>
      </c>
      <c r="AS512" t="s">
        <v>74</v>
      </c>
      <c r="AT512" t="s">
        <v>2022</v>
      </c>
      <c r="AU512">
        <v>2005</v>
      </c>
      <c r="AV512">
        <v>159</v>
      </c>
      <c r="AW512">
        <v>1</v>
      </c>
      <c r="AX512" t="s">
        <v>74</v>
      </c>
      <c r="AY512" t="s">
        <v>74</v>
      </c>
      <c r="AZ512" t="s">
        <v>74</v>
      </c>
      <c r="BA512" t="s">
        <v>74</v>
      </c>
      <c r="BB512">
        <v>37</v>
      </c>
      <c r="BC512">
        <v>41</v>
      </c>
      <c r="BD512" t="s">
        <v>74</v>
      </c>
      <c r="BE512" t="s">
        <v>5650</v>
      </c>
      <c r="BF512" t="str">
        <f>HYPERLINK("http://dx.doi.org/10.1016/j.bbr.2004.09.024","http://dx.doi.org/10.1016/j.bbr.2004.09.024")</f>
        <v>http://dx.doi.org/10.1016/j.bbr.2004.09.024</v>
      </c>
      <c r="BG512" t="s">
        <v>74</v>
      </c>
      <c r="BH512" t="s">
        <v>74</v>
      </c>
      <c r="BI512" t="s">
        <v>74</v>
      </c>
      <c r="BJ512" t="s">
        <v>74</v>
      </c>
      <c r="BK512" t="s">
        <v>74</v>
      </c>
      <c r="BL512" t="s">
        <v>74</v>
      </c>
      <c r="BM512" t="s">
        <v>74</v>
      </c>
      <c r="BN512">
        <v>15794995</v>
      </c>
      <c r="BO512" t="s">
        <v>74</v>
      </c>
      <c r="BP512" t="s">
        <v>74</v>
      </c>
      <c r="BQ512" t="s">
        <v>74</v>
      </c>
      <c r="BR512" t="s">
        <v>74</v>
      </c>
      <c r="BS512" t="s">
        <v>5651</v>
      </c>
      <c r="BT512" t="str">
        <f>HYPERLINK("https%3A%2F%2Fwww.webofscience.com%2Fwos%2Fwoscc%2Ffull-record%2FWOS:000228509700005","View Full Record in Web of Science")</f>
        <v>View Full Record in Web of Science</v>
      </c>
    </row>
    <row r="513" spans="1:72" x14ac:dyDescent="0.4">
      <c r="A513" t="s">
        <v>72</v>
      </c>
      <c r="B513" t="s">
        <v>5141</v>
      </c>
      <c r="C513" t="s">
        <v>74</v>
      </c>
      <c r="D513" t="s">
        <v>74</v>
      </c>
      <c r="E513" t="s">
        <v>74</v>
      </c>
      <c r="F513" t="s">
        <v>5142</v>
      </c>
      <c r="G513" t="s">
        <v>74</v>
      </c>
      <c r="H513" t="s">
        <v>74</v>
      </c>
      <c r="I513" t="s">
        <v>5143</v>
      </c>
      <c r="J513" t="s">
        <v>5144</v>
      </c>
      <c r="K513" t="s">
        <v>74</v>
      </c>
      <c r="L513" t="s">
        <v>74</v>
      </c>
      <c r="M513" t="s">
        <v>74</v>
      </c>
      <c r="N513" t="s">
        <v>74</v>
      </c>
      <c r="O513" t="s">
        <v>74</v>
      </c>
      <c r="P513" t="s">
        <v>74</v>
      </c>
      <c r="Q513" t="s">
        <v>74</v>
      </c>
      <c r="R513" t="s">
        <v>74</v>
      </c>
      <c r="S513" t="s">
        <v>74</v>
      </c>
      <c r="T513" t="s">
        <v>74</v>
      </c>
      <c r="U513" t="s">
        <v>74</v>
      </c>
      <c r="V513" s="3" t="s">
        <v>5145</v>
      </c>
      <c r="W513" t="s">
        <v>74</v>
      </c>
      <c r="X513" t="s">
        <v>74</v>
      </c>
      <c r="Y513" t="s">
        <v>74</v>
      </c>
      <c r="Z513" t="s">
        <v>74</v>
      </c>
      <c r="AA513" t="s">
        <v>74</v>
      </c>
      <c r="AB513" t="s">
        <v>5146</v>
      </c>
      <c r="AC513" t="s">
        <v>74</v>
      </c>
      <c r="AD513" t="s">
        <v>74</v>
      </c>
      <c r="AE513" t="s">
        <v>74</v>
      </c>
      <c r="AF513" t="s">
        <v>74</v>
      </c>
      <c r="AG513" t="s">
        <v>74</v>
      </c>
      <c r="AH513" t="s">
        <v>74</v>
      </c>
      <c r="AI513" t="s">
        <v>74</v>
      </c>
      <c r="AJ513" t="s">
        <v>74</v>
      </c>
      <c r="AK513" t="s">
        <v>74</v>
      </c>
      <c r="AL513" t="s">
        <v>74</v>
      </c>
      <c r="AM513" t="s">
        <v>74</v>
      </c>
      <c r="AN513" t="s">
        <v>74</v>
      </c>
      <c r="AO513" t="s">
        <v>74</v>
      </c>
      <c r="AP513" t="s">
        <v>5147</v>
      </c>
      <c r="AQ513" t="s">
        <v>74</v>
      </c>
      <c r="AR513" t="s">
        <v>74</v>
      </c>
      <c r="AS513" t="s">
        <v>74</v>
      </c>
      <c r="AT513" t="s">
        <v>74</v>
      </c>
      <c r="AU513">
        <v>2020</v>
      </c>
      <c r="AV513">
        <v>2</v>
      </c>
      <c r="AW513">
        <v>1</v>
      </c>
      <c r="AX513" t="s">
        <v>74</v>
      </c>
      <c r="AY513" t="s">
        <v>74</v>
      </c>
      <c r="AZ513" t="s">
        <v>74</v>
      </c>
      <c r="BA513" t="s">
        <v>74</v>
      </c>
      <c r="BB513" t="s">
        <v>74</v>
      </c>
      <c r="BC513" t="s">
        <v>74</v>
      </c>
      <c r="BD513" t="s">
        <v>5148</v>
      </c>
      <c r="BE513" t="s">
        <v>5149</v>
      </c>
      <c r="BF513" t="str">
        <f>HYPERLINK("http://dx.doi.org/10.1093/iob/obaa027","http://dx.doi.org/10.1093/iob/obaa027")</f>
        <v>http://dx.doi.org/10.1093/iob/obaa027</v>
      </c>
      <c r="BG513" t="s">
        <v>74</v>
      </c>
      <c r="BH513" t="s">
        <v>74</v>
      </c>
      <c r="BI513" t="s">
        <v>74</v>
      </c>
      <c r="BJ513" t="s">
        <v>74</v>
      </c>
      <c r="BK513" t="s">
        <v>74</v>
      </c>
      <c r="BL513" t="s">
        <v>74</v>
      </c>
      <c r="BM513" t="s">
        <v>74</v>
      </c>
      <c r="BN513">
        <v>33791567</v>
      </c>
      <c r="BO513" t="s">
        <v>74</v>
      </c>
      <c r="BP513" t="s">
        <v>74</v>
      </c>
      <c r="BQ513" t="s">
        <v>74</v>
      </c>
      <c r="BR513" t="s">
        <v>74</v>
      </c>
      <c r="BS513" t="s">
        <v>5150</v>
      </c>
      <c r="BT513" t="str">
        <f>HYPERLINK("https%3A%2F%2Fwww.webofscience.com%2Fwos%2Fwoscc%2Ffull-record%2FWOS:000613108900027","View Full Record in Web of Science")</f>
        <v>View Full Record in Web of Science</v>
      </c>
    </row>
    <row r="514" spans="1:72" x14ac:dyDescent="0.4">
      <c r="A514" t="s">
        <v>72</v>
      </c>
      <c r="B514" t="s">
        <v>5389</v>
      </c>
      <c r="C514" t="s">
        <v>74</v>
      </c>
      <c r="D514" t="s">
        <v>74</v>
      </c>
      <c r="E514" t="s">
        <v>74</v>
      </c>
      <c r="F514" t="s">
        <v>5390</v>
      </c>
      <c r="G514" t="s">
        <v>74</v>
      </c>
      <c r="H514" t="s">
        <v>74</v>
      </c>
      <c r="I514" t="s">
        <v>5391</v>
      </c>
      <c r="J514" t="s">
        <v>140</v>
      </c>
      <c r="K514" t="s">
        <v>74</v>
      </c>
      <c r="L514" t="s">
        <v>74</v>
      </c>
      <c r="M514" t="s">
        <v>74</v>
      </c>
      <c r="N514" t="s">
        <v>74</v>
      </c>
      <c r="O514" t="s">
        <v>74</v>
      </c>
      <c r="P514" t="s">
        <v>74</v>
      </c>
      <c r="Q514" t="s">
        <v>74</v>
      </c>
      <c r="R514" t="s">
        <v>74</v>
      </c>
      <c r="S514" t="s">
        <v>74</v>
      </c>
      <c r="T514" t="s">
        <v>74</v>
      </c>
      <c r="U514" t="s">
        <v>74</v>
      </c>
      <c r="V514" s="3" t="s">
        <v>5392</v>
      </c>
      <c r="W514" t="s">
        <v>74</v>
      </c>
      <c r="X514" t="s">
        <v>74</v>
      </c>
      <c r="Y514" t="s">
        <v>74</v>
      </c>
      <c r="Z514" t="s">
        <v>74</v>
      </c>
      <c r="AA514" t="s">
        <v>74</v>
      </c>
      <c r="AB514" t="s">
        <v>5146</v>
      </c>
      <c r="AC514" t="s">
        <v>74</v>
      </c>
      <c r="AD514" t="s">
        <v>74</v>
      </c>
      <c r="AE514" t="s">
        <v>74</v>
      </c>
      <c r="AF514" t="s">
        <v>74</v>
      </c>
      <c r="AG514" t="s">
        <v>74</v>
      </c>
      <c r="AH514" t="s">
        <v>74</v>
      </c>
      <c r="AI514" t="s">
        <v>74</v>
      </c>
      <c r="AJ514" t="s">
        <v>74</v>
      </c>
      <c r="AK514" t="s">
        <v>74</v>
      </c>
      <c r="AL514" t="s">
        <v>74</v>
      </c>
      <c r="AM514" t="s">
        <v>74</v>
      </c>
      <c r="AN514" t="s">
        <v>74</v>
      </c>
      <c r="AO514" t="s">
        <v>143</v>
      </c>
      <c r="AP514" t="s">
        <v>144</v>
      </c>
      <c r="AQ514" t="s">
        <v>74</v>
      </c>
      <c r="AR514" t="s">
        <v>74</v>
      </c>
      <c r="AS514" t="s">
        <v>74</v>
      </c>
      <c r="AT514" t="s">
        <v>255</v>
      </c>
      <c r="AU514">
        <v>2019</v>
      </c>
      <c r="AV514">
        <v>147</v>
      </c>
      <c r="AW514" t="s">
        <v>74</v>
      </c>
      <c r="AX514" t="s">
        <v>74</v>
      </c>
      <c r="AY514" t="s">
        <v>74</v>
      </c>
      <c r="AZ514" t="s">
        <v>74</v>
      </c>
      <c r="BA514" t="s">
        <v>74</v>
      </c>
      <c r="BB514">
        <v>115</v>
      </c>
      <c r="BC514">
        <v>123</v>
      </c>
      <c r="BD514" t="s">
        <v>74</v>
      </c>
      <c r="BE514" t="s">
        <v>5393</v>
      </c>
      <c r="BF514" t="str">
        <f>HYPERLINK("http://dx.doi.org/10.1016/j.anbehav.2018.11.011","http://dx.doi.org/10.1016/j.anbehav.2018.11.011")</f>
        <v>http://dx.doi.org/10.1016/j.anbehav.2018.11.011</v>
      </c>
      <c r="BG514" t="s">
        <v>74</v>
      </c>
      <c r="BH514" t="s">
        <v>74</v>
      </c>
      <c r="BI514" t="s">
        <v>74</v>
      </c>
      <c r="BJ514" t="s">
        <v>74</v>
      </c>
      <c r="BK514" t="s">
        <v>74</v>
      </c>
      <c r="BL514" t="s">
        <v>74</v>
      </c>
      <c r="BM514" t="s">
        <v>74</v>
      </c>
      <c r="BN514" t="s">
        <v>74</v>
      </c>
      <c r="BO514" t="s">
        <v>74</v>
      </c>
      <c r="BP514" t="s">
        <v>74</v>
      </c>
      <c r="BQ514" t="s">
        <v>74</v>
      </c>
      <c r="BR514" t="s">
        <v>74</v>
      </c>
      <c r="BS514" t="s">
        <v>5394</v>
      </c>
      <c r="BT514" t="str">
        <f>HYPERLINK("https%3A%2F%2Fwww.webofscience.com%2Fwos%2Fwoscc%2Ffull-record%2FWOS:000455323900014","View Full Record in Web of Science")</f>
        <v>View Full Record in Web of Science</v>
      </c>
    </row>
    <row r="515" spans="1:72" x14ac:dyDescent="0.4">
      <c r="A515" t="s">
        <v>72</v>
      </c>
      <c r="B515" t="s">
        <v>4617</v>
      </c>
      <c r="C515" t="s">
        <v>74</v>
      </c>
      <c r="D515" t="s">
        <v>74</v>
      </c>
      <c r="E515" t="s">
        <v>74</v>
      </c>
      <c r="F515" t="s">
        <v>4618</v>
      </c>
      <c r="G515" t="s">
        <v>74</v>
      </c>
      <c r="H515" t="s">
        <v>74</v>
      </c>
      <c r="I515" t="s">
        <v>4619</v>
      </c>
      <c r="J515" t="s">
        <v>4620</v>
      </c>
      <c r="K515" t="s">
        <v>74</v>
      </c>
      <c r="L515" t="s">
        <v>74</v>
      </c>
      <c r="M515" t="s">
        <v>74</v>
      </c>
      <c r="N515" t="s">
        <v>74</v>
      </c>
      <c r="O515" t="s">
        <v>74</v>
      </c>
      <c r="P515" t="s">
        <v>74</v>
      </c>
      <c r="Q515" t="s">
        <v>74</v>
      </c>
      <c r="R515" t="s">
        <v>74</v>
      </c>
      <c r="S515" t="s">
        <v>74</v>
      </c>
      <c r="T515" t="s">
        <v>74</v>
      </c>
      <c r="U515" t="s">
        <v>74</v>
      </c>
      <c r="V515" s="3" t="s">
        <v>4621</v>
      </c>
      <c r="W515" t="s">
        <v>74</v>
      </c>
      <c r="X515" t="s">
        <v>74</v>
      </c>
      <c r="Y515" t="s">
        <v>74</v>
      </c>
      <c r="Z515" t="s">
        <v>74</v>
      </c>
      <c r="AA515" t="s">
        <v>4622</v>
      </c>
      <c r="AB515" t="s">
        <v>74</v>
      </c>
      <c r="AC515" t="s">
        <v>74</v>
      </c>
      <c r="AD515" t="s">
        <v>74</v>
      </c>
      <c r="AE515" t="s">
        <v>74</v>
      </c>
      <c r="AF515" t="s">
        <v>74</v>
      </c>
      <c r="AG515" t="s">
        <v>74</v>
      </c>
      <c r="AH515" t="s">
        <v>74</v>
      </c>
      <c r="AI515" t="s">
        <v>74</v>
      </c>
      <c r="AJ515" t="s">
        <v>74</v>
      </c>
      <c r="AK515" t="s">
        <v>74</v>
      </c>
      <c r="AL515" t="s">
        <v>74</v>
      </c>
      <c r="AM515" t="s">
        <v>74</v>
      </c>
      <c r="AN515" t="s">
        <v>74</v>
      </c>
      <c r="AO515" t="s">
        <v>4623</v>
      </c>
      <c r="AP515" t="s">
        <v>74</v>
      </c>
      <c r="AQ515" t="s">
        <v>74</v>
      </c>
      <c r="AR515" t="s">
        <v>74</v>
      </c>
      <c r="AS515" t="s">
        <v>74</v>
      </c>
      <c r="AT515" t="s">
        <v>74</v>
      </c>
      <c r="AU515">
        <v>2009</v>
      </c>
      <c r="AV515">
        <v>48</v>
      </c>
      <c r="AW515">
        <v>3</v>
      </c>
      <c r="AX515" t="s">
        <v>74</v>
      </c>
      <c r="AY515" t="s">
        <v>74</v>
      </c>
      <c r="AZ515" t="s">
        <v>74</v>
      </c>
      <c r="BA515" t="s">
        <v>74</v>
      </c>
      <c r="BB515">
        <v>209</v>
      </c>
      <c r="BC515">
        <v>214</v>
      </c>
      <c r="BD515" t="s">
        <v>74</v>
      </c>
      <c r="BE515" t="s">
        <v>4624</v>
      </c>
      <c r="BF515" t="str">
        <f>HYPERLINK("http://dx.doi.org/10.3896/IBRA.1.48.3.10","http://dx.doi.org/10.3896/IBRA.1.48.3.10")</f>
        <v>http://dx.doi.org/10.3896/IBRA.1.48.3.10</v>
      </c>
      <c r="BG515" t="s">
        <v>74</v>
      </c>
      <c r="BH515" t="s">
        <v>74</v>
      </c>
      <c r="BI515" t="s">
        <v>74</v>
      </c>
      <c r="BJ515" t="s">
        <v>74</v>
      </c>
      <c r="BK515" t="s">
        <v>74</v>
      </c>
      <c r="BL515" t="s">
        <v>74</v>
      </c>
      <c r="BM515" t="s">
        <v>74</v>
      </c>
      <c r="BN515" t="s">
        <v>74</v>
      </c>
      <c r="BO515" t="s">
        <v>74</v>
      </c>
      <c r="BP515" t="s">
        <v>74</v>
      </c>
      <c r="BQ515" t="s">
        <v>74</v>
      </c>
      <c r="BR515" t="s">
        <v>74</v>
      </c>
      <c r="BS515" t="s">
        <v>4625</v>
      </c>
      <c r="BT515" t="str">
        <f>HYPERLINK("https%3A%2F%2Fwww.webofscience.com%2Fwos%2Fwoscc%2Ffull-record%2FWOS:000267851900010","View Full Record in Web of Science")</f>
        <v>View Full Record in Web of Science</v>
      </c>
    </row>
    <row r="516" spans="1:72" x14ac:dyDescent="0.4">
      <c r="A516" t="s">
        <v>72</v>
      </c>
      <c r="B516" t="s">
        <v>1419</v>
      </c>
      <c r="C516" t="s">
        <v>74</v>
      </c>
      <c r="D516" t="s">
        <v>74</v>
      </c>
      <c r="E516" t="s">
        <v>74</v>
      </c>
      <c r="F516" t="s">
        <v>1420</v>
      </c>
      <c r="G516" t="s">
        <v>74</v>
      </c>
      <c r="H516" t="s">
        <v>74</v>
      </c>
      <c r="I516" t="s">
        <v>1421</v>
      </c>
      <c r="J516" t="s">
        <v>119</v>
      </c>
      <c r="K516" t="s">
        <v>74</v>
      </c>
      <c r="L516" t="s">
        <v>74</v>
      </c>
      <c r="M516" t="s">
        <v>74</v>
      </c>
      <c r="N516" t="s">
        <v>74</v>
      </c>
      <c r="O516" t="s">
        <v>74</v>
      </c>
      <c r="P516" t="s">
        <v>74</v>
      </c>
      <c r="Q516" t="s">
        <v>74</v>
      </c>
      <c r="R516" t="s">
        <v>74</v>
      </c>
      <c r="S516" t="s">
        <v>74</v>
      </c>
      <c r="T516" t="s">
        <v>74</v>
      </c>
      <c r="U516" t="s">
        <v>74</v>
      </c>
      <c r="V516" s="3" t="s">
        <v>1422</v>
      </c>
      <c r="W516" t="s">
        <v>74</v>
      </c>
      <c r="X516" t="s">
        <v>74</v>
      </c>
      <c r="Y516" t="s">
        <v>74</v>
      </c>
      <c r="Z516" t="s">
        <v>74</v>
      </c>
      <c r="AA516" t="s">
        <v>1423</v>
      </c>
      <c r="AB516" t="s">
        <v>1424</v>
      </c>
      <c r="AC516" t="s">
        <v>74</v>
      </c>
      <c r="AD516" t="s">
        <v>74</v>
      </c>
      <c r="AE516" t="s">
        <v>74</v>
      </c>
      <c r="AF516" t="s">
        <v>74</v>
      </c>
      <c r="AG516" t="s">
        <v>74</v>
      </c>
      <c r="AH516" t="s">
        <v>74</v>
      </c>
      <c r="AI516" t="s">
        <v>74</v>
      </c>
      <c r="AJ516" t="s">
        <v>74</v>
      </c>
      <c r="AK516" t="s">
        <v>74</v>
      </c>
      <c r="AL516" t="s">
        <v>74</v>
      </c>
      <c r="AM516" t="s">
        <v>74</v>
      </c>
      <c r="AN516" t="s">
        <v>74</v>
      </c>
      <c r="AO516" t="s">
        <v>121</v>
      </c>
      <c r="AP516" t="s">
        <v>122</v>
      </c>
      <c r="AQ516" t="s">
        <v>74</v>
      </c>
      <c r="AR516" t="s">
        <v>74</v>
      </c>
      <c r="AS516" t="s">
        <v>74</v>
      </c>
      <c r="AT516" t="s">
        <v>134</v>
      </c>
      <c r="AU516">
        <v>2018</v>
      </c>
      <c r="AV516">
        <v>150</v>
      </c>
      <c r="AW516" t="s">
        <v>74</v>
      </c>
      <c r="AX516" t="s">
        <v>74</v>
      </c>
      <c r="AY516" t="s">
        <v>74</v>
      </c>
      <c r="AZ516" t="s">
        <v>74</v>
      </c>
      <c r="BA516" t="s">
        <v>74</v>
      </c>
      <c r="BB516">
        <v>25</v>
      </c>
      <c r="BC516">
        <v>28</v>
      </c>
      <c r="BD516" t="s">
        <v>74</v>
      </c>
      <c r="BE516" t="s">
        <v>1425</v>
      </c>
      <c r="BF516" t="str">
        <f>HYPERLINK("http://dx.doi.org/10.1016/j.beproc.2018.02.006","http://dx.doi.org/10.1016/j.beproc.2018.02.006")</f>
        <v>http://dx.doi.org/10.1016/j.beproc.2018.02.006</v>
      </c>
      <c r="BG516" t="s">
        <v>74</v>
      </c>
      <c r="BH516" t="s">
        <v>74</v>
      </c>
      <c r="BI516" t="s">
        <v>74</v>
      </c>
      <c r="BJ516" t="s">
        <v>74</v>
      </c>
      <c r="BK516" t="s">
        <v>74</v>
      </c>
      <c r="BL516" t="s">
        <v>74</v>
      </c>
      <c r="BM516" t="s">
        <v>74</v>
      </c>
      <c r="BN516">
        <v>29447852</v>
      </c>
      <c r="BO516" t="s">
        <v>74</v>
      </c>
      <c r="BP516" t="s">
        <v>74</v>
      </c>
      <c r="BQ516" t="s">
        <v>74</v>
      </c>
      <c r="BR516" t="s">
        <v>74</v>
      </c>
      <c r="BS516" t="s">
        <v>1426</v>
      </c>
      <c r="BT516" t="str">
        <f>HYPERLINK("https%3A%2F%2Fwww.webofscience.com%2Fwos%2Fwoscc%2Ffull-record%2FWOS:000430765900004","View Full Record in Web of Science")</f>
        <v>View Full Record in Web of Science</v>
      </c>
    </row>
    <row r="517" spans="1:72" x14ac:dyDescent="0.4">
      <c r="A517" t="s">
        <v>72</v>
      </c>
      <c r="B517" t="s">
        <v>839</v>
      </c>
      <c r="C517" t="s">
        <v>74</v>
      </c>
      <c r="D517" t="s">
        <v>74</v>
      </c>
      <c r="E517" t="s">
        <v>74</v>
      </c>
      <c r="F517" t="s">
        <v>840</v>
      </c>
      <c r="G517" t="s">
        <v>74</v>
      </c>
      <c r="H517" t="s">
        <v>74</v>
      </c>
      <c r="I517" t="s">
        <v>841</v>
      </c>
      <c r="J517" t="s">
        <v>842</v>
      </c>
      <c r="K517" t="s">
        <v>74</v>
      </c>
      <c r="L517" t="s">
        <v>74</v>
      </c>
      <c r="M517" t="s">
        <v>74</v>
      </c>
      <c r="N517" t="s">
        <v>74</v>
      </c>
      <c r="O517" t="s">
        <v>74</v>
      </c>
      <c r="P517" t="s">
        <v>74</v>
      </c>
      <c r="Q517" t="s">
        <v>74</v>
      </c>
      <c r="R517" t="s">
        <v>74</v>
      </c>
      <c r="S517" t="s">
        <v>74</v>
      </c>
      <c r="T517" t="s">
        <v>74</v>
      </c>
      <c r="U517" t="s">
        <v>74</v>
      </c>
      <c r="V517" s="3" t="s">
        <v>843</v>
      </c>
      <c r="W517" t="s">
        <v>74</v>
      </c>
      <c r="X517" t="s">
        <v>74</v>
      </c>
      <c r="Y517" t="s">
        <v>74</v>
      </c>
      <c r="Z517" t="s">
        <v>74</v>
      </c>
      <c r="AA517" t="s">
        <v>844</v>
      </c>
      <c r="AB517" t="s">
        <v>845</v>
      </c>
      <c r="AC517" t="s">
        <v>74</v>
      </c>
      <c r="AD517" t="s">
        <v>74</v>
      </c>
      <c r="AE517" t="s">
        <v>74</v>
      </c>
      <c r="AF517" t="s">
        <v>74</v>
      </c>
      <c r="AG517" t="s">
        <v>74</v>
      </c>
      <c r="AH517" t="s">
        <v>74</v>
      </c>
      <c r="AI517" t="s">
        <v>74</v>
      </c>
      <c r="AJ517" t="s">
        <v>74</v>
      </c>
      <c r="AK517" t="s">
        <v>74</v>
      </c>
      <c r="AL517" t="s">
        <v>74</v>
      </c>
      <c r="AM517" t="s">
        <v>74</v>
      </c>
      <c r="AN517" t="s">
        <v>74</v>
      </c>
      <c r="AO517" t="s">
        <v>846</v>
      </c>
      <c r="AP517" t="s">
        <v>847</v>
      </c>
      <c r="AQ517" t="s">
        <v>74</v>
      </c>
      <c r="AR517" t="s">
        <v>74</v>
      </c>
      <c r="AS517" t="s">
        <v>74</v>
      </c>
      <c r="AT517" t="s">
        <v>204</v>
      </c>
      <c r="AU517">
        <v>2013</v>
      </c>
      <c r="AV517">
        <v>75</v>
      </c>
      <c r="AW517">
        <v>7</v>
      </c>
      <c r="AX517" t="s">
        <v>74</v>
      </c>
      <c r="AY517" t="s">
        <v>74</v>
      </c>
      <c r="AZ517" t="s">
        <v>848</v>
      </c>
      <c r="BA517" t="s">
        <v>74</v>
      </c>
      <c r="BB517">
        <v>740</v>
      </c>
      <c r="BC517">
        <v>751</v>
      </c>
      <c r="BD517" t="s">
        <v>74</v>
      </c>
      <c r="BE517" t="s">
        <v>849</v>
      </c>
      <c r="BF517" t="str">
        <f>HYPERLINK("http://dx.doi.org/10.1002/ajp.22099","http://dx.doi.org/10.1002/ajp.22099")</f>
        <v>http://dx.doi.org/10.1002/ajp.22099</v>
      </c>
      <c r="BG517" t="s">
        <v>74</v>
      </c>
      <c r="BH517" t="s">
        <v>74</v>
      </c>
      <c r="BI517" t="s">
        <v>74</v>
      </c>
      <c r="BJ517" t="s">
        <v>74</v>
      </c>
      <c r="BK517" t="s">
        <v>74</v>
      </c>
      <c r="BL517" t="s">
        <v>74</v>
      </c>
      <c r="BM517" t="s">
        <v>74</v>
      </c>
      <c r="BN517">
        <v>23192604</v>
      </c>
      <c r="BO517" t="s">
        <v>74</v>
      </c>
      <c r="BP517" t="s">
        <v>74</v>
      </c>
      <c r="BQ517" t="s">
        <v>74</v>
      </c>
      <c r="BR517" t="s">
        <v>74</v>
      </c>
      <c r="BS517" t="s">
        <v>850</v>
      </c>
      <c r="BT517" t="str">
        <f>HYPERLINK("https%3A%2F%2Fwww.webofscience.com%2Fwos%2Fwoscc%2Ffull-record%2FWOS:000319001000009","View Full Record in Web of Science")</f>
        <v>View Full Record in Web of Science</v>
      </c>
    </row>
    <row r="518" spans="1:72" x14ac:dyDescent="0.4">
      <c r="A518" t="s">
        <v>72</v>
      </c>
      <c r="B518" t="s">
        <v>5681</v>
      </c>
      <c r="C518" t="s">
        <v>74</v>
      </c>
      <c r="D518" t="s">
        <v>74</v>
      </c>
      <c r="E518" t="s">
        <v>74</v>
      </c>
      <c r="F518" t="s">
        <v>5682</v>
      </c>
      <c r="G518" t="s">
        <v>74</v>
      </c>
      <c r="H518" t="s">
        <v>74</v>
      </c>
      <c r="I518" t="s">
        <v>5683</v>
      </c>
      <c r="J518" t="s">
        <v>5684</v>
      </c>
      <c r="K518" t="s">
        <v>74</v>
      </c>
      <c r="L518" t="s">
        <v>74</v>
      </c>
      <c r="M518" t="s">
        <v>74</v>
      </c>
      <c r="N518" t="s">
        <v>74</v>
      </c>
      <c r="O518" t="s">
        <v>74</v>
      </c>
      <c r="P518" t="s">
        <v>74</v>
      </c>
      <c r="Q518" t="s">
        <v>74</v>
      </c>
      <c r="R518" t="s">
        <v>74</v>
      </c>
      <c r="S518" t="s">
        <v>74</v>
      </c>
      <c r="T518" t="s">
        <v>74</v>
      </c>
      <c r="U518" t="s">
        <v>74</v>
      </c>
      <c r="V518" s="3" t="s">
        <v>5685</v>
      </c>
      <c r="W518" t="s">
        <v>74</v>
      </c>
      <c r="X518" t="s">
        <v>74</v>
      </c>
      <c r="Y518" t="s">
        <v>74</v>
      </c>
      <c r="Z518" t="s">
        <v>74</v>
      </c>
      <c r="AA518" t="s">
        <v>5686</v>
      </c>
      <c r="AB518" t="s">
        <v>5687</v>
      </c>
      <c r="AC518" t="s">
        <v>74</v>
      </c>
      <c r="AD518" t="s">
        <v>74</v>
      </c>
      <c r="AE518" t="s">
        <v>74</v>
      </c>
      <c r="AF518" t="s">
        <v>74</v>
      </c>
      <c r="AG518" t="s">
        <v>74</v>
      </c>
      <c r="AH518" t="s">
        <v>74</v>
      </c>
      <c r="AI518" t="s">
        <v>74</v>
      </c>
      <c r="AJ518" t="s">
        <v>74</v>
      </c>
      <c r="AK518" t="s">
        <v>74</v>
      </c>
      <c r="AL518" t="s">
        <v>74</v>
      </c>
      <c r="AM518" t="s">
        <v>74</v>
      </c>
      <c r="AN518" t="s">
        <v>74</v>
      </c>
      <c r="AO518" t="s">
        <v>5688</v>
      </c>
      <c r="AP518" t="s">
        <v>5689</v>
      </c>
      <c r="AQ518" t="s">
        <v>74</v>
      </c>
      <c r="AR518" t="s">
        <v>74</v>
      </c>
      <c r="AS518" t="s">
        <v>74</v>
      </c>
      <c r="AT518" t="s">
        <v>102</v>
      </c>
      <c r="AU518">
        <v>2018</v>
      </c>
      <c r="AV518">
        <v>74</v>
      </c>
      <c r="AW518">
        <v>6</v>
      </c>
      <c r="AX518" t="s">
        <v>74</v>
      </c>
      <c r="AY518" t="s">
        <v>74</v>
      </c>
      <c r="AZ518" t="s">
        <v>74</v>
      </c>
      <c r="BA518" t="s">
        <v>74</v>
      </c>
      <c r="BB518">
        <v>1404</v>
      </c>
      <c r="BC518">
        <v>1415</v>
      </c>
      <c r="BD518" t="s">
        <v>74</v>
      </c>
      <c r="BE518" t="s">
        <v>5690</v>
      </c>
      <c r="BF518" t="str">
        <f>HYPERLINK("http://dx.doi.org/10.1002/ps.4820","http://dx.doi.org/10.1002/ps.4820")</f>
        <v>http://dx.doi.org/10.1002/ps.4820</v>
      </c>
      <c r="BG518" t="s">
        <v>74</v>
      </c>
      <c r="BH518" t="s">
        <v>74</v>
      </c>
      <c r="BI518" t="s">
        <v>74</v>
      </c>
      <c r="BJ518" t="s">
        <v>74</v>
      </c>
      <c r="BK518" t="s">
        <v>74</v>
      </c>
      <c r="BL518" t="s">
        <v>74</v>
      </c>
      <c r="BM518" t="s">
        <v>74</v>
      </c>
      <c r="BN518">
        <v>29205860</v>
      </c>
      <c r="BO518" t="s">
        <v>74</v>
      </c>
      <c r="BP518" t="s">
        <v>74</v>
      </c>
      <c r="BQ518" t="s">
        <v>74</v>
      </c>
      <c r="BR518" t="s">
        <v>74</v>
      </c>
      <c r="BS518" t="s">
        <v>5691</v>
      </c>
      <c r="BT518" t="str">
        <f>HYPERLINK("https%3A%2F%2Fwww.webofscience.com%2Fwos%2Fwoscc%2Ffull-record%2FWOS:000431670200022","View Full Record in Web of Science")</f>
        <v>View Full Record in Web of Science</v>
      </c>
    </row>
    <row r="519" spans="1:72" x14ac:dyDescent="0.4">
      <c r="A519" t="s">
        <v>72</v>
      </c>
      <c r="B519" t="s">
        <v>7108</v>
      </c>
      <c r="C519" t="s">
        <v>74</v>
      </c>
      <c r="D519" t="s">
        <v>74</v>
      </c>
      <c r="E519" t="s">
        <v>74</v>
      </c>
      <c r="F519" t="s">
        <v>7109</v>
      </c>
      <c r="G519" t="s">
        <v>74</v>
      </c>
      <c r="H519" t="s">
        <v>74</v>
      </c>
      <c r="I519" t="s">
        <v>7110</v>
      </c>
      <c r="J519" t="s">
        <v>3411</v>
      </c>
      <c r="K519" t="s">
        <v>74</v>
      </c>
      <c r="L519" t="s">
        <v>74</v>
      </c>
      <c r="M519" t="s">
        <v>74</v>
      </c>
      <c r="N519" t="s">
        <v>74</v>
      </c>
      <c r="O519" t="s">
        <v>74</v>
      </c>
      <c r="P519" t="s">
        <v>74</v>
      </c>
      <c r="Q519" t="s">
        <v>74</v>
      </c>
      <c r="R519" t="s">
        <v>74</v>
      </c>
      <c r="S519" t="s">
        <v>74</v>
      </c>
      <c r="T519" t="s">
        <v>74</v>
      </c>
      <c r="U519" t="s">
        <v>74</v>
      </c>
      <c r="V519" s="3" t="s">
        <v>7111</v>
      </c>
      <c r="W519" t="s">
        <v>74</v>
      </c>
      <c r="X519" t="s">
        <v>74</v>
      </c>
      <c r="Y519" t="s">
        <v>74</v>
      </c>
      <c r="Z519" t="s">
        <v>74</v>
      </c>
      <c r="AA519" t="s">
        <v>7112</v>
      </c>
      <c r="AB519" t="s">
        <v>7113</v>
      </c>
      <c r="AC519" t="s">
        <v>74</v>
      </c>
      <c r="AD519" t="s">
        <v>74</v>
      </c>
      <c r="AE519" t="s">
        <v>74</v>
      </c>
      <c r="AF519" t="s">
        <v>74</v>
      </c>
      <c r="AG519" t="s">
        <v>74</v>
      </c>
      <c r="AH519" t="s">
        <v>74</v>
      </c>
      <c r="AI519" t="s">
        <v>74</v>
      </c>
      <c r="AJ519" t="s">
        <v>74</v>
      </c>
      <c r="AK519" t="s">
        <v>74</v>
      </c>
      <c r="AL519" t="s">
        <v>74</v>
      </c>
      <c r="AM519" t="s">
        <v>74</v>
      </c>
      <c r="AN519" t="s">
        <v>74</v>
      </c>
      <c r="AO519" t="s">
        <v>3415</v>
      </c>
      <c r="AP519" t="s">
        <v>3416</v>
      </c>
      <c r="AQ519" t="s">
        <v>74</v>
      </c>
      <c r="AR519" t="s">
        <v>74</v>
      </c>
      <c r="AS519" t="s">
        <v>74</v>
      </c>
      <c r="AT519" t="s">
        <v>74</v>
      </c>
      <c r="AU519">
        <v>2010</v>
      </c>
      <c r="AV519">
        <v>110</v>
      </c>
      <c r="AW519">
        <v>2</v>
      </c>
      <c r="AX519" t="s">
        <v>74</v>
      </c>
      <c r="AY519" t="s">
        <v>74</v>
      </c>
      <c r="AZ519" t="s">
        <v>74</v>
      </c>
      <c r="BA519" t="s">
        <v>74</v>
      </c>
      <c r="BB519">
        <v>142</v>
      </c>
      <c r="BC519">
        <v>145</v>
      </c>
      <c r="BD519" t="s">
        <v>74</v>
      </c>
      <c r="BE519" t="s">
        <v>7114</v>
      </c>
      <c r="BF519" t="str">
        <f>HYPERLINK("http://dx.doi.org/10.1071/MU09016","http://dx.doi.org/10.1071/MU09016")</f>
        <v>http://dx.doi.org/10.1071/MU09016</v>
      </c>
      <c r="BG519" t="s">
        <v>74</v>
      </c>
      <c r="BH519" t="s">
        <v>74</v>
      </c>
      <c r="BI519" t="s">
        <v>74</v>
      </c>
      <c r="BJ519" t="s">
        <v>74</v>
      </c>
      <c r="BK519" t="s">
        <v>74</v>
      </c>
      <c r="BL519" t="s">
        <v>74</v>
      </c>
      <c r="BM519" t="s">
        <v>74</v>
      </c>
      <c r="BN519" t="s">
        <v>74</v>
      </c>
      <c r="BO519" t="s">
        <v>74</v>
      </c>
      <c r="BP519" t="s">
        <v>74</v>
      </c>
      <c r="BQ519" t="s">
        <v>74</v>
      </c>
      <c r="BR519" t="s">
        <v>74</v>
      </c>
      <c r="BS519" t="s">
        <v>7115</v>
      </c>
      <c r="BT519" t="str">
        <f>HYPERLINK("https%3A%2F%2Fwww.webofscience.com%2Fwos%2Fwoscc%2Ffull-record%2FWOS:000278020200006","View Full Record in Web of Science")</f>
        <v>View Full Record in Web of Science</v>
      </c>
    </row>
    <row r="520" spans="1:72" x14ac:dyDescent="0.4">
      <c r="A520" t="s">
        <v>72</v>
      </c>
      <c r="B520" t="s">
        <v>5016</v>
      </c>
      <c r="C520" t="s">
        <v>74</v>
      </c>
      <c r="D520" t="s">
        <v>74</v>
      </c>
      <c r="E520" t="s">
        <v>74</v>
      </c>
      <c r="F520" t="s">
        <v>5017</v>
      </c>
      <c r="G520" t="s">
        <v>74</v>
      </c>
      <c r="H520" t="s">
        <v>74</v>
      </c>
      <c r="I520" t="s">
        <v>5018</v>
      </c>
      <c r="J520" t="s">
        <v>2651</v>
      </c>
      <c r="K520" t="s">
        <v>74</v>
      </c>
      <c r="L520" t="s">
        <v>74</v>
      </c>
      <c r="M520" t="s">
        <v>74</v>
      </c>
      <c r="N520" t="s">
        <v>74</v>
      </c>
      <c r="O520" t="s">
        <v>74</v>
      </c>
      <c r="P520" t="s">
        <v>74</v>
      </c>
      <c r="Q520" t="s">
        <v>74</v>
      </c>
      <c r="R520" t="s">
        <v>74</v>
      </c>
      <c r="S520" t="s">
        <v>74</v>
      </c>
      <c r="T520" t="s">
        <v>74</v>
      </c>
      <c r="U520" t="s">
        <v>74</v>
      </c>
      <c r="V520" s="3" t="s">
        <v>5019</v>
      </c>
      <c r="W520" t="s">
        <v>74</v>
      </c>
      <c r="X520" t="s">
        <v>74</v>
      </c>
      <c r="Y520" t="s">
        <v>74</v>
      </c>
      <c r="Z520" t="s">
        <v>74</v>
      </c>
      <c r="AA520" t="s">
        <v>5020</v>
      </c>
      <c r="AB520" t="s">
        <v>5021</v>
      </c>
      <c r="AC520" t="s">
        <v>74</v>
      </c>
      <c r="AD520" t="s">
        <v>74</v>
      </c>
      <c r="AE520" t="s">
        <v>74</v>
      </c>
      <c r="AF520" t="s">
        <v>74</v>
      </c>
      <c r="AG520" t="s">
        <v>74</v>
      </c>
      <c r="AH520" t="s">
        <v>74</v>
      </c>
      <c r="AI520" t="s">
        <v>74</v>
      </c>
      <c r="AJ520" t="s">
        <v>74</v>
      </c>
      <c r="AK520" t="s">
        <v>74</v>
      </c>
      <c r="AL520" t="s">
        <v>74</v>
      </c>
      <c r="AM520" t="s">
        <v>74</v>
      </c>
      <c r="AN520" t="s">
        <v>74</v>
      </c>
      <c r="AO520" t="s">
        <v>2655</v>
      </c>
      <c r="AP520" t="s">
        <v>2656</v>
      </c>
      <c r="AQ520" t="s">
        <v>74</v>
      </c>
      <c r="AR520" t="s">
        <v>74</v>
      </c>
      <c r="AS520" t="s">
        <v>74</v>
      </c>
      <c r="AT520" t="s">
        <v>134</v>
      </c>
      <c r="AU520">
        <v>2022</v>
      </c>
      <c r="AV520">
        <v>43</v>
      </c>
      <c r="AW520">
        <v>3</v>
      </c>
      <c r="AX520" t="s">
        <v>74</v>
      </c>
      <c r="AY520" t="s">
        <v>74</v>
      </c>
      <c r="AZ520" t="s">
        <v>74</v>
      </c>
      <c r="BA520" t="s">
        <v>74</v>
      </c>
      <c r="BB520">
        <v>169</v>
      </c>
      <c r="BC520">
        <v>180</v>
      </c>
      <c r="BD520" t="s">
        <v>74</v>
      </c>
      <c r="BE520" t="s">
        <v>5022</v>
      </c>
      <c r="BF520" t="str">
        <f>HYPERLINK("http://dx.doi.org/10.1016/j.evolhumbehav.2021.12.004","http://dx.doi.org/10.1016/j.evolhumbehav.2021.12.004")</f>
        <v>http://dx.doi.org/10.1016/j.evolhumbehav.2021.12.004</v>
      </c>
      <c r="BG520" t="s">
        <v>74</v>
      </c>
      <c r="BH520" t="s">
        <v>2006</v>
      </c>
      <c r="BI520" t="s">
        <v>74</v>
      </c>
      <c r="BJ520" t="s">
        <v>74</v>
      </c>
      <c r="BK520" t="s">
        <v>74</v>
      </c>
      <c r="BL520" t="s">
        <v>74</v>
      </c>
      <c r="BM520" t="s">
        <v>74</v>
      </c>
      <c r="BN520" t="s">
        <v>74</v>
      </c>
      <c r="BO520" t="s">
        <v>74</v>
      </c>
      <c r="BP520" t="s">
        <v>74</v>
      </c>
      <c r="BQ520" t="s">
        <v>74</v>
      </c>
      <c r="BR520" t="s">
        <v>74</v>
      </c>
      <c r="BS520" t="s">
        <v>5023</v>
      </c>
      <c r="BT520" t="str">
        <f>HYPERLINK("https%3A%2F%2Fwww.webofscience.com%2Fwos%2Fwoscc%2Ffull-record%2FWOS:000797243400001","View Full Record in Web of Science")</f>
        <v>View Full Record in Web of Science</v>
      </c>
    </row>
    <row r="521" spans="1:72" x14ac:dyDescent="0.4">
      <c r="A521" t="s">
        <v>72</v>
      </c>
      <c r="B521" t="s">
        <v>278</v>
      </c>
      <c r="C521" t="s">
        <v>74</v>
      </c>
      <c r="D521" t="s">
        <v>74</v>
      </c>
      <c r="E521" t="s">
        <v>74</v>
      </c>
      <c r="F521" t="s">
        <v>279</v>
      </c>
      <c r="G521" t="s">
        <v>74</v>
      </c>
      <c r="H521" t="s">
        <v>74</v>
      </c>
      <c r="I521" t="s">
        <v>280</v>
      </c>
      <c r="J521" t="s">
        <v>281</v>
      </c>
      <c r="K521" t="s">
        <v>74</v>
      </c>
      <c r="L521" t="s">
        <v>74</v>
      </c>
      <c r="M521" t="s">
        <v>74</v>
      </c>
      <c r="N521" t="s">
        <v>74</v>
      </c>
      <c r="O521" t="s">
        <v>74</v>
      </c>
      <c r="P521" t="s">
        <v>74</v>
      </c>
      <c r="Q521" t="s">
        <v>74</v>
      </c>
      <c r="R521" t="s">
        <v>74</v>
      </c>
      <c r="S521" t="s">
        <v>74</v>
      </c>
      <c r="T521" t="s">
        <v>74</v>
      </c>
      <c r="U521" t="s">
        <v>74</v>
      </c>
      <c r="V521" s="3" t="s">
        <v>282</v>
      </c>
      <c r="W521" t="s">
        <v>74</v>
      </c>
      <c r="X521" t="s">
        <v>74</v>
      </c>
      <c r="Y521" t="s">
        <v>74</v>
      </c>
      <c r="Z521" t="s">
        <v>74</v>
      </c>
      <c r="AA521" t="s">
        <v>283</v>
      </c>
      <c r="AB521" t="s">
        <v>284</v>
      </c>
      <c r="AC521" t="s">
        <v>74</v>
      </c>
      <c r="AD521" t="s">
        <v>74</v>
      </c>
      <c r="AE521" t="s">
        <v>74</v>
      </c>
      <c r="AF521" t="s">
        <v>74</v>
      </c>
      <c r="AG521" t="s">
        <v>74</v>
      </c>
      <c r="AH521" t="s">
        <v>74</v>
      </c>
      <c r="AI521" t="s">
        <v>74</v>
      </c>
      <c r="AJ521" t="s">
        <v>74</v>
      </c>
      <c r="AK521" t="s">
        <v>74</v>
      </c>
      <c r="AL521" t="s">
        <v>74</v>
      </c>
      <c r="AM521" t="s">
        <v>74</v>
      </c>
      <c r="AN521" t="s">
        <v>74</v>
      </c>
      <c r="AO521" t="s">
        <v>285</v>
      </c>
      <c r="AP521" t="s">
        <v>286</v>
      </c>
      <c r="AQ521" t="s">
        <v>74</v>
      </c>
      <c r="AR521" t="s">
        <v>74</v>
      </c>
      <c r="AS521" t="s">
        <v>74</v>
      </c>
      <c r="AT521" t="s">
        <v>123</v>
      </c>
      <c r="AU521">
        <v>2013</v>
      </c>
      <c r="AV521">
        <v>16</v>
      </c>
      <c r="AW521">
        <v>2</v>
      </c>
      <c r="AX521" t="s">
        <v>74</v>
      </c>
      <c r="AY521" t="s">
        <v>74</v>
      </c>
      <c r="AZ521" t="s">
        <v>74</v>
      </c>
      <c r="BA521" t="s">
        <v>74</v>
      </c>
      <c r="BB521">
        <v>287</v>
      </c>
      <c r="BC521">
        <v>300</v>
      </c>
      <c r="BD521" t="s">
        <v>74</v>
      </c>
      <c r="BE521" t="s">
        <v>287</v>
      </c>
      <c r="BF521" t="str">
        <f>HYPERLINK("http://dx.doi.org/10.1007/s10071-012-0572-0","http://dx.doi.org/10.1007/s10071-012-0572-0")</f>
        <v>http://dx.doi.org/10.1007/s10071-012-0572-0</v>
      </c>
      <c r="BG521" t="s">
        <v>74</v>
      </c>
      <c r="BH521" t="s">
        <v>74</v>
      </c>
      <c r="BI521" t="s">
        <v>74</v>
      </c>
      <c r="BJ521" t="s">
        <v>74</v>
      </c>
      <c r="BK521" t="s">
        <v>74</v>
      </c>
      <c r="BL521" t="s">
        <v>74</v>
      </c>
      <c r="BM521" t="s">
        <v>74</v>
      </c>
      <c r="BN521">
        <v>23111900</v>
      </c>
      <c r="BO521" t="s">
        <v>74</v>
      </c>
      <c r="BP521" t="s">
        <v>74</v>
      </c>
      <c r="BQ521" t="s">
        <v>74</v>
      </c>
      <c r="BR521" t="s">
        <v>74</v>
      </c>
      <c r="BS521" t="s">
        <v>288</v>
      </c>
      <c r="BT521" t="str">
        <f>HYPERLINK("https%3A%2F%2Fwww.webofscience.com%2Fwos%2Fwoscc%2Ffull-record%2FWOS:000315035100012","View Full Record in Web of Science")</f>
        <v>View Full Record in Web of Science</v>
      </c>
    </row>
    <row r="522" spans="1:72" x14ac:dyDescent="0.4">
      <c r="A522" t="s">
        <v>72</v>
      </c>
      <c r="B522" t="s">
        <v>8663</v>
      </c>
      <c r="C522" t="s">
        <v>74</v>
      </c>
      <c r="D522" t="s">
        <v>74</v>
      </c>
      <c r="E522" t="s">
        <v>74</v>
      </c>
      <c r="F522" t="s">
        <v>8664</v>
      </c>
      <c r="G522" t="s">
        <v>74</v>
      </c>
      <c r="H522" t="s">
        <v>74</v>
      </c>
      <c r="I522" t="s">
        <v>8665</v>
      </c>
      <c r="J522" t="s">
        <v>8666</v>
      </c>
      <c r="K522" t="s">
        <v>74</v>
      </c>
      <c r="L522" t="s">
        <v>74</v>
      </c>
      <c r="M522" t="s">
        <v>74</v>
      </c>
      <c r="N522" t="s">
        <v>74</v>
      </c>
      <c r="O522" t="s">
        <v>74</v>
      </c>
      <c r="P522" t="s">
        <v>74</v>
      </c>
      <c r="Q522" t="s">
        <v>74</v>
      </c>
      <c r="R522" t="s">
        <v>74</v>
      </c>
      <c r="S522" t="s">
        <v>74</v>
      </c>
      <c r="T522" t="s">
        <v>74</v>
      </c>
      <c r="U522" t="s">
        <v>74</v>
      </c>
      <c r="V522" s="3" t="s">
        <v>8667</v>
      </c>
      <c r="W522" t="s">
        <v>74</v>
      </c>
      <c r="X522" t="s">
        <v>74</v>
      </c>
      <c r="Y522" t="s">
        <v>74</v>
      </c>
      <c r="Z522" t="s">
        <v>74</v>
      </c>
      <c r="AA522" t="s">
        <v>8668</v>
      </c>
      <c r="AB522" t="s">
        <v>8669</v>
      </c>
      <c r="AC522" t="s">
        <v>74</v>
      </c>
      <c r="AD522" t="s">
        <v>74</v>
      </c>
      <c r="AE522" t="s">
        <v>74</v>
      </c>
      <c r="AF522" t="s">
        <v>74</v>
      </c>
      <c r="AG522" t="s">
        <v>74</v>
      </c>
      <c r="AH522" t="s">
        <v>74</v>
      </c>
      <c r="AI522" t="s">
        <v>74</v>
      </c>
      <c r="AJ522" t="s">
        <v>74</v>
      </c>
      <c r="AK522" t="s">
        <v>74</v>
      </c>
      <c r="AL522" t="s">
        <v>74</v>
      </c>
      <c r="AM522" t="s">
        <v>74</v>
      </c>
      <c r="AN522" t="s">
        <v>74</v>
      </c>
      <c r="AO522" t="s">
        <v>8670</v>
      </c>
      <c r="AP522" t="s">
        <v>8671</v>
      </c>
      <c r="AQ522" t="s">
        <v>74</v>
      </c>
      <c r="AR522" t="s">
        <v>74</v>
      </c>
      <c r="AS522" t="s">
        <v>74</v>
      </c>
      <c r="AT522" t="s">
        <v>123</v>
      </c>
      <c r="AU522">
        <v>2011</v>
      </c>
      <c r="AV522">
        <v>41</v>
      </c>
      <c r="AW522">
        <v>2</v>
      </c>
      <c r="AX522" t="s">
        <v>74</v>
      </c>
      <c r="AY522" t="s">
        <v>74</v>
      </c>
      <c r="AZ522" t="s">
        <v>74</v>
      </c>
      <c r="BA522" t="s">
        <v>74</v>
      </c>
      <c r="BB522">
        <v>312</v>
      </c>
      <c r="BC522">
        <v>322</v>
      </c>
      <c r="BD522" t="s">
        <v>74</v>
      </c>
      <c r="BE522" t="s">
        <v>8672</v>
      </c>
      <c r="BF522" t="str">
        <f>HYPERLINK("http://dx.doi.org/10.1007/s10519-010-9379-4","http://dx.doi.org/10.1007/s10519-010-9379-4")</f>
        <v>http://dx.doi.org/10.1007/s10519-010-9379-4</v>
      </c>
      <c r="BG522" t="s">
        <v>74</v>
      </c>
      <c r="BH522" t="s">
        <v>74</v>
      </c>
      <c r="BI522" t="s">
        <v>74</v>
      </c>
      <c r="BJ522" t="s">
        <v>74</v>
      </c>
      <c r="BK522" t="s">
        <v>74</v>
      </c>
      <c r="BL522" t="s">
        <v>74</v>
      </c>
      <c r="BM522" t="s">
        <v>74</v>
      </c>
      <c r="BN522">
        <v>20623330</v>
      </c>
      <c r="BO522" t="s">
        <v>74</v>
      </c>
      <c r="BP522" t="s">
        <v>74</v>
      </c>
      <c r="BQ522" t="s">
        <v>74</v>
      </c>
      <c r="BR522" t="s">
        <v>74</v>
      </c>
      <c r="BS522" t="s">
        <v>8673</v>
      </c>
      <c r="BT522" t="str">
        <f>HYPERLINK("https%3A%2F%2Fwww.webofscience.com%2Fwos%2Fwoscc%2Ffull-record%2FWOS:000287749700015","View Full Record in Web of Science")</f>
        <v>View Full Record in Web of Science</v>
      </c>
    </row>
    <row r="523" spans="1:72" x14ac:dyDescent="0.4">
      <c r="A523" t="s">
        <v>72</v>
      </c>
      <c r="B523" t="s">
        <v>3057</v>
      </c>
      <c r="C523" t="s">
        <v>74</v>
      </c>
      <c r="D523" t="s">
        <v>74</v>
      </c>
      <c r="E523" t="s">
        <v>74</v>
      </c>
      <c r="F523" t="s">
        <v>3058</v>
      </c>
      <c r="G523" t="s">
        <v>74</v>
      </c>
      <c r="H523" t="s">
        <v>74</v>
      </c>
      <c r="I523" t="s">
        <v>3059</v>
      </c>
      <c r="J523" t="s">
        <v>333</v>
      </c>
      <c r="K523" t="s">
        <v>74</v>
      </c>
      <c r="L523" t="s">
        <v>74</v>
      </c>
      <c r="M523" t="s">
        <v>74</v>
      </c>
      <c r="N523" t="s">
        <v>74</v>
      </c>
      <c r="O523" t="s">
        <v>74</v>
      </c>
      <c r="P523" t="s">
        <v>74</v>
      </c>
      <c r="Q523" t="s">
        <v>74</v>
      </c>
      <c r="R523" t="s">
        <v>74</v>
      </c>
      <c r="S523" t="s">
        <v>74</v>
      </c>
      <c r="T523" t="s">
        <v>74</v>
      </c>
      <c r="U523" t="s">
        <v>74</v>
      </c>
      <c r="V523" s="3" t="s">
        <v>3060</v>
      </c>
      <c r="W523" t="s">
        <v>74</v>
      </c>
      <c r="X523" t="s">
        <v>74</v>
      </c>
      <c r="Y523" t="s">
        <v>74</v>
      </c>
      <c r="Z523" t="s">
        <v>74</v>
      </c>
      <c r="AA523" t="s">
        <v>3061</v>
      </c>
      <c r="AB523" t="s">
        <v>3062</v>
      </c>
      <c r="AC523" t="s">
        <v>74</v>
      </c>
      <c r="AD523" t="s">
        <v>74</v>
      </c>
      <c r="AE523" t="s">
        <v>74</v>
      </c>
      <c r="AF523" t="s">
        <v>74</v>
      </c>
      <c r="AG523" t="s">
        <v>74</v>
      </c>
      <c r="AH523" t="s">
        <v>74</v>
      </c>
      <c r="AI523" t="s">
        <v>74</v>
      </c>
      <c r="AJ523" t="s">
        <v>74</v>
      </c>
      <c r="AK523" t="s">
        <v>74</v>
      </c>
      <c r="AL523" t="s">
        <v>74</v>
      </c>
      <c r="AM523" t="s">
        <v>74</v>
      </c>
      <c r="AN523" t="s">
        <v>74</v>
      </c>
      <c r="AO523" t="s">
        <v>337</v>
      </c>
      <c r="AP523" t="s">
        <v>74</v>
      </c>
      <c r="AQ523" t="s">
        <v>74</v>
      </c>
      <c r="AR523" t="s">
        <v>74</v>
      </c>
      <c r="AS523" t="s">
        <v>74</v>
      </c>
      <c r="AT523" t="s">
        <v>808</v>
      </c>
      <c r="AU523">
        <v>2008</v>
      </c>
      <c r="AV523">
        <v>19</v>
      </c>
      <c r="AW523">
        <v>3</v>
      </c>
      <c r="AX523" t="s">
        <v>74</v>
      </c>
      <c r="AY523" t="s">
        <v>74</v>
      </c>
      <c r="AZ523" t="s">
        <v>74</v>
      </c>
      <c r="BA523" t="s">
        <v>74</v>
      </c>
      <c r="BB523">
        <v>508</v>
      </c>
      <c r="BC523">
        <v>516</v>
      </c>
      <c r="BD523" t="s">
        <v>74</v>
      </c>
      <c r="BE523" t="s">
        <v>3063</v>
      </c>
      <c r="BF523" t="str">
        <f>HYPERLINK("http://dx.doi.org/10.1093/beheco/arm159","http://dx.doi.org/10.1093/beheco/arm159")</f>
        <v>http://dx.doi.org/10.1093/beheco/arm159</v>
      </c>
      <c r="BG523" t="s">
        <v>74</v>
      </c>
      <c r="BH523" t="s">
        <v>74</v>
      </c>
      <c r="BI523" t="s">
        <v>74</v>
      </c>
      <c r="BJ523" t="s">
        <v>74</v>
      </c>
      <c r="BK523" t="s">
        <v>74</v>
      </c>
      <c r="BL523" t="s">
        <v>74</v>
      </c>
      <c r="BM523" t="s">
        <v>74</v>
      </c>
      <c r="BN523" t="s">
        <v>74</v>
      </c>
      <c r="BO523" t="s">
        <v>74</v>
      </c>
      <c r="BP523" t="s">
        <v>74</v>
      </c>
      <c r="BQ523" t="s">
        <v>74</v>
      </c>
      <c r="BR523" t="s">
        <v>74</v>
      </c>
      <c r="BS523" t="s">
        <v>3064</v>
      </c>
      <c r="BT523" t="str">
        <f>HYPERLINK("https%3A%2F%2Fwww.webofscience.com%2Fwos%2Fwoscc%2Ffull-record%2FWOS:000255987600006","View Full Record in Web of Science")</f>
        <v>View Full Record in Web of Science</v>
      </c>
    </row>
    <row r="524" spans="1:72" x14ac:dyDescent="0.4">
      <c r="A524" t="s">
        <v>72</v>
      </c>
      <c r="B524" t="s">
        <v>8606</v>
      </c>
      <c r="C524" t="s">
        <v>74</v>
      </c>
      <c r="D524" t="s">
        <v>74</v>
      </c>
      <c r="E524" t="s">
        <v>74</v>
      </c>
      <c r="F524" t="s">
        <v>8607</v>
      </c>
      <c r="G524" t="s">
        <v>74</v>
      </c>
      <c r="H524" t="s">
        <v>74</v>
      </c>
      <c r="I524" t="s">
        <v>8608</v>
      </c>
      <c r="J524" t="s">
        <v>2207</v>
      </c>
      <c r="K524" t="s">
        <v>74</v>
      </c>
      <c r="L524" t="s">
        <v>74</v>
      </c>
      <c r="M524" t="s">
        <v>74</v>
      </c>
      <c r="N524" t="s">
        <v>74</v>
      </c>
      <c r="O524" t="s">
        <v>74</v>
      </c>
      <c r="P524" t="s">
        <v>74</v>
      </c>
      <c r="Q524" t="s">
        <v>74</v>
      </c>
      <c r="R524" t="s">
        <v>74</v>
      </c>
      <c r="S524" t="s">
        <v>74</v>
      </c>
      <c r="T524" t="s">
        <v>74</v>
      </c>
      <c r="U524" t="s">
        <v>74</v>
      </c>
      <c r="V524" s="3" t="s">
        <v>8609</v>
      </c>
      <c r="W524" t="s">
        <v>74</v>
      </c>
      <c r="X524" t="s">
        <v>74</v>
      </c>
      <c r="Y524" t="s">
        <v>74</v>
      </c>
      <c r="Z524" t="s">
        <v>74</v>
      </c>
      <c r="AA524" t="s">
        <v>8610</v>
      </c>
      <c r="AB524" t="s">
        <v>8611</v>
      </c>
      <c r="AC524" t="s">
        <v>74</v>
      </c>
      <c r="AD524" t="s">
        <v>74</v>
      </c>
      <c r="AE524" t="s">
        <v>74</v>
      </c>
      <c r="AF524" t="s">
        <v>74</v>
      </c>
      <c r="AG524" t="s">
        <v>74</v>
      </c>
      <c r="AH524" t="s">
        <v>74</v>
      </c>
      <c r="AI524" t="s">
        <v>74</v>
      </c>
      <c r="AJ524" t="s">
        <v>74</v>
      </c>
      <c r="AK524" t="s">
        <v>74</v>
      </c>
      <c r="AL524" t="s">
        <v>74</v>
      </c>
      <c r="AM524" t="s">
        <v>74</v>
      </c>
      <c r="AN524" t="s">
        <v>74</v>
      </c>
      <c r="AO524" t="s">
        <v>2211</v>
      </c>
      <c r="AP524" t="s">
        <v>2461</v>
      </c>
      <c r="AQ524" t="s">
        <v>74</v>
      </c>
      <c r="AR524" t="s">
        <v>74</v>
      </c>
      <c r="AS524" t="s">
        <v>74</v>
      </c>
      <c r="AT524" t="s">
        <v>352</v>
      </c>
      <c r="AU524">
        <v>2009</v>
      </c>
      <c r="AV524">
        <v>40</v>
      </c>
      <c r="AW524">
        <v>5</v>
      </c>
      <c r="AX524" t="s">
        <v>74</v>
      </c>
      <c r="AY524" t="s">
        <v>74</v>
      </c>
      <c r="AZ524" t="s">
        <v>74</v>
      </c>
      <c r="BA524" t="s">
        <v>74</v>
      </c>
      <c r="BB524">
        <v>559</v>
      </c>
      <c r="BC524">
        <v>568</v>
      </c>
      <c r="BD524" t="s">
        <v>74</v>
      </c>
      <c r="BE524" t="s">
        <v>8612</v>
      </c>
      <c r="BF524" t="str">
        <f>HYPERLINK("http://dx.doi.org/10.1111/j.1600-048X.2009.04572.x","http://dx.doi.org/10.1111/j.1600-048X.2009.04572.x")</f>
        <v>http://dx.doi.org/10.1111/j.1600-048X.2009.04572.x</v>
      </c>
      <c r="BG524" t="s">
        <v>74</v>
      </c>
      <c r="BH524" t="s">
        <v>74</v>
      </c>
      <c r="BI524" t="s">
        <v>74</v>
      </c>
      <c r="BJ524" t="s">
        <v>74</v>
      </c>
      <c r="BK524" t="s">
        <v>74</v>
      </c>
      <c r="BL524" t="s">
        <v>74</v>
      </c>
      <c r="BM524" t="s">
        <v>74</v>
      </c>
      <c r="BN524" t="s">
        <v>74</v>
      </c>
      <c r="BO524" t="s">
        <v>74</v>
      </c>
      <c r="BP524" t="s">
        <v>74</v>
      </c>
      <c r="BQ524" t="s">
        <v>74</v>
      </c>
      <c r="BR524" t="s">
        <v>74</v>
      </c>
      <c r="BS524" t="s">
        <v>8613</v>
      </c>
      <c r="BT524" t="str">
        <f>HYPERLINK("https%3A%2F%2Fwww.webofscience.com%2Fwos%2Fwoscc%2Ffull-record%2FWOS:000270179100011","View Full Record in Web of Science")</f>
        <v>View Full Record in Web of Science</v>
      </c>
    </row>
    <row r="525" spans="1:72" x14ac:dyDescent="0.4">
      <c r="A525" t="s">
        <v>72</v>
      </c>
      <c r="B525" t="s">
        <v>6965</v>
      </c>
      <c r="C525" t="s">
        <v>74</v>
      </c>
      <c r="D525" t="s">
        <v>74</v>
      </c>
      <c r="E525" t="s">
        <v>74</v>
      </c>
      <c r="F525" t="s">
        <v>6966</v>
      </c>
      <c r="G525" t="s">
        <v>74</v>
      </c>
      <c r="H525" t="s">
        <v>74</v>
      </c>
      <c r="I525" t="s">
        <v>6967</v>
      </c>
      <c r="J525" t="s">
        <v>6968</v>
      </c>
      <c r="K525" t="s">
        <v>74</v>
      </c>
      <c r="L525" t="s">
        <v>74</v>
      </c>
      <c r="M525" t="s">
        <v>74</v>
      </c>
      <c r="N525" t="s">
        <v>74</v>
      </c>
      <c r="O525" t="s">
        <v>74</v>
      </c>
      <c r="P525" t="s">
        <v>74</v>
      </c>
      <c r="Q525" t="s">
        <v>74</v>
      </c>
      <c r="R525" t="s">
        <v>74</v>
      </c>
      <c r="S525" t="s">
        <v>74</v>
      </c>
      <c r="T525" t="s">
        <v>74</v>
      </c>
      <c r="U525" t="s">
        <v>74</v>
      </c>
      <c r="V525" s="3" t="s">
        <v>6969</v>
      </c>
      <c r="W525" t="s">
        <v>74</v>
      </c>
      <c r="X525" t="s">
        <v>74</v>
      </c>
      <c r="Y525" t="s">
        <v>74</v>
      </c>
      <c r="Z525" t="s">
        <v>74</v>
      </c>
      <c r="AA525" t="s">
        <v>74</v>
      </c>
      <c r="AB525" t="s">
        <v>74</v>
      </c>
      <c r="AC525" t="s">
        <v>74</v>
      </c>
      <c r="AD525" t="s">
        <v>74</v>
      </c>
      <c r="AE525" t="s">
        <v>74</v>
      </c>
      <c r="AF525" t="s">
        <v>74</v>
      </c>
      <c r="AG525" t="s">
        <v>74</v>
      </c>
      <c r="AH525" t="s">
        <v>74</v>
      </c>
      <c r="AI525" t="s">
        <v>74</v>
      </c>
      <c r="AJ525" t="s">
        <v>74</v>
      </c>
      <c r="AK525" t="s">
        <v>74</v>
      </c>
      <c r="AL525" t="s">
        <v>74</v>
      </c>
      <c r="AM525" t="s">
        <v>74</v>
      </c>
      <c r="AN525" t="s">
        <v>74</v>
      </c>
      <c r="AO525" t="s">
        <v>6970</v>
      </c>
      <c r="AP525" t="s">
        <v>6971</v>
      </c>
      <c r="AQ525" t="s">
        <v>74</v>
      </c>
      <c r="AR525" t="s">
        <v>74</v>
      </c>
      <c r="AS525" t="s">
        <v>74</v>
      </c>
      <c r="AT525" t="s">
        <v>305</v>
      </c>
      <c r="AU525">
        <v>2021</v>
      </c>
      <c r="AV525">
        <v>21</v>
      </c>
      <c r="AW525">
        <v>4</v>
      </c>
      <c r="AX525" t="s">
        <v>74</v>
      </c>
      <c r="AY525" t="s">
        <v>74</v>
      </c>
      <c r="AZ525" t="s">
        <v>74</v>
      </c>
      <c r="BA525" t="s">
        <v>74</v>
      </c>
      <c r="BB525">
        <v>719</v>
      </c>
      <c r="BC525">
        <v>735</v>
      </c>
      <c r="BD525" t="s">
        <v>74</v>
      </c>
      <c r="BE525" t="s">
        <v>6972</v>
      </c>
      <c r="BF525" t="str">
        <f>HYPERLINK("http://dx.doi.org/10.1007/s13127-021-00510-2","http://dx.doi.org/10.1007/s13127-021-00510-2")</f>
        <v>http://dx.doi.org/10.1007/s13127-021-00510-2</v>
      </c>
      <c r="BG525" t="s">
        <v>74</v>
      </c>
      <c r="BH525" t="s">
        <v>675</v>
      </c>
      <c r="BI525" t="s">
        <v>74</v>
      </c>
      <c r="BJ525" t="s">
        <v>74</v>
      </c>
      <c r="BK525" t="s">
        <v>74</v>
      </c>
      <c r="BL525" t="s">
        <v>74</v>
      </c>
      <c r="BM525" t="s">
        <v>74</v>
      </c>
      <c r="BN525" t="s">
        <v>74</v>
      </c>
      <c r="BO525" t="s">
        <v>74</v>
      </c>
      <c r="BP525" t="s">
        <v>74</v>
      </c>
      <c r="BQ525" t="s">
        <v>74</v>
      </c>
      <c r="BR525" t="s">
        <v>74</v>
      </c>
      <c r="BS525" t="s">
        <v>6973</v>
      </c>
      <c r="BT525" t="str">
        <f>HYPERLINK("https%3A%2F%2Fwww.webofscience.com%2Fwos%2Fwoscc%2Ffull-record%2FWOS:000702265500001","View Full Record in Web of Science")</f>
        <v>View Full Record in Web of Science</v>
      </c>
    </row>
    <row r="526" spans="1:72" x14ac:dyDescent="0.4">
      <c r="A526" t="s">
        <v>72</v>
      </c>
      <c r="B526" t="s">
        <v>1427</v>
      </c>
      <c r="C526" t="s">
        <v>74</v>
      </c>
      <c r="D526" t="s">
        <v>74</v>
      </c>
      <c r="E526" t="s">
        <v>74</v>
      </c>
      <c r="F526" t="s">
        <v>1428</v>
      </c>
      <c r="G526" t="s">
        <v>74</v>
      </c>
      <c r="H526" t="s">
        <v>74</v>
      </c>
      <c r="I526" t="s">
        <v>1429</v>
      </c>
      <c r="J526" t="s">
        <v>140</v>
      </c>
      <c r="K526" t="s">
        <v>74</v>
      </c>
      <c r="L526" t="s">
        <v>74</v>
      </c>
      <c r="M526" t="s">
        <v>74</v>
      </c>
      <c r="N526" t="s">
        <v>74</v>
      </c>
      <c r="O526" t="s">
        <v>74</v>
      </c>
      <c r="P526" t="s">
        <v>74</v>
      </c>
      <c r="Q526" t="s">
        <v>74</v>
      </c>
      <c r="R526" t="s">
        <v>74</v>
      </c>
      <c r="S526" t="s">
        <v>74</v>
      </c>
      <c r="T526" t="s">
        <v>74</v>
      </c>
      <c r="U526" t="s">
        <v>74</v>
      </c>
      <c r="V526" s="3" t="s">
        <v>1430</v>
      </c>
      <c r="W526" t="s">
        <v>74</v>
      </c>
      <c r="X526" t="s">
        <v>74</v>
      </c>
      <c r="Y526" t="s">
        <v>74</v>
      </c>
      <c r="Z526" t="s">
        <v>74</v>
      </c>
      <c r="AA526" t="s">
        <v>1431</v>
      </c>
      <c r="AB526" t="s">
        <v>1432</v>
      </c>
      <c r="AC526" t="s">
        <v>74</v>
      </c>
      <c r="AD526" t="s">
        <v>74</v>
      </c>
      <c r="AE526" t="s">
        <v>74</v>
      </c>
      <c r="AF526" t="s">
        <v>74</v>
      </c>
      <c r="AG526" t="s">
        <v>74</v>
      </c>
      <c r="AH526" t="s">
        <v>74</v>
      </c>
      <c r="AI526" t="s">
        <v>74</v>
      </c>
      <c r="AJ526" t="s">
        <v>74</v>
      </c>
      <c r="AK526" t="s">
        <v>74</v>
      </c>
      <c r="AL526" t="s">
        <v>74</v>
      </c>
      <c r="AM526" t="s">
        <v>74</v>
      </c>
      <c r="AN526" t="s">
        <v>74</v>
      </c>
      <c r="AO526" t="s">
        <v>143</v>
      </c>
      <c r="AP526" t="s">
        <v>74</v>
      </c>
      <c r="AQ526" t="s">
        <v>74</v>
      </c>
      <c r="AR526" t="s">
        <v>74</v>
      </c>
      <c r="AS526" t="s">
        <v>74</v>
      </c>
      <c r="AT526" t="s">
        <v>123</v>
      </c>
      <c r="AU526">
        <v>2010</v>
      </c>
      <c r="AV526">
        <v>79</v>
      </c>
      <c r="AW526">
        <v>3</v>
      </c>
      <c r="AX526" t="s">
        <v>74</v>
      </c>
      <c r="AY526" t="s">
        <v>74</v>
      </c>
      <c r="AZ526" t="s">
        <v>74</v>
      </c>
      <c r="BA526" t="s">
        <v>74</v>
      </c>
      <c r="BB526">
        <v>709</v>
      </c>
      <c r="BC526">
        <v>715</v>
      </c>
      <c r="BD526" t="s">
        <v>74</v>
      </c>
      <c r="BE526" t="s">
        <v>1433</v>
      </c>
      <c r="BF526" t="str">
        <f>HYPERLINK("http://dx.doi.org/10.1016/j.anbehav.2009.12.025","http://dx.doi.org/10.1016/j.anbehav.2009.12.025")</f>
        <v>http://dx.doi.org/10.1016/j.anbehav.2009.12.025</v>
      </c>
      <c r="BG526" t="s">
        <v>74</v>
      </c>
      <c r="BH526" t="s">
        <v>74</v>
      </c>
      <c r="BI526" t="s">
        <v>74</v>
      </c>
      <c r="BJ526" t="s">
        <v>74</v>
      </c>
      <c r="BK526" t="s">
        <v>74</v>
      </c>
      <c r="BL526" t="s">
        <v>74</v>
      </c>
      <c r="BM526" t="s">
        <v>74</v>
      </c>
      <c r="BN526" t="s">
        <v>74</v>
      </c>
      <c r="BO526" t="s">
        <v>74</v>
      </c>
      <c r="BP526" t="s">
        <v>74</v>
      </c>
      <c r="BQ526" t="s">
        <v>74</v>
      </c>
      <c r="BR526" t="s">
        <v>74</v>
      </c>
      <c r="BS526" t="s">
        <v>1434</v>
      </c>
      <c r="BT526" t="str">
        <f>HYPERLINK("https%3A%2F%2Fwww.webofscience.com%2Fwos%2Fwoscc%2Ffull-record%2FWOS:000274587400025","View Full Record in Web of Science")</f>
        <v>View Full Record in Web of Science</v>
      </c>
    </row>
    <row r="527" spans="1:72" x14ac:dyDescent="0.4">
      <c r="A527" t="s">
        <v>72</v>
      </c>
      <c r="B527" t="s">
        <v>6442</v>
      </c>
      <c r="C527" t="s">
        <v>74</v>
      </c>
      <c r="D527" t="s">
        <v>74</v>
      </c>
      <c r="E527" t="s">
        <v>74</v>
      </c>
      <c r="F527" t="s">
        <v>6443</v>
      </c>
      <c r="G527" t="s">
        <v>74</v>
      </c>
      <c r="H527" t="s">
        <v>74</v>
      </c>
      <c r="I527" t="s">
        <v>6444</v>
      </c>
      <c r="J527" t="s">
        <v>6445</v>
      </c>
      <c r="K527" t="s">
        <v>74</v>
      </c>
      <c r="L527" t="s">
        <v>74</v>
      </c>
      <c r="M527" t="s">
        <v>74</v>
      </c>
      <c r="N527" t="s">
        <v>74</v>
      </c>
      <c r="O527" t="s">
        <v>74</v>
      </c>
      <c r="P527" t="s">
        <v>74</v>
      </c>
      <c r="Q527" t="s">
        <v>74</v>
      </c>
      <c r="R527" t="s">
        <v>74</v>
      </c>
      <c r="S527" t="s">
        <v>74</v>
      </c>
      <c r="T527" t="s">
        <v>74</v>
      </c>
      <c r="U527" t="s">
        <v>74</v>
      </c>
      <c r="V527" s="3" t="s">
        <v>6446</v>
      </c>
      <c r="W527" t="s">
        <v>74</v>
      </c>
      <c r="X527" t="s">
        <v>74</v>
      </c>
      <c r="Y527" t="s">
        <v>74</v>
      </c>
      <c r="Z527" t="s">
        <v>74</v>
      </c>
      <c r="AA527" t="s">
        <v>74</v>
      </c>
      <c r="AB527" t="s">
        <v>74</v>
      </c>
      <c r="AC527" t="s">
        <v>74</v>
      </c>
      <c r="AD527" t="s">
        <v>74</v>
      </c>
      <c r="AE527" t="s">
        <v>74</v>
      </c>
      <c r="AF527" t="s">
        <v>74</v>
      </c>
      <c r="AG527" t="s">
        <v>74</v>
      </c>
      <c r="AH527" t="s">
        <v>74</v>
      </c>
      <c r="AI527" t="s">
        <v>74</v>
      </c>
      <c r="AJ527" t="s">
        <v>74</v>
      </c>
      <c r="AK527" t="s">
        <v>74</v>
      </c>
      <c r="AL527" t="s">
        <v>74</v>
      </c>
      <c r="AM527" t="s">
        <v>74</v>
      </c>
      <c r="AN527" t="s">
        <v>74</v>
      </c>
      <c r="AO527" t="s">
        <v>6447</v>
      </c>
      <c r="AP527" t="s">
        <v>6448</v>
      </c>
      <c r="AQ527" t="s">
        <v>74</v>
      </c>
      <c r="AR527" t="s">
        <v>74</v>
      </c>
      <c r="AS527" t="s">
        <v>74</v>
      </c>
      <c r="AT527" t="s">
        <v>305</v>
      </c>
      <c r="AU527">
        <v>2023</v>
      </c>
      <c r="AV527">
        <v>63</v>
      </c>
      <c r="AW527">
        <v>7</v>
      </c>
      <c r="AX527" t="s">
        <v>74</v>
      </c>
      <c r="AY527" t="s">
        <v>74</v>
      </c>
      <c r="AZ527" t="s">
        <v>848</v>
      </c>
      <c r="BA527" t="s">
        <v>74</v>
      </c>
      <c r="BB527">
        <v>1279</v>
      </c>
      <c r="BC527">
        <v>1296</v>
      </c>
      <c r="BD527" t="s">
        <v>74</v>
      </c>
      <c r="BE527" t="s">
        <v>6449</v>
      </c>
      <c r="BF527" t="str">
        <f>HYPERLINK("http://dx.doi.org/10.1134/S0032945223070081","http://dx.doi.org/10.1134/S0032945223070081")</f>
        <v>http://dx.doi.org/10.1134/S0032945223070081</v>
      </c>
      <c r="BG527" t="s">
        <v>74</v>
      </c>
      <c r="BH527" t="s">
        <v>74</v>
      </c>
      <c r="BI527" t="s">
        <v>74</v>
      </c>
      <c r="BJ527" t="s">
        <v>74</v>
      </c>
      <c r="BK527" t="s">
        <v>74</v>
      </c>
      <c r="BL527" t="s">
        <v>74</v>
      </c>
      <c r="BM527" t="s">
        <v>74</v>
      </c>
      <c r="BN527" t="s">
        <v>74</v>
      </c>
      <c r="BO527" t="s">
        <v>74</v>
      </c>
      <c r="BP527" t="s">
        <v>74</v>
      </c>
      <c r="BQ527" t="s">
        <v>74</v>
      </c>
      <c r="BR527" t="s">
        <v>74</v>
      </c>
      <c r="BS527" t="s">
        <v>6450</v>
      </c>
      <c r="BT527" t="str">
        <f>HYPERLINK("https%3A%2F%2Fwww.webofscience.com%2Fwos%2Fwoscc%2Ffull-record%2FWOS:001125556700003","View Full Record in Web of Science")</f>
        <v>View Full Record in Web of Science</v>
      </c>
    </row>
    <row r="528" spans="1:72" x14ac:dyDescent="0.4">
      <c r="A528" t="s">
        <v>72</v>
      </c>
      <c r="B528" t="s">
        <v>5448</v>
      </c>
      <c r="C528" t="s">
        <v>74</v>
      </c>
      <c r="D528" t="s">
        <v>74</v>
      </c>
      <c r="E528" t="s">
        <v>74</v>
      </c>
      <c r="F528" t="s">
        <v>5448</v>
      </c>
      <c r="G528" t="s">
        <v>74</v>
      </c>
      <c r="H528" t="s">
        <v>74</v>
      </c>
      <c r="I528" t="s">
        <v>5449</v>
      </c>
      <c r="J528" t="s">
        <v>2966</v>
      </c>
      <c r="K528" t="s">
        <v>74</v>
      </c>
      <c r="L528" t="s">
        <v>74</v>
      </c>
      <c r="M528" t="s">
        <v>74</v>
      </c>
      <c r="N528" t="s">
        <v>74</v>
      </c>
      <c r="O528" t="s">
        <v>74</v>
      </c>
      <c r="P528" t="s">
        <v>74</v>
      </c>
      <c r="Q528" t="s">
        <v>74</v>
      </c>
      <c r="R528" t="s">
        <v>74</v>
      </c>
      <c r="S528" t="s">
        <v>74</v>
      </c>
      <c r="T528" t="s">
        <v>74</v>
      </c>
      <c r="U528" t="s">
        <v>74</v>
      </c>
      <c r="V528" s="3" t="s">
        <v>5450</v>
      </c>
      <c r="W528" t="s">
        <v>74</v>
      </c>
      <c r="X528" t="s">
        <v>74</v>
      </c>
      <c r="Y528" t="s">
        <v>74</v>
      </c>
      <c r="Z528" t="s">
        <v>74</v>
      </c>
      <c r="AA528" t="s">
        <v>74</v>
      </c>
      <c r="AB528" t="s">
        <v>74</v>
      </c>
      <c r="AC528" t="s">
        <v>74</v>
      </c>
      <c r="AD528" t="s">
        <v>74</v>
      </c>
      <c r="AE528" t="s">
        <v>74</v>
      </c>
      <c r="AF528" t="s">
        <v>74</v>
      </c>
      <c r="AG528" t="s">
        <v>74</v>
      </c>
      <c r="AH528" t="s">
        <v>74</v>
      </c>
      <c r="AI528" t="s">
        <v>74</v>
      </c>
      <c r="AJ528" t="s">
        <v>74</v>
      </c>
      <c r="AK528" t="s">
        <v>74</v>
      </c>
      <c r="AL528" t="s">
        <v>74</v>
      </c>
      <c r="AM528" t="s">
        <v>74</v>
      </c>
      <c r="AN528" t="s">
        <v>74</v>
      </c>
      <c r="AO528" t="s">
        <v>2968</v>
      </c>
      <c r="AP528" t="s">
        <v>74</v>
      </c>
      <c r="AQ528" t="s">
        <v>74</v>
      </c>
      <c r="AR528" t="s">
        <v>74</v>
      </c>
      <c r="AS528" t="s">
        <v>74</v>
      </c>
      <c r="AT528" t="s">
        <v>2492</v>
      </c>
      <c r="AU528">
        <v>1990</v>
      </c>
      <c r="AV528">
        <v>37</v>
      </c>
      <c r="AW528">
        <v>3</v>
      </c>
      <c r="AX528" t="s">
        <v>74</v>
      </c>
      <c r="AY528" t="s">
        <v>74</v>
      </c>
      <c r="AZ528" t="s">
        <v>74</v>
      </c>
      <c r="BA528" t="s">
        <v>74</v>
      </c>
      <c r="BB528">
        <v>246</v>
      </c>
      <c r="BC528">
        <v>255</v>
      </c>
      <c r="BD528" t="s">
        <v>74</v>
      </c>
      <c r="BE528" t="s">
        <v>74</v>
      </c>
      <c r="BF528" t="s">
        <v>74</v>
      </c>
      <c r="BG528" t="s">
        <v>74</v>
      </c>
      <c r="BH528" t="s">
        <v>74</v>
      </c>
      <c r="BI528" t="s">
        <v>74</v>
      </c>
      <c r="BJ528" t="s">
        <v>74</v>
      </c>
      <c r="BK528" t="s">
        <v>74</v>
      </c>
      <c r="BL528" t="s">
        <v>74</v>
      </c>
      <c r="BM528" t="s">
        <v>74</v>
      </c>
      <c r="BN528" t="s">
        <v>74</v>
      </c>
      <c r="BO528" t="s">
        <v>74</v>
      </c>
      <c r="BP528" t="s">
        <v>74</v>
      </c>
      <c r="BQ528" t="s">
        <v>74</v>
      </c>
      <c r="BR528" t="s">
        <v>74</v>
      </c>
      <c r="BS528" t="s">
        <v>5451</v>
      </c>
      <c r="BT528" t="str">
        <f>HYPERLINK("https%3A%2F%2Fwww.webofscience.com%2Fwos%2Fwoscc%2Ffull-record%2FWOS:A1990EP23300007","View Full Record in Web of Science")</f>
        <v>View Full Record in Web of Science</v>
      </c>
    </row>
    <row r="529" spans="1:72" x14ac:dyDescent="0.4">
      <c r="A529" t="s">
        <v>72</v>
      </c>
      <c r="B529" t="s">
        <v>1321</v>
      </c>
      <c r="C529" t="s">
        <v>74</v>
      </c>
      <c r="D529" t="s">
        <v>74</v>
      </c>
      <c r="E529" t="s">
        <v>74</v>
      </c>
      <c r="F529" t="s">
        <v>1322</v>
      </c>
      <c r="G529" t="s">
        <v>74</v>
      </c>
      <c r="H529" t="s">
        <v>74</v>
      </c>
      <c r="I529" t="s">
        <v>1323</v>
      </c>
      <c r="J529" t="s">
        <v>1324</v>
      </c>
      <c r="K529" t="s">
        <v>74</v>
      </c>
      <c r="L529" t="s">
        <v>74</v>
      </c>
      <c r="M529" t="s">
        <v>74</v>
      </c>
      <c r="N529" t="s">
        <v>74</v>
      </c>
      <c r="O529" t="s">
        <v>74</v>
      </c>
      <c r="P529" t="s">
        <v>74</v>
      </c>
      <c r="Q529" t="s">
        <v>74</v>
      </c>
      <c r="R529" t="s">
        <v>74</v>
      </c>
      <c r="S529" t="s">
        <v>74</v>
      </c>
      <c r="T529" t="s">
        <v>74</v>
      </c>
      <c r="U529" t="s">
        <v>74</v>
      </c>
      <c r="V529" s="3" t="s">
        <v>1325</v>
      </c>
      <c r="W529" t="s">
        <v>74</v>
      </c>
      <c r="X529" t="s">
        <v>74</v>
      </c>
      <c r="Y529" t="s">
        <v>74</v>
      </c>
      <c r="Z529" t="s">
        <v>74</v>
      </c>
      <c r="AA529" t="s">
        <v>1326</v>
      </c>
      <c r="AB529" t="s">
        <v>1327</v>
      </c>
      <c r="AC529" t="s">
        <v>74</v>
      </c>
      <c r="AD529" t="s">
        <v>74</v>
      </c>
      <c r="AE529" t="s">
        <v>74</v>
      </c>
      <c r="AF529" t="s">
        <v>74</v>
      </c>
      <c r="AG529" t="s">
        <v>74</v>
      </c>
      <c r="AH529" t="s">
        <v>74</v>
      </c>
      <c r="AI529" t="s">
        <v>74</v>
      </c>
      <c r="AJ529" t="s">
        <v>74</v>
      </c>
      <c r="AK529" t="s">
        <v>74</v>
      </c>
      <c r="AL529" t="s">
        <v>74</v>
      </c>
      <c r="AM529" t="s">
        <v>74</v>
      </c>
      <c r="AN529" t="s">
        <v>74</v>
      </c>
      <c r="AO529" t="s">
        <v>1328</v>
      </c>
      <c r="AP529" t="s">
        <v>1329</v>
      </c>
      <c r="AQ529" t="s">
        <v>74</v>
      </c>
      <c r="AR529" t="s">
        <v>74</v>
      </c>
      <c r="AS529" t="s">
        <v>74</v>
      </c>
      <c r="AT529" t="s">
        <v>123</v>
      </c>
      <c r="AU529">
        <v>2017</v>
      </c>
      <c r="AV529">
        <v>83</v>
      </c>
      <c r="AW529">
        <v>2</v>
      </c>
      <c r="AX529" t="s">
        <v>74</v>
      </c>
      <c r="AY529" t="s">
        <v>74</v>
      </c>
      <c r="AZ529" t="s">
        <v>74</v>
      </c>
      <c r="BA529" t="s">
        <v>74</v>
      </c>
      <c r="BB529">
        <v>259</v>
      </c>
      <c r="BC529">
        <v>264</v>
      </c>
      <c r="BD529" t="s">
        <v>74</v>
      </c>
      <c r="BE529" t="s">
        <v>1330</v>
      </c>
      <c r="BF529" t="str">
        <f>HYPERLINK("http://dx.doi.org/10.1007/s12562-017-1062-8","http://dx.doi.org/10.1007/s12562-017-1062-8")</f>
        <v>http://dx.doi.org/10.1007/s12562-017-1062-8</v>
      </c>
      <c r="BG529" t="s">
        <v>74</v>
      </c>
      <c r="BH529" t="s">
        <v>74</v>
      </c>
      <c r="BI529" t="s">
        <v>74</v>
      </c>
      <c r="BJ529" t="s">
        <v>74</v>
      </c>
      <c r="BK529" t="s">
        <v>74</v>
      </c>
      <c r="BL529" t="s">
        <v>74</v>
      </c>
      <c r="BM529" t="s">
        <v>74</v>
      </c>
      <c r="BN529" t="s">
        <v>74</v>
      </c>
      <c r="BO529" t="s">
        <v>74</v>
      </c>
      <c r="BP529" t="s">
        <v>74</v>
      </c>
      <c r="BQ529" t="s">
        <v>74</v>
      </c>
      <c r="BR529" t="s">
        <v>74</v>
      </c>
      <c r="BS529" t="s">
        <v>1331</v>
      </c>
      <c r="BT529" t="str">
        <f>HYPERLINK("https%3A%2F%2Fwww.webofscience.com%2Fwos%2Fwoscc%2Ffull-record%2FWOS:000399657400013","View Full Record in Web of Science")</f>
        <v>View Full Record in Web of Science</v>
      </c>
    </row>
    <row r="530" spans="1:72" x14ac:dyDescent="0.4">
      <c r="A530" t="s">
        <v>72</v>
      </c>
      <c r="B530" t="s">
        <v>2771</v>
      </c>
      <c r="C530" t="s">
        <v>74</v>
      </c>
      <c r="D530" t="s">
        <v>74</v>
      </c>
      <c r="E530" t="s">
        <v>74</v>
      </c>
      <c r="F530" t="s">
        <v>2772</v>
      </c>
      <c r="G530" t="s">
        <v>74</v>
      </c>
      <c r="H530" t="s">
        <v>74</v>
      </c>
      <c r="I530" t="s">
        <v>2773</v>
      </c>
      <c r="J530" t="s">
        <v>88</v>
      </c>
      <c r="K530" t="s">
        <v>74</v>
      </c>
      <c r="L530" t="s">
        <v>74</v>
      </c>
      <c r="M530" t="s">
        <v>74</v>
      </c>
      <c r="N530" t="s">
        <v>74</v>
      </c>
      <c r="O530" t="s">
        <v>74</v>
      </c>
      <c r="P530" t="s">
        <v>74</v>
      </c>
      <c r="Q530" t="s">
        <v>74</v>
      </c>
      <c r="R530" t="s">
        <v>74</v>
      </c>
      <c r="S530" t="s">
        <v>74</v>
      </c>
      <c r="T530" t="s">
        <v>74</v>
      </c>
      <c r="U530" t="s">
        <v>74</v>
      </c>
      <c r="V530" s="3" t="s">
        <v>2774</v>
      </c>
      <c r="W530" t="s">
        <v>74</v>
      </c>
      <c r="X530" t="s">
        <v>74</v>
      </c>
      <c r="Y530" t="s">
        <v>74</v>
      </c>
      <c r="Z530" t="s">
        <v>74</v>
      </c>
      <c r="AA530" t="s">
        <v>2775</v>
      </c>
      <c r="AB530" t="s">
        <v>2776</v>
      </c>
      <c r="AC530" t="s">
        <v>74</v>
      </c>
      <c r="AD530" t="s">
        <v>74</v>
      </c>
      <c r="AE530" t="s">
        <v>74</v>
      </c>
      <c r="AF530" t="s">
        <v>74</v>
      </c>
      <c r="AG530" t="s">
        <v>74</v>
      </c>
      <c r="AH530" t="s">
        <v>74</v>
      </c>
      <c r="AI530" t="s">
        <v>74</v>
      </c>
      <c r="AJ530" t="s">
        <v>74</v>
      </c>
      <c r="AK530" t="s">
        <v>74</v>
      </c>
      <c r="AL530" t="s">
        <v>74</v>
      </c>
      <c r="AM530" t="s">
        <v>74</v>
      </c>
      <c r="AN530" t="s">
        <v>74</v>
      </c>
      <c r="AO530" t="s">
        <v>91</v>
      </c>
      <c r="AP530" t="s">
        <v>92</v>
      </c>
      <c r="AQ530" t="s">
        <v>74</v>
      </c>
      <c r="AR530" t="s">
        <v>74</v>
      </c>
      <c r="AS530" t="s">
        <v>74</v>
      </c>
      <c r="AT530" t="s">
        <v>204</v>
      </c>
      <c r="AU530">
        <v>2017</v>
      </c>
      <c r="AV530">
        <v>13</v>
      </c>
      <c r="AW530">
        <v>7</v>
      </c>
      <c r="AX530" t="s">
        <v>74</v>
      </c>
      <c r="AY530" t="s">
        <v>74</v>
      </c>
      <c r="AZ530" t="s">
        <v>74</v>
      </c>
      <c r="BA530" t="s">
        <v>74</v>
      </c>
      <c r="BB530" t="s">
        <v>74</v>
      </c>
      <c r="BC530" t="s">
        <v>74</v>
      </c>
      <c r="BD530">
        <v>20170242</v>
      </c>
      <c r="BE530" t="s">
        <v>2777</v>
      </c>
      <c r="BF530" t="str">
        <f>HYPERLINK("http://dx.doi.org/10.1098/rsbl.2017.0242","http://dx.doi.org/10.1098/rsbl.2017.0242")</f>
        <v>http://dx.doi.org/10.1098/rsbl.2017.0242</v>
      </c>
      <c r="BG530" t="s">
        <v>74</v>
      </c>
      <c r="BH530" t="s">
        <v>74</v>
      </c>
      <c r="BI530" t="s">
        <v>74</v>
      </c>
      <c r="BJ530" t="s">
        <v>74</v>
      </c>
      <c r="BK530" t="s">
        <v>74</v>
      </c>
      <c r="BL530" t="s">
        <v>74</v>
      </c>
      <c r="BM530" t="s">
        <v>74</v>
      </c>
      <c r="BN530">
        <v>28724689</v>
      </c>
      <c r="BO530" t="s">
        <v>74</v>
      </c>
      <c r="BP530" t="s">
        <v>74</v>
      </c>
      <c r="BQ530" t="s">
        <v>74</v>
      </c>
      <c r="BR530" t="s">
        <v>74</v>
      </c>
      <c r="BS530" t="s">
        <v>2778</v>
      </c>
      <c r="BT530" t="str">
        <f>HYPERLINK("https%3A%2F%2Fwww.webofscience.com%2Fwos%2Fwoscc%2Ffull-record%2FWOS:000409400700003","View Full Record in Web of Science")</f>
        <v>View Full Record in Web of Science</v>
      </c>
    </row>
    <row r="531" spans="1:72" x14ac:dyDescent="0.4">
      <c r="A531" t="s">
        <v>72</v>
      </c>
      <c r="B531" t="s">
        <v>7451</v>
      </c>
      <c r="C531" t="s">
        <v>74</v>
      </c>
      <c r="D531" t="s">
        <v>74</v>
      </c>
      <c r="E531" t="s">
        <v>74</v>
      </c>
      <c r="F531" t="s">
        <v>7451</v>
      </c>
      <c r="G531" t="s">
        <v>74</v>
      </c>
      <c r="H531" t="s">
        <v>74</v>
      </c>
      <c r="I531" t="s">
        <v>7452</v>
      </c>
      <c r="J531" t="s">
        <v>129</v>
      </c>
      <c r="K531" t="s">
        <v>74</v>
      </c>
      <c r="L531" t="s">
        <v>74</v>
      </c>
      <c r="M531" t="s">
        <v>74</v>
      </c>
      <c r="N531" t="s">
        <v>74</v>
      </c>
      <c r="O531" t="s">
        <v>74</v>
      </c>
      <c r="P531" t="s">
        <v>74</v>
      </c>
      <c r="Q531" t="s">
        <v>74</v>
      </c>
      <c r="R531" t="s">
        <v>74</v>
      </c>
      <c r="S531" t="s">
        <v>74</v>
      </c>
      <c r="T531" t="s">
        <v>74</v>
      </c>
      <c r="U531" t="s">
        <v>74</v>
      </c>
      <c r="V531" s="3" t="s">
        <v>7453</v>
      </c>
      <c r="W531" t="s">
        <v>74</v>
      </c>
      <c r="X531" t="s">
        <v>74</v>
      </c>
      <c r="Y531" t="s">
        <v>74</v>
      </c>
      <c r="Z531" t="s">
        <v>74</v>
      </c>
      <c r="AA531" t="s">
        <v>4828</v>
      </c>
      <c r="AB531" t="s">
        <v>4829</v>
      </c>
      <c r="AC531" t="s">
        <v>74</v>
      </c>
      <c r="AD531" t="s">
        <v>74</v>
      </c>
      <c r="AE531" t="s">
        <v>74</v>
      </c>
      <c r="AF531" t="s">
        <v>74</v>
      </c>
      <c r="AG531" t="s">
        <v>74</v>
      </c>
      <c r="AH531" t="s">
        <v>74</v>
      </c>
      <c r="AI531" t="s">
        <v>74</v>
      </c>
      <c r="AJ531" t="s">
        <v>74</v>
      </c>
      <c r="AK531" t="s">
        <v>74</v>
      </c>
      <c r="AL531" t="s">
        <v>74</v>
      </c>
      <c r="AM531" t="s">
        <v>74</v>
      </c>
      <c r="AN531" t="s">
        <v>74</v>
      </c>
      <c r="AO531" t="s">
        <v>132</v>
      </c>
      <c r="AP531" t="s">
        <v>133</v>
      </c>
      <c r="AQ531" t="s">
        <v>74</v>
      </c>
      <c r="AR531" t="s">
        <v>74</v>
      </c>
      <c r="AS531" t="s">
        <v>74</v>
      </c>
      <c r="AT531" t="s">
        <v>964</v>
      </c>
      <c r="AU531">
        <v>2000</v>
      </c>
      <c r="AV531">
        <v>47</v>
      </c>
      <c r="AW531">
        <v>3</v>
      </c>
      <c r="AX531" t="s">
        <v>74</v>
      </c>
      <c r="AY531" t="s">
        <v>74</v>
      </c>
      <c r="AZ531" t="s">
        <v>74</v>
      </c>
      <c r="BA531" t="s">
        <v>74</v>
      </c>
      <c r="BB531">
        <v>164</v>
      </c>
      <c r="BC531">
        <v>170</v>
      </c>
      <c r="BD531" t="s">
        <v>74</v>
      </c>
      <c r="BE531" t="s">
        <v>7454</v>
      </c>
      <c r="BF531" t="str">
        <f>HYPERLINK("http://dx.doi.org/10.1007/s002650050007","http://dx.doi.org/10.1007/s002650050007")</f>
        <v>http://dx.doi.org/10.1007/s002650050007</v>
      </c>
      <c r="BG531" t="s">
        <v>74</v>
      </c>
      <c r="BH531" t="s">
        <v>74</v>
      </c>
      <c r="BI531" t="s">
        <v>74</v>
      </c>
      <c r="BJ531" t="s">
        <v>74</v>
      </c>
      <c r="BK531" t="s">
        <v>74</v>
      </c>
      <c r="BL531" t="s">
        <v>74</v>
      </c>
      <c r="BM531" t="s">
        <v>74</v>
      </c>
      <c r="BN531" t="s">
        <v>74</v>
      </c>
      <c r="BO531" t="s">
        <v>74</v>
      </c>
      <c r="BP531" t="s">
        <v>74</v>
      </c>
      <c r="BQ531" t="s">
        <v>74</v>
      </c>
      <c r="BR531" t="s">
        <v>74</v>
      </c>
      <c r="BS531" t="s">
        <v>7455</v>
      </c>
      <c r="BT531" t="str">
        <f>HYPERLINK("https%3A%2F%2Fwww.webofscience.com%2Fwos%2Fwoscc%2Ffull-record%2FWOS:000085378400007","View Full Record in Web of Science")</f>
        <v>View Full Record in Web of Science</v>
      </c>
    </row>
    <row r="532" spans="1:72" x14ac:dyDescent="0.4">
      <c r="A532" t="s">
        <v>72</v>
      </c>
      <c r="B532" t="s">
        <v>1580</v>
      </c>
      <c r="C532" t="s">
        <v>74</v>
      </c>
      <c r="D532" t="s">
        <v>74</v>
      </c>
      <c r="E532" t="s">
        <v>74</v>
      </c>
      <c r="F532" t="s">
        <v>1580</v>
      </c>
      <c r="G532" t="s">
        <v>74</v>
      </c>
      <c r="H532" t="s">
        <v>74</v>
      </c>
      <c r="I532" t="s">
        <v>1581</v>
      </c>
      <c r="J532" t="s">
        <v>229</v>
      </c>
      <c r="K532" t="s">
        <v>74</v>
      </c>
      <c r="L532" t="s">
        <v>74</v>
      </c>
      <c r="M532" t="s">
        <v>74</v>
      </c>
      <c r="N532" t="s">
        <v>74</v>
      </c>
      <c r="O532" t="s">
        <v>74</v>
      </c>
      <c r="P532" t="s">
        <v>74</v>
      </c>
      <c r="Q532" t="s">
        <v>74</v>
      </c>
      <c r="R532" t="s">
        <v>74</v>
      </c>
      <c r="S532" t="s">
        <v>74</v>
      </c>
      <c r="T532" t="s">
        <v>74</v>
      </c>
      <c r="U532" t="s">
        <v>74</v>
      </c>
      <c r="V532" s="3" t="s">
        <v>1582</v>
      </c>
      <c r="W532" t="s">
        <v>74</v>
      </c>
      <c r="X532" t="s">
        <v>74</v>
      </c>
      <c r="Y532" t="s">
        <v>74</v>
      </c>
      <c r="Z532" t="s">
        <v>74</v>
      </c>
      <c r="AA532" t="s">
        <v>74</v>
      </c>
      <c r="AB532" t="s">
        <v>74</v>
      </c>
      <c r="AC532" t="s">
        <v>74</v>
      </c>
      <c r="AD532" t="s">
        <v>74</v>
      </c>
      <c r="AE532" t="s">
        <v>74</v>
      </c>
      <c r="AF532" t="s">
        <v>74</v>
      </c>
      <c r="AG532" t="s">
        <v>74</v>
      </c>
      <c r="AH532" t="s">
        <v>74</v>
      </c>
      <c r="AI532" t="s">
        <v>74</v>
      </c>
      <c r="AJ532" t="s">
        <v>74</v>
      </c>
      <c r="AK532" t="s">
        <v>74</v>
      </c>
      <c r="AL532" t="s">
        <v>74</v>
      </c>
      <c r="AM532" t="s">
        <v>74</v>
      </c>
      <c r="AN532" t="s">
        <v>74</v>
      </c>
      <c r="AO532" t="s">
        <v>233</v>
      </c>
      <c r="AP532" t="s">
        <v>234</v>
      </c>
      <c r="AQ532" t="s">
        <v>74</v>
      </c>
      <c r="AR532" t="s">
        <v>74</v>
      </c>
      <c r="AS532" t="s">
        <v>74</v>
      </c>
      <c r="AT532" t="s">
        <v>74</v>
      </c>
      <c r="AU532">
        <v>1988</v>
      </c>
      <c r="AV532">
        <v>14</v>
      </c>
      <c r="AW532">
        <v>4</v>
      </c>
      <c r="AX532" t="s">
        <v>74</v>
      </c>
      <c r="AY532" t="s">
        <v>74</v>
      </c>
      <c r="AZ532" t="s">
        <v>74</v>
      </c>
      <c r="BA532" t="s">
        <v>74</v>
      </c>
      <c r="BB532">
        <v>245</v>
      </c>
      <c r="BC532">
        <v>254</v>
      </c>
      <c r="BD532" t="s">
        <v>74</v>
      </c>
      <c r="BE532" t="s">
        <v>1583</v>
      </c>
      <c r="BF532" t="str">
        <f>HYPERLINK("http://dx.doi.org/10.1002/1098-2337(1988)14:4&lt;245::AID-AB2480140403&gt;3.0.CO;2-I","http://dx.doi.org/10.1002/1098-2337(1988)14:4&lt;245::AID-AB2480140403&gt;3.0.CO;2-I")</f>
        <v>http://dx.doi.org/10.1002/1098-2337(1988)14:4&lt;245::AID-AB2480140403&gt;3.0.CO;2-I</v>
      </c>
      <c r="BG532" t="s">
        <v>74</v>
      </c>
      <c r="BH532" t="s">
        <v>74</v>
      </c>
      <c r="BI532" t="s">
        <v>74</v>
      </c>
      <c r="BJ532" t="s">
        <v>74</v>
      </c>
      <c r="BK532" t="s">
        <v>74</v>
      </c>
      <c r="BL532" t="s">
        <v>74</v>
      </c>
      <c r="BM532" t="s">
        <v>74</v>
      </c>
      <c r="BN532" t="s">
        <v>74</v>
      </c>
      <c r="BO532" t="s">
        <v>74</v>
      </c>
      <c r="BP532" t="s">
        <v>74</v>
      </c>
      <c r="BQ532" t="s">
        <v>74</v>
      </c>
      <c r="BR532" t="s">
        <v>74</v>
      </c>
      <c r="BS532" t="s">
        <v>1584</v>
      </c>
      <c r="BT532" t="str">
        <f>HYPERLINK("https%3A%2F%2Fwww.webofscience.com%2Fwos%2Fwoscc%2Ffull-record%2FWOS:A1988P800800002","View Full Record in Web of Science")</f>
        <v>View Full Record in Web of Science</v>
      </c>
    </row>
    <row r="533" spans="1:72" x14ac:dyDescent="0.4">
      <c r="A533" t="s">
        <v>72</v>
      </c>
      <c r="B533" t="s">
        <v>4251</v>
      </c>
      <c r="C533" t="s">
        <v>74</v>
      </c>
      <c r="D533" t="s">
        <v>74</v>
      </c>
      <c r="E533" t="s">
        <v>74</v>
      </c>
      <c r="F533" t="s">
        <v>4252</v>
      </c>
      <c r="G533" t="s">
        <v>74</v>
      </c>
      <c r="H533" t="s">
        <v>74</v>
      </c>
      <c r="I533" t="s">
        <v>4253</v>
      </c>
      <c r="J533" t="s">
        <v>108</v>
      </c>
      <c r="K533" t="s">
        <v>74</v>
      </c>
      <c r="L533" t="s">
        <v>74</v>
      </c>
      <c r="M533" t="s">
        <v>74</v>
      </c>
      <c r="N533" t="s">
        <v>74</v>
      </c>
      <c r="O533" t="s">
        <v>74</v>
      </c>
      <c r="P533" t="s">
        <v>74</v>
      </c>
      <c r="Q533" t="s">
        <v>74</v>
      </c>
      <c r="R533" t="s">
        <v>74</v>
      </c>
      <c r="S533" t="s">
        <v>74</v>
      </c>
      <c r="T533" t="s">
        <v>74</v>
      </c>
      <c r="U533" t="s">
        <v>74</v>
      </c>
      <c r="V533" s="3" t="s">
        <v>4254</v>
      </c>
      <c r="W533" t="s">
        <v>74</v>
      </c>
      <c r="X533" t="s">
        <v>74</v>
      </c>
      <c r="Y533" t="s">
        <v>74</v>
      </c>
      <c r="Z533" t="s">
        <v>74</v>
      </c>
      <c r="AA533" t="s">
        <v>2184</v>
      </c>
      <c r="AB533" t="s">
        <v>2806</v>
      </c>
      <c r="AC533" t="s">
        <v>74</v>
      </c>
      <c r="AD533" t="s">
        <v>74</v>
      </c>
      <c r="AE533" t="s">
        <v>74</v>
      </c>
      <c r="AF533" t="s">
        <v>74</v>
      </c>
      <c r="AG533" t="s">
        <v>74</v>
      </c>
      <c r="AH533" t="s">
        <v>74</v>
      </c>
      <c r="AI533" t="s">
        <v>74</v>
      </c>
      <c r="AJ533" t="s">
        <v>74</v>
      </c>
      <c r="AK533" t="s">
        <v>74</v>
      </c>
      <c r="AL533" t="s">
        <v>74</v>
      </c>
      <c r="AM533" t="s">
        <v>74</v>
      </c>
      <c r="AN533" t="s">
        <v>74</v>
      </c>
      <c r="AO533" t="s">
        <v>111</v>
      </c>
      <c r="AP533" t="s">
        <v>74</v>
      </c>
      <c r="AQ533" t="s">
        <v>74</v>
      </c>
      <c r="AR533" t="s">
        <v>74</v>
      </c>
      <c r="AS533" t="s">
        <v>74</v>
      </c>
      <c r="AT533" t="s">
        <v>275</v>
      </c>
      <c r="AU533">
        <v>2007</v>
      </c>
      <c r="AV533">
        <v>274</v>
      </c>
      <c r="AW533">
        <v>1613</v>
      </c>
      <c r="AX533" t="s">
        <v>74</v>
      </c>
      <c r="AY533" t="s">
        <v>74</v>
      </c>
      <c r="AZ533" t="s">
        <v>74</v>
      </c>
      <c r="BA533" t="s">
        <v>74</v>
      </c>
      <c r="BB533">
        <v>1043</v>
      </c>
      <c r="BC533">
        <v>1047</v>
      </c>
      <c r="BD533" t="s">
        <v>74</v>
      </c>
      <c r="BE533" t="s">
        <v>4255</v>
      </c>
      <c r="BF533" t="str">
        <f>HYPERLINK("http://dx.doi.org/10.1098/rspb.2006.0043","http://dx.doi.org/10.1098/rspb.2006.0043")</f>
        <v>http://dx.doi.org/10.1098/rspb.2006.0043</v>
      </c>
      <c r="BG533" t="s">
        <v>74</v>
      </c>
      <c r="BH533" t="s">
        <v>74</v>
      </c>
      <c r="BI533" t="s">
        <v>74</v>
      </c>
      <c r="BJ533" t="s">
        <v>74</v>
      </c>
      <c r="BK533" t="s">
        <v>74</v>
      </c>
      <c r="BL533" t="s">
        <v>74</v>
      </c>
      <c r="BM533" t="s">
        <v>74</v>
      </c>
      <c r="BN533">
        <v>17284412</v>
      </c>
      <c r="BO533" t="s">
        <v>74</v>
      </c>
      <c r="BP533" t="s">
        <v>74</v>
      </c>
      <c r="BQ533" t="s">
        <v>74</v>
      </c>
      <c r="BR533" t="s">
        <v>74</v>
      </c>
      <c r="BS533" t="s">
        <v>4256</v>
      </c>
      <c r="BT533" t="str">
        <f>HYPERLINK("https%3A%2F%2Fwww.webofscience.com%2Fwos%2Fwoscc%2Ffull-record%2FWOS:000245472200005","View Full Record in Web of Science")</f>
        <v>View Full Record in Web of Science</v>
      </c>
    </row>
    <row r="534" spans="1:72" x14ac:dyDescent="0.4">
      <c r="A534" t="s">
        <v>72</v>
      </c>
      <c r="B534" t="s">
        <v>2803</v>
      </c>
      <c r="C534" t="s">
        <v>74</v>
      </c>
      <c r="D534" t="s">
        <v>74</v>
      </c>
      <c r="E534" t="s">
        <v>74</v>
      </c>
      <c r="F534" t="s">
        <v>2803</v>
      </c>
      <c r="G534" t="s">
        <v>74</v>
      </c>
      <c r="H534" t="s">
        <v>74</v>
      </c>
      <c r="I534" t="s">
        <v>2804</v>
      </c>
      <c r="J534" t="s">
        <v>499</v>
      </c>
      <c r="K534" t="s">
        <v>74</v>
      </c>
      <c r="L534" t="s">
        <v>74</v>
      </c>
      <c r="M534" t="s">
        <v>74</v>
      </c>
      <c r="N534" t="s">
        <v>74</v>
      </c>
      <c r="O534" t="s">
        <v>74</v>
      </c>
      <c r="P534" t="s">
        <v>74</v>
      </c>
      <c r="Q534" t="s">
        <v>74</v>
      </c>
      <c r="R534" t="s">
        <v>74</v>
      </c>
      <c r="S534" t="s">
        <v>74</v>
      </c>
      <c r="T534" t="s">
        <v>74</v>
      </c>
      <c r="U534" t="s">
        <v>74</v>
      </c>
      <c r="V534" s="3" t="s">
        <v>2805</v>
      </c>
      <c r="W534" t="s">
        <v>74</v>
      </c>
      <c r="X534" t="s">
        <v>74</v>
      </c>
      <c r="Y534" t="s">
        <v>74</v>
      </c>
      <c r="Z534" t="s">
        <v>74</v>
      </c>
      <c r="AA534" t="s">
        <v>2184</v>
      </c>
      <c r="AB534" t="s">
        <v>2806</v>
      </c>
      <c r="AC534" t="s">
        <v>74</v>
      </c>
      <c r="AD534" t="s">
        <v>74</v>
      </c>
      <c r="AE534" t="s">
        <v>74</v>
      </c>
      <c r="AF534" t="s">
        <v>74</v>
      </c>
      <c r="AG534" t="s">
        <v>74</v>
      </c>
      <c r="AH534" t="s">
        <v>74</v>
      </c>
      <c r="AI534" t="s">
        <v>74</v>
      </c>
      <c r="AJ534" t="s">
        <v>74</v>
      </c>
      <c r="AK534" t="s">
        <v>74</v>
      </c>
      <c r="AL534" t="s">
        <v>74</v>
      </c>
      <c r="AM534" t="s">
        <v>74</v>
      </c>
      <c r="AN534" t="s">
        <v>74</v>
      </c>
      <c r="AO534" t="s">
        <v>503</v>
      </c>
      <c r="AP534" t="s">
        <v>504</v>
      </c>
      <c r="AQ534" t="s">
        <v>74</v>
      </c>
      <c r="AR534" t="s">
        <v>74</v>
      </c>
      <c r="AS534" t="s">
        <v>74</v>
      </c>
      <c r="AT534" t="s">
        <v>255</v>
      </c>
      <c r="AU534">
        <v>2005</v>
      </c>
      <c r="AV534">
        <v>7</v>
      </c>
      <c r="AW534">
        <v>1</v>
      </c>
      <c r="AX534" t="s">
        <v>74</v>
      </c>
      <c r="AY534" t="s">
        <v>74</v>
      </c>
      <c r="AZ534" t="s">
        <v>74</v>
      </c>
      <c r="BA534" t="s">
        <v>74</v>
      </c>
      <c r="BB534">
        <v>133</v>
      </c>
      <c r="BC534">
        <v>141</v>
      </c>
      <c r="BD534" t="s">
        <v>74</v>
      </c>
      <c r="BE534" t="s">
        <v>74</v>
      </c>
      <c r="BF534" t="s">
        <v>74</v>
      </c>
      <c r="BG534" t="s">
        <v>74</v>
      </c>
      <c r="BH534" t="s">
        <v>74</v>
      </c>
      <c r="BI534" t="s">
        <v>74</v>
      </c>
      <c r="BJ534" t="s">
        <v>74</v>
      </c>
      <c r="BK534" t="s">
        <v>74</v>
      </c>
      <c r="BL534" t="s">
        <v>74</v>
      </c>
      <c r="BM534" t="s">
        <v>74</v>
      </c>
      <c r="BN534" t="s">
        <v>74</v>
      </c>
      <c r="BO534" t="s">
        <v>74</v>
      </c>
      <c r="BP534" t="s">
        <v>74</v>
      </c>
      <c r="BQ534" t="s">
        <v>74</v>
      </c>
      <c r="BR534" t="s">
        <v>74</v>
      </c>
      <c r="BS534" t="s">
        <v>2807</v>
      </c>
      <c r="BT534" t="str">
        <f>HYPERLINK("https%3A%2F%2Fwww.webofscience.com%2Fwos%2Fwoscc%2Ffull-record%2FWOS:000227450800009","View Full Record in Web of Science")</f>
        <v>View Full Record in Web of Science</v>
      </c>
    </row>
    <row r="535" spans="1:72" x14ac:dyDescent="0.4">
      <c r="A535" t="s">
        <v>72</v>
      </c>
      <c r="B535" t="s">
        <v>215</v>
      </c>
      <c r="C535" t="s">
        <v>74</v>
      </c>
      <c r="D535" t="s">
        <v>74</v>
      </c>
      <c r="E535" t="s">
        <v>74</v>
      </c>
      <c r="F535" t="s">
        <v>216</v>
      </c>
      <c r="G535" t="s">
        <v>74</v>
      </c>
      <c r="H535" t="s">
        <v>74</v>
      </c>
      <c r="I535" t="s">
        <v>217</v>
      </c>
      <c r="J535" t="s">
        <v>218</v>
      </c>
      <c r="K535" t="s">
        <v>74</v>
      </c>
      <c r="L535" t="s">
        <v>74</v>
      </c>
      <c r="M535" t="s">
        <v>74</v>
      </c>
      <c r="N535" t="s">
        <v>74</v>
      </c>
      <c r="O535" t="s">
        <v>74</v>
      </c>
      <c r="P535" t="s">
        <v>74</v>
      </c>
      <c r="Q535" t="s">
        <v>74</v>
      </c>
      <c r="R535" t="s">
        <v>74</v>
      </c>
      <c r="S535" t="s">
        <v>74</v>
      </c>
      <c r="T535" t="s">
        <v>74</v>
      </c>
      <c r="U535" t="s">
        <v>74</v>
      </c>
      <c r="V535" s="3" t="s">
        <v>219</v>
      </c>
      <c r="W535" t="s">
        <v>74</v>
      </c>
      <c r="X535" t="s">
        <v>74</v>
      </c>
      <c r="Y535" t="s">
        <v>74</v>
      </c>
      <c r="Z535" t="s">
        <v>74</v>
      </c>
      <c r="AA535" t="s">
        <v>74</v>
      </c>
      <c r="AB535" t="s">
        <v>220</v>
      </c>
      <c r="AC535" t="s">
        <v>74</v>
      </c>
      <c r="AD535" t="s">
        <v>74</v>
      </c>
      <c r="AE535" t="s">
        <v>74</v>
      </c>
      <c r="AF535" t="s">
        <v>74</v>
      </c>
      <c r="AG535" t="s">
        <v>74</v>
      </c>
      <c r="AH535" t="s">
        <v>74</v>
      </c>
      <c r="AI535" t="s">
        <v>74</v>
      </c>
      <c r="AJ535" t="s">
        <v>74</v>
      </c>
      <c r="AK535" t="s">
        <v>74</v>
      </c>
      <c r="AL535" t="s">
        <v>74</v>
      </c>
      <c r="AM535" t="s">
        <v>74</v>
      </c>
      <c r="AN535" t="s">
        <v>74</v>
      </c>
      <c r="AO535" t="s">
        <v>221</v>
      </c>
      <c r="AP535" t="s">
        <v>222</v>
      </c>
      <c r="AQ535" t="s">
        <v>74</v>
      </c>
      <c r="AR535" t="s">
        <v>74</v>
      </c>
      <c r="AS535" t="s">
        <v>74</v>
      </c>
      <c r="AT535" t="s">
        <v>204</v>
      </c>
      <c r="AU535">
        <v>2021</v>
      </c>
      <c r="AV535">
        <v>34</v>
      </c>
      <c r="AW535">
        <v>7</v>
      </c>
      <c r="AX535" t="s">
        <v>74</v>
      </c>
      <c r="AY535" t="s">
        <v>74</v>
      </c>
      <c r="AZ535" t="s">
        <v>74</v>
      </c>
      <c r="BA535" t="s">
        <v>74</v>
      </c>
      <c r="BB535">
        <v>1110</v>
      </c>
      <c r="BC535">
        <v>1124</v>
      </c>
      <c r="BD535" t="s">
        <v>74</v>
      </c>
      <c r="BE535" t="s">
        <v>223</v>
      </c>
      <c r="BF535" t="str">
        <f>HYPERLINK("http://dx.doi.org/10.1111/jeb.13798","http://dx.doi.org/10.1111/jeb.13798")</f>
        <v>http://dx.doi.org/10.1111/jeb.13798</v>
      </c>
      <c r="BG535" t="s">
        <v>74</v>
      </c>
      <c r="BH535" t="s">
        <v>224</v>
      </c>
      <c r="BI535" t="s">
        <v>74</v>
      </c>
      <c r="BJ535" t="s">
        <v>74</v>
      </c>
      <c r="BK535" t="s">
        <v>74</v>
      </c>
      <c r="BL535" t="s">
        <v>74</v>
      </c>
      <c r="BM535" t="s">
        <v>74</v>
      </c>
      <c r="BN535">
        <v>33949033</v>
      </c>
      <c r="BO535" t="s">
        <v>74</v>
      </c>
      <c r="BP535" t="s">
        <v>74</v>
      </c>
      <c r="BQ535" t="s">
        <v>74</v>
      </c>
      <c r="BR535" t="s">
        <v>74</v>
      </c>
      <c r="BS535" t="s">
        <v>225</v>
      </c>
      <c r="BT535" t="str">
        <f>HYPERLINK("https%3A%2F%2Fwww.webofscience.com%2Fwos%2Fwoscc%2Ffull-record%2FWOS:000668020400001","View Full Record in Web of Science")</f>
        <v>View Full Record in Web of Science</v>
      </c>
    </row>
    <row r="536" spans="1:72" x14ac:dyDescent="0.4">
      <c r="A536" t="s">
        <v>72</v>
      </c>
      <c r="B536" t="s">
        <v>215</v>
      </c>
      <c r="C536" t="s">
        <v>74</v>
      </c>
      <c r="D536" t="s">
        <v>74</v>
      </c>
      <c r="E536" t="s">
        <v>74</v>
      </c>
      <c r="F536" t="s">
        <v>216</v>
      </c>
      <c r="G536" t="s">
        <v>74</v>
      </c>
      <c r="H536" t="s">
        <v>74</v>
      </c>
      <c r="I536" t="s">
        <v>898</v>
      </c>
      <c r="J536" t="s">
        <v>312</v>
      </c>
      <c r="K536" t="s">
        <v>74</v>
      </c>
      <c r="L536" t="s">
        <v>74</v>
      </c>
      <c r="M536" t="s">
        <v>74</v>
      </c>
      <c r="N536" t="s">
        <v>74</v>
      </c>
      <c r="O536" t="s">
        <v>74</v>
      </c>
      <c r="P536" t="s">
        <v>74</v>
      </c>
      <c r="Q536" t="s">
        <v>74</v>
      </c>
      <c r="R536" t="s">
        <v>74</v>
      </c>
      <c r="S536" t="s">
        <v>74</v>
      </c>
      <c r="T536" t="s">
        <v>74</v>
      </c>
      <c r="U536" t="s">
        <v>74</v>
      </c>
      <c r="V536" s="3" t="s">
        <v>899</v>
      </c>
      <c r="W536" t="s">
        <v>74</v>
      </c>
      <c r="X536" t="s">
        <v>74</v>
      </c>
      <c r="Y536" t="s">
        <v>74</v>
      </c>
      <c r="Z536" t="s">
        <v>74</v>
      </c>
      <c r="AA536" t="s">
        <v>74</v>
      </c>
      <c r="AB536" t="s">
        <v>74</v>
      </c>
      <c r="AC536" t="s">
        <v>74</v>
      </c>
      <c r="AD536" t="s">
        <v>74</v>
      </c>
      <c r="AE536" t="s">
        <v>74</v>
      </c>
      <c r="AF536" t="s">
        <v>74</v>
      </c>
      <c r="AG536" t="s">
        <v>74</v>
      </c>
      <c r="AH536" t="s">
        <v>74</v>
      </c>
      <c r="AI536" t="s">
        <v>74</v>
      </c>
      <c r="AJ536" t="s">
        <v>74</v>
      </c>
      <c r="AK536" t="s">
        <v>74</v>
      </c>
      <c r="AL536" t="s">
        <v>74</v>
      </c>
      <c r="AM536" t="s">
        <v>74</v>
      </c>
      <c r="AN536" t="s">
        <v>74</v>
      </c>
      <c r="AO536" t="s">
        <v>314</v>
      </c>
      <c r="AP536" t="s">
        <v>315</v>
      </c>
      <c r="AQ536" t="s">
        <v>74</v>
      </c>
      <c r="AR536" t="s">
        <v>74</v>
      </c>
      <c r="AS536" t="s">
        <v>74</v>
      </c>
      <c r="AT536" t="s">
        <v>900</v>
      </c>
      <c r="AU536">
        <v>2023</v>
      </c>
      <c r="AV536" t="s">
        <v>74</v>
      </c>
      <c r="AW536" t="s">
        <v>74</v>
      </c>
      <c r="AX536" t="s">
        <v>74</v>
      </c>
      <c r="AY536" t="s">
        <v>74</v>
      </c>
      <c r="AZ536" t="s">
        <v>74</v>
      </c>
      <c r="BA536" t="s">
        <v>74</v>
      </c>
      <c r="BB536" t="s">
        <v>74</v>
      </c>
      <c r="BC536" t="s">
        <v>74</v>
      </c>
      <c r="BD536" t="s">
        <v>74</v>
      </c>
      <c r="BE536" t="s">
        <v>901</v>
      </c>
      <c r="BF536" t="str">
        <f>HYPERLINK("http://dx.doi.org/10.1086/725916","http://dx.doi.org/10.1086/725916")</f>
        <v>http://dx.doi.org/10.1086/725916</v>
      </c>
      <c r="BG536" t="s">
        <v>74</v>
      </c>
      <c r="BH536" t="s">
        <v>902</v>
      </c>
      <c r="BI536" t="s">
        <v>74</v>
      </c>
      <c r="BJ536" t="s">
        <v>74</v>
      </c>
      <c r="BK536" t="s">
        <v>74</v>
      </c>
      <c r="BL536" t="s">
        <v>74</v>
      </c>
      <c r="BM536" t="s">
        <v>74</v>
      </c>
      <c r="BN536">
        <v>37792917</v>
      </c>
      <c r="BO536" t="s">
        <v>74</v>
      </c>
      <c r="BP536" t="s">
        <v>74</v>
      </c>
      <c r="BQ536" t="s">
        <v>74</v>
      </c>
      <c r="BR536" t="s">
        <v>74</v>
      </c>
      <c r="BS536" t="s">
        <v>903</v>
      </c>
      <c r="BT536" t="str">
        <f>HYPERLINK("https%3A%2F%2Fwww.webofscience.com%2Fwos%2Fwoscc%2Ffull-record%2FWOS:001168568800001","View Full Record in Web of Science")</f>
        <v>View Full Record in Web of Science</v>
      </c>
    </row>
    <row r="537" spans="1:72" x14ac:dyDescent="0.4">
      <c r="A537" t="s">
        <v>72</v>
      </c>
      <c r="B537" t="s">
        <v>564</v>
      </c>
      <c r="C537" t="s">
        <v>74</v>
      </c>
      <c r="D537" t="s">
        <v>74</v>
      </c>
      <c r="E537" t="s">
        <v>74</v>
      </c>
      <c r="F537" t="s">
        <v>565</v>
      </c>
      <c r="G537" t="s">
        <v>74</v>
      </c>
      <c r="H537" t="s">
        <v>74</v>
      </c>
      <c r="I537" t="s">
        <v>566</v>
      </c>
      <c r="J537" t="s">
        <v>140</v>
      </c>
      <c r="K537" t="s">
        <v>74</v>
      </c>
      <c r="L537" t="s">
        <v>74</v>
      </c>
      <c r="M537" t="s">
        <v>74</v>
      </c>
      <c r="N537" t="s">
        <v>74</v>
      </c>
      <c r="O537" t="s">
        <v>74</v>
      </c>
      <c r="P537" t="s">
        <v>74</v>
      </c>
      <c r="Q537" t="s">
        <v>74</v>
      </c>
      <c r="R537" t="s">
        <v>74</v>
      </c>
      <c r="S537" t="s">
        <v>74</v>
      </c>
      <c r="T537" t="s">
        <v>74</v>
      </c>
      <c r="U537" t="s">
        <v>74</v>
      </c>
      <c r="V537" s="3" t="s">
        <v>567</v>
      </c>
      <c r="W537" t="s">
        <v>74</v>
      </c>
      <c r="X537" t="s">
        <v>74</v>
      </c>
      <c r="Y537" t="s">
        <v>74</v>
      </c>
      <c r="Z537" t="s">
        <v>74</v>
      </c>
      <c r="AA537" t="s">
        <v>568</v>
      </c>
      <c r="AB537" t="s">
        <v>569</v>
      </c>
      <c r="AC537" t="s">
        <v>74</v>
      </c>
      <c r="AD537" t="s">
        <v>74</v>
      </c>
      <c r="AE537" t="s">
        <v>74</v>
      </c>
      <c r="AF537" t="s">
        <v>74</v>
      </c>
      <c r="AG537" t="s">
        <v>74</v>
      </c>
      <c r="AH537" t="s">
        <v>74</v>
      </c>
      <c r="AI537" t="s">
        <v>74</v>
      </c>
      <c r="AJ537" t="s">
        <v>74</v>
      </c>
      <c r="AK537" t="s">
        <v>74</v>
      </c>
      <c r="AL537" t="s">
        <v>74</v>
      </c>
      <c r="AM537" t="s">
        <v>74</v>
      </c>
      <c r="AN537" t="s">
        <v>74</v>
      </c>
      <c r="AO537" t="s">
        <v>143</v>
      </c>
      <c r="AP537" t="s">
        <v>144</v>
      </c>
      <c r="AQ537" t="s">
        <v>74</v>
      </c>
      <c r="AR537" t="s">
        <v>74</v>
      </c>
      <c r="AS537" t="s">
        <v>74</v>
      </c>
      <c r="AT537" t="s">
        <v>102</v>
      </c>
      <c r="AU537">
        <v>2021</v>
      </c>
      <c r="AV537">
        <v>176</v>
      </c>
      <c r="AW537" t="s">
        <v>74</v>
      </c>
      <c r="AX537" t="s">
        <v>74</v>
      </c>
      <c r="AY537" t="s">
        <v>74</v>
      </c>
      <c r="AZ537" t="s">
        <v>74</v>
      </c>
      <c r="BA537" t="s">
        <v>74</v>
      </c>
      <c r="BB537">
        <v>157</v>
      </c>
      <c r="BC537">
        <v>166</v>
      </c>
      <c r="BD537" t="s">
        <v>74</v>
      </c>
      <c r="BE537" t="s">
        <v>570</v>
      </c>
      <c r="BF537" t="str">
        <f>HYPERLINK("http://dx.doi.org/10.1016/j.anbehav.2021.04.006","http://dx.doi.org/10.1016/j.anbehav.2021.04.006")</f>
        <v>http://dx.doi.org/10.1016/j.anbehav.2021.04.006</v>
      </c>
      <c r="BG537" t="s">
        <v>74</v>
      </c>
      <c r="BH537" t="s">
        <v>571</v>
      </c>
      <c r="BI537" t="s">
        <v>74</v>
      </c>
      <c r="BJ537" t="s">
        <v>74</v>
      </c>
      <c r="BK537" t="s">
        <v>74</v>
      </c>
      <c r="BL537" t="s">
        <v>74</v>
      </c>
      <c r="BM537" t="s">
        <v>74</v>
      </c>
      <c r="BN537" t="s">
        <v>74</v>
      </c>
      <c r="BO537" t="s">
        <v>74</v>
      </c>
      <c r="BP537" t="s">
        <v>74</v>
      </c>
      <c r="BQ537" t="s">
        <v>74</v>
      </c>
      <c r="BR537" t="s">
        <v>74</v>
      </c>
      <c r="BS537" t="s">
        <v>572</v>
      </c>
      <c r="BT537" t="str">
        <f>HYPERLINK("https%3A%2F%2Fwww.webofscience.com%2Fwos%2Fwoscc%2Ffull-record%2FWOS:000655320000013","View Full Record in Web of Science")</f>
        <v>View Full Record in Web of Science</v>
      </c>
    </row>
    <row r="538" spans="1:72" x14ac:dyDescent="0.4">
      <c r="A538" t="s">
        <v>72</v>
      </c>
      <c r="B538" t="s">
        <v>564</v>
      </c>
      <c r="C538" t="s">
        <v>74</v>
      </c>
      <c r="D538" t="s">
        <v>74</v>
      </c>
      <c r="E538" t="s">
        <v>74</v>
      </c>
      <c r="F538" t="s">
        <v>565</v>
      </c>
      <c r="G538" t="s">
        <v>74</v>
      </c>
      <c r="H538" t="s">
        <v>74</v>
      </c>
      <c r="I538" t="s">
        <v>2557</v>
      </c>
      <c r="J538" t="s">
        <v>576</v>
      </c>
      <c r="K538" t="s">
        <v>74</v>
      </c>
      <c r="L538" t="s">
        <v>74</v>
      </c>
      <c r="M538" t="s">
        <v>74</v>
      </c>
      <c r="N538" t="s">
        <v>74</v>
      </c>
      <c r="O538" t="s">
        <v>74</v>
      </c>
      <c r="P538" t="s">
        <v>74</v>
      </c>
      <c r="Q538" t="s">
        <v>74</v>
      </c>
      <c r="R538" t="s">
        <v>74</v>
      </c>
      <c r="S538" t="s">
        <v>74</v>
      </c>
      <c r="T538" t="s">
        <v>74</v>
      </c>
      <c r="U538" t="s">
        <v>74</v>
      </c>
      <c r="V538" s="3" t="s">
        <v>2558</v>
      </c>
      <c r="W538" t="s">
        <v>74</v>
      </c>
      <c r="X538" t="s">
        <v>74</v>
      </c>
      <c r="Y538" t="s">
        <v>74</v>
      </c>
      <c r="Z538" t="s">
        <v>74</v>
      </c>
      <c r="AA538" t="s">
        <v>568</v>
      </c>
      <c r="AB538" t="s">
        <v>569</v>
      </c>
      <c r="AC538" t="s">
        <v>74</v>
      </c>
      <c r="AD538" t="s">
        <v>74</v>
      </c>
      <c r="AE538" t="s">
        <v>74</v>
      </c>
      <c r="AF538" t="s">
        <v>74</v>
      </c>
      <c r="AG538" t="s">
        <v>74</v>
      </c>
      <c r="AH538" t="s">
        <v>74</v>
      </c>
      <c r="AI538" t="s">
        <v>74</v>
      </c>
      <c r="AJ538" t="s">
        <v>74</v>
      </c>
      <c r="AK538" t="s">
        <v>74</v>
      </c>
      <c r="AL538" t="s">
        <v>74</v>
      </c>
      <c r="AM538" t="s">
        <v>74</v>
      </c>
      <c r="AN538" t="s">
        <v>74</v>
      </c>
      <c r="AO538" t="s">
        <v>579</v>
      </c>
      <c r="AP538" t="s">
        <v>580</v>
      </c>
      <c r="AQ538" t="s">
        <v>74</v>
      </c>
      <c r="AR538" t="s">
        <v>74</v>
      </c>
      <c r="AS538" t="s">
        <v>74</v>
      </c>
      <c r="AT538" t="s">
        <v>175</v>
      </c>
      <c r="AU538">
        <v>2020</v>
      </c>
      <c r="AV538">
        <v>34</v>
      </c>
      <c r="AW538">
        <v>5</v>
      </c>
      <c r="AX538" t="s">
        <v>74</v>
      </c>
      <c r="AY538" t="s">
        <v>74</v>
      </c>
      <c r="AZ538" t="s">
        <v>74</v>
      </c>
      <c r="BA538" t="s">
        <v>74</v>
      </c>
      <c r="BB538">
        <v>735</v>
      </c>
      <c r="BC538">
        <v>743</v>
      </c>
      <c r="BD538" t="s">
        <v>74</v>
      </c>
      <c r="BE538" t="s">
        <v>2559</v>
      </c>
      <c r="BF538" t="str">
        <f>HYPERLINK("http://dx.doi.org/10.1007/s10682-020-10064-y","http://dx.doi.org/10.1007/s10682-020-10064-y")</f>
        <v>http://dx.doi.org/10.1007/s10682-020-10064-y</v>
      </c>
      <c r="BG538" t="s">
        <v>74</v>
      </c>
      <c r="BH538" t="s">
        <v>2560</v>
      </c>
      <c r="BI538" t="s">
        <v>74</v>
      </c>
      <c r="BJ538" t="s">
        <v>74</v>
      </c>
      <c r="BK538" t="s">
        <v>74</v>
      </c>
      <c r="BL538" t="s">
        <v>74</v>
      </c>
      <c r="BM538" t="s">
        <v>74</v>
      </c>
      <c r="BN538" t="s">
        <v>74</v>
      </c>
      <c r="BO538" t="s">
        <v>74</v>
      </c>
      <c r="BP538" t="s">
        <v>74</v>
      </c>
      <c r="BQ538" t="s">
        <v>74</v>
      </c>
      <c r="BR538" t="s">
        <v>74</v>
      </c>
      <c r="BS538" t="s">
        <v>2561</v>
      </c>
      <c r="BT538" t="str">
        <f>HYPERLINK("https%3A%2F%2Fwww.webofscience.com%2Fwos%2Fwoscc%2Ffull-record%2FWOS:000555728700001","View Full Record in Web of Science")</f>
        <v>View Full Record in Web of Science</v>
      </c>
    </row>
    <row r="539" spans="1:72" x14ac:dyDescent="0.4">
      <c r="A539" t="s">
        <v>72</v>
      </c>
      <c r="B539" t="s">
        <v>5700</v>
      </c>
      <c r="C539" t="s">
        <v>74</v>
      </c>
      <c r="D539" t="s">
        <v>74</v>
      </c>
      <c r="E539" t="s">
        <v>74</v>
      </c>
      <c r="F539" t="s">
        <v>5700</v>
      </c>
      <c r="G539" t="s">
        <v>74</v>
      </c>
      <c r="H539" t="s">
        <v>74</v>
      </c>
      <c r="I539" t="s">
        <v>5701</v>
      </c>
      <c r="J539" t="s">
        <v>201</v>
      </c>
      <c r="K539" t="s">
        <v>74</v>
      </c>
      <c r="L539" t="s">
        <v>74</v>
      </c>
      <c r="M539" t="s">
        <v>74</v>
      </c>
      <c r="N539" t="s">
        <v>74</v>
      </c>
      <c r="O539" t="s">
        <v>74</v>
      </c>
      <c r="P539" t="s">
        <v>74</v>
      </c>
      <c r="Q539" t="s">
        <v>74</v>
      </c>
      <c r="R539" t="s">
        <v>74</v>
      </c>
      <c r="S539" t="s">
        <v>74</v>
      </c>
      <c r="T539" t="s">
        <v>74</v>
      </c>
      <c r="U539" t="s">
        <v>74</v>
      </c>
      <c r="V539" s="3" t="s">
        <v>5702</v>
      </c>
      <c r="W539" t="s">
        <v>74</v>
      </c>
      <c r="X539" t="s">
        <v>74</v>
      </c>
      <c r="Y539" t="s">
        <v>74</v>
      </c>
      <c r="Z539" t="s">
        <v>74</v>
      </c>
      <c r="AA539" t="s">
        <v>5703</v>
      </c>
      <c r="AB539" t="s">
        <v>5704</v>
      </c>
      <c r="AC539" t="s">
        <v>74</v>
      </c>
      <c r="AD539" t="s">
        <v>74</v>
      </c>
      <c r="AE539" t="s">
        <v>74</v>
      </c>
      <c r="AF539" t="s">
        <v>74</v>
      </c>
      <c r="AG539" t="s">
        <v>74</v>
      </c>
      <c r="AH539" t="s">
        <v>74</v>
      </c>
      <c r="AI539" t="s">
        <v>74</v>
      </c>
      <c r="AJ539" t="s">
        <v>74</v>
      </c>
      <c r="AK539" t="s">
        <v>74</v>
      </c>
      <c r="AL539" t="s">
        <v>74</v>
      </c>
      <c r="AM539" t="s">
        <v>74</v>
      </c>
      <c r="AN539" t="s">
        <v>74</v>
      </c>
      <c r="AO539" t="s">
        <v>203</v>
      </c>
      <c r="AP539" t="s">
        <v>1192</v>
      </c>
      <c r="AQ539" t="s">
        <v>74</v>
      </c>
      <c r="AR539" t="s">
        <v>74</v>
      </c>
      <c r="AS539" t="s">
        <v>74</v>
      </c>
      <c r="AT539" t="s">
        <v>964</v>
      </c>
      <c r="AU539">
        <v>2006</v>
      </c>
      <c r="AV539">
        <v>68</v>
      </c>
      <c r="AW539">
        <v>2</v>
      </c>
      <c r="AX539" t="s">
        <v>74</v>
      </c>
      <c r="AY539" t="s">
        <v>74</v>
      </c>
      <c r="AZ539" t="s">
        <v>74</v>
      </c>
      <c r="BA539" t="s">
        <v>74</v>
      </c>
      <c r="BB539">
        <v>373</v>
      </c>
      <c r="BC539">
        <v>384</v>
      </c>
      <c r="BD539" t="s">
        <v>74</v>
      </c>
      <c r="BE539" t="s">
        <v>5705</v>
      </c>
      <c r="BF539" t="str">
        <f>HYPERLINK("http://dx.doi.org/10.1111/j.0022-1112.2006.00896.x","http://dx.doi.org/10.1111/j.0022-1112.2006.00896.x")</f>
        <v>http://dx.doi.org/10.1111/j.0022-1112.2006.00896.x</v>
      </c>
      <c r="BG539" t="s">
        <v>74</v>
      </c>
      <c r="BH539" t="s">
        <v>74</v>
      </c>
      <c r="BI539" t="s">
        <v>74</v>
      </c>
      <c r="BJ539" t="s">
        <v>74</v>
      </c>
      <c r="BK539" t="s">
        <v>74</v>
      </c>
      <c r="BL539" t="s">
        <v>74</v>
      </c>
      <c r="BM539" t="s">
        <v>74</v>
      </c>
      <c r="BN539" t="s">
        <v>74</v>
      </c>
      <c r="BO539" t="s">
        <v>74</v>
      </c>
      <c r="BP539" t="s">
        <v>74</v>
      </c>
      <c r="BQ539" t="s">
        <v>74</v>
      </c>
      <c r="BR539" t="s">
        <v>74</v>
      </c>
      <c r="BS539" t="s">
        <v>5706</v>
      </c>
      <c r="BT539" t="str">
        <f>HYPERLINK("https%3A%2F%2Fwww.webofscience.com%2Fwos%2Fwoscc%2Ffull-record%2FWOS:000235469400003","View Full Record in Web of Science")</f>
        <v>View Full Record in Web of Science</v>
      </c>
    </row>
    <row r="540" spans="1:72" x14ac:dyDescent="0.4">
      <c r="A540" t="s">
        <v>72</v>
      </c>
      <c r="B540" t="s">
        <v>8748</v>
      </c>
      <c r="C540" t="s">
        <v>74</v>
      </c>
      <c r="D540" t="s">
        <v>74</v>
      </c>
      <c r="E540" t="s">
        <v>74</v>
      </c>
      <c r="F540" t="s">
        <v>8749</v>
      </c>
      <c r="G540" t="s">
        <v>74</v>
      </c>
      <c r="H540" t="s">
        <v>74</v>
      </c>
      <c r="I540" t="s">
        <v>8750</v>
      </c>
      <c r="J540" t="s">
        <v>970</v>
      </c>
      <c r="K540" t="s">
        <v>74</v>
      </c>
      <c r="L540" t="s">
        <v>74</v>
      </c>
      <c r="M540" t="s">
        <v>74</v>
      </c>
      <c r="N540" t="s">
        <v>74</v>
      </c>
      <c r="O540" t="s">
        <v>74</v>
      </c>
      <c r="P540" t="s">
        <v>74</v>
      </c>
      <c r="Q540" t="s">
        <v>74</v>
      </c>
      <c r="R540" t="s">
        <v>74</v>
      </c>
      <c r="S540" t="s">
        <v>74</v>
      </c>
      <c r="T540" t="s">
        <v>74</v>
      </c>
      <c r="U540" t="s">
        <v>74</v>
      </c>
      <c r="V540" s="3" t="s">
        <v>8751</v>
      </c>
      <c r="W540" t="s">
        <v>74</v>
      </c>
      <c r="X540" t="s">
        <v>74</v>
      </c>
      <c r="Y540" t="s">
        <v>74</v>
      </c>
      <c r="Z540" t="s">
        <v>74</v>
      </c>
      <c r="AA540" t="s">
        <v>8752</v>
      </c>
      <c r="AB540" t="s">
        <v>8753</v>
      </c>
      <c r="AC540" t="s">
        <v>74</v>
      </c>
      <c r="AD540" t="s">
        <v>74</v>
      </c>
      <c r="AE540" t="s">
        <v>74</v>
      </c>
      <c r="AF540" t="s">
        <v>74</v>
      </c>
      <c r="AG540" t="s">
        <v>74</v>
      </c>
      <c r="AH540" t="s">
        <v>74</v>
      </c>
      <c r="AI540" t="s">
        <v>74</v>
      </c>
      <c r="AJ540" t="s">
        <v>74</v>
      </c>
      <c r="AK540" t="s">
        <v>74</v>
      </c>
      <c r="AL540" t="s">
        <v>74</v>
      </c>
      <c r="AM540" t="s">
        <v>74</v>
      </c>
      <c r="AN540" t="s">
        <v>74</v>
      </c>
      <c r="AO540" t="s">
        <v>8754</v>
      </c>
      <c r="AP540" t="s">
        <v>8755</v>
      </c>
      <c r="AQ540" t="s">
        <v>74</v>
      </c>
      <c r="AR540" t="s">
        <v>74</v>
      </c>
      <c r="AS540" t="s">
        <v>74</v>
      </c>
      <c r="AT540" t="s">
        <v>305</v>
      </c>
      <c r="AU540">
        <v>2007</v>
      </c>
      <c r="AV540">
        <v>148</v>
      </c>
      <c r="AW540" t="s">
        <v>74</v>
      </c>
      <c r="AX540" t="s">
        <v>74</v>
      </c>
      <c r="AY540">
        <v>2</v>
      </c>
      <c r="AZ540" t="s">
        <v>74</v>
      </c>
      <c r="BA540" t="s">
        <v>74</v>
      </c>
      <c r="BB540" t="s">
        <v>8756</v>
      </c>
      <c r="BC540" t="s">
        <v>8757</v>
      </c>
      <c r="BD540" t="s">
        <v>74</v>
      </c>
      <c r="BE540" t="s">
        <v>8758</v>
      </c>
      <c r="BF540" t="str">
        <f>HYPERLINK("http://dx.doi.org/10.1007/s10336-007-0224-3","http://dx.doi.org/10.1007/s10336-007-0224-3")</f>
        <v>http://dx.doi.org/10.1007/s10336-007-0224-3</v>
      </c>
      <c r="BG540" t="s">
        <v>74</v>
      </c>
      <c r="BH540" t="s">
        <v>74</v>
      </c>
      <c r="BI540" t="s">
        <v>74</v>
      </c>
      <c r="BJ540" t="s">
        <v>74</v>
      </c>
      <c r="BK540" t="s">
        <v>74</v>
      </c>
      <c r="BL540" t="s">
        <v>74</v>
      </c>
      <c r="BM540" t="s">
        <v>74</v>
      </c>
      <c r="BN540" t="s">
        <v>74</v>
      </c>
      <c r="BO540" t="s">
        <v>74</v>
      </c>
      <c r="BP540" t="s">
        <v>74</v>
      </c>
      <c r="BQ540" t="s">
        <v>74</v>
      </c>
      <c r="BR540" t="s">
        <v>74</v>
      </c>
      <c r="BS540" t="s">
        <v>8759</v>
      </c>
      <c r="BT540" t="str">
        <f>HYPERLINK("https%3A%2F%2Fwww.webofscience.com%2Fwos%2Fwoscc%2Ffull-record%2FWOS:000255199000012","View Full Record in Web of Science")</f>
        <v>View Full Record in Web of Science</v>
      </c>
    </row>
    <row r="541" spans="1:72" x14ac:dyDescent="0.4">
      <c r="A541" t="s">
        <v>72</v>
      </c>
      <c r="B541" t="s">
        <v>4693</v>
      </c>
      <c r="C541" t="s">
        <v>74</v>
      </c>
      <c r="D541" t="s">
        <v>74</v>
      </c>
      <c r="E541" t="s">
        <v>74</v>
      </c>
      <c r="F541" t="s">
        <v>4694</v>
      </c>
      <c r="G541" t="s">
        <v>74</v>
      </c>
      <c r="H541" t="s">
        <v>74</v>
      </c>
      <c r="I541" t="s">
        <v>4695</v>
      </c>
      <c r="J541" t="s">
        <v>610</v>
      </c>
      <c r="K541" t="s">
        <v>74</v>
      </c>
      <c r="L541" t="s">
        <v>74</v>
      </c>
      <c r="M541" t="s">
        <v>74</v>
      </c>
      <c r="N541" t="s">
        <v>74</v>
      </c>
      <c r="O541" t="s">
        <v>74</v>
      </c>
      <c r="P541" t="s">
        <v>74</v>
      </c>
      <c r="Q541" t="s">
        <v>74</v>
      </c>
      <c r="R541" t="s">
        <v>74</v>
      </c>
      <c r="S541" t="s">
        <v>74</v>
      </c>
      <c r="T541" t="s">
        <v>74</v>
      </c>
      <c r="U541" t="s">
        <v>74</v>
      </c>
      <c r="V541" s="3" t="s">
        <v>4696</v>
      </c>
      <c r="W541" t="s">
        <v>74</v>
      </c>
      <c r="X541" t="s">
        <v>74</v>
      </c>
      <c r="Y541" t="s">
        <v>74</v>
      </c>
      <c r="Z541" t="s">
        <v>74</v>
      </c>
      <c r="AA541" t="s">
        <v>4697</v>
      </c>
      <c r="AB541" t="s">
        <v>4698</v>
      </c>
      <c r="AC541" t="s">
        <v>74</v>
      </c>
      <c r="AD541" t="s">
        <v>74</v>
      </c>
      <c r="AE541" t="s">
        <v>74</v>
      </c>
      <c r="AF541" t="s">
        <v>74</v>
      </c>
      <c r="AG541" t="s">
        <v>74</v>
      </c>
      <c r="AH541" t="s">
        <v>74</v>
      </c>
      <c r="AI541" t="s">
        <v>74</v>
      </c>
      <c r="AJ541" t="s">
        <v>74</v>
      </c>
      <c r="AK541" t="s">
        <v>74</v>
      </c>
      <c r="AL541" t="s">
        <v>74</v>
      </c>
      <c r="AM541" t="s">
        <v>74</v>
      </c>
      <c r="AN541" t="s">
        <v>74</v>
      </c>
      <c r="AO541" t="s">
        <v>614</v>
      </c>
      <c r="AP541" t="s">
        <v>615</v>
      </c>
      <c r="AQ541" t="s">
        <v>74</v>
      </c>
      <c r="AR541" t="s">
        <v>74</v>
      </c>
      <c r="AS541" t="s">
        <v>74</v>
      </c>
      <c r="AT541" t="s">
        <v>134</v>
      </c>
      <c r="AU541">
        <v>2014</v>
      </c>
      <c r="AV541">
        <v>120</v>
      </c>
      <c r="AW541">
        <v>5</v>
      </c>
      <c r="AX541" t="s">
        <v>74</v>
      </c>
      <c r="AY541" t="s">
        <v>74</v>
      </c>
      <c r="AZ541" t="s">
        <v>74</v>
      </c>
      <c r="BA541" t="s">
        <v>74</v>
      </c>
      <c r="BB541">
        <v>502</v>
      </c>
      <c r="BC541">
        <v>510</v>
      </c>
      <c r="BD541" t="s">
        <v>74</v>
      </c>
      <c r="BE541" t="s">
        <v>4699</v>
      </c>
      <c r="BF541" t="str">
        <f>HYPERLINK("http://dx.doi.org/10.1111/eth.12224","http://dx.doi.org/10.1111/eth.12224")</f>
        <v>http://dx.doi.org/10.1111/eth.12224</v>
      </c>
      <c r="BG541" t="s">
        <v>74</v>
      </c>
      <c r="BH541" t="s">
        <v>74</v>
      </c>
      <c r="BI541" t="s">
        <v>74</v>
      </c>
      <c r="BJ541" t="s">
        <v>74</v>
      </c>
      <c r="BK541" t="s">
        <v>74</v>
      </c>
      <c r="BL541" t="s">
        <v>74</v>
      </c>
      <c r="BM541" t="s">
        <v>74</v>
      </c>
      <c r="BN541" t="s">
        <v>74</v>
      </c>
      <c r="BO541" t="s">
        <v>74</v>
      </c>
      <c r="BP541" t="s">
        <v>74</v>
      </c>
      <c r="BQ541" t="s">
        <v>74</v>
      </c>
      <c r="BR541" t="s">
        <v>74</v>
      </c>
      <c r="BS541" t="s">
        <v>4700</v>
      </c>
      <c r="BT541" t="str">
        <f>HYPERLINK("https%3A%2F%2Fwww.webofscience.com%2Fwos%2Fwoscc%2Ffull-record%2FWOS:000333696100008","View Full Record in Web of Science")</f>
        <v>View Full Record in Web of Science</v>
      </c>
    </row>
    <row r="542" spans="1:72" x14ac:dyDescent="0.4">
      <c r="A542" t="s">
        <v>72</v>
      </c>
      <c r="B542" t="s">
        <v>1166</v>
      </c>
      <c r="C542" t="s">
        <v>74</v>
      </c>
      <c r="D542" t="s">
        <v>74</v>
      </c>
      <c r="E542" t="s">
        <v>74</v>
      </c>
      <c r="F542" t="s">
        <v>1167</v>
      </c>
      <c r="G542" t="s">
        <v>74</v>
      </c>
      <c r="H542" t="s">
        <v>74</v>
      </c>
      <c r="I542" t="s">
        <v>1168</v>
      </c>
      <c r="J542" t="s">
        <v>119</v>
      </c>
      <c r="K542" t="s">
        <v>74</v>
      </c>
      <c r="L542" t="s">
        <v>74</v>
      </c>
      <c r="M542" t="s">
        <v>74</v>
      </c>
      <c r="N542" t="s">
        <v>74</v>
      </c>
      <c r="O542" t="s">
        <v>74</v>
      </c>
      <c r="P542" t="s">
        <v>74</v>
      </c>
      <c r="Q542" t="s">
        <v>74</v>
      </c>
      <c r="R542" t="s">
        <v>74</v>
      </c>
      <c r="S542" t="s">
        <v>74</v>
      </c>
      <c r="T542" t="s">
        <v>74</v>
      </c>
      <c r="U542" t="s">
        <v>74</v>
      </c>
      <c r="V542" s="3" t="s">
        <v>1169</v>
      </c>
      <c r="W542" t="s">
        <v>74</v>
      </c>
      <c r="X542" t="s">
        <v>74</v>
      </c>
      <c r="Y542" t="s">
        <v>74</v>
      </c>
      <c r="Z542" t="s">
        <v>74</v>
      </c>
      <c r="AA542" t="s">
        <v>74</v>
      </c>
      <c r="AB542" t="s">
        <v>74</v>
      </c>
      <c r="AC542" t="s">
        <v>74</v>
      </c>
      <c r="AD542" t="s">
        <v>74</v>
      </c>
      <c r="AE542" t="s">
        <v>74</v>
      </c>
      <c r="AF542" t="s">
        <v>74</v>
      </c>
      <c r="AG542" t="s">
        <v>74</v>
      </c>
      <c r="AH542" t="s">
        <v>74</v>
      </c>
      <c r="AI542" t="s">
        <v>74</v>
      </c>
      <c r="AJ542" t="s">
        <v>74</v>
      </c>
      <c r="AK542" t="s">
        <v>74</v>
      </c>
      <c r="AL542" t="s">
        <v>74</v>
      </c>
      <c r="AM542" t="s">
        <v>74</v>
      </c>
      <c r="AN542" t="s">
        <v>74</v>
      </c>
      <c r="AO542" t="s">
        <v>121</v>
      </c>
      <c r="AP542" t="s">
        <v>122</v>
      </c>
      <c r="AQ542" t="s">
        <v>74</v>
      </c>
      <c r="AR542" t="s">
        <v>74</v>
      </c>
      <c r="AS542" t="s">
        <v>74</v>
      </c>
      <c r="AT542" t="s">
        <v>102</v>
      </c>
      <c r="AU542">
        <v>2010</v>
      </c>
      <c r="AV542">
        <v>84</v>
      </c>
      <c r="AW542">
        <v>2</v>
      </c>
      <c r="AX542" t="s">
        <v>74</v>
      </c>
      <c r="AY542" t="s">
        <v>74</v>
      </c>
      <c r="AZ542" t="s">
        <v>74</v>
      </c>
      <c r="BA542" t="s">
        <v>74</v>
      </c>
      <c r="BB542">
        <v>568</v>
      </c>
      <c r="BC542">
        <v>572</v>
      </c>
      <c r="BD542" t="s">
        <v>74</v>
      </c>
      <c r="BE542" t="s">
        <v>1170</v>
      </c>
      <c r="BF542" t="str">
        <f>HYPERLINK("http://dx.doi.org/10.1016/j.beproc.2010.02.012","http://dx.doi.org/10.1016/j.beproc.2010.02.012")</f>
        <v>http://dx.doi.org/10.1016/j.beproc.2010.02.012</v>
      </c>
      <c r="BG542" t="s">
        <v>74</v>
      </c>
      <c r="BH542" t="s">
        <v>74</v>
      </c>
      <c r="BI542" t="s">
        <v>74</v>
      </c>
      <c r="BJ542" t="s">
        <v>74</v>
      </c>
      <c r="BK542" t="s">
        <v>74</v>
      </c>
      <c r="BL542" t="s">
        <v>74</v>
      </c>
      <c r="BM542" t="s">
        <v>74</v>
      </c>
      <c r="BN542">
        <v>20176091</v>
      </c>
      <c r="BO542" t="s">
        <v>74</v>
      </c>
      <c r="BP542" t="s">
        <v>74</v>
      </c>
      <c r="BQ542" t="s">
        <v>74</v>
      </c>
      <c r="BR542" t="s">
        <v>74</v>
      </c>
      <c r="BS542" t="s">
        <v>1171</v>
      </c>
      <c r="BT542" t="str">
        <f>HYPERLINK("https%3A%2F%2Fwww.webofscience.com%2Fwos%2Fwoscc%2Ffull-record%2FWOS:000279096400004","View Full Record in Web of Science")</f>
        <v>View Full Record in Web of Science</v>
      </c>
    </row>
    <row r="543" spans="1:72" x14ac:dyDescent="0.4">
      <c r="A543" t="s">
        <v>72</v>
      </c>
      <c r="B543" t="s">
        <v>6889</v>
      </c>
      <c r="C543" t="s">
        <v>74</v>
      </c>
      <c r="D543" t="s">
        <v>74</v>
      </c>
      <c r="E543" t="s">
        <v>74</v>
      </c>
      <c r="F543" t="s">
        <v>6890</v>
      </c>
      <c r="G543" t="s">
        <v>74</v>
      </c>
      <c r="H543" t="s">
        <v>74</v>
      </c>
      <c r="I543" t="s">
        <v>6891</v>
      </c>
      <c r="J543" t="s">
        <v>129</v>
      </c>
      <c r="K543" t="s">
        <v>74</v>
      </c>
      <c r="L543" t="s">
        <v>74</v>
      </c>
      <c r="M543" t="s">
        <v>74</v>
      </c>
      <c r="N543" t="s">
        <v>74</v>
      </c>
      <c r="O543" t="s">
        <v>74</v>
      </c>
      <c r="P543" t="s">
        <v>74</v>
      </c>
      <c r="Q543" t="s">
        <v>74</v>
      </c>
      <c r="R543" t="s">
        <v>74</v>
      </c>
      <c r="S543" t="s">
        <v>74</v>
      </c>
      <c r="T543" t="s">
        <v>74</v>
      </c>
      <c r="U543" t="s">
        <v>74</v>
      </c>
      <c r="V543" s="3" t="s">
        <v>6892</v>
      </c>
      <c r="W543" t="s">
        <v>74</v>
      </c>
      <c r="X543" t="s">
        <v>74</v>
      </c>
      <c r="Y543" t="s">
        <v>74</v>
      </c>
      <c r="Z543" t="s">
        <v>74</v>
      </c>
      <c r="AA543" t="s">
        <v>6893</v>
      </c>
      <c r="AB543" t="s">
        <v>6894</v>
      </c>
      <c r="AC543" t="s">
        <v>74</v>
      </c>
      <c r="AD543" t="s">
        <v>74</v>
      </c>
      <c r="AE543" t="s">
        <v>74</v>
      </c>
      <c r="AF543" t="s">
        <v>74</v>
      </c>
      <c r="AG543" t="s">
        <v>74</v>
      </c>
      <c r="AH543" t="s">
        <v>74</v>
      </c>
      <c r="AI543" t="s">
        <v>74</v>
      </c>
      <c r="AJ543" t="s">
        <v>74</v>
      </c>
      <c r="AK543" t="s">
        <v>74</v>
      </c>
      <c r="AL543" t="s">
        <v>74</v>
      </c>
      <c r="AM543" t="s">
        <v>74</v>
      </c>
      <c r="AN543" t="s">
        <v>74</v>
      </c>
      <c r="AO543" t="s">
        <v>132</v>
      </c>
      <c r="AP543" t="s">
        <v>133</v>
      </c>
      <c r="AQ543" t="s">
        <v>74</v>
      </c>
      <c r="AR543" t="s">
        <v>74</v>
      </c>
      <c r="AS543" t="s">
        <v>74</v>
      </c>
      <c r="AT543" t="s">
        <v>633</v>
      </c>
      <c r="AU543">
        <v>2008</v>
      </c>
      <c r="AV543">
        <v>62</v>
      </c>
      <c r="AW543">
        <v>8</v>
      </c>
      <c r="AX543" t="s">
        <v>74</v>
      </c>
      <c r="AY543" t="s">
        <v>74</v>
      </c>
      <c r="AZ543" t="s">
        <v>74</v>
      </c>
      <c r="BA543" t="s">
        <v>74</v>
      </c>
      <c r="BB543">
        <v>1277</v>
      </c>
      <c r="BC543">
        <v>1288</v>
      </c>
      <c r="BD543" t="s">
        <v>74</v>
      </c>
      <c r="BE543" t="s">
        <v>6895</v>
      </c>
      <c r="BF543" t="str">
        <f>HYPERLINK("http://dx.doi.org/10.1007/s00265-008-0556-x","http://dx.doi.org/10.1007/s00265-008-0556-x")</f>
        <v>http://dx.doi.org/10.1007/s00265-008-0556-x</v>
      </c>
      <c r="BG543" t="s">
        <v>74</v>
      </c>
      <c r="BH543" t="s">
        <v>74</v>
      </c>
      <c r="BI543" t="s">
        <v>74</v>
      </c>
      <c r="BJ543" t="s">
        <v>74</v>
      </c>
      <c r="BK543" t="s">
        <v>74</v>
      </c>
      <c r="BL543" t="s">
        <v>74</v>
      </c>
      <c r="BM543" t="s">
        <v>74</v>
      </c>
      <c r="BN543" t="s">
        <v>74</v>
      </c>
      <c r="BO543" t="s">
        <v>74</v>
      </c>
      <c r="BP543" t="s">
        <v>74</v>
      </c>
      <c r="BQ543" t="s">
        <v>74</v>
      </c>
      <c r="BR543" t="s">
        <v>74</v>
      </c>
      <c r="BS543" t="s">
        <v>6896</v>
      </c>
      <c r="BT543" t="str">
        <f>HYPERLINK("https%3A%2F%2Fwww.webofscience.com%2Fwos%2Fwoscc%2Ffull-record%2FWOS:000255851400007","View Full Record in Web of Science")</f>
        <v>View Full Record in Web of Science</v>
      </c>
    </row>
    <row r="544" spans="1:72" x14ac:dyDescent="0.4">
      <c r="A544" t="s">
        <v>72</v>
      </c>
      <c r="B544" t="s">
        <v>7919</v>
      </c>
      <c r="C544" t="s">
        <v>74</v>
      </c>
      <c r="D544" t="s">
        <v>74</v>
      </c>
      <c r="E544" t="s">
        <v>74</v>
      </c>
      <c r="F544" t="s">
        <v>7920</v>
      </c>
      <c r="G544" t="s">
        <v>74</v>
      </c>
      <c r="H544" t="s">
        <v>74</v>
      </c>
      <c r="I544" t="s">
        <v>7921</v>
      </c>
      <c r="J544" t="s">
        <v>7922</v>
      </c>
      <c r="K544" t="s">
        <v>74</v>
      </c>
      <c r="L544" t="s">
        <v>74</v>
      </c>
      <c r="M544" t="s">
        <v>74</v>
      </c>
      <c r="N544" t="s">
        <v>74</v>
      </c>
      <c r="O544" t="s">
        <v>74</v>
      </c>
      <c r="P544" t="s">
        <v>74</v>
      </c>
      <c r="Q544" t="s">
        <v>74</v>
      </c>
      <c r="R544" t="s">
        <v>74</v>
      </c>
      <c r="S544" t="s">
        <v>74</v>
      </c>
      <c r="T544" t="s">
        <v>74</v>
      </c>
      <c r="U544" t="s">
        <v>74</v>
      </c>
      <c r="V544" s="3" t="s">
        <v>7923</v>
      </c>
      <c r="W544" t="s">
        <v>74</v>
      </c>
      <c r="X544" t="s">
        <v>74</v>
      </c>
      <c r="Y544" t="s">
        <v>74</v>
      </c>
      <c r="Z544" t="s">
        <v>74</v>
      </c>
      <c r="AA544" t="s">
        <v>7924</v>
      </c>
      <c r="AB544" t="s">
        <v>7925</v>
      </c>
      <c r="AC544" t="s">
        <v>74</v>
      </c>
      <c r="AD544" t="s">
        <v>74</v>
      </c>
      <c r="AE544" t="s">
        <v>74</v>
      </c>
      <c r="AF544" t="s">
        <v>74</v>
      </c>
      <c r="AG544" t="s">
        <v>74</v>
      </c>
      <c r="AH544" t="s">
        <v>74</v>
      </c>
      <c r="AI544" t="s">
        <v>74</v>
      </c>
      <c r="AJ544" t="s">
        <v>74</v>
      </c>
      <c r="AK544" t="s">
        <v>74</v>
      </c>
      <c r="AL544" t="s">
        <v>74</v>
      </c>
      <c r="AM544" t="s">
        <v>74</v>
      </c>
      <c r="AN544" t="s">
        <v>74</v>
      </c>
      <c r="AO544" t="s">
        <v>7926</v>
      </c>
      <c r="AP544" t="s">
        <v>7927</v>
      </c>
      <c r="AQ544" t="s">
        <v>74</v>
      </c>
      <c r="AR544" t="s">
        <v>74</v>
      </c>
      <c r="AS544" t="s">
        <v>74</v>
      </c>
      <c r="AT544" t="s">
        <v>633</v>
      </c>
      <c r="AU544">
        <v>2022</v>
      </c>
      <c r="AV544">
        <v>15</v>
      </c>
      <c r="AW544">
        <v>4</v>
      </c>
      <c r="AX544" t="s">
        <v>74</v>
      </c>
      <c r="AY544" t="s">
        <v>74</v>
      </c>
      <c r="AZ544" t="s">
        <v>74</v>
      </c>
      <c r="BA544" t="s">
        <v>74</v>
      </c>
      <c r="BB544">
        <v>751</v>
      </c>
      <c r="BC544">
        <v>760</v>
      </c>
      <c r="BD544" t="s">
        <v>74</v>
      </c>
      <c r="BE544" t="s">
        <v>7928</v>
      </c>
      <c r="BF544" t="str">
        <f>HYPERLINK("http://dx.doi.org/10.1002/aur.2670","http://dx.doi.org/10.1002/aur.2670")</f>
        <v>http://dx.doi.org/10.1002/aur.2670</v>
      </c>
      <c r="BG544" t="s">
        <v>74</v>
      </c>
      <c r="BH544" t="s">
        <v>5497</v>
      </c>
      <c r="BI544" t="s">
        <v>74</v>
      </c>
      <c r="BJ544" t="s">
        <v>74</v>
      </c>
      <c r="BK544" t="s">
        <v>74</v>
      </c>
      <c r="BL544" t="s">
        <v>74</v>
      </c>
      <c r="BM544" t="s">
        <v>74</v>
      </c>
      <c r="BN544">
        <v>35040592</v>
      </c>
      <c r="BO544" t="s">
        <v>74</v>
      </c>
      <c r="BP544" t="s">
        <v>74</v>
      </c>
      <c r="BQ544" t="s">
        <v>74</v>
      </c>
      <c r="BR544" t="s">
        <v>74</v>
      </c>
      <c r="BS544" t="s">
        <v>7929</v>
      </c>
      <c r="BT544" t="str">
        <f>HYPERLINK("https%3A%2F%2Fwww.webofscience.com%2Fwos%2Fwoscc%2Ffull-record%2FWOS:000743515200001","View Full Record in Web of Science")</f>
        <v>View Full Record in Web of Science</v>
      </c>
    </row>
    <row r="545" spans="1:72" x14ac:dyDescent="0.4">
      <c r="A545" t="s">
        <v>72</v>
      </c>
      <c r="B545" t="s">
        <v>2720</v>
      </c>
      <c r="C545" t="s">
        <v>74</v>
      </c>
      <c r="D545" t="s">
        <v>74</v>
      </c>
      <c r="E545" t="s">
        <v>74</v>
      </c>
      <c r="F545" t="s">
        <v>2721</v>
      </c>
      <c r="G545" t="s">
        <v>74</v>
      </c>
      <c r="H545" t="s">
        <v>74</v>
      </c>
      <c r="I545" t="s">
        <v>2722</v>
      </c>
      <c r="J545" t="s">
        <v>610</v>
      </c>
      <c r="K545" t="s">
        <v>74</v>
      </c>
      <c r="L545" t="s">
        <v>74</v>
      </c>
      <c r="M545" t="s">
        <v>74</v>
      </c>
      <c r="N545" t="s">
        <v>74</v>
      </c>
      <c r="O545" t="s">
        <v>74</v>
      </c>
      <c r="P545" t="s">
        <v>74</v>
      </c>
      <c r="Q545" t="s">
        <v>74</v>
      </c>
      <c r="R545" t="s">
        <v>74</v>
      </c>
      <c r="S545" t="s">
        <v>74</v>
      </c>
      <c r="T545" t="s">
        <v>74</v>
      </c>
      <c r="U545" t="s">
        <v>74</v>
      </c>
      <c r="V545" s="3" t="s">
        <v>2723</v>
      </c>
      <c r="W545" t="s">
        <v>74</v>
      </c>
      <c r="X545" t="s">
        <v>74</v>
      </c>
      <c r="Y545" t="s">
        <v>74</v>
      </c>
      <c r="Z545" t="s">
        <v>74</v>
      </c>
      <c r="AA545" t="s">
        <v>74</v>
      </c>
      <c r="AB545" t="s">
        <v>2724</v>
      </c>
      <c r="AC545" t="s">
        <v>74</v>
      </c>
      <c r="AD545" t="s">
        <v>74</v>
      </c>
      <c r="AE545" t="s">
        <v>74</v>
      </c>
      <c r="AF545" t="s">
        <v>74</v>
      </c>
      <c r="AG545" t="s">
        <v>74</v>
      </c>
      <c r="AH545" t="s">
        <v>74</v>
      </c>
      <c r="AI545" t="s">
        <v>74</v>
      </c>
      <c r="AJ545" t="s">
        <v>74</v>
      </c>
      <c r="AK545" t="s">
        <v>74</v>
      </c>
      <c r="AL545" t="s">
        <v>74</v>
      </c>
      <c r="AM545" t="s">
        <v>74</v>
      </c>
      <c r="AN545" t="s">
        <v>74</v>
      </c>
      <c r="AO545" t="s">
        <v>614</v>
      </c>
      <c r="AP545" t="s">
        <v>615</v>
      </c>
      <c r="AQ545" t="s">
        <v>74</v>
      </c>
      <c r="AR545" t="s">
        <v>74</v>
      </c>
      <c r="AS545" t="s">
        <v>74</v>
      </c>
      <c r="AT545" t="s">
        <v>213</v>
      </c>
      <c r="AU545">
        <v>2023</v>
      </c>
      <c r="AV545">
        <v>129</v>
      </c>
      <c r="AW545">
        <v>11</v>
      </c>
      <c r="AX545" t="s">
        <v>74</v>
      </c>
      <c r="AY545" t="s">
        <v>74</v>
      </c>
      <c r="AZ545" t="s">
        <v>74</v>
      </c>
      <c r="BA545" t="s">
        <v>74</v>
      </c>
      <c r="BB545">
        <v>612</v>
      </c>
      <c r="BC545">
        <v>621</v>
      </c>
      <c r="BD545" t="s">
        <v>74</v>
      </c>
      <c r="BE545" t="s">
        <v>2725</v>
      </c>
      <c r="BF545" t="str">
        <f>HYPERLINK("http://dx.doi.org/10.1111/eth.13397","http://dx.doi.org/10.1111/eth.13397")</f>
        <v>http://dx.doi.org/10.1111/eth.13397</v>
      </c>
      <c r="BG545" t="s">
        <v>74</v>
      </c>
      <c r="BH545" t="s">
        <v>2726</v>
      </c>
      <c r="BI545" t="s">
        <v>74</v>
      </c>
      <c r="BJ545" t="s">
        <v>74</v>
      </c>
      <c r="BK545" t="s">
        <v>74</v>
      </c>
      <c r="BL545" t="s">
        <v>74</v>
      </c>
      <c r="BM545" t="s">
        <v>74</v>
      </c>
      <c r="BN545" t="s">
        <v>74</v>
      </c>
      <c r="BO545" t="s">
        <v>74</v>
      </c>
      <c r="BP545" t="s">
        <v>74</v>
      </c>
      <c r="BQ545" t="s">
        <v>74</v>
      </c>
      <c r="BR545" t="s">
        <v>74</v>
      </c>
      <c r="BS545" t="s">
        <v>2727</v>
      </c>
      <c r="BT545" t="str">
        <f>HYPERLINK("https%3A%2F%2Fwww.webofscience.com%2Fwos%2Fwoscc%2Ffull-record%2FWOS:001033519800001","View Full Record in Web of Science")</f>
        <v>View Full Record in Web of Science</v>
      </c>
    </row>
    <row r="546" spans="1:72" x14ac:dyDescent="0.4">
      <c r="A546" t="s">
        <v>72</v>
      </c>
      <c r="B546" t="s">
        <v>3665</v>
      </c>
      <c r="C546" t="s">
        <v>74</v>
      </c>
      <c r="D546" t="s">
        <v>74</v>
      </c>
      <c r="E546" t="s">
        <v>74</v>
      </c>
      <c r="F546" t="s">
        <v>3666</v>
      </c>
      <c r="G546" t="s">
        <v>74</v>
      </c>
      <c r="H546" t="s">
        <v>74</v>
      </c>
      <c r="I546" t="s">
        <v>3667</v>
      </c>
      <c r="J546" t="s">
        <v>475</v>
      </c>
      <c r="K546" t="s">
        <v>74</v>
      </c>
      <c r="L546" t="s">
        <v>74</v>
      </c>
      <c r="M546" t="s">
        <v>74</v>
      </c>
      <c r="N546" t="s">
        <v>74</v>
      </c>
      <c r="O546" t="s">
        <v>74</v>
      </c>
      <c r="P546" t="s">
        <v>74</v>
      </c>
      <c r="Q546" t="s">
        <v>74</v>
      </c>
      <c r="R546" t="s">
        <v>74</v>
      </c>
      <c r="S546" t="s">
        <v>74</v>
      </c>
      <c r="T546" t="s">
        <v>74</v>
      </c>
      <c r="U546" t="s">
        <v>74</v>
      </c>
      <c r="V546" s="3" t="s">
        <v>3668</v>
      </c>
      <c r="W546" t="s">
        <v>74</v>
      </c>
      <c r="X546" t="s">
        <v>74</v>
      </c>
      <c r="Y546" t="s">
        <v>74</v>
      </c>
      <c r="Z546" t="s">
        <v>74</v>
      </c>
      <c r="AA546" t="s">
        <v>3669</v>
      </c>
      <c r="AB546" t="s">
        <v>3670</v>
      </c>
      <c r="AC546" t="s">
        <v>74</v>
      </c>
      <c r="AD546" t="s">
        <v>74</v>
      </c>
      <c r="AE546" t="s">
        <v>74</v>
      </c>
      <c r="AF546" t="s">
        <v>74</v>
      </c>
      <c r="AG546" t="s">
        <v>74</v>
      </c>
      <c r="AH546" t="s">
        <v>74</v>
      </c>
      <c r="AI546" t="s">
        <v>74</v>
      </c>
      <c r="AJ546" t="s">
        <v>74</v>
      </c>
      <c r="AK546" t="s">
        <v>74</v>
      </c>
      <c r="AL546" t="s">
        <v>74</v>
      </c>
      <c r="AM546" t="s">
        <v>74</v>
      </c>
      <c r="AN546" t="s">
        <v>74</v>
      </c>
      <c r="AO546" t="s">
        <v>477</v>
      </c>
      <c r="AP546" t="s">
        <v>74</v>
      </c>
      <c r="AQ546" t="s">
        <v>74</v>
      </c>
      <c r="AR546" t="s">
        <v>74</v>
      </c>
      <c r="AS546" t="s">
        <v>74</v>
      </c>
      <c r="AT546" t="s">
        <v>3671</v>
      </c>
      <c r="AU546">
        <v>2012</v>
      </c>
      <c r="AV546">
        <v>175</v>
      </c>
      <c r="AW546">
        <v>2</v>
      </c>
      <c r="AX546" t="s">
        <v>74</v>
      </c>
      <c r="AY546" t="s">
        <v>74</v>
      </c>
      <c r="AZ546" t="s">
        <v>74</v>
      </c>
      <c r="BA546" t="s">
        <v>74</v>
      </c>
      <c r="BB546">
        <v>290</v>
      </c>
      <c r="BC546">
        <v>296</v>
      </c>
      <c r="BD546" t="s">
        <v>74</v>
      </c>
      <c r="BE546" t="s">
        <v>3672</v>
      </c>
      <c r="BF546" t="str">
        <f>HYPERLINK("http://dx.doi.org/10.1016/j.ygcen.2011.11.022","http://dx.doi.org/10.1016/j.ygcen.2011.11.022")</f>
        <v>http://dx.doi.org/10.1016/j.ygcen.2011.11.022</v>
      </c>
      <c r="BG546" t="s">
        <v>74</v>
      </c>
      <c r="BH546" t="s">
        <v>74</v>
      </c>
      <c r="BI546" t="s">
        <v>74</v>
      </c>
      <c r="BJ546" t="s">
        <v>74</v>
      </c>
      <c r="BK546" t="s">
        <v>74</v>
      </c>
      <c r="BL546" t="s">
        <v>74</v>
      </c>
      <c r="BM546" t="s">
        <v>74</v>
      </c>
      <c r="BN546">
        <v>22137910</v>
      </c>
      <c r="BO546" t="s">
        <v>74</v>
      </c>
      <c r="BP546" t="s">
        <v>74</v>
      </c>
      <c r="BQ546" t="s">
        <v>74</v>
      </c>
      <c r="BR546" t="s">
        <v>74</v>
      </c>
      <c r="BS546" t="s">
        <v>3673</v>
      </c>
      <c r="BT546" t="str">
        <f>HYPERLINK("https%3A%2F%2Fwww.webofscience.com%2Fwos%2Fwoscc%2Ffull-record%2FWOS:000299137900009","View Full Record in Web of Science")</f>
        <v>View Full Record in Web of Science</v>
      </c>
    </row>
    <row r="547" spans="1:72" x14ac:dyDescent="0.4">
      <c r="A547" t="s">
        <v>72</v>
      </c>
      <c r="B547" t="s">
        <v>4573</v>
      </c>
      <c r="C547" t="s">
        <v>74</v>
      </c>
      <c r="D547" t="s">
        <v>74</v>
      </c>
      <c r="E547" t="s">
        <v>74</v>
      </c>
      <c r="F547" t="s">
        <v>4573</v>
      </c>
      <c r="G547" t="s">
        <v>74</v>
      </c>
      <c r="H547" t="s">
        <v>74</v>
      </c>
      <c r="I547" t="s">
        <v>4574</v>
      </c>
      <c r="J547" t="s">
        <v>140</v>
      </c>
      <c r="K547" t="s">
        <v>74</v>
      </c>
      <c r="L547" t="s">
        <v>74</v>
      </c>
      <c r="M547" t="s">
        <v>74</v>
      </c>
      <c r="N547" t="s">
        <v>74</v>
      </c>
      <c r="O547" t="s">
        <v>74</v>
      </c>
      <c r="P547" t="s">
        <v>74</v>
      </c>
      <c r="Q547" t="s">
        <v>74</v>
      </c>
      <c r="R547" t="s">
        <v>74</v>
      </c>
      <c r="S547" t="s">
        <v>74</v>
      </c>
      <c r="T547" t="s">
        <v>74</v>
      </c>
      <c r="U547" t="s">
        <v>74</v>
      </c>
      <c r="V547" s="3" t="s">
        <v>4575</v>
      </c>
      <c r="W547" t="s">
        <v>74</v>
      </c>
      <c r="X547" t="s">
        <v>74</v>
      </c>
      <c r="Y547" t="s">
        <v>74</v>
      </c>
      <c r="Z547" t="s">
        <v>74</v>
      </c>
      <c r="AA547" t="s">
        <v>74</v>
      </c>
      <c r="AB547" t="s">
        <v>74</v>
      </c>
      <c r="AC547" t="s">
        <v>74</v>
      </c>
      <c r="AD547" t="s">
        <v>74</v>
      </c>
      <c r="AE547" t="s">
        <v>74</v>
      </c>
      <c r="AF547" t="s">
        <v>74</v>
      </c>
      <c r="AG547" t="s">
        <v>74</v>
      </c>
      <c r="AH547" t="s">
        <v>74</v>
      </c>
      <c r="AI547" t="s">
        <v>74</v>
      </c>
      <c r="AJ547" t="s">
        <v>74</v>
      </c>
      <c r="AK547" t="s">
        <v>74</v>
      </c>
      <c r="AL547" t="s">
        <v>74</v>
      </c>
      <c r="AM547" t="s">
        <v>74</v>
      </c>
      <c r="AN547" t="s">
        <v>74</v>
      </c>
      <c r="AO547" t="s">
        <v>143</v>
      </c>
      <c r="AP547" t="s">
        <v>144</v>
      </c>
      <c r="AQ547" t="s">
        <v>74</v>
      </c>
      <c r="AR547" t="s">
        <v>74</v>
      </c>
      <c r="AS547" t="s">
        <v>74</v>
      </c>
      <c r="AT547" t="s">
        <v>74</v>
      </c>
      <c r="AU547">
        <v>1980</v>
      </c>
      <c r="AV547">
        <v>28</v>
      </c>
      <c r="AW547" t="s">
        <v>213</v>
      </c>
      <c r="AX547" t="s">
        <v>74</v>
      </c>
      <c r="AY547" t="s">
        <v>74</v>
      </c>
      <c r="AZ547" t="s">
        <v>74</v>
      </c>
      <c r="BA547" t="s">
        <v>74</v>
      </c>
      <c r="BB547">
        <v>1230</v>
      </c>
      <c r="BC547">
        <v>1238</v>
      </c>
      <c r="BD547" t="s">
        <v>74</v>
      </c>
      <c r="BE547" t="s">
        <v>4576</v>
      </c>
      <c r="BF547" t="str">
        <f>HYPERLINK("http://dx.doi.org/10.1016/S0003-3472(80)80111-4","http://dx.doi.org/10.1016/S0003-3472(80)80111-4")</f>
        <v>http://dx.doi.org/10.1016/S0003-3472(80)80111-4</v>
      </c>
      <c r="BG547" t="s">
        <v>74</v>
      </c>
      <c r="BH547" t="s">
        <v>74</v>
      </c>
      <c r="BI547" t="s">
        <v>74</v>
      </c>
      <c r="BJ547" t="s">
        <v>74</v>
      </c>
      <c r="BK547" t="s">
        <v>74</v>
      </c>
      <c r="BL547" t="s">
        <v>74</v>
      </c>
      <c r="BM547" t="s">
        <v>74</v>
      </c>
      <c r="BN547" t="s">
        <v>74</v>
      </c>
      <c r="BO547" t="s">
        <v>74</v>
      </c>
      <c r="BP547" t="s">
        <v>74</v>
      </c>
      <c r="BQ547" t="s">
        <v>74</v>
      </c>
      <c r="BR547" t="s">
        <v>74</v>
      </c>
      <c r="BS547" t="s">
        <v>4577</v>
      </c>
      <c r="BT547" t="str">
        <f>HYPERLINK("https%3A%2F%2Fwww.webofscience.com%2Fwos%2Fwoscc%2Ffull-record%2FWOS:A1980KT55300026","View Full Record in Web of Science")</f>
        <v>View Full Record in Web of Science</v>
      </c>
    </row>
    <row r="548" spans="1:72" x14ac:dyDescent="0.4">
      <c r="A548" t="s">
        <v>72</v>
      </c>
      <c r="B548" t="s">
        <v>2757</v>
      </c>
      <c r="C548" t="s">
        <v>74</v>
      </c>
      <c r="D548" t="s">
        <v>74</v>
      </c>
      <c r="E548" t="s">
        <v>74</v>
      </c>
      <c r="F548" t="s">
        <v>2758</v>
      </c>
      <c r="G548" t="s">
        <v>74</v>
      </c>
      <c r="H548" t="s">
        <v>74</v>
      </c>
      <c r="I548" t="s">
        <v>2759</v>
      </c>
      <c r="J548" t="s">
        <v>333</v>
      </c>
      <c r="K548" t="s">
        <v>74</v>
      </c>
      <c r="L548" t="s">
        <v>74</v>
      </c>
      <c r="M548" t="s">
        <v>74</v>
      </c>
      <c r="N548" t="s">
        <v>74</v>
      </c>
      <c r="O548" t="s">
        <v>74</v>
      </c>
      <c r="P548" t="s">
        <v>74</v>
      </c>
      <c r="Q548" t="s">
        <v>74</v>
      </c>
      <c r="R548" t="s">
        <v>74</v>
      </c>
      <c r="S548" t="s">
        <v>74</v>
      </c>
      <c r="T548" t="s">
        <v>74</v>
      </c>
      <c r="U548" t="s">
        <v>74</v>
      </c>
      <c r="V548" s="3" t="s">
        <v>2760</v>
      </c>
      <c r="W548" t="s">
        <v>74</v>
      </c>
      <c r="X548" t="s">
        <v>74</v>
      </c>
      <c r="Y548" t="s">
        <v>74</v>
      </c>
      <c r="Z548" t="s">
        <v>74</v>
      </c>
      <c r="AA548" t="s">
        <v>2761</v>
      </c>
      <c r="AB548" t="s">
        <v>2762</v>
      </c>
      <c r="AC548" t="s">
        <v>74</v>
      </c>
      <c r="AD548" t="s">
        <v>74</v>
      </c>
      <c r="AE548" t="s">
        <v>74</v>
      </c>
      <c r="AF548" t="s">
        <v>74</v>
      </c>
      <c r="AG548" t="s">
        <v>74</v>
      </c>
      <c r="AH548" t="s">
        <v>74</v>
      </c>
      <c r="AI548" t="s">
        <v>74</v>
      </c>
      <c r="AJ548" t="s">
        <v>74</v>
      </c>
      <c r="AK548" t="s">
        <v>74</v>
      </c>
      <c r="AL548" t="s">
        <v>74</v>
      </c>
      <c r="AM548" t="s">
        <v>74</v>
      </c>
      <c r="AN548" t="s">
        <v>74</v>
      </c>
      <c r="AO548" t="s">
        <v>337</v>
      </c>
      <c r="AP548" t="s">
        <v>338</v>
      </c>
      <c r="AQ548" t="s">
        <v>74</v>
      </c>
      <c r="AR548" t="s">
        <v>74</v>
      </c>
      <c r="AS548" t="s">
        <v>74</v>
      </c>
      <c r="AT548" t="s">
        <v>1038</v>
      </c>
      <c r="AU548">
        <v>2017</v>
      </c>
      <c r="AV548">
        <v>28</v>
      </c>
      <c r="AW548">
        <v>2</v>
      </c>
      <c r="AX548" t="s">
        <v>74</v>
      </c>
      <c r="AY548" t="s">
        <v>74</v>
      </c>
      <c r="AZ548" t="s">
        <v>74</v>
      </c>
      <c r="BA548" t="s">
        <v>74</v>
      </c>
      <c r="BB548">
        <v>597</v>
      </c>
      <c r="BC548">
        <v>606</v>
      </c>
      <c r="BD548" t="s">
        <v>74</v>
      </c>
      <c r="BE548" t="s">
        <v>2763</v>
      </c>
      <c r="BF548" t="str">
        <f>HYPERLINK("http://dx.doi.org/10.1093/beheco/arw186","http://dx.doi.org/10.1093/beheco/arw186")</f>
        <v>http://dx.doi.org/10.1093/beheco/arw186</v>
      </c>
      <c r="BG548" t="s">
        <v>74</v>
      </c>
      <c r="BH548" t="s">
        <v>74</v>
      </c>
      <c r="BI548" t="s">
        <v>74</v>
      </c>
      <c r="BJ548" t="s">
        <v>74</v>
      </c>
      <c r="BK548" t="s">
        <v>74</v>
      </c>
      <c r="BL548" t="s">
        <v>74</v>
      </c>
      <c r="BM548" t="s">
        <v>74</v>
      </c>
      <c r="BN548" t="s">
        <v>74</v>
      </c>
      <c r="BO548" t="s">
        <v>74</v>
      </c>
      <c r="BP548" t="s">
        <v>74</v>
      </c>
      <c r="BQ548" t="s">
        <v>74</v>
      </c>
      <c r="BR548" t="s">
        <v>74</v>
      </c>
      <c r="BS548" t="s">
        <v>2764</v>
      </c>
      <c r="BT548" t="str">
        <f>HYPERLINK("https%3A%2F%2Fwww.webofscience.com%2Fwos%2Fwoscc%2Ffull-record%2FWOS:000401769000036","View Full Record in Web of Science")</f>
        <v>View Full Record in Web of Science</v>
      </c>
    </row>
    <row r="549" spans="1:72" x14ac:dyDescent="0.4">
      <c r="A549" t="s">
        <v>72</v>
      </c>
      <c r="B549" t="s">
        <v>4886</v>
      </c>
      <c r="C549" t="s">
        <v>74</v>
      </c>
      <c r="D549" t="s">
        <v>74</v>
      </c>
      <c r="E549" t="s">
        <v>74</v>
      </c>
      <c r="F549" t="s">
        <v>4886</v>
      </c>
      <c r="G549" t="s">
        <v>74</v>
      </c>
      <c r="H549" t="s">
        <v>74</v>
      </c>
      <c r="I549" t="s">
        <v>4887</v>
      </c>
      <c r="J549" t="s">
        <v>509</v>
      </c>
      <c r="K549" t="s">
        <v>74</v>
      </c>
      <c r="L549" t="s">
        <v>74</v>
      </c>
      <c r="M549" t="s">
        <v>74</v>
      </c>
      <c r="N549" t="s">
        <v>74</v>
      </c>
      <c r="O549" t="s">
        <v>74</v>
      </c>
      <c r="P549" t="s">
        <v>74</v>
      </c>
      <c r="Q549" t="s">
        <v>74</v>
      </c>
      <c r="R549" t="s">
        <v>74</v>
      </c>
      <c r="S549" t="s">
        <v>74</v>
      </c>
      <c r="T549" t="s">
        <v>74</v>
      </c>
      <c r="U549" t="s">
        <v>74</v>
      </c>
      <c r="V549" s="3" t="s">
        <v>4888</v>
      </c>
      <c r="W549" t="s">
        <v>74</v>
      </c>
      <c r="X549" t="s">
        <v>74</v>
      </c>
      <c r="Y549" t="s">
        <v>74</v>
      </c>
      <c r="Z549" t="s">
        <v>74</v>
      </c>
      <c r="AA549" t="s">
        <v>74</v>
      </c>
      <c r="AB549" t="s">
        <v>4889</v>
      </c>
      <c r="AC549" t="s">
        <v>74</v>
      </c>
      <c r="AD549" t="s">
        <v>74</v>
      </c>
      <c r="AE549" t="s">
        <v>74</v>
      </c>
      <c r="AF549" t="s">
        <v>74</v>
      </c>
      <c r="AG549" t="s">
        <v>74</v>
      </c>
      <c r="AH549" t="s">
        <v>74</v>
      </c>
      <c r="AI549" t="s">
        <v>74</v>
      </c>
      <c r="AJ549" t="s">
        <v>74</v>
      </c>
      <c r="AK549" t="s">
        <v>74</v>
      </c>
      <c r="AL549" t="s">
        <v>74</v>
      </c>
      <c r="AM549" t="s">
        <v>74</v>
      </c>
      <c r="AN549" t="s">
        <v>74</v>
      </c>
      <c r="AO549" t="s">
        <v>511</v>
      </c>
      <c r="AP549" t="s">
        <v>74</v>
      </c>
      <c r="AQ549" t="s">
        <v>74</v>
      </c>
      <c r="AR549" t="s">
        <v>74</v>
      </c>
      <c r="AS549" t="s">
        <v>74</v>
      </c>
      <c r="AT549" t="s">
        <v>123</v>
      </c>
      <c r="AU549">
        <v>1995</v>
      </c>
      <c r="AV549">
        <v>29</v>
      </c>
      <c r="AW549">
        <v>1</v>
      </c>
      <c r="AX549" t="s">
        <v>74</v>
      </c>
      <c r="AY549" t="s">
        <v>74</v>
      </c>
      <c r="AZ549" t="s">
        <v>74</v>
      </c>
      <c r="BA549" t="s">
        <v>74</v>
      </c>
      <c r="BB549">
        <v>85</v>
      </c>
      <c r="BC549">
        <v>105</v>
      </c>
      <c r="BD549" t="s">
        <v>74</v>
      </c>
      <c r="BE549" t="s">
        <v>4890</v>
      </c>
      <c r="BF549" t="str">
        <f>HYPERLINK("http://dx.doi.org/10.1006/hbeh.1995.1007","http://dx.doi.org/10.1006/hbeh.1995.1007")</f>
        <v>http://dx.doi.org/10.1006/hbeh.1995.1007</v>
      </c>
      <c r="BG549" t="s">
        <v>74</v>
      </c>
      <c r="BH549" t="s">
        <v>74</v>
      </c>
      <c r="BI549" t="s">
        <v>74</v>
      </c>
      <c r="BJ549" t="s">
        <v>74</v>
      </c>
      <c r="BK549" t="s">
        <v>74</v>
      </c>
      <c r="BL549" t="s">
        <v>74</v>
      </c>
      <c r="BM549" t="s">
        <v>74</v>
      </c>
      <c r="BN549">
        <v>7782065</v>
      </c>
      <c r="BO549" t="s">
        <v>74</v>
      </c>
      <c r="BP549" t="s">
        <v>74</v>
      </c>
      <c r="BQ549" t="s">
        <v>74</v>
      </c>
      <c r="BR549" t="s">
        <v>74</v>
      </c>
      <c r="BS549" t="s">
        <v>4891</v>
      </c>
      <c r="BT549" t="str">
        <f>HYPERLINK("https%3A%2F%2Fwww.webofscience.com%2Fwos%2Fwoscc%2Ffull-record%2FWOS:A1995QN96000007","View Full Record in Web of Science")</f>
        <v>View Full Record in Web of Science</v>
      </c>
    </row>
    <row r="550" spans="1:72" x14ac:dyDescent="0.4">
      <c r="A550" t="s">
        <v>72</v>
      </c>
      <c r="B550" t="s">
        <v>4585</v>
      </c>
      <c r="C550" t="s">
        <v>74</v>
      </c>
      <c r="D550" t="s">
        <v>74</v>
      </c>
      <c r="E550" t="s">
        <v>74</v>
      </c>
      <c r="F550" t="s">
        <v>4586</v>
      </c>
      <c r="G550" t="s">
        <v>74</v>
      </c>
      <c r="H550" t="s">
        <v>74</v>
      </c>
      <c r="I550" t="s">
        <v>4587</v>
      </c>
      <c r="J550" t="s">
        <v>218</v>
      </c>
      <c r="K550" t="s">
        <v>74</v>
      </c>
      <c r="L550" t="s">
        <v>74</v>
      </c>
      <c r="M550" t="s">
        <v>74</v>
      </c>
      <c r="N550" t="s">
        <v>74</v>
      </c>
      <c r="O550" t="s">
        <v>74</v>
      </c>
      <c r="P550" t="s">
        <v>74</v>
      </c>
      <c r="Q550" t="s">
        <v>74</v>
      </c>
      <c r="R550" t="s">
        <v>74</v>
      </c>
      <c r="S550" t="s">
        <v>74</v>
      </c>
      <c r="T550" t="s">
        <v>74</v>
      </c>
      <c r="U550" t="s">
        <v>74</v>
      </c>
      <c r="V550" s="3" t="s">
        <v>4588</v>
      </c>
      <c r="W550" t="s">
        <v>74</v>
      </c>
      <c r="X550" t="s">
        <v>74</v>
      </c>
      <c r="Y550" t="s">
        <v>74</v>
      </c>
      <c r="Z550" t="s">
        <v>74</v>
      </c>
      <c r="AA550" t="s">
        <v>4589</v>
      </c>
      <c r="AB550" t="s">
        <v>4590</v>
      </c>
      <c r="AC550" t="s">
        <v>74</v>
      </c>
      <c r="AD550" t="s">
        <v>74</v>
      </c>
      <c r="AE550" t="s">
        <v>74</v>
      </c>
      <c r="AF550" t="s">
        <v>74</v>
      </c>
      <c r="AG550" t="s">
        <v>74</v>
      </c>
      <c r="AH550" t="s">
        <v>74</v>
      </c>
      <c r="AI550" t="s">
        <v>74</v>
      </c>
      <c r="AJ550" t="s">
        <v>74</v>
      </c>
      <c r="AK550" t="s">
        <v>74</v>
      </c>
      <c r="AL550" t="s">
        <v>74</v>
      </c>
      <c r="AM550" t="s">
        <v>74</v>
      </c>
      <c r="AN550" t="s">
        <v>74</v>
      </c>
      <c r="AO550" t="s">
        <v>221</v>
      </c>
      <c r="AP550" t="s">
        <v>222</v>
      </c>
      <c r="AQ550" t="s">
        <v>74</v>
      </c>
      <c r="AR550" t="s">
        <v>74</v>
      </c>
      <c r="AS550" t="s">
        <v>74</v>
      </c>
      <c r="AT550" t="s">
        <v>134</v>
      </c>
      <c r="AU550">
        <v>2020</v>
      </c>
      <c r="AV550">
        <v>33</v>
      </c>
      <c r="AW550">
        <v>5</v>
      </c>
      <c r="AX550" t="s">
        <v>74</v>
      </c>
      <c r="AY550" t="s">
        <v>74</v>
      </c>
      <c r="AZ550" t="s">
        <v>74</v>
      </c>
      <c r="BA550" t="s">
        <v>74</v>
      </c>
      <c r="BB550">
        <v>727</v>
      </c>
      <c r="BC550">
        <v>733</v>
      </c>
      <c r="BD550" t="s">
        <v>74</v>
      </c>
      <c r="BE550" t="s">
        <v>4591</v>
      </c>
      <c r="BF550" t="str">
        <f>HYPERLINK("http://dx.doi.org/10.1111/jeb.13607","http://dx.doi.org/10.1111/jeb.13607")</f>
        <v>http://dx.doi.org/10.1111/jeb.13607</v>
      </c>
      <c r="BG550" t="s">
        <v>74</v>
      </c>
      <c r="BH550" t="s">
        <v>74</v>
      </c>
      <c r="BI550" t="s">
        <v>74</v>
      </c>
      <c r="BJ550" t="s">
        <v>74</v>
      </c>
      <c r="BK550" t="s">
        <v>74</v>
      </c>
      <c r="BL550" t="s">
        <v>74</v>
      </c>
      <c r="BM550" t="s">
        <v>74</v>
      </c>
      <c r="BN550">
        <v>32069366</v>
      </c>
      <c r="BO550" t="s">
        <v>74</v>
      </c>
      <c r="BP550" t="s">
        <v>74</v>
      </c>
      <c r="BQ550" t="s">
        <v>74</v>
      </c>
      <c r="BR550" t="s">
        <v>74</v>
      </c>
      <c r="BS550" t="s">
        <v>4592</v>
      </c>
      <c r="BT550" t="str">
        <f>HYPERLINK("https%3A%2F%2Fwww.webofscience.com%2Fwos%2Fwoscc%2Ffull-record%2FWOS:000531419500014","View Full Record in Web of Science")</f>
        <v>View Full Record in Web of Science</v>
      </c>
    </row>
    <row r="551" spans="1:72" x14ac:dyDescent="0.4">
      <c r="A551" t="s">
        <v>72</v>
      </c>
      <c r="B551" t="s">
        <v>6238</v>
      </c>
      <c r="C551" t="s">
        <v>74</v>
      </c>
      <c r="D551" t="s">
        <v>74</v>
      </c>
      <c r="E551" t="s">
        <v>74</v>
      </c>
      <c r="F551" t="s">
        <v>6238</v>
      </c>
      <c r="G551" t="s">
        <v>74</v>
      </c>
      <c r="H551" t="s">
        <v>74</v>
      </c>
      <c r="I551" t="s">
        <v>6239</v>
      </c>
      <c r="J551" t="s">
        <v>6240</v>
      </c>
      <c r="K551" t="s">
        <v>74</v>
      </c>
      <c r="L551" t="s">
        <v>74</v>
      </c>
      <c r="M551" t="s">
        <v>74</v>
      </c>
      <c r="N551" t="s">
        <v>74</v>
      </c>
      <c r="O551" t="s">
        <v>74</v>
      </c>
      <c r="P551" t="s">
        <v>74</v>
      </c>
      <c r="Q551" t="s">
        <v>74</v>
      </c>
      <c r="R551" t="s">
        <v>74</v>
      </c>
      <c r="S551" t="s">
        <v>74</v>
      </c>
      <c r="T551" t="s">
        <v>74</v>
      </c>
      <c r="U551" t="s">
        <v>74</v>
      </c>
      <c r="V551" s="3" t="s">
        <v>6241</v>
      </c>
      <c r="W551" t="s">
        <v>74</v>
      </c>
      <c r="X551" t="s">
        <v>74</v>
      </c>
      <c r="Y551" t="s">
        <v>74</v>
      </c>
      <c r="Z551" t="s">
        <v>74</v>
      </c>
      <c r="AA551" t="s">
        <v>74</v>
      </c>
      <c r="AB551" t="s">
        <v>74</v>
      </c>
      <c r="AC551" t="s">
        <v>74</v>
      </c>
      <c r="AD551" t="s">
        <v>74</v>
      </c>
      <c r="AE551" t="s">
        <v>74</v>
      </c>
      <c r="AF551" t="s">
        <v>74</v>
      </c>
      <c r="AG551" t="s">
        <v>74</v>
      </c>
      <c r="AH551" t="s">
        <v>74</v>
      </c>
      <c r="AI551" t="s">
        <v>74</v>
      </c>
      <c r="AJ551" t="s">
        <v>74</v>
      </c>
      <c r="AK551" t="s">
        <v>74</v>
      </c>
      <c r="AL551" t="s">
        <v>74</v>
      </c>
      <c r="AM551" t="s">
        <v>74</v>
      </c>
      <c r="AN551" t="s">
        <v>74</v>
      </c>
      <c r="AO551" t="s">
        <v>6242</v>
      </c>
      <c r="AP551" t="s">
        <v>6243</v>
      </c>
      <c r="AQ551" t="s">
        <v>74</v>
      </c>
      <c r="AR551" t="s">
        <v>74</v>
      </c>
      <c r="AS551" t="s">
        <v>74</v>
      </c>
      <c r="AT551" t="s">
        <v>74</v>
      </c>
      <c r="AU551">
        <v>1983</v>
      </c>
      <c r="AV551">
        <v>33</v>
      </c>
      <c r="AW551">
        <v>2</v>
      </c>
      <c r="AX551" t="s">
        <v>74</v>
      </c>
      <c r="AY551" t="s">
        <v>74</v>
      </c>
      <c r="AZ551" t="s">
        <v>74</v>
      </c>
      <c r="BA551" t="s">
        <v>74</v>
      </c>
      <c r="BB551">
        <v>353</v>
      </c>
      <c r="BC551">
        <v>362</v>
      </c>
      <c r="BD551" t="s">
        <v>74</v>
      </c>
      <c r="BE551" t="s">
        <v>74</v>
      </c>
      <c r="BF551" t="s">
        <v>74</v>
      </c>
      <c r="BG551" t="s">
        <v>74</v>
      </c>
      <c r="BH551" t="s">
        <v>74</v>
      </c>
      <c r="BI551" t="s">
        <v>74</v>
      </c>
      <c r="BJ551" t="s">
        <v>74</v>
      </c>
      <c r="BK551" t="s">
        <v>74</v>
      </c>
      <c r="BL551" t="s">
        <v>74</v>
      </c>
      <c r="BM551" t="s">
        <v>74</v>
      </c>
      <c r="BN551" t="s">
        <v>74</v>
      </c>
      <c r="BO551" t="s">
        <v>74</v>
      </c>
      <c r="BP551" t="s">
        <v>74</v>
      </c>
      <c r="BQ551" t="s">
        <v>74</v>
      </c>
      <c r="BR551" t="s">
        <v>74</v>
      </c>
      <c r="BS551" t="s">
        <v>6244</v>
      </c>
      <c r="BT551" t="str">
        <f>HYPERLINK("https%3A%2F%2Fwww.webofscience.com%2Fwos%2Fwoscc%2Ffull-record%2FWOS:A1983QR68900012","View Full Record in Web of Science")</f>
        <v>View Full Record in Web of Science</v>
      </c>
    </row>
    <row r="552" spans="1:72" x14ac:dyDescent="0.4">
      <c r="A552" t="s">
        <v>72</v>
      </c>
      <c r="B552" t="s">
        <v>2031</v>
      </c>
      <c r="C552" t="s">
        <v>74</v>
      </c>
      <c r="D552" t="s">
        <v>74</v>
      </c>
      <c r="E552" t="s">
        <v>74</v>
      </c>
      <c r="F552" t="s">
        <v>2032</v>
      </c>
      <c r="G552" t="s">
        <v>74</v>
      </c>
      <c r="H552" t="s">
        <v>74</v>
      </c>
      <c r="I552" t="s">
        <v>2033</v>
      </c>
      <c r="J552" t="s">
        <v>218</v>
      </c>
      <c r="K552" t="s">
        <v>74</v>
      </c>
      <c r="L552" t="s">
        <v>74</v>
      </c>
      <c r="M552" t="s">
        <v>74</v>
      </c>
      <c r="N552" t="s">
        <v>74</v>
      </c>
      <c r="O552" t="s">
        <v>74</v>
      </c>
      <c r="P552" t="s">
        <v>74</v>
      </c>
      <c r="Q552" t="s">
        <v>74</v>
      </c>
      <c r="R552" t="s">
        <v>74</v>
      </c>
      <c r="S552" t="s">
        <v>74</v>
      </c>
      <c r="T552" t="s">
        <v>74</v>
      </c>
      <c r="U552" t="s">
        <v>74</v>
      </c>
      <c r="V552" s="3" t="s">
        <v>2034</v>
      </c>
      <c r="W552" t="s">
        <v>74</v>
      </c>
      <c r="X552" t="s">
        <v>74</v>
      </c>
      <c r="Y552" t="s">
        <v>74</v>
      </c>
      <c r="Z552" t="s">
        <v>74</v>
      </c>
      <c r="AA552" t="s">
        <v>74</v>
      </c>
      <c r="AB552" t="s">
        <v>2035</v>
      </c>
      <c r="AC552" t="s">
        <v>74</v>
      </c>
      <c r="AD552" t="s">
        <v>74</v>
      </c>
      <c r="AE552" t="s">
        <v>74</v>
      </c>
      <c r="AF552" t="s">
        <v>74</v>
      </c>
      <c r="AG552" t="s">
        <v>74</v>
      </c>
      <c r="AH552" t="s">
        <v>74</v>
      </c>
      <c r="AI552" t="s">
        <v>74</v>
      </c>
      <c r="AJ552" t="s">
        <v>74</v>
      </c>
      <c r="AK552" t="s">
        <v>74</v>
      </c>
      <c r="AL552" t="s">
        <v>74</v>
      </c>
      <c r="AM552" t="s">
        <v>74</v>
      </c>
      <c r="AN552" t="s">
        <v>74</v>
      </c>
      <c r="AO552" t="s">
        <v>221</v>
      </c>
      <c r="AP552" t="s">
        <v>222</v>
      </c>
      <c r="AQ552" t="s">
        <v>74</v>
      </c>
      <c r="AR552" t="s">
        <v>74</v>
      </c>
      <c r="AS552" t="s">
        <v>74</v>
      </c>
      <c r="AT552" t="s">
        <v>2036</v>
      </c>
      <c r="AU552">
        <v>2024</v>
      </c>
      <c r="AV552" t="s">
        <v>74</v>
      </c>
      <c r="AW552" t="s">
        <v>74</v>
      </c>
      <c r="AX552" t="s">
        <v>74</v>
      </c>
      <c r="AY552" t="s">
        <v>74</v>
      </c>
      <c r="AZ552" t="s">
        <v>74</v>
      </c>
      <c r="BA552" t="s">
        <v>74</v>
      </c>
      <c r="BB552" t="s">
        <v>74</v>
      </c>
      <c r="BC552" t="s">
        <v>74</v>
      </c>
      <c r="BD552" t="s">
        <v>74</v>
      </c>
      <c r="BE552" t="s">
        <v>2037</v>
      </c>
      <c r="BF552" t="str">
        <f>HYPERLINK("http://dx.doi.org/10.1093/jeb/voae085","http://dx.doi.org/10.1093/jeb/voae085")</f>
        <v>http://dx.doi.org/10.1093/jeb/voae085</v>
      </c>
      <c r="BG552" t="s">
        <v>74</v>
      </c>
      <c r="BH552" t="s">
        <v>869</v>
      </c>
      <c r="BI552" t="s">
        <v>74</v>
      </c>
      <c r="BJ552" t="s">
        <v>74</v>
      </c>
      <c r="BK552" t="s">
        <v>74</v>
      </c>
      <c r="BL552" t="s">
        <v>74</v>
      </c>
      <c r="BM552" t="s">
        <v>74</v>
      </c>
      <c r="BN552">
        <v>38989853</v>
      </c>
      <c r="BO552" t="s">
        <v>74</v>
      </c>
      <c r="BP552" t="s">
        <v>74</v>
      </c>
      <c r="BQ552" t="s">
        <v>74</v>
      </c>
      <c r="BR552" t="s">
        <v>74</v>
      </c>
      <c r="BS552" t="s">
        <v>2038</v>
      </c>
      <c r="BT552" t="str">
        <f>HYPERLINK("https%3A%2F%2Fwww.webofscience.com%2Fwos%2Fwoscc%2Ffull-record%2FWOS:001274409500001","View Full Record in Web of Science")</f>
        <v>View Full Record in Web of Science</v>
      </c>
    </row>
    <row r="553" spans="1:72" x14ac:dyDescent="0.4">
      <c r="A553" t="s">
        <v>72</v>
      </c>
      <c r="B553" t="s">
        <v>6769</v>
      </c>
      <c r="C553" t="s">
        <v>74</v>
      </c>
      <c r="D553" t="s">
        <v>74</v>
      </c>
      <c r="E553" t="s">
        <v>74</v>
      </c>
      <c r="F553" t="s">
        <v>6770</v>
      </c>
      <c r="G553" t="s">
        <v>74</v>
      </c>
      <c r="H553" t="s">
        <v>74</v>
      </c>
      <c r="I553" t="s">
        <v>6771</v>
      </c>
      <c r="J553" t="s">
        <v>6772</v>
      </c>
      <c r="K553" t="s">
        <v>74</v>
      </c>
      <c r="L553" t="s">
        <v>74</v>
      </c>
      <c r="M553" t="s">
        <v>74</v>
      </c>
      <c r="N553" t="s">
        <v>74</v>
      </c>
      <c r="O553" t="s">
        <v>74</v>
      </c>
      <c r="P553" t="s">
        <v>74</v>
      </c>
      <c r="Q553" t="s">
        <v>74</v>
      </c>
      <c r="R553" t="s">
        <v>74</v>
      </c>
      <c r="S553" t="s">
        <v>74</v>
      </c>
      <c r="T553" t="s">
        <v>74</v>
      </c>
      <c r="U553" t="s">
        <v>74</v>
      </c>
      <c r="V553" s="3" t="s">
        <v>6773</v>
      </c>
      <c r="W553" t="s">
        <v>74</v>
      </c>
      <c r="X553" t="s">
        <v>74</v>
      </c>
      <c r="Y553" t="s">
        <v>74</v>
      </c>
      <c r="Z553" t="s">
        <v>74</v>
      </c>
      <c r="AA553" t="s">
        <v>6774</v>
      </c>
      <c r="AB553" t="s">
        <v>6775</v>
      </c>
      <c r="AC553" t="s">
        <v>74</v>
      </c>
      <c r="AD553" t="s">
        <v>74</v>
      </c>
      <c r="AE553" t="s">
        <v>74</v>
      </c>
      <c r="AF553" t="s">
        <v>74</v>
      </c>
      <c r="AG553" t="s">
        <v>74</v>
      </c>
      <c r="AH553" t="s">
        <v>74</v>
      </c>
      <c r="AI553" t="s">
        <v>74</v>
      </c>
      <c r="AJ553" t="s">
        <v>74</v>
      </c>
      <c r="AK553" t="s">
        <v>74</v>
      </c>
      <c r="AL553" t="s">
        <v>74</v>
      </c>
      <c r="AM553" t="s">
        <v>74</v>
      </c>
      <c r="AN553" t="s">
        <v>74</v>
      </c>
      <c r="AO553" t="s">
        <v>6776</v>
      </c>
      <c r="AP553" t="s">
        <v>6777</v>
      </c>
      <c r="AQ553" t="s">
        <v>74</v>
      </c>
      <c r="AR553" t="s">
        <v>74</v>
      </c>
      <c r="AS553" t="s">
        <v>74</v>
      </c>
      <c r="AT553" t="s">
        <v>964</v>
      </c>
      <c r="AU553">
        <v>2022</v>
      </c>
      <c r="AV553">
        <v>20</v>
      </c>
      <c r="AW553">
        <v>2</v>
      </c>
      <c r="AX553" t="s">
        <v>74</v>
      </c>
      <c r="AY553" t="s">
        <v>74</v>
      </c>
      <c r="AZ553" t="s">
        <v>74</v>
      </c>
      <c r="BA553" t="s">
        <v>74</v>
      </c>
      <c r="BB553" t="s">
        <v>74</v>
      </c>
      <c r="BC553" t="s">
        <v>74</v>
      </c>
      <c r="BD553" t="s">
        <v>6778</v>
      </c>
      <c r="BE553" t="s">
        <v>6779</v>
      </c>
      <c r="BF553" t="str">
        <f>HYPERLINK("http://dx.doi.org/10.1371/journal.pbio.3001529","http://dx.doi.org/10.1371/journal.pbio.3001529")</f>
        <v>http://dx.doi.org/10.1371/journal.pbio.3001529</v>
      </c>
      <c r="BG553" t="s">
        <v>74</v>
      </c>
      <c r="BH553" t="s">
        <v>74</v>
      </c>
      <c r="BI553" t="s">
        <v>74</v>
      </c>
      <c r="BJ553" t="s">
        <v>74</v>
      </c>
      <c r="BK553" t="s">
        <v>74</v>
      </c>
      <c r="BL553" t="s">
        <v>74</v>
      </c>
      <c r="BM553" t="s">
        <v>74</v>
      </c>
      <c r="BN553">
        <v>35176032</v>
      </c>
      <c r="BO553" t="s">
        <v>74</v>
      </c>
      <c r="BP553" t="s">
        <v>74</v>
      </c>
      <c r="BQ553" t="s">
        <v>74</v>
      </c>
      <c r="BR553" t="s">
        <v>74</v>
      </c>
      <c r="BS553" t="s">
        <v>6780</v>
      </c>
      <c r="BT553" t="str">
        <f>HYPERLINK("https%3A%2F%2Fwww.webofscience.com%2Fwos%2Fwoscc%2Ffull-record%2FWOS:000759890300001","View Full Record in Web of Science")</f>
        <v>View Full Record in Web of Science</v>
      </c>
    </row>
    <row r="554" spans="1:72" x14ac:dyDescent="0.4">
      <c r="A554" t="s">
        <v>72</v>
      </c>
      <c r="B554" t="s">
        <v>3920</v>
      </c>
      <c r="C554" t="s">
        <v>74</v>
      </c>
      <c r="D554" t="s">
        <v>74</v>
      </c>
      <c r="E554" t="s">
        <v>74</v>
      </c>
      <c r="F554" t="s">
        <v>3921</v>
      </c>
      <c r="G554" t="s">
        <v>74</v>
      </c>
      <c r="H554" t="s">
        <v>74</v>
      </c>
      <c r="I554" t="s">
        <v>3922</v>
      </c>
      <c r="J554" t="s">
        <v>108</v>
      </c>
      <c r="K554" t="s">
        <v>74</v>
      </c>
      <c r="L554" t="s">
        <v>74</v>
      </c>
      <c r="M554" t="s">
        <v>74</v>
      </c>
      <c r="N554" t="s">
        <v>74</v>
      </c>
      <c r="O554" t="s">
        <v>74</v>
      </c>
      <c r="P554" t="s">
        <v>74</v>
      </c>
      <c r="Q554" t="s">
        <v>74</v>
      </c>
      <c r="R554" t="s">
        <v>74</v>
      </c>
      <c r="S554" t="s">
        <v>74</v>
      </c>
      <c r="T554" t="s">
        <v>74</v>
      </c>
      <c r="U554" t="s">
        <v>74</v>
      </c>
      <c r="V554" s="3" t="s">
        <v>3923</v>
      </c>
      <c r="W554" t="s">
        <v>74</v>
      </c>
      <c r="X554" t="s">
        <v>74</v>
      </c>
      <c r="Y554" t="s">
        <v>74</v>
      </c>
      <c r="Z554" t="s">
        <v>74</v>
      </c>
      <c r="AA554" t="s">
        <v>3924</v>
      </c>
      <c r="AB554" t="s">
        <v>3925</v>
      </c>
      <c r="AC554" t="s">
        <v>74</v>
      </c>
      <c r="AD554" t="s">
        <v>74</v>
      </c>
      <c r="AE554" t="s">
        <v>74</v>
      </c>
      <c r="AF554" t="s">
        <v>74</v>
      </c>
      <c r="AG554" t="s">
        <v>74</v>
      </c>
      <c r="AH554" t="s">
        <v>74</v>
      </c>
      <c r="AI554" t="s">
        <v>74</v>
      </c>
      <c r="AJ554" t="s">
        <v>74</v>
      </c>
      <c r="AK554" t="s">
        <v>74</v>
      </c>
      <c r="AL554" t="s">
        <v>74</v>
      </c>
      <c r="AM554" t="s">
        <v>74</v>
      </c>
      <c r="AN554" t="s">
        <v>74</v>
      </c>
      <c r="AO554" t="s">
        <v>111</v>
      </c>
      <c r="AP554" t="s">
        <v>112</v>
      </c>
      <c r="AQ554" t="s">
        <v>74</v>
      </c>
      <c r="AR554" t="s">
        <v>74</v>
      </c>
      <c r="AS554" t="s">
        <v>74</v>
      </c>
      <c r="AT554" t="s">
        <v>3926</v>
      </c>
      <c r="AU554">
        <v>2014</v>
      </c>
      <c r="AV554">
        <v>281</v>
      </c>
      <c r="AW554">
        <v>1793</v>
      </c>
      <c r="AX554" t="s">
        <v>74</v>
      </c>
      <c r="AY554" t="s">
        <v>74</v>
      </c>
      <c r="AZ554" t="s">
        <v>74</v>
      </c>
      <c r="BA554" t="s">
        <v>74</v>
      </c>
      <c r="BB554" t="s">
        <v>74</v>
      </c>
      <c r="BC554" t="s">
        <v>74</v>
      </c>
      <c r="BD554">
        <v>20141794</v>
      </c>
      <c r="BE554" t="s">
        <v>3927</v>
      </c>
      <c r="BF554" t="str">
        <f>HYPERLINK("http://dx.doi.org/10.1098/rspb.2014.1794","http://dx.doi.org/10.1098/rspb.2014.1794")</f>
        <v>http://dx.doi.org/10.1098/rspb.2014.1794</v>
      </c>
      <c r="BG554" t="s">
        <v>74</v>
      </c>
      <c r="BH554" t="s">
        <v>74</v>
      </c>
      <c r="BI554" t="s">
        <v>74</v>
      </c>
      <c r="BJ554" t="s">
        <v>74</v>
      </c>
      <c r="BK554" t="s">
        <v>74</v>
      </c>
      <c r="BL554" t="s">
        <v>74</v>
      </c>
      <c r="BM554" t="s">
        <v>74</v>
      </c>
      <c r="BN554">
        <v>25209943</v>
      </c>
      <c r="BO554" t="s">
        <v>74</v>
      </c>
      <c r="BP554" t="s">
        <v>74</v>
      </c>
      <c r="BQ554" t="s">
        <v>74</v>
      </c>
      <c r="BR554" t="s">
        <v>74</v>
      </c>
      <c r="BS554" t="s">
        <v>3928</v>
      </c>
      <c r="BT554" t="str">
        <f>HYPERLINK("https%3A%2F%2Fwww.webofscience.com%2Fwos%2Fwoscc%2Ffull-record%2FWOS:000341560300025","View Full Record in Web of Science")</f>
        <v>View Full Record in Web of Science</v>
      </c>
    </row>
    <row r="555" spans="1:72" x14ac:dyDescent="0.4">
      <c r="A555" t="s">
        <v>72</v>
      </c>
      <c r="B555" t="s">
        <v>737</v>
      </c>
      <c r="C555" t="s">
        <v>74</v>
      </c>
      <c r="D555" t="s">
        <v>74</v>
      </c>
      <c r="E555" t="s">
        <v>74</v>
      </c>
      <c r="F555" t="s">
        <v>738</v>
      </c>
      <c r="G555" t="s">
        <v>74</v>
      </c>
      <c r="H555" t="s">
        <v>74</v>
      </c>
      <c r="I555" t="s">
        <v>739</v>
      </c>
      <c r="J555" t="s">
        <v>408</v>
      </c>
      <c r="K555" t="s">
        <v>74</v>
      </c>
      <c r="L555" t="s">
        <v>74</v>
      </c>
      <c r="M555" t="s">
        <v>74</v>
      </c>
      <c r="N555" t="s">
        <v>74</v>
      </c>
      <c r="O555" t="s">
        <v>74</v>
      </c>
      <c r="P555" t="s">
        <v>74</v>
      </c>
      <c r="Q555" t="s">
        <v>74</v>
      </c>
      <c r="R555" t="s">
        <v>74</v>
      </c>
      <c r="S555" t="s">
        <v>74</v>
      </c>
      <c r="T555" t="s">
        <v>74</v>
      </c>
      <c r="U555" t="s">
        <v>74</v>
      </c>
      <c r="V555" s="3" t="s">
        <v>740</v>
      </c>
      <c r="W555" t="s">
        <v>74</v>
      </c>
      <c r="X555" t="s">
        <v>74</v>
      </c>
      <c r="Y555" t="s">
        <v>74</v>
      </c>
      <c r="Z555" t="s">
        <v>74</v>
      </c>
      <c r="AA555" t="s">
        <v>74</v>
      </c>
      <c r="AB555" t="s">
        <v>74</v>
      </c>
      <c r="AC555" t="s">
        <v>74</v>
      </c>
      <c r="AD555" t="s">
        <v>74</v>
      </c>
      <c r="AE555" t="s">
        <v>74</v>
      </c>
      <c r="AF555" t="s">
        <v>74</v>
      </c>
      <c r="AG555" t="s">
        <v>74</v>
      </c>
      <c r="AH555" t="s">
        <v>74</v>
      </c>
      <c r="AI555" t="s">
        <v>74</v>
      </c>
      <c r="AJ555" t="s">
        <v>74</v>
      </c>
      <c r="AK555" t="s">
        <v>74</v>
      </c>
      <c r="AL555" t="s">
        <v>74</v>
      </c>
      <c r="AM555" t="s">
        <v>74</v>
      </c>
      <c r="AN555" t="s">
        <v>74</v>
      </c>
      <c r="AO555" t="s">
        <v>412</v>
      </c>
      <c r="AP555" t="s">
        <v>413</v>
      </c>
      <c r="AQ555" t="s">
        <v>74</v>
      </c>
      <c r="AR555" t="s">
        <v>74</v>
      </c>
      <c r="AS555" t="s">
        <v>74</v>
      </c>
      <c r="AT555" t="s">
        <v>741</v>
      </c>
      <c r="AU555">
        <v>2024</v>
      </c>
      <c r="AV555" t="s">
        <v>74</v>
      </c>
      <c r="AW555" t="s">
        <v>74</v>
      </c>
      <c r="AX555" t="s">
        <v>74</v>
      </c>
      <c r="AY555" t="s">
        <v>74</v>
      </c>
      <c r="AZ555" t="s">
        <v>74</v>
      </c>
      <c r="BA555" t="s">
        <v>74</v>
      </c>
      <c r="BB555" t="s">
        <v>74</v>
      </c>
      <c r="BC555" t="s">
        <v>74</v>
      </c>
      <c r="BD555" t="s">
        <v>74</v>
      </c>
      <c r="BE555" t="s">
        <v>742</v>
      </c>
      <c r="BF555" t="str">
        <f>HYPERLINK("http://dx.doi.org/10.1093/biolinnean/blae006","http://dx.doi.org/10.1093/biolinnean/blae006")</f>
        <v>http://dx.doi.org/10.1093/biolinnean/blae006</v>
      </c>
      <c r="BG555" t="s">
        <v>74</v>
      </c>
      <c r="BH555" t="s">
        <v>743</v>
      </c>
      <c r="BI555" t="s">
        <v>74</v>
      </c>
      <c r="BJ555" t="s">
        <v>74</v>
      </c>
      <c r="BK555" t="s">
        <v>74</v>
      </c>
      <c r="BL555" t="s">
        <v>74</v>
      </c>
      <c r="BM555" t="s">
        <v>74</v>
      </c>
      <c r="BN555" t="s">
        <v>74</v>
      </c>
      <c r="BO555" t="s">
        <v>74</v>
      </c>
      <c r="BP555" t="s">
        <v>74</v>
      </c>
      <c r="BQ555" t="s">
        <v>74</v>
      </c>
      <c r="BR555" t="s">
        <v>74</v>
      </c>
      <c r="BS555" t="s">
        <v>744</v>
      </c>
      <c r="BT555" t="str">
        <f>HYPERLINK("https%3A%2F%2Fwww.webofscience.com%2Fwos%2Fwoscc%2Ffull-record%2FWOS:001178186000001","View Full Record in Web of Science")</f>
        <v>View Full Record in Web of Science</v>
      </c>
    </row>
    <row r="556" spans="1:72" x14ac:dyDescent="0.4">
      <c r="A556" t="s">
        <v>72</v>
      </c>
      <c r="B556" t="s">
        <v>4190</v>
      </c>
      <c r="C556" t="s">
        <v>74</v>
      </c>
      <c r="D556" t="s">
        <v>74</v>
      </c>
      <c r="E556" t="s">
        <v>74</v>
      </c>
      <c r="F556" t="s">
        <v>4191</v>
      </c>
      <c r="G556" t="s">
        <v>74</v>
      </c>
      <c r="H556" t="s">
        <v>74</v>
      </c>
      <c r="I556" t="s">
        <v>4192</v>
      </c>
      <c r="J556" t="s">
        <v>862</v>
      </c>
      <c r="K556" t="s">
        <v>74</v>
      </c>
      <c r="L556" t="s">
        <v>74</v>
      </c>
      <c r="M556" t="s">
        <v>74</v>
      </c>
      <c r="N556" t="s">
        <v>74</v>
      </c>
      <c r="O556" t="s">
        <v>74</v>
      </c>
      <c r="P556" t="s">
        <v>74</v>
      </c>
      <c r="Q556" t="s">
        <v>74</v>
      </c>
      <c r="R556" t="s">
        <v>74</v>
      </c>
      <c r="S556" t="s">
        <v>74</v>
      </c>
      <c r="T556" t="s">
        <v>74</v>
      </c>
      <c r="U556" t="s">
        <v>74</v>
      </c>
      <c r="V556" s="3" t="s">
        <v>4193</v>
      </c>
      <c r="W556" t="s">
        <v>74</v>
      </c>
      <c r="X556" t="s">
        <v>74</v>
      </c>
      <c r="Y556" t="s">
        <v>74</v>
      </c>
      <c r="Z556" t="s">
        <v>74</v>
      </c>
      <c r="AA556" t="s">
        <v>74</v>
      </c>
      <c r="AB556" t="s">
        <v>74</v>
      </c>
      <c r="AC556" t="s">
        <v>74</v>
      </c>
      <c r="AD556" t="s">
        <v>74</v>
      </c>
      <c r="AE556" t="s">
        <v>74</v>
      </c>
      <c r="AF556" t="s">
        <v>74</v>
      </c>
      <c r="AG556" t="s">
        <v>74</v>
      </c>
      <c r="AH556" t="s">
        <v>74</v>
      </c>
      <c r="AI556" t="s">
        <v>74</v>
      </c>
      <c r="AJ556" t="s">
        <v>74</v>
      </c>
      <c r="AK556" t="s">
        <v>74</v>
      </c>
      <c r="AL556" t="s">
        <v>74</v>
      </c>
      <c r="AM556" t="s">
        <v>74</v>
      </c>
      <c r="AN556" t="s">
        <v>74</v>
      </c>
      <c r="AO556" t="s">
        <v>865</v>
      </c>
      <c r="AP556" t="s">
        <v>866</v>
      </c>
      <c r="AQ556" t="s">
        <v>74</v>
      </c>
      <c r="AR556" t="s">
        <v>74</v>
      </c>
      <c r="AS556" t="s">
        <v>74</v>
      </c>
      <c r="AT556" t="s">
        <v>123</v>
      </c>
      <c r="AU556">
        <v>2014</v>
      </c>
      <c r="AV556">
        <v>17</v>
      </c>
      <c r="AW556">
        <v>1</v>
      </c>
      <c r="AX556" t="s">
        <v>74</v>
      </c>
      <c r="AY556" t="s">
        <v>74</v>
      </c>
      <c r="AZ556" t="s">
        <v>74</v>
      </c>
      <c r="BA556" t="s">
        <v>74</v>
      </c>
      <c r="BB556">
        <v>37</v>
      </c>
      <c r="BC556">
        <v>45</v>
      </c>
      <c r="BD556" t="s">
        <v>74</v>
      </c>
      <c r="BE556" t="s">
        <v>4194</v>
      </c>
      <c r="BF556" t="str">
        <f>HYPERLINK("http://dx.doi.org/10.1007/s10211-013-0156-2","http://dx.doi.org/10.1007/s10211-013-0156-2")</f>
        <v>http://dx.doi.org/10.1007/s10211-013-0156-2</v>
      </c>
      <c r="BG556" t="s">
        <v>74</v>
      </c>
      <c r="BH556" t="s">
        <v>74</v>
      </c>
      <c r="BI556" t="s">
        <v>74</v>
      </c>
      <c r="BJ556" t="s">
        <v>74</v>
      </c>
      <c r="BK556" t="s">
        <v>74</v>
      </c>
      <c r="BL556" t="s">
        <v>74</v>
      </c>
      <c r="BM556" t="s">
        <v>74</v>
      </c>
      <c r="BN556" t="s">
        <v>74</v>
      </c>
      <c r="BO556" t="s">
        <v>74</v>
      </c>
      <c r="BP556" t="s">
        <v>74</v>
      </c>
      <c r="BQ556" t="s">
        <v>74</v>
      </c>
      <c r="BR556" t="s">
        <v>74</v>
      </c>
      <c r="BS556" t="s">
        <v>4195</v>
      </c>
      <c r="BT556" t="str">
        <f>HYPERLINK("https%3A%2F%2Fwww.webofscience.com%2Fwos%2Fwoscc%2Ffull-record%2FWOS:000331631900006","View Full Record in Web of Science")</f>
        <v>View Full Record in Web of Science</v>
      </c>
    </row>
    <row r="557" spans="1:72" x14ac:dyDescent="0.4">
      <c r="A557" t="s">
        <v>72</v>
      </c>
      <c r="B557" t="s">
        <v>890</v>
      </c>
      <c r="C557" t="s">
        <v>74</v>
      </c>
      <c r="D557" t="s">
        <v>74</v>
      </c>
      <c r="E557" t="s">
        <v>74</v>
      </c>
      <c r="F557" t="s">
        <v>891</v>
      </c>
      <c r="G557" t="s">
        <v>74</v>
      </c>
      <c r="H557" t="s">
        <v>74</v>
      </c>
      <c r="I557" t="s">
        <v>892</v>
      </c>
      <c r="J557" t="s">
        <v>88</v>
      </c>
      <c r="K557" t="s">
        <v>74</v>
      </c>
      <c r="L557" t="s">
        <v>74</v>
      </c>
      <c r="M557" t="s">
        <v>74</v>
      </c>
      <c r="N557" t="s">
        <v>74</v>
      </c>
      <c r="O557" t="s">
        <v>74</v>
      </c>
      <c r="P557" t="s">
        <v>74</v>
      </c>
      <c r="Q557" t="s">
        <v>74</v>
      </c>
      <c r="R557" t="s">
        <v>74</v>
      </c>
      <c r="S557" t="s">
        <v>74</v>
      </c>
      <c r="T557" t="s">
        <v>74</v>
      </c>
      <c r="U557" t="s">
        <v>74</v>
      </c>
      <c r="V557" s="3" t="s">
        <v>893</v>
      </c>
      <c r="W557" t="s">
        <v>74</v>
      </c>
      <c r="X557" t="s">
        <v>74</v>
      </c>
      <c r="Y557" t="s">
        <v>74</v>
      </c>
      <c r="Z557" t="s">
        <v>74</v>
      </c>
      <c r="AA557" t="s">
        <v>74</v>
      </c>
      <c r="AB557" t="s">
        <v>894</v>
      </c>
      <c r="AC557" t="s">
        <v>74</v>
      </c>
      <c r="AD557" t="s">
        <v>74</v>
      </c>
      <c r="AE557" t="s">
        <v>74</v>
      </c>
      <c r="AF557" t="s">
        <v>74</v>
      </c>
      <c r="AG557" t="s">
        <v>74</v>
      </c>
      <c r="AH557" t="s">
        <v>74</v>
      </c>
      <c r="AI557" t="s">
        <v>74</v>
      </c>
      <c r="AJ557" t="s">
        <v>74</v>
      </c>
      <c r="AK557" t="s">
        <v>74</v>
      </c>
      <c r="AL557" t="s">
        <v>74</v>
      </c>
      <c r="AM557" t="s">
        <v>74</v>
      </c>
      <c r="AN557" t="s">
        <v>74</v>
      </c>
      <c r="AO557" t="s">
        <v>91</v>
      </c>
      <c r="AP557" t="s">
        <v>74</v>
      </c>
      <c r="AQ557" t="s">
        <v>74</v>
      </c>
      <c r="AR557" t="s">
        <v>74</v>
      </c>
      <c r="AS557" t="s">
        <v>74</v>
      </c>
      <c r="AT557" t="s">
        <v>895</v>
      </c>
      <c r="AU557">
        <v>2011</v>
      </c>
      <c r="AV557">
        <v>7</v>
      </c>
      <c r="AW557">
        <v>5</v>
      </c>
      <c r="AX557" t="s">
        <v>74</v>
      </c>
      <c r="AY557" t="s">
        <v>74</v>
      </c>
      <c r="AZ557" t="s">
        <v>74</v>
      </c>
      <c r="BA557" t="s">
        <v>74</v>
      </c>
      <c r="BB557">
        <v>658</v>
      </c>
      <c r="BC557">
        <v>660</v>
      </c>
      <c r="BD557" t="s">
        <v>74</v>
      </c>
      <c r="BE557" t="s">
        <v>896</v>
      </c>
      <c r="BF557" t="str">
        <f>HYPERLINK("http://dx.doi.org/10.1098/rsbl.2011.0087","http://dx.doi.org/10.1098/rsbl.2011.0087")</f>
        <v>http://dx.doi.org/10.1098/rsbl.2011.0087</v>
      </c>
      <c r="BG557" t="s">
        <v>74</v>
      </c>
      <c r="BH557" t="s">
        <v>74</v>
      </c>
      <c r="BI557" t="s">
        <v>74</v>
      </c>
      <c r="BJ557" t="s">
        <v>74</v>
      </c>
      <c r="BK557" t="s">
        <v>74</v>
      </c>
      <c r="BL557" t="s">
        <v>74</v>
      </c>
      <c r="BM557" t="s">
        <v>74</v>
      </c>
      <c r="BN557">
        <v>21450727</v>
      </c>
      <c r="BO557" t="s">
        <v>74</v>
      </c>
      <c r="BP557" t="s">
        <v>74</v>
      </c>
      <c r="BQ557" t="s">
        <v>74</v>
      </c>
      <c r="BR557" t="s">
        <v>74</v>
      </c>
      <c r="BS557" t="s">
        <v>897</v>
      </c>
      <c r="BT557" t="str">
        <f>HYPERLINK("https%3A%2F%2Fwww.webofscience.com%2Fwos%2Fwoscc%2Ffull-record%2FWOS:000294768400007","View Full Record in Web of Science")</f>
        <v>View Full Record in Web of Science</v>
      </c>
    </row>
    <row r="558" spans="1:72" x14ac:dyDescent="0.4">
      <c r="A558" t="s">
        <v>72</v>
      </c>
      <c r="B558" t="s">
        <v>3217</v>
      </c>
      <c r="C558" t="s">
        <v>74</v>
      </c>
      <c r="D558" t="s">
        <v>74</v>
      </c>
      <c r="E558" t="s">
        <v>74</v>
      </c>
      <c r="F558" t="s">
        <v>3218</v>
      </c>
      <c r="G558" t="s">
        <v>74</v>
      </c>
      <c r="H558" t="s">
        <v>74</v>
      </c>
      <c r="I558" t="s">
        <v>3219</v>
      </c>
      <c r="J558" t="s">
        <v>77</v>
      </c>
      <c r="K558" t="s">
        <v>74</v>
      </c>
      <c r="L558" t="s">
        <v>74</v>
      </c>
      <c r="M558" t="s">
        <v>74</v>
      </c>
      <c r="N558" t="s">
        <v>74</v>
      </c>
      <c r="O558" t="s">
        <v>74</v>
      </c>
      <c r="P558" t="s">
        <v>74</v>
      </c>
      <c r="Q558" t="s">
        <v>74</v>
      </c>
      <c r="R558" t="s">
        <v>74</v>
      </c>
      <c r="S558" t="s">
        <v>74</v>
      </c>
      <c r="T558" t="s">
        <v>74</v>
      </c>
      <c r="U558" t="s">
        <v>74</v>
      </c>
      <c r="V558" s="3" t="s">
        <v>3220</v>
      </c>
      <c r="W558" t="s">
        <v>74</v>
      </c>
      <c r="X558" t="s">
        <v>74</v>
      </c>
      <c r="Y558" t="s">
        <v>74</v>
      </c>
      <c r="Z558" t="s">
        <v>74</v>
      </c>
      <c r="AA558" t="s">
        <v>3221</v>
      </c>
      <c r="AB558" t="s">
        <v>3222</v>
      </c>
      <c r="AC558" t="s">
        <v>74</v>
      </c>
      <c r="AD558" t="s">
        <v>74</v>
      </c>
      <c r="AE558" t="s">
        <v>74</v>
      </c>
      <c r="AF558" t="s">
        <v>74</v>
      </c>
      <c r="AG558" t="s">
        <v>74</v>
      </c>
      <c r="AH558" t="s">
        <v>74</v>
      </c>
      <c r="AI558" t="s">
        <v>74</v>
      </c>
      <c r="AJ558" t="s">
        <v>74</v>
      </c>
      <c r="AK558" t="s">
        <v>74</v>
      </c>
      <c r="AL558" t="s">
        <v>74</v>
      </c>
      <c r="AM558" t="s">
        <v>74</v>
      </c>
      <c r="AN558" t="s">
        <v>74</v>
      </c>
      <c r="AO558" t="s">
        <v>81</v>
      </c>
      <c r="AP558" t="s">
        <v>82</v>
      </c>
      <c r="AQ558" t="s">
        <v>74</v>
      </c>
      <c r="AR558" t="s">
        <v>74</v>
      </c>
      <c r="AS558" t="s">
        <v>74</v>
      </c>
      <c r="AT558" t="s">
        <v>633</v>
      </c>
      <c r="AU558">
        <v>2007</v>
      </c>
      <c r="AV558">
        <v>144</v>
      </c>
      <c r="AW558" t="s">
        <v>74</v>
      </c>
      <c r="AX558">
        <v>4</v>
      </c>
      <c r="AY558" t="s">
        <v>74</v>
      </c>
      <c r="AZ558" t="s">
        <v>74</v>
      </c>
      <c r="BA558" t="s">
        <v>74</v>
      </c>
      <c r="BB558">
        <v>447</v>
      </c>
      <c r="BC558">
        <v>470</v>
      </c>
      <c r="BD558" t="s">
        <v>74</v>
      </c>
      <c r="BE558" t="s">
        <v>3223</v>
      </c>
      <c r="BF558" t="str">
        <f>HYPERLINK("http://dx.doi.org/10.1163/156853907780756030","http://dx.doi.org/10.1163/156853907780756030")</f>
        <v>http://dx.doi.org/10.1163/156853907780756030</v>
      </c>
      <c r="BG558" t="s">
        <v>74</v>
      </c>
      <c r="BH558" t="s">
        <v>74</v>
      </c>
      <c r="BI558" t="s">
        <v>74</v>
      </c>
      <c r="BJ558" t="s">
        <v>74</v>
      </c>
      <c r="BK558" t="s">
        <v>74</v>
      </c>
      <c r="BL558" t="s">
        <v>74</v>
      </c>
      <c r="BM558" t="s">
        <v>74</v>
      </c>
      <c r="BN558" t="s">
        <v>74</v>
      </c>
      <c r="BO558" t="s">
        <v>74</v>
      </c>
      <c r="BP558" t="s">
        <v>74</v>
      </c>
      <c r="BQ558" t="s">
        <v>74</v>
      </c>
      <c r="BR558" t="s">
        <v>74</v>
      </c>
      <c r="BS558" t="s">
        <v>3224</v>
      </c>
      <c r="BT558" t="str">
        <f>HYPERLINK("https%3A%2F%2Fwww.webofscience.com%2Fwos%2Fwoscc%2Ffull-record%2FWOS:000247125600005","View Full Record in Web of Science")</f>
        <v>View Full Record in Web of Science</v>
      </c>
    </row>
    <row r="559" spans="1:72" x14ac:dyDescent="0.4">
      <c r="A559" t="s">
        <v>72</v>
      </c>
      <c r="B559" t="s">
        <v>1034</v>
      </c>
      <c r="C559" t="s">
        <v>74</v>
      </c>
      <c r="D559" t="s">
        <v>74</v>
      </c>
      <c r="E559" t="s">
        <v>74</v>
      </c>
      <c r="F559" t="s">
        <v>1035</v>
      </c>
      <c r="G559" t="s">
        <v>74</v>
      </c>
      <c r="H559" t="s">
        <v>74</v>
      </c>
      <c r="I559" t="s">
        <v>1036</v>
      </c>
      <c r="J559" t="s">
        <v>333</v>
      </c>
      <c r="K559" t="s">
        <v>74</v>
      </c>
      <c r="L559" t="s">
        <v>74</v>
      </c>
      <c r="M559" t="s">
        <v>74</v>
      </c>
      <c r="N559" t="s">
        <v>74</v>
      </c>
      <c r="O559" t="s">
        <v>74</v>
      </c>
      <c r="P559" t="s">
        <v>74</v>
      </c>
      <c r="Q559" t="s">
        <v>74</v>
      </c>
      <c r="R559" t="s">
        <v>74</v>
      </c>
      <c r="S559" t="s">
        <v>74</v>
      </c>
      <c r="T559" t="s">
        <v>74</v>
      </c>
      <c r="U559" t="s">
        <v>74</v>
      </c>
      <c r="V559" s="3" t="s">
        <v>1037</v>
      </c>
      <c r="W559" t="s">
        <v>74</v>
      </c>
      <c r="X559" t="s">
        <v>74</v>
      </c>
      <c r="Y559" t="s">
        <v>74</v>
      </c>
      <c r="Z559" t="s">
        <v>74</v>
      </c>
      <c r="AA559" t="s">
        <v>74</v>
      </c>
      <c r="AB559" t="s">
        <v>74</v>
      </c>
      <c r="AC559" t="s">
        <v>74</v>
      </c>
      <c r="AD559" t="s">
        <v>74</v>
      </c>
      <c r="AE559" t="s">
        <v>74</v>
      </c>
      <c r="AF559" t="s">
        <v>74</v>
      </c>
      <c r="AG559" t="s">
        <v>74</v>
      </c>
      <c r="AH559" t="s">
        <v>74</v>
      </c>
      <c r="AI559" t="s">
        <v>74</v>
      </c>
      <c r="AJ559" t="s">
        <v>74</v>
      </c>
      <c r="AK559" t="s">
        <v>74</v>
      </c>
      <c r="AL559" t="s">
        <v>74</v>
      </c>
      <c r="AM559" t="s">
        <v>74</v>
      </c>
      <c r="AN559" t="s">
        <v>74</v>
      </c>
      <c r="AO559" t="s">
        <v>337</v>
      </c>
      <c r="AP559" t="s">
        <v>74</v>
      </c>
      <c r="AQ559" t="s">
        <v>74</v>
      </c>
      <c r="AR559" t="s">
        <v>74</v>
      </c>
      <c r="AS559" t="s">
        <v>74</v>
      </c>
      <c r="AT559" t="s">
        <v>1038</v>
      </c>
      <c r="AU559">
        <v>2007</v>
      </c>
      <c r="AV559">
        <v>18</v>
      </c>
      <c r="AW559">
        <v>2</v>
      </c>
      <c r="AX559" t="s">
        <v>74</v>
      </c>
      <c r="AY559" t="s">
        <v>74</v>
      </c>
      <c r="AZ559" t="s">
        <v>74</v>
      </c>
      <c r="BA559" t="s">
        <v>74</v>
      </c>
      <c r="BB559">
        <v>318</v>
      </c>
      <c r="BC559">
        <v>323</v>
      </c>
      <c r="BD559" t="s">
        <v>74</v>
      </c>
      <c r="BE559" t="s">
        <v>1039</v>
      </c>
      <c r="BF559" t="str">
        <f>HYPERLINK("http://dx.doi.org/10.1093/beheco/arl093","http://dx.doi.org/10.1093/beheco/arl093")</f>
        <v>http://dx.doi.org/10.1093/beheco/arl093</v>
      </c>
      <c r="BG559" t="s">
        <v>74</v>
      </c>
      <c r="BH559" t="s">
        <v>74</v>
      </c>
      <c r="BI559" t="s">
        <v>74</v>
      </c>
      <c r="BJ559" t="s">
        <v>74</v>
      </c>
      <c r="BK559" t="s">
        <v>74</v>
      </c>
      <c r="BL559" t="s">
        <v>74</v>
      </c>
      <c r="BM559" t="s">
        <v>74</v>
      </c>
      <c r="BN559" t="s">
        <v>74</v>
      </c>
      <c r="BO559" t="s">
        <v>74</v>
      </c>
      <c r="BP559" t="s">
        <v>74</v>
      </c>
      <c r="BQ559" t="s">
        <v>74</v>
      </c>
      <c r="BR559" t="s">
        <v>74</v>
      </c>
      <c r="BS559" t="s">
        <v>1040</v>
      </c>
      <c r="BT559" t="str">
        <f>HYPERLINK("https%3A%2F%2Fwww.webofscience.com%2Fwos%2Fwoscc%2Ffull-record%2FWOS:000244658100007","View Full Record in Web of Science")</f>
        <v>View Full Record in Web of Science</v>
      </c>
    </row>
    <row r="560" spans="1:72" x14ac:dyDescent="0.4">
      <c r="A560" t="s">
        <v>72</v>
      </c>
      <c r="B560" t="s">
        <v>2697</v>
      </c>
      <c r="C560" t="s">
        <v>74</v>
      </c>
      <c r="D560" t="s">
        <v>74</v>
      </c>
      <c r="E560" t="s">
        <v>74</v>
      </c>
      <c r="F560" t="s">
        <v>2698</v>
      </c>
      <c r="G560" t="s">
        <v>74</v>
      </c>
      <c r="H560" t="s">
        <v>74</v>
      </c>
      <c r="I560" t="s">
        <v>2699</v>
      </c>
      <c r="J560" t="s">
        <v>731</v>
      </c>
      <c r="K560" t="s">
        <v>74</v>
      </c>
      <c r="L560" t="s">
        <v>74</v>
      </c>
      <c r="M560" t="s">
        <v>74</v>
      </c>
      <c r="N560" t="s">
        <v>74</v>
      </c>
      <c r="O560" t="s">
        <v>74</v>
      </c>
      <c r="P560" t="s">
        <v>74</v>
      </c>
      <c r="Q560" t="s">
        <v>74</v>
      </c>
      <c r="R560" t="s">
        <v>74</v>
      </c>
      <c r="S560" t="s">
        <v>74</v>
      </c>
      <c r="T560" t="s">
        <v>74</v>
      </c>
      <c r="U560" t="s">
        <v>74</v>
      </c>
      <c r="V560" s="3" t="s">
        <v>2700</v>
      </c>
      <c r="W560" t="s">
        <v>74</v>
      </c>
      <c r="X560" t="s">
        <v>74</v>
      </c>
      <c r="Y560" t="s">
        <v>74</v>
      </c>
      <c r="Z560" t="s">
        <v>74</v>
      </c>
      <c r="AA560" t="s">
        <v>74</v>
      </c>
      <c r="AB560" t="s">
        <v>2701</v>
      </c>
      <c r="AC560" t="s">
        <v>74</v>
      </c>
      <c r="AD560" t="s">
        <v>74</v>
      </c>
      <c r="AE560" t="s">
        <v>74</v>
      </c>
      <c r="AF560" t="s">
        <v>74</v>
      </c>
      <c r="AG560" t="s">
        <v>74</v>
      </c>
      <c r="AH560" t="s">
        <v>74</v>
      </c>
      <c r="AI560" t="s">
        <v>74</v>
      </c>
      <c r="AJ560" t="s">
        <v>74</v>
      </c>
      <c r="AK560" t="s">
        <v>74</v>
      </c>
      <c r="AL560" t="s">
        <v>74</v>
      </c>
      <c r="AM560" t="s">
        <v>74</v>
      </c>
      <c r="AN560" t="s">
        <v>74</v>
      </c>
      <c r="AO560" t="s">
        <v>733</v>
      </c>
      <c r="AP560" t="s">
        <v>734</v>
      </c>
      <c r="AQ560" t="s">
        <v>74</v>
      </c>
      <c r="AR560" t="s">
        <v>74</v>
      </c>
      <c r="AS560" t="s">
        <v>74</v>
      </c>
      <c r="AT560" t="s">
        <v>2702</v>
      </c>
      <c r="AU560">
        <v>2007</v>
      </c>
      <c r="AV560">
        <v>183</v>
      </c>
      <c r="AW560">
        <v>1</v>
      </c>
      <c r="AX560" t="s">
        <v>74</v>
      </c>
      <c r="AY560" t="s">
        <v>74</v>
      </c>
      <c r="AZ560" t="s">
        <v>74</v>
      </c>
      <c r="BA560" t="s">
        <v>74</v>
      </c>
      <c r="BB560">
        <v>31</v>
      </c>
      <c r="BC560">
        <v>42</v>
      </c>
      <c r="BD560" t="s">
        <v>74</v>
      </c>
      <c r="BE560" t="s">
        <v>2703</v>
      </c>
      <c r="BF560" t="str">
        <f>HYPERLINK("http://dx.doi.org/10.1016/j.bbr.2007.05.021","http://dx.doi.org/10.1016/j.bbr.2007.05.021")</f>
        <v>http://dx.doi.org/10.1016/j.bbr.2007.05.021</v>
      </c>
      <c r="BG560" t="s">
        <v>74</v>
      </c>
      <c r="BH560" t="s">
        <v>74</v>
      </c>
      <c r="BI560" t="s">
        <v>74</v>
      </c>
      <c r="BJ560" t="s">
        <v>74</v>
      </c>
      <c r="BK560" t="s">
        <v>74</v>
      </c>
      <c r="BL560" t="s">
        <v>74</v>
      </c>
      <c r="BM560" t="s">
        <v>74</v>
      </c>
      <c r="BN560">
        <v>17602761</v>
      </c>
      <c r="BO560" t="s">
        <v>74</v>
      </c>
      <c r="BP560" t="s">
        <v>74</v>
      </c>
      <c r="BQ560" t="s">
        <v>74</v>
      </c>
      <c r="BR560" t="s">
        <v>74</v>
      </c>
      <c r="BS560" t="s">
        <v>2704</v>
      </c>
      <c r="BT560" t="str">
        <f>HYPERLINK("https%3A%2F%2Fwww.webofscience.com%2Fwos%2Fwoscc%2Ffull-record%2FWOS:000249511100005","View Full Record in Web of Science")</f>
        <v>View Full Record in Web of Science</v>
      </c>
    </row>
    <row r="561" spans="1:72" x14ac:dyDescent="0.4">
      <c r="A561" t="s">
        <v>72</v>
      </c>
      <c r="B561" t="s">
        <v>851</v>
      </c>
      <c r="C561" t="s">
        <v>74</v>
      </c>
      <c r="D561" t="s">
        <v>74</v>
      </c>
      <c r="E561" t="s">
        <v>74</v>
      </c>
      <c r="F561" t="s">
        <v>852</v>
      </c>
      <c r="G561" t="s">
        <v>74</v>
      </c>
      <c r="H561" t="s">
        <v>74</v>
      </c>
      <c r="I561" t="s">
        <v>853</v>
      </c>
      <c r="J561" t="s">
        <v>509</v>
      </c>
      <c r="K561" t="s">
        <v>74</v>
      </c>
      <c r="L561" t="s">
        <v>74</v>
      </c>
      <c r="M561" t="s">
        <v>74</v>
      </c>
      <c r="N561" t="s">
        <v>74</v>
      </c>
      <c r="O561" t="s">
        <v>74</v>
      </c>
      <c r="P561" t="s">
        <v>74</v>
      </c>
      <c r="Q561" t="s">
        <v>74</v>
      </c>
      <c r="R561" t="s">
        <v>74</v>
      </c>
      <c r="S561" t="s">
        <v>74</v>
      </c>
      <c r="T561" t="s">
        <v>74</v>
      </c>
      <c r="U561" t="s">
        <v>74</v>
      </c>
      <c r="V561" s="3" t="s">
        <v>854</v>
      </c>
      <c r="W561" t="s">
        <v>74</v>
      </c>
      <c r="X561" t="s">
        <v>74</v>
      </c>
      <c r="Y561" t="s">
        <v>74</v>
      </c>
      <c r="Z561" t="s">
        <v>74</v>
      </c>
      <c r="AA561" t="s">
        <v>855</v>
      </c>
      <c r="AB561" t="s">
        <v>856</v>
      </c>
      <c r="AC561" t="s">
        <v>74</v>
      </c>
      <c r="AD561" t="s">
        <v>74</v>
      </c>
      <c r="AE561" t="s">
        <v>74</v>
      </c>
      <c r="AF561" t="s">
        <v>74</v>
      </c>
      <c r="AG561" t="s">
        <v>74</v>
      </c>
      <c r="AH561" t="s">
        <v>74</v>
      </c>
      <c r="AI561" t="s">
        <v>74</v>
      </c>
      <c r="AJ561" t="s">
        <v>74</v>
      </c>
      <c r="AK561" t="s">
        <v>74</v>
      </c>
      <c r="AL561" t="s">
        <v>74</v>
      </c>
      <c r="AM561" t="s">
        <v>74</v>
      </c>
      <c r="AN561" t="s">
        <v>74</v>
      </c>
      <c r="AO561" t="s">
        <v>511</v>
      </c>
      <c r="AP561" t="s">
        <v>512</v>
      </c>
      <c r="AQ561" t="s">
        <v>74</v>
      </c>
      <c r="AR561" t="s">
        <v>74</v>
      </c>
      <c r="AS561" t="s">
        <v>74</v>
      </c>
      <c r="AT561" t="s">
        <v>145</v>
      </c>
      <c r="AU561">
        <v>2008</v>
      </c>
      <c r="AV561">
        <v>54</v>
      </c>
      <c r="AW561">
        <v>3</v>
      </c>
      <c r="AX561" t="s">
        <v>74</v>
      </c>
      <c r="AY561" t="s">
        <v>74</v>
      </c>
      <c r="AZ561" t="s">
        <v>74</v>
      </c>
      <c r="BA561" t="s">
        <v>74</v>
      </c>
      <c r="BB561">
        <v>463</v>
      </c>
      <c r="BC561">
        <v>470</v>
      </c>
      <c r="BD561" t="s">
        <v>74</v>
      </c>
      <c r="BE561" t="s">
        <v>857</v>
      </c>
      <c r="BF561" t="str">
        <f>HYPERLINK("http://dx.doi.org/10.1016/j.yhbeh.2008.05.006","http://dx.doi.org/10.1016/j.yhbeh.2008.05.006")</f>
        <v>http://dx.doi.org/10.1016/j.yhbeh.2008.05.006</v>
      </c>
      <c r="BG561" t="s">
        <v>74</v>
      </c>
      <c r="BH561" t="s">
        <v>74</v>
      </c>
      <c r="BI561" t="s">
        <v>74</v>
      </c>
      <c r="BJ561" t="s">
        <v>74</v>
      </c>
      <c r="BK561" t="s">
        <v>74</v>
      </c>
      <c r="BL561" t="s">
        <v>74</v>
      </c>
      <c r="BM561" t="s">
        <v>74</v>
      </c>
      <c r="BN561">
        <v>18586245</v>
      </c>
      <c r="BO561" t="s">
        <v>74</v>
      </c>
      <c r="BP561" t="s">
        <v>74</v>
      </c>
      <c r="BQ561" t="s">
        <v>74</v>
      </c>
      <c r="BR561" t="s">
        <v>74</v>
      </c>
      <c r="BS561" t="s">
        <v>858</v>
      </c>
      <c r="BT561" t="str">
        <f>HYPERLINK("https%3A%2F%2Fwww.webofscience.com%2Fwos%2Fwoscc%2Ffull-record%2FWOS:000258812900017","View Full Record in Web of Science")</f>
        <v>View Full Record in Web of Science</v>
      </c>
    </row>
    <row r="562" spans="1:72" x14ac:dyDescent="0.4">
      <c r="A562" t="s">
        <v>72</v>
      </c>
      <c r="B562" t="s">
        <v>4755</v>
      </c>
      <c r="C562" t="s">
        <v>74</v>
      </c>
      <c r="D562" t="s">
        <v>74</v>
      </c>
      <c r="E562" t="s">
        <v>74</v>
      </c>
      <c r="F562" t="s">
        <v>4756</v>
      </c>
      <c r="G562" t="s">
        <v>74</v>
      </c>
      <c r="H562" t="s">
        <v>74</v>
      </c>
      <c r="I562" t="s">
        <v>4757</v>
      </c>
      <c r="J562" t="s">
        <v>119</v>
      </c>
      <c r="K562" t="s">
        <v>74</v>
      </c>
      <c r="L562" t="s">
        <v>74</v>
      </c>
      <c r="M562" t="s">
        <v>74</v>
      </c>
      <c r="N562" t="s">
        <v>74</v>
      </c>
      <c r="O562" t="s">
        <v>74</v>
      </c>
      <c r="P562" t="s">
        <v>74</v>
      </c>
      <c r="Q562" t="s">
        <v>74</v>
      </c>
      <c r="R562" t="s">
        <v>74</v>
      </c>
      <c r="S562" t="s">
        <v>74</v>
      </c>
      <c r="T562" t="s">
        <v>74</v>
      </c>
      <c r="U562" t="s">
        <v>74</v>
      </c>
      <c r="V562" s="3" t="s">
        <v>4758</v>
      </c>
      <c r="W562" t="s">
        <v>74</v>
      </c>
      <c r="X562" t="s">
        <v>74</v>
      </c>
      <c r="Y562" t="s">
        <v>74</v>
      </c>
      <c r="Z562" t="s">
        <v>74</v>
      </c>
      <c r="AA562" t="s">
        <v>74</v>
      </c>
      <c r="AB562" t="s">
        <v>74</v>
      </c>
      <c r="AC562" t="s">
        <v>74</v>
      </c>
      <c r="AD562" t="s">
        <v>74</v>
      </c>
      <c r="AE562" t="s">
        <v>74</v>
      </c>
      <c r="AF562" t="s">
        <v>74</v>
      </c>
      <c r="AG562" t="s">
        <v>74</v>
      </c>
      <c r="AH562" t="s">
        <v>74</v>
      </c>
      <c r="AI562" t="s">
        <v>74</v>
      </c>
      <c r="AJ562" t="s">
        <v>74</v>
      </c>
      <c r="AK562" t="s">
        <v>74</v>
      </c>
      <c r="AL562" t="s">
        <v>74</v>
      </c>
      <c r="AM562" t="s">
        <v>74</v>
      </c>
      <c r="AN562" t="s">
        <v>74</v>
      </c>
      <c r="AO562" t="s">
        <v>121</v>
      </c>
      <c r="AP562" t="s">
        <v>122</v>
      </c>
      <c r="AQ562" t="s">
        <v>74</v>
      </c>
      <c r="AR562" t="s">
        <v>74</v>
      </c>
      <c r="AS562" t="s">
        <v>74</v>
      </c>
      <c r="AT562" t="s">
        <v>255</v>
      </c>
      <c r="AU562">
        <v>2021</v>
      </c>
      <c r="AV562">
        <v>182</v>
      </c>
      <c r="AW562" t="s">
        <v>74</v>
      </c>
      <c r="AX562" t="s">
        <v>74</v>
      </c>
      <c r="AY562" t="s">
        <v>74</v>
      </c>
      <c r="AZ562" t="s">
        <v>74</v>
      </c>
      <c r="BA562" t="s">
        <v>74</v>
      </c>
      <c r="BB562" t="s">
        <v>74</v>
      </c>
      <c r="BC562" t="s">
        <v>74</v>
      </c>
      <c r="BD562">
        <v>104294</v>
      </c>
      <c r="BE562" t="s">
        <v>4759</v>
      </c>
      <c r="BF562" t="str">
        <f>HYPERLINK("http://dx.doi.org/10.1016/j.beproc.2020.104294","http://dx.doi.org/10.1016/j.beproc.2020.104294")</f>
        <v>http://dx.doi.org/10.1016/j.beproc.2020.104294</v>
      </c>
      <c r="BG562" t="s">
        <v>74</v>
      </c>
      <c r="BH562" t="s">
        <v>74</v>
      </c>
      <c r="BI562" t="s">
        <v>74</v>
      </c>
      <c r="BJ562" t="s">
        <v>74</v>
      </c>
      <c r="BK562" t="s">
        <v>74</v>
      </c>
      <c r="BL562" t="s">
        <v>74</v>
      </c>
      <c r="BM562" t="s">
        <v>74</v>
      </c>
      <c r="BN562">
        <v>33290833</v>
      </c>
      <c r="BO562" t="s">
        <v>74</v>
      </c>
      <c r="BP562" t="s">
        <v>74</v>
      </c>
      <c r="BQ562" t="s">
        <v>74</v>
      </c>
      <c r="BR562" t="s">
        <v>74</v>
      </c>
      <c r="BS562" t="s">
        <v>4760</v>
      </c>
      <c r="BT562" t="str">
        <f>HYPERLINK("https%3A%2F%2Fwww.webofscience.com%2Fwos%2Fwoscc%2Ffull-record%2FWOS:000608124600001","View Full Record in Web of Science")</f>
        <v>View Full Record in Web of Science</v>
      </c>
    </row>
    <row r="563" spans="1:72" x14ac:dyDescent="0.4">
      <c r="A563" t="s">
        <v>72</v>
      </c>
      <c r="B563" t="s">
        <v>4755</v>
      </c>
      <c r="C563" t="s">
        <v>74</v>
      </c>
      <c r="D563" t="s">
        <v>74</v>
      </c>
      <c r="E563" t="s">
        <v>74</v>
      </c>
      <c r="F563" t="s">
        <v>4755</v>
      </c>
      <c r="G563" t="s">
        <v>74</v>
      </c>
      <c r="H563" t="s">
        <v>74</v>
      </c>
      <c r="I563" t="s">
        <v>6068</v>
      </c>
      <c r="J563" t="s">
        <v>475</v>
      </c>
      <c r="K563" t="s">
        <v>74</v>
      </c>
      <c r="L563" t="s">
        <v>74</v>
      </c>
      <c r="M563" t="s">
        <v>74</v>
      </c>
      <c r="N563" t="s">
        <v>74</v>
      </c>
      <c r="O563" t="s">
        <v>74</v>
      </c>
      <c r="P563" t="s">
        <v>74</v>
      </c>
      <c r="Q563" t="s">
        <v>74</v>
      </c>
      <c r="R563" t="s">
        <v>74</v>
      </c>
      <c r="S563" t="s">
        <v>74</v>
      </c>
      <c r="T563" t="s">
        <v>74</v>
      </c>
      <c r="U563" t="s">
        <v>74</v>
      </c>
      <c r="V563" s="3" t="s">
        <v>6069</v>
      </c>
      <c r="W563" t="s">
        <v>74</v>
      </c>
      <c r="X563" t="s">
        <v>74</v>
      </c>
      <c r="Y563" t="s">
        <v>74</v>
      </c>
      <c r="Z563" t="s">
        <v>74</v>
      </c>
      <c r="AA563" t="s">
        <v>74</v>
      </c>
      <c r="AB563" t="s">
        <v>74</v>
      </c>
      <c r="AC563" t="s">
        <v>74</v>
      </c>
      <c r="AD563" t="s">
        <v>74</v>
      </c>
      <c r="AE563" t="s">
        <v>74</v>
      </c>
      <c r="AF563" t="s">
        <v>74</v>
      </c>
      <c r="AG563" t="s">
        <v>74</v>
      </c>
      <c r="AH563" t="s">
        <v>74</v>
      </c>
      <c r="AI563" t="s">
        <v>74</v>
      </c>
      <c r="AJ563" t="s">
        <v>74</v>
      </c>
      <c r="AK563" t="s">
        <v>74</v>
      </c>
      <c r="AL563" t="s">
        <v>74</v>
      </c>
      <c r="AM563" t="s">
        <v>74</v>
      </c>
      <c r="AN563" t="s">
        <v>74</v>
      </c>
      <c r="AO563" t="s">
        <v>477</v>
      </c>
      <c r="AP563" t="s">
        <v>74</v>
      </c>
      <c r="AQ563" t="s">
        <v>74</v>
      </c>
      <c r="AR563" t="s">
        <v>74</v>
      </c>
      <c r="AS563" t="s">
        <v>74</v>
      </c>
      <c r="AT563" t="s">
        <v>352</v>
      </c>
      <c r="AU563">
        <v>2002</v>
      </c>
      <c r="AV563">
        <v>128</v>
      </c>
      <c r="AW563">
        <v>2</v>
      </c>
      <c r="AX563" t="s">
        <v>74</v>
      </c>
      <c r="AY563" t="s">
        <v>74</v>
      </c>
      <c r="AZ563" t="s">
        <v>74</v>
      </c>
      <c r="BA563" t="s">
        <v>74</v>
      </c>
      <c r="BB563">
        <v>153</v>
      </c>
      <c r="BC563">
        <v>161</v>
      </c>
      <c r="BD563" t="s">
        <v>6070</v>
      </c>
      <c r="BE563" t="s">
        <v>6071</v>
      </c>
      <c r="BF563" t="str">
        <f>HYPERLINK("http://dx.doi.org/10.1016/S0016-6480(02)00077-1","http://dx.doi.org/10.1016/S0016-6480(02)00077-1")</f>
        <v>http://dx.doi.org/10.1016/S0016-6480(02)00077-1</v>
      </c>
      <c r="BG563" t="s">
        <v>74</v>
      </c>
      <c r="BH563" t="s">
        <v>74</v>
      </c>
      <c r="BI563" t="s">
        <v>74</v>
      </c>
      <c r="BJ563" t="s">
        <v>74</v>
      </c>
      <c r="BK563" t="s">
        <v>74</v>
      </c>
      <c r="BL563" t="s">
        <v>74</v>
      </c>
      <c r="BM563" t="s">
        <v>74</v>
      </c>
      <c r="BN563">
        <v>12392689</v>
      </c>
      <c r="BO563" t="s">
        <v>74</v>
      </c>
      <c r="BP563" t="s">
        <v>74</v>
      </c>
      <c r="BQ563" t="s">
        <v>74</v>
      </c>
      <c r="BR563" t="s">
        <v>74</v>
      </c>
      <c r="BS563" t="s">
        <v>6072</v>
      </c>
      <c r="BT563" t="str">
        <f>HYPERLINK("https%3A%2F%2Fwww.webofscience.com%2Fwos%2Fwoscc%2Ffull-record%2FWOS:000178785900008","View Full Record in Web of Science")</f>
        <v>View Full Record in Web of Science</v>
      </c>
    </row>
    <row r="564" spans="1:72" x14ac:dyDescent="0.4">
      <c r="A564" t="s">
        <v>72</v>
      </c>
      <c r="B564" t="s">
        <v>8638</v>
      </c>
      <c r="C564" t="s">
        <v>74</v>
      </c>
      <c r="D564" t="s">
        <v>74</v>
      </c>
      <c r="E564" t="s">
        <v>74</v>
      </c>
      <c r="F564" t="s">
        <v>8638</v>
      </c>
      <c r="G564" t="s">
        <v>74</v>
      </c>
      <c r="H564" t="s">
        <v>74</v>
      </c>
      <c r="I564" t="s">
        <v>8639</v>
      </c>
      <c r="J564" t="s">
        <v>5814</v>
      </c>
      <c r="K564" t="s">
        <v>74</v>
      </c>
      <c r="L564" t="s">
        <v>74</v>
      </c>
      <c r="M564" t="s">
        <v>74</v>
      </c>
      <c r="N564" t="s">
        <v>74</v>
      </c>
      <c r="O564" t="s">
        <v>74</v>
      </c>
      <c r="P564" t="s">
        <v>74</v>
      </c>
      <c r="Q564" t="s">
        <v>74</v>
      </c>
      <c r="R564" t="s">
        <v>74</v>
      </c>
      <c r="S564" t="s">
        <v>74</v>
      </c>
      <c r="T564" t="s">
        <v>74</v>
      </c>
      <c r="U564" t="s">
        <v>74</v>
      </c>
      <c r="V564" s="3" t="s">
        <v>8640</v>
      </c>
      <c r="W564" t="s">
        <v>74</v>
      </c>
      <c r="X564" t="s">
        <v>74</v>
      </c>
      <c r="Y564" t="s">
        <v>74</v>
      </c>
      <c r="Z564" t="s">
        <v>74</v>
      </c>
      <c r="AA564" t="s">
        <v>8641</v>
      </c>
      <c r="AB564" t="s">
        <v>8642</v>
      </c>
      <c r="AC564" t="s">
        <v>74</v>
      </c>
      <c r="AD564" t="s">
        <v>74</v>
      </c>
      <c r="AE564" t="s">
        <v>74</v>
      </c>
      <c r="AF564" t="s">
        <v>74</v>
      </c>
      <c r="AG564" t="s">
        <v>74</v>
      </c>
      <c r="AH564" t="s">
        <v>74</v>
      </c>
      <c r="AI564" t="s">
        <v>74</v>
      </c>
      <c r="AJ564" t="s">
        <v>74</v>
      </c>
      <c r="AK564" t="s">
        <v>74</v>
      </c>
      <c r="AL564" t="s">
        <v>74</v>
      </c>
      <c r="AM564" t="s">
        <v>74</v>
      </c>
      <c r="AN564" t="s">
        <v>74</v>
      </c>
      <c r="AO564" t="s">
        <v>8643</v>
      </c>
      <c r="AP564" t="s">
        <v>74</v>
      </c>
      <c r="AQ564" t="s">
        <v>74</v>
      </c>
      <c r="AR564" t="s">
        <v>74</v>
      </c>
      <c r="AS564" t="s">
        <v>74</v>
      </c>
      <c r="AT564" t="s">
        <v>74</v>
      </c>
      <c r="AU564">
        <v>2000</v>
      </c>
      <c r="AV564">
        <v>97</v>
      </c>
      <c r="AW564">
        <v>1</v>
      </c>
      <c r="AX564" t="s">
        <v>74</v>
      </c>
      <c r="AY564" t="s">
        <v>74</v>
      </c>
      <c r="AZ564" t="s">
        <v>74</v>
      </c>
      <c r="BA564" t="s">
        <v>74</v>
      </c>
      <c r="BB564">
        <v>33</v>
      </c>
      <c r="BC564">
        <v>40</v>
      </c>
      <c r="BD564" t="s">
        <v>74</v>
      </c>
      <c r="BE564" t="s">
        <v>8644</v>
      </c>
      <c r="BF564" t="str">
        <f>HYPERLINK("http://dx.doi.org/10.14411/eje.2000.009","http://dx.doi.org/10.14411/eje.2000.009")</f>
        <v>http://dx.doi.org/10.14411/eje.2000.009</v>
      </c>
      <c r="BG564" t="s">
        <v>74</v>
      </c>
      <c r="BH564" t="s">
        <v>74</v>
      </c>
      <c r="BI564" t="s">
        <v>74</v>
      </c>
      <c r="BJ564" t="s">
        <v>74</v>
      </c>
      <c r="BK564" t="s">
        <v>74</v>
      </c>
      <c r="BL564" t="s">
        <v>74</v>
      </c>
      <c r="BM564" t="s">
        <v>74</v>
      </c>
      <c r="BN564" t="s">
        <v>74</v>
      </c>
      <c r="BO564" t="s">
        <v>74</v>
      </c>
      <c r="BP564" t="s">
        <v>74</v>
      </c>
      <c r="BQ564" t="s">
        <v>74</v>
      </c>
      <c r="BR564" t="s">
        <v>74</v>
      </c>
      <c r="BS564" t="s">
        <v>8645</v>
      </c>
      <c r="BT564" t="str">
        <f>HYPERLINK("https%3A%2F%2Fwww.webofscience.com%2Fwos%2Fwoscc%2Ffull-record%2FWOS:000087497200006","View Full Record in Web of Science")</f>
        <v>View Full Record in Web of Science</v>
      </c>
    </row>
    <row r="565" spans="1:72" x14ac:dyDescent="0.4">
      <c r="A565" t="s">
        <v>72</v>
      </c>
      <c r="B565" t="s">
        <v>6312</v>
      </c>
      <c r="C565" t="s">
        <v>74</v>
      </c>
      <c r="D565" t="s">
        <v>74</v>
      </c>
      <c r="E565" t="s">
        <v>74</v>
      </c>
      <c r="F565" t="s">
        <v>6313</v>
      </c>
      <c r="G565" t="s">
        <v>74</v>
      </c>
      <c r="H565" t="s">
        <v>74</v>
      </c>
      <c r="I565" t="s">
        <v>6314</v>
      </c>
      <c r="J565" t="s">
        <v>333</v>
      </c>
      <c r="K565" t="s">
        <v>74</v>
      </c>
      <c r="L565" t="s">
        <v>74</v>
      </c>
      <c r="M565" t="s">
        <v>74</v>
      </c>
      <c r="N565" t="s">
        <v>74</v>
      </c>
      <c r="O565" t="s">
        <v>74</v>
      </c>
      <c r="P565" t="s">
        <v>74</v>
      </c>
      <c r="Q565" t="s">
        <v>74</v>
      </c>
      <c r="R565" t="s">
        <v>74</v>
      </c>
      <c r="S565" t="s">
        <v>74</v>
      </c>
      <c r="T565" t="s">
        <v>74</v>
      </c>
      <c r="U565" t="s">
        <v>74</v>
      </c>
      <c r="V565" s="3" t="s">
        <v>6315</v>
      </c>
      <c r="W565" t="s">
        <v>74</v>
      </c>
      <c r="X565" t="s">
        <v>74</v>
      </c>
      <c r="Y565" t="s">
        <v>74</v>
      </c>
      <c r="Z565" t="s">
        <v>74</v>
      </c>
      <c r="AA565" t="s">
        <v>74</v>
      </c>
      <c r="AB565" t="s">
        <v>74</v>
      </c>
      <c r="AC565" t="s">
        <v>74</v>
      </c>
      <c r="AD565" t="s">
        <v>74</v>
      </c>
      <c r="AE565" t="s">
        <v>74</v>
      </c>
      <c r="AF565" t="s">
        <v>74</v>
      </c>
      <c r="AG565" t="s">
        <v>74</v>
      </c>
      <c r="AH565" t="s">
        <v>74</v>
      </c>
      <c r="AI565" t="s">
        <v>74</v>
      </c>
      <c r="AJ565" t="s">
        <v>74</v>
      </c>
      <c r="AK565" t="s">
        <v>74</v>
      </c>
      <c r="AL565" t="s">
        <v>74</v>
      </c>
      <c r="AM565" t="s">
        <v>74</v>
      </c>
      <c r="AN565" t="s">
        <v>74</v>
      </c>
      <c r="AO565" t="s">
        <v>337</v>
      </c>
      <c r="AP565" t="s">
        <v>338</v>
      </c>
      <c r="AQ565" t="s">
        <v>74</v>
      </c>
      <c r="AR565" t="s">
        <v>74</v>
      </c>
      <c r="AS565" t="s">
        <v>74</v>
      </c>
      <c r="AT565" t="s">
        <v>1038</v>
      </c>
      <c r="AU565">
        <v>2018</v>
      </c>
      <c r="AV565">
        <v>29</v>
      </c>
      <c r="AW565">
        <v>2</v>
      </c>
      <c r="AX565" t="s">
        <v>74</v>
      </c>
      <c r="AY565" t="s">
        <v>74</v>
      </c>
      <c r="AZ565" t="s">
        <v>74</v>
      </c>
      <c r="BA565" t="s">
        <v>74</v>
      </c>
      <c r="BB565">
        <v>289</v>
      </c>
      <c r="BC565">
        <v>300</v>
      </c>
      <c r="BD565" t="s">
        <v>74</v>
      </c>
      <c r="BE565" t="s">
        <v>6316</v>
      </c>
      <c r="BF565" t="str">
        <f>HYPERLINK("http://dx.doi.org/10.1093/beheco/arx180","http://dx.doi.org/10.1093/beheco/arx180")</f>
        <v>http://dx.doi.org/10.1093/beheco/arx180</v>
      </c>
      <c r="BG565" t="s">
        <v>74</v>
      </c>
      <c r="BH565" t="s">
        <v>74</v>
      </c>
      <c r="BI565" t="s">
        <v>74</v>
      </c>
      <c r="BJ565" t="s">
        <v>74</v>
      </c>
      <c r="BK565" t="s">
        <v>74</v>
      </c>
      <c r="BL565" t="s">
        <v>74</v>
      </c>
      <c r="BM565" t="s">
        <v>74</v>
      </c>
      <c r="BN565" t="s">
        <v>74</v>
      </c>
      <c r="BO565" t="s">
        <v>74</v>
      </c>
      <c r="BP565" t="s">
        <v>74</v>
      </c>
      <c r="BQ565" t="s">
        <v>74</v>
      </c>
      <c r="BR565" t="s">
        <v>74</v>
      </c>
      <c r="BS565" t="s">
        <v>6317</v>
      </c>
      <c r="BT565" t="str">
        <f>HYPERLINK("https%3A%2F%2Fwww.webofscience.com%2Fwos%2Fwoscc%2Ffull-record%2FWOS:000427885600008","View Full Record in Web of Science")</f>
        <v>View Full Record in Web of Science</v>
      </c>
    </row>
    <row r="566" spans="1:72" x14ac:dyDescent="0.4">
      <c r="A566" t="s">
        <v>72</v>
      </c>
      <c r="B566" t="s">
        <v>1133</v>
      </c>
      <c r="C566" t="s">
        <v>74</v>
      </c>
      <c r="D566" t="s">
        <v>74</v>
      </c>
      <c r="E566" t="s">
        <v>74</v>
      </c>
      <c r="F566" t="s">
        <v>1133</v>
      </c>
      <c r="G566" t="s">
        <v>74</v>
      </c>
      <c r="H566" t="s">
        <v>74</v>
      </c>
      <c r="I566" t="s">
        <v>1134</v>
      </c>
      <c r="J566" t="s">
        <v>1135</v>
      </c>
      <c r="K566" t="s">
        <v>74</v>
      </c>
      <c r="L566" t="s">
        <v>74</v>
      </c>
      <c r="M566" t="s">
        <v>74</v>
      </c>
      <c r="N566" t="s">
        <v>74</v>
      </c>
      <c r="O566" t="s">
        <v>74</v>
      </c>
      <c r="P566" t="s">
        <v>74</v>
      </c>
      <c r="Q566" t="s">
        <v>74</v>
      </c>
      <c r="R566" t="s">
        <v>74</v>
      </c>
      <c r="S566" t="s">
        <v>74</v>
      </c>
      <c r="T566" t="s">
        <v>74</v>
      </c>
      <c r="U566" t="s">
        <v>74</v>
      </c>
      <c r="V566" s="3" t="s">
        <v>1136</v>
      </c>
      <c r="W566" t="s">
        <v>74</v>
      </c>
      <c r="X566" t="s">
        <v>74</v>
      </c>
      <c r="Y566" t="s">
        <v>74</v>
      </c>
      <c r="Z566" t="s">
        <v>74</v>
      </c>
      <c r="AA566" t="s">
        <v>74</v>
      </c>
      <c r="AB566" t="s">
        <v>74</v>
      </c>
      <c r="AC566" t="s">
        <v>74</v>
      </c>
      <c r="AD566" t="s">
        <v>74</v>
      </c>
      <c r="AE566" t="s">
        <v>74</v>
      </c>
      <c r="AF566" t="s">
        <v>74</v>
      </c>
      <c r="AG566" t="s">
        <v>74</v>
      </c>
      <c r="AH566" t="s">
        <v>74</v>
      </c>
      <c r="AI566" t="s">
        <v>74</v>
      </c>
      <c r="AJ566" t="s">
        <v>74</v>
      </c>
      <c r="AK566" t="s">
        <v>74</v>
      </c>
      <c r="AL566" t="s">
        <v>74</v>
      </c>
      <c r="AM566" t="s">
        <v>74</v>
      </c>
      <c r="AN566" t="s">
        <v>74</v>
      </c>
      <c r="AO566" t="s">
        <v>1137</v>
      </c>
      <c r="AP566" t="s">
        <v>74</v>
      </c>
      <c r="AQ566" t="s">
        <v>74</v>
      </c>
      <c r="AR566" t="s">
        <v>74</v>
      </c>
      <c r="AS566" t="s">
        <v>74</v>
      </c>
      <c r="AT566" t="s">
        <v>305</v>
      </c>
      <c r="AU566">
        <v>1988</v>
      </c>
      <c r="AV566">
        <v>19</v>
      </c>
      <c r="AW566">
        <v>4</v>
      </c>
      <c r="AX566" t="s">
        <v>74</v>
      </c>
      <c r="AY566" t="s">
        <v>74</v>
      </c>
      <c r="AZ566" t="s">
        <v>74</v>
      </c>
      <c r="BA566" t="s">
        <v>74</v>
      </c>
      <c r="BB566">
        <v>287</v>
      </c>
      <c r="BC566">
        <v>289</v>
      </c>
      <c r="BD566" t="s">
        <v>74</v>
      </c>
      <c r="BE566" t="s">
        <v>1138</v>
      </c>
      <c r="BF566" t="str">
        <f>HYPERLINK("http://dx.doi.org/10.2307/3676723","http://dx.doi.org/10.2307/3676723")</f>
        <v>http://dx.doi.org/10.2307/3676723</v>
      </c>
      <c r="BG566" t="s">
        <v>74</v>
      </c>
      <c r="BH566" t="s">
        <v>74</v>
      </c>
      <c r="BI566" t="s">
        <v>74</v>
      </c>
      <c r="BJ566" t="s">
        <v>74</v>
      </c>
      <c r="BK566" t="s">
        <v>74</v>
      </c>
      <c r="BL566" t="s">
        <v>74</v>
      </c>
      <c r="BM566" t="s">
        <v>74</v>
      </c>
      <c r="BN566" t="s">
        <v>74</v>
      </c>
      <c r="BO566" t="s">
        <v>74</v>
      </c>
      <c r="BP566" t="s">
        <v>74</v>
      </c>
      <c r="BQ566" t="s">
        <v>74</v>
      </c>
      <c r="BR566" t="s">
        <v>74</v>
      </c>
      <c r="BS566" t="s">
        <v>1139</v>
      </c>
      <c r="BT566" t="str">
        <f>HYPERLINK("https%3A%2F%2Fwww.webofscience.com%2Fwos%2Fwoscc%2Ffull-record%2FWOS:A1988R388700006","View Full Record in Web of Science")</f>
        <v>View Full Record in Web of Science</v>
      </c>
    </row>
    <row r="567" spans="1:72" x14ac:dyDescent="0.4">
      <c r="A567" t="s">
        <v>72</v>
      </c>
      <c r="B567" t="s">
        <v>7034</v>
      </c>
      <c r="C567" t="s">
        <v>74</v>
      </c>
      <c r="D567" t="s">
        <v>74</v>
      </c>
      <c r="E567" t="s">
        <v>74</v>
      </c>
      <c r="F567" t="s">
        <v>7034</v>
      </c>
      <c r="G567" t="s">
        <v>74</v>
      </c>
      <c r="H567" t="s">
        <v>74</v>
      </c>
      <c r="I567" t="s">
        <v>7035</v>
      </c>
      <c r="J567" t="s">
        <v>333</v>
      </c>
      <c r="K567" t="s">
        <v>74</v>
      </c>
      <c r="L567" t="s">
        <v>74</v>
      </c>
      <c r="M567" t="s">
        <v>74</v>
      </c>
      <c r="N567" t="s">
        <v>74</v>
      </c>
      <c r="O567" t="s">
        <v>74</v>
      </c>
      <c r="P567" t="s">
        <v>74</v>
      </c>
      <c r="Q567" t="s">
        <v>74</v>
      </c>
      <c r="R567" t="s">
        <v>74</v>
      </c>
      <c r="S567" t="s">
        <v>74</v>
      </c>
      <c r="T567" t="s">
        <v>74</v>
      </c>
      <c r="U567" t="s">
        <v>74</v>
      </c>
      <c r="V567" s="3" t="s">
        <v>7036</v>
      </c>
      <c r="W567" t="s">
        <v>74</v>
      </c>
      <c r="X567" t="s">
        <v>74</v>
      </c>
      <c r="Y567" t="s">
        <v>74</v>
      </c>
      <c r="Z567" t="s">
        <v>74</v>
      </c>
      <c r="AA567" t="s">
        <v>74</v>
      </c>
      <c r="AB567" t="s">
        <v>74</v>
      </c>
      <c r="AC567" t="s">
        <v>74</v>
      </c>
      <c r="AD567" t="s">
        <v>74</v>
      </c>
      <c r="AE567" t="s">
        <v>74</v>
      </c>
      <c r="AF567" t="s">
        <v>74</v>
      </c>
      <c r="AG567" t="s">
        <v>74</v>
      </c>
      <c r="AH567" t="s">
        <v>74</v>
      </c>
      <c r="AI567" t="s">
        <v>74</v>
      </c>
      <c r="AJ567" t="s">
        <v>74</v>
      </c>
      <c r="AK567" t="s">
        <v>74</v>
      </c>
      <c r="AL567" t="s">
        <v>74</v>
      </c>
      <c r="AM567" t="s">
        <v>74</v>
      </c>
      <c r="AN567" t="s">
        <v>74</v>
      </c>
      <c r="AO567" t="s">
        <v>337</v>
      </c>
      <c r="AP567" t="s">
        <v>338</v>
      </c>
      <c r="AQ567" t="s">
        <v>74</v>
      </c>
      <c r="AR567" t="s">
        <v>74</v>
      </c>
      <c r="AS567" t="s">
        <v>74</v>
      </c>
      <c r="AT567" t="s">
        <v>213</v>
      </c>
      <c r="AU567">
        <v>2004</v>
      </c>
      <c r="AV567">
        <v>15</v>
      </c>
      <c r="AW567">
        <v>6</v>
      </c>
      <c r="AX567" t="s">
        <v>74</v>
      </c>
      <c r="AY567" t="s">
        <v>74</v>
      </c>
      <c r="AZ567" t="s">
        <v>74</v>
      </c>
      <c r="BA567" t="s">
        <v>74</v>
      </c>
      <c r="BB567">
        <v>946</v>
      </c>
      <c r="BC567">
        <v>951</v>
      </c>
      <c r="BD567" t="s">
        <v>74</v>
      </c>
      <c r="BE567" t="s">
        <v>7037</v>
      </c>
      <c r="BF567" t="str">
        <f>HYPERLINK("http://dx.doi.org/10.1093/beheco/arh078","http://dx.doi.org/10.1093/beheco/arh078")</f>
        <v>http://dx.doi.org/10.1093/beheco/arh078</v>
      </c>
      <c r="BG567" t="s">
        <v>74</v>
      </c>
      <c r="BH567" t="s">
        <v>74</v>
      </c>
      <c r="BI567" t="s">
        <v>74</v>
      </c>
      <c r="BJ567" t="s">
        <v>74</v>
      </c>
      <c r="BK567" t="s">
        <v>74</v>
      </c>
      <c r="BL567" t="s">
        <v>74</v>
      </c>
      <c r="BM567" t="s">
        <v>74</v>
      </c>
      <c r="BN567" t="s">
        <v>74</v>
      </c>
      <c r="BO567" t="s">
        <v>74</v>
      </c>
      <c r="BP567" t="s">
        <v>74</v>
      </c>
      <c r="BQ567" t="s">
        <v>74</v>
      </c>
      <c r="BR567" t="s">
        <v>74</v>
      </c>
      <c r="BS567" t="s">
        <v>7038</v>
      </c>
      <c r="BT567" t="str">
        <f>HYPERLINK("https%3A%2F%2Fwww.webofscience.com%2Fwos%2Fwoscc%2Ffull-record%2FWOS:000224482000008","View Full Record in Web of Science")</f>
        <v>View Full Record in Web of Science</v>
      </c>
    </row>
    <row r="568" spans="1:72" x14ac:dyDescent="0.4">
      <c r="A568" t="s">
        <v>72</v>
      </c>
      <c r="B568" t="s">
        <v>6269</v>
      </c>
      <c r="C568" t="s">
        <v>74</v>
      </c>
      <c r="D568" t="s">
        <v>74</v>
      </c>
      <c r="E568" t="s">
        <v>74</v>
      </c>
      <c r="F568" t="s">
        <v>6270</v>
      </c>
      <c r="G568" t="s">
        <v>74</v>
      </c>
      <c r="H568" t="s">
        <v>74</v>
      </c>
      <c r="I568" t="s">
        <v>6271</v>
      </c>
      <c r="J568" t="s">
        <v>654</v>
      </c>
      <c r="K568" t="s">
        <v>74</v>
      </c>
      <c r="L568" t="s">
        <v>74</v>
      </c>
      <c r="M568" t="s">
        <v>74</v>
      </c>
      <c r="N568" t="s">
        <v>74</v>
      </c>
      <c r="O568" t="s">
        <v>74</v>
      </c>
      <c r="P568" t="s">
        <v>74</v>
      </c>
      <c r="Q568" t="s">
        <v>74</v>
      </c>
      <c r="R568" t="s">
        <v>74</v>
      </c>
      <c r="S568" t="s">
        <v>74</v>
      </c>
      <c r="T568" t="s">
        <v>74</v>
      </c>
      <c r="U568" t="s">
        <v>74</v>
      </c>
      <c r="V568" s="3" t="s">
        <v>6272</v>
      </c>
      <c r="W568" t="s">
        <v>74</v>
      </c>
      <c r="X568" t="s">
        <v>74</v>
      </c>
      <c r="Y568" t="s">
        <v>74</v>
      </c>
      <c r="Z568" t="s">
        <v>74</v>
      </c>
      <c r="AA568" t="s">
        <v>74</v>
      </c>
      <c r="AB568" t="s">
        <v>6273</v>
      </c>
      <c r="AC568" t="s">
        <v>74</v>
      </c>
      <c r="AD568" t="s">
        <v>74</v>
      </c>
      <c r="AE568" t="s">
        <v>74</v>
      </c>
      <c r="AF568" t="s">
        <v>74</v>
      </c>
      <c r="AG568" t="s">
        <v>74</v>
      </c>
      <c r="AH568" t="s">
        <v>74</v>
      </c>
      <c r="AI568" t="s">
        <v>74</v>
      </c>
      <c r="AJ568" t="s">
        <v>74</v>
      </c>
      <c r="AK568" t="s">
        <v>74</v>
      </c>
      <c r="AL568" t="s">
        <v>74</v>
      </c>
      <c r="AM568" t="s">
        <v>74</v>
      </c>
      <c r="AN568" t="s">
        <v>74</v>
      </c>
      <c r="AO568" t="s">
        <v>658</v>
      </c>
      <c r="AP568" t="s">
        <v>74</v>
      </c>
      <c r="AQ568" t="s">
        <v>74</v>
      </c>
      <c r="AR568" t="s">
        <v>74</v>
      </c>
      <c r="AS568" t="s">
        <v>74</v>
      </c>
      <c r="AT568" t="s">
        <v>145</v>
      </c>
      <c r="AU568">
        <v>2021</v>
      </c>
      <c r="AV568">
        <v>11</v>
      </c>
      <c r="AW568">
        <v>16</v>
      </c>
      <c r="AX568" t="s">
        <v>74</v>
      </c>
      <c r="AY568" t="s">
        <v>74</v>
      </c>
      <c r="AZ568" t="s">
        <v>74</v>
      </c>
      <c r="BA568" t="s">
        <v>74</v>
      </c>
      <c r="BB568">
        <v>11038</v>
      </c>
      <c r="BC568">
        <v>11050</v>
      </c>
      <c r="BD568" t="s">
        <v>74</v>
      </c>
      <c r="BE568" t="s">
        <v>6274</v>
      </c>
      <c r="BF568" t="str">
        <f>HYPERLINK("http://dx.doi.org/10.1002/ece3.7892","http://dx.doi.org/10.1002/ece3.7892")</f>
        <v>http://dx.doi.org/10.1002/ece3.7892</v>
      </c>
      <c r="BG568" t="s">
        <v>74</v>
      </c>
      <c r="BH568" t="s">
        <v>3826</v>
      </c>
      <c r="BI568" t="s">
        <v>74</v>
      </c>
      <c r="BJ568" t="s">
        <v>74</v>
      </c>
      <c r="BK568" t="s">
        <v>74</v>
      </c>
      <c r="BL568" t="s">
        <v>74</v>
      </c>
      <c r="BM568" t="s">
        <v>74</v>
      </c>
      <c r="BN568">
        <v>34429901</v>
      </c>
      <c r="BO568" t="s">
        <v>74</v>
      </c>
      <c r="BP568" t="s">
        <v>74</v>
      </c>
      <c r="BQ568" t="s">
        <v>74</v>
      </c>
      <c r="BR568" t="s">
        <v>74</v>
      </c>
      <c r="BS568" t="s">
        <v>6275</v>
      </c>
      <c r="BT568" t="str">
        <f>HYPERLINK("https%3A%2F%2Fwww.webofscience.com%2Fwos%2Fwoscc%2Ffull-record%2FWOS:000670837800001","View Full Record in Web of Science")</f>
        <v>View Full Record in Web of Science</v>
      </c>
    </row>
    <row r="569" spans="1:72" x14ac:dyDescent="0.4">
      <c r="A569" t="s">
        <v>72</v>
      </c>
      <c r="B569" t="s">
        <v>8184</v>
      </c>
      <c r="C569" t="s">
        <v>74</v>
      </c>
      <c r="D569" t="s">
        <v>74</v>
      </c>
      <c r="E569" t="s">
        <v>74</v>
      </c>
      <c r="F569" t="s">
        <v>8184</v>
      </c>
      <c r="G569" t="s">
        <v>74</v>
      </c>
      <c r="H569" t="s">
        <v>74</v>
      </c>
      <c r="I569" t="s">
        <v>8185</v>
      </c>
      <c r="J569" t="s">
        <v>8186</v>
      </c>
      <c r="K569" t="s">
        <v>74</v>
      </c>
      <c r="L569" t="s">
        <v>74</v>
      </c>
      <c r="M569" t="s">
        <v>74</v>
      </c>
      <c r="N569" t="s">
        <v>74</v>
      </c>
      <c r="O569" t="s">
        <v>74</v>
      </c>
      <c r="P569" t="s">
        <v>74</v>
      </c>
      <c r="Q569" t="s">
        <v>74</v>
      </c>
      <c r="R569" t="s">
        <v>74</v>
      </c>
      <c r="S569" t="s">
        <v>74</v>
      </c>
      <c r="T569" t="s">
        <v>74</v>
      </c>
      <c r="U569" t="s">
        <v>74</v>
      </c>
      <c r="V569" s="3" t="s">
        <v>8187</v>
      </c>
      <c r="W569" t="s">
        <v>74</v>
      </c>
      <c r="X569" t="s">
        <v>74</v>
      </c>
      <c r="Y569" t="s">
        <v>74</v>
      </c>
      <c r="Z569" t="s">
        <v>74</v>
      </c>
      <c r="AA569" t="s">
        <v>8188</v>
      </c>
      <c r="AB569" t="s">
        <v>8189</v>
      </c>
      <c r="AC569" t="s">
        <v>74</v>
      </c>
      <c r="AD569" t="s">
        <v>74</v>
      </c>
      <c r="AE569" t="s">
        <v>74</v>
      </c>
      <c r="AF569" t="s">
        <v>74</v>
      </c>
      <c r="AG569" t="s">
        <v>74</v>
      </c>
      <c r="AH569" t="s">
        <v>74</v>
      </c>
      <c r="AI569" t="s">
        <v>74</v>
      </c>
      <c r="AJ569" t="s">
        <v>74</v>
      </c>
      <c r="AK569" t="s">
        <v>74</v>
      </c>
      <c r="AL569" t="s">
        <v>74</v>
      </c>
      <c r="AM569" t="s">
        <v>74</v>
      </c>
      <c r="AN569" t="s">
        <v>74</v>
      </c>
      <c r="AO569" t="s">
        <v>8190</v>
      </c>
      <c r="AP569" t="s">
        <v>8191</v>
      </c>
      <c r="AQ569" t="s">
        <v>74</v>
      </c>
      <c r="AR569" t="s">
        <v>74</v>
      </c>
      <c r="AS569" t="s">
        <v>74</v>
      </c>
      <c r="AT569" t="s">
        <v>352</v>
      </c>
      <c r="AU569">
        <v>2004</v>
      </c>
      <c r="AV569">
        <v>82</v>
      </c>
      <c r="AW569">
        <v>2</v>
      </c>
      <c r="AX569" t="s">
        <v>74</v>
      </c>
      <c r="AY569" t="s">
        <v>74</v>
      </c>
      <c r="AZ569" t="s">
        <v>74</v>
      </c>
      <c r="BA569" t="s">
        <v>74</v>
      </c>
      <c r="BB569">
        <v>99</v>
      </c>
      <c r="BC569">
        <v>108</v>
      </c>
      <c r="BD569" t="s">
        <v>74</v>
      </c>
      <c r="BE569" t="s">
        <v>8192</v>
      </c>
      <c r="BF569" t="str">
        <f>HYPERLINK("http://dx.doi.org/10.1016/j.nlm.2004.05.001","http://dx.doi.org/10.1016/j.nlm.2004.05.001")</f>
        <v>http://dx.doi.org/10.1016/j.nlm.2004.05.001</v>
      </c>
      <c r="BG569" t="s">
        <v>74</v>
      </c>
      <c r="BH569" t="s">
        <v>74</v>
      </c>
      <c r="BI569" t="s">
        <v>74</v>
      </c>
      <c r="BJ569" t="s">
        <v>74</v>
      </c>
      <c r="BK569" t="s">
        <v>74</v>
      </c>
      <c r="BL569" t="s">
        <v>74</v>
      </c>
      <c r="BM569" t="s">
        <v>74</v>
      </c>
      <c r="BN569">
        <v>15341795</v>
      </c>
      <c r="BO569" t="s">
        <v>74</v>
      </c>
      <c r="BP569" t="s">
        <v>74</v>
      </c>
      <c r="BQ569" t="s">
        <v>74</v>
      </c>
      <c r="BR569" t="s">
        <v>74</v>
      </c>
      <c r="BS569" t="s">
        <v>8193</v>
      </c>
      <c r="BT569" t="str">
        <f>HYPERLINK("https%3A%2F%2Fwww.webofscience.com%2Fwos%2Fwoscc%2Ffull-record%2FWOS:000223495300006","View Full Record in Web of Science")</f>
        <v>View Full Record in Web of Science</v>
      </c>
    </row>
    <row r="570" spans="1:72" x14ac:dyDescent="0.4">
      <c r="A570" t="s">
        <v>72</v>
      </c>
      <c r="B570" t="s">
        <v>3236</v>
      </c>
      <c r="C570" t="s">
        <v>74</v>
      </c>
      <c r="D570" t="s">
        <v>74</v>
      </c>
      <c r="E570" t="s">
        <v>74</v>
      </c>
      <c r="F570" t="s">
        <v>3236</v>
      </c>
      <c r="G570" t="s">
        <v>74</v>
      </c>
      <c r="H570" t="s">
        <v>74</v>
      </c>
      <c r="I570" t="s">
        <v>3237</v>
      </c>
      <c r="J570" t="s">
        <v>3238</v>
      </c>
      <c r="K570" t="s">
        <v>74</v>
      </c>
      <c r="L570" t="s">
        <v>74</v>
      </c>
      <c r="M570" t="s">
        <v>74</v>
      </c>
      <c r="N570" t="s">
        <v>74</v>
      </c>
      <c r="O570" t="s">
        <v>74</v>
      </c>
      <c r="P570" t="s">
        <v>74</v>
      </c>
      <c r="Q570" t="s">
        <v>74</v>
      </c>
      <c r="R570" t="s">
        <v>74</v>
      </c>
      <c r="S570" t="s">
        <v>74</v>
      </c>
      <c r="T570" t="s">
        <v>74</v>
      </c>
      <c r="U570" t="s">
        <v>74</v>
      </c>
      <c r="V570" s="3" t="s">
        <v>3239</v>
      </c>
      <c r="W570" t="s">
        <v>74</v>
      </c>
      <c r="X570" t="s">
        <v>74</v>
      </c>
      <c r="Y570" t="s">
        <v>74</v>
      </c>
      <c r="Z570" t="s">
        <v>74</v>
      </c>
      <c r="AA570" t="s">
        <v>74</v>
      </c>
      <c r="AB570" t="s">
        <v>74</v>
      </c>
      <c r="AC570" t="s">
        <v>74</v>
      </c>
      <c r="AD570" t="s">
        <v>74</v>
      </c>
      <c r="AE570" t="s">
        <v>74</v>
      </c>
      <c r="AF570" t="s">
        <v>74</v>
      </c>
      <c r="AG570" t="s">
        <v>74</v>
      </c>
      <c r="AH570" t="s">
        <v>74</v>
      </c>
      <c r="AI570" t="s">
        <v>74</v>
      </c>
      <c r="AJ570" t="s">
        <v>74</v>
      </c>
      <c r="AK570" t="s">
        <v>74</v>
      </c>
      <c r="AL570" t="s">
        <v>74</v>
      </c>
      <c r="AM570" t="s">
        <v>74</v>
      </c>
      <c r="AN570" t="s">
        <v>74</v>
      </c>
      <c r="AO570" t="s">
        <v>3240</v>
      </c>
      <c r="AP570" t="s">
        <v>3241</v>
      </c>
      <c r="AQ570" t="s">
        <v>74</v>
      </c>
      <c r="AR570" t="s">
        <v>74</v>
      </c>
      <c r="AS570" t="s">
        <v>74</v>
      </c>
      <c r="AT570" t="s">
        <v>74</v>
      </c>
      <c r="AU570">
        <v>1983</v>
      </c>
      <c r="AV570">
        <v>76</v>
      </c>
      <c r="AW570">
        <v>2</v>
      </c>
      <c r="AX570" t="s">
        <v>74</v>
      </c>
      <c r="AY570" t="s">
        <v>74</v>
      </c>
      <c r="AZ570" t="s">
        <v>74</v>
      </c>
      <c r="BA570" t="s">
        <v>74</v>
      </c>
      <c r="BB570">
        <v>197</v>
      </c>
      <c r="BC570">
        <v>204</v>
      </c>
      <c r="BD570" t="s">
        <v>74</v>
      </c>
      <c r="BE570" t="s">
        <v>3242</v>
      </c>
      <c r="BF570" t="str">
        <f>HYPERLINK("http://dx.doi.org/10.1093/aesa/76.2.197","http://dx.doi.org/10.1093/aesa/76.2.197")</f>
        <v>http://dx.doi.org/10.1093/aesa/76.2.197</v>
      </c>
      <c r="BG570" t="s">
        <v>74</v>
      </c>
      <c r="BH570" t="s">
        <v>74</v>
      </c>
      <c r="BI570" t="s">
        <v>74</v>
      </c>
      <c r="BJ570" t="s">
        <v>74</v>
      </c>
      <c r="BK570" t="s">
        <v>74</v>
      </c>
      <c r="BL570" t="s">
        <v>74</v>
      </c>
      <c r="BM570" t="s">
        <v>74</v>
      </c>
      <c r="BN570" t="s">
        <v>74</v>
      </c>
      <c r="BO570" t="s">
        <v>74</v>
      </c>
      <c r="BP570" t="s">
        <v>74</v>
      </c>
      <c r="BQ570" t="s">
        <v>74</v>
      </c>
      <c r="BR570" t="s">
        <v>74</v>
      </c>
      <c r="BS570" t="s">
        <v>3243</v>
      </c>
      <c r="BT570" t="str">
        <f>HYPERLINK("https%3A%2F%2Fwww.webofscience.com%2Fwos%2Fwoscc%2Ffull-record%2FWOS:A1983QE09100008","View Full Record in Web of Science")</f>
        <v>View Full Record in Web of Science</v>
      </c>
    </row>
    <row r="571" spans="1:72" x14ac:dyDescent="0.4">
      <c r="A571" t="s">
        <v>72</v>
      </c>
      <c r="B571" t="s">
        <v>394</v>
      </c>
      <c r="C571" t="s">
        <v>74</v>
      </c>
      <c r="D571" t="s">
        <v>74</v>
      </c>
      <c r="E571" t="s">
        <v>74</v>
      </c>
      <c r="F571" t="s">
        <v>395</v>
      </c>
      <c r="G571" t="s">
        <v>74</v>
      </c>
      <c r="H571" t="s">
        <v>74</v>
      </c>
      <c r="I571" t="s">
        <v>396</v>
      </c>
      <c r="J571" t="s">
        <v>397</v>
      </c>
      <c r="K571" t="s">
        <v>74</v>
      </c>
      <c r="L571" t="s">
        <v>74</v>
      </c>
      <c r="M571" t="s">
        <v>74</v>
      </c>
      <c r="N571" t="s">
        <v>74</v>
      </c>
      <c r="O571" t="s">
        <v>74</v>
      </c>
      <c r="P571" t="s">
        <v>74</v>
      </c>
      <c r="Q571" t="s">
        <v>74</v>
      </c>
      <c r="R571" t="s">
        <v>74</v>
      </c>
      <c r="S571" t="s">
        <v>74</v>
      </c>
      <c r="T571" t="s">
        <v>74</v>
      </c>
      <c r="U571" t="s">
        <v>74</v>
      </c>
      <c r="V571" s="3" t="s">
        <v>398</v>
      </c>
      <c r="W571" t="s">
        <v>74</v>
      </c>
      <c r="X571" t="s">
        <v>74</v>
      </c>
      <c r="Y571" t="s">
        <v>74</v>
      </c>
      <c r="Z571" t="s">
        <v>74</v>
      </c>
      <c r="AA571" t="s">
        <v>399</v>
      </c>
      <c r="AB571" t="s">
        <v>400</v>
      </c>
      <c r="AC571" t="s">
        <v>74</v>
      </c>
      <c r="AD571" t="s">
        <v>74</v>
      </c>
      <c r="AE571" t="s">
        <v>74</v>
      </c>
      <c r="AF571" t="s">
        <v>74</v>
      </c>
      <c r="AG571" t="s">
        <v>74</v>
      </c>
      <c r="AH571" t="s">
        <v>74</v>
      </c>
      <c r="AI571" t="s">
        <v>74</v>
      </c>
      <c r="AJ571" t="s">
        <v>74</v>
      </c>
      <c r="AK571" t="s">
        <v>74</v>
      </c>
      <c r="AL571" t="s">
        <v>74</v>
      </c>
      <c r="AM571" t="s">
        <v>74</v>
      </c>
      <c r="AN571" t="s">
        <v>74</v>
      </c>
      <c r="AO571" t="s">
        <v>401</v>
      </c>
      <c r="AP571" t="s">
        <v>402</v>
      </c>
      <c r="AQ571" t="s">
        <v>74</v>
      </c>
      <c r="AR571" t="s">
        <v>74</v>
      </c>
      <c r="AS571" t="s">
        <v>74</v>
      </c>
      <c r="AT571" t="s">
        <v>213</v>
      </c>
      <c r="AU571">
        <v>2016</v>
      </c>
      <c r="AV571">
        <v>15</v>
      </c>
      <c r="AW571">
        <v>8</v>
      </c>
      <c r="AX571" t="s">
        <v>74</v>
      </c>
      <c r="AY571" t="s">
        <v>74</v>
      </c>
      <c r="AZ571" t="s">
        <v>74</v>
      </c>
      <c r="BA571" t="s">
        <v>74</v>
      </c>
      <c r="BB571">
        <v>733</v>
      </c>
      <c r="BC571">
        <v>740</v>
      </c>
      <c r="BD571" t="s">
        <v>74</v>
      </c>
      <c r="BE571" t="s">
        <v>403</v>
      </c>
      <c r="BF571" t="str">
        <f>HYPERLINK("http://dx.doi.org/10.1111/gbb.12313","http://dx.doi.org/10.1111/gbb.12313")</f>
        <v>http://dx.doi.org/10.1111/gbb.12313</v>
      </c>
      <c r="BG571" t="s">
        <v>74</v>
      </c>
      <c r="BH571" t="s">
        <v>74</v>
      </c>
      <c r="BI571" t="s">
        <v>74</v>
      </c>
      <c r="BJ571" t="s">
        <v>74</v>
      </c>
      <c r="BK571" t="s">
        <v>74</v>
      </c>
      <c r="BL571" t="s">
        <v>74</v>
      </c>
      <c r="BM571" t="s">
        <v>74</v>
      </c>
      <c r="BN571">
        <v>27489198</v>
      </c>
      <c r="BO571" t="s">
        <v>74</v>
      </c>
      <c r="BP571" t="s">
        <v>74</v>
      </c>
      <c r="BQ571" t="s">
        <v>74</v>
      </c>
      <c r="BR571" t="s">
        <v>74</v>
      </c>
      <c r="BS571" t="s">
        <v>404</v>
      </c>
      <c r="BT571" t="str">
        <f>HYPERLINK("https%3A%2F%2Fwww.webofscience.com%2Fwos%2Fwoscc%2Ffull-record%2FWOS:000393079000005","View Full Record in Web of Science")</f>
        <v>View Full Record in Web of Science</v>
      </c>
    </row>
    <row r="572" spans="1:72" x14ac:dyDescent="0.4">
      <c r="A572" t="s">
        <v>72</v>
      </c>
      <c r="B572" t="s">
        <v>4096</v>
      </c>
      <c r="C572" t="s">
        <v>74</v>
      </c>
      <c r="D572" t="s">
        <v>74</v>
      </c>
      <c r="E572" t="s">
        <v>74</v>
      </c>
      <c r="F572" t="s">
        <v>4097</v>
      </c>
      <c r="G572" t="s">
        <v>74</v>
      </c>
      <c r="H572" t="s">
        <v>74</v>
      </c>
      <c r="I572" t="s">
        <v>4098</v>
      </c>
      <c r="J572" t="s">
        <v>218</v>
      </c>
      <c r="K572" t="s">
        <v>74</v>
      </c>
      <c r="L572" t="s">
        <v>74</v>
      </c>
      <c r="M572" t="s">
        <v>74</v>
      </c>
      <c r="N572" t="s">
        <v>74</v>
      </c>
      <c r="O572" t="s">
        <v>74</v>
      </c>
      <c r="P572" t="s">
        <v>74</v>
      </c>
      <c r="Q572" t="s">
        <v>74</v>
      </c>
      <c r="R572" t="s">
        <v>74</v>
      </c>
      <c r="S572" t="s">
        <v>74</v>
      </c>
      <c r="T572" t="s">
        <v>74</v>
      </c>
      <c r="U572" t="s">
        <v>74</v>
      </c>
      <c r="V572" s="3" t="s">
        <v>4099</v>
      </c>
      <c r="W572" t="s">
        <v>74</v>
      </c>
      <c r="X572" t="s">
        <v>74</v>
      </c>
      <c r="Y572" t="s">
        <v>74</v>
      </c>
      <c r="Z572" t="s">
        <v>74</v>
      </c>
      <c r="AA572" t="s">
        <v>74</v>
      </c>
      <c r="AB572" t="s">
        <v>4100</v>
      </c>
      <c r="AC572" t="s">
        <v>74</v>
      </c>
      <c r="AD572" t="s">
        <v>74</v>
      </c>
      <c r="AE572" t="s">
        <v>74</v>
      </c>
      <c r="AF572" t="s">
        <v>74</v>
      </c>
      <c r="AG572" t="s">
        <v>74</v>
      </c>
      <c r="AH572" t="s">
        <v>74</v>
      </c>
      <c r="AI572" t="s">
        <v>74</v>
      </c>
      <c r="AJ572" t="s">
        <v>74</v>
      </c>
      <c r="AK572" t="s">
        <v>74</v>
      </c>
      <c r="AL572" t="s">
        <v>74</v>
      </c>
      <c r="AM572" t="s">
        <v>74</v>
      </c>
      <c r="AN572" t="s">
        <v>74</v>
      </c>
      <c r="AO572" t="s">
        <v>221</v>
      </c>
      <c r="AP572" t="s">
        <v>222</v>
      </c>
      <c r="AQ572" t="s">
        <v>74</v>
      </c>
      <c r="AR572" t="s">
        <v>74</v>
      </c>
      <c r="AS572" t="s">
        <v>74</v>
      </c>
      <c r="AT572" t="s">
        <v>3302</v>
      </c>
      <c r="AU572">
        <v>2024</v>
      </c>
      <c r="AV572">
        <v>37</v>
      </c>
      <c r="AW572">
        <v>3</v>
      </c>
      <c r="AX572" t="s">
        <v>74</v>
      </c>
      <c r="AY572" t="s">
        <v>74</v>
      </c>
      <c r="AZ572" t="s">
        <v>74</v>
      </c>
      <c r="BA572" t="s">
        <v>74</v>
      </c>
      <c r="BB572">
        <v>267</v>
      </c>
      <c r="BC572">
        <v>273</v>
      </c>
      <c r="BD572" t="s">
        <v>74</v>
      </c>
      <c r="BE572" t="s">
        <v>4101</v>
      </c>
      <c r="BF572" t="str">
        <f>HYPERLINK("http://dx.doi.org/10.1093/jeb/voae010","http://dx.doi.org/10.1093/jeb/voae010")</f>
        <v>http://dx.doi.org/10.1093/jeb/voae010</v>
      </c>
      <c r="BG572" t="s">
        <v>74</v>
      </c>
      <c r="BH572" t="s">
        <v>583</v>
      </c>
      <c r="BI572" t="s">
        <v>74</v>
      </c>
      <c r="BJ572" t="s">
        <v>74</v>
      </c>
      <c r="BK572" t="s">
        <v>74</v>
      </c>
      <c r="BL572" t="s">
        <v>74</v>
      </c>
      <c r="BM572" t="s">
        <v>74</v>
      </c>
      <c r="BN572">
        <v>38306464</v>
      </c>
      <c r="BO572" t="s">
        <v>74</v>
      </c>
      <c r="BP572" t="s">
        <v>74</v>
      </c>
      <c r="BQ572" t="s">
        <v>74</v>
      </c>
      <c r="BR572" t="s">
        <v>74</v>
      </c>
      <c r="BS572" t="s">
        <v>4102</v>
      </c>
      <c r="BT572" t="str">
        <f>HYPERLINK("https%3A%2F%2Fwww.webofscience.com%2Fwos%2Fwoscc%2Ffull-record%2FWOS:001155391900001","View Full Record in Web of Science")</f>
        <v>View Full Record in Web of Science</v>
      </c>
    </row>
    <row r="573" spans="1:72" x14ac:dyDescent="0.4">
      <c r="A573" t="s">
        <v>72</v>
      </c>
      <c r="B573" t="s">
        <v>178</v>
      </c>
      <c r="C573" t="s">
        <v>74</v>
      </c>
      <c r="D573" t="s">
        <v>74</v>
      </c>
      <c r="E573" t="s">
        <v>74</v>
      </c>
      <c r="F573" t="s">
        <v>179</v>
      </c>
      <c r="G573" t="s">
        <v>74</v>
      </c>
      <c r="H573" t="s">
        <v>74</v>
      </c>
      <c r="I573" t="s">
        <v>180</v>
      </c>
      <c r="J573" t="s">
        <v>181</v>
      </c>
      <c r="K573" t="s">
        <v>74</v>
      </c>
      <c r="L573" t="s">
        <v>74</v>
      </c>
      <c r="M573" t="s">
        <v>74</v>
      </c>
      <c r="N573" t="s">
        <v>74</v>
      </c>
      <c r="O573" t="s">
        <v>74</v>
      </c>
      <c r="P573" t="s">
        <v>74</v>
      </c>
      <c r="Q573" t="s">
        <v>74</v>
      </c>
      <c r="R573" t="s">
        <v>74</v>
      </c>
      <c r="S573" t="s">
        <v>74</v>
      </c>
      <c r="T573" t="s">
        <v>74</v>
      </c>
      <c r="U573" t="s">
        <v>74</v>
      </c>
      <c r="V573" s="3" t="s">
        <v>182</v>
      </c>
      <c r="W573" t="s">
        <v>74</v>
      </c>
      <c r="X573" t="s">
        <v>74</v>
      </c>
      <c r="Y573" t="s">
        <v>74</v>
      </c>
      <c r="Z573" t="s">
        <v>74</v>
      </c>
      <c r="AA573" t="s">
        <v>183</v>
      </c>
      <c r="AB573" t="s">
        <v>184</v>
      </c>
      <c r="AC573" t="s">
        <v>74</v>
      </c>
      <c r="AD573" t="s">
        <v>74</v>
      </c>
      <c r="AE573" t="s">
        <v>74</v>
      </c>
      <c r="AF573" t="s">
        <v>74</v>
      </c>
      <c r="AG573" t="s">
        <v>74</v>
      </c>
      <c r="AH573" t="s">
        <v>74</v>
      </c>
      <c r="AI573" t="s">
        <v>74</v>
      </c>
      <c r="AJ573" t="s">
        <v>74</v>
      </c>
      <c r="AK573" t="s">
        <v>74</v>
      </c>
      <c r="AL573" t="s">
        <v>74</v>
      </c>
      <c r="AM573" t="s">
        <v>74</v>
      </c>
      <c r="AN573" t="s">
        <v>74</v>
      </c>
      <c r="AO573" t="s">
        <v>185</v>
      </c>
      <c r="AP573" t="s">
        <v>74</v>
      </c>
      <c r="AQ573" t="s">
        <v>74</v>
      </c>
      <c r="AR573" t="s">
        <v>74</v>
      </c>
      <c r="AS573" t="s">
        <v>74</v>
      </c>
      <c r="AT573" t="s">
        <v>186</v>
      </c>
      <c r="AU573">
        <v>2015</v>
      </c>
      <c r="AV573">
        <v>13</v>
      </c>
      <c r="AW573" t="s">
        <v>74</v>
      </c>
      <c r="AX573" t="s">
        <v>74</v>
      </c>
      <c r="AY573" t="s">
        <v>74</v>
      </c>
      <c r="AZ573" t="s">
        <v>74</v>
      </c>
      <c r="BA573" t="s">
        <v>74</v>
      </c>
      <c r="BB573" t="s">
        <v>74</v>
      </c>
      <c r="BC573" t="s">
        <v>74</v>
      </c>
      <c r="BD573">
        <v>82</v>
      </c>
      <c r="BE573" t="s">
        <v>187</v>
      </c>
      <c r="BF573" t="str">
        <f>HYPERLINK("http://dx.doi.org/10.1186/s12915-015-0192-7","http://dx.doi.org/10.1186/s12915-015-0192-7")</f>
        <v>http://dx.doi.org/10.1186/s12915-015-0192-7</v>
      </c>
      <c r="BG573" t="s">
        <v>74</v>
      </c>
      <c r="BH573" t="s">
        <v>74</v>
      </c>
      <c r="BI573" t="s">
        <v>74</v>
      </c>
      <c r="BJ573" t="s">
        <v>74</v>
      </c>
      <c r="BK573" t="s">
        <v>74</v>
      </c>
      <c r="BL573" t="s">
        <v>74</v>
      </c>
      <c r="BM573" t="s">
        <v>74</v>
      </c>
      <c r="BN573">
        <v>26437665</v>
      </c>
      <c r="BO573" t="s">
        <v>74</v>
      </c>
      <c r="BP573" t="s">
        <v>74</v>
      </c>
      <c r="BQ573" t="s">
        <v>74</v>
      </c>
      <c r="BR573" t="s">
        <v>74</v>
      </c>
      <c r="BS573" t="s">
        <v>188</v>
      </c>
      <c r="BT573" t="str">
        <f>HYPERLINK("https%3A%2F%2Fwww.webofscience.com%2Fwos%2Fwoscc%2Ffull-record%2FWOS:000362280500001","View Full Record in Web of Science")</f>
        <v>View Full Record in Web of Science</v>
      </c>
    </row>
    <row r="574" spans="1:72" x14ac:dyDescent="0.4">
      <c r="A574" t="s">
        <v>72</v>
      </c>
      <c r="B574" t="s">
        <v>6589</v>
      </c>
      <c r="C574" t="s">
        <v>74</v>
      </c>
      <c r="D574" t="s">
        <v>74</v>
      </c>
      <c r="E574" t="s">
        <v>74</v>
      </c>
      <c r="F574" t="s">
        <v>6589</v>
      </c>
      <c r="G574" t="s">
        <v>74</v>
      </c>
      <c r="H574" t="s">
        <v>74</v>
      </c>
      <c r="I574" t="s">
        <v>6590</v>
      </c>
      <c r="J574" t="s">
        <v>77</v>
      </c>
      <c r="K574" t="s">
        <v>74</v>
      </c>
      <c r="L574" t="s">
        <v>74</v>
      </c>
      <c r="M574" t="s">
        <v>74</v>
      </c>
      <c r="N574" t="s">
        <v>74</v>
      </c>
      <c r="O574" t="s">
        <v>74</v>
      </c>
      <c r="P574" t="s">
        <v>74</v>
      </c>
      <c r="Q574" t="s">
        <v>74</v>
      </c>
      <c r="R574" t="s">
        <v>74</v>
      </c>
      <c r="S574" t="s">
        <v>74</v>
      </c>
      <c r="T574" t="s">
        <v>74</v>
      </c>
      <c r="U574" t="s">
        <v>74</v>
      </c>
      <c r="V574" s="3" t="s">
        <v>6591</v>
      </c>
      <c r="W574" t="s">
        <v>74</v>
      </c>
      <c r="X574" t="s">
        <v>74</v>
      </c>
      <c r="Y574" t="s">
        <v>74</v>
      </c>
      <c r="Z574" t="s">
        <v>74</v>
      </c>
      <c r="AA574" t="s">
        <v>74</v>
      </c>
      <c r="AB574" t="s">
        <v>74</v>
      </c>
      <c r="AC574" t="s">
        <v>74</v>
      </c>
      <c r="AD574" t="s">
        <v>74</v>
      </c>
      <c r="AE574" t="s">
        <v>74</v>
      </c>
      <c r="AF574" t="s">
        <v>74</v>
      </c>
      <c r="AG574" t="s">
        <v>74</v>
      </c>
      <c r="AH574" t="s">
        <v>74</v>
      </c>
      <c r="AI574" t="s">
        <v>74</v>
      </c>
      <c r="AJ574" t="s">
        <v>74</v>
      </c>
      <c r="AK574" t="s">
        <v>74</v>
      </c>
      <c r="AL574" t="s">
        <v>74</v>
      </c>
      <c r="AM574" t="s">
        <v>74</v>
      </c>
      <c r="AN574" t="s">
        <v>74</v>
      </c>
      <c r="AO574" t="s">
        <v>81</v>
      </c>
      <c r="AP574" t="s">
        <v>82</v>
      </c>
      <c r="AQ574" t="s">
        <v>74</v>
      </c>
      <c r="AR574" t="s">
        <v>74</v>
      </c>
      <c r="AS574" t="s">
        <v>74</v>
      </c>
      <c r="AT574" t="s">
        <v>74</v>
      </c>
      <c r="AU574">
        <v>1978</v>
      </c>
      <c r="AV574">
        <v>67</v>
      </c>
      <c r="AW574" t="s">
        <v>74</v>
      </c>
      <c r="AX574" t="s">
        <v>1276</v>
      </c>
      <c r="AY574" t="s">
        <v>74</v>
      </c>
      <c r="AZ574" t="s">
        <v>74</v>
      </c>
      <c r="BA574" t="s">
        <v>74</v>
      </c>
      <c r="BB574">
        <v>178</v>
      </c>
      <c r="BC574">
        <v>207</v>
      </c>
      <c r="BD574" t="s">
        <v>74</v>
      </c>
      <c r="BE574" t="s">
        <v>6592</v>
      </c>
      <c r="BF574" t="str">
        <f>HYPERLINK("http://dx.doi.org/10.1163/156853978X00323","http://dx.doi.org/10.1163/156853978X00323")</f>
        <v>http://dx.doi.org/10.1163/156853978X00323</v>
      </c>
      <c r="BG574" t="s">
        <v>74</v>
      </c>
      <c r="BH574" t="s">
        <v>74</v>
      </c>
      <c r="BI574" t="s">
        <v>74</v>
      </c>
      <c r="BJ574" t="s">
        <v>74</v>
      </c>
      <c r="BK574" t="s">
        <v>74</v>
      </c>
      <c r="BL574" t="s">
        <v>74</v>
      </c>
      <c r="BM574" t="s">
        <v>74</v>
      </c>
      <c r="BN574" t="s">
        <v>74</v>
      </c>
      <c r="BO574" t="s">
        <v>74</v>
      </c>
      <c r="BP574" t="s">
        <v>74</v>
      </c>
      <c r="BQ574" t="s">
        <v>74</v>
      </c>
      <c r="BR574" t="s">
        <v>74</v>
      </c>
      <c r="BS574" t="s">
        <v>6593</v>
      </c>
      <c r="BT574" t="str">
        <f>HYPERLINK("https%3A%2F%2Fwww.webofscience.com%2Fwos%2Fwoscc%2Ffull-record%2FWOS:A1978GF13900003","View Full Record in Web of Science")</f>
        <v>View Full Record in Web of Science</v>
      </c>
    </row>
    <row r="575" spans="1:72" x14ac:dyDescent="0.4">
      <c r="A575" t="s">
        <v>72</v>
      </c>
      <c r="B575" t="s">
        <v>4983</v>
      </c>
      <c r="C575" t="s">
        <v>74</v>
      </c>
      <c r="D575" t="s">
        <v>74</v>
      </c>
      <c r="E575" t="s">
        <v>74</v>
      </c>
      <c r="F575" t="s">
        <v>4984</v>
      </c>
      <c r="G575" t="s">
        <v>74</v>
      </c>
      <c r="H575" t="s">
        <v>74</v>
      </c>
      <c r="I575" t="s">
        <v>4985</v>
      </c>
      <c r="J575" t="s">
        <v>408</v>
      </c>
      <c r="K575" t="s">
        <v>74</v>
      </c>
      <c r="L575" t="s">
        <v>74</v>
      </c>
      <c r="M575" t="s">
        <v>74</v>
      </c>
      <c r="N575" t="s">
        <v>74</v>
      </c>
      <c r="O575" t="s">
        <v>74</v>
      </c>
      <c r="P575" t="s">
        <v>74</v>
      </c>
      <c r="Q575" t="s">
        <v>74</v>
      </c>
      <c r="R575" t="s">
        <v>74</v>
      </c>
      <c r="S575" t="s">
        <v>74</v>
      </c>
      <c r="T575" t="s">
        <v>74</v>
      </c>
      <c r="U575" t="s">
        <v>74</v>
      </c>
      <c r="V575" s="3" t="s">
        <v>4986</v>
      </c>
      <c r="W575" t="s">
        <v>74</v>
      </c>
      <c r="X575" t="s">
        <v>74</v>
      </c>
      <c r="Y575" t="s">
        <v>74</v>
      </c>
      <c r="Z575" t="s">
        <v>74</v>
      </c>
      <c r="AA575" t="s">
        <v>4987</v>
      </c>
      <c r="AB575" t="s">
        <v>4988</v>
      </c>
      <c r="AC575" t="s">
        <v>74</v>
      </c>
      <c r="AD575" t="s">
        <v>74</v>
      </c>
      <c r="AE575" t="s">
        <v>74</v>
      </c>
      <c r="AF575" t="s">
        <v>74</v>
      </c>
      <c r="AG575" t="s">
        <v>74</v>
      </c>
      <c r="AH575" t="s">
        <v>74</v>
      </c>
      <c r="AI575" t="s">
        <v>74</v>
      </c>
      <c r="AJ575" t="s">
        <v>74</v>
      </c>
      <c r="AK575" t="s">
        <v>74</v>
      </c>
      <c r="AL575" t="s">
        <v>74</v>
      </c>
      <c r="AM575" t="s">
        <v>74</v>
      </c>
      <c r="AN575" t="s">
        <v>74</v>
      </c>
      <c r="AO575" t="s">
        <v>412</v>
      </c>
      <c r="AP575" t="s">
        <v>413</v>
      </c>
      <c r="AQ575" t="s">
        <v>74</v>
      </c>
      <c r="AR575" t="s">
        <v>74</v>
      </c>
      <c r="AS575" t="s">
        <v>74</v>
      </c>
      <c r="AT575" t="s">
        <v>213</v>
      </c>
      <c r="AU575">
        <v>2021</v>
      </c>
      <c r="AV575">
        <v>134</v>
      </c>
      <c r="AW575">
        <v>3</v>
      </c>
      <c r="AX575" t="s">
        <v>74</v>
      </c>
      <c r="AY575" t="s">
        <v>74</v>
      </c>
      <c r="AZ575" t="s">
        <v>74</v>
      </c>
      <c r="BA575" t="s">
        <v>74</v>
      </c>
      <c r="BB575">
        <v>685</v>
      </c>
      <c r="BC575">
        <v>696</v>
      </c>
      <c r="BD575" t="s">
        <v>74</v>
      </c>
      <c r="BE575" t="s">
        <v>4989</v>
      </c>
      <c r="BF575" t="str">
        <f>HYPERLINK("http://dx.doi.org/10.1093/biolinnean/blab102","http://dx.doi.org/10.1093/biolinnean/blab102")</f>
        <v>http://dx.doi.org/10.1093/biolinnean/blab102</v>
      </c>
      <c r="BG575" t="s">
        <v>74</v>
      </c>
      <c r="BH575" t="s">
        <v>4990</v>
      </c>
      <c r="BI575" t="s">
        <v>74</v>
      </c>
      <c r="BJ575" t="s">
        <v>74</v>
      </c>
      <c r="BK575" t="s">
        <v>74</v>
      </c>
      <c r="BL575" t="s">
        <v>74</v>
      </c>
      <c r="BM575" t="s">
        <v>74</v>
      </c>
      <c r="BN575" t="s">
        <v>74</v>
      </c>
      <c r="BO575" t="s">
        <v>74</v>
      </c>
      <c r="BP575" t="s">
        <v>74</v>
      </c>
      <c r="BQ575" t="s">
        <v>74</v>
      </c>
      <c r="BR575" t="s">
        <v>74</v>
      </c>
      <c r="BS575" t="s">
        <v>4991</v>
      </c>
      <c r="BT575" t="str">
        <f>HYPERLINK("https%3A%2F%2Fwww.webofscience.com%2Fwos%2Fwoscc%2Ffull-record%2FWOS:000715341100013","View Full Record in Web of Science")</f>
        <v>View Full Record in Web of Science</v>
      </c>
    </row>
    <row r="576" spans="1:72" x14ac:dyDescent="0.4">
      <c r="A576" t="s">
        <v>72</v>
      </c>
      <c r="B576" t="s">
        <v>7122</v>
      </c>
      <c r="C576" t="s">
        <v>74</v>
      </c>
      <c r="D576" t="s">
        <v>74</v>
      </c>
      <c r="E576" t="s">
        <v>74</v>
      </c>
      <c r="F576" t="s">
        <v>7123</v>
      </c>
      <c r="G576" t="s">
        <v>74</v>
      </c>
      <c r="H576" t="s">
        <v>74</v>
      </c>
      <c r="I576" t="s">
        <v>7124</v>
      </c>
      <c r="J576" t="s">
        <v>1656</v>
      </c>
      <c r="K576" t="s">
        <v>74</v>
      </c>
      <c r="L576" t="s">
        <v>74</v>
      </c>
      <c r="M576" t="s">
        <v>74</v>
      </c>
      <c r="N576" t="s">
        <v>74</v>
      </c>
      <c r="O576" t="s">
        <v>74</v>
      </c>
      <c r="P576" t="s">
        <v>74</v>
      </c>
      <c r="Q576" t="s">
        <v>74</v>
      </c>
      <c r="R576" t="s">
        <v>74</v>
      </c>
      <c r="S576" t="s">
        <v>74</v>
      </c>
      <c r="T576" t="s">
        <v>74</v>
      </c>
      <c r="U576" t="s">
        <v>74</v>
      </c>
      <c r="V576" s="3" t="s">
        <v>7125</v>
      </c>
      <c r="W576" t="s">
        <v>74</v>
      </c>
      <c r="X576" t="s">
        <v>74</v>
      </c>
      <c r="Y576" t="s">
        <v>74</v>
      </c>
      <c r="Z576" t="s">
        <v>74</v>
      </c>
      <c r="AA576" t="s">
        <v>7126</v>
      </c>
      <c r="AB576" t="s">
        <v>7127</v>
      </c>
      <c r="AC576" t="s">
        <v>74</v>
      </c>
      <c r="AD576" t="s">
        <v>74</v>
      </c>
      <c r="AE576" t="s">
        <v>74</v>
      </c>
      <c r="AF576" t="s">
        <v>74</v>
      </c>
      <c r="AG576" t="s">
        <v>74</v>
      </c>
      <c r="AH576" t="s">
        <v>74</v>
      </c>
      <c r="AI576" t="s">
        <v>74</v>
      </c>
      <c r="AJ576" t="s">
        <v>74</v>
      </c>
      <c r="AK576" t="s">
        <v>74</v>
      </c>
      <c r="AL576" t="s">
        <v>74</v>
      </c>
      <c r="AM576" t="s">
        <v>74</v>
      </c>
      <c r="AN576" t="s">
        <v>74</v>
      </c>
      <c r="AO576" t="s">
        <v>1658</v>
      </c>
      <c r="AP576" t="s">
        <v>1659</v>
      </c>
      <c r="AQ576" t="s">
        <v>74</v>
      </c>
      <c r="AR576" t="s">
        <v>74</v>
      </c>
      <c r="AS576" t="s">
        <v>74</v>
      </c>
      <c r="AT576" t="s">
        <v>7128</v>
      </c>
      <c r="AU576">
        <v>2022</v>
      </c>
      <c r="AV576">
        <v>5155</v>
      </c>
      <c r="AW576">
        <v>4</v>
      </c>
      <c r="AX576" t="s">
        <v>74</v>
      </c>
      <c r="AY576" t="s">
        <v>74</v>
      </c>
      <c r="AZ576" t="s">
        <v>74</v>
      </c>
      <c r="BA576" t="s">
        <v>74</v>
      </c>
      <c r="BB576">
        <v>564</v>
      </c>
      <c r="BC576">
        <v>580</v>
      </c>
      <c r="BD576" t="s">
        <v>74</v>
      </c>
      <c r="BE576" t="s">
        <v>7129</v>
      </c>
      <c r="BF576" t="str">
        <f>HYPERLINK("http://dx.doi.org/10.11646/zootaxa.5155.4.6","http://dx.doi.org/10.11646/zootaxa.5155.4.6")</f>
        <v>http://dx.doi.org/10.11646/zootaxa.5155.4.6</v>
      </c>
      <c r="BG576" t="s">
        <v>74</v>
      </c>
      <c r="BH576" t="s">
        <v>74</v>
      </c>
      <c r="BI576" t="s">
        <v>74</v>
      </c>
      <c r="BJ576" t="s">
        <v>74</v>
      </c>
      <c r="BK576" t="s">
        <v>74</v>
      </c>
      <c r="BL576" t="s">
        <v>74</v>
      </c>
      <c r="BM576" t="s">
        <v>74</v>
      </c>
      <c r="BN576">
        <v>36095567</v>
      </c>
      <c r="BO576" t="s">
        <v>74</v>
      </c>
      <c r="BP576" t="s">
        <v>74</v>
      </c>
      <c r="BQ576" t="s">
        <v>74</v>
      </c>
      <c r="BR576" t="s">
        <v>74</v>
      </c>
      <c r="BS576" t="s">
        <v>7130</v>
      </c>
      <c r="BT576" t="str">
        <f>HYPERLINK("https%3A%2F%2Fwww.webofscience.com%2Fwos%2Fwoscc%2Ffull-record%2FWOS:000821618900003","View Full Record in Web of Science")</f>
        <v>View Full Record in Web of Science</v>
      </c>
    </row>
    <row r="577" spans="1:72" x14ac:dyDescent="0.4">
      <c r="A577" t="s">
        <v>72</v>
      </c>
      <c r="B577" t="s">
        <v>7470</v>
      </c>
      <c r="C577" t="s">
        <v>74</v>
      </c>
      <c r="D577" t="s">
        <v>74</v>
      </c>
      <c r="E577" t="s">
        <v>74</v>
      </c>
      <c r="F577" t="s">
        <v>7470</v>
      </c>
      <c r="G577" t="s">
        <v>74</v>
      </c>
      <c r="H577" t="s">
        <v>74</v>
      </c>
      <c r="I577" t="s">
        <v>7471</v>
      </c>
      <c r="J577" t="s">
        <v>140</v>
      </c>
      <c r="K577" t="s">
        <v>74</v>
      </c>
      <c r="L577" t="s">
        <v>74</v>
      </c>
      <c r="M577" t="s">
        <v>74</v>
      </c>
      <c r="N577" t="s">
        <v>74</v>
      </c>
      <c r="O577" t="s">
        <v>74</v>
      </c>
      <c r="P577" t="s">
        <v>74</v>
      </c>
      <c r="Q577" t="s">
        <v>74</v>
      </c>
      <c r="R577" t="s">
        <v>74</v>
      </c>
      <c r="S577" t="s">
        <v>74</v>
      </c>
      <c r="T577" t="s">
        <v>74</v>
      </c>
      <c r="U577" t="s">
        <v>74</v>
      </c>
      <c r="V577" s="3" t="s">
        <v>7472</v>
      </c>
      <c r="W577" t="s">
        <v>74</v>
      </c>
      <c r="X577" t="s">
        <v>74</v>
      </c>
      <c r="Y577" t="s">
        <v>74</v>
      </c>
      <c r="Z577" t="s">
        <v>74</v>
      </c>
      <c r="AA577" t="s">
        <v>7473</v>
      </c>
      <c r="AB577" t="s">
        <v>7474</v>
      </c>
      <c r="AC577" t="s">
        <v>74</v>
      </c>
      <c r="AD577" t="s">
        <v>74</v>
      </c>
      <c r="AE577" t="s">
        <v>74</v>
      </c>
      <c r="AF577" t="s">
        <v>74</v>
      </c>
      <c r="AG577" t="s">
        <v>74</v>
      </c>
      <c r="AH577" t="s">
        <v>74</v>
      </c>
      <c r="AI577" t="s">
        <v>74</v>
      </c>
      <c r="AJ577" t="s">
        <v>74</v>
      </c>
      <c r="AK577" t="s">
        <v>74</v>
      </c>
      <c r="AL577" t="s">
        <v>74</v>
      </c>
      <c r="AM577" t="s">
        <v>74</v>
      </c>
      <c r="AN577" t="s">
        <v>74</v>
      </c>
      <c r="AO577" t="s">
        <v>143</v>
      </c>
      <c r="AP577" t="s">
        <v>74</v>
      </c>
      <c r="AQ577" t="s">
        <v>74</v>
      </c>
      <c r="AR577" t="s">
        <v>74</v>
      </c>
      <c r="AS577" t="s">
        <v>74</v>
      </c>
      <c r="AT577" t="s">
        <v>204</v>
      </c>
      <c r="AU577">
        <v>1998</v>
      </c>
      <c r="AV577">
        <v>56</v>
      </c>
      <c r="AW577" t="s">
        <v>74</v>
      </c>
      <c r="AX577">
        <v>1</v>
      </c>
      <c r="AY577" t="s">
        <v>74</v>
      </c>
      <c r="AZ577" t="s">
        <v>74</v>
      </c>
      <c r="BA577" t="s">
        <v>74</v>
      </c>
      <c r="BB577">
        <v>181</v>
      </c>
      <c r="BC577">
        <v>190</v>
      </c>
      <c r="BD577" t="s">
        <v>74</v>
      </c>
      <c r="BE577" t="s">
        <v>7475</v>
      </c>
      <c r="BF577" t="str">
        <f>HYPERLINK("http://dx.doi.org/10.1006/anbe.1998.0760","http://dx.doi.org/10.1006/anbe.1998.0760")</f>
        <v>http://dx.doi.org/10.1006/anbe.1998.0760</v>
      </c>
      <c r="BG577" t="s">
        <v>74</v>
      </c>
      <c r="BH577" t="s">
        <v>74</v>
      </c>
      <c r="BI577" t="s">
        <v>74</v>
      </c>
      <c r="BJ577" t="s">
        <v>74</v>
      </c>
      <c r="BK577" t="s">
        <v>74</v>
      </c>
      <c r="BL577" t="s">
        <v>74</v>
      </c>
      <c r="BM577" t="s">
        <v>74</v>
      </c>
      <c r="BN577">
        <v>9710476</v>
      </c>
      <c r="BO577" t="s">
        <v>74</v>
      </c>
      <c r="BP577" t="s">
        <v>74</v>
      </c>
      <c r="BQ577" t="s">
        <v>74</v>
      </c>
      <c r="BR577" t="s">
        <v>74</v>
      </c>
      <c r="BS577" t="s">
        <v>7476</v>
      </c>
      <c r="BT577" t="str">
        <f>HYPERLINK("https%3A%2F%2Fwww.webofscience.com%2Fwos%2Fwoscc%2Ffull-record%2FWOS:000075228700021","View Full Record in Web of Science")</f>
        <v>View Full Record in Web of Science</v>
      </c>
    </row>
    <row r="578" spans="1:72" x14ac:dyDescent="0.4">
      <c r="A578" t="s">
        <v>72</v>
      </c>
      <c r="B578" t="s">
        <v>2733</v>
      </c>
      <c r="C578" t="s">
        <v>74</v>
      </c>
      <c r="D578" t="s">
        <v>74</v>
      </c>
      <c r="E578" t="s">
        <v>74</v>
      </c>
      <c r="F578" t="s">
        <v>2734</v>
      </c>
      <c r="G578" t="s">
        <v>74</v>
      </c>
      <c r="H578" t="s">
        <v>74</v>
      </c>
      <c r="I578" t="s">
        <v>2735</v>
      </c>
      <c r="J578" t="s">
        <v>218</v>
      </c>
      <c r="K578" t="s">
        <v>74</v>
      </c>
      <c r="L578" t="s">
        <v>74</v>
      </c>
      <c r="M578" t="s">
        <v>74</v>
      </c>
      <c r="N578" t="s">
        <v>74</v>
      </c>
      <c r="O578" t="s">
        <v>74</v>
      </c>
      <c r="P578" t="s">
        <v>74</v>
      </c>
      <c r="Q578" t="s">
        <v>74</v>
      </c>
      <c r="R578" t="s">
        <v>74</v>
      </c>
      <c r="S578" t="s">
        <v>74</v>
      </c>
      <c r="T578" t="s">
        <v>74</v>
      </c>
      <c r="U578" t="s">
        <v>74</v>
      </c>
      <c r="V578" s="3" t="s">
        <v>2736</v>
      </c>
      <c r="W578" t="s">
        <v>74</v>
      </c>
      <c r="X578" t="s">
        <v>74</v>
      </c>
      <c r="Y578" t="s">
        <v>74</v>
      </c>
      <c r="Z578" t="s">
        <v>74</v>
      </c>
      <c r="AA578" t="s">
        <v>74</v>
      </c>
      <c r="AB578" t="s">
        <v>2737</v>
      </c>
      <c r="AC578" t="s">
        <v>74</v>
      </c>
      <c r="AD578" t="s">
        <v>74</v>
      </c>
      <c r="AE578" t="s">
        <v>74</v>
      </c>
      <c r="AF578" t="s">
        <v>74</v>
      </c>
      <c r="AG578" t="s">
        <v>74</v>
      </c>
      <c r="AH578" t="s">
        <v>74</v>
      </c>
      <c r="AI578" t="s">
        <v>74</v>
      </c>
      <c r="AJ578" t="s">
        <v>74</v>
      </c>
      <c r="AK578" t="s">
        <v>74</v>
      </c>
      <c r="AL578" t="s">
        <v>74</v>
      </c>
      <c r="AM578" t="s">
        <v>74</v>
      </c>
      <c r="AN578" t="s">
        <v>74</v>
      </c>
      <c r="AO578" t="s">
        <v>221</v>
      </c>
      <c r="AP578" t="s">
        <v>222</v>
      </c>
      <c r="AQ578" t="s">
        <v>74</v>
      </c>
      <c r="AR578" t="s">
        <v>74</v>
      </c>
      <c r="AS578" t="s">
        <v>74</v>
      </c>
      <c r="AT578" t="s">
        <v>145</v>
      </c>
      <c r="AU578">
        <v>2013</v>
      </c>
      <c r="AV578">
        <v>26</v>
      </c>
      <c r="AW578">
        <v>8</v>
      </c>
      <c r="AX578" t="s">
        <v>74</v>
      </c>
      <c r="AY578" t="s">
        <v>74</v>
      </c>
      <c r="AZ578" t="s">
        <v>74</v>
      </c>
      <c r="BA578" t="s">
        <v>74</v>
      </c>
      <c r="BB578">
        <v>1611</v>
      </c>
      <c r="BC578">
        <v>1624</v>
      </c>
      <c r="BD578" t="s">
        <v>74</v>
      </c>
      <c r="BE578" t="s">
        <v>2738</v>
      </c>
      <c r="BF578" t="str">
        <f>HYPERLINK("http://dx.doi.org/10.1111/jeb.12173","http://dx.doi.org/10.1111/jeb.12173")</f>
        <v>http://dx.doi.org/10.1111/jeb.12173</v>
      </c>
      <c r="BG578" t="s">
        <v>74</v>
      </c>
      <c r="BH578" t="s">
        <v>74</v>
      </c>
      <c r="BI578" t="s">
        <v>74</v>
      </c>
      <c r="BJ578" t="s">
        <v>74</v>
      </c>
      <c r="BK578" t="s">
        <v>74</v>
      </c>
      <c r="BL578" t="s">
        <v>74</v>
      </c>
      <c r="BM578" t="s">
        <v>74</v>
      </c>
      <c r="BN578">
        <v>23859471</v>
      </c>
      <c r="BO578" t="s">
        <v>74</v>
      </c>
      <c r="BP578" t="s">
        <v>74</v>
      </c>
      <c r="BQ578" t="s">
        <v>74</v>
      </c>
      <c r="BR578" t="s">
        <v>74</v>
      </c>
      <c r="BS578" t="s">
        <v>2739</v>
      </c>
      <c r="BT578" t="str">
        <f>HYPERLINK("https%3A%2F%2Fwww.webofscience.com%2Fwos%2Fwoscc%2Ffull-record%2FWOS:000323101800001","View Full Record in Web of Science")</f>
        <v>View Full Record in Web of Science</v>
      </c>
    </row>
    <row r="579" spans="1:72" x14ac:dyDescent="0.4">
      <c r="A579" t="s">
        <v>72</v>
      </c>
      <c r="B579" t="s">
        <v>4701</v>
      </c>
      <c r="C579" t="s">
        <v>74</v>
      </c>
      <c r="D579" t="s">
        <v>74</v>
      </c>
      <c r="E579" t="s">
        <v>74</v>
      </c>
      <c r="F579" t="s">
        <v>4702</v>
      </c>
      <c r="G579" t="s">
        <v>74</v>
      </c>
      <c r="H579" t="s">
        <v>74</v>
      </c>
      <c r="I579" t="s">
        <v>4703</v>
      </c>
      <c r="J579" t="s">
        <v>1656</v>
      </c>
      <c r="K579" t="s">
        <v>74</v>
      </c>
      <c r="L579" t="s">
        <v>74</v>
      </c>
      <c r="M579" t="s">
        <v>74</v>
      </c>
      <c r="N579" t="s">
        <v>74</v>
      </c>
      <c r="O579" t="s">
        <v>74</v>
      </c>
      <c r="P579" t="s">
        <v>74</v>
      </c>
      <c r="Q579" t="s">
        <v>74</v>
      </c>
      <c r="R579" t="s">
        <v>74</v>
      </c>
      <c r="S579" t="s">
        <v>74</v>
      </c>
      <c r="T579" t="s">
        <v>74</v>
      </c>
      <c r="U579" t="s">
        <v>74</v>
      </c>
      <c r="V579" s="3" t="s">
        <v>4704</v>
      </c>
      <c r="W579" t="s">
        <v>74</v>
      </c>
      <c r="X579" t="s">
        <v>74</v>
      </c>
      <c r="Y579" t="s">
        <v>74</v>
      </c>
      <c r="Z579" t="s">
        <v>74</v>
      </c>
      <c r="AA579" t="s">
        <v>4705</v>
      </c>
      <c r="AB579" t="s">
        <v>4706</v>
      </c>
      <c r="AC579" t="s">
        <v>74</v>
      </c>
      <c r="AD579" t="s">
        <v>74</v>
      </c>
      <c r="AE579" t="s">
        <v>74</v>
      </c>
      <c r="AF579" t="s">
        <v>74</v>
      </c>
      <c r="AG579" t="s">
        <v>74</v>
      </c>
      <c r="AH579" t="s">
        <v>74</v>
      </c>
      <c r="AI579" t="s">
        <v>74</v>
      </c>
      <c r="AJ579" t="s">
        <v>74</v>
      </c>
      <c r="AK579" t="s">
        <v>74</v>
      </c>
      <c r="AL579" t="s">
        <v>74</v>
      </c>
      <c r="AM579" t="s">
        <v>74</v>
      </c>
      <c r="AN579" t="s">
        <v>74</v>
      </c>
      <c r="AO579" t="s">
        <v>1658</v>
      </c>
      <c r="AP579" t="s">
        <v>1659</v>
      </c>
      <c r="AQ579" t="s">
        <v>74</v>
      </c>
      <c r="AR579" t="s">
        <v>74</v>
      </c>
      <c r="AS579" t="s">
        <v>74</v>
      </c>
      <c r="AT579" t="s">
        <v>4707</v>
      </c>
      <c r="AU579">
        <v>2023</v>
      </c>
      <c r="AV579">
        <v>5230</v>
      </c>
      <c r="AW579">
        <v>1</v>
      </c>
      <c r="AX579" t="s">
        <v>74</v>
      </c>
      <c r="AY579" t="s">
        <v>74</v>
      </c>
      <c r="AZ579" t="s">
        <v>74</v>
      </c>
      <c r="BA579" t="s">
        <v>74</v>
      </c>
      <c r="BB579">
        <v>48</v>
      </c>
      <c r="BC579">
        <v>66</v>
      </c>
      <c r="BD579" t="s">
        <v>74</v>
      </c>
      <c r="BE579" t="s">
        <v>4708</v>
      </c>
      <c r="BF579" t="str">
        <f>HYPERLINK("http://dx.doi.org/10.11646/zootaxa.5230.1.3","http://dx.doi.org/10.11646/zootaxa.5230.1.3")</f>
        <v>http://dx.doi.org/10.11646/zootaxa.5230.1.3</v>
      </c>
      <c r="BG579" t="s">
        <v>74</v>
      </c>
      <c r="BH579" t="s">
        <v>74</v>
      </c>
      <c r="BI579" t="s">
        <v>74</v>
      </c>
      <c r="BJ579" t="s">
        <v>74</v>
      </c>
      <c r="BK579" t="s">
        <v>74</v>
      </c>
      <c r="BL579" t="s">
        <v>74</v>
      </c>
      <c r="BM579" t="s">
        <v>74</v>
      </c>
      <c r="BN579">
        <v>37044858</v>
      </c>
      <c r="BO579" t="s">
        <v>74</v>
      </c>
      <c r="BP579" t="s">
        <v>74</v>
      </c>
      <c r="BQ579" t="s">
        <v>74</v>
      </c>
      <c r="BR579" t="s">
        <v>74</v>
      </c>
      <c r="BS579" t="s">
        <v>4709</v>
      </c>
      <c r="BT579" t="str">
        <f>HYPERLINK("https%3A%2F%2Fwww.webofscience.com%2Fwos%2Fwoscc%2Ffull-record%2FWOS:000927998600003","View Full Record in Web of Science")</f>
        <v>View Full Record in Web of Science</v>
      </c>
    </row>
    <row r="580" spans="1:72" x14ac:dyDescent="0.4">
      <c r="A580" t="s">
        <v>72</v>
      </c>
      <c r="B580" t="s">
        <v>7047</v>
      </c>
      <c r="C580" t="s">
        <v>74</v>
      </c>
      <c r="D580" t="s">
        <v>74</v>
      </c>
      <c r="E580" t="s">
        <v>74</v>
      </c>
      <c r="F580" t="s">
        <v>7048</v>
      </c>
      <c r="G580" t="s">
        <v>74</v>
      </c>
      <c r="H580" t="s">
        <v>74</v>
      </c>
      <c r="I580" t="s">
        <v>7049</v>
      </c>
      <c r="J580" t="s">
        <v>2017</v>
      </c>
      <c r="K580" t="s">
        <v>74</v>
      </c>
      <c r="L580" t="s">
        <v>74</v>
      </c>
      <c r="M580" t="s">
        <v>74</v>
      </c>
      <c r="N580" t="s">
        <v>74</v>
      </c>
      <c r="O580" t="s">
        <v>74</v>
      </c>
      <c r="P580" t="s">
        <v>74</v>
      </c>
      <c r="Q580" t="s">
        <v>74</v>
      </c>
      <c r="R580" t="s">
        <v>74</v>
      </c>
      <c r="S580" t="s">
        <v>74</v>
      </c>
      <c r="T580" t="s">
        <v>74</v>
      </c>
      <c r="U580" t="s">
        <v>74</v>
      </c>
      <c r="V580" s="3" t="s">
        <v>7050</v>
      </c>
      <c r="W580" t="s">
        <v>74</v>
      </c>
      <c r="X580" t="s">
        <v>74</v>
      </c>
      <c r="Y580" t="s">
        <v>74</v>
      </c>
      <c r="Z580" t="s">
        <v>74</v>
      </c>
      <c r="AA580" t="s">
        <v>74</v>
      </c>
      <c r="AB580" t="s">
        <v>74</v>
      </c>
      <c r="AC580" t="s">
        <v>74</v>
      </c>
      <c r="AD580" t="s">
        <v>74</v>
      </c>
      <c r="AE580" t="s">
        <v>74</v>
      </c>
      <c r="AF580" t="s">
        <v>74</v>
      </c>
      <c r="AG580" t="s">
        <v>74</v>
      </c>
      <c r="AH580" t="s">
        <v>74</v>
      </c>
      <c r="AI580" t="s">
        <v>74</v>
      </c>
      <c r="AJ580" t="s">
        <v>74</v>
      </c>
      <c r="AK580" t="s">
        <v>74</v>
      </c>
      <c r="AL580" t="s">
        <v>74</v>
      </c>
      <c r="AM580" t="s">
        <v>74</v>
      </c>
      <c r="AN580" t="s">
        <v>74</v>
      </c>
      <c r="AO580" t="s">
        <v>2021</v>
      </c>
      <c r="AP580" t="s">
        <v>74</v>
      </c>
      <c r="AQ580" t="s">
        <v>74</v>
      </c>
      <c r="AR580" t="s">
        <v>74</v>
      </c>
      <c r="AS580" t="s">
        <v>74</v>
      </c>
      <c r="AT580" t="s">
        <v>7051</v>
      </c>
      <c r="AU580">
        <v>2021</v>
      </c>
      <c r="AV580">
        <v>9</v>
      </c>
      <c r="AW580" t="s">
        <v>74</v>
      </c>
      <c r="AX580" t="s">
        <v>74</v>
      </c>
      <c r="AY580" t="s">
        <v>74</v>
      </c>
      <c r="AZ580" t="s">
        <v>74</v>
      </c>
      <c r="BA580" t="s">
        <v>74</v>
      </c>
      <c r="BB580" t="s">
        <v>74</v>
      </c>
      <c r="BC580" t="s">
        <v>74</v>
      </c>
      <c r="BD580">
        <v>734126</v>
      </c>
      <c r="BE580" t="s">
        <v>7052</v>
      </c>
      <c r="BF580" t="str">
        <f>HYPERLINK("http://dx.doi.org/10.3389/fevo.2021.734126","http://dx.doi.org/10.3389/fevo.2021.734126")</f>
        <v>http://dx.doi.org/10.3389/fevo.2021.734126</v>
      </c>
      <c r="BG580" t="s">
        <v>74</v>
      </c>
      <c r="BH580" t="s">
        <v>74</v>
      </c>
      <c r="BI580" t="s">
        <v>74</v>
      </c>
      <c r="BJ580" t="s">
        <v>74</v>
      </c>
      <c r="BK580" t="s">
        <v>74</v>
      </c>
      <c r="BL580" t="s">
        <v>74</v>
      </c>
      <c r="BM580" t="s">
        <v>74</v>
      </c>
      <c r="BN580" t="s">
        <v>74</v>
      </c>
      <c r="BO580" t="s">
        <v>74</v>
      </c>
      <c r="BP580" t="s">
        <v>74</v>
      </c>
      <c r="BQ580" t="s">
        <v>74</v>
      </c>
      <c r="BR580" t="s">
        <v>74</v>
      </c>
      <c r="BS580" t="s">
        <v>7053</v>
      </c>
      <c r="BT580" t="str">
        <f>HYPERLINK("https%3A%2F%2Fwww.webofscience.com%2Fwos%2Fwoscc%2Ffull-record%2FWOS:000712776000001","View Full Record in Web of Science")</f>
        <v>View Full Record in Web of Science</v>
      </c>
    </row>
    <row r="581" spans="1:72" x14ac:dyDescent="0.4">
      <c r="A581" t="s">
        <v>72</v>
      </c>
      <c r="B581" t="s">
        <v>7047</v>
      </c>
      <c r="C581" t="s">
        <v>74</v>
      </c>
      <c r="D581" t="s">
        <v>74</v>
      </c>
      <c r="E581" t="s">
        <v>74</v>
      </c>
      <c r="F581" t="s">
        <v>7047</v>
      </c>
      <c r="G581" t="s">
        <v>74</v>
      </c>
      <c r="H581" t="s">
        <v>74</v>
      </c>
      <c r="I581" t="s">
        <v>7249</v>
      </c>
      <c r="J581" t="s">
        <v>171</v>
      </c>
      <c r="K581" t="s">
        <v>74</v>
      </c>
      <c r="L581" t="s">
        <v>74</v>
      </c>
      <c r="M581" t="s">
        <v>74</v>
      </c>
      <c r="N581" t="s">
        <v>74</v>
      </c>
      <c r="O581" t="s">
        <v>74</v>
      </c>
      <c r="P581" t="s">
        <v>74</v>
      </c>
      <c r="Q581" t="s">
        <v>74</v>
      </c>
      <c r="R581" t="s">
        <v>74</v>
      </c>
      <c r="S581" t="s">
        <v>74</v>
      </c>
      <c r="T581" t="s">
        <v>74</v>
      </c>
      <c r="U581" t="s">
        <v>74</v>
      </c>
      <c r="V581" s="3" t="s">
        <v>7250</v>
      </c>
      <c r="W581" t="s">
        <v>74</v>
      </c>
      <c r="X581" t="s">
        <v>74</v>
      </c>
      <c r="Y581" t="s">
        <v>74</v>
      </c>
      <c r="Z581" t="s">
        <v>74</v>
      </c>
      <c r="AA581" t="s">
        <v>74</v>
      </c>
      <c r="AB581" t="s">
        <v>74</v>
      </c>
      <c r="AC581" t="s">
        <v>74</v>
      </c>
      <c r="AD581" t="s">
        <v>74</v>
      </c>
      <c r="AE581" t="s">
        <v>74</v>
      </c>
      <c r="AF581" t="s">
        <v>74</v>
      </c>
      <c r="AG581" t="s">
        <v>74</v>
      </c>
      <c r="AH581" t="s">
        <v>74</v>
      </c>
      <c r="AI581" t="s">
        <v>74</v>
      </c>
      <c r="AJ581" t="s">
        <v>74</v>
      </c>
      <c r="AK581" t="s">
        <v>74</v>
      </c>
      <c r="AL581" t="s">
        <v>74</v>
      </c>
      <c r="AM581" t="s">
        <v>74</v>
      </c>
      <c r="AN581" t="s">
        <v>74</v>
      </c>
      <c r="AO581" t="s">
        <v>173</v>
      </c>
      <c r="AP581" t="s">
        <v>174</v>
      </c>
      <c r="AQ581" t="s">
        <v>74</v>
      </c>
      <c r="AR581" t="s">
        <v>74</v>
      </c>
      <c r="AS581" t="s">
        <v>74</v>
      </c>
      <c r="AT581" t="s">
        <v>255</v>
      </c>
      <c r="AU581">
        <v>2006</v>
      </c>
      <c r="AV581">
        <v>60</v>
      </c>
      <c r="AW581">
        <v>1</v>
      </c>
      <c r="AX581" t="s">
        <v>74</v>
      </c>
      <c r="AY581" t="s">
        <v>74</v>
      </c>
      <c r="AZ581" t="s">
        <v>74</v>
      </c>
      <c r="BA581" t="s">
        <v>74</v>
      </c>
      <c r="BB581">
        <v>157</v>
      </c>
      <c r="BC581">
        <v>168</v>
      </c>
      <c r="BD581" t="s">
        <v>74</v>
      </c>
      <c r="BE581" t="s">
        <v>74</v>
      </c>
      <c r="BF581" t="s">
        <v>74</v>
      </c>
      <c r="BG581" t="s">
        <v>74</v>
      </c>
      <c r="BH581" t="s">
        <v>74</v>
      </c>
      <c r="BI581" t="s">
        <v>74</v>
      </c>
      <c r="BJ581" t="s">
        <v>74</v>
      </c>
      <c r="BK581" t="s">
        <v>74</v>
      </c>
      <c r="BL581" t="s">
        <v>74</v>
      </c>
      <c r="BM581" t="s">
        <v>74</v>
      </c>
      <c r="BN581">
        <v>16568640</v>
      </c>
      <c r="BO581" t="s">
        <v>74</v>
      </c>
      <c r="BP581" t="s">
        <v>74</v>
      </c>
      <c r="BQ581" t="s">
        <v>74</v>
      </c>
      <c r="BR581" t="s">
        <v>74</v>
      </c>
      <c r="BS581" t="s">
        <v>7251</v>
      </c>
      <c r="BT581" t="str">
        <f>HYPERLINK("https%3A%2F%2Fwww.webofscience.com%2Fwos%2Fwoscc%2Ffull-record%2FWOS:000235477400015","View Full Record in Web of Science")</f>
        <v>View Full Record in Web of Science</v>
      </c>
    </row>
    <row r="582" spans="1:72" x14ac:dyDescent="0.4">
      <c r="A582" t="s">
        <v>72</v>
      </c>
      <c r="B582" t="s">
        <v>8434</v>
      </c>
      <c r="C582" t="s">
        <v>74</v>
      </c>
      <c r="D582" t="s">
        <v>74</v>
      </c>
      <c r="E582" t="s">
        <v>74</v>
      </c>
      <c r="F582" t="s">
        <v>8434</v>
      </c>
      <c r="G582" t="s">
        <v>74</v>
      </c>
      <c r="H582" t="s">
        <v>74</v>
      </c>
      <c r="I582" t="s">
        <v>8435</v>
      </c>
      <c r="J582" t="s">
        <v>140</v>
      </c>
      <c r="K582" t="s">
        <v>74</v>
      </c>
      <c r="L582" t="s">
        <v>74</v>
      </c>
      <c r="M582" t="s">
        <v>74</v>
      </c>
      <c r="N582" t="s">
        <v>74</v>
      </c>
      <c r="O582" t="s">
        <v>74</v>
      </c>
      <c r="P582" t="s">
        <v>74</v>
      </c>
      <c r="Q582" t="s">
        <v>74</v>
      </c>
      <c r="R582" t="s">
        <v>74</v>
      </c>
      <c r="S582" t="s">
        <v>74</v>
      </c>
      <c r="T582" t="s">
        <v>74</v>
      </c>
      <c r="U582" t="s">
        <v>74</v>
      </c>
      <c r="V582" s="3" t="s">
        <v>8436</v>
      </c>
      <c r="W582" t="s">
        <v>74</v>
      </c>
      <c r="X582" t="s">
        <v>74</v>
      </c>
      <c r="Y582" t="s">
        <v>74</v>
      </c>
      <c r="Z582" t="s">
        <v>74</v>
      </c>
      <c r="AA582" t="s">
        <v>74</v>
      </c>
      <c r="AB582" t="s">
        <v>74</v>
      </c>
      <c r="AC582" t="s">
        <v>74</v>
      </c>
      <c r="AD582" t="s">
        <v>74</v>
      </c>
      <c r="AE582" t="s">
        <v>74</v>
      </c>
      <c r="AF582" t="s">
        <v>74</v>
      </c>
      <c r="AG582" t="s">
        <v>74</v>
      </c>
      <c r="AH582" t="s">
        <v>74</v>
      </c>
      <c r="AI582" t="s">
        <v>74</v>
      </c>
      <c r="AJ582" t="s">
        <v>74</v>
      </c>
      <c r="AK582" t="s">
        <v>74</v>
      </c>
      <c r="AL582" t="s">
        <v>74</v>
      </c>
      <c r="AM582" t="s">
        <v>74</v>
      </c>
      <c r="AN582" t="s">
        <v>74</v>
      </c>
      <c r="AO582" t="s">
        <v>143</v>
      </c>
      <c r="AP582" t="s">
        <v>144</v>
      </c>
      <c r="AQ582" t="s">
        <v>74</v>
      </c>
      <c r="AR582" t="s">
        <v>74</v>
      </c>
      <c r="AS582" t="s">
        <v>74</v>
      </c>
      <c r="AT582" t="s">
        <v>102</v>
      </c>
      <c r="AU582">
        <v>2002</v>
      </c>
      <c r="AV582">
        <v>63</v>
      </c>
      <c r="AW582" t="s">
        <v>74</v>
      </c>
      <c r="AX582">
        <v>6</v>
      </c>
      <c r="AY582" t="s">
        <v>74</v>
      </c>
      <c r="AZ582" t="s">
        <v>74</v>
      </c>
      <c r="BA582" t="s">
        <v>74</v>
      </c>
      <c r="BB582">
        <v>1135</v>
      </c>
      <c r="BC582">
        <v>1142</v>
      </c>
      <c r="BD582" t="s">
        <v>74</v>
      </c>
      <c r="BE582" t="s">
        <v>8437</v>
      </c>
      <c r="BF582" t="str">
        <f>HYPERLINK("http://dx.doi.org/10.1006/anbe.2002.3009","http://dx.doi.org/10.1006/anbe.2002.3009")</f>
        <v>http://dx.doi.org/10.1006/anbe.2002.3009</v>
      </c>
      <c r="BG582" t="s">
        <v>74</v>
      </c>
      <c r="BH582" t="s">
        <v>74</v>
      </c>
      <c r="BI582" t="s">
        <v>74</v>
      </c>
      <c r="BJ582" t="s">
        <v>74</v>
      </c>
      <c r="BK582" t="s">
        <v>74</v>
      </c>
      <c r="BL582" t="s">
        <v>74</v>
      </c>
      <c r="BM582" t="s">
        <v>74</v>
      </c>
      <c r="BN582" t="s">
        <v>74</v>
      </c>
      <c r="BO582" t="s">
        <v>74</v>
      </c>
      <c r="BP582" t="s">
        <v>74</v>
      </c>
      <c r="BQ582" t="s">
        <v>74</v>
      </c>
      <c r="BR582" t="s">
        <v>74</v>
      </c>
      <c r="BS582" t="s">
        <v>8438</v>
      </c>
      <c r="BT582" t="str">
        <f>HYPERLINK("https%3A%2F%2Fwww.webofscience.com%2Fwos%2Fwoscc%2Ffull-record%2FWOS:000177715700012","View Full Record in Web of Science")</f>
        <v>View Full Record in Web of Science</v>
      </c>
    </row>
    <row r="583" spans="1:72" x14ac:dyDescent="0.4">
      <c r="A583" t="s">
        <v>72</v>
      </c>
      <c r="B583" t="s">
        <v>453</v>
      </c>
      <c r="C583" t="s">
        <v>74</v>
      </c>
      <c r="D583" t="s">
        <v>74</v>
      </c>
      <c r="E583" t="s">
        <v>74</v>
      </c>
      <c r="F583" t="s">
        <v>454</v>
      </c>
      <c r="G583" t="s">
        <v>74</v>
      </c>
      <c r="H583" t="s">
        <v>74</v>
      </c>
      <c r="I583" t="s">
        <v>455</v>
      </c>
      <c r="J583" t="s">
        <v>456</v>
      </c>
      <c r="K583" t="s">
        <v>74</v>
      </c>
      <c r="L583" t="s">
        <v>74</v>
      </c>
      <c r="M583" t="s">
        <v>74</v>
      </c>
      <c r="N583" t="s">
        <v>74</v>
      </c>
      <c r="O583" t="s">
        <v>74</v>
      </c>
      <c r="P583" t="s">
        <v>74</v>
      </c>
      <c r="Q583" t="s">
        <v>74</v>
      </c>
      <c r="R583" t="s">
        <v>74</v>
      </c>
      <c r="S583" t="s">
        <v>74</v>
      </c>
      <c r="T583" t="s">
        <v>74</v>
      </c>
      <c r="U583" t="s">
        <v>74</v>
      </c>
      <c r="V583" s="3" t="s">
        <v>457</v>
      </c>
      <c r="W583" t="s">
        <v>74</v>
      </c>
      <c r="X583" t="s">
        <v>74</v>
      </c>
      <c r="Y583" t="s">
        <v>74</v>
      </c>
      <c r="Z583" t="s">
        <v>74</v>
      </c>
      <c r="AA583" t="s">
        <v>458</v>
      </c>
      <c r="AB583" t="s">
        <v>459</v>
      </c>
      <c r="AC583" t="s">
        <v>74</v>
      </c>
      <c r="AD583" t="s">
        <v>74</v>
      </c>
      <c r="AE583" t="s">
        <v>74</v>
      </c>
      <c r="AF583" t="s">
        <v>74</v>
      </c>
      <c r="AG583" t="s">
        <v>74</v>
      </c>
      <c r="AH583" t="s">
        <v>74</v>
      </c>
      <c r="AI583" t="s">
        <v>74</v>
      </c>
      <c r="AJ583" t="s">
        <v>74</v>
      </c>
      <c r="AK583" t="s">
        <v>74</v>
      </c>
      <c r="AL583" t="s">
        <v>74</v>
      </c>
      <c r="AM583" t="s">
        <v>74</v>
      </c>
      <c r="AN583" t="s">
        <v>74</v>
      </c>
      <c r="AO583" t="s">
        <v>460</v>
      </c>
      <c r="AP583" t="s">
        <v>461</v>
      </c>
      <c r="AQ583" t="s">
        <v>74</v>
      </c>
      <c r="AR583" t="s">
        <v>74</v>
      </c>
      <c r="AS583" t="s">
        <v>74</v>
      </c>
      <c r="AT583" t="s">
        <v>213</v>
      </c>
      <c r="AU583">
        <v>2012</v>
      </c>
      <c r="AV583">
        <v>288</v>
      </c>
      <c r="AW583">
        <v>3</v>
      </c>
      <c r="AX583" t="s">
        <v>74</v>
      </c>
      <c r="AY583" t="s">
        <v>74</v>
      </c>
      <c r="AZ583" t="s">
        <v>74</v>
      </c>
      <c r="BA583" t="s">
        <v>74</v>
      </c>
      <c r="BB583">
        <v>207</v>
      </c>
      <c r="BC583">
        <v>213</v>
      </c>
      <c r="BD583" t="s">
        <v>74</v>
      </c>
      <c r="BE583" t="s">
        <v>462</v>
      </c>
      <c r="BF583" t="str">
        <f>HYPERLINK("http://dx.doi.org/10.1111/j.1469-7998.2012.00943.x","http://dx.doi.org/10.1111/j.1469-7998.2012.00943.x")</f>
        <v>http://dx.doi.org/10.1111/j.1469-7998.2012.00943.x</v>
      </c>
      <c r="BG583" t="s">
        <v>74</v>
      </c>
      <c r="BH583" t="s">
        <v>74</v>
      </c>
      <c r="BI583" t="s">
        <v>74</v>
      </c>
      <c r="BJ583" t="s">
        <v>74</v>
      </c>
      <c r="BK583" t="s">
        <v>74</v>
      </c>
      <c r="BL583" t="s">
        <v>74</v>
      </c>
      <c r="BM583" t="s">
        <v>74</v>
      </c>
      <c r="BN583" t="s">
        <v>74</v>
      </c>
      <c r="BO583" t="s">
        <v>74</v>
      </c>
      <c r="BP583" t="s">
        <v>74</v>
      </c>
      <c r="BQ583" t="s">
        <v>74</v>
      </c>
      <c r="BR583" t="s">
        <v>74</v>
      </c>
      <c r="BS583" t="s">
        <v>463</v>
      </c>
      <c r="BT583" t="str">
        <f>HYPERLINK("https%3A%2F%2Fwww.webofscience.com%2Fwos%2Fwoscc%2Ffull-record%2FWOS:000310330900007","View Full Record in Web of Science")</f>
        <v>View Full Record in Web of Science</v>
      </c>
    </row>
    <row r="584" spans="1:72" x14ac:dyDescent="0.4">
      <c r="A584" t="s">
        <v>72</v>
      </c>
      <c r="B584" t="s">
        <v>5987</v>
      </c>
      <c r="C584" t="s">
        <v>74</v>
      </c>
      <c r="D584" t="s">
        <v>74</v>
      </c>
      <c r="E584" t="s">
        <v>74</v>
      </c>
      <c r="F584" t="s">
        <v>5987</v>
      </c>
      <c r="G584" t="s">
        <v>74</v>
      </c>
      <c r="H584" t="s">
        <v>74</v>
      </c>
      <c r="I584" t="s">
        <v>5988</v>
      </c>
      <c r="J584" t="s">
        <v>610</v>
      </c>
      <c r="K584" t="s">
        <v>74</v>
      </c>
      <c r="L584" t="s">
        <v>74</v>
      </c>
      <c r="M584" t="s">
        <v>74</v>
      </c>
      <c r="N584" t="s">
        <v>74</v>
      </c>
      <c r="O584" t="s">
        <v>74</v>
      </c>
      <c r="P584" t="s">
        <v>74</v>
      </c>
      <c r="Q584" t="s">
        <v>74</v>
      </c>
      <c r="R584" t="s">
        <v>74</v>
      </c>
      <c r="S584" t="s">
        <v>74</v>
      </c>
      <c r="T584" t="s">
        <v>74</v>
      </c>
      <c r="U584" t="s">
        <v>74</v>
      </c>
      <c r="V584" s="3" t="s">
        <v>5989</v>
      </c>
      <c r="W584" t="s">
        <v>74</v>
      </c>
      <c r="X584" t="s">
        <v>74</v>
      </c>
      <c r="Y584" t="s">
        <v>74</v>
      </c>
      <c r="Z584" t="s">
        <v>74</v>
      </c>
      <c r="AA584" t="s">
        <v>74</v>
      </c>
      <c r="AB584" t="s">
        <v>74</v>
      </c>
      <c r="AC584" t="s">
        <v>74</v>
      </c>
      <c r="AD584" t="s">
        <v>74</v>
      </c>
      <c r="AE584" t="s">
        <v>74</v>
      </c>
      <c r="AF584" t="s">
        <v>74</v>
      </c>
      <c r="AG584" t="s">
        <v>74</v>
      </c>
      <c r="AH584" t="s">
        <v>74</v>
      </c>
      <c r="AI584" t="s">
        <v>74</v>
      </c>
      <c r="AJ584" t="s">
        <v>74</v>
      </c>
      <c r="AK584" t="s">
        <v>74</v>
      </c>
      <c r="AL584" t="s">
        <v>74</v>
      </c>
      <c r="AM584" t="s">
        <v>74</v>
      </c>
      <c r="AN584" t="s">
        <v>74</v>
      </c>
      <c r="AO584" t="s">
        <v>614</v>
      </c>
      <c r="AP584" t="s">
        <v>74</v>
      </c>
      <c r="AQ584" t="s">
        <v>74</v>
      </c>
      <c r="AR584" t="s">
        <v>74</v>
      </c>
      <c r="AS584" t="s">
        <v>74</v>
      </c>
      <c r="AT584" t="s">
        <v>175</v>
      </c>
      <c r="AU584">
        <v>1995</v>
      </c>
      <c r="AV584">
        <v>101</v>
      </c>
      <c r="AW584">
        <v>2</v>
      </c>
      <c r="AX584" t="s">
        <v>74</v>
      </c>
      <c r="AY584" t="s">
        <v>74</v>
      </c>
      <c r="AZ584" t="s">
        <v>74</v>
      </c>
      <c r="BA584" t="s">
        <v>74</v>
      </c>
      <c r="BB584">
        <v>121</v>
      </c>
      <c r="BC584">
        <v>129</v>
      </c>
      <c r="BD584" t="s">
        <v>74</v>
      </c>
      <c r="BE584" t="s">
        <v>74</v>
      </c>
      <c r="BF584" t="s">
        <v>74</v>
      </c>
      <c r="BG584" t="s">
        <v>74</v>
      </c>
      <c r="BH584" t="s">
        <v>74</v>
      </c>
      <c r="BI584" t="s">
        <v>74</v>
      </c>
      <c r="BJ584" t="s">
        <v>74</v>
      </c>
      <c r="BK584" t="s">
        <v>74</v>
      </c>
      <c r="BL584" t="s">
        <v>74</v>
      </c>
      <c r="BM584" t="s">
        <v>74</v>
      </c>
      <c r="BN584" t="s">
        <v>74</v>
      </c>
      <c r="BO584" t="s">
        <v>74</v>
      </c>
      <c r="BP584" t="s">
        <v>74</v>
      </c>
      <c r="BQ584" t="s">
        <v>74</v>
      </c>
      <c r="BR584" t="s">
        <v>74</v>
      </c>
      <c r="BS584" t="s">
        <v>5990</v>
      </c>
      <c r="BT584" t="str">
        <f>HYPERLINK("https%3A%2F%2Fwww.webofscience.com%2Fwos%2Fwoscc%2Ffull-record%2FWOS:A1995RW16700004","View Full Record in Web of Science")</f>
        <v>View Full Record in Web of Science</v>
      </c>
    </row>
    <row r="585" spans="1:72" x14ac:dyDescent="0.4">
      <c r="A585" t="s">
        <v>72</v>
      </c>
      <c r="B585" t="s">
        <v>6723</v>
      </c>
      <c r="C585" t="s">
        <v>74</v>
      </c>
      <c r="D585" t="s">
        <v>74</v>
      </c>
      <c r="E585" t="s">
        <v>74</v>
      </c>
      <c r="F585" t="s">
        <v>6724</v>
      </c>
      <c r="G585" t="s">
        <v>74</v>
      </c>
      <c r="H585" t="s">
        <v>74</v>
      </c>
      <c r="I585" t="s">
        <v>6725</v>
      </c>
      <c r="J585" t="s">
        <v>77</v>
      </c>
      <c r="K585" t="s">
        <v>74</v>
      </c>
      <c r="L585" t="s">
        <v>74</v>
      </c>
      <c r="M585" t="s">
        <v>74</v>
      </c>
      <c r="N585" t="s">
        <v>74</v>
      </c>
      <c r="O585" t="s">
        <v>74</v>
      </c>
      <c r="P585" t="s">
        <v>74</v>
      </c>
      <c r="Q585" t="s">
        <v>74</v>
      </c>
      <c r="R585" t="s">
        <v>74</v>
      </c>
      <c r="S585" t="s">
        <v>74</v>
      </c>
      <c r="T585" t="s">
        <v>74</v>
      </c>
      <c r="U585" t="s">
        <v>74</v>
      </c>
      <c r="V585" s="3" t="s">
        <v>6726</v>
      </c>
      <c r="W585" t="s">
        <v>74</v>
      </c>
      <c r="X585" t="s">
        <v>74</v>
      </c>
      <c r="Y585" t="s">
        <v>74</v>
      </c>
      <c r="Z585" t="s">
        <v>74</v>
      </c>
      <c r="AA585" t="s">
        <v>6727</v>
      </c>
      <c r="AB585" t="s">
        <v>6728</v>
      </c>
      <c r="AC585" t="s">
        <v>74</v>
      </c>
      <c r="AD585" t="s">
        <v>74</v>
      </c>
      <c r="AE585" t="s">
        <v>74</v>
      </c>
      <c r="AF585" t="s">
        <v>74</v>
      </c>
      <c r="AG585" t="s">
        <v>74</v>
      </c>
      <c r="AH585" t="s">
        <v>74</v>
      </c>
      <c r="AI585" t="s">
        <v>74</v>
      </c>
      <c r="AJ585" t="s">
        <v>74</v>
      </c>
      <c r="AK585" t="s">
        <v>74</v>
      </c>
      <c r="AL585" t="s">
        <v>74</v>
      </c>
      <c r="AM585" t="s">
        <v>74</v>
      </c>
      <c r="AN585" t="s">
        <v>74</v>
      </c>
      <c r="AO585" t="s">
        <v>81</v>
      </c>
      <c r="AP585" t="s">
        <v>82</v>
      </c>
      <c r="AQ585" t="s">
        <v>74</v>
      </c>
      <c r="AR585" t="s">
        <v>74</v>
      </c>
      <c r="AS585" t="s">
        <v>74</v>
      </c>
      <c r="AT585" t="s">
        <v>74</v>
      </c>
      <c r="AU585">
        <v>2010</v>
      </c>
      <c r="AV585">
        <v>147</v>
      </c>
      <c r="AW585">
        <v>1</v>
      </c>
      <c r="AX585" t="s">
        <v>74</v>
      </c>
      <c r="AY585" t="s">
        <v>74</v>
      </c>
      <c r="AZ585" t="s">
        <v>74</v>
      </c>
      <c r="BA585" t="s">
        <v>74</v>
      </c>
      <c r="BB585">
        <v>19</v>
      </c>
      <c r="BC585">
        <v>36</v>
      </c>
      <c r="BD585" t="s">
        <v>74</v>
      </c>
      <c r="BE585" t="s">
        <v>6729</v>
      </c>
      <c r="BF585" t="str">
        <f>HYPERLINK("http://dx.doi.org/10.1163/000579509X12483520922043","http://dx.doi.org/10.1163/000579509X12483520922043")</f>
        <v>http://dx.doi.org/10.1163/000579509X12483520922043</v>
      </c>
      <c r="BG585" t="s">
        <v>74</v>
      </c>
      <c r="BH585" t="s">
        <v>74</v>
      </c>
      <c r="BI585" t="s">
        <v>74</v>
      </c>
      <c r="BJ585" t="s">
        <v>74</v>
      </c>
      <c r="BK585" t="s">
        <v>74</v>
      </c>
      <c r="BL585" t="s">
        <v>74</v>
      </c>
      <c r="BM585" t="s">
        <v>74</v>
      </c>
      <c r="BN585" t="s">
        <v>74</v>
      </c>
      <c r="BO585" t="s">
        <v>74</v>
      </c>
      <c r="BP585" t="s">
        <v>74</v>
      </c>
      <c r="BQ585" t="s">
        <v>74</v>
      </c>
      <c r="BR585" t="s">
        <v>74</v>
      </c>
      <c r="BS585" t="s">
        <v>6730</v>
      </c>
      <c r="BT585" t="str">
        <f>HYPERLINK("https%3A%2F%2Fwww.webofscience.com%2Fwos%2Fwoscc%2Ffull-record%2FWOS:000275078900002","View Full Record in Web of Science")</f>
        <v>View Full Record in Web of Science</v>
      </c>
    </row>
    <row r="586" spans="1:72" x14ac:dyDescent="0.4">
      <c r="A586" t="s">
        <v>72</v>
      </c>
      <c r="B586" t="s">
        <v>4493</v>
      </c>
      <c r="C586" t="s">
        <v>74</v>
      </c>
      <c r="D586" t="s">
        <v>74</v>
      </c>
      <c r="E586" t="s">
        <v>74</v>
      </c>
      <c r="F586" t="s">
        <v>4493</v>
      </c>
      <c r="G586" t="s">
        <v>74</v>
      </c>
      <c r="H586" t="s">
        <v>74</v>
      </c>
      <c r="I586" t="s">
        <v>4494</v>
      </c>
      <c r="J586" t="s">
        <v>2847</v>
      </c>
      <c r="K586" t="s">
        <v>74</v>
      </c>
      <c r="L586" t="s">
        <v>74</v>
      </c>
      <c r="M586" t="s">
        <v>74</v>
      </c>
      <c r="N586" t="s">
        <v>74</v>
      </c>
      <c r="O586" t="s">
        <v>74</v>
      </c>
      <c r="P586" t="s">
        <v>74</v>
      </c>
      <c r="Q586" t="s">
        <v>74</v>
      </c>
      <c r="R586" t="s">
        <v>74</v>
      </c>
      <c r="S586" t="s">
        <v>74</v>
      </c>
      <c r="T586" t="s">
        <v>74</v>
      </c>
      <c r="U586" t="s">
        <v>74</v>
      </c>
      <c r="V586" s="3" t="s">
        <v>4495</v>
      </c>
      <c r="W586" t="s">
        <v>74</v>
      </c>
      <c r="X586" t="s">
        <v>74</v>
      </c>
      <c r="Y586" t="s">
        <v>74</v>
      </c>
      <c r="Z586" t="s">
        <v>74</v>
      </c>
      <c r="AA586" t="s">
        <v>74</v>
      </c>
      <c r="AB586" t="s">
        <v>74</v>
      </c>
      <c r="AC586" t="s">
        <v>74</v>
      </c>
      <c r="AD586" t="s">
        <v>74</v>
      </c>
      <c r="AE586" t="s">
        <v>74</v>
      </c>
      <c r="AF586" t="s">
        <v>74</v>
      </c>
      <c r="AG586" t="s">
        <v>74</v>
      </c>
      <c r="AH586" t="s">
        <v>74</v>
      </c>
      <c r="AI586" t="s">
        <v>74</v>
      </c>
      <c r="AJ586" t="s">
        <v>74</v>
      </c>
      <c r="AK586" t="s">
        <v>74</v>
      </c>
      <c r="AL586" t="s">
        <v>74</v>
      </c>
      <c r="AM586" t="s">
        <v>74</v>
      </c>
      <c r="AN586" t="s">
        <v>74</v>
      </c>
      <c r="AO586" t="s">
        <v>2849</v>
      </c>
      <c r="AP586" t="s">
        <v>74</v>
      </c>
      <c r="AQ586" t="s">
        <v>74</v>
      </c>
      <c r="AR586" t="s">
        <v>74</v>
      </c>
      <c r="AS586" t="s">
        <v>74</v>
      </c>
      <c r="AT586" t="s">
        <v>4496</v>
      </c>
      <c r="AU586">
        <v>1995</v>
      </c>
      <c r="AV586">
        <v>186</v>
      </c>
      <c r="AW586">
        <v>1</v>
      </c>
      <c r="AX586" t="s">
        <v>74</v>
      </c>
      <c r="AY586" t="s">
        <v>74</v>
      </c>
      <c r="AZ586" t="s">
        <v>74</v>
      </c>
      <c r="BA586" t="s">
        <v>74</v>
      </c>
      <c r="BB586">
        <v>17</v>
      </c>
      <c r="BC586">
        <v>31</v>
      </c>
      <c r="BD586" t="s">
        <v>74</v>
      </c>
      <c r="BE586" t="s">
        <v>4497</v>
      </c>
      <c r="BF586" t="str">
        <f>HYPERLINK("http://dx.doi.org/10.1016/0022-0981(94)00147-6","http://dx.doi.org/10.1016/0022-0981(94)00147-6")</f>
        <v>http://dx.doi.org/10.1016/0022-0981(94)00147-6</v>
      </c>
      <c r="BG586" t="s">
        <v>74</v>
      </c>
      <c r="BH586" t="s">
        <v>74</v>
      </c>
      <c r="BI586" t="s">
        <v>74</v>
      </c>
      <c r="BJ586" t="s">
        <v>74</v>
      </c>
      <c r="BK586" t="s">
        <v>74</v>
      </c>
      <c r="BL586" t="s">
        <v>74</v>
      </c>
      <c r="BM586" t="s">
        <v>74</v>
      </c>
      <c r="BN586" t="s">
        <v>74</v>
      </c>
      <c r="BO586" t="s">
        <v>74</v>
      </c>
      <c r="BP586" t="s">
        <v>74</v>
      </c>
      <c r="BQ586" t="s">
        <v>74</v>
      </c>
      <c r="BR586" t="s">
        <v>74</v>
      </c>
      <c r="BS586" t="s">
        <v>4498</v>
      </c>
      <c r="BT586" t="str">
        <f>HYPERLINK("https%3A%2F%2Fwww.webofscience.com%2Fwos%2Fwoscc%2Ffull-record%2FWOS:A1995QN80300003","View Full Record in Web of Science")</f>
        <v>View Full Record in Web of Science</v>
      </c>
    </row>
    <row r="587" spans="1:72" x14ac:dyDescent="0.4">
      <c r="A587" t="s">
        <v>72</v>
      </c>
      <c r="B587" t="s">
        <v>3674</v>
      </c>
      <c r="C587" t="s">
        <v>74</v>
      </c>
      <c r="D587" t="s">
        <v>74</v>
      </c>
      <c r="E587" t="s">
        <v>74</v>
      </c>
      <c r="F587" t="s">
        <v>3675</v>
      </c>
      <c r="G587" t="s">
        <v>74</v>
      </c>
      <c r="H587" t="s">
        <v>74</v>
      </c>
      <c r="I587" t="s">
        <v>3676</v>
      </c>
      <c r="J587" t="s">
        <v>1812</v>
      </c>
      <c r="K587" t="s">
        <v>74</v>
      </c>
      <c r="L587" t="s">
        <v>74</v>
      </c>
      <c r="M587" t="s">
        <v>74</v>
      </c>
      <c r="N587" t="s">
        <v>74</v>
      </c>
      <c r="O587" t="s">
        <v>74</v>
      </c>
      <c r="P587" t="s">
        <v>74</v>
      </c>
      <c r="Q587" t="s">
        <v>74</v>
      </c>
      <c r="R587" t="s">
        <v>74</v>
      </c>
      <c r="S587" t="s">
        <v>74</v>
      </c>
      <c r="T587" t="s">
        <v>74</v>
      </c>
      <c r="U587" t="s">
        <v>74</v>
      </c>
      <c r="V587" s="3" t="s">
        <v>3677</v>
      </c>
      <c r="W587" t="s">
        <v>74</v>
      </c>
      <c r="X587" t="s">
        <v>74</v>
      </c>
      <c r="Y587" t="s">
        <v>74</v>
      </c>
      <c r="Z587" t="s">
        <v>74</v>
      </c>
      <c r="AA587" t="s">
        <v>3678</v>
      </c>
      <c r="AB587" t="s">
        <v>3679</v>
      </c>
      <c r="AC587" t="s">
        <v>74</v>
      </c>
      <c r="AD587" t="s">
        <v>74</v>
      </c>
      <c r="AE587" t="s">
        <v>74</v>
      </c>
      <c r="AF587" t="s">
        <v>74</v>
      </c>
      <c r="AG587" t="s">
        <v>74</v>
      </c>
      <c r="AH587" t="s">
        <v>74</v>
      </c>
      <c r="AI587" t="s">
        <v>74</v>
      </c>
      <c r="AJ587" t="s">
        <v>74</v>
      </c>
      <c r="AK587" t="s">
        <v>74</v>
      </c>
      <c r="AL587" t="s">
        <v>74</v>
      </c>
      <c r="AM587" t="s">
        <v>74</v>
      </c>
      <c r="AN587" t="s">
        <v>74</v>
      </c>
      <c r="AO587" t="s">
        <v>1814</v>
      </c>
      <c r="AP587" t="s">
        <v>1815</v>
      </c>
      <c r="AQ587" t="s">
        <v>74</v>
      </c>
      <c r="AR587" t="s">
        <v>74</v>
      </c>
      <c r="AS587" t="s">
        <v>74</v>
      </c>
      <c r="AT587" t="s">
        <v>102</v>
      </c>
      <c r="AU587">
        <v>2010</v>
      </c>
      <c r="AV587">
        <v>44</v>
      </c>
      <c r="AW587">
        <v>2</v>
      </c>
      <c r="AX587" t="s">
        <v>74</v>
      </c>
      <c r="AY587" t="s">
        <v>74</v>
      </c>
      <c r="AZ587" t="s">
        <v>74</v>
      </c>
      <c r="BA587" t="s">
        <v>74</v>
      </c>
      <c r="BB587">
        <v>261</v>
      </c>
      <c r="BC587">
        <v>271</v>
      </c>
      <c r="BD587" t="s">
        <v>74</v>
      </c>
      <c r="BE587" t="s">
        <v>3680</v>
      </c>
      <c r="BF587" t="str">
        <f>HYPERLINK("http://dx.doi.org/10.1670/08-275.1","http://dx.doi.org/10.1670/08-275.1")</f>
        <v>http://dx.doi.org/10.1670/08-275.1</v>
      </c>
      <c r="BG587" t="s">
        <v>74</v>
      </c>
      <c r="BH587" t="s">
        <v>74</v>
      </c>
      <c r="BI587" t="s">
        <v>74</v>
      </c>
      <c r="BJ587" t="s">
        <v>74</v>
      </c>
      <c r="BK587" t="s">
        <v>74</v>
      </c>
      <c r="BL587" t="s">
        <v>74</v>
      </c>
      <c r="BM587" t="s">
        <v>74</v>
      </c>
      <c r="BN587" t="s">
        <v>74</v>
      </c>
      <c r="BO587" t="s">
        <v>74</v>
      </c>
      <c r="BP587" t="s">
        <v>74</v>
      </c>
      <c r="BQ587" t="s">
        <v>74</v>
      </c>
      <c r="BR587" t="s">
        <v>74</v>
      </c>
      <c r="BS587" t="s">
        <v>3681</v>
      </c>
      <c r="BT587" t="str">
        <f>HYPERLINK("https%3A%2F%2Fwww.webofscience.com%2Fwos%2Fwoscc%2Ffull-record%2FWOS:000278297700010","View Full Record in Web of Science")</f>
        <v>View Full Record in Web of Science</v>
      </c>
    </row>
    <row r="588" spans="1:72" x14ac:dyDescent="0.4">
      <c r="A588" t="s">
        <v>72</v>
      </c>
      <c r="B588" t="s">
        <v>1886</v>
      </c>
      <c r="C588" t="s">
        <v>74</v>
      </c>
      <c r="D588" t="s">
        <v>74</v>
      </c>
      <c r="E588" t="s">
        <v>74</v>
      </c>
      <c r="F588" t="s">
        <v>1887</v>
      </c>
      <c r="G588" t="s">
        <v>74</v>
      </c>
      <c r="H588" t="s">
        <v>74</v>
      </c>
      <c r="I588" t="s">
        <v>1888</v>
      </c>
      <c r="J588" t="s">
        <v>129</v>
      </c>
      <c r="K588" t="s">
        <v>74</v>
      </c>
      <c r="L588" t="s">
        <v>74</v>
      </c>
      <c r="M588" t="s">
        <v>74</v>
      </c>
      <c r="N588" t="s">
        <v>74</v>
      </c>
      <c r="O588" t="s">
        <v>74</v>
      </c>
      <c r="P588" t="s">
        <v>74</v>
      </c>
      <c r="Q588" t="s">
        <v>74</v>
      </c>
      <c r="R588" t="s">
        <v>74</v>
      </c>
      <c r="S588" t="s">
        <v>74</v>
      </c>
      <c r="T588" t="s">
        <v>74</v>
      </c>
      <c r="U588" t="s">
        <v>74</v>
      </c>
      <c r="V588" s="3" t="s">
        <v>1889</v>
      </c>
      <c r="W588" t="s">
        <v>74</v>
      </c>
      <c r="X588" t="s">
        <v>74</v>
      </c>
      <c r="Y588" t="s">
        <v>74</v>
      </c>
      <c r="Z588" t="s">
        <v>74</v>
      </c>
      <c r="AA588" t="s">
        <v>74</v>
      </c>
      <c r="AB588" t="s">
        <v>74</v>
      </c>
      <c r="AC588" t="s">
        <v>74</v>
      </c>
      <c r="AD588" t="s">
        <v>74</v>
      </c>
      <c r="AE588" t="s">
        <v>74</v>
      </c>
      <c r="AF588" t="s">
        <v>74</v>
      </c>
      <c r="AG588" t="s">
        <v>74</v>
      </c>
      <c r="AH588" t="s">
        <v>74</v>
      </c>
      <c r="AI588" t="s">
        <v>74</v>
      </c>
      <c r="AJ588" t="s">
        <v>74</v>
      </c>
      <c r="AK588" t="s">
        <v>74</v>
      </c>
      <c r="AL588" t="s">
        <v>74</v>
      </c>
      <c r="AM588" t="s">
        <v>74</v>
      </c>
      <c r="AN588" t="s">
        <v>74</v>
      </c>
      <c r="AO588" t="s">
        <v>132</v>
      </c>
      <c r="AP588" t="s">
        <v>133</v>
      </c>
      <c r="AQ588" t="s">
        <v>74</v>
      </c>
      <c r="AR588" t="s">
        <v>74</v>
      </c>
      <c r="AS588" t="s">
        <v>74</v>
      </c>
      <c r="AT588" t="s">
        <v>964</v>
      </c>
      <c r="AU588">
        <v>2021</v>
      </c>
      <c r="AV588">
        <v>75</v>
      </c>
      <c r="AW588">
        <v>2</v>
      </c>
      <c r="AX588" t="s">
        <v>74</v>
      </c>
      <c r="AY588" t="s">
        <v>74</v>
      </c>
      <c r="AZ588" t="s">
        <v>74</v>
      </c>
      <c r="BA588" t="s">
        <v>74</v>
      </c>
      <c r="BB588" t="s">
        <v>74</v>
      </c>
      <c r="BC588" t="s">
        <v>74</v>
      </c>
      <c r="BD588">
        <v>40</v>
      </c>
      <c r="BE588" t="s">
        <v>1890</v>
      </c>
      <c r="BF588" t="str">
        <f>HYPERLINK("http://dx.doi.org/10.1007/s00265-021-02980-y","http://dx.doi.org/10.1007/s00265-021-02980-y")</f>
        <v>http://dx.doi.org/10.1007/s00265-021-02980-y</v>
      </c>
      <c r="BG588" t="s">
        <v>74</v>
      </c>
      <c r="BH588" t="s">
        <v>74</v>
      </c>
      <c r="BI588" t="s">
        <v>74</v>
      </c>
      <c r="BJ588" t="s">
        <v>74</v>
      </c>
      <c r="BK588" t="s">
        <v>74</v>
      </c>
      <c r="BL588" t="s">
        <v>74</v>
      </c>
      <c r="BM588" t="s">
        <v>74</v>
      </c>
      <c r="BN588" t="s">
        <v>74</v>
      </c>
      <c r="BO588" t="s">
        <v>74</v>
      </c>
      <c r="BP588" t="s">
        <v>74</v>
      </c>
      <c r="BQ588" t="s">
        <v>74</v>
      </c>
      <c r="BR588" t="s">
        <v>74</v>
      </c>
      <c r="BS588" t="s">
        <v>1891</v>
      </c>
      <c r="BT588" t="str">
        <f>HYPERLINK("https%3A%2F%2Fwww.webofscience.com%2Fwos%2Fwoscc%2Ffull-record%2FWOS:000613234900001","View Full Record in Web of Science")</f>
        <v>View Full Record in Web of Science</v>
      </c>
    </row>
    <row r="589" spans="1:72" x14ac:dyDescent="0.4">
      <c r="A589" t="s">
        <v>72</v>
      </c>
      <c r="B589" t="s">
        <v>3016</v>
      </c>
      <c r="C589" t="s">
        <v>74</v>
      </c>
      <c r="D589" t="s">
        <v>74</v>
      </c>
      <c r="E589" t="s">
        <v>74</v>
      </c>
      <c r="F589" t="s">
        <v>3017</v>
      </c>
      <c r="G589" t="s">
        <v>74</v>
      </c>
      <c r="H589" t="s">
        <v>74</v>
      </c>
      <c r="I589" t="s">
        <v>3018</v>
      </c>
      <c r="J589" t="s">
        <v>201</v>
      </c>
      <c r="K589" t="s">
        <v>74</v>
      </c>
      <c r="L589" t="s">
        <v>74</v>
      </c>
      <c r="M589" t="s">
        <v>74</v>
      </c>
      <c r="N589" t="s">
        <v>74</v>
      </c>
      <c r="O589" t="s">
        <v>74</v>
      </c>
      <c r="P589" t="s">
        <v>74</v>
      </c>
      <c r="Q589" t="s">
        <v>74</v>
      </c>
      <c r="R589" t="s">
        <v>74</v>
      </c>
      <c r="S589" t="s">
        <v>74</v>
      </c>
      <c r="T589" t="s">
        <v>74</v>
      </c>
      <c r="U589" t="s">
        <v>74</v>
      </c>
      <c r="V589" s="3" t="s">
        <v>3019</v>
      </c>
      <c r="W589" t="s">
        <v>74</v>
      </c>
      <c r="X589" t="s">
        <v>74</v>
      </c>
      <c r="Y589" t="s">
        <v>74</v>
      </c>
      <c r="Z589" t="s">
        <v>74</v>
      </c>
      <c r="AA589" t="s">
        <v>74</v>
      </c>
      <c r="AB589" t="s">
        <v>74</v>
      </c>
      <c r="AC589" t="s">
        <v>74</v>
      </c>
      <c r="AD589" t="s">
        <v>74</v>
      </c>
      <c r="AE589" t="s">
        <v>74</v>
      </c>
      <c r="AF589" t="s">
        <v>74</v>
      </c>
      <c r="AG589" t="s">
        <v>74</v>
      </c>
      <c r="AH589" t="s">
        <v>74</v>
      </c>
      <c r="AI589" t="s">
        <v>74</v>
      </c>
      <c r="AJ589" t="s">
        <v>74</v>
      </c>
      <c r="AK589" t="s">
        <v>74</v>
      </c>
      <c r="AL589" t="s">
        <v>74</v>
      </c>
      <c r="AM589" t="s">
        <v>74</v>
      </c>
      <c r="AN589" t="s">
        <v>74</v>
      </c>
      <c r="AO589" t="s">
        <v>203</v>
      </c>
      <c r="AP589" t="s">
        <v>1192</v>
      </c>
      <c r="AQ589" t="s">
        <v>74</v>
      </c>
      <c r="AR589" t="s">
        <v>74</v>
      </c>
      <c r="AS589" t="s">
        <v>74</v>
      </c>
      <c r="AT589" t="s">
        <v>123</v>
      </c>
      <c r="AU589">
        <v>2020</v>
      </c>
      <c r="AV589">
        <v>96</v>
      </c>
      <c r="AW589">
        <v>3</v>
      </c>
      <c r="AX589" t="s">
        <v>74</v>
      </c>
      <c r="AY589" t="s">
        <v>74</v>
      </c>
      <c r="AZ589" t="s">
        <v>74</v>
      </c>
      <c r="BA589" t="s">
        <v>74</v>
      </c>
      <c r="BB589">
        <v>663</v>
      </c>
      <c r="BC589">
        <v>668</v>
      </c>
      <c r="BD589" t="s">
        <v>74</v>
      </c>
      <c r="BE589" t="s">
        <v>3020</v>
      </c>
      <c r="BF589" t="str">
        <f>HYPERLINK("http://dx.doi.org/10.1111/jfb.14257","http://dx.doi.org/10.1111/jfb.14257")</f>
        <v>http://dx.doi.org/10.1111/jfb.14257</v>
      </c>
      <c r="BG589" t="s">
        <v>74</v>
      </c>
      <c r="BH589" t="s">
        <v>3021</v>
      </c>
      <c r="BI589" t="s">
        <v>74</v>
      </c>
      <c r="BJ589" t="s">
        <v>74</v>
      </c>
      <c r="BK589" t="s">
        <v>74</v>
      </c>
      <c r="BL589" t="s">
        <v>74</v>
      </c>
      <c r="BM589" t="s">
        <v>74</v>
      </c>
      <c r="BN589">
        <v>31944298</v>
      </c>
      <c r="BO589" t="s">
        <v>74</v>
      </c>
      <c r="BP589" t="s">
        <v>74</v>
      </c>
      <c r="BQ589" t="s">
        <v>74</v>
      </c>
      <c r="BR589" t="s">
        <v>74</v>
      </c>
      <c r="BS589" t="s">
        <v>3022</v>
      </c>
      <c r="BT589" t="str">
        <f>HYPERLINK("https%3A%2F%2Fwww.webofscience.com%2Fwos%2Fwoscc%2Ffull-record%2FWOS:000509418500001","View Full Record in Web of Science")</f>
        <v>View Full Record in Web of Science</v>
      </c>
    </row>
    <row r="590" spans="1:72" x14ac:dyDescent="0.4">
      <c r="A590" t="s">
        <v>72</v>
      </c>
      <c r="B590" t="s">
        <v>5660</v>
      </c>
      <c r="C590" t="s">
        <v>74</v>
      </c>
      <c r="D590" t="s">
        <v>74</v>
      </c>
      <c r="E590" t="s">
        <v>74</v>
      </c>
      <c r="F590" t="s">
        <v>5660</v>
      </c>
      <c r="G590" t="s">
        <v>74</v>
      </c>
      <c r="H590" t="s">
        <v>74</v>
      </c>
      <c r="I590" t="s">
        <v>5661</v>
      </c>
      <c r="J590" t="s">
        <v>530</v>
      </c>
      <c r="K590" t="s">
        <v>74</v>
      </c>
      <c r="L590" t="s">
        <v>74</v>
      </c>
      <c r="M590" t="s">
        <v>74</v>
      </c>
      <c r="N590" t="s">
        <v>74</v>
      </c>
      <c r="O590" t="s">
        <v>74</v>
      </c>
      <c r="P590" t="s">
        <v>74</v>
      </c>
      <c r="Q590" t="s">
        <v>74</v>
      </c>
      <c r="R590" t="s">
        <v>74</v>
      </c>
      <c r="S590" t="s">
        <v>74</v>
      </c>
      <c r="T590" t="s">
        <v>74</v>
      </c>
      <c r="U590" t="s">
        <v>74</v>
      </c>
      <c r="V590" s="3" t="s">
        <v>5662</v>
      </c>
      <c r="W590" t="s">
        <v>74</v>
      </c>
      <c r="X590" t="s">
        <v>74</v>
      </c>
      <c r="Y590" t="s">
        <v>74</v>
      </c>
      <c r="Z590" t="s">
        <v>74</v>
      </c>
      <c r="AA590" t="s">
        <v>5663</v>
      </c>
      <c r="AB590" t="s">
        <v>5664</v>
      </c>
      <c r="AC590" t="s">
        <v>74</v>
      </c>
      <c r="AD590" t="s">
        <v>74</v>
      </c>
      <c r="AE590" t="s">
        <v>74</v>
      </c>
      <c r="AF590" t="s">
        <v>74</v>
      </c>
      <c r="AG590" t="s">
        <v>74</v>
      </c>
      <c r="AH590" t="s">
        <v>74</v>
      </c>
      <c r="AI590" t="s">
        <v>74</v>
      </c>
      <c r="AJ590" t="s">
        <v>74</v>
      </c>
      <c r="AK590" t="s">
        <v>74</v>
      </c>
      <c r="AL590" t="s">
        <v>74</v>
      </c>
      <c r="AM590" t="s">
        <v>74</v>
      </c>
      <c r="AN590" t="s">
        <v>74</v>
      </c>
      <c r="AO590" t="s">
        <v>532</v>
      </c>
      <c r="AP590" t="s">
        <v>533</v>
      </c>
      <c r="AQ590" t="s">
        <v>74</v>
      </c>
      <c r="AR590" t="s">
        <v>74</v>
      </c>
      <c r="AS590" t="s">
        <v>74</v>
      </c>
      <c r="AT590" t="s">
        <v>305</v>
      </c>
      <c r="AU590">
        <v>2001</v>
      </c>
      <c r="AV590">
        <v>139</v>
      </c>
      <c r="AW590">
        <v>6</v>
      </c>
      <c r="AX590" t="s">
        <v>74</v>
      </c>
      <c r="AY590" t="s">
        <v>74</v>
      </c>
      <c r="AZ590" t="s">
        <v>74</v>
      </c>
      <c r="BA590" t="s">
        <v>74</v>
      </c>
      <c r="BB590">
        <v>1147</v>
      </c>
      <c r="BC590">
        <v>1154</v>
      </c>
      <c r="BD590" t="s">
        <v>74</v>
      </c>
      <c r="BE590" t="s">
        <v>74</v>
      </c>
      <c r="BF590" t="s">
        <v>74</v>
      </c>
      <c r="BG590" t="s">
        <v>74</v>
      </c>
      <c r="BH590" t="s">
        <v>74</v>
      </c>
      <c r="BI590" t="s">
        <v>74</v>
      </c>
      <c r="BJ590" t="s">
        <v>74</v>
      </c>
      <c r="BK590" t="s">
        <v>74</v>
      </c>
      <c r="BL590" t="s">
        <v>74</v>
      </c>
      <c r="BM590" t="s">
        <v>74</v>
      </c>
      <c r="BN590" t="s">
        <v>74</v>
      </c>
      <c r="BO590" t="s">
        <v>74</v>
      </c>
      <c r="BP590" t="s">
        <v>74</v>
      </c>
      <c r="BQ590" t="s">
        <v>74</v>
      </c>
      <c r="BR590" t="s">
        <v>74</v>
      </c>
      <c r="BS590" t="s">
        <v>5665</v>
      </c>
      <c r="BT590" t="str">
        <f>HYPERLINK("https%3A%2F%2Fwww.webofscience.com%2Fwos%2Fwoscc%2Ffull-record%2FWOS:000173168700014","View Full Record in Web of Science")</f>
        <v>View Full Record in Web of Science</v>
      </c>
    </row>
    <row r="591" spans="1:72" x14ac:dyDescent="0.4">
      <c r="A591" t="s">
        <v>72</v>
      </c>
      <c r="B591" t="s">
        <v>2586</v>
      </c>
      <c r="C591" t="s">
        <v>74</v>
      </c>
      <c r="D591" t="s">
        <v>74</v>
      </c>
      <c r="E591" t="s">
        <v>74</v>
      </c>
      <c r="F591" t="s">
        <v>2587</v>
      </c>
      <c r="G591" t="s">
        <v>74</v>
      </c>
      <c r="H591" t="s">
        <v>74</v>
      </c>
      <c r="I591" t="s">
        <v>2588</v>
      </c>
      <c r="J591" t="s">
        <v>824</v>
      </c>
      <c r="K591" t="s">
        <v>74</v>
      </c>
      <c r="L591" t="s">
        <v>74</v>
      </c>
      <c r="M591" t="s">
        <v>74</v>
      </c>
      <c r="N591" t="s">
        <v>74</v>
      </c>
      <c r="O591" t="s">
        <v>74</v>
      </c>
      <c r="P591" t="s">
        <v>74</v>
      </c>
      <c r="Q591" t="s">
        <v>74</v>
      </c>
      <c r="R591" t="s">
        <v>74</v>
      </c>
      <c r="S591" t="s">
        <v>74</v>
      </c>
      <c r="T591" t="s">
        <v>74</v>
      </c>
      <c r="U591" t="s">
        <v>74</v>
      </c>
      <c r="V591" s="3" t="s">
        <v>2589</v>
      </c>
      <c r="W591" t="s">
        <v>74</v>
      </c>
      <c r="X591" t="s">
        <v>74</v>
      </c>
      <c r="Y591" t="s">
        <v>74</v>
      </c>
      <c r="Z591" t="s">
        <v>74</v>
      </c>
      <c r="AA591" t="s">
        <v>2590</v>
      </c>
      <c r="AB591" t="s">
        <v>2591</v>
      </c>
      <c r="AC591" t="s">
        <v>74</v>
      </c>
      <c r="AD591" t="s">
        <v>74</v>
      </c>
      <c r="AE591" t="s">
        <v>74</v>
      </c>
      <c r="AF591" t="s">
        <v>74</v>
      </c>
      <c r="AG591" t="s">
        <v>74</v>
      </c>
      <c r="AH591" t="s">
        <v>74</v>
      </c>
      <c r="AI591" t="s">
        <v>74</v>
      </c>
      <c r="AJ591" t="s">
        <v>74</v>
      </c>
      <c r="AK591" t="s">
        <v>74</v>
      </c>
      <c r="AL591" t="s">
        <v>74</v>
      </c>
      <c r="AM591" t="s">
        <v>74</v>
      </c>
      <c r="AN591" t="s">
        <v>74</v>
      </c>
      <c r="AO591" t="s">
        <v>828</v>
      </c>
      <c r="AP591" t="s">
        <v>829</v>
      </c>
      <c r="AQ591" t="s">
        <v>74</v>
      </c>
      <c r="AR591" t="s">
        <v>74</v>
      </c>
      <c r="AS591" t="s">
        <v>74</v>
      </c>
      <c r="AT591" t="s">
        <v>213</v>
      </c>
      <c r="AU591">
        <v>2014</v>
      </c>
      <c r="AV591">
        <v>83</v>
      </c>
      <c r="AW591">
        <v>6</v>
      </c>
      <c r="AX591" t="s">
        <v>74</v>
      </c>
      <c r="AY591" t="s">
        <v>74</v>
      </c>
      <c r="AZ591" t="s">
        <v>74</v>
      </c>
      <c r="BA591" t="s">
        <v>74</v>
      </c>
      <c r="BB591">
        <v>1490</v>
      </c>
      <c r="BC591">
        <v>1500</v>
      </c>
      <c r="BD591" t="s">
        <v>74</v>
      </c>
      <c r="BE591" t="s">
        <v>2592</v>
      </c>
      <c r="BF591" t="str">
        <f>HYPERLINK("http://dx.doi.org/10.1111/1365-2656.12252","http://dx.doi.org/10.1111/1365-2656.12252")</f>
        <v>http://dx.doi.org/10.1111/1365-2656.12252</v>
      </c>
      <c r="BG591" t="s">
        <v>74</v>
      </c>
      <c r="BH591" t="s">
        <v>74</v>
      </c>
      <c r="BI591" t="s">
        <v>74</v>
      </c>
      <c r="BJ591" t="s">
        <v>74</v>
      </c>
      <c r="BK591" t="s">
        <v>74</v>
      </c>
      <c r="BL591" t="s">
        <v>74</v>
      </c>
      <c r="BM591" t="s">
        <v>74</v>
      </c>
      <c r="BN591">
        <v>24889087</v>
      </c>
      <c r="BO591" t="s">
        <v>74</v>
      </c>
      <c r="BP591" t="s">
        <v>74</v>
      </c>
      <c r="BQ591" t="s">
        <v>74</v>
      </c>
      <c r="BR591" t="s">
        <v>74</v>
      </c>
      <c r="BS591" t="s">
        <v>2593</v>
      </c>
      <c r="BT591" t="str">
        <f>HYPERLINK("https%3A%2F%2Fwww.webofscience.com%2Fwos%2Fwoscc%2Ffull-record%2FWOS:000344339500025","View Full Record in Web of Science")</f>
        <v>View Full Record in Web of Science</v>
      </c>
    </row>
    <row r="592" spans="1:72" x14ac:dyDescent="0.4">
      <c r="A592" t="s">
        <v>72</v>
      </c>
      <c r="B592" t="s">
        <v>5958</v>
      </c>
      <c r="C592" t="s">
        <v>74</v>
      </c>
      <c r="D592" t="s">
        <v>74</v>
      </c>
      <c r="E592" t="s">
        <v>74</v>
      </c>
      <c r="F592" t="s">
        <v>5959</v>
      </c>
      <c r="G592" t="s">
        <v>74</v>
      </c>
      <c r="H592" t="s">
        <v>74</v>
      </c>
      <c r="I592" t="s">
        <v>5960</v>
      </c>
      <c r="J592" t="s">
        <v>5961</v>
      </c>
      <c r="K592" t="s">
        <v>74</v>
      </c>
      <c r="L592" t="s">
        <v>74</v>
      </c>
      <c r="M592" t="s">
        <v>74</v>
      </c>
      <c r="N592" t="s">
        <v>74</v>
      </c>
      <c r="O592" t="s">
        <v>74</v>
      </c>
      <c r="P592" t="s">
        <v>74</v>
      </c>
      <c r="Q592" t="s">
        <v>74</v>
      </c>
      <c r="R592" t="s">
        <v>74</v>
      </c>
      <c r="S592" t="s">
        <v>74</v>
      </c>
      <c r="T592" t="s">
        <v>74</v>
      </c>
      <c r="U592" t="s">
        <v>74</v>
      </c>
      <c r="V592" s="3" t="s">
        <v>5962</v>
      </c>
      <c r="W592" t="s">
        <v>74</v>
      </c>
      <c r="X592" t="s">
        <v>74</v>
      </c>
      <c r="Y592" t="s">
        <v>74</v>
      </c>
      <c r="Z592" t="s">
        <v>74</v>
      </c>
      <c r="AA592" t="s">
        <v>5963</v>
      </c>
      <c r="AB592" t="s">
        <v>5964</v>
      </c>
      <c r="AC592" t="s">
        <v>74</v>
      </c>
      <c r="AD592" t="s">
        <v>74</v>
      </c>
      <c r="AE592" t="s">
        <v>74</v>
      </c>
      <c r="AF592" t="s">
        <v>74</v>
      </c>
      <c r="AG592" t="s">
        <v>74</v>
      </c>
      <c r="AH592" t="s">
        <v>74</v>
      </c>
      <c r="AI592" t="s">
        <v>74</v>
      </c>
      <c r="AJ592" t="s">
        <v>74</v>
      </c>
      <c r="AK592" t="s">
        <v>74</v>
      </c>
      <c r="AL592" t="s">
        <v>74</v>
      </c>
      <c r="AM592" t="s">
        <v>74</v>
      </c>
      <c r="AN592" t="s">
        <v>74</v>
      </c>
      <c r="AO592" t="s">
        <v>5965</v>
      </c>
      <c r="AP592" t="s">
        <v>5966</v>
      </c>
      <c r="AQ592" t="s">
        <v>74</v>
      </c>
      <c r="AR592" t="s">
        <v>74</v>
      </c>
      <c r="AS592" t="s">
        <v>74</v>
      </c>
      <c r="AT592" t="s">
        <v>175</v>
      </c>
      <c r="AU592">
        <v>2015</v>
      </c>
      <c r="AV592">
        <v>40</v>
      </c>
      <c r="AW592">
        <v>4</v>
      </c>
      <c r="AX592" t="s">
        <v>74</v>
      </c>
      <c r="AY592" t="s">
        <v>74</v>
      </c>
      <c r="AZ592" t="s">
        <v>74</v>
      </c>
      <c r="BA592" t="s">
        <v>74</v>
      </c>
      <c r="BB592">
        <v>881</v>
      </c>
      <c r="BC592">
        <v>890</v>
      </c>
      <c r="BD592" t="s">
        <v>74</v>
      </c>
      <c r="BE592" t="s">
        <v>5967</v>
      </c>
      <c r="BF592" t="str">
        <f>HYPERLINK("http://dx.doi.org/10.1111/syen.12137","http://dx.doi.org/10.1111/syen.12137")</f>
        <v>http://dx.doi.org/10.1111/syen.12137</v>
      </c>
      <c r="BG592" t="s">
        <v>74</v>
      </c>
      <c r="BH592" t="s">
        <v>74</v>
      </c>
      <c r="BI592" t="s">
        <v>74</v>
      </c>
      <c r="BJ592" t="s">
        <v>74</v>
      </c>
      <c r="BK592" t="s">
        <v>74</v>
      </c>
      <c r="BL592" t="s">
        <v>74</v>
      </c>
      <c r="BM592" t="s">
        <v>74</v>
      </c>
      <c r="BN592" t="s">
        <v>74</v>
      </c>
      <c r="BO592" t="s">
        <v>74</v>
      </c>
      <c r="BP592" t="s">
        <v>74</v>
      </c>
      <c r="BQ592" t="s">
        <v>74</v>
      </c>
      <c r="BR592" t="s">
        <v>74</v>
      </c>
      <c r="BS592" t="s">
        <v>5968</v>
      </c>
      <c r="BT592" t="str">
        <f>HYPERLINK("https%3A%2F%2Fwww.webofscience.com%2Fwos%2Fwoscc%2Ffull-record%2FWOS:000360760000010","View Full Record in Web of Science")</f>
        <v>View Full Record in Web of Science</v>
      </c>
    </row>
    <row r="593" spans="1:72" x14ac:dyDescent="0.4">
      <c r="A593" t="s">
        <v>72</v>
      </c>
      <c r="B593" t="s">
        <v>6433</v>
      </c>
      <c r="C593" t="s">
        <v>74</v>
      </c>
      <c r="D593" t="s">
        <v>74</v>
      </c>
      <c r="E593" t="s">
        <v>74</v>
      </c>
      <c r="F593" t="s">
        <v>6434</v>
      </c>
      <c r="G593" t="s">
        <v>74</v>
      </c>
      <c r="H593" t="s">
        <v>74</v>
      </c>
      <c r="I593" t="s">
        <v>6435</v>
      </c>
      <c r="J593" t="s">
        <v>6436</v>
      </c>
      <c r="K593" t="s">
        <v>74</v>
      </c>
      <c r="L593" t="s">
        <v>74</v>
      </c>
      <c r="M593" t="s">
        <v>74</v>
      </c>
      <c r="N593" t="s">
        <v>74</v>
      </c>
      <c r="O593" t="s">
        <v>74</v>
      </c>
      <c r="P593" t="s">
        <v>74</v>
      </c>
      <c r="Q593" t="s">
        <v>74</v>
      </c>
      <c r="R593" t="s">
        <v>74</v>
      </c>
      <c r="S593" t="s">
        <v>74</v>
      </c>
      <c r="T593" t="s">
        <v>74</v>
      </c>
      <c r="U593" t="s">
        <v>74</v>
      </c>
      <c r="V593" s="3" t="s">
        <v>6437</v>
      </c>
      <c r="W593" t="s">
        <v>74</v>
      </c>
      <c r="X593" t="s">
        <v>74</v>
      </c>
      <c r="Y593" t="s">
        <v>74</v>
      </c>
      <c r="Z593" t="s">
        <v>74</v>
      </c>
      <c r="AA593" t="s">
        <v>6438</v>
      </c>
      <c r="AB593" t="s">
        <v>74</v>
      </c>
      <c r="AC593" t="s">
        <v>74</v>
      </c>
      <c r="AD593" t="s">
        <v>74</v>
      </c>
      <c r="AE593" t="s">
        <v>74</v>
      </c>
      <c r="AF593" t="s">
        <v>74</v>
      </c>
      <c r="AG593" t="s">
        <v>74</v>
      </c>
      <c r="AH593" t="s">
        <v>74</v>
      </c>
      <c r="AI593" t="s">
        <v>74</v>
      </c>
      <c r="AJ593" t="s">
        <v>74</v>
      </c>
      <c r="AK593" t="s">
        <v>74</v>
      </c>
      <c r="AL593" t="s">
        <v>74</v>
      </c>
      <c r="AM593" t="s">
        <v>74</v>
      </c>
      <c r="AN593" t="s">
        <v>74</v>
      </c>
      <c r="AO593" t="s">
        <v>6439</v>
      </c>
      <c r="AP593" t="s">
        <v>74</v>
      </c>
      <c r="AQ593" t="s">
        <v>74</v>
      </c>
      <c r="AR593" t="s">
        <v>74</v>
      </c>
      <c r="AS593" t="s">
        <v>74</v>
      </c>
      <c r="AT593" t="s">
        <v>4830</v>
      </c>
      <c r="AU593">
        <v>2007</v>
      </c>
      <c r="AV593">
        <v>20</v>
      </c>
      <c r="AW593">
        <v>1</v>
      </c>
      <c r="AX593" t="s">
        <v>74</v>
      </c>
      <c r="AY593" t="s">
        <v>74</v>
      </c>
      <c r="AZ593" t="s">
        <v>74</v>
      </c>
      <c r="BA593" t="s">
        <v>74</v>
      </c>
      <c r="BB593">
        <v>72</v>
      </c>
      <c r="BC593">
        <v>81</v>
      </c>
      <c r="BD593" t="s">
        <v>74</v>
      </c>
      <c r="BE593" t="s">
        <v>6440</v>
      </c>
      <c r="BF593" t="str">
        <f>HYPERLINK("http://dx.doi.org/10.1071/SB06010","http://dx.doi.org/10.1071/SB06010")</f>
        <v>http://dx.doi.org/10.1071/SB06010</v>
      </c>
      <c r="BG593" t="s">
        <v>74</v>
      </c>
      <c r="BH593" t="s">
        <v>74</v>
      </c>
      <c r="BI593" t="s">
        <v>74</v>
      </c>
      <c r="BJ593" t="s">
        <v>74</v>
      </c>
      <c r="BK593" t="s">
        <v>74</v>
      </c>
      <c r="BL593" t="s">
        <v>74</v>
      </c>
      <c r="BM593" t="s">
        <v>74</v>
      </c>
      <c r="BN593" t="s">
        <v>74</v>
      </c>
      <c r="BO593" t="s">
        <v>74</v>
      </c>
      <c r="BP593" t="s">
        <v>74</v>
      </c>
      <c r="BQ593" t="s">
        <v>74</v>
      </c>
      <c r="BR593" t="s">
        <v>74</v>
      </c>
      <c r="BS593" t="s">
        <v>6441</v>
      </c>
      <c r="BT593" t="str">
        <f>HYPERLINK("https%3A%2F%2Fwww.webofscience.com%2Fwos%2Fwoscc%2Ffull-record%2FWOS:000244420200005","View Full Record in Web of Science")</f>
        <v>View Full Record in Web of Science</v>
      </c>
    </row>
    <row r="594" spans="1:72" x14ac:dyDescent="0.4">
      <c r="A594" t="s">
        <v>72</v>
      </c>
      <c r="B594" t="s">
        <v>6134</v>
      </c>
      <c r="C594" t="s">
        <v>74</v>
      </c>
      <c r="D594" t="s">
        <v>74</v>
      </c>
      <c r="E594" t="s">
        <v>74</v>
      </c>
      <c r="F594" t="s">
        <v>6135</v>
      </c>
      <c r="G594" t="s">
        <v>74</v>
      </c>
      <c r="H594" t="s">
        <v>74</v>
      </c>
      <c r="I594" t="s">
        <v>6136</v>
      </c>
      <c r="J594" t="s">
        <v>6137</v>
      </c>
      <c r="K594" t="s">
        <v>74</v>
      </c>
      <c r="L594" t="s">
        <v>74</v>
      </c>
      <c r="M594" t="s">
        <v>74</v>
      </c>
      <c r="N594" t="s">
        <v>74</v>
      </c>
      <c r="O594" t="s">
        <v>74</v>
      </c>
      <c r="P594" t="s">
        <v>74</v>
      </c>
      <c r="Q594" t="s">
        <v>74</v>
      </c>
      <c r="R594" t="s">
        <v>74</v>
      </c>
      <c r="S594" t="s">
        <v>74</v>
      </c>
      <c r="T594" t="s">
        <v>74</v>
      </c>
      <c r="U594" t="s">
        <v>74</v>
      </c>
      <c r="V594" s="3" t="s">
        <v>6138</v>
      </c>
      <c r="W594" t="s">
        <v>74</v>
      </c>
      <c r="X594" t="s">
        <v>74</v>
      </c>
      <c r="Y594" t="s">
        <v>74</v>
      </c>
      <c r="Z594" t="s">
        <v>74</v>
      </c>
      <c r="AA594" t="s">
        <v>6139</v>
      </c>
      <c r="AB594" t="s">
        <v>74</v>
      </c>
      <c r="AC594" t="s">
        <v>74</v>
      </c>
      <c r="AD594" t="s">
        <v>74</v>
      </c>
      <c r="AE594" t="s">
        <v>74</v>
      </c>
      <c r="AF594" t="s">
        <v>74</v>
      </c>
      <c r="AG594" t="s">
        <v>74</v>
      </c>
      <c r="AH594" t="s">
        <v>74</v>
      </c>
      <c r="AI594" t="s">
        <v>74</v>
      </c>
      <c r="AJ594" t="s">
        <v>74</v>
      </c>
      <c r="AK594" t="s">
        <v>74</v>
      </c>
      <c r="AL594" t="s">
        <v>74</v>
      </c>
      <c r="AM594" t="s">
        <v>74</v>
      </c>
      <c r="AN594" t="s">
        <v>74</v>
      </c>
      <c r="AO594" t="s">
        <v>6140</v>
      </c>
      <c r="AP594" t="s">
        <v>6141</v>
      </c>
      <c r="AQ594" t="s">
        <v>74</v>
      </c>
      <c r="AR594" t="s">
        <v>74</v>
      </c>
      <c r="AS594" t="s">
        <v>74</v>
      </c>
      <c r="AT594" t="s">
        <v>6142</v>
      </c>
      <c r="AU594">
        <v>2015</v>
      </c>
      <c r="AV594" t="s">
        <v>74</v>
      </c>
      <c r="AW594" t="s">
        <v>74</v>
      </c>
      <c r="AX594" t="s">
        <v>74</v>
      </c>
      <c r="AY594">
        <v>31</v>
      </c>
      <c r="AZ594" t="s">
        <v>74</v>
      </c>
      <c r="BA594" t="s">
        <v>74</v>
      </c>
      <c r="BB594">
        <v>75</v>
      </c>
      <c r="BC594">
        <v>95</v>
      </c>
      <c r="BD594" t="s">
        <v>74</v>
      </c>
      <c r="BE594" t="s">
        <v>74</v>
      </c>
      <c r="BF594" t="s">
        <v>74</v>
      </c>
      <c r="BG594" t="s">
        <v>74</v>
      </c>
      <c r="BH594" t="s">
        <v>74</v>
      </c>
      <c r="BI594" t="s">
        <v>74</v>
      </c>
      <c r="BJ594" t="s">
        <v>74</v>
      </c>
      <c r="BK594" t="s">
        <v>74</v>
      </c>
      <c r="BL594" t="s">
        <v>74</v>
      </c>
      <c r="BM594" t="s">
        <v>74</v>
      </c>
      <c r="BN594" t="s">
        <v>74</v>
      </c>
      <c r="BO594" t="s">
        <v>74</v>
      </c>
      <c r="BP594" t="s">
        <v>74</v>
      </c>
      <c r="BQ594" t="s">
        <v>74</v>
      </c>
      <c r="BR594" t="s">
        <v>74</v>
      </c>
      <c r="BS594" t="s">
        <v>6143</v>
      </c>
      <c r="BT594" t="str">
        <f>HYPERLINK("https%3A%2F%2Fwww.webofscience.com%2Fwos%2Fwoscc%2Ffull-record%2FWOS:000360400000009","View Full Record in Web of Science")</f>
        <v>View Full Record in Web of Science</v>
      </c>
    </row>
    <row r="595" spans="1:72" x14ac:dyDescent="0.4">
      <c r="A595" t="s">
        <v>72</v>
      </c>
      <c r="B595" t="s">
        <v>238</v>
      </c>
      <c r="C595" t="s">
        <v>74</v>
      </c>
      <c r="D595" t="s">
        <v>74</v>
      </c>
      <c r="E595" t="s">
        <v>74</v>
      </c>
      <c r="F595" t="s">
        <v>239</v>
      </c>
      <c r="G595" t="s">
        <v>74</v>
      </c>
      <c r="H595" t="s">
        <v>74</v>
      </c>
      <c r="I595" t="s">
        <v>240</v>
      </c>
      <c r="J595" t="s">
        <v>241</v>
      </c>
      <c r="K595" t="s">
        <v>74</v>
      </c>
      <c r="L595" t="s">
        <v>74</v>
      </c>
      <c r="M595" t="s">
        <v>74</v>
      </c>
      <c r="N595" t="s">
        <v>74</v>
      </c>
      <c r="O595" t="s">
        <v>74</v>
      </c>
      <c r="P595" t="s">
        <v>74</v>
      </c>
      <c r="Q595" t="s">
        <v>74</v>
      </c>
      <c r="R595" t="s">
        <v>74</v>
      </c>
      <c r="S595" t="s">
        <v>74</v>
      </c>
      <c r="T595" t="s">
        <v>74</v>
      </c>
      <c r="U595" t="s">
        <v>74</v>
      </c>
      <c r="V595" s="3" t="s">
        <v>242</v>
      </c>
      <c r="W595" t="s">
        <v>74</v>
      </c>
      <c r="X595" t="s">
        <v>74</v>
      </c>
      <c r="Y595" t="s">
        <v>74</v>
      </c>
      <c r="Z595" t="s">
        <v>74</v>
      </c>
      <c r="AA595" t="s">
        <v>243</v>
      </c>
      <c r="AB595" t="s">
        <v>244</v>
      </c>
      <c r="AC595" t="s">
        <v>74</v>
      </c>
      <c r="AD595" t="s">
        <v>74</v>
      </c>
      <c r="AE595" t="s">
        <v>74</v>
      </c>
      <c r="AF595" t="s">
        <v>74</v>
      </c>
      <c r="AG595" t="s">
        <v>74</v>
      </c>
      <c r="AH595" t="s">
        <v>74</v>
      </c>
      <c r="AI595" t="s">
        <v>74</v>
      </c>
      <c r="AJ595" t="s">
        <v>74</v>
      </c>
      <c r="AK595" t="s">
        <v>74</v>
      </c>
      <c r="AL595" t="s">
        <v>74</v>
      </c>
      <c r="AM595" t="s">
        <v>74</v>
      </c>
      <c r="AN595" t="s">
        <v>74</v>
      </c>
      <c r="AO595" t="s">
        <v>245</v>
      </c>
      <c r="AP595" t="s">
        <v>246</v>
      </c>
      <c r="AQ595" t="s">
        <v>74</v>
      </c>
      <c r="AR595" t="s">
        <v>74</v>
      </c>
      <c r="AS595" t="s">
        <v>74</v>
      </c>
      <c r="AT595" t="s">
        <v>134</v>
      </c>
      <c r="AU595">
        <v>2014</v>
      </c>
      <c r="AV595">
        <v>175</v>
      </c>
      <c r="AW595">
        <v>1</v>
      </c>
      <c r="AX595" t="s">
        <v>74</v>
      </c>
      <c r="AY595" t="s">
        <v>74</v>
      </c>
      <c r="AZ595" t="s">
        <v>74</v>
      </c>
      <c r="BA595" t="s">
        <v>74</v>
      </c>
      <c r="BB595">
        <v>85</v>
      </c>
      <c r="BC595">
        <v>93</v>
      </c>
      <c r="BD595" t="s">
        <v>74</v>
      </c>
      <c r="BE595" t="s">
        <v>247</v>
      </c>
      <c r="BF595" t="str">
        <f>HYPERLINK("http://dx.doi.org/10.1007/s00442-013-2879-1","http://dx.doi.org/10.1007/s00442-013-2879-1")</f>
        <v>http://dx.doi.org/10.1007/s00442-013-2879-1</v>
      </c>
      <c r="BG595" t="s">
        <v>74</v>
      </c>
      <c r="BH595" t="s">
        <v>74</v>
      </c>
      <c r="BI595" t="s">
        <v>74</v>
      </c>
      <c r="BJ595" t="s">
        <v>74</v>
      </c>
      <c r="BK595" t="s">
        <v>74</v>
      </c>
      <c r="BL595" t="s">
        <v>74</v>
      </c>
      <c r="BM595" t="s">
        <v>74</v>
      </c>
      <c r="BN595">
        <v>24414236</v>
      </c>
      <c r="BO595" t="s">
        <v>74</v>
      </c>
      <c r="BP595" t="s">
        <v>74</v>
      </c>
      <c r="BQ595" t="s">
        <v>74</v>
      </c>
      <c r="BR595" t="s">
        <v>74</v>
      </c>
      <c r="BS595" t="s">
        <v>248</v>
      </c>
      <c r="BT595" t="str">
        <f>HYPERLINK("https%3A%2F%2Fwww.webofscience.com%2Fwos%2Fwoscc%2Ffull-record%2FWOS:000334691600008","View Full Record in Web of Science")</f>
        <v>View Full Record in Web of Science</v>
      </c>
    </row>
    <row r="596" spans="1:72" x14ac:dyDescent="0.4">
      <c r="A596" t="s">
        <v>72</v>
      </c>
      <c r="B596" t="s">
        <v>238</v>
      </c>
      <c r="C596" t="s">
        <v>74</v>
      </c>
      <c r="D596" t="s">
        <v>74</v>
      </c>
      <c r="E596" t="s">
        <v>74</v>
      </c>
      <c r="F596" t="s">
        <v>239</v>
      </c>
      <c r="G596" t="s">
        <v>74</v>
      </c>
      <c r="H596" t="s">
        <v>74</v>
      </c>
      <c r="I596" t="s">
        <v>1149</v>
      </c>
      <c r="J596" t="s">
        <v>333</v>
      </c>
      <c r="K596" t="s">
        <v>74</v>
      </c>
      <c r="L596" t="s">
        <v>74</v>
      </c>
      <c r="M596" t="s">
        <v>74</v>
      </c>
      <c r="N596" t="s">
        <v>74</v>
      </c>
      <c r="O596" t="s">
        <v>74</v>
      </c>
      <c r="P596" t="s">
        <v>74</v>
      </c>
      <c r="Q596" t="s">
        <v>74</v>
      </c>
      <c r="R596" t="s">
        <v>74</v>
      </c>
      <c r="S596" t="s">
        <v>74</v>
      </c>
      <c r="T596" t="s">
        <v>74</v>
      </c>
      <c r="U596" t="s">
        <v>74</v>
      </c>
      <c r="V596" s="3" t="s">
        <v>1150</v>
      </c>
      <c r="W596" t="s">
        <v>74</v>
      </c>
      <c r="X596" t="s">
        <v>74</v>
      </c>
      <c r="Y596" t="s">
        <v>74</v>
      </c>
      <c r="Z596" t="s">
        <v>74</v>
      </c>
      <c r="AA596" t="s">
        <v>243</v>
      </c>
      <c r="AB596" t="s">
        <v>244</v>
      </c>
      <c r="AC596" t="s">
        <v>74</v>
      </c>
      <c r="AD596" t="s">
        <v>74</v>
      </c>
      <c r="AE596" t="s">
        <v>74</v>
      </c>
      <c r="AF596" t="s">
        <v>74</v>
      </c>
      <c r="AG596" t="s">
        <v>74</v>
      </c>
      <c r="AH596" t="s">
        <v>74</v>
      </c>
      <c r="AI596" t="s">
        <v>74</v>
      </c>
      <c r="AJ596" t="s">
        <v>74</v>
      </c>
      <c r="AK596" t="s">
        <v>74</v>
      </c>
      <c r="AL596" t="s">
        <v>74</v>
      </c>
      <c r="AM596" t="s">
        <v>74</v>
      </c>
      <c r="AN596" t="s">
        <v>74</v>
      </c>
      <c r="AO596" t="s">
        <v>337</v>
      </c>
      <c r="AP596" t="s">
        <v>338</v>
      </c>
      <c r="AQ596" t="s">
        <v>74</v>
      </c>
      <c r="AR596" t="s">
        <v>74</v>
      </c>
      <c r="AS596" t="s">
        <v>74</v>
      </c>
      <c r="AT596" t="s">
        <v>808</v>
      </c>
      <c r="AU596">
        <v>2017</v>
      </c>
      <c r="AV596">
        <v>28</v>
      </c>
      <c r="AW596">
        <v>3</v>
      </c>
      <c r="AX596" t="s">
        <v>74</v>
      </c>
      <c r="AY596" t="s">
        <v>74</v>
      </c>
      <c r="AZ596" t="s">
        <v>74</v>
      </c>
      <c r="BA596" t="s">
        <v>74</v>
      </c>
      <c r="BB596">
        <v>925</v>
      </c>
      <c r="BC596">
        <v>933</v>
      </c>
      <c r="BD596" t="s">
        <v>74</v>
      </c>
      <c r="BE596" t="s">
        <v>1151</v>
      </c>
      <c r="BF596" t="str">
        <f>HYPERLINK("http://dx.doi.org/10.1093/beheco/arx052","http://dx.doi.org/10.1093/beheco/arx052")</f>
        <v>http://dx.doi.org/10.1093/beheco/arx052</v>
      </c>
      <c r="BG596" t="s">
        <v>74</v>
      </c>
      <c r="BH596" t="s">
        <v>74</v>
      </c>
      <c r="BI596" t="s">
        <v>74</v>
      </c>
      <c r="BJ596" t="s">
        <v>74</v>
      </c>
      <c r="BK596" t="s">
        <v>74</v>
      </c>
      <c r="BL596" t="s">
        <v>74</v>
      </c>
      <c r="BM596" t="s">
        <v>74</v>
      </c>
      <c r="BN596" t="s">
        <v>74</v>
      </c>
      <c r="BO596" t="s">
        <v>74</v>
      </c>
      <c r="BP596" t="s">
        <v>74</v>
      </c>
      <c r="BQ596" t="s">
        <v>74</v>
      </c>
      <c r="BR596" t="s">
        <v>74</v>
      </c>
      <c r="BS596" t="s">
        <v>1152</v>
      </c>
      <c r="BT596" t="str">
        <f>HYPERLINK("https%3A%2F%2Fwww.webofscience.com%2Fwos%2Fwoscc%2Ffull-record%2FWOS:000401942800043","View Full Record in Web of Science")</f>
        <v>View Full Record in Web of Science</v>
      </c>
    </row>
    <row r="597" spans="1:72" x14ac:dyDescent="0.4">
      <c r="A597" t="s">
        <v>72</v>
      </c>
      <c r="B597" t="s">
        <v>417</v>
      </c>
      <c r="C597" t="s">
        <v>74</v>
      </c>
      <c r="D597" t="s">
        <v>74</v>
      </c>
      <c r="E597" t="s">
        <v>74</v>
      </c>
      <c r="F597" t="s">
        <v>418</v>
      </c>
      <c r="G597" t="s">
        <v>74</v>
      </c>
      <c r="H597" t="s">
        <v>74</v>
      </c>
      <c r="I597" t="s">
        <v>419</v>
      </c>
      <c r="J597" t="s">
        <v>420</v>
      </c>
      <c r="K597" t="s">
        <v>74</v>
      </c>
      <c r="L597" t="s">
        <v>74</v>
      </c>
      <c r="M597" t="s">
        <v>74</v>
      </c>
      <c r="N597" t="s">
        <v>74</v>
      </c>
      <c r="O597" t="s">
        <v>74</v>
      </c>
      <c r="P597" t="s">
        <v>74</v>
      </c>
      <c r="Q597" t="s">
        <v>74</v>
      </c>
      <c r="R597" t="s">
        <v>74</v>
      </c>
      <c r="S597" t="s">
        <v>74</v>
      </c>
      <c r="T597" t="s">
        <v>74</v>
      </c>
      <c r="U597" t="s">
        <v>74</v>
      </c>
      <c r="V597" s="3" t="s">
        <v>421</v>
      </c>
      <c r="W597" t="s">
        <v>74</v>
      </c>
      <c r="X597" t="s">
        <v>74</v>
      </c>
      <c r="Y597" t="s">
        <v>74</v>
      </c>
      <c r="Z597" t="s">
        <v>74</v>
      </c>
      <c r="AA597" t="s">
        <v>422</v>
      </c>
      <c r="AB597" t="s">
        <v>423</v>
      </c>
      <c r="AC597" t="s">
        <v>74</v>
      </c>
      <c r="AD597" t="s">
        <v>74</v>
      </c>
      <c r="AE597" t="s">
        <v>74</v>
      </c>
      <c r="AF597" t="s">
        <v>74</v>
      </c>
      <c r="AG597" t="s">
        <v>74</v>
      </c>
      <c r="AH597" t="s">
        <v>74</v>
      </c>
      <c r="AI597" t="s">
        <v>74</v>
      </c>
      <c r="AJ597" t="s">
        <v>74</v>
      </c>
      <c r="AK597" t="s">
        <v>74</v>
      </c>
      <c r="AL597" t="s">
        <v>74</v>
      </c>
      <c r="AM597" t="s">
        <v>74</v>
      </c>
      <c r="AN597" t="s">
        <v>74</v>
      </c>
      <c r="AO597" t="s">
        <v>424</v>
      </c>
      <c r="AP597" t="s">
        <v>74</v>
      </c>
      <c r="AQ597" t="s">
        <v>74</v>
      </c>
      <c r="AR597" t="s">
        <v>74</v>
      </c>
      <c r="AS597" t="s">
        <v>74</v>
      </c>
      <c r="AT597" t="s">
        <v>425</v>
      </c>
      <c r="AU597">
        <v>2016</v>
      </c>
      <c r="AV597">
        <v>16</v>
      </c>
      <c r="AW597" t="s">
        <v>74</v>
      </c>
      <c r="AX597" t="s">
        <v>74</v>
      </c>
      <c r="AY597" t="s">
        <v>74</v>
      </c>
      <c r="AZ597" t="s">
        <v>74</v>
      </c>
      <c r="BA597" t="s">
        <v>74</v>
      </c>
      <c r="BB597" t="s">
        <v>74</v>
      </c>
      <c r="BC597" t="s">
        <v>74</v>
      </c>
      <c r="BD597">
        <v>3</v>
      </c>
      <c r="BE597" t="s">
        <v>426</v>
      </c>
      <c r="BF597" t="str">
        <f>HYPERLINK("http://dx.doi.org/10.1186/s12862-015-0569-9","http://dx.doi.org/10.1186/s12862-015-0569-9")</f>
        <v>http://dx.doi.org/10.1186/s12862-015-0569-9</v>
      </c>
      <c r="BG597" t="s">
        <v>74</v>
      </c>
      <c r="BH597" t="s">
        <v>74</v>
      </c>
      <c r="BI597" t="s">
        <v>74</v>
      </c>
      <c r="BJ597" t="s">
        <v>74</v>
      </c>
      <c r="BK597" t="s">
        <v>74</v>
      </c>
      <c r="BL597" t="s">
        <v>74</v>
      </c>
      <c r="BM597" t="s">
        <v>74</v>
      </c>
      <c r="BN597">
        <v>26729482</v>
      </c>
      <c r="BO597" t="s">
        <v>74</v>
      </c>
      <c r="BP597" t="s">
        <v>74</v>
      </c>
      <c r="BQ597" t="s">
        <v>74</v>
      </c>
      <c r="BR597" t="s">
        <v>74</v>
      </c>
      <c r="BS597" t="s">
        <v>427</v>
      </c>
      <c r="BT597" t="str">
        <f>HYPERLINK("https%3A%2F%2Fwww.webofscience.com%2Fwos%2Fwoscc%2Ffull-record%2FWOS:000367430900003","View Full Record in Web of Science")</f>
        <v>View Full Record in Web of Science</v>
      </c>
    </row>
    <row r="598" spans="1:72" x14ac:dyDescent="0.4">
      <c r="A598" t="s">
        <v>72</v>
      </c>
      <c r="B598" t="s">
        <v>405</v>
      </c>
      <c r="C598" t="s">
        <v>74</v>
      </c>
      <c r="D598" t="s">
        <v>74</v>
      </c>
      <c r="E598" t="s">
        <v>74</v>
      </c>
      <c r="F598" t="s">
        <v>406</v>
      </c>
      <c r="G598" t="s">
        <v>74</v>
      </c>
      <c r="H598" t="s">
        <v>74</v>
      </c>
      <c r="I598" t="s">
        <v>407</v>
      </c>
      <c r="J598" t="s">
        <v>408</v>
      </c>
      <c r="K598" t="s">
        <v>74</v>
      </c>
      <c r="L598" t="s">
        <v>74</v>
      </c>
      <c r="M598" t="s">
        <v>74</v>
      </c>
      <c r="N598" t="s">
        <v>74</v>
      </c>
      <c r="O598" t="s">
        <v>74</v>
      </c>
      <c r="P598" t="s">
        <v>74</v>
      </c>
      <c r="Q598" t="s">
        <v>74</v>
      </c>
      <c r="R598" t="s">
        <v>74</v>
      </c>
      <c r="S598" t="s">
        <v>74</v>
      </c>
      <c r="T598" t="s">
        <v>74</v>
      </c>
      <c r="U598" t="s">
        <v>74</v>
      </c>
      <c r="V598" s="3" t="s">
        <v>409</v>
      </c>
      <c r="W598" t="s">
        <v>74</v>
      </c>
      <c r="X598" t="s">
        <v>74</v>
      </c>
      <c r="Y598" t="s">
        <v>74</v>
      </c>
      <c r="Z598" t="s">
        <v>74</v>
      </c>
      <c r="AA598" t="s">
        <v>410</v>
      </c>
      <c r="AB598" t="s">
        <v>411</v>
      </c>
      <c r="AC598" t="s">
        <v>74</v>
      </c>
      <c r="AD598" t="s">
        <v>74</v>
      </c>
      <c r="AE598" t="s">
        <v>74</v>
      </c>
      <c r="AF598" t="s">
        <v>74</v>
      </c>
      <c r="AG598" t="s">
        <v>74</v>
      </c>
      <c r="AH598" t="s">
        <v>74</v>
      </c>
      <c r="AI598" t="s">
        <v>74</v>
      </c>
      <c r="AJ598" t="s">
        <v>74</v>
      </c>
      <c r="AK598" t="s">
        <v>74</v>
      </c>
      <c r="AL598" t="s">
        <v>74</v>
      </c>
      <c r="AM598" t="s">
        <v>74</v>
      </c>
      <c r="AN598" t="s">
        <v>74</v>
      </c>
      <c r="AO598" t="s">
        <v>412</v>
      </c>
      <c r="AP598" t="s">
        <v>413</v>
      </c>
      <c r="AQ598" t="s">
        <v>74</v>
      </c>
      <c r="AR598" t="s">
        <v>74</v>
      </c>
      <c r="AS598" t="s">
        <v>74</v>
      </c>
      <c r="AT598" t="s">
        <v>275</v>
      </c>
      <c r="AU598">
        <v>2022</v>
      </c>
      <c r="AV598">
        <v>136</v>
      </c>
      <c r="AW598">
        <v>1</v>
      </c>
      <c r="AX598" t="s">
        <v>74</v>
      </c>
      <c r="AY598" t="s">
        <v>74</v>
      </c>
      <c r="AZ598" t="s">
        <v>74</v>
      </c>
      <c r="BA598" t="s">
        <v>74</v>
      </c>
      <c r="BB598">
        <v>111</v>
      </c>
      <c r="BC598">
        <v>119</v>
      </c>
      <c r="BD598" t="s">
        <v>74</v>
      </c>
      <c r="BE598" t="s">
        <v>414</v>
      </c>
      <c r="BF598" t="str">
        <f>HYPERLINK("http://dx.doi.org/10.1093/biolinnean/blac014","http://dx.doi.org/10.1093/biolinnean/blac014")</f>
        <v>http://dx.doi.org/10.1093/biolinnean/blac014</v>
      </c>
      <c r="BG598" t="s">
        <v>74</v>
      </c>
      <c r="BH598" t="s">
        <v>415</v>
      </c>
      <c r="BI598" t="s">
        <v>74</v>
      </c>
      <c r="BJ598" t="s">
        <v>74</v>
      </c>
      <c r="BK598" t="s">
        <v>74</v>
      </c>
      <c r="BL598" t="s">
        <v>74</v>
      </c>
      <c r="BM598" t="s">
        <v>74</v>
      </c>
      <c r="BN598" t="s">
        <v>74</v>
      </c>
      <c r="BO598" t="s">
        <v>74</v>
      </c>
      <c r="BP598" t="s">
        <v>74</v>
      </c>
      <c r="BQ598" t="s">
        <v>74</v>
      </c>
      <c r="BR598" t="s">
        <v>74</v>
      </c>
      <c r="BS598" t="s">
        <v>416</v>
      </c>
      <c r="BT598" t="str">
        <f>HYPERLINK("https%3A%2F%2Fwww.webofscience.com%2Fwos%2Fwoscc%2Ffull-record%2FWOS:000768465800001","View Full Record in Web of Science")</f>
        <v>View Full Record in Web of Science</v>
      </c>
    </row>
    <row r="599" spans="1:72" x14ac:dyDescent="0.4">
      <c r="A599" t="s">
        <v>72</v>
      </c>
      <c r="B599" t="s">
        <v>1221</v>
      </c>
      <c r="C599" t="s">
        <v>74</v>
      </c>
      <c r="D599" t="s">
        <v>74</v>
      </c>
      <c r="E599" t="s">
        <v>74</v>
      </c>
      <c r="F599" t="s">
        <v>1222</v>
      </c>
      <c r="G599" t="s">
        <v>74</v>
      </c>
      <c r="H599" t="s">
        <v>74</v>
      </c>
      <c r="I599" t="s">
        <v>1223</v>
      </c>
      <c r="J599" t="s">
        <v>312</v>
      </c>
      <c r="K599" t="s">
        <v>74</v>
      </c>
      <c r="L599" t="s">
        <v>74</v>
      </c>
      <c r="M599" t="s">
        <v>74</v>
      </c>
      <c r="N599" t="s">
        <v>74</v>
      </c>
      <c r="O599" t="s">
        <v>74</v>
      </c>
      <c r="P599" t="s">
        <v>74</v>
      </c>
      <c r="Q599" t="s">
        <v>74</v>
      </c>
      <c r="R599" t="s">
        <v>74</v>
      </c>
      <c r="S599" t="s">
        <v>74</v>
      </c>
      <c r="T599" t="s">
        <v>74</v>
      </c>
      <c r="U599" t="s">
        <v>74</v>
      </c>
      <c r="V599" s="3" t="s">
        <v>1224</v>
      </c>
      <c r="W599" t="s">
        <v>74</v>
      </c>
      <c r="X599" t="s">
        <v>74</v>
      </c>
      <c r="Y599" t="s">
        <v>74</v>
      </c>
      <c r="Z599" t="s">
        <v>74</v>
      </c>
      <c r="AA599" t="s">
        <v>1225</v>
      </c>
      <c r="AB599" t="s">
        <v>1226</v>
      </c>
      <c r="AC599" t="s">
        <v>74</v>
      </c>
      <c r="AD599" t="s">
        <v>74</v>
      </c>
      <c r="AE599" t="s">
        <v>74</v>
      </c>
      <c r="AF599" t="s">
        <v>74</v>
      </c>
      <c r="AG599" t="s">
        <v>74</v>
      </c>
      <c r="AH599" t="s">
        <v>74</v>
      </c>
      <c r="AI599" t="s">
        <v>74</v>
      </c>
      <c r="AJ599" t="s">
        <v>74</v>
      </c>
      <c r="AK599" t="s">
        <v>74</v>
      </c>
      <c r="AL599" t="s">
        <v>74</v>
      </c>
      <c r="AM599" t="s">
        <v>74</v>
      </c>
      <c r="AN599" t="s">
        <v>74</v>
      </c>
      <c r="AO599" t="s">
        <v>314</v>
      </c>
      <c r="AP599" t="s">
        <v>315</v>
      </c>
      <c r="AQ599" t="s">
        <v>74</v>
      </c>
      <c r="AR599" t="s">
        <v>74</v>
      </c>
      <c r="AS599" t="s">
        <v>74</v>
      </c>
      <c r="AT599" t="s">
        <v>175</v>
      </c>
      <c r="AU599">
        <v>2015</v>
      </c>
      <c r="AV599">
        <v>186</v>
      </c>
      <c r="AW599">
        <v>4</v>
      </c>
      <c r="AX599" t="s">
        <v>74</v>
      </c>
      <c r="AY599" t="s">
        <v>74</v>
      </c>
      <c r="AZ599" t="s">
        <v>74</v>
      </c>
      <c r="BA599" t="s">
        <v>74</v>
      </c>
      <c r="BB599">
        <v>547</v>
      </c>
      <c r="BC599">
        <v>552</v>
      </c>
      <c r="BD599" t="s">
        <v>74</v>
      </c>
      <c r="BE599" t="s">
        <v>1227</v>
      </c>
      <c r="BF599" t="str">
        <f>HYPERLINK("http://dx.doi.org/10.1086/682711","http://dx.doi.org/10.1086/682711")</f>
        <v>http://dx.doi.org/10.1086/682711</v>
      </c>
      <c r="BG599" t="s">
        <v>74</v>
      </c>
      <c r="BH599" t="s">
        <v>74</v>
      </c>
      <c r="BI599" t="s">
        <v>74</v>
      </c>
      <c r="BJ599" t="s">
        <v>74</v>
      </c>
      <c r="BK599" t="s">
        <v>74</v>
      </c>
      <c r="BL599" t="s">
        <v>74</v>
      </c>
      <c r="BM599" t="s">
        <v>74</v>
      </c>
      <c r="BN599">
        <v>26655577</v>
      </c>
      <c r="BO599" t="s">
        <v>74</v>
      </c>
      <c r="BP599" t="s">
        <v>74</v>
      </c>
      <c r="BQ599" t="s">
        <v>74</v>
      </c>
      <c r="BR599" t="s">
        <v>74</v>
      </c>
      <c r="BS599" t="s">
        <v>1228</v>
      </c>
      <c r="BT599" t="str">
        <f>HYPERLINK("https%3A%2F%2Fwww.webofscience.com%2Fwos%2Fwoscc%2Ffull-record%2FWOS:000362840100013","View Full Record in Web of Science")</f>
        <v>View Full Record in Web of Science</v>
      </c>
    </row>
    <row r="600" spans="1:72" x14ac:dyDescent="0.4">
      <c r="A600" t="s">
        <v>72</v>
      </c>
      <c r="B600" t="s">
        <v>159</v>
      </c>
      <c r="C600" t="s">
        <v>74</v>
      </c>
      <c r="D600" t="s">
        <v>74</v>
      </c>
      <c r="E600" t="s">
        <v>74</v>
      </c>
      <c r="F600" t="s">
        <v>160</v>
      </c>
      <c r="G600" t="s">
        <v>74</v>
      </c>
      <c r="H600" t="s">
        <v>74</v>
      </c>
      <c r="I600" t="s">
        <v>161</v>
      </c>
      <c r="J600" t="s">
        <v>108</v>
      </c>
      <c r="K600" t="s">
        <v>74</v>
      </c>
      <c r="L600" t="s">
        <v>74</v>
      </c>
      <c r="M600" t="s">
        <v>74</v>
      </c>
      <c r="N600" t="s">
        <v>74</v>
      </c>
      <c r="O600" t="s">
        <v>74</v>
      </c>
      <c r="P600" t="s">
        <v>74</v>
      </c>
      <c r="Q600" t="s">
        <v>74</v>
      </c>
      <c r="R600" t="s">
        <v>74</v>
      </c>
      <c r="S600" t="s">
        <v>74</v>
      </c>
      <c r="T600" t="s">
        <v>74</v>
      </c>
      <c r="U600" t="s">
        <v>74</v>
      </c>
      <c r="V600" s="3" t="s">
        <v>162</v>
      </c>
      <c r="W600" t="s">
        <v>74</v>
      </c>
      <c r="X600" t="s">
        <v>74</v>
      </c>
      <c r="Y600" t="s">
        <v>74</v>
      </c>
      <c r="Z600" t="s">
        <v>74</v>
      </c>
      <c r="AA600" t="s">
        <v>163</v>
      </c>
      <c r="AB600" t="s">
        <v>164</v>
      </c>
      <c r="AC600" t="s">
        <v>74</v>
      </c>
      <c r="AD600" t="s">
        <v>74</v>
      </c>
      <c r="AE600" t="s">
        <v>74</v>
      </c>
      <c r="AF600" t="s">
        <v>74</v>
      </c>
      <c r="AG600" t="s">
        <v>74</v>
      </c>
      <c r="AH600" t="s">
        <v>74</v>
      </c>
      <c r="AI600" t="s">
        <v>74</v>
      </c>
      <c r="AJ600" t="s">
        <v>74</v>
      </c>
      <c r="AK600" t="s">
        <v>74</v>
      </c>
      <c r="AL600" t="s">
        <v>74</v>
      </c>
      <c r="AM600" t="s">
        <v>74</v>
      </c>
      <c r="AN600" t="s">
        <v>74</v>
      </c>
      <c r="AO600" t="s">
        <v>111</v>
      </c>
      <c r="AP600" t="s">
        <v>112</v>
      </c>
      <c r="AQ600" t="s">
        <v>74</v>
      </c>
      <c r="AR600" t="s">
        <v>74</v>
      </c>
      <c r="AS600" t="s">
        <v>74</v>
      </c>
      <c r="AT600" t="s">
        <v>165</v>
      </c>
      <c r="AU600">
        <v>2015</v>
      </c>
      <c r="AV600">
        <v>282</v>
      </c>
      <c r="AW600">
        <v>1815</v>
      </c>
      <c r="AX600" t="s">
        <v>74</v>
      </c>
      <c r="AY600" t="s">
        <v>74</v>
      </c>
      <c r="AZ600" t="s">
        <v>74</v>
      </c>
      <c r="BA600" t="s">
        <v>74</v>
      </c>
      <c r="BB600" t="s">
        <v>74</v>
      </c>
      <c r="BC600" t="s">
        <v>74</v>
      </c>
      <c r="BD600">
        <v>20151551</v>
      </c>
      <c r="BE600" t="s">
        <v>166</v>
      </c>
      <c r="BF600" t="str">
        <f>HYPERLINK("http://dx.doi.org/10.1098/rspb.2015.1551","http://dx.doi.org/10.1098/rspb.2015.1551")</f>
        <v>http://dx.doi.org/10.1098/rspb.2015.1551</v>
      </c>
      <c r="BG600" t="s">
        <v>74</v>
      </c>
      <c r="BH600" t="s">
        <v>74</v>
      </c>
      <c r="BI600" t="s">
        <v>74</v>
      </c>
      <c r="BJ600" t="s">
        <v>74</v>
      </c>
      <c r="BK600" t="s">
        <v>74</v>
      </c>
      <c r="BL600" t="s">
        <v>74</v>
      </c>
      <c r="BM600" t="s">
        <v>74</v>
      </c>
      <c r="BN600">
        <v>26378216</v>
      </c>
      <c r="BO600" t="s">
        <v>74</v>
      </c>
      <c r="BP600" t="s">
        <v>74</v>
      </c>
      <c r="BQ600" t="s">
        <v>74</v>
      </c>
      <c r="BR600" t="s">
        <v>74</v>
      </c>
      <c r="BS600" t="s">
        <v>167</v>
      </c>
      <c r="BT600" t="str">
        <f>HYPERLINK("https%3A%2F%2Fwww.webofscience.com%2Fwos%2Fwoscc%2Ffull-record%2FWOS:000363357100008","View Full Record in Web of Science")</f>
        <v>View Full Record in Web of Science</v>
      </c>
    </row>
    <row r="601" spans="1:72" x14ac:dyDescent="0.4">
      <c r="A601" t="s">
        <v>72</v>
      </c>
      <c r="B601" t="s">
        <v>4006</v>
      </c>
      <c r="C601" t="s">
        <v>74</v>
      </c>
      <c r="D601" t="s">
        <v>74</v>
      </c>
      <c r="E601" t="s">
        <v>74</v>
      </c>
      <c r="F601" t="s">
        <v>4007</v>
      </c>
      <c r="G601" t="s">
        <v>74</v>
      </c>
      <c r="H601" t="s">
        <v>74</v>
      </c>
      <c r="I601" t="s">
        <v>4008</v>
      </c>
      <c r="J601" t="s">
        <v>140</v>
      </c>
      <c r="K601" t="s">
        <v>74</v>
      </c>
      <c r="L601" t="s">
        <v>74</v>
      </c>
      <c r="M601" t="s">
        <v>74</v>
      </c>
      <c r="N601" t="s">
        <v>74</v>
      </c>
      <c r="O601" t="s">
        <v>74</v>
      </c>
      <c r="P601" t="s">
        <v>74</v>
      </c>
      <c r="Q601" t="s">
        <v>74</v>
      </c>
      <c r="R601" t="s">
        <v>74</v>
      </c>
      <c r="S601" t="s">
        <v>74</v>
      </c>
      <c r="T601" t="s">
        <v>74</v>
      </c>
      <c r="U601" t="s">
        <v>74</v>
      </c>
      <c r="V601" s="3" t="s">
        <v>4009</v>
      </c>
      <c r="W601" t="s">
        <v>74</v>
      </c>
      <c r="X601" t="s">
        <v>74</v>
      </c>
      <c r="Y601" t="s">
        <v>74</v>
      </c>
      <c r="Z601" t="s">
        <v>74</v>
      </c>
      <c r="AA601" t="s">
        <v>4010</v>
      </c>
      <c r="AB601" t="s">
        <v>4011</v>
      </c>
      <c r="AC601" t="s">
        <v>74</v>
      </c>
      <c r="AD601" t="s">
        <v>74</v>
      </c>
      <c r="AE601" t="s">
        <v>74</v>
      </c>
      <c r="AF601" t="s">
        <v>74</v>
      </c>
      <c r="AG601" t="s">
        <v>74</v>
      </c>
      <c r="AH601" t="s">
        <v>74</v>
      </c>
      <c r="AI601" t="s">
        <v>74</v>
      </c>
      <c r="AJ601" t="s">
        <v>74</v>
      </c>
      <c r="AK601" t="s">
        <v>74</v>
      </c>
      <c r="AL601" t="s">
        <v>74</v>
      </c>
      <c r="AM601" t="s">
        <v>74</v>
      </c>
      <c r="AN601" t="s">
        <v>74</v>
      </c>
      <c r="AO601" t="s">
        <v>143</v>
      </c>
      <c r="AP601" t="s">
        <v>144</v>
      </c>
      <c r="AQ601" t="s">
        <v>74</v>
      </c>
      <c r="AR601" t="s">
        <v>74</v>
      </c>
      <c r="AS601" t="s">
        <v>74</v>
      </c>
      <c r="AT601" t="s">
        <v>123</v>
      </c>
      <c r="AU601">
        <v>2018</v>
      </c>
      <c r="AV601">
        <v>137</v>
      </c>
      <c r="AW601" t="s">
        <v>74</v>
      </c>
      <c r="AX601" t="s">
        <v>74</v>
      </c>
      <c r="AY601" t="s">
        <v>74</v>
      </c>
      <c r="AZ601" t="s">
        <v>74</v>
      </c>
      <c r="BA601" t="s">
        <v>74</v>
      </c>
      <c r="BB601">
        <v>141</v>
      </c>
      <c r="BC601">
        <v>148</v>
      </c>
      <c r="BD601" t="s">
        <v>74</v>
      </c>
      <c r="BE601" t="s">
        <v>4012</v>
      </c>
      <c r="BF601" t="str">
        <f>HYPERLINK("http://dx.doi.org/10.1016/j.anbehav.2018.01.012","http://dx.doi.org/10.1016/j.anbehav.2018.01.012")</f>
        <v>http://dx.doi.org/10.1016/j.anbehav.2018.01.012</v>
      </c>
      <c r="BG601" t="s">
        <v>74</v>
      </c>
      <c r="BH601" t="s">
        <v>74</v>
      </c>
      <c r="BI601" t="s">
        <v>74</v>
      </c>
      <c r="BJ601" t="s">
        <v>74</v>
      </c>
      <c r="BK601" t="s">
        <v>74</v>
      </c>
      <c r="BL601" t="s">
        <v>74</v>
      </c>
      <c r="BM601" t="s">
        <v>74</v>
      </c>
      <c r="BN601" t="s">
        <v>74</v>
      </c>
      <c r="BO601" t="s">
        <v>74</v>
      </c>
      <c r="BP601" t="s">
        <v>74</v>
      </c>
      <c r="BQ601" t="s">
        <v>74</v>
      </c>
      <c r="BR601" t="s">
        <v>74</v>
      </c>
      <c r="BS601" t="s">
        <v>4013</v>
      </c>
      <c r="BT601" t="str">
        <f>HYPERLINK("https%3A%2F%2Fwww.webofscience.com%2Fwos%2Fwoscc%2Ffull-record%2FWOS:000427436600015","View Full Record in Web of Science")</f>
        <v>View Full Record in Web of Science</v>
      </c>
    </row>
    <row r="602" spans="1:72" x14ac:dyDescent="0.4">
      <c r="A602" t="s">
        <v>72</v>
      </c>
      <c r="B602" t="s">
        <v>6344</v>
      </c>
      <c r="C602" t="s">
        <v>74</v>
      </c>
      <c r="D602" t="s">
        <v>74</v>
      </c>
      <c r="E602" t="s">
        <v>74</v>
      </c>
      <c r="F602" t="s">
        <v>6345</v>
      </c>
      <c r="G602" t="s">
        <v>74</v>
      </c>
      <c r="H602" t="s">
        <v>74</v>
      </c>
      <c r="I602" t="s">
        <v>6346</v>
      </c>
      <c r="J602" t="s">
        <v>140</v>
      </c>
      <c r="K602" t="s">
        <v>74</v>
      </c>
      <c r="L602" t="s">
        <v>74</v>
      </c>
      <c r="M602" t="s">
        <v>74</v>
      </c>
      <c r="N602" t="s">
        <v>74</v>
      </c>
      <c r="O602" t="s">
        <v>74</v>
      </c>
      <c r="P602" t="s">
        <v>74</v>
      </c>
      <c r="Q602" t="s">
        <v>74</v>
      </c>
      <c r="R602" t="s">
        <v>74</v>
      </c>
      <c r="S602" t="s">
        <v>74</v>
      </c>
      <c r="T602" t="s">
        <v>74</v>
      </c>
      <c r="U602" t="s">
        <v>74</v>
      </c>
      <c r="V602" s="3" t="s">
        <v>6347</v>
      </c>
      <c r="W602" t="s">
        <v>74</v>
      </c>
      <c r="X602" t="s">
        <v>74</v>
      </c>
      <c r="Y602" t="s">
        <v>74</v>
      </c>
      <c r="Z602" t="s">
        <v>74</v>
      </c>
      <c r="AA602" t="s">
        <v>6348</v>
      </c>
      <c r="AB602" t="s">
        <v>6349</v>
      </c>
      <c r="AC602" t="s">
        <v>74</v>
      </c>
      <c r="AD602" t="s">
        <v>74</v>
      </c>
      <c r="AE602" t="s">
        <v>74</v>
      </c>
      <c r="AF602" t="s">
        <v>74</v>
      </c>
      <c r="AG602" t="s">
        <v>74</v>
      </c>
      <c r="AH602" t="s">
        <v>74</v>
      </c>
      <c r="AI602" t="s">
        <v>74</v>
      </c>
      <c r="AJ602" t="s">
        <v>74</v>
      </c>
      <c r="AK602" t="s">
        <v>74</v>
      </c>
      <c r="AL602" t="s">
        <v>74</v>
      </c>
      <c r="AM602" t="s">
        <v>74</v>
      </c>
      <c r="AN602" t="s">
        <v>74</v>
      </c>
      <c r="AO602" t="s">
        <v>143</v>
      </c>
      <c r="AP602" t="s">
        <v>144</v>
      </c>
      <c r="AQ602" t="s">
        <v>74</v>
      </c>
      <c r="AR602" t="s">
        <v>74</v>
      </c>
      <c r="AS602" t="s">
        <v>74</v>
      </c>
      <c r="AT602" t="s">
        <v>305</v>
      </c>
      <c r="AU602">
        <v>2015</v>
      </c>
      <c r="AV602">
        <v>110</v>
      </c>
      <c r="AW602" t="s">
        <v>74</v>
      </c>
      <c r="AX602" t="s">
        <v>74</v>
      </c>
      <c r="AY602" t="s">
        <v>74</v>
      </c>
      <c r="AZ602" t="s">
        <v>74</v>
      </c>
      <c r="BA602" t="s">
        <v>74</v>
      </c>
      <c r="BB602">
        <v>155</v>
      </c>
      <c r="BC602">
        <v>161</v>
      </c>
      <c r="BD602" t="s">
        <v>74</v>
      </c>
      <c r="BE602" t="s">
        <v>6350</v>
      </c>
      <c r="BF602" t="str">
        <f>HYPERLINK("http://dx.doi.org/10.1016/j.anbehav.2015.09.025","http://dx.doi.org/10.1016/j.anbehav.2015.09.025")</f>
        <v>http://dx.doi.org/10.1016/j.anbehav.2015.09.025</v>
      </c>
      <c r="BG602" t="s">
        <v>74</v>
      </c>
      <c r="BH602" t="s">
        <v>74</v>
      </c>
      <c r="BI602" t="s">
        <v>74</v>
      </c>
      <c r="BJ602" t="s">
        <v>74</v>
      </c>
      <c r="BK602" t="s">
        <v>74</v>
      </c>
      <c r="BL602" t="s">
        <v>74</v>
      </c>
      <c r="BM602" t="s">
        <v>74</v>
      </c>
      <c r="BN602" t="s">
        <v>74</v>
      </c>
      <c r="BO602" t="s">
        <v>74</v>
      </c>
      <c r="BP602" t="s">
        <v>74</v>
      </c>
      <c r="BQ602" t="s">
        <v>74</v>
      </c>
      <c r="BR602" t="s">
        <v>74</v>
      </c>
      <c r="BS602" t="s">
        <v>6351</v>
      </c>
      <c r="BT602" t="str">
        <f>HYPERLINK("https%3A%2F%2Fwww.webofscience.com%2Fwos%2Fwoscc%2Ffull-record%2FWOS:000366731500022","View Full Record in Web of Science")</f>
        <v>View Full Record in Web of Science</v>
      </c>
    </row>
    <row r="603" spans="1:72" x14ac:dyDescent="0.4">
      <c r="A603" t="s">
        <v>72</v>
      </c>
      <c r="B603" t="s">
        <v>627</v>
      </c>
      <c r="C603" t="s">
        <v>74</v>
      </c>
      <c r="D603" t="s">
        <v>74</v>
      </c>
      <c r="E603" t="s">
        <v>74</v>
      </c>
      <c r="F603" t="s">
        <v>628</v>
      </c>
      <c r="G603" t="s">
        <v>74</v>
      </c>
      <c r="H603" t="s">
        <v>74</v>
      </c>
      <c r="I603" t="s">
        <v>629</v>
      </c>
      <c r="J603" t="s">
        <v>140</v>
      </c>
      <c r="K603" t="s">
        <v>74</v>
      </c>
      <c r="L603" t="s">
        <v>74</v>
      </c>
      <c r="M603" t="s">
        <v>74</v>
      </c>
      <c r="N603" t="s">
        <v>74</v>
      </c>
      <c r="O603" t="s">
        <v>74</v>
      </c>
      <c r="P603" t="s">
        <v>74</v>
      </c>
      <c r="Q603" t="s">
        <v>74</v>
      </c>
      <c r="R603" t="s">
        <v>74</v>
      </c>
      <c r="S603" t="s">
        <v>74</v>
      </c>
      <c r="T603" t="s">
        <v>74</v>
      </c>
      <c r="U603" t="s">
        <v>74</v>
      </c>
      <c r="V603" s="3" t="s">
        <v>630</v>
      </c>
      <c r="W603" t="s">
        <v>74</v>
      </c>
      <c r="X603" t="s">
        <v>74</v>
      </c>
      <c r="Y603" t="s">
        <v>74</v>
      </c>
      <c r="Z603" t="s">
        <v>74</v>
      </c>
      <c r="AA603" t="s">
        <v>631</v>
      </c>
      <c r="AB603" t="s">
        <v>632</v>
      </c>
      <c r="AC603" t="s">
        <v>74</v>
      </c>
      <c r="AD603" t="s">
        <v>74</v>
      </c>
      <c r="AE603" t="s">
        <v>74</v>
      </c>
      <c r="AF603" t="s">
        <v>74</v>
      </c>
      <c r="AG603" t="s">
        <v>74</v>
      </c>
      <c r="AH603" t="s">
        <v>74</v>
      </c>
      <c r="AI603" t="s">
        <v>74</v>
      </c>
      <c r="AJ603" t="s">
        <v>74</v>
      </c>
      <c r="AK603" t="s">
        <v>74</v>
      </c>
      <c r="AL603" t="s">
        <v>74</v>
      </c>
      <c r="AM603" t="s">
        <v>74</v>
      </c>
      <c r="AN603" t="s">
        <v>74</v>
      </c>
      <c r="AO603" t="s">
        <v>143</v>
      </c>
      <c r="AP603" t="s">
        <v>144</v>
      </c>
      <c r="AQ603" t="s">
        <v>74</v>
      </c>
      <c r="AR603" t="s">
        <v>74</v>
      </c>
      <c r="AS603" t="s">
        <v>74</v>
      </c>
      <c r="AT603" t="s">
        <v>633</v>
      </c>
      <c r="AU603">
        <v>2019</v>
      </c>
      <c r="AV603">
        <v>150</v>
      </c>
      <c r="AW603" t="s">
        <v>74</v>
      </c>
      <c r="AX603" t="s">
        <v>74</v>
      </c>
      <c r="AY603" t="s">
        <v>74</v>
      </c>
      <c r="AZ603" t="s">
        <v>74</v>
      </c>
      <c r="BA603" t="s">
        <v>74</v>
      </c>
      <c r="BB603">
        <v>285</v>
      </c>
      <c r="BC603">
        <v>301</v>
      </c>
      <c r="BD603" t="s">
        <v>74</v>
      </c>
      <c r="BE603" t="s">
        <v>634</v>
      </c>
      <c r="BF603" t="str">
        <f>HYPERLINK("http://dx.doi.org/10.1016/j.anbehav.2019.01.025","http://dx.doi.org/10.1016/j.anbehav.2019.01.025")</f>
        <v>http://dx.doi.org/10.1016/j.anbehav.2019.01.025</v>
      </c>
      <c r="BG603" t="s">
        <v>74</v>
      </c>
      <c r="BH603" t="s">
        <v>74</v>
      </c>
      <c r="BI603" t="s">
        <v>74</v>
      </c>
      <c r="BJ603" t="s">
        <v>74</v>
      </c>
      <c r="BK603" t="s">
        <v>74</v>
      </c>
      <c r="BL603" t="s">
        <v>74</v>
      </c>
      <c r="BM603" t="s">
        <v>74</v>
      </c>
      <c r="BN603" t="s">
        <v>74</v>
      </c>
      <c r="BO603" t="s">
        <v>74</v>
      </c>
      <c r="BP603" t="s">
        <v>74</v>
      </c>
      <c r="BQ603" t="s">
        <v>74</v>
      </c>
      <c r="BR603" t="s">
        <v>74</v>
      </c>
      <c r="BS603" t="s">
        <v>635</v>
      </c>
      <c r="BT603" t="str">
        <f>HYPERLINK("https%3A%2F%2Fwww.webofscience.com%2Fwos%2Fwoscc%2Ffull-record%2FWOS:000463590000025","View Full Record in Web of Science")</f>
        <v>View Full Record in Web of Science</v>
      </c>
    </row>
    <row r="604" spans="1:72" x14ac:dyDescent="0.4">
      <c r="A604" t="s">
        <v>72</v>
      </c>
      <c r="B604" t="s">
        <v>8042</v>
      </c>
      <c r="C604" t="s">
        <v>74</v>
      </c>
      <c r="D604" t="s">
        <v>74</v>
      </c>
      <c r="E604" t="s">
        <v>74</v>
      </c>
      <c r="F604" t="s">
        <v>8043</v>
      </c>
      <c r="G604" t="s">
        <v>74</v>
      </c>
      <c r="H604" t="s">
        <v>74</v>
      </c>
      <c r="I604" t="s">
        <v>8044</v>
      </c>
      <c r="J604" t="s">
        <v>129</v>
      </c>
      <c r="K604" t="s">
        <v>74</v>
      </c>
      <c r="L604" t="s">
        <v>74</v>
      </c>
      <c r="M604" t="s">
        <v>74</v>
      </c>
      <c r="N604" t="s">
        <v>74</v>
      </c>
      <c r="O604" t="s">
        <v>74</v>
      </c>
      <c r="P604" t="s">
        <v>74</v>
      </c>
      <c r="Q604" t="s">
        <v>74</v>
      </c>
      <c r="R604" t="s">
        <v>74</v>
      </c>
      <c r="S604" t="s">
        <v>74</v>
      </c>
      <c r="T604" t="s">
        <v>74</v>
      </c>
      <c r="U604" t="s">
        <v>74</v>
      </c>
      <c r="V604" s="3" t="s">
        <v>8045</v>
      </c>
      <c r="W604" t="s">
        <v>74</v>
      </c>
      <c r="X604" t="s">
        <v>74</v>
      </c>
      <c r="Y604" t="s">
        <v>74</v>
      </c>
      <c r="Z604" t="s">
        <v>74</v>
      </c>
      <c r="AA604" t="s">
        <v>8046</v>
      </c>
      <c r="AB604" t="s">
        <v>8047</v>
      </c>
      <c r="AC604" t="s">
        <v>74</v>
      </c>
      <c r="AD604" t="s">
        <v>74</v>
      </c>
      <c r="AE604" t="s">
        <v>74</v>
      </c>
      <c r="AF604" t="s">
        <v>74</v>
      </c>
      <c r="AG604" t="s">
        <v>74</v>
      </c>
      <c r="AH604" t="s">
        <v>74</v>
      </c>
      <c r="AI604" t="s">
        <v>74</v>
      </c>
      <c r="AJ604" t="s">
        <v>74</v>
      </c>
      <c r="AK604" t="s">
        <v>74</v>
      </c>
      <c r="AL604" t="s">
        <v>74</v>
      </c>
      <c r="AM604" t="s">
        <v>74</v>
      </c>
      <c r="AN604" t="s">
        <v>74</v>
      </c>
      <c r="AO604" t="s">
        <v>132</v>
      </c>
      <c r="AP604" t="s">
        <v>133</v>
      </c>
      <c r="AQ604" t="s">
        <v>74</v>
      </c>
      <c r="AR604" t="s">
        <v>74</v>
      </c>
      <c r="AS604" t="s">
        <v>74</v>
      </c>
      <c r="AT604" t="s">
        <v>213</v>
      </c>
      <c r="AU604">
        <v>2013</v>
      </c>
      <c r="AV604">
        <v>67</v>
      </c>
      <c r="AW604">
        <v>11</v>
      </c>
      <c r="AX604" t="s">
        <v>74</v>
      </c>
      <c r="AY604" t="s">
        <v>74</v>
      </c>
      <c r="AZ604" t="s">
        <v>74</v>
      </c>
      <c r="BA604" t="s">
        <v>74</v>
      </c>
      <c r="BB604">
        <v>1817</v>
      </c>
      <c r="BC604">
        <v>1824</v>
      </c>
      <c r="BD604" t="s">
        <v>74</v>
      </c>
      <c r="BE604" t="s">
        <v>8048</v>
      </c>
      <c r="BF604" t="str">
        <f>HYPERLINK("http://dx.doi.org/10.1007/s00265-013-1591-9","http://dx.doi.org/10.1007/s00265-013-1591-9")</f>
        <v>http://dx.doi.org/10.1007/s00265-013-1591-9</v>
      </c>
      <c r="BG604" t="s">
        <v>74</v>
      </c>
      <c r="BH604" t="s">
        <v>74</v>
      </c>
      <c r="BI604" t="s">
        <v>74</v>
      </c>
      <c r="BJ604" t="s">
        <v>74</v>
      </c>
      <c r="BK604" t="s">
        <v>74</v>
      </c>
      <c r="BL604" t="s">
        <v>74</v>
      </c>
      <c r="BM604" t="s">
        <v>74</v>
      </c>
      <c r="BN604" t="s">
        <v>74</v>
      </c>
      <c r="BO604" t="s">
        <v>74</v>
      </c>
      <c r="BP604" t="s">
        <v>74</v>
      </c>
      <c r="BQ604" t="s">
        <v>74</v>
      </c>
      <c r="BR604" t="s">
        <v>74</v>
      </c>
      <c r="BS604" t="s">
        <v>8049</v>
      </c>
      <c r="BT604" t="str">
        <f>HYPERLINK("https%3A%2F%2Fwww.webofscience.com%2Fwos%2Fwoscc%2Ffull-record%2FWOS:000325765800010","View Full Record in Web of Science")</f>
        <v>View Full Record in Web of Science</v>
      </c>
    </row>
    <row r="605" spans="1:72" x14ac:dyDescent="0.4">
      <c r="A605" t="s">
        <v>72</v>
      </c>
      <c r="B605" t="s">
        <v>6451</v>
      </c>
      <c r="C605" t="s">
        <v>74</v>
      </c>
      <c r="D605" t="s">
        <v>74</v>
      </c>
      <c r="E605" t="s">
        <v>74</v>
      </c>
      <c r="F605" t="s">
        <v>6452</v>
      </c>
      <c r="G605" t="s">
        <v>74</v>
      </c>
      <c r="H605" t="s">
        <v>74</v>
      </c>
      <c r="I605" t="s">
        <v>6453</v>
      </c>
      <c r="J605" t="s">
        <v>6454</v>
      </c>
      <c r="K605" t="s">
        <v>74</v>
      </c>
      <c r="L605" t="s">
        <v>74</v>
      </c>
      <c r="M605" t="s">
        <v>74</v>
      </c>
      <c r="N605" t="s">
        <v>74</v>
      </c>
      <c r="O605" t="s">
        <v>74</v>
      </c>
      <c r="P605" t="s">
        <v>74</v>
      </c>
      <c r="Q605" t="s">
        <v>74</v>
      </c>
      <c r="R605" t="s">
        <v>74</v>
      </c>
      <c r="S605" t="s">
        <v>74</v>
      </c>
      <c r="T605" t="s">
        <v>74</v>
      </c>
      <c r="U605" t="s">
        <v>74</v>
      </c>
      <c r="V605" s="3" t="s">
        <v>6455</v>
      </c>
      <c r="W605" t="s">
        <v>74</v>
      </c>
      <c r="X605" t="s">
        <v>74</v>
      </c>
      <c r="Y605" t="s">
        <v>74</v>
      </c>
      <c r="Z605" t="s">
        <v>74</v>
      </c>
      <c r="AA605" t="s">
        <v>6456</v>
      </c>
      <c r="AB605" t="s">
        <v>6457</v>
      </c>
      <c r="AC605" t="s">
        <v>74</v>
      </c>
      <c r="AD605" t="s">
        <v>74</v>
      </c>
      <c r="AE605" t="s">
        <v>74</v>
      </c>
      <c r="AF605" t="s">
        <v>74</v>
      </c>
      <c r="AG605" t="s">
        <v>74</v>
      </c>
      <c r="AH605" t="s">
        <v>74</v>
      </c>
      <c r="AI605" t="s">
        <v>74</v>
      </c>
      <c r="AJ605" t="s">
        <v>74</v>
      </c>
      <c r="AK605" t="s">
        <v>74</v>
      </c>
      <c r="AL605" t="s">
        <v>74</v>
      </c>
      <c r="AM605" t="s">
        <v>74</v>
      </c>
      <c r="AN605" t="s">
        <v>74</v>
      </c>
      <c r="AO605" t="s">
        <v>6458</v>
      </c>
      <c r="AP605" t="s">
        <v>6459</v>
      </c>
      <c r="AQ605" t="s">
        <v>74</v>
      </c>
      <c r="AR605" t="s">
        <v>74</v>
      </c>
      <c r="AS605" t="s">
        <v>74</v>
      </c>
      <c r="AT605" t="s">
        <v>74</v>
      </c>
      <c r="AU605">
        <v>2020</v>
      </c>
      <c r="AV605">
        <v>72</v>
      </c>
      <c r="AW605">
        <v>1</v>
      </c>
      <c r="AX605" t="s">
        <v>74</v>
      </c>
      <c r="AY605" t="s">
        <v>74</v>
      </c>
      <c r="AZ605" t="s">
        <v>74</v>
      </c>
      <c r="BA605" t="s">
        <v>74</v>
      </c>
      <c r="BB605">
        <v>45</v>
      </c>
      <c r="BC605">
        <v>52</v>
      </c>
      <c r="BD605" t="s">
        <v>74</v>
      </c>
      <c r="BE605" t="s">
        <v>6460</v>
      </c>
      <c r="BF605" t="str">
        <f>HYPERLINK("http://dx.doi.org/10.2298/ABS190823065L","http://dx.doi.org/10.2298/ABS190823065L")</f>
        <v>http://dx.doi.org/10.2298/ABS190823065L</v>
      </c>
      <c r="BG605" t="s">
        <v>74</v>
      </c>
      <c r="BH605" t="s">
        <v>74</v>
      </c>
      <c r="BI605" t="s">
        <v>74</v>
      </c>
      <c r="BJ605" t="s">
        <v>74</v>
      </c>
      <c r="BK605" t="s">
        <v>74</v>
      </c>
      <c r="BL605" t="s">
        <v>74</v>
      </c>
      <c r="BM605" t="s">
        <v>74</v>
      </c>
      <c r="BN605" t="s">
        <v>74</v>
      </c>
      <c r="BO605" t="s">
        <v>74</v>
      </c>
      <c r="BP605" t="s">
        <v>74</v>
      </c>
      <c r="BQ605" t="s">
        <v>74</v>
      </c>
      <c r="BR605" t="s">
        <v>74</v>
      </c>
      <c r="BS605" t="s">
        <v>6461</v>
      </c>
      <c r="BT605" t="str">
        <f>HYPERLINK("https%3A%2F%2Fwww.webofscience.com%2Fwos%2Fwoscc%2Ffull-record%2FWOS:000524505000006","View Full Record in Web of Science")</f>
        <v>View Full Record in Web of Science</v>
      </c>
    </row>
    <row r="606" spans="1:72" x14ac:dyDescent="0.4">
      <c r="A606" t="s">
        <v>72</v>
      </c>
      <c r="B606" t="s">
        <v>8629</v>
      </c>
      <c r="C606" t="s">
        <v>74</v>
      </c>
      <c r="D606" t="s">
        <v>74</v>
      </c>
      <c r="E606" t="s">
        <v>74</v>
      </c>
      <c r="F606" t="s">
        <v>8630</v>
      </c>
      <c r="G606" t="s">
        <v>74</v>
      </c>
      <c r="H606" t="s">
        <v>74</v>
      </c>
      <c r="I606" t="s">
        <v>8631</v>
      </c>
      <c r="J606" t="s">
        <v>842</v>
      </c>
      <c r="K606" t="s">
        <v>74</v>
      </c>
      <c r="L606" t="s">
        <v>74</v>
      </c>
      <c r="M606" t="s">
        <v>74</v>
      </c>
      <c r="N606" t="s">
        <v>74</v>
      </c>
      <c r="O606" t="s">
        <v>74</v>
      </c>
      <c r="P606" t="s">
        <v>74</v>
      </c>
      <c r="Q606" t="s">
        <v>74</v>
      </c>
      <c r="R606" t="s">
        <v>74</v>
      </c>
      <c r="S606" t="s">
        <v>74</v>
      </c>
      <c r="T606" t="s">
        <v>74</v>
      </c>
      <c r="U606" t="s">
        <v>74</v>
      </c>
      <c r="V606" s="3" t="s">
        <v>8632</v>
      </c>
      <c r="W606" t="s">
        <v>74</v>
      </c>
      <c r="X606" t="s">
        <v>74</v>
      </c>
      <c r="Y606" t="s">
        <v>74</v>
      </c>
      <c r="Z606" t="s">
        <v>74</v>
      </c>
      <c r="AA606" t="s">
        <v>8633</v>
      </c>
      <c r="AB606" t="s">
        <v>8634</v>
      </c>
      <c r="AC606" t="s">
        <v>74</v>
      </c>
      <c r="AD606" t="s">
        <v>74</v>
      </c>
      <c r="AE606" t="s">
        <v>74</v>
      </c>
      <c r="AF606" t="s">
        <v>74</v>
      </c>
      <c r="AG606" t="s">
        <v>74</v>
      </c>
      <c r="AH606" t="s">
        <v>74</v>
      </c>
      <c r="AI606" t="s">
        <v>74</v>
      </c>
      <c r="AJ606" t="s">
        <v>74</v>
      </c>
      <c r="AK606" t="s">
        <v>74</v>
      </c>
      <c r="AL606" t="s">
        <v>74</v>
      </c>
      <c r="AM606" t="s">
        <v>74</v>
      </c>
      <c r="AN606" t="s">
        <v>74</v>
      </c>
      <c r="AO606" t="s">
        <v>846</v>
      </c>
      <c r="AP606" t="s">
        <v>847</v>
      </c>
      <c r="AQ606" t="s">
        <v>74</v>
      </c>
      <c r="AR606" t="s">
        <v>74</v>
      </c>
      <c r="AS606" t="s">
        <v>74</v>
      </c>
      <c r="AT606" t="s">
        <v>102</v>
      </c>
      <c r="AU606">
        <v>2022</v>
      </c>
      <c r="AV606">
        <v>84</v>
      </c>
      <c r="AW606">
        <v>6</v>
      </c>
      <c r="AX606" t="s">
        <v>74</v>
      </c>
      <c r="AY606" t="s">
        <v>74</v>
      </c>
      <c r="AZ606" t="s">
        <v>74</v>
      </c>
      <c r="BA606" t="s">
        <v>74</v>
      </c>
      <c r="BB606" t="s">
        <v>74</v>
      </c>
      <c r="BC606" t="s">
        <v>74</v>
      </c>
      <c r="BD606" t="s">
        <v>8635</v>
      </c>
      <c r="BE606" t="s">
        <v>8636</v>
      </c>
      <c r="BF606" t="str">
        <f>HYPERLINK("http://dx.doi.org/10.1002/ajp.23305","http://dx.doi.org/10.1002/ajp.23305")</f>
        <v>http://dx.doi.org/10.1002/ajp.23305</v>
      </c>
      <c r="BG606" t="s">
        <v>74</v>
      </c>
      <c r="BH606" t="s">
        <v>3826</v>
      </c>
      <c r="BI606" t="s">
        <v>74</v>
      </c>
      <c r="BJ606" t="s">
        <v>74</v>
      </c>
      <c r="BK606" t="s">
        <v>74</v>
      </c>
      <c r="BL606" t="s">
        <v>74</v>
      </c>
      <c r="BM606" t="s">
        <v>74</v>
      </c>
      <c r="BN606">
        <v>34270104</v>
      </c>
      <c r="BO606" t="s">
        <v>74</v>
      </c>
      <c r="BP606" t="s">
        <v>74</v>
      </c>
      <c r="BQ606" t="s">
        <v>74</v>
      </c>
      <c r="BR606" t="s">
        <v>74</v>
      </c>
      <c r="BS606" t="s">
        <v>8637</v>
      </c>
      <c r="BT606" t="str">
        <f>HYPERLINK("https%3A%2F%2Fwww.webofscience.com%2Fwos%2Fwoscc%2Ffull-record%2FWOS:000673989800001","View Full Record in Web of Science")</f>
        <v>View Full Record in Web of Science</v>
      </c>
    </row>
    <row r="607" spans="1:72" x14ac:dyDescent="0.4">
      <c r="A607" t="s">
        <v>72</v>
      </c>
      <c r="B607" t="s">
        <v>3682</v>
      </c>
      <c r="C607" t="s">
        <v>74</v>
      </c>
      <c r="D607" t="s">
        <v>74</v>
      </c>
      <c r="E607" t="s">
        <v>74</v>
      </c>
      <c r="F607" t="s">
        <v>3682</v>
      </c>
      <c r="G607" t="s">
        <v>74</v>
      </c>
      <c r="H607" t="s">
        <v>74</v>
      </c>
      <c r="I607" t="s">
        <v>3683</v>
      </c>
      <c r="J607" t="s">
        <v>1341</v>
      </c>
      <c r="K607" t="s">
        <v>74</v>
      </c>
      <c r="L607" t="s">
        <v>74</v>
      </c>
      <c r="M607" t="s">
        <v>74</v>
      </c>
      <c r="N607" t="s">
        <v>74</v>
      </c>
      <c r="O607" t="s">
        <v>74</v>
      </c>
      <c r="P607" t="s">
        <v>74</v>
      </c>
      <c r="Q607" t="s">
        <v>74</v>
      </c>
      <c r="R607" t="s">
        <v>74</v>
      </c>
      <c r="S607" t="s">
        <v>74</v>
      </c>
      <c r="T607" t="s">
        <v>74</v>
      </c>
      <c r="U607" t="s">
        <v>74</v>
      </c>
      <c r="V607" s="3" t="s">
        <v>3684</v>
      </c>
      <c r="W607" t="s">
        <v>74</v>
      </c>
      <c r="X607" t="s">
        <v>74</v>
      </c>
      <c r="Y607" t="s">
        <v>74</v>
      </c>
      <c r="Z607" t="s">
        <v>74</v>
      </c>
      <c r="AA607" t="s">
        <v>3685</v>
      </c>
      <c r="AB607" t="s">
        <v>74</v>
      </c>
      <c r="AC607" t="s">
        <v>74</v>
      </c>
      <c r="AD607" t="s">
        <v>74</v>
      </c>
      <c r="AE607" t="s">
        <v>74</v>
      </c>
      <c r="AF607" t="s">
        <v>74</v>
      </c>
      <c r="AG607" t="s">
        <v>74</v>
      </c>
      <c r="AH607" t="s">
        <v>74</v>
      </c>
      <c r="AI607" t="s">
        <v>74</v>
      </c>
      <c r="AJ607" t="s">
        <v>74</v>
      </c>
      <c r="AK607" t="s">
        <v>74</v>
      </c>
      <c r="AL607" t="s">
        <v>74</v>
      </c>
      <c r="AM607" t="s">
        <v>74</v>
      </c>
      <c r="AN607" t="s">
        <v>74</v>
      </c>
      <c r="AO607" t="s">
        <v>1343</v>
      </c>
      <c r="AP607" t="s">
        <v>3686</v>
      </c>
      <c r="AQ607" t="s">
        <v>74</v>
      </c>
      <c r="AR607" t="s">
        <v>74</v>
      </c>
      <c r="AS607" t="s">
        <v>74</v>
      </c>
      <c r="AT607" t="s">
        <v>204</v>
      </c>
      <c r="AU607">
        <v>2005</v>
      </c>
      <c r="AV607">
        <v>51</v>
      </c>
      <c r="AW607">
        <v>7</v>
      </c>
      <c r="AX607" t="s">
        <v>74</v>
      </c>
      <c r="AY607" t="s">
        <v>74</v>
      </c>
      <c r="AZ607" t="s">
        <v>74</v>
      </c>
      <c r="BA607" t="s">
        <v>74</v>
      </c>
      <c r="BB607">
        <v>737</v>
      </c>
      <c r="BC607">
        <v>747</v>
      </c>
      <c r="BD607" t="s">
        <v>74</v>
      </c>
      <c r="BE607" t="s">
        <v>3687</v>
      </c>
      <c r="BF607" t="str">
        <f>HYPERLINK("http://dx.doi.org/10.1016/j.jinsphys.2005.03.015","http://dx.doi.org/10.1016/j.jinsphys.2005.03.015")</f>
        <v>http://dx.doi.org/10.1016/j.jinsphys.2005.03.015</v>
      </c>
      <c r="BG607" t="s">
        <v>74</v>
      </c>
      <c r="BH607" t="s">
        <v>74</v>
      </c>
      <c r="BI607" t="s">
        <v>74</v>
      </c>
      <c r="BJ607" t="s">
        <v>74</v>
      </c>
      <c r="BK607" t="s">
        <v>74</v>
      </c>
      <c r="BL607" t="s">
        <v>74</v>
      </c>
      <c r="BM607" t="s">
        <v>74</v>
      </c>
      <c r="BN607" t="s">
        <v>74</v>
      </c>
      <c r="BO607" t="s">
        <v>74</v>
      </c>
      <c r="BP607" t="s">
        <v>74</v>
      </c>
      <c r="BQ607" t="s">
        <v>74</v>
      </c>
      <c r="BR607" t="s">
        <v>74</v>
      </c>
      <c r="BS607" t="s">
        <v>3688</v>
      </c>
      <c r="BT607" t="str">
        <f>HYPERLINK("https%3A%2F%2Fwww.webofscience.com%2Fwos%2Fwoscc%2Ffull-record%2FWOS:000231717400001","View Full Record in Web of Science")</f>
        <v>View Full Record in Web of Science</v>
      </c>
    </row>
    <row r="608" spans="1:72" x14ac:dyDescent="0.4">
      <c r="A608" t="s">
        <v>72</v>
      </c>
      <c r="B608" t="s">
        <v>5416</v>
      </c>
      <c r="C608" t="s">
        <v>74</v>
      </c>
      <c r="D608" t="s">
        <v>74</v>
      </c>
      <c r="E608" t="s">
        <v>74</v>
      </c>
      <c r="F608" t="s">
        <v>5417</v>
      </c>
      <c r="G608" t="s">
        <v>74</v>
      </c>
      <c r="H608" t="s">
        <v>74</v>
      </c>
      <c r="I608" t="s">
        <v>5418</v>
      </c>
      <c r="J608" t="s">
        <v>1396</v>
      </c>
      <c r="K608" t="s">
        <v>74</v>
      </c>
      <c r="L608" t="s">
        <v>74</v>
      </c>
      <c r="M608" t="s">
        <v>74</v>
      </c>
      <c r="N608" t="s">
        <v>74</v>
      </c>
      <c r="O608" t="s">
        <v>74</v>
      </c>
      <c r="P608" t="s">
        <v>74</v>
      </c>
      <c r="Q608" t="s">
        <v>74</v>
      </c>
      <c r="R608" t="s">
        <v>74</v>
      </c>
      <c r="S608" t="s">
        <v>74</v>
      </c>
      <c r="T608" t="s">
        <v>74</v>
      </c>
      <c r="U608" t="s">
        <v>74</v>
      </c>
      <c r="V608" s="3" t="s">
        <v>5419</v>
      </c>
      <c r="W608" t="s">
        <v>74</v>
      </c>
      <c r="X608" t="s">
        <v>74</v>
      </c>
      <c r="Y608" t="s">
        <v>74</v>
      </c>
      <c r="Z608" t="s">
        <v>74</v>
      </c>
      <c r="AA608" t="s">
        <v>5420</v>
      </c>
      <c r="AB608" t="s">
        <v>5421</v>
      </c>
      <c r="AC608" t="s">
        <v>74</v>
      </c>
      <c r="AD608" t="s">
        <v>74</v>
      </c>
      <c r="AE608" t="s">
        <v>74</v>
      </c>
      <c r="AF608" t="s">
        <v>74</v>
      </c>
      <c r="AG608" t="s">
        <v>74</v>
      </c>
      <c r="AH608" t="s">
        <v>74</v>
      </c>
      <c r="AI608" t="s">
        <v>74</v>
      </c>
      <c r="AJ608" t="s">
        <v>74</v>
      </c>
      <c r="AK608" t="s">
        <v>74</v>
      </c>
      <c r="AL608" t="s">
        <v>74</v>
      </c>
      <c r="AM608" t="s">
        <v>74</v>
      </c>
      <c r="AN608" t="s">
        <v>74</v>
      </c>
      <c r="AO608" t="s">
        <v>1400</v>
      </c>
      <c r="AP608" t="s">
        <v>5422</v>
      </c>
      <c r="AQ608" t="s">
        <v>74</v>
      </c>
      <c r="AR608" t="s">
        <v>74</v>
      </c>
      <c r="AS608" t="s">
        <v>74</v>
      </c>
      <c r="AT608" t="s">
        <v>964</v>
      </c>
      <c r="AU608">
        <v>2018</v>
      </c>
      <c r="AV608">
        <v>56</v>
      </c>
      <c r="AW608">
        <v>1</v>
      </c>
      <c r="AX608" t="s">
        <v>74</v>
      </c>
      <c r="AY608" t="s">
        <v>74</v>
      </c>
      <c r="AZ608" t="s">
        <v>74</v>
      </c>
      <c r="BA608" t="s">
        <v>74</v>
      </c>
      <c r="BB608">
        <v>61</v>
      </c>
      <c r="BC608">
        <v>76</v>
      </c>
      <c r="BD608" t="s">
        <v>74</v>
      </c>
      <c r="BE608" t="s">
        <v>5423</v>
      </c>
      <c r="BF608" t="str">
        <f>HYPERLINK("http://dx.doi.org/10.1111/jzs.12186","http://dx.doi.org/10.1111/jzs.12186")</f>
        <v>http://dx.doi.org/10.1111/jzs.12186</v>
      </c>
      <c r="BG608" t="s">
        <v>74</v>
      </c>
      <c r="BH608" t="s">
        <v>74</v>
      </c>
      <c r="BI608" t="s">
        <v>74</v>
      </c>
      <c r="BJ608" t="s">
        <v>74</v>
      </c>
      <c r="BK608" t="s">
        <v>74</v>
      </c>
      <c r="BL608" t="s">
        <v>74</v>
      </c>
      <c r="BM608" t="s">
        <v>74</v>
      </c>
      <c r="BN608" t="s">
        <v>74</v>
      </c>
      <c r="BO608" t="s">
        <v>74</v>
      </c>
      <c r="BP608" t="s">
        <v>74</v>
      </c>
      <c r="BQ608" t="s">
        <v>74</v>
      </c>
      <c r="BR608" t="s">
        <v>74</v>
      </c>
      <c r="BS608" t="s">
        <v>5424</v>
      </c>
      <c r="BT608" t="str">
        <f>HYPERLINK("https%3A%2F%2Fwww.webofscience.com%2Fwos%2Fwoscc%2Ffull-record%2FWOS:000419657600005","View Full Record in Web of Science")</f>
        <v>View Full Record in Web of Science</v>
      </c>
    </row>
    <row r="609" spans="1:72" x14ac:dyDescent="0.4">
      <c r="A609" t="s">
        <v>72</v>
      </c>
      <c r="B609" t="s">
        <v>8029</v>
      </c>
      <c r="C609" t="s">
        <v>74</v>
      </c>
      <c r="D609" t="s">
        <v>74</v>
      </c>
      <c r="E609" t="s">
        <v>74</v>
      </c>
      <c r="F609" t="s">
        <v>8030</v>
      </c>
      <c r="G609" t="s">
        <v>74</v>
      </c>
      <c r="H609" t="s">
        <v>74</v>
      </c>
      <c r="I609" t="s">
        <v>8031</v>
      </c>
      <c r="J609" t="s">
        <v>3026</v>
      </c>
      <c r="K609" t="s">
        <v>74</v>
      </c>
      <c r="L609" t="s">
        <v>74</v>
      </c>
      <c r="M609" t="s">
        <v>74</v>
      </c>
      <c r="N609" t="s">
        <v>74</v>
      </c>
      <c r="O609" t="s">
        <v>74</v>
      </c>
      <c r="P609" t="s">
        <v>74</v>
      </c>
      <c r="Q609" t="s">
        <v>74</v>
      </c>
      <c r="R609" t="s">
        <v>74</v>
      </c>
      <c r="S609" t="s">
        <v>74</v>
      </c>
      <c r="T609" t="s">
        <v>74</v>
      </c>
      <c r="U609" t="s">
        <v>74</v>
      </c>
      <c r="V609" s="3" t="s">
        <v>8032</v>
      </c>
      <c r="W609" t="s">
        <v>74</v>
      </c>
      <c r="X609" t="s">
        <v>74</v>
      </c>
      <c r="Y609" t="s">
        <v>74</v>
      </c>
      <c r="Z609" t="s">
        <v>74</v>
      </c>
      <c r="AA609" t="s">
        <v>8033</v>
      </c>
      <c r="AB609" t="s">
        <v>8034</v>
      </c>
      <c r="AC609" t="s">
        <v>74</v>
      </c>
      <c r="AD609" t="s">
        <v>74</v>
      </c>
      <c r="AE609" t="s">
        <v>74</v>
      </c>
      <c r="AF609" t="s">
        <v>74</v>
      </c>
      <c r="AG609" t="s">
        <v>74</v>
      </c>
      <c r="AH609" t="s">
        <v>74</v>
      </c>
      <c r="AI609" t="s">
        <v>74</v>
      </c>
      <c r="AJ609" t="s">
        <v>74</v>
      </c>
      <c r="AK609" t="s">
        <v>74</v>
      </c>
      <c r="AL609" t="s">
        <v>74</v>
      </c>
      <c r="AM609" t="s">
        <v>74</v>
      </c>
      <c r="AN609" t="s">
        <v>74</v>
      </c>
      <c r="AO609" t="s">
        <v>3030</v>
      </c>
      <c r="AP609" t="s">
        <v>74</v>
      </c>
      <c r="AQ609" t="s">
        <v>74</v>
      </c>
      <c r="AR609" t="s">
        <v>74</v>
      </c>
      <c r="AS609" t="s">
        <v>74</v>
      </c>
      <c r="AT609" t="s">
        <v>4557</v>
      </c>
      <c r="AU609">
        <v>2014</v>
      </c>
      <c r="AV609">
        <v>3</v>
      </c>
      <c r="AW609">
        <v>12</v>
      </c>
      <c r="AX609" t="s">
        <v>74</v>
      </c>
      <c r="AY609" t="s">
        <v>74</v>
      </c>
      <c r="AZ609" t="s">
        <v>74</v>
      </c>
      <c r="BA609" t="s">
        <v>74</v>
      </c>
      <c r="BB609">
        <v>1245</v>
      </c>
      <c r="BC609">
        <v>1251</v>
      </c>
      <c r="BD609" t="s">
        <v>74</v>
      </c>
      <c r="BE609" t="s">
        <v>8035</v>
      </c>
      <c r="BF609" t="str">
        <f>HYPERLINK("http://dx.doi.org/10.1242/bio.20149175","http://dx.doi.org/10.1242/bio.20149175")</f>
        <v>http://dx.doi.org/10.1242/bio.20149175</v>
      </c>
      <c r="BG609" t="s">
        <v>74</v>
      </c>
      <c r="BH609" t="s">
        <v>74</v>
      </c>
      <c r="BI609" t="s">
        <v>74</v>
      </c>
      <c r="BJ609" t="s">
        <v>74</v>
      </c>
      <c r="BK609" t="s">
        <v>74</v>
      </c>
      <c r="BL609" t="s">
        <v>74</v>
      </c>
      <c r="BM609" t="s">
        <v>74</v>
      </c>
      <c r="BN609">
        <v>25432516</v>
      </c>
      <c r="BO609" t="s">
        <v>74</v>
      </c>
      <c r="BP609" t="s">
        <v>74</v>
      </c>
      <c r="BQ609" t="s">
        <v>74</v>
      </c>
      <c r="BR609" t="s">
        <v>74</v>
      </c>
      <c r="BS609" t="s">
        <v>8036</v>
      </c>
      <c r="BT609" t="str">
        <f>HYPERLINK("https%3A%2F%2Fwww.webofscience.com%2Fwos%2Fwoscc%2Ffull-record%2FWOS:000348098800012","View Full Record in Web of Science")</f>
        <v>View Full Record in Web of Science</v>
      </c>
    </row>
    <row r="610" spans="1:72" x14ac:dyDescent="0.4">
      <c r="A610" t="s">
        <v>72</v>
      </c>
      <c r="B610" t="s">
        <v>1353</v>
      </c>
      <c r="C610" t="s">
        <v>74</v>
      </c>
      <c r="D610" t="s">
        <v>74</v>
      </c>
      <c r="E610" t="s">
        <v>74</v>
      </c>
      <c r="F610" t="s">
        <v>1354</v>
      </c>
      <c r="G610" t="s">
        <v>74</v>
      </c>
      <c r="H610" t="s">
        <v>74</v>
      </c>
      <c r="I610" t="s">
        <v>1355</v>
      </c>
      <c r="J610" t="s">
        <v>408</v>
      </c>
      <c r="K610" t="s">
        <v>74</v>
      </c>
      <c r="L610" t="s">
        <v>74</v>
      </c>
      <c r="M610" t="s">
        <v>74</v>
      </c>
      <c r="N610" t="s">
        <v>74</v>
      </c>
      <c r="O610" t="s">
        <v>74</v>
      </c>
      <c r="P610" t="s">
        <v>74</v>
      </c>
      <c r="Q610" t="s">
        <v>74</v>
      </c>
      <c r="R610" t="s">
        <v>74</v>
      </c>
      <c r="S610" t="s">
        <v>74</v>
      </c>
      <c r="T610" t="s">
        <v>74</v>
      </c>
      <c r="U610" t="s">
        <v>74</v>
      </c>
      <c r="V610" s="3" t="s">
        <v>1356</v>
      </c>
      <c r="W610" t="s">
        <v>74</v>
      </c>
      <c r="X610" t="s">
        <v>74</v>
      </c>
      <c r="Y610" t="s">
        <v>74</v>
      </c>
      <c r="Z610" t="s">
        <v>74</v>
      </c>
      <c r="AA610" t="s">
        <v>74</v>
      </c>
      <c r="AB610" t="s">
        <v>1357</v>
      </c>
      <c r="AC610" t="s">
        <v>74</v>
      </c>
      <c r="AD610" t="s">
        <v>74</v>
      </c>
      <c r="AE610" t="s">
        <v>74</v>
      </c>
      <c r="AF610" t="s">
        <v>74</v>
      </c>
      <c r="AG610" t="s">
        <v>74</v>
      </c>
      <c r="AH610" t="s">
        <v>74</v>
      </c>
      <c r="AI610" t="s">
        <v>74</v>
      </c>
      <c r="AJ610" t="s">
        <v>74</v>
      </c>
      <c r="AK610" t="s">
        <v>74</v>
      </c>
      <c r="AL610" t="s">
        <v>74</v>
      </c>
      <c r="AM610" t="s">
        <v>74</v>
      </c>
      <c r="AN610" t="s">
        <v>74</v>
      </c>
      <c r="AO610" t="s">
        <v>412</v>
      </c>
      <c r="AP610" t="s">
        <v>413</v>
      </c>
      <c r="AQ610" t="s">
        <v>74</v>
      </c>
      <c r="AR610" t="s">
        <v>74</v>
      </c>
      <c r="AS610" t="s">
        <v>74</v>
      </c>
      <c r="AT610" t="s">
        <v>145</v>
      </c>
      <c r="AU610">
        <v>2008</v>
      </c>
      <c r="AV610">
        <v>94</v>
      </c>
      <c r="AW610">
        <v>4</v>
      </c>
      <c r="AX610" t="s">
        <v>74</v>
      </c>
      <c r="AY610" t="s">
        <v>74</v>
      </c>
      <c r="AZ610" t="s">
        <v>74</v>
      </c>
      <c r="BA610" t="s">
        <v>74</v>
      </c>
      <c r="BB610">
        <v>663</v>
      </c>
      <c r="BC610">
        <v>673</v>
      </c>
      <c r="BD610" t="s">
        <v>74</v>
      </c>
      <c r="BE610" t="s">
        <v>1358</v>
      </c>
      <c r="BF610" t="str">
        <f>HYPERLINK("http://dx.doi.org/10.1111/j.1095-8312.2008.01021.x","http://dx.doi.org/10.1111/j.1095-8312.2008.01021.x")</f>
        <v>http://dx.doi.org/10.1111/j.1095-8312.2008.01021.x</v>
      </c>
      <c r="BG610" t="s">
        <v>74</v>
      </c>
      <c r="BH610" t="s">
        <v>74</v>
      </c>
      <c r="BI610" t="s">
        <v>74</v>
      </c>
      <c r="BJ610" t="s">
        <v>74</v>
      </c>
      <c r="BK610" t="s">
        <v>74</v>
      </c>
      <c r="BL610" t="s">
        <v>74</v>
      </c>
      <c r="BM610" t="s">
        <v>74</v>
      </c>
      <c r="BN610" t="s">
        <v>74</v>
      </c>
      <c r="BO610" t="s">
        <v>74</v>
      </c>
      <c r="BP610" t="s">
        <v>74</v>
      </c>
      <c r="BQ610" t="s">
        <v>74</v>
      </c>
      <c r="BR610" t="s">
        <v>74</v>
      </c>
      <c r="BS610" t="s">
        <v>1359</v>
      </c>
      <c r="BT610" t="str">
        <f>HYPERLINK("https%3A%2F%2Fwww.webofscience.com%2Fwos%2Fwoscc%2Ffull-record%2FWOS:000258458500002","View Full Record in Web of Science")</f>
        <v>View Full Record in Web of Science</v>
      </c>
    </row>
    <row r="611" spans="1:72" x14ac:dyDescent="0.4">
      <c r="A611" t="s">
        <v>72</v>
      </c>
      <c r="B611" t="s">
        <v>967</v>
      </c>
      <c r="C611" t="s">
        <v>74</v>
      </c>
      <c r="D611" t="s">
        <v>74</v>
      </c>
      <c r="E611" t="s">
        <v>74</v>
      </c>
      <c r="F611" t="s">
        <v>968</v>
      </c>
      <c r="G611" t="s">
        <v>74</v>
      </c>
      <c r="H611" t="s">
        <v>74</v>
      </c>
      <c r="I611" t="s">
        <v>969</v>
      </c>
      <c r="J611" t="s">
        <v>970</v>
      </c>
      <c r="K611" t="s">
        <v>74</v>
      </c>
      <c r="L611" t="s">
        <v>74</v>
      </c>
      <c r="M611" t="s">
        <v>74</v>
      </c>
      <c r="N611" t="s">
        <v>74</v>
      </c>
      <c r="O611" t="s">
        <v>74</v>
      </c>
      <c r="P611" t="s">
        <v>74</v>
      </c>
      <c r="Q611" t="s">
        <v>74</v>
      </c>
      <c r="R611" t="s">
        <v>74</v>
      </c>
      <c r="S611" t="s">
        <v>74</v>
      </c>
      <c r="T611" t="s">
        <v>74</v>
      </c>
      <c r="U611" t="s">
        <v>74</v>
      </c>
      <c r="V611" s="3" t="s">
        <v>971</v>
      </c>
      <c r="W611" t="s">
        <v>74</v>
      </c>
      <c r="X611" t="s">
        <v>74</v>
      </c>
      <c r="Y611" t="s">
        <v>74</v>
      </c>
      <c r="Z611" t="s">
        <v>74</v>
      </c>
      <c r="AA611" t="s">
        <v>972</v>
      </c>
      <c r="AB611" t="s">
        <v>973</v>
      </c>
      <c r="AC611" t="s">
        <v>74</v>
      </c>
      <c r="AD611" t="s">
        <v>74</v>
      </c>
      <c r="AE611" t="s">
        <v>74</v>
      </c>
      <c r="AF611" t="s">
        <v>74</v>
      </c>
      <c r="AG611" t="s">
        <v>74</v>
      </c>
      <c r="AH611" t="s">
        <v>74</v>
      </c>
      <c r="AI611" t="s">
        <v>74</v>
      </c>
      <c r="AJ611" t="s">
        <v>74</v>
      </c>
      <c r="AK611" t="s">
        <v>74</v>
      </c>
      <c r="AL611" t="s">
        <v>74</v>
      </c>
      <c r="AM611" t="s">
        <v>74</v>
      </c>
      <c r="AN611" t="s">
        <v>74</v>
      </c>
      <c r="AO611" t="s">
        <v>974</v>
      </c>
      <c r="AP611" t="s">
        <v>975</v>
      </c>
      <c r="AQ611" t="s">
        <v>74</v>
      </c>
      <c r="AR611" t="s">
        <v>74</v>
      </c>
      <c r="AS611" t="s">
        <v>74</v>
      </c>
      <c r="AT611" t="s">
        <v>204</v>
      </c>
      <c r="AU611">
        <v>2008</v>
      </c>
      <c r="AV611">
        <v>149</v>
      </c>
      <c r="AW611">
        <v>3</v>
      </c>
      <c r="AX611" t="s">
        <v>74</v>
      </c>
      <c r="AY611" t="s">
        <v>74</v>
      </c>
      <c r="AZ611" t="s">
        <v>74</v>
      </c>
      <c r="BA611" t="s">
        <v>74</v>
      </c>
      <c r="BB611">
        <v>415</v>
      </c>
      <c r="BC611">
        <v>421</v>
      </c>
      <c r="BD611" t="s">
        <v>74</v>
      </c>
      <c r="BE611" t="s">
        <v>976</v>
      </c>
      <c r="BF611" t="str">
        <f>HYPERLINK("http://dx.doi.org/10.1007/s10336-008-0283-0","http://dx.doi.org/10.1007/s10336-008-0283-0")</f>
        <v>http://dx.doi.org/10.1007/s10336-008-0283-0</v>
      </c>
      <c r="BG611" t="s">
        <v>74</v>
      </c>
      <c r="BH611" t="s">
        <v>74</v>
      </c>
      <c r="BI611" t="s">
        <v>74</v>
      </c>
      <c r="BJ611" t="s">
        <v>74</v>
      </c>
      <c r="BK611" t="s">
        <v>74</v>
      </c>
      <c r="BL611" t="s">
        <v>74</v>
      </c>
      <c r="BM611" t="s">
        <v>74</v>
      </c>
      <c r="BN611" t="s">
        <v>74</v>
      </c>
      <c r="BO611" t="s">
        <v>74</v>
      </c>
      <c r="BP611" t="s">
        <v>74</v>
      </c>
      <c r="BQ611" t="s">
        <v>74</v>
      </c>
      <c r="BR611" t="s">
        <v>74</v>
      </c>
      <c r="BS611" t="s">
        <v>977</v>
      </c>
      <c r="BT611" t="str">
        <f>HYPERLINK("https%3A%2F%2Fwww.webofscience.com%2Fwos%2Fwoscc%2Ffull-record%2FWOS:000256660000013","View Full Record in Web of Science")</f>
        <v>View Full Record in Web of Science</v>
      </c>
    </row>
    <row r="612" spans="1:72" x14ac:dyDescent="0.4">
      <c r="A612" t="s">
        <v>72</v>
      </c>
      <c r="B612" t="s">
        <v>6357</v>
      </c>
      <c r="C612" t="s">
        <v>74</v>
      </c>
      <c r="D612" t="s">
        <v>74</v>
      </c>
      <c r="E612" t="s">
        <v>74</v>
      </c>
      <c r="F612" t="s">
        <v>6358</v>
      </c>
      <c r="G612" t="s">
        <v>74</v>
      </c>
      <c r="H612" t="s">
        <v>74</v>
      </c>
      <c r="I612" t="s">
        <v>6359</v>
      </c>
      <c r="J612" t="s">
        <v>77</v>
      </c>
      <c r="K612" t="s">
        <v>74</v>
      </c>
      <c r="L612" t="s">
        <v>74</v>
      </c>
      <c r="M612" t="s">
        <v>74</v>
      </c>
      <c r="N612" t="s">
        <v>74</v>
      </c>
      <c r="O612" t="s">
        <v>74</v>
      </c>
      <c r="P612" t="s">
        <v>74</v>
      </c>
      <c r="Q612" t="s">
        <v>74</v>
      </c>
      <c r="R612" t="s">
        <v>74</v>
      </c>
      <c r="S612" t="s">
        <v>74</v>
      </c>
      <c r="T612" t="s">
        <v>74</v>
      </c>
      <c r="U612" t="s">
        <v>74</v>
      </c>
      <c r="V612" s="3" t="s">
        <v>6360</v>
      </c>
      <c r="W612" t="s">
        <v>74</v>
      </c>
      <c r="X612" t="s">
        <v>74</v>
      </c>
      <c r="Y612" t="s">
        <v>74</v>
      </c>
      <c r="Z612" t="s">
        <v>74</v>
      </c>
      <c r="AA612" t="s">
        <v>74</v>
      </c>
      <c r="AB612" t="s">
        <v>6361</v>
      </c>
      <c r="AC612" t="s">
        <v>74</v>
      </c>
      <c r="AD612" t="s">
        <v>74</v>
      </c>
      <c r="AE612" t="s">
        <v>74</v>
      </c>
      <c r="AF612" t="s">
        <v>74</v>
      </c>
      <c r="AG612" t="s">
        <v>74</v>
      </c>
      <c r="AH612" t="s">
        <v>74</v>
      </c>
      <c r="AI612" t="s">
        <v>74</v>
      </c>
      <c r="AJ612" t="s">
        <v>74</v>
      </c>
      <c r="AK612" t="s">
        <v>74</v>
      </c>
      <c r="AL612" t="s">
        <v>74</v>
      </c>
      <c r="AM612" t="s">
        <v>74</v>
      </c>
      <c r="AN612" t="s">
        <v>74</v>
      </c>
      <c r="AO612" t="s">
        <v>81</v>
      </c>
      <c r="AP612" t="s">
        <v>82</v>
      </c>
      <c r="AQ612" t="s">
        <v>74</v>
      </c>
      <c r="AR612" t="s">
        <v>74</v>
      </c>
      <c r="AS612" t="s">
        <v>74</v>
      </c>
      <c r="AT612" t="s">
        <v>74</v>
      </c>
      <c r="AU612">
        <v>2015</v>
      </c>
      <c r="AV612">
        <v>152</v>
      </c>
      <c r="AW612" t="s">
        <v>6362</v>
      </c>
      <c r="AX612" t="s">
        <v>74</v>
      </c>
      <c r="AY612" t="s">
        <v>74</v>
      </c>
      <c r="AZ612" t="s">
        <v>74</v>
      </c>
      <c r="BA612" t="s">
        <v>74</v>
      </c>
      <c r="BB612">
        <v>1601</v>
      </c>
      <c r="BC612">
        <v>1621</v>
      </c>
      <c r="BD612" t="s">
        <v>74</v>
      </c>
      <c r="BE612" t="s">
        <v>6363</v>
      </c>
      <c r="BF612" t="str">
        <f>HYPERLINK("http://dx.doi.org/10.1163/1568539X-00003295","http://dx.doi.org/10.1163/1568539X-00003295")</f>
        <v>http://dx.doi.org/10.1163/1568539X-00003295</v>
      </c>
      <c r="BG612" t="s">
        <v>74</v>
      </c>
      <c r="BH612" t="s">
        <v>74</v>
      </c>
      <c r="BI612" t="s">
        <v>74</v>
      </c>
      <c r="BJ612" t="s">
        <v>74</v>
      </c>
      <c r="BK612" t="s">
        <v>74</v>
      </c>
      <c r="BL612" t="s">
        <v>74</v>
      </c>
      <c r="BM612" t="s">
        <v>74</v>
      </c>
      <c r="BN612" t="s">
        <v>74</v>
      </c>
      <c r="BO612" t="s">
        <v>74</v>
      </c>
      <c r="BP612" t="s">
        <v>74</v>
      </c>
      <c r="BQ612" t="s">
        <v>74</v>
      </c>
      <c r="BR612" t="s">
        <v>74</v>
      </c>
      <c r="BS612" t="s">
        <v>6364</v>
      </c>
      <c r="BT612" t="str">
        <f>HYPERLINK("https%3A%2F%2Fwww.webofscience.com%2Fwos%2Fwoscc%2Ffull-record%2FWOS:000362911000001","View Full Record in Web of Science")</f>
        <v>View Full Record in Web of Science</v>
      </c>
    </row>
    <row r="613" spans="1:72" x14ac:dyDescent="0.4">
      <c r="A613" t="s">
        <v>72</v>
      </c>
      <c r="B613" t="s">
        <v>8706</v>
      </c>
      <c r="C613" t="s">
        <v>74</v>
      </c>
      <c r="D613" t="s">
        <v>74</v>
      </c>
      <c r="E613" t="s">
        <v>74</v>
      </c>
      <c r="F613" t="s">
        <v>8707</v>
      </c>
      <c r="G613" t="s">
        <v>74</v>
      </c>
      <c r="H613" t="s">
        <v>74</v>
      </c>
      <c r="I613" t="s">
        <v>8708</v>
      </c>
      <c r="J613" t="s">
        <v>4522</v>
      </c>
      <c r="K613" t="s">
        <v>74</v>
      </c>
      <c r="L613" t="s">
        <v>74</v>
      </c>
      <c r="M613" t="s">
        <v>74</v>
      </c>
      <c r="N613" t="s">
        <v>74</v>
      </c>
      <c r="O613" t="s">
        <v>74</v>
      </c>
      <c r="P613" t="s">
        <v>74</v>
      </c>
      <c r="Q613" t="s">
        <v>74</v>
      </c>
      <c r="R613" t="s">
        <v>74</v>
      </c>
      <c r="S613" t="s">
        <v>74</v>
      </c>
      <c r="T613" t="s">
        <v>74</v>
      </c>
      <c r="U613" t="s">
        <v>74</v>
      </c>
      <c r="V613" s="3" t="s">
        <v>8709</v>
      </c>
      <c r="W613" t="s">
        <v>74</v>
      </c>
      <c r="X613" t="s">
        <v>74</v>
      </c>
      <c r="Y613" t="s">
        <v>74</v>
      </c>
      <c r="Z613" t="s">
        <v>74</v>
      </c>
      <c r="AA613" t="s">
        <v>8710</v>
      </c>
      <c r="AB613" t="s">
        <v>8711</v>
      </c>
      <c r="AC613" t="s">
        <v>74</v>
      </c>
      <c r="AD613" t="s">
        <v>74</v>
      </c>
      <c r="AE613" t="s">
        <v>74</v>
      </c>
      <c r="AF613" t="s">
        <v>74</v>
      </c>
      <c r="AG613" t="s">
        <v>74</v>
      </c>
      <c r="AH613" t="s">
        <v>74</v>
      </c>
      <c r="AI613" t="s">
        <v>74</v>
      </c>
      <c r="AJ613" t="s">
        <v>74</v>
      </c>
      <c r="AK613" t="s">
        <v>74</v>
      </c>
      <c r="AL613" t="s">
        <v>74</v>
      </c>
      <c r="AM613" t="s">
        <v>74</v>
      </c>
      <c r="AN613" t="s">
        <v>74</v>
      </c>
      <c r="AO613" t="s">
        <v>4526</v>
      </c>
      <c r="AP613" t="s">
        <v>4527</v>
      </c>
      <c r="AQ613" t="s">
        <v>74</v>
      </c>
      <c r="AR613" t="s">
        <v>74</v>
      </c>
      <c r="AS613" t="s">
        <v>74</v>
      </c>
      <c r="AT613" t="s">
        <v>8712</v>
      </c>
      <c r="AU613">
        <v>2016</v>
      </c>
      <c r="AV613">
        <v>50</v>
      </c>
      <c r="AW613" t="s">
        <v>8713</v>
      </c>
      <c r="AX613" t="s">
        <v>74</v>
      </c>
      <c r="AY613" t="s">
        <v>74</v>
      </c>
      <c r="AZ613" t="s">
        <v>74</v>
      </c>
      <c r="BA613" t="s">
        <v>74</v>
      </c>
      <c r="BB613">
        <v>1283</v>
      </c>
      <c r="BC613">
        <v>1289</v>
      </c>
      <c r="BD613" t="s">
        <v>74</v>
      </c>
      <c r="BE613" t="s">
        <v>8714</v>
      </c>
      <c r="BF613" t="str">
        <f>HYPERLINK("http://dx.doi.org/10.1080/00222933.2015.1105318","http://dx.doi.org/10.1080/00222933.2015.1105318")</f>
        <v>http://dx.doi.org/10.1080/00222933.2015.1105318</v>
      </c>
      <c r="BG613" t="s">
        <v>74</v>
      </c>
      <c r="BH613" t="s">
        <v>74</v>
      </c>
      <c r="BI613" t="s">
        <v>74</v>
      </c>
      <c r="BJ613" t="s">
        <v>74</v>
      </c>
      <c r="BK613" t="s">
        <v>74</v>
      </c>
      <c r="BL613" t="s">
        <v>74</v>
      </c>
      <c r="BM613" t="s">
        <v>74</v>
      </c>
      <c r="BN613" t="s">
        <v>74</v>
      </c>
      <c r="BO613" t="s">
        <v>74</v>
      </c>
      <c r="BP613" t="s">
        <v>74</v>
      </c>
      <c r="BQ613" t="s">
        <v>74</v>
      </c>
      <c r="BR613" t="s">
        <v>74</v>
      </c>
      <c r="BS613" t="s">
        <v>8715</v>
      </c>
      <c r="BT613" t="str">
        <f>HYPERLINK("https%3A%2F%2Fwww.webofscience.com%2Fwos%2Fwoscc%2Ffull-record%2FWOS:000373297600001","View Full Record in Web of Science")</f>
        <v>View Full Record in Web of Science</v>
      </c>
    </row>
    <row r="614" spans="1:72" x14ac:dyDescent="0.4">
      <c r="A614" t="s">
        <v>72</v>
      </c>
      <c r="B614" t="s">
        <v>4512</v>
      </c>
      <c r="C614" t="s">
        <v>74</v>
      </c>
      <c r="D614" t="s">
        <v>74</v>
      </c>
      <c r="E614" t="s">
        <v>74</v>
      </c>
      <c r="F614" t="s">
        <v>4513</v>
      </c>
      <c r="G614" t="s">
        <v>74</v>
      </c>
      <c r="H614" t="s">
        <v>74</v>
      </c>
      <c r="I614" t="s">
        <v>4514</v>
      </c>
      <c r="J614" t="s">
        <v>1949</v>
      </c>
      <c r="K614" t="s">
        <v>74</v>
      </c>
      <c r="L614" t="s">
        <v>74</v>
      </c>
      <c r="M614" t="s">
        <v>74</v>
      </c>
      <c r="N614" t="s">
        <v>74</v>
      </c>
      <c r="O614" t="s">
        <v>74</v>
      </c>
      <c r="P614" t="s">
        <v>74</v>
      </c>
      <c r="Q614" t="s">
        <v>74</v>
      </c>
      <c r="R614" t="s">
        <v>74</v>
      </c>
      <c r="S614" t="s">
        <v>74</v>
      </c>
      <c r="T614" t="s">
        <v>74</v>
      </c>
      <c r="U614" t="s">
        <v>74</v>
      </c>
      <c r="V614" s="3" t="s">
        <v>4515</v>
      </c>
      <c r="W614" t="s">
        <v>74</v>
      </c>
      <c r="X614" t="s">
        <v>74</v>
      </c>
      <c r="Y614" t="s">
        <v>74</v>
      </c>
      <c r="Z614" t="s">
        <v>74</v>
      </c>
      <c r="AA614" t="s">
        <v>74</v>
      </c>
      <c r="AB614" t="s">
        <v>4516</v>
      </c>
      <c r="AC614" t="s">
        <v>74</v>
      </c>
      <c r="AD614" t="s">
        <v>74</v>
      </c>
      <c r="AE614" t="s">
        <v>74</v>
      </c>
      <c r="AF614" t="s">
        <v>74</v>
      </c>
      <c r="AG614" t="s">
        <v>74</v>
      </c>
      <c r="AH614" t="s">
        <v>74</v>
      </c>
      <c r="AI614" t="s">
        <v>74</v>
      </c>
      <c r="AJ614" t="s">
        <v>74</v>
      </c>
      <c r="AK614" t="s">
        <v>74</v>
      </c>
      <c r="AL614" t="s">
        <v>74</v>
      </c>
      <c r="AM614" t="s">
        <v>74</v>
      </c>
      <c r="AN614" t="s">
        <v>74</v>
      </c>
      <c r="AO614" t="s">
        <v>74</v>
      </c>
      <c r="AP614" t="s">
        <v>1953</v>
      </c>
      <c r="AQ614" t="s">
        <v>74</v>
      </c>
      <c r="AR614" t="s">
        <v>74</v>
      </c>
      <c r="AS614" t="s">
        <v>74</v>
      </c>
      <c r="AT614" t="s">
        <v>204</v>
      </c>
      <c r="AU614">
        <v>2024</v>
      </c>
      <c r="AV614">
        <v>15</v>
      </c>
      <c r="AW614">
        <v>7</v>
      </c>
      <c r="AX614" t="s">
        <v>74</v>
      </c>
      <c r="AY614" t="s">
        <v>74</v>
      </c>
      <c r="AZ614" t="s">
        <v>74</v>
      </c>
      <c r="BA614" t="s">
        <v>74</v>
      </c>
      <c r="BB614" t="s">
        <v>74</v>
      </c>
      <c r="BC614" t="s">
        <v>74</v>
      </c>
      <c r="BD614">
        <v>548</v>
      </c>
      <c r="BE614" t="s">
        <v>4517</v>
      </c>
      <c r="BF614" t="str">
        <f>HYPERLINK("http://dx.doi.org/10.3390/insects15070548","http://dx.doi.org/10.3390/insects15070548")</f>
        <v>http://dx.doi.org/10.3390/insects15070548</v>
      </c>
      <c r="BG614" t="s">
        <v>74</v>
      </c>
      <c r="BH614" t="s">
        <v>74</v>
      </c>
      <c r="BI614" t="s">
        <v>74</v>
      </c>
      <c r="BJ614" t="s">
        <v>74</v>
      </c>
      <c r="BK614" t="s">
        <v>74</v>
      </c>
      <c r="BL614" t="s">
        <v>74</v>
      </c>
      <c r="BM614" t="s">
        <v>74</v>
      </c>
      <c r="BN614">
        <v>39057280</v>
      </c>
      <c r="BO614" t="s">
        <v>74</v>
      </c>
      <c r="BP614" t="s">
        <v>74</v>
      </c>
      <c r="BQ614" t="s">
        <v>74</v>
      </c>
      <c r="BR614" t="s">
        <v>74</v>
      </c>
      <c r="BS614" t="s">
        <v>4518</v>
      </c>
      <c r="BT614" t="str">
        <f>HYPERLINK("https%3A%2F%2Fwww.webofscience.com%2Fwos%2Fwoscc%2Ffull-record%2FWOS:001278556300001","View Full Record in Web of Science")</f>
        <v>View Full Record in Web of Science</v>
      </c>
    </row>
    <row r="615" spans="1:72" x14ac:dyDescent="0.4">
      <c r="A615" t="s">
        <v>72</v>
      </c>
      <c r="B615" t="s">
        <v>7648</v>
      </c>
      <c r="C615" t="s">
        <v>74</v>
      </c>
      <c r="D615" t="s">
        <v>74</v>
      </c>
      <c r="E615" t="s">
        <v>74</v>
      </c>
      <c r="F615" t="s">
        <v>7649</v>
      </c>
      <c r="G615" t="s">
        <v>74</v>
      </c>
      <c r="H615" t="s">
        <v>74</v>
      </c>
      <c r="I615" t="s">
        <v>7650</v>
      </c>
      <c r="J615" t="s">
        <v>6968</v>
      </c>
      <c r="K615" t="s">
        <v>74</v>
      </c>
      <c r="L615" t="s">
        <v>74</v>
      </c>
      <c r="M615" t="s">
        <v>74</v>
      </c>
      <c r="N615" t="s">
        <v>74</v>
      </c>
      <c r="O615" t="s">
        <v>74</v>
      </c>
      <c r="P615" t="s">
        <v>74</v>
      </c>
      <c r="Q615" t="s">
        <v>74</v>
      </c>
      <c r="R615" t="s">
        <v>74</v>
      </c>
      <c r="S615" t="s">
        <v>74</v>
      </c>
      <c r="T615" t="s">
        <v>74</v>
      </c>
      <c r="U615" t="s">
        <v>74</v>
      </c>
      <c r="V615" s="3" t="s">
        <v>7651</v>
      </c>
      <c r="W615" t="s">
        <v>74</v>
      </c>
      <c r="X615" t="s">
        <v>74</v>
      </c>
      <c r="Y615" t="s">
        <v>74</v>
      </c>
      <c r="Z615" t="s">
        <v>74</v>
      </c>
      <c r="AA615" t="s">
        <v>74</v>
      </c>
      <c r="AB615" t="s">
        <v>74</v>
      </c>
      <c r="AC615" t="s">
        <v>74</v>
      </c>
      <c r="AD615" t="s">
        <v>74</v>
      </c>
      <c r="AE615" t="s">
        <v>74</v>
      </c>
      <c r="AF615" t="s">
        <v>74</v>
      </c>
      <c r="AG615" t="s">
        <v>74</v>
      </c>
      <c r="AH615" t="s">
        <v>74</v>
      </c>
      <c r="AI615" t="s">
        <v>74</v>
      </c>
      <c r="AJ615" t="s">
        <v>74</v>
      </c>
      <c r="AK615" t="s">
        <v>74</v>
      </c>
      <c r="AL615" t="s">
        <v>74</v>
      </c>
      <c r="AM615" t="s">
        <v>74</v>
      </c>
      <c r="AN615" t="s">
        <v>74</v>
      </c>
      <c r="AO615" t="s">
        <v>6970</v>
      </c>
      <c r="AP615" t="s">
        <v>6971</v>
      </c>
      <c r="AQ615" t="s">
        <v>74</v>
      </c>
      <c r="AR615" t="s">
        <v>74</v>
      </c>
      <c r="AS615" t="s">
        <v>74</v>
      </c>
      <c r="AT615" t="s">
        <v>352</v>
      </c>
      <c r="AU615">
        <v>2021</v>
      </c>
      <c r="AV615">
        <v>21</v>
      </c>
      <c r="AW615">
        <v>3</v>
      </c>
      <c r="AX615" t="s">
        <v>74</v>
      </c>
      <c r="AY615" t="s">
        <v>74</v>
      </c>
      <c r="AZ615" t="s">
        <v>74</v>
      </c>
      <c r="BA615" t="s">
        <v>74</v>
      </c>
      <c r="BB615">
        <v>533</v>
      </c>
      <c r="BC615">
        <v>545</v>
      </c>
      <c r="BD615" t="s">
        <v>74</v>
      </c>
      <c r="BE615" t="s">
        <v>7652</v>
      </c>
      <c r="BF615" t="str">
        <f>HYPERLINK("http://dx.doi.org/10.1007/s13127-021-00498-9","http://dx.doi.org/10.1007/s13127-021-00498-9")</f>
        <v>http://dx.doi.org/10.1007/s13127-021-00498-9</v>
      </c>
      <c r="BG615" t="s">
        <v>74</v>
      </c>
      <c r="BH615" t="s">
        <v>224</v>
      </c>
      <c r="BI615" t="s">
        <v>74</v>
      </c>
      <c r="BJ615" t="s">
        <v>74</v>
      </c>
      <c r="BK615" t="s">
        <v>74</v>
      </c>
      <c r="BL615" t="s">
        <v>74</v>
      </c>
      <c r="BM615" t="s">
        <v>74</v>
      </c>
      <c r="BN615" t="s">
        <v>74</v>
      </c>
      <c r="BO615" t="s">
        <v>74</v>
      </c>
      <c r="BP615" t="s">
        <v>74</v>
      </c>
      <c r="BQ615" t="s">
        <v>74</v>
      </c>
      <c r="BR615" t="s">
        <v>74</v>
      </c>
      <c r="BS615" t="s">
        <v>7653</v>
      </c>
      <c r="BT615" t="str">
        <f>HYPERLINK("https%3A%2F%2Fwww.webofscience.com%2Fwos%2Fwoscc%2Ffull-record%2FWOS:000665705600001","View Full Record in Web of Science")</f>
        <v>View Full Record in Web of Science</v>
      </c>
    </row>
    <row r="616" spans="1:72" x14ac:dyDescent="0.4">
      <c r="A616" t="s">
        <v>72</v>
      </c>
      <c r="B616" t="s">
        <v>8227</v>
      </c>
      <c r="C616" t="s">
        <v>74</v>
      </c>
      <c r="D616" t="s">
        <v>74</v>
      </c>
      <c r="E616" t="s">
        <v>74</v>
      </c>
      <c r="F616" t="s">
        <v>8228</v>
      </c>
      <c r="G616" t="s">
        <v>74</v>
      </c>
      <c r="H616" t="s">
        <v>74</v>
      </c>
      <c r="I616" t="s">
        <v>8229</v>
      </c>
      <c r="J616" t="s">
        <v>8230</v>
      </c>
      <c r="K616" t="s">
        <v>74</v>
      </c>
      <c r="L616" t="s">
        <v>74</v>
      </c>
      <c r="M616" t="s">
        <v>74</v>
      </c>
      <c r="N616" t="s">
        <v>74</v>
      </c>
      <c r="O616" t="s">
        <v>74</v>
      </c>
      <c r="P616" t="s">
        <v>74</v>
      </c>
      <c r="Q616" t="s">
        <v>74</v>
      </c>
      <c r="R616" t="s">
        <v>74</v>
      </c>
      <c r="S616" t="s">
        <v>74</v>
      </c>
      <c r="T616" t="s">
        <v>74</v>
      </c>
      <c r="U616" t="s">
        <v>74</v>
      </c>
      <c r="V616" s="3" t="s">
        <v>8231</v>
      </c>
      <c r="W616" t="s">
        <v>74</v>
      </c>
      <c r="X616" t="s">
        <v>74</v>
      </c>
      <c r="Y616" t="s">
        <v>74</v>
      </c>
      <c r="Z616" t="s">
        <v>74</v>
      </c>
      <c r="AA616" t="s">
        <v>74</v>
      </c>
      <c r="AB616" t="s">
        <v>8232</v>
      </c>
      <c r="AC616" t="s">
        <v>74</v>
      </c>
      <c r="AD616" t="s">
        <v>74</v>
      </c>
      <c r="AE616" t="s">
        <v>74</v>
      </c>
      <c r="AF616" t="s">
        <v>74</v>
      </c>
      <c r="AG616" t="s">
        <v>74</v>
      </c>
      <c r="AH616" t="s">
        <v>74</v>
      </c>
      <c r="AI616" t="s">
        <v>74</v>
      </c>
      <c r="AJ616" t="s">
        <v>74</v>
      </c>
      <c r="AK616" t="s">
        <v>74</v>
      </c>
      <c r="AL616" t="s">
        <v>74</v>
      </c>
      <c r="AM616" t="s">
        <v>74</v>
      </c>
      <c r="AN616" t="s">
        <v>74</v>
      </c>
      <c r="AO616" t="s">
        <v>8233</v>
      </c>
      <c r="AP616" t="s">
        <v>8234</v>
      </c>
      <c r="AQ616" t="s">
        <v>74</v>
      </c>
      <c r="AR616" t="s">
        <v>74</v>
      </c>
      <c r="AS616" t="s">
        <v>74</v>
      </c>
      <c r="AT616" t="s">
        <v>204</v>
      </c>
      <c r="AU616">
        <v>2010</v>
      </c>
      <c r="AV616">
        <v>23</v>
      </c>
      <c r="AW616">
        <v>7</v>
      </c>
      <c r="AX616" t="s">
        <v>74</v>
      </c>
      <c r="AY616" t="s">
        <v>74</v>
      </c>
      <c r="AZ616" t="s">
        <v>74</v>
      </c>
      <c r="BA616" t="s">
        <v>74</v>
      </c>
      <c r="BB616">
        <v>952</v>
      </c>
      <c r="BC616">
        <v>959</v>
      </c>
      <c r="BD616" t="s">
        <v>74</v>
      </c>
      <c r="BE616" t="s">
        <v>8235</v>
      </c>
      <c r="BF616" t="str">
        <f>HYPERLINK("http://dx.doi.org/10.5713/ajas.2010.90276","http://dx.doi.org/10.5713/ajas.2010.90276")</f>
        <v>http://dx.doi.org/10.5713/ajas.2010.90276</v>
      </c>
      <c r="BG616" t="s">
        <v>74</v>
      </c>
      <c r="BH616" t="s">
        <v>74</v>
      </c>
      <c r="BI616" t="s">
        <v>74</v>
      </c>
      <c r="BJ616" t="s">
        <v>74</v>
      </c>
      <c r="BK616" t="s">
        <v>74</v>
      </c>
      <c r="BL616" t="s">
        <v>74</v>
      </c>
      <c r="BM616" t="s">
        <v>74</v>
      </c>
      <c r="BN616" t="s">
        <v>74</v>
      </c>
      <c r="BO616" t="s">
        <v>74</v>
      </c>
      <c r="BP616" t="s">
        <v>74</v>
      </c>
      <c r="BQ616" t="s">
        <v>74</v>
      </c>
      <c r="BR616" t="s">
        <v>74</v>
      </c>
      <c r="BS616" t="s">
        <v>8236</v>
      </c>
      <c r="BT616" t="str">
        <f>HYPERLINK("https%3A%2F%2Fwww.webofscience.com%2Fwos%2Fwoscc%2Ffull-record%2FWOS:000279576700016","View Full Record in Web of Science")</f>
        <v>View Full Record in Web of Science</v>
      </c>
    </row>
    <row r="617" spans="1:72" x14ac:dyDescent="0.4">
      <c r="A617" t="s">
        <v>72</v>
      </c>
      <c r="B617" t="s">
        <v>6510</v>
      </c>
      <c r="C617" t="s">
        <v>74</v>
      </c>
      <c r="D617" t="s">
        <v>74</v>
      </c>
      <c r="E617" t="s">
        <v>74</v>
      </c>
      <c r="F617" t="s">
        <v>6511</v>
      </c>
      <c r="G617" t="s">
        <v>74</v>
      </c>
      <c r="H617" t="s">
        <v>74</v>
      </c>
      <c r="I617" t="s">
        <v>6512</v>
      </c>
      <c r="J617" t="s">
        <v>6513</v>
      </c>
      <c r="K617" t="s">
        <v>74</v>
      </c>
      <c r="L617" t="s">
        <v>74</v>
      </c>
      <c r="M617" t="s">
        <v>74</v>
      </c>
      <c r="N617" t="s">
        <v>74</v>
      </c>
      <c r="O617" t="s">
        <v>74</v>
      </c>
      <c r="P617" t="s">
        <v>74</v>
      </c>
      <c r="Q617" t="s">
        <v>74</v>
      </c>
      <c r="R617" t="s">
        <v>74</v>
      </c>
      <c r="S617" t="s">
        <v>74</v>
      </c>
      <c r="T617" t="s">
        <v>74</v>
      </c>
      <c r="U617" t="s">
        <v>74</v>
      </c>
      <c r="V617" s="3" t="s">
        <v>6514</v>
      </c>
      <c r="W617" t="s">
        <v>74</v>
      </c>
      <c r="X617" t="s">
        <v>74</v>
      </c>
      <c r="Y617" t="s">
        <v>74</v>
      </c>
      <c r="Z617" t="s">
        <v>74</v>
      </c>
      <c r="AA617" t="s">
        <v>6515</v>
      </c>
      <c r="AB617" t="s">
        <v>6516</v>
      </c>
      <c r="AC617" t="s">
        <v>74</v>
      </c>
      <c r="AD617" t="s">
        <v>74</v>
      </c>
      <c r="AE617" t="s">
        <v>74</v>
      </c>
      <c r="AF617" t="s">
        <v>74</v>
      </c>
      <c r="AG617" t="s">
        <v>74</v>
      </c>
      <c r="AH617" t="s">
        <v>74</v>
      </c>
      <c r="AI617" t="s">
        <v>74</v>
      </c>
      <c r="AJ617" t="s">
        <v>74</v>
      </c>
      <c r="AK617" t="s">
        <v>74</v>
      </c>
      <c r="AL617" t="s">
        <v>74</v>
      </c>
      <c r="AM617" t="s">
        <v>74</v>
      </c>
      <c r="AN617" t="s">
        <v>74</v>
      </c>
      <c r="AO617" t="s">
        <v>74</v>
      </c>
      <c r="AP617" t="s">
        <v>6517</v>
      </c>
      <c r="AQ617" t="s">
        <v>74</v>
      </c>
      <c r="AR617" t="s">
        <v>74</v>
      </c>
      <c r="AS617" t="s">
        <v>74</v>
      </c>
      <c r="AT617" t="s">
        <v>352</v>
      </c>
      <c r="AU617">
        <v>2022</v>
      </c>
      <c r="AV617">
        <v>4</v>
      </c>
      <c r="AW617">
        <v>5</v>
      </c>
      <c r="AX617" t="s">
        <v>74</v>
      </c>
      <c r="AY617" t="s">
        <v>74</v>
      </c>
      <c r="AZ617" t="s">
        <v>74</v>
      </c>
      <c r="BA617" t="s">
        <v>74</v>
      </c>
      <c r="BB617">
        <v>499</v>
      </c>
      <c r="BC617">
        <v>510</v>
      </c>
      <c r="BD617" t="s">
        <v>74</v>
      </c>
      <c r="BE617" t="s">
        <v>6518</v>
      </c>
      <c r="BF617" t="str">
        <f>HYPERLINK("http://dx.doi.org/10.1002/ppp3.10286","http://dx.doi.org/10.1002/ppp3.10286")</f>
        <v>http://dx.doi.org/10.1002/ppp3.10286</v>
      </c>
      <c r="BG617" t="s">
        <v>74</v>
      </c>
      <c r="BH617" t="s">
        <v>2832</v>
      </c>
      <c r="BI617" t="s">
        <v>74</v>
      </c>
      <c r="BJ617" t="s">
        <v>74</v>
      </c>
      <c r="BK617" t="s">
        <v>74</v>
      </c>
      <c r="BL617" t="s">
        <v>74</v>
      </c>
      <c r="BM617" t="s">
        <v>74</v>
      </c>
      <c r="BN617" t="s">
        <v>74</v>
      </c>
      <c r="BO617" t="s">
        <v>74</v>
      </c>
      <c r="BP617" t="s">
        <v>74</v>
      </c>
      <c r="BQ617" t="s">
        <v>74</v>
      </c>
      <c r="BR617" t="s">
        <v>74</v>
      </c>
      <c r="BS617" t="s">
        <v>6519</v>
      </c>
      <c r="BT617" t="str">
        <f>HYPERLINK("https%3A%2F%2Fwww.webofscience.com%2Fwos%2Fwoscc%2Ffull-record%2FWOS:000820245800001","View Full Record in Web of Science")</f>
        <v>View Full Record in Web of Science</v>
      </c>
    </row>
    <row r="618" spans="1:72" x14ac:dyDescent="0.4">
      <c r="A618" t="s">
        <v>72</v>
      </c>
      <c r="B618" t="s">
        <v>6150</v>
      </c>
      <c r="C618" t="s">
        <v>74</v>
      </c>
      <c r="D618" t="s">
        <v>74</v>
      </c>
      <c r="E618" t="s">
        <v>74</v>
      </c>
      <c r="F618" t="s">
        <v>6150</v>
      </c>
      <c r="G618" t="s">
        <v>74</v>
      </c>
      <c r="H618" t="s">
        <v>74</v>
      </c>
      <c r="I618" t="s">
        <v>6151</v>
      </c>
      <c r="J618" t="s">
        <v>6152</v>
      </c>
      <c r="K618" t="s">
        <v>74</v>
      </c>
      <c r="L618" t="s">
        <v>74</v>
      </c>
      <c r="M618" t="s">
        <v>74</v>
      </c>
      <c r="N618" t="s">
        <v>74</v>
      </c>
      <c r="O618" t="s">
        <v>74</v>
      </c>
      <c r="P618" t="s">
        <v>74</v>
      </c>
      <c r="Q618" t="s">
        <v>74</v>
      </c>
      <c r="R618" t="s">
        <v>74</v>
      </c>
      <c r="S618" t="s">
        <v>74</v>
      </c>
      <c r="T618" t="s">
        <v>74</v>
      </c>
      <c r="U618" t="s">
        <v>74</v>
      </c>
      <c r="V618" s="3" t="s">
        <v>6153</v>
      </c>
      <c r="W618" t="s">
        <v>74</v>
      </c>
      <c r="X618" t="s">
        <v>74</v>
      </c>
      <c r="Y618" t="s">
        <v>74</v>
      </c>
      <c r="Z618" t="s">
        <v>74</v>
      </c>
      <c r="AA618" t="s">
        <v>6154</v>
      </c>
      <c r="AB618" t="s">
        <v>6155</v>
      </c>
      <c r="AC618" t="s">
        <v>74</v>
      </c>
      <c r="AD618" t="s">
        <v>74</v>
      </c>
      <c r="AE618" t="s">
        <v>74</v>
      </c>
      <c r="AF618" t="s">
        <v>74</v>
      </c>
      <c r="AG618" t="s">
        <v>74</v>
      </c>
      <c r="AH618" t="s">
        <v>74</v>
      </c>
      <c r="AI618" t="s">
        <v>74</v>
      </c>
      <c r="AJ618" t="s">
        <v>74</v>
      </c>
      <c r="AK618" t="s">
        <v>74</v>
      </c>
      <c r="AL618" t="s">
        <v>74</v>
      </c>
      <c r="AM618" t="s">
        <v>74</v>
      </c>
      <c r="AN618" t="s">
        <v>74</v>
      </c>
      <c r="AO618" t="s">
        <v>6156</v>
      </c>
      <c r="AP618" t="s">
        <v>6157</v>
      </c>
      <c r="AQ618" t="s">
        <v>74</v>
      </c>
      <c r="AR618" t="s">
        <v>74</v>
      </c>
      <c r="AS618" t="s">
        <v>74</v>
      </c>
      <c r="AT618" t="s">
        <v>74</v>
      </c>
      <c r="AU618">
        <v>1984</v>
      </c>
      <c r="AV618">
        <v>116</v>
      </c>
      <c r="AW618">
        <v>6</v>
      </c>
      <c r="AX618" t="s">
        <v>74</v>
      </c>
      <c r="AY618" t="s">
        <v>74</v>
      </c>
      <c r="AZ618" t="s">
        <v>74</v>
      </c>
      <c r="BA618" t="s">
        <v>74</v>
      </c>
      <c r="BB618">
        <v>827</v>
      </c>
      <c r="BC618">
        <v>840</v>
      </c>
      <c r="BD618" t="s">
        <v>74</v>
      </c>
      <c r="BE618" t="s">
        <v>6158</v>
      </c>
      <c r="BF618" t="str">
        <f>HYPERLINK("http://dx.doi.org/10.4039/Ent116827-6","http://dx.doi.org/10.4039/Ent116827-6")</f>
        <v>http://dx.doi.org/10.4039/Ent116827-6</v>
      </c>
      <c r="BG618" t="s">
        <v>74</v>
      </c>
      <c r="BH618" t="s">
        <v>74</v>
      </c>
      <c r="BI618" t="s">
        <v>74</v>
      </c>
      <c r="BJ618" t="s">
        <v>74</v>
      </c>
      <c r="BK618" t="s">
        <v>74</v>
      </c>
      <c r="BL618" t="s">
        <v>74</v>
      </c>
      <c r="BM618" t="s">
        <v>74</v>
      </c>
      <c r="BN618" t="s">
        <v>74</v>
      </c>
      <c r="BO618" t="s">
        <v>74</v>
      </c>
      <c r="BP618" t="s">
        <v>74</v>
      </c>
      <c r="BQ618" t="s">
        <v>74</v>
      </c>
      <c r="BR618" t="s">
        <v>74</v>
      </c>
      <c r="BS618" t="s">
        <v>6159</v>
      </c>
      <c r="BT618" t="str">
        <f>HYPERLINK("https%3A%2F%2Fwww.webofscience.com%2Fwos%2Fwoscc%2Ffull-record%2FWOS:A1984SW69600006","View Full Record in Web of Science")</f>
        <v>View Full Record in Web of Science</v>
      </c>
    </row>
    <row r="619" spans="1:72" x14ac:dyDescent="0.4">
      <c r="A619" t="s">
        <v>72</v>
      </c>
      <c r="B619" t="s">
        <v>6019</v>
      </c>
      <c r="C619" t="s">
        <v>74</v>
      </c>
      <c r="D619" t="s">
        <v>74</v>
      </c>
      <c r="E619" t="s">
        <v>74</v>
      </c>
      <c r="F619" t="s">
        <v>6020</v>
      </c>
      <c r="G619" t="s">
        <v>74</v>
      </c>
      <c r="H619" t="s">
        <v>74</v>
      </c>
      <c r="I619" t="s">
        <v>6021</v>
      </c>
      <c r="J619" t="s">
        <v>129</v>
      </c>
      <c r="K619" t="s">
        <v>74</v>
      </c>
      <c r="L619" t="s">
        <v>74</v>
      </c>
      <c r="M619" t="s">
        <v>74</v>
      </c>
      <c r="N619" t="s">
        <v>74</v>
      </c>
      <c r="O619" t="s">
        <v>74</v>
      </c>
      <c r="P619" t="s">
        <v>74</v>
      </c>
      <c r="Q619" t="s">
        <v>74</v>
      </c>
      <c r="R619" t="s">
        <v>74</v>
      </c>
      <c r="S619" t="s">
        <v>74</v>
      </c>
      <c r="T619" t="s">
        <v>74</v>
      </c>
      <c r="U619" t="s">
        <v>74</v>
      </c>
      <c r="V619" s="3" t="s">
        <v>6022</v>
      </c>
      <c r="W619" t="s">
        <v>74</v>
      </c>
      <c r="X619" t="s">
        <v>74</v>
      </c>
      <c r="Y619" t="s">
        <v>74</v>
      </c>
      <c r="Z619" t="s">
        <v>74</v>
      </c>
      <c r="AA619" t="s">
        <v>74</v>
      </c>
      <c r="AB619" t="s">
        <v>74</v>
      </c>
      <c r="AC619" t="s">
        <v>74</v>
      </c>
      <c r="AD619" t="s">
        <v>74</v>
      </c>
      <c r="AE619" t="s">
        <v>74</v>
      </c>
      <c r="AF619" t="s">
        <v>74</v>
      </c>
      <c r="AG619" t="s">
        <v>74</v>
      </c>
      <c r="AH619" t="s">
        <v>74</v>
      </c>
      <c r="AI619" t="s">
        <v>74</v>
      </c>
      <c r="AJ619" t="s">
        <v>74</v>
      </c>
      <c r="AK619" t="s">
        <v>74</v>
      </c>
      <c r="AL619" t="s">
        <v>74</v>
      </c>
      <c r="AM619" t="s">
        <v>74</v>
      </c>
      <c r="AN619" t="s">
        <v>74</v>
      </c>
      <c r="AO619" t="s">
        <v>132</v>
      </c>
      <c r="AP619" t="s">
        <v>133</v>
      </c>
      <c r="AQ619" t="s">
        <v>74</v>
      </c>
      <c r="AR619" t="s">
        <v>74</v>
      </c>
      <c r="AS619" t="s">
        <v>74</v>
      </c>
      <c r="AT619" t="s">
        <v>102</v>
      </c>
      <c r="AU619">
        <v>2019</v>
      </c>
      <c r="AV619">
        <v>73</v>
      </c>
      <c r="AW619">
        <v>6</v>
      </c>
      <c r="AX619" t="s">
        <v>74</v>
      </c>
      <c r="AY619" t="s">
        <v>74</v>
      </c>
      <c r="AZ619" t="s">
        <v>74</v>
      </c>
      <c r="BA619" t="s">
        <v>74</v>
      </c>
      <c r="BB619" t="s">
        <v>74</v>
      </c>
      <c r="BC619" t="s">
        <v>74</v>
      </c>
      <c r="BD619">
        <v>83</v>
      </c>
      <c r="BE619" t="s">
        <v>6023</v>
      </c>
      <c r="BF619" t="str">
        <f>HYPERLINK("http://dx.doi.org/10.1007/s00265-019-2691-y","http://dx.doi.org/10.1007/s00265-019-2691-y")</f>
        <v>http://dx.doi.org/10.1007/s00265-019-2691-y</v>
      </c>
      <c r="BG619" t="s">
        <v>74</v>
      </c>
      <c r="BH619" t="s">
        <v>74</v>
      </c>
      <c r="BI619" t="s">
        <v>74</v>
      </c>
      <c r="BJ619" t="s">
        <v>74</v>
      </c>
      <c r="BK619" t="s">
        <v>74</v>
      </c>
      <c r="BL619" t="s">
        <v>74</v>
      </c>
      <c r="BM619" t="s">
        <v>74</v>
      </c>
      <c r="BN619" t="s">
        <v>74</v>
      </c>
      <c r="BO619" t="s">
        <v>74</v>
      </c>
      <c r="BP619" t="s">
        <v>74</v>
      </c>
      <c r="BQ619" t="s">
        <v>74</v>
      </c>
      <c r="BR619" t="s">
        <v>74</v>
      </c>
      <c r="BS619" t="s">
        <v>6024</v>
      </c>
      <c r="BT619" t="str">
        <f>HYPERLINK("https%3A%2F%2Fwww.webofscience.com%2Fwos%2Fwoscc%2Ffull-record%2FWOS:000469197100001","View Full Record in Web of Science")</f>
        <v>View Full Record in Web of Science</v>
      </c>
    </row>
    <row r="620" spans="1:72" x14ac:dyDescent="0.4">
      <c r="A620" t="s">
        <v>72</v>
      </c>
      <c r="B620" t="s">
        <v>1728</v>
      </c>
      <c r="C620" t="s">
        <v>74</v>
      </c>
      <c r="D620" t="s">
        <v>74</v>
      </c>
      <c r="E620" t="s">
        <v>74</v>
      </c>
      <c r="F620" t="s">
        <v>1729</v>
      </c>
      <c r="G620" t="s">
        <v>74</v>
      </c>
      <c r="H620" t="s">
        <v>74</v>
      </c>
      <c r="I620" t="s">
        <v>1730</v>
      </c>
      <c r="J620" t="s">
        <v>129</v>
      </c>
      <c r="K620" t="s">
        <v>74</v>
      </c>
      <c r="L620" t="s">
        <v>74</v>
      </c>
      <c r="M620" t="s">
        <v>74</v>
      </c>
      <c r="N620" t="s">
        <v>74</v>
      </c>
      <c r="O620" t="s">
        <v>74</v>
      </c>
      <c r="P620" t="s">
        <v>74</v>
      </c>
      <c r="Q620" t="s">
        <v>74</v>
      </c>
      <c r="R620" t="s">
        <v>74</v>
      </c>
      <c r="S620" t="s">
        <v>74</v>
      </c>
      <c r="T620" t="s">
        <v>74</v>
      </c>
      <c r="U620" t="s">
        <v>74</v>
      </c>
      <c r="V620" s="3" t="s">
        <v>1731</v>
      </c>
      <c r="W620" t="s">
        <v>74</v>
      </c>
      <c r="X620" t="s">
        <v>74</v>
      </c>
      <c r="Y620" t="s">
        <v>74</v>
      </c>
      <c r="Z620" t="s">
        <v>74</v>
      </c>
      <c r="AA620" t="s">
        <v>1011</v>
      </c>
      <c r="AB620" t="s">
        <v>1012</v>
      </c>
      <c r="AC620" t="s">
        <v>74</v>
      </c>
      <c r="AD620" t="s">
        <v>74</v>
      </c>
      <c r="AE620" t="s">
        <v>74</v>
      </c>
      <c r="AF620" t="s">
        <v>74</v>
      </c>
      <c r="AG620" t="s">
        <v>74</v>
      </c>
      <c r="AH620" t="s">
        <v>74</v>
      </c>
      <c r="AI620" t="s">
        <v>74</v>
      </c>
      <c r="AJ620" t="s">
        <v>74</v>
      </c>
      <c r="AK620" t="s">
        <v>74</v>
      </c>
      <c r="AL620" t="s">
        <v>74</v>
      </c>
      <c r="AM620" t="s">
        <v>74</v>
      </c>
      <c r="AN620" t="s">
        <v>74</v>
      </c>
      <c r="AO620" t="s">
        <v>132</v>
      </c>
      <c r="AP620" t="s">
        <v>133</v>
      </c>
      <c r="AQ620" t="s">
        <v>74</v>
      </c>
      <c r="AR620" t="s">
        <v>74</v>
      </c>
      <c r="AS620" t="s">
        <v>74</v>
      </c>
      <c r="AT620" t="s">
        <v>102</v>
      </c>
      <c r="AU620">
        <v>2014</v>
      </c>
      <c r="AV620">
        <v>68</v>
      </c>
      <c r="AW620">
        <v>6</v>
      </c>
      <c r="AX620" t="s">
        <v>74</v>
      </c>
      <c r="AY620" t="s">
        <v>74</v>
      </c>
      <c r="AZ620" t="s">
        <v>74</v>
      </c>
      <c r="BA620" t="s">
        <v>74</v>
      </c>
      <c r="BB620">
        <v>1007</v>
      </c>
      <c r="BC620">
        <v>1017</v>
      </c>
      <c r="BD620" t="s">
        <v>74</v>
      </c>
      <c r="BE620" t="s">
        <v>1732</v>
      </c>
      <c r="BF620" t="str">
        <f>HYPERLINK("http://dx.doi.org/10.1007/s00265-014-1713-z","http://dx.doi.org/10.1007/s00265-014-1713-z")</f>
        <v>http://dx.doi.org/10.1007/s00265-014-1713-z</v>
      </c>
      <c r="BG620" t="s">
        <v>74</v>
      </c>
      <c r="BH620" t="s">
        <v>74</v>
      </c>
      <c r="BI620" t="s">
        <v>74</v>
      </c>
      <c r="BJ620" t="s">
        <v>74</v>
      </c>
      <c r="BK620" t="s">
        <v>74</v>
      </c>
      <c r="BL620" t="s">
        <v>74</v>
      </c>
      <c r="BM620" t="s">
        <v>74</v>
      </c>
      <c r="BN620" t="s">
        <v>74</v>
      </c>
      <c r="BO620" t="s">
        <v>74</v>
      </c>
      <c r="BP620" t="s">
        <v>74</v>
      </c>
      <c r="BQ620" t="s">
        <v>74</v>
      </c>
      <c r="BR620" t="s">
        <v>74</v>
      </c>
      <c r="BS620" t="s">
        <v>1733</v>
      </c>
      <c r="BT620" t="str">
        <f>HYPERLINK("https%3A%2F%2Fwww.webofscience.com%2Fwos%2Fwoscc%2Ffull-record%2FWOS:000336022700013","View Full Record in Web of Science")</f>
        <v>View Full Record in Web of Science</v>
      </c>
    </row>
    <row r="621" spans="1:72" x14ac:dyDescent="0.4">
      <c r="A621" t="s">
        <v>72</v>
      </c>
      <c r="B621" t="s">
        <v>3725</v>
      </c>
      <c r="C621" t="s">
        <v>74</v>
      </c>
      <c r="D621" t="s">
        <v>74</v>
      </c>
      <c r="E621" t="s">
        <v>74</v>
      </c>
      <c r="F621" t="s">
        <v>3726</v>
      </c>
      <c r="G621" t="s">
        <v>74</v>
      </c>
      <c r="H621" t="s">
        <v>74</v>
      </c>
      <c r="I621" t="s">
        <v>3727</v>
      </c>
      <c r="J621" t="s">
        <v>119</v>
      </c>
      <c r="K621" t="s">
        <v>74</v>
      </c>
      <c r="L621" t="s">
        <v>74</v>
      </c>
      <c r="M621" t="s">
        <v>74</v>
      </c>
      <c r="N621" t="s">
        <v>74</v>
      </c>
      <c r="O621" t="s">
        <v>74</v>
      </c>
      <c r="P621" t="s">
        <v>74</v>
      </c>
      <c r="Q621" t="s">
        <v>74</v>
      </c>
      <c r="R621" t="s">
        <v>74</v>
      </c>
      <c r="S621" t="s">
        <v>74</v>
      </c>
      <c r="T621" t="s">
        <v>74</v>
      </c>
      <c r="U621" t="s">
        <v>74</v>
      </c>
      <c r="V621" s="3" t="s">
        <v>3728</v>
      </c>
      <c r="W621" t="s">
        <v>74</v>
      </c>
      <c r="X621" t="s">
        <v>74</v>
      </c>
      <c r="Y621" t="s">
        <v>74</v>
      </c>
      <c r="Z621" t="s">
        <v>74</v>
      </c>
      <c r="AA621" t="s">
        <v>3729</v>
      </c>
      <c r="AB621" t="s">
        <v>3730</v>
      </c>
      <c r="AC621" t="s">
        <v>74</v>
      </c>
      <c r="AD621" t="s">
        <v>74</v>
      </c>
      <c r="AE621" t="s">
        <v>74</v>
      </c>
      <c r="AF621" t="s">
        <v>74</v>
      </c>
      <c r="AG621" t="s">
        <v>74</v>
      </c>
      <c r="AH621" t="s">
        <v>74</v>
      </c>
      <c r="AI621" t="s">
        <v>74</v>
      </c>
      <c r="AJ621" t="s">
        <v>74</v>
      </c>
      <c r="AK621" t="s">
        <v>74</v>
      </c>
      <c r="AL621" t="s">
        <v>74</v>
      </c>
      <c r="AM621" t="s">
        <v>74</v>
      </c>
      <c r="AN621" t="s">
        <v>74</v>
      </c>
      <c r="AO621" t="s">
        <v>121</v>
      </c>
      <c r="AP621" t="s">
        <v>122</v>
      </c>
      <c r="AQ621" t="s">
        <v>74</v>
      </c>
      <c r="AR621" t="s">
        <v>74</v>
      </c>
      <c r="AS621" t="s">
        <v>74</v>
      </c>
      <c r="AT621" t="s">
        <v>175</v>
      </c>
      <c r="AU621">
        <v>2016</v>
      </c>
      <c r="AV621">
        <v>131</v>
      </c>
      <c r="AW621" t="s">
        <v>74</v>
      </c>
      <c r="AX621" t="s">
        <v>74</v>
      </c>
      <c r="AY621" t="s">
        <v>74</v>
      </c>
      <c r="AZ621" t="s">
        <v>74</v>
      </c>
      <c r="BA621" t="s">
        <v>74</v>
      </c>
      <c r="BB621">
        <v>59</v>
      </c>
      <c r="BC621">
        <v>67</v>
      </c>
      <c r="BD621" t="s">
        <v>74</v>
      </c>
      <c r="BE621" t="s">
        <v>3731</v>
      </c>
      <c r="BF621" t="str">
        <f>HYPERLINK("http://dx.doi.org/10.1016/j.beproc.2016.08.010","http://dx.doi.org/10.1016/j.beproc.2016.08.010")</f>
        <v>http://dx.doi.org/10.1016/j.beproc.2016.08.010</v>
      </c>
      <c r="BG621" t="s">
        <v>74</v>
      </c>
      <c r="BH621" t="s">
        <v>74</v>
      </c>
      <c r="BI621" t="s">
        <v>74</v>
      </c>
      <c r="BJ621" t="s">
        <v>74</v>
      </c>
      <c r="BK621" t="s">
        <v>74</v>
      </c>
      <c r="BL621" t="s">
        <v>74</v>
      </c>
      <c r="BM621" t="s">
        <v>74</v>
      </c>
      <c r="BN621">
        <v>27561967</v>
      </c>
      <c r="BO621" t="s">
        <v>74</v>
      </c>
      <c r="BP621" t="s">
        <v>74</v>
      </c>
      <c r="BQ621" t="s">
        <v>74</v>
      </c>
      <c r="BR621" t="s">
        <v>74</v>
      </c>
      <c r="BS621" t="s">
        <v>3732</v>
      </c>
      <c r="BT621" t="str">
        <f>HYPERLINK("https%3A%2F%2Fwww.webofscience.com%2Fwos%2Fwoscc%2Ffull-record%2FWOS:000384383500009","View Full Record in Web of Science")</f>
        <v>View Full Record in Web of Science</v>
      </c>
    </row>
    <row r="622" spans="1:72" x14ac:dyDescent="0.4">
      <c r="A622" t="s">
        <v>72</v>
      </c>
      <c r="B622" t="s">
        <v>1393</v>
      </c>
      <c r="C622" t="s">
        <v>74</v>
      </c>
      <c r="D622" t="s">
        <v>74</v>
      </c>
      <c r="E622" t="s">
        <v>74</v>
      </c>
      <c r="F622" t="s">
        <v>1394</v>
      </c>
      <c r="G622" t="s">
        <v>74</v>
      </c>
      <c r="H622" t="s">
        <v>74</v>
      </c>
      <c r="I622" t="s">
        <v>1395</v>
      </c>
      <c r="J622" t="s">
        <v>1396</v>
      </c>
      <c r="K622" t="s">
        <v>74</v>
      </c>
      <c r="L622" t="s">
        <v>74</v>
      </c>
      <c r="M622" t="s">
        <v>74</v>
      </c>
      <c r="N622" t="s">
        <v>74</v>
      </c>
      <c r="O622" t="s">
        <v>74</v>
      </c>
      <c r="P622" t="s">
        <v>74</v>
      </c>
      <c r="Q622" t="s">
        <v>74</v>
      </c>
      <c r="R622" t="s">
        <v>74</v>
      </c>
      <c r="S622" t="s">
        <v>74</v>
      </c>
      <c r="T622" t="s">
        <v>74</v>
      </c>
      <c r="U622" t="s">
        <v>74</v>
      </c>
      <c r="V622" s="3" t="s">
        <v>1397</v>
      </c>
      <c r="W622" t="s">
        <v>74</v>
      </c>
      <c r="X622" t="s">
        <v>74</v>
      </c>
      <c r="Y622" t="s">
        <v>74</v>
      </c>
      <c r="Z622" t="s">
        <v>74</v>
      </c>
      <c r="AA622" t="s">
        <v>1398</v>
      </c>
      <c r="AB622" t="s">
        <v>1399</v>
      </c>
      <c r="AC622" t="s">
        <v>74</v>
      </c>
      <c r="AD622" t="s">
        <v>74</v>
      </c>
      <c r="AE622" t="s">
        <v>74</v>
      </c>
      <c r="AF622" t="s">
        <v>74</v>
      </c>
      <c r="AG622" t="s">
        <v>74</v>
      </c>
      <c r="AH622" t="s">
        <v>74</v>
      </c>
      <c r="AI622" t="s">
        <v>74</v>
      </c>
      <c r="AJ622" t="s">
        <v>74</v>
      </c>
      <c r="AK622" t="s">
        <v>74</v>
      </c>
      <c r="AL622" t="s">
        <v>74</v>
      </c>
      <c r="AM622" t="s">
        <v>74</v>
      </c>
      <c r="AN622" t="s">
        <v>74</v>
      </c>
      <c r="AO622" t="s">
        <v>1400</v>
      </c>
      <c r="AP622" t="s">
        <v>74</v>
      </c>
      <c r="AQ622" t="s">
        <v>74</v>
      </c>
      <c r="AR622" t="s">
        <v>74</v>
      </c>
      <c r="AS622" t="s">
        <v>74</v>
      </c>
      <c r="AT622" t="s">
        <v>964</v>
      </c>
      <c r="AU622">
        <v>2013</v>
      </c>
      <c r="AV622">
        <v>51</v>
      </c>
      <c r="AW622">
        <v>1</v>
      </c>
      <c r="AX622" t="s">
        <v>74</v>
      </c>
      <c r="AY622" t="s">
        <v>74</v>
      </c>
      <c r="AZ622" t="s">
        <v>74</v>
      </c>
      <c r="BA622" t="s">
        <v>74</v>
      </c>
      <c r="BB622">
        <v>64</v>
      </c>
      <c r="BC622">
        <v>71</v>
      </c>
      <c r="BD622" t="s">
        <v>74</v>
      </c>
      <c r="BE622" t="s">
        <v>1401</v>
      </c>
      <c r="BF622" t="str">
        <f>HYPERLINK("http://dx.doi.org/10.1111/j.1439-0469.2012.00668.x","http://dx.doi.org/10.1111/j.1439-0469.2012.00668.x")</f>
        <v>http://dx.doi.org/10.1111/j.1439-0469.2012.00668.x</v>
      </c>
      <c r="BG622" t="s">
        <v>74</v>
      </c>
      <c r="BH622" t="s">
        <v>74</v>
      </c>
      <c r="BI622" t="s">
        <v>74</v>
      </c>
      <c r="BJ622" t="s">
        <v>74</v>
      </c>
      <c r="BK622" t="s">
        <v>74</v>
      </c>
      <c r="BL622" t="s">
        <v>74</v>
      </c>
      <c r="BM622" t="s">
        <v>74</v>
      </c>
      <c r="BN622" t="s">
        <v>74</v>
      </c>
      <c r="BO622" t="s">
        <v>74</v>
      </c>
      <c r="BP622" t="s">
        <v>74</v>
      </c>
      <c r="BQ622" t="s">
        <v>74</v>
      </c>
      <c r="BR622" t="s">
        <v>74</v>
      </c>
      <c r="BS622" t="s">
        <v>1402</v>
      </c>
      <c r="BT622" t="str">
        <f>HYPERLINK("https%3A%2F%2Fwww.webofscience.com%2Fwos%2Fwoscc%2Ffull-record%2FWOS:000313753400008","View Full Record in Web of Science")</f>
        <v>View Full Record in Web of Science</v>
      </c>
    </row>
    <row r="623" spans="1:72" x14ac:dyDescent="0.4">
      <c r="A623" t="s">
        <v>72</v>
      </c>
      <c r="B623" t="s">
        <v>1393</v>
      </c>
      <c r="C623" t="s">
        <v>74</v>
      </c>
      <c r="D623" t="s">
        <v>74</v>
      </c>
      <c r="E623" t="s">
        <v>74</v>
      </c>
      <c r="F623" t="s">
        <v>1394</v>
      </c>
      <c r="G623" t="s">
        <v>74</v>
      </c>
      <c r="H623" t="s">
        <v>74</v>
      </c>
      <c r="I623" t="s">
        <v>1749</v>
      </c>
      <c r="J623" t="s">
        <v>140</v>
      </c>
      <c r="K623" t="s">
        <v>74</v>
      </c>
      <c r="L623" t="s">
        <v>74</v>
      </c>
      <c r="M623" t="s">
        <v>74</v>
      </c>
      <c r="N623" t="s">
        <v>74</v>
      </c>
      <c r="O623" t="s">
        <v>74</v>
      </c>
      <c r="P623" t="s">
        <v>74</v>
      </c>
      <c r="Q623" t="s">
        <v>74</v>
      </c>
      <c r="R623" t="s">
        <v>74</v>
      </c>
      <c r="S623" t="s">
        <v>74</v>
      </c>
      <c r="T623" t="s">
        <v>74</v>
      </c>
      <c r="U623" t="s">
        <v>74</v>
      </c>
      <c r="V623" s="3" t="s">
        <v>1750</v>
      </c>
      <c r="W623" t="s">
        <v>74</v>
      </c>
      <c r="X623" t="s">
        <v>74</v>
      </c>
      <c r="Y623" t="s">
        <v>74</v>
      </c>
      <c r="Z623" t="s">
        <v>74</v>
      </c>
      <c r="AA623" t="s">
        <v>1398</v>
      </c>
      <c r="AB623" t="s">
        <v>1399</v>
      </c>
      <c r="AC623" t="s">
        <v>74</v>
      </c>
      <c r="AD623" t="s">
        <v>74</v>
      </c>
      <c r="AE623" t="s">
        <v>74</v>
      </c>
      <c r="AF623" t="s">
        <v>74</v>
      </c>
      <c r="AG623" t="s">
        <v>74</v>
      </c>
      <c r="AH623" t="s">
        <v>74</v>
      </c>
      <c r="AI623" t="s">
        <v>74</v>
      </c>
      <c r="AJ623" t="s">
        <v>74</v>
      </c>
      <c r="AK623" t="s">
        <v>74</v>
      </c>
      <c r="AL623" t="s">
        <v>74</v>
      </c>
      <c r="AM623" t="s">
        <v>74</v>
      </c>
      <c r="AN623" t="s">
        <v>74</v>
      </c>
      <c r="AO623" t="s">
        <v>143</v>
      </c>
      <c r="AP623" t="s">
        <v>74</v>
      </c>
      <c r="AQ623" t="s">
        <v>74</v>
      </c>
      <c r="AR623" t="s">
        <v>74</v>
      </c>
      <c r="AS623" t="s">
        <v>74</v>
      </c>
      <c r="AT623" t="s">
        <v>134</v>
      </c>
      <c r="AU623">
        <v>2009</v>
      </c>
      <c r="AV623">
        <v>77</v>
      </c>
      <c r="AW623">
        <v>5</v>
      </c>
      <c r="AX623" t="s">
        <v>74</v>
      </c>
      <c r="AY623" t="s">
        <v>74</v>
      </c>
      <c r="AZ623" t="s">
        <v>74</v>
      </c>
      <c r="BA623" t="s">
        <v>74</v>
      </c>
      <c r="BB623">
        <v>1267</v>
      </c>
      <c r="BC623">
        <v>1272</v>
      </c>
      <c r="BD623" t="s">
        <v>74</v>
      </c>
      <c r="BE623" t="s">
        <v>1751</v>
      </c>
      <c r="BF623" t="str">
        <f>HYPERLINK("http://dx.doi.org/10.1016/j.anbehav.2009.01.031","http://dx.doi.org/10.1016/j.anbehav.2009.01.031")</f>
        <v>http://dx.doi.org/10.1016/j.anbehav.2009.01.031</v>
      </c>
      <c r="BG623" t="s">
        <v>74</v>
      </c>
      <c r="BH623" t="s">
        <v>74</v>
      </c>
      <c r="BI623" t="s">
        <v>74</v>
      </c>
      <c r="BJ623" t="s">
        <v>74</v>
      </c>
      <c r="BK623" t="s">
        <v>74</v>
      </c>
      <c r="BL623" t="s">
        <v>74</v>
      </c>
      <c r="BM623" t="s">
        <v>74</v>
      </c>
      <c r="BN623">
        <v>20161226</v>
      </c>
      <c r="BO623" t="s">
        <v>74</v>
      </c>
      <c r="BP623" t="s">
        <v>74</v>
      </c>
      <c r="BQ623" t="s">
        <v>74</v>
      </c>
      <c r="BR623" t="s">
        <v>74</v>
      </c>
      <c r="BS623" t="s">
        <v>1752</v>
      </c>
      <c r="BT623" t="str">
        <f>HYPERLINK("https%3A%2F%2Fwww.webofscience.com%2Fwos%2Fwoscc%2Ffull-record%2FWOS:000265283900036","View Full Record in Web of Science")</f>
        <v>View Full Record in Web of Science</v>
      </c>
    </row>
    <row r="624" spans="1:72" x14ac:dyDescent="0.4">
      <c r="A624" t="s">
        <v>72</v>
      </c>
      <c r="B624" t="s">
        <v>1007</v>
      </c>
      <c r="C624" t="s">
        <v>74</v>
      </c>
      <c r="D624" t="s">
        <v>74</v>
      </c>
      <c r="E624" t="s">
        <v>74</v>
      </c>
      <c r="F624" t="s">
        <v>1008</v>
      </c>
      <c r="G624" t="s">
        <v>74</v>
      </c>
      <c r="H624" t="s">
        <v>74</v>
      </c>
      <c r="I624" t="s">
        <v>1009</v>
      </c>
      <c r="J624" t="s">
        <v>333</v>
      </c>
      <c r="K624" t="s">
        <v>74</v>
      </c>
      <c r="L624" t="s">
        <v>74</v>
      </c>
      <c r="M624" t="s">
        <v>74</v>
      </c>
      <c r="N624" t="s">
        <v>74</v>
      </c>
      <c r="O624" t="s">
        <v>74</v>
      </c>
      <c r="P624" t="s">
        <v>74</v>
      </c>
      <c r="Q624" t="s">
        <v>74</v>
      </c>
      <c r="R624" t="s">
        <v>74</v>
      </c>
      <c r="S624" t="s">
        <v>74</v>
      </c>
      <c r="T624" t="s">
        <v>74</v>
      </c>
      <c r="U624" t="s">
        <v>74</v>
      </c>
      <c r="V624" s="3" t="s">
        <v>1010</v>
      </c>
      <c r="W624" t="s">
        <v>74</v>
      </c>
      <c r="X624" t="s">
        <v>74</v>
      </c>
      <c r="Y624" t="s">
        <v>74</v>
      </c>
      <c r="Z624" t="s">
        <v>74</v>
      </c>
      <c r="AA624" t="s">
        <v>1011</v>
      </c>
      <c r="AB624" t="s">
        <v>1012</v>
      </c>
      <c r="AC624" t="s">
        <v>74</v>
      </c>
      <c r="AD624" t="s">
        <v>74</v>
      </c>
      <c r="AE624" t="s">
        <v>74</v>
      </c>
      <c r="AF624" t="s">
        <v>74</v>
      </c>
      <c r="AG624" t="s">
        <v>74</v>
      </c>
      <c r="AH624" t="s">
        <v>74</v>
      </c>
      <c r="AI624" t="s">
        <v>74</v>
      </c>
      <c r="AJ624" t="s">
        <v>74</v>
      </c>
      <c r="AK624" t="s">
        <v>74</v>
      </c>
      <c r="AL624" t="s">
        <v>74</v>
      </c>
      <c r="AM624" t="s">
        <v>74</v>
      </c>
      <c r="AN624" t="s">
        <v>74</v>
      </c>
      <c r="AO624" t="s">
        <v>337</v>
      </c>
      <c r="AP624" t="s">
        <v>338</v>
      </c>
      <c r="AQ624" t="s">
        <v>74</v>
      </c>
      <c r="AR624" t="s">
        <v>74</v>
      </c>
      <c r="AS624" t="s">
        <v>74</v>
      </c>
      <c r="AT624" t="s">
        <v>1013</v>
      </c>
      <c r="AU624">
        <v>2018</v>
      </c>
      <c r="AV624">
        <v>29</v>
      </c>
      <c r="AW624">
        <v>5</v>
      </c>
      <c r="AX624" t="s">
        <v>74</v>
      </c>
      <c r="AY624" t="s">
        <v>74</v>
      </c>
      <c r="AZ624" t="s">
        <v>74</v>
      </c>
      <c r="BA624" t="s">
        <v>74</v>
      </c>
      <c r="BB624">
        <v>1075</v>
      </c>
      <c r="BC624">
        <v>1087</v>
      </c>
      <c r="BD624" t="s">
        <v>74</v>
      </c>
      <c r="BE624" t="s">
        <v>1014</v>
      </c>
      <c r="BF624" t="str">
        <f>HYPERLINK("http://dx.doi.org/10.1093/beheco/ary076","http://dx.doi.org/10.1093/beheco/ary076")</f>
        <v>http://dx.doi.org/10.1093/beheco/ary076</v>
      </c>
      <c r="BG624" t="s">
        <v>74</v>
      </c>
      <c r="BH624" t="s">
        <v>74</v>
      </c>
      <c r="BI624" t="s">
        <v>74</v>
      </c>
      <c r="BJ624" t="s">
        <v>74</v>
      </c>
      <c r="BK624" t="s">
        <v>74</v>
      </c>
      <c r="BL624" t="s">
        <v>74</v>
      </c>
      <c r="BM624" t="s">
        <v>74</v>
      </c>
      <c r="BN624" t="s">
        <v>74</v>
      </c>
      <c r="BO624" t="s">
        <v>74</v>
      </c>
      <c r="BP624" t="s">
        <v>74</v>
      </c>
      <c r="BQ624" t="s">
        <v>74</v>
      </c>
      <c r="BR624" t="s">
        <v>74</v>
      </c>
      <c r="BS624" t="s">
        <v>1015</v>
      </c>
      <c r="BT624" t="str">
        <f>HYPERLINK("https%3A%2F%2Fwww.webofscience.com%2Fwos%2Fwoscc%2Ffull-record%2FWOS:000444301900027","View Full Record in Web of Science")</f>
        <v>View Full Record in Web of Science</v>
      </c>
    </row>
    <row r="625" spans="1:72" x14ac:dyDescent="0.4">
      <c r="A625" t="s">
        <v>72</v>
      </c>
      <c r="B625" t="s">
        <v>1007</v>
      </c>
      <c r="C625" t="s">
        <v>74</v>
      </c>
      <c r="D625" t="s">
        <v>74</v>
      </c>
      <c r="E625" t="s">
        <v>74</v>
      </c>
      <c r="F625" t="s">
        <v>1008</v>
      </c>
      <c r="G625" t="s">
        <v>74</v>
      </c>
      <c r="H625" t="s">
        <v>74</v>
      </c>
      <c r="I625" t="s">
        <v>2285</v>
      </c>
      <c r="J625" t="s">
        <v>108</v>
      </c>
      <c r="K625" t="s">
        <v>74</v>
      </c>
      <c r="L625" t="s">
        <v>74</v>
      </c>
      <c r="M625" t="s">
        <v>74</v>
      </c>
      <c r="N625" t="s">
        <v>74</v>
      </c>
      <c r="O625" t="s">
        <v>74</v>
      </c>
      <c r="P625" t="s">
        <v>74</v>
      </c>
      <c r="Q625" t="s">
        <v>74</v>
      </c>
      <c r="R625" t="s">
        <v>74</v>
      </c>
      <c r="S625" t="s">
        <v>74</v>
      </c>
      <c r="T625" t="s">
        <v>74</v>
      </c>
      <c r="U625" t="s">
        <v>74</v>
      </c>
      <c r="V625" s="3" t="s">
        <v>2286</v>
      </c>
      <c r="W625" t="s">
        <v>74</v>
      </c>
      <c r="X625" t="s">
        <v>74</v>
      </c>
      <c r="Y625" t="s">
        <v>74</v>
      </c>
      <c r="Z625" t="s">
        <v>74</v>
      </c>
      <c r="AA625" t="s">
        <v>1011</v>
      </c>
      <c r="AB625" t="s">
        <v>1012</v>
      </c>
      <c r="AC625" t="s">
        <v>74</v>
      </c>
      <c r="AD625" t="s">
        <v>74</v>
      </c>
      <c r="AE625" t="s">
        <v>74</v>
      </c>
      <c r="AF625" t="s">
        <v>74</v>
      </c>
      <c r="AG625" t="s">
        <v>74</v>
      </c>
      <c r="AH625" t="s">
        <v>74</v>
      </c>
      <c r="AI625" t="s">
        <v>74</v>
      </c>
      <c r="AJ625" t="s">
        <v>74</v>
      </c>
      <c r="AK625" t="s">
        <v>74</v>
      </c>
      <c r="AL625" t="s">
        <v>74</v>
      </c>
      <c r="AM625" t="s">
        <v>74</v>
      </c>
      <c r="AN625" t="s">
        <v>74</v>
      </c>
      <c r="AO625" t="s">
        <v>111</v>
      </c>
      <c r="AP625" t="s">
        <v>112</v>
      </c>
      <c r="AQ625" t="s">
        <v>74</v>
      </c>
      <c r="AR625" t="s">
        <v>74</v>
      </c>
      <c r="AS625" t="s">
        <v>74</v>
      </c>
      <c r="AT625" t="s">
        <v>2287</v>
      </c>
      <c r="AU625">
        <v>2016</v>
      </c>
      <c r="AV625">
        <v>283</v>
      </c>
      <c r="AW625">
        <v>1841</v>
      </c>
      <c r="AX625" t="s">
        <v>74</v>
      </c>
      <c r="AY625" t="s">
        <v>74</v>
      </c>
      <c r="AZ625" t="s">
        <v>74</v>
      </c>
      <c r="BA625" t="s">
        <v>74</v>
      </c>
      <c r="BB625" t="s">
        <v>74</v>
      </c>
      <c r="BC625" t="s">
        <v>74</v>
      </c>
      <c r="BD625">
        <v>20161873</v>
      </c>
      <c r="BE625" t="s">
        <v>2288</v>
      </c>
      <c r="BF625" t="str">
        <f>HYPERLINK("http://dx.doi.org/10.1098/rspb.2016.1873","http://dx.doi.org/10.1098/rspb.2016.1873")</f>
        <v>http://dx.doi.org/10.1098/rspb.2016.1873</v>
      </c>
      <c r="BG625" t="s">
        <v>74</v>
      </c>
      <c r="BH625" t="s">
        <v>74</v>
      </c>
      <c r="BI625" t="s">
        <v>74</v>
      </c>
      <c r="BJ625" t="s">
        <v>74</v>
      </c>
      <c r="BK625" t="s">
        <v>74</v>
      </c>
      <c r="BL625" t="s">
        <v>74</v>
      </c>
      <c r="BM625" t="s">
        <v>74</v>
      </c>
      <c r="BN625">
        <v>27798310</v>
      </c>
      <c r="BO625" t="s">
        <v>74</v>
      </c>
      <c r="BP625" t="s">
        <v>74</v>
      </c>
      <c r="BQ625" t="s">
        <v>74</v>
      </c>
      <c r="BR625" t="s">
        <v>74</v>
      </c>
      <c r="BS625" t="s">
        <v>2289</v>
      </c>
      <c r="BT625" t="str">
        <f>HYPERLINK("https%3A%2F%2Fwww.webofscience.com%2Fwos%2Fwoscc%2Ffull-record%2FWOS:000386492600019","View Full Record in Web of Science")</f>
        <v>View Full Record in Web of Science</v>
      </c>
    </row>
    <row r="626" spans="1:72" x14ac:dyDescent="0.4">
      <c r="A626" t="s">
        <v>72</v>
      </c>
      <c r="B626" t="s">
        <v>2222</v>
      </c>
      <c r="C626" t="s">
        <v>74</v>
      </c>
      <c r="D626" t="s">
        <v>74</v>
      </c>
      <c r="E626" t="s">
        <v>74</v>
      </c>
      <c r="F626" t="s">
        <v>2223</v>
      </c>
      <c r="G626" t="s">
        <v>74</v>
      </c>
      <c r="H626" t="s">
        <v>74</v>
      </c>
      <c r="I626" t="s">
        <v>2224</v>
      </c>
      <c r="J626" t="s">
        <v>1803</v>
      </c>
      <c r="K626" t="s">
        <v>74</v>
      </c>
      <c r="L626" t="s">
        <v>74</v>
      </c>
      <c r="M626" t="s">
        <v>74</v>
      </c>
      <c r="N626" t="s">
        <v>74</v>
      </c>
      <c r="O626" t="s">
        <v>74</v>
      </c>
      <c r="P626" t="s">
        <v>74</v>
      </c>
      <c r="Q626" t="s">
        <v>74</v>
      </c>
      <c r="R626" t="s">
        <v>74</v>
      </c>
      <c r="S626" t="s">
        <v>74</v>
      </c>
      <c r="T626" t="s">
        <v>74</v>
      </c>
      <c r="U626" t="s">
        <v>74</v>
      </c>
      <c r="V626" s="3" t="s">
        <v>2225</v>
      </c>
      <c r="W626" t="s">
        <v>74</v>
      </c>
      <c r="X626" t="s">
        <v>74</v>
      </c>
      <c r="Y626" t="s">
        <v>74</v>
      </c>
      <c r="Z626" t="s">
        <v>74</v>
      </c>
      <c r="AA626" t="s">
        <v>2226</v>
      </c>
      <c r="AB626" t="s">
        <v>2227</v>
      </c>
      <c r="AC626" t="s">
        <v>74</v>
      </c>
      <c r="AD626" t="s">
        <v>74</v>
      </c>
      <c r="AE626" t="s">
        <v>74</v>
      </c>
      <c r="AF626" t="s">
        <v>74</v>
      </c>
      <c r="AG626" t="s">
        <v>74</v>
      </c>
      <c r="AH626" t="s">
        <v>74</v>
      </c>
      <c r="AI626" t="s">
        <v>74</v>
      </c>
      <c r="AJ626" t="s">
        <v>74</v>
      </c>
      <c r="AK626" t="s">
        <v>74</v>
      </c>
      <c r="AL626" t="s">
        <v>74</v>
      </c>
      <c r="AM626" t="s">
        <v>74</v>
      </c>
      <c r="AN626" t="s">
        <v>74</v>
      </c>
      <c r="AO626" t="s">
        <v>1807</v>
      </c>
      <c r="AP626" t="s">
        <v>1808</v>
      </c>
      <c r="AQ626" t="s">
        <v>74</v>
      </c>
      <c r="AR626" t="s">
        <v>74</v>
      </c>
      <c r="AS626" t="s">
        <v>74</v>
      </c>
      <c r="AT626" t="s">
        <v>175</v>
      </c>
      <c r="AU626">
        <v>2014</v>
      </c>
      <c r="AV626">
        <v>28</v>
      </c>
      <c r="AW626">
        <v>5</v>
      </c>
      <c r="AX626" t="s">
        <v>74</v>
      </c>
      <c r="AY626" t="s">
        <v>74</v>
      </c>
      <c r="AZ626" t="s">
        <v>74</v>
      </c>
      <c r="BA626" t="s">
        <v>74</v>
      </c>
      <c r="BB626">
        <v>1197</v>
      </c>
      <c r="BC626">
        <v>1207</v>
      </c>
      <c r="BD626" t="s">
        <v>74</v>
      </c>
      <c r="BE626" t="s">
        <v>2228</v>
      </c>
      <c r="BF626" t="str">
        <f>HYPERLINK("http://dx.doi.org/10.1111/1365-2435.12244","http://dx.doi.org/10.1111/1365-2435.12244")</f>
        <v>http://dx.doi.org/10.1111/1365-2435.12244</v>
      </c>
      <c r="BG626" t="s">
        <v>74</v>
      </c>
      <c r="BH626" t="s">
        <v>74</v>
      </c>
      <c r="BI626" t="s">
        <v>74</v>
      </c>
      <c r="BJ626" t="s">
        <v>74</v>
      </c>
      <c r="BK626" t="s">
        <v>74</v>
      </c>
      <c r="BL626" t="s">
        <v>74</v>
      </c>
      <c r="BM626" t="s">
        <v>74</v>
      </c>
      <c r="BN626" t="s">
        <v>74</v>
      </c>
      <c r="BO626" t="s">
        <v>74</v>
      </c>
      <c r="BP626" t="s">
        <v>74</v>
      </c>
      <c r="BQ626" t="s">
        <v>74</v>
      </c>
      <c r="BR626" t="s">
        <v>74</v>
      </c>
      <c r="BS626" t="s">
        <v>2229</v>
      </c>
      <c r="BT626" t="str">
        <f>HYPERLINK("https%3A%2F%2Fwww.webofscience.com%2Fwos%2Fwoscc%2Ffull-record%2FWOS:000342615100015","View Full Record in Web of Science")</f>
        <v>View Full Record in Web of Science</v>
      </c>
    </row>
    <row r="627" spans="1:72" x14ac:dyDescent="0.4">
      <c r="A627" t="s">
        <v>72</v>
      </c>
      <c r="B627" t="s">
        <v>4212</v>
      </c>
      <c r="C627" t="s">
        <v>74</v>
      </c>
      <c r="D627" t="s">
        <v>74</v>
      </c>
      <c r="E627" t="s">
        <v>74</v>
      </c>
      <c r="F627" t="s">
        <v>4213</v>
      </c>
      <c r="G627" t="s">
        <v>74</v>
      </c>
      <c r="H627" t="s">
        <v>74</v>
      </c>
      <c r="I627" t="s">
        <v>4214</v>
      </c>
      <c r="J627" t="s">
        <v>140</v>
      </c>
      <c r="K627" t="s">
        <v>74</v>
      </c>
      <c r="L627" t="s">
        <v>74</v>
      </c>
      <c r="M627" t="s">
        <v>74</v>
      </c>
      <c r="N627" t="s">
        <v>74</v>
      </c>
      <c r="O627" t="s">
        <v>74</v>
      </c>
      <c r="P627" t="s">
        <v>74</v>
      </c>
      <c r="Q627" t="s">
        <v>74</v>
      </c>
      <c r="R627" t="s">
        <v>74</v>
      </c>
      <c r="S627" t="s">
        <v>74</v>
      </c>
      <c r="T627" t="s">
        <v>74</v>
      </c>
      <c r="U627" t="s">
        <v>74</v>
      </c>
      <c r="V627" s="3" t="s">
        <v>4215</v>
      </c>
      <c r="W627" t="s">
        <v>74</v>
      </c>
      <c r="X627" t="s">
        <v>74</v>
      </c>
      <c r="Y627" t="s">
        <v>74</v>
      </c>
      <c r="Z627" t="s">
        <v>74</v>
      </c>
      <c r="AA627" t="s">
        <v>4216</v>
      </c>
      <c r="AB627" t="s">
        <v>4217</v>
      </c>
      <c r="AC627" t="s">
        <v>74</v>
      </c>
      <c r="AD627" t="s">
        <v>74</v>
      </c>
      <c r="AE627" t="s">
        <v>74</v>
      </c>
      <c r="AF627" t="s">
        <v>74</v>
      </c>
      <c r="AG627" t="s">
        <v>74</v>
      </c>
      <c r="AH627" t="s">
        <v>74</v>
      </c>
      <c r="AI627" t="s">
        <v>74</v>
      </c>
      <c r="AJ627" t="s">
        <v>74</v>
      </c>
      <c r="AK627" t="s">
        <v>74</v>
      </c>
      <c r="AL627" t="s">
        <v>74</v>
      </c>
      <c r="AM627" t="s">
        <v>74</v>
      </c>
      <c r="AN627" t="s">
        <v>74</v>
      </c>
      <c r="AO627" t="s">
        <v>143</v>
      </c>
      <c r="AP627" t="s">
        <v>144</v>
      </c>
      <c r="AQ627" t="s">
        <v>74</v>
      </c>
      <c r="AR627" t="s">
        <v>74</v>
      </c>
      <c r="AS627" t="s">
        <v>74</v>
      </c>
      <c r="AT627" t="s">
        <v>102</v>
      </c>
      <c r="AU627">
        <v>2009</v>
      </c>
      <c r="AV627">
        <v>77</v>
      </c>
      <c r="AW627">
        <v>6</v>
      </c>
      <c r="AX627" t="s">
        <v>74</v>
      </c>
      <c r="AY627" t="s">
        <v>74</v>
      </c>
      <c r="AZ627" t="s">
        <v>74</v>
      </c>
      <c r="BA627" t="s">
        <v>74</v>
      </c>
      <c r="BB627">
        <v>1525</v>
      </c>
      <c r="BC627">
        <v>1532</v>
      </c>
      <c r="BD627" t="s">
        <v>74</v>
      </c>
      <c r="BE627" t="s">
        <v>4218</v>
      </c>
      <c r="BF627" t="str">
        <f>HYPERLINK("http://dx.doi.org/10.1016/j.anbehav.2009.02.027","http://dx.doi.org/10.1016/j.anbehav.2009.02.027")</f>
        <v>http://dx.doi.org/10.1016/j.anbehav.2009.02.027</v>
      </c>
      <c r="BG627" t="s">
        <v>74</v>
      </c>
      <c r="BH627" t="s">
        <v>74</v>
      </c>
      <c r="BI627" t="s">
        <v>74</v>
      </c>
      <c r="BJ627" t="s">
        <v>74</v>
      </c>
      <c r="BK627" t="s">
        <v>74</v>
      </c>
      <c r="BL627" t="s">
        <v>74</v>
      </c>
      <c r="BM627" t="s">
        <v>74</v>
      </c>
      <c r="BN627" t="s">
        <v>74</v>
      </c>
      <c r="BO627" t="s">
        <v>74</v>
      </c>
      <c r="BP627" t="s">
        <v>74</v>
      </c>
      <c r="BQ627" t="s">
        <v>74</v>
      </c>
      <c r="BR627" t="s">
        <v>74</v>
      </c>
      <c r="BS627" t="s">
        <v>4219</v>
      </c>
      <c r="BT627" t="str">
        <f>HYPERLINK("https%3A%2F%2Fwww.webofscience.com%2Fwos%2Fwoscc%2Ffull-record%2FWOS:000266884200022","View Full Record in Web of Science")</f>
        <v>View Full Record in Web of Science</v>
      </c>
    </row>
    <row r="628" spans="1:72" x14ac:dyDescent="0.4">
      <c r="A628" t="s">
        <v>72</v>
      </c>
      <c r="B628" t="s">
        <v>6000</v>
      </c>
      <c r="C628" t="s">
        <v>74</v>
      </c>
      <c r="D628" t="s">
        <v>74</v>
      </c>
      <c r="E628" t="s">
        <v>74</v>
      </c>
      <c r="F628" t="s">
        <v>6001</v>
      </c>
      <c r="G628" t="s">
        <v>74</v>
      </c>
      <c r="H628" t="s">
        <v>74</v>
      </c>
      <c r="I628" t="s">
        <v>6002</v>
      </c>
      <c r="J628" t="s">
        <v>1384</v>
      </c>
      <c r="K628" t="s">
        <v>74</v>
      </c>
      <c r="L628" t="s">
        <v>74</v>
      </c>
      <c r="M628" t="s">
        <v>74</v>
      </c>
      <c r="N628" t="s">
        <v>74</v>
      </c>
      <c r="O628" t="s">
        <v>74</v>
      </c>
      <c r="P628" t="s">
        <v>74</v>
      </c>
      <c r="Q628" t="s">
        <v>74</v>
      </c>
      <c r="R628" t="s">
        <v>74</v>
      </c>
      <c r="S628" t="s">
        <v>74</v>
      </c>
      <c r="T628" t="s">
        <v>74</v>
      </c>
      <c r="U628" t="s">
        <v>74</v>
      </c>
      <c r="V628" s="3" t="s">
        <v>6003</v>
      </c>
      <c r="W628" t="s">
        <v>74</v>
      </c>
      <c r="X628" t="s">
        <v>74</v>
      </c>
      <c r="Y628" t="s">
        <v>74</v>
      </c>
      <c r="Z628" t="s">
        <v>74</v>
      </c>
      <c r="AA628" t="s">
        <v>74</v>
      </c>
      <c r="AB628" t="s">
        <v>6004</v>
      </c>
      <c r="AC628" t="s">
        <v>74</v>
      </c>
      <c r="AD628" t="s">
        <v>74</v>
      </c>
      <c r="AE628" t="s">
        <v>74</v>
      </c>
      <c r="AF628" t="s">
        <v>74</v>
      </c>
      <c r="AG628" t="s">
        <v>74</v>
      </c>
      <c r="AH628" t="s">
        <v>74</v>
      </c>
      <c r="AI628" t="s">
        <v>74</v>
      </c>
      <c r="AJ628" t="s">
        <v>74</v>
      </c>
      <c r="AK628" t="s">
        <v>74</v>
      </c>
      <c r="AL628" t="s">
        <v>74</v>
      </c>
      <c r="AM628" t="s">
        <v>74</v>
      </c>
      <c r="AN628" t="s">
        <v>74</v>
      </c>
      <c r="AO628" t="s">
        <v>1388</v>
      </c>
      <c r="AP628" t="s">
        <v>1389</v>
      </c>
      <c r="AQ628" t="s">
        <v>74</v>
      </c>
      <c r="AR628" t="s">
        <v>74</v>
      </c>
      <c r="AS628" t="s">
        <v>74</v>
      </c>
      <c r="AT628" t="s">
        <v>633</v>
      </c>
      <c r="AU628">
        <v>2023</v>
      </c>
      <c r="AV628">
        <v>165</v>
      </c>
      <c r="AW628">
        <v>2</v>
      </c>
      <c r="AX628" t="s">
        <v>74</v>
      </c>
      <c r="AY628" t="s">
        <v>74</v>
      </c>
      <c r="AZ628" t="s">
        <v>74</v>
      </c>
      <c r="BA628" t="s">
        <v>74</v>
      </c>
      <c r="BB628">
        <v>561</v>
      </c>
      <c r="BC628">
        <v>570</v>
      </c>
      <c r="BD628" t="s">
        <v>74</v>
      </c>
      <c r="BE628" t="s">
        <v>6005</v>
      </c>
      <c r="BF628" t="str">
        <f>HYPERLINK("http://dx.doi.org/10.1111/ibi.13141","http://dx.doi.org/10.1111/ibi.13141")</f>
        <v>http://dx.doi.org/10.1111/ibi.13141</v>
      </c>
      <c r="BG628" t="s">
        <v>74</v>
      </c>
      <c r="BH628" t="s">
        <v>6006</v>
      </c>
      <c r="BI628" t="s">
        <v>74</v>
      </c>
      <c r="BJ628" t="s">
        <v>74</v>
      </c>
      <c r="BK628" t="s">
        <v>74</v>
      </c>
      <c r="BL628" t="s">
        <v>74</v>
      </c>
      <c r="BM628" t="s">
        <v>74</v>
      </c>
      <c r="BN628" t="s">
        <v>74</v>
      </c>
      <c r="BO628" t="s">
        <v>74</v>
      </c>
      <c r="BP628" t="s">
        <v>74</v>
      </c>
      <c r="BQ628" t="s">
        <v>74</v>
      </c>
      <c r="BR628" t="s">
        <v>74</v>
      </c>
      <c r="BS628" t="s">
        <v>6007</v>
      </c>
      <c r="BT628" t="str">
        <f>HYPERLINK("https%3A%2F%2Fwww.webofscience.com%2Fwos%2Fwoscc%2Ffull-record%2FWOS:000864028600001","View Full Record in Web of Science")</f>
        <v>View Full Record in Web of Science</v>
      </c>
    </row>
    <row r="629" spans="1:72" x14ac:dyDescent="0.4">
      <c r="A629" t="s">
        <v>72</v>
      </c>
      <c r="B629" t="s">
        <v>8406</v>
      </c>
      <c r="C629" t="s">
        <v>74</v>
      </c>
      <c r="D629" t="s">
        <v>74</v>
      </c>
      <c r="E629" t="s">
        <v>74</v>
      </c>
      <c r="F629" t="s">
        <v>8407</v>
      </c>
      <c r="G629" t="s">
        <v>74</v>
      </c>
      <c r="H629" t="s">
        <v>74</v>
      </c>
      <c r="I629" t="s">
        <v>8408</v>
      </c>
      <c r="J629" t="s">
        <v>5937</v>
      </c>
      <c r="K629" t="s">
        <v>74</v>
      </c>
      <c r="L629" t="s">
        <v>74</v>
      </c>
      <c r="M629" t="s">
        <v>74</v>
      </c>
      <c r="N629" t="s">
        <v>74</v>
      </c>
      <c r="O629" t="s">
        <v>74</v>
      </c>
      <c r="P629" t="s">
        <v>74</v>
      </c>
      <c r="Q629" t="s">
        <v>74</v>
      </c>
      <c r="R629" t="s">
        <v>74</v>
      </c>
      <c r="S629" t="s">
        <v>74</v>
      </c>
      <c r="T629" t="s">
        <v>74</v>
      </c>
      <c r="U629" t="s">
        <v>74</v>
      </c>
      <c r="V629" s="3" t="s">
        <v>8409</v>
      </c>
      <c r="W629" t="s">
        <v>74</v>
      </c>
      <c r="X629" t="s">
        <v>74</v>
      </c>
      <c r="Y629" t="s">
        <v>74</v>
      </c>
      <c r="Z629" t="s">
        <v>74</v>
      </c>
      <c r="AA629" t="s">
        <v>612</v>
      </c>
      <c r="AB629" t="s">
        <v>613</v>
      </c>
      <c r="AC629" t="s">
        <v>74</v>
      </c>
      <c r="AD629" t="s">
        <v>74</v>
      </c>
      <c r="AE629" t="s">
        <v>74</v>
      </c>
      <c r="AF629" t="s">
        <v>74</v>
      </c>
      <c r="AG629" t="s">
        <v>74</v>
      </c>
      <c r="AH629" t="s">
        <v>74</v>
      </c>
      <c r="AI629" t="s">
        <v>74</v>
      </c>
      <c r="AJ629" t="s">
        <v>74</v>
      </c>
      <c r="AK629" t="s">
        <v>74</v>
      </c>
      <c r="AL629" t="s">
        <v>74</v>
      </c>
      <c r="AM629" t="s">
        <v>74</v>
      </c>
      <c r="AN629" t="s">
        <v>74</v>
      </c>
      <c r="AO629" t="s">
        <v>5941</v>
      </c>
      <c r="AP629" t="s">
        <v>74</v>
      </c>
      <c r="AQ629" t="s">
        <v>74</v>
      </c>
      <c r="AR629" t="s">
        <v>74</v>
      </c>
      <c r="AS629" t="s">
        <v>74</v>
      </c>
      <c r="AT629" t="s">
        <v>145</v>
      </c>
      <c r="AU629">
        <v>2023</v>
      </c>
      <c r="AV629">
        <v>13</v>
      </c>
      <c r="AW629">
        <v>16</v>
      </c>
      <c r="AX629" t="s">
        <v>74</v>
      </c>
      <c r="AY629" t="s">
        <v>74</v>
      </c>
      <c r="AZ629" t="s">
        <v>74</v>
      </c>
      <c r="BA629" t="s">
        <v>74</v>
      </c>
      <c r="BB629" t="s">
        <v>74</v>
      </c>
      <c r="BC629" t="s">
        <v>74</v>
      </c>
      <c r="BD629">
        <v>2623</v>
      </c>
      <c r="BE629" t="s">
        <v>8410</v>
      </c>
      <c r="BF629" t="str">
        <f>HYPERLINK("http://dx.doi.org/10.3390/ani13162623","http://dx.doi.org/10.3390/ani13162623")</f>
        <v>http://dx.doi.org/10.3390/ani13162623</v>
      </c>
      <c r="BG629" t="s">
        <v>74</v>
      </c>
      <c r="BH629" t="s">
        <v>74</v>
      </c>
      <c r="BI629" t="s">
        <v>74</v>
      </c>
      <c r="BJ629" t="s">
        <v>74</v>
      </c>
      <c r="BK629" t="s">
        <v>74</v>
      </c>
      <c r="BL629" t="s">
        <v>74</v>
      </c>
      <c r="BM629" t="s">
        <v>74</v>
      </c>
      <c r="BN629">
        <v>37627414</v>
      </c>
      <c r="BO629" t="s">
        <v>74</v>
      </c>
      <c r="BP629" t="s">
        <v>74</v>
      </c>
      <c r="BQ629" t="s">
        <v>74</v>
      </c>
      <c r="BR629" t="s">
        <v>74</v>
      </c>
      <c r="BS629" t="s">
        <v>8411</v>
      </c>
      <c r="BT629" t="str">
        <f>HYPERLINK("https%3A%2F%2Fwww.webofscience.com%2Fwos%2Fwoscc%2Ffull-record%2FWOS:001055601600001","View Full Record in Web of Science")</f>
        <v>View Full Record in Web of Science</v>
      </c>
    </row>
    <row r="630" spans="1:72" x14ac:dyDescent="0.4">
      <c r="A630" t="s">
        <v>72</v>
      </c>
      <c r="B630" t="s">
        <v>7345</v>
      </c>
      <c r="C630" t="s">
        <v>74</v>
      </c>
      <c r="D630" t="s">
        <v>74</v>
      </c>
      <c r="E630" t="s">
        <v>74</v>
      </c>
      <c r="F630" t="s">
        <v>7346</v>
      </c>
      <c r="G630" t="s">
        <v>74</v>
      </c>
      <c r="H630" t="s">
        <v>74</v>
      </c>
      <c r="I630" t="s">
        <v>7347</v>
      </c>
      <c r="J630" t="s">
        <v>1112</v>
      </c>
      <c r="K630" t="s">
        <v>74</v>
      </c>
      <c r="L630" t="s">
        <v>74</v>
      </c>
      <c r="M630" t="s">
        <v>74</v>
      </c>
      <c r="N630" t="s">
        <v>74</v>
      </c>
      <c r="O630" t="s">
        <v>74</v>
      </c>
      <c r="P630" t="s">
        <v>74</v>
      </c>
      <c r="Q630" t="s">
        <v>74</v>
      </c>
      <c r="R630" t="s">
        <v>74</v>
      </c>
      <c r="S630" t="s">
        <v>74</v>
      </c>
      <c r="T630" t="s">
        <v>74</v>
      </c>
      <c r="U630" t="s">
        <v>74</v>
      </c>
      <c r="V630" s="3" t="s">
        <v>7348</v>
      </c>
      <c r="W630" t="s">
        <v>74</v>
      </c>
      <c r="X630" t="s">
        <v>74</v>
      </c>
      <c r="Y630" t="s">
        <v>74</v>
      </c>
      <c r="Z630" t="s">
        <v>74</v>
      </c>
      <c r="AA630" t="s">
        <v>7349</v>
      </c>
      <c r="AB630" t="s">
        <v>7350</v>
      </c>
      <c r="AC630" t="s">
        <v>74</v>
      </c>
      <c r="AD630" t="s">
        <v>74</v>
      </c>
      <c r="AE630" t="s">
        <v>74</v>
      </c>
      <c r="AF630" t="s">
        <v>74</v>
      </c>
      <c r="AG630" t="s">
        <v>74</v>
      </c>
      <c r="AH630" t="s">
        <v>74</v>
      </c>
      <c r="AI630" t="s">
        <v>74</v>
      </c>
      <c r="AJ630" t="s">
        <v>74</v>
      </c>
      <c r="AK630" t="s">
        <v>74</v>
      </c>
      <c r="AL630" t="s">
        <v>74</v>
      </c>
      <c r="AM630" t="s">
        <v>74</v>
      </c>
      <c r="AN630" t="s">
        <v>74</v>
      </c>
      <c r="AO630" t="s">
        <v>1114</v>
      </c>
      <c r="AP630" t="s">
        <v>1115</v>
      </c>
      <c r="AQ630" t="s">
        <v>74</v>
      </c>
      <c r="AR630" t="s">
        <v>74</v>
      </c>
      <c r="AS630" t="s">
        <v>74</v>
      </c>
      <c r="AT630" t="s">
        <v>204</v>
      </c>
      <c r="AU630">
        <v>2014</v>
      </c>
      <c r="AV630">
        <v>156</v>
      </c>
      <c r="AW630" t="s">
        <v>74</v>
      </c>
      <c r="AX630" t="s">
        <v>74</v>
      </c>
      <c r="AY630" t="s">
        <v>74</v>
      </c>
      <c r="AZ630" t="s">
        <v>74</v>
      </c>
      <c r="BA630" t="s">
        <v>74</v>
      </c>
      <c r="BB630">
        <v>44</v>
      </c>
      <c r="BC630">
        <v>53</v>
      </c>
      <c r="BD630" t="s">
        <v>74</v>
      </c>
      <c r="BE630" t="s">
        <v>7351</v>
      </c>
      <c r="BF630" t="str">
        <f>HYPERLINK("http://dx.doi.org/10.1016/j.applanim.2014.04.006","http://dx.doi.org/10.1016/j.applanim.2014.04.006")</f>
        <v>http://dx.doi.org/10.1016/j.applanim.2014.04.006</v>
      </c>
      <c r="BG630" t="s">
        <v>74</v>
      </c>
      <c r="BH630" t="s">
        <v>74</v>
      </c>
      <c r="BI630" t="s">
        <v>74</v>
      </c>
      <c r="BJ630" t="s">
        <v>74</v>
      </c>
      <c r="BK630" t="s">
        <v>74</v>
      </c>
      <c r="BL630" t="s">
        <v>74</v>
      </c>
      <c r="BM630" t="s">
        <v>74</v>
      </c>
      <c r="BN630" t="s">
        <v>74</v>
      </c>
      <c r="BO630" t="s">
        <v>74</v>
      </c>
      <c r="BP630" t="s">
        <v>74</v>
      </c>
      <c r="BQ630" t="s">
        <v>74</v>
      </c>
      <c r="BR630" t="s">
        <v>74</v>
      </c>
      <c r="BS630" t="s">
        <v>7352</v>
      </c>
      <c r="BT630" t="str">
        <f>HYPERLINK("https%3A%2F%2Fwww.webofscience.com%2Fwos%2Fwoscc%2Ffull-record%2FWOS:000337998000006","View Full Record in Web of Science")</f>
        <v>View Full Record in Web of Science</v>
      </c>
    </row>
    <row r="631" spans="1:72" x14ac:dyDescent="0.4">
      <c r="A631" t="s">
        <v>72</v>
      </c>
      <c r="B631" t="s">
        <v>5790</v>
      </c>
      <c r="C631" t="s">
        <v>74</v>
      </c>
      <c r="D631" t="s">
        <v>74</v>
      </c>
      <c r="E631" t="s">
        <v>74</v>
      </c>
      <c r="F631" t="s">
        <v>5791</v>
      </c>
      <c r="G631" t="s">
        <v>74</v>
      </c>
      <c r="H631" t="s">
        <v>74</v>
      </c>
      <c r="I631" t="s">
        <v>5792</v>
      </c>
      <c r="J631" t="s">
        <v>281</v>
      </c>
      <c r="K631" t="s">
        <v>74</v>
      </c>
      <c r="L631" t="s">
        <v>74</v>
      </c>
      <c r="M631" t="s">
        <v>74</v>
      </c>
      <c r="N631" t="s">
        <v>74</v>
      </c>
      <c r="O631" t="s">
        <v>74</v>
      </c>
      <c r="P631" t="s">
        <v>74</v>
      </c>
      <c r="Q631" t="s">
        <v>74</v>
      </c>
      <c r="R631" t="s">
        <v>74</v>
      </c>
      <c r="S631" t="s">
        <v>74</v>
      </c>
      <c r="T631" t="s">
        <v>74</v>
      </c>
      <c r="U631" t="s">
        <v>74</v>
      </c>
      <c r="V631" s="3" t="s">
        <v>5793</v>
      </c>
      <c r="W631" t="s">
        <v>74</v>
      </c>
      <c r="X631" t="s">
        <v>74</v>
      </c>
      <c r="Y631" t="s">
        <v>74</v>
      </c>
      <c r="Z631" t="s">
        <v>74</v>
      </c>
      <c r="AA631" t="s">
        <v>5794</v>
      </c>
      <c r="AB631" t="s">
        <v>5795</v>
      </c>
      <c r="AC631" t="s">
        <v>74</v>
      </c>
      <c r="AD631" t="s">
        <v>74</v>
      </c>
      <c r="AE631" t="s">
        <v>74</v>
      </c>
      <c r="AF631" t="s">
        <v>74</v>
      </c>
      <c r="AG631" t="s">
        <v>74</v>
      </c>
      <c r="AH631" t="s">
        <v>74</v>
      </c>
      <c r="AI631" t="s">
        <v>74</v>
      </c>
      <c r="AJ631" t="s">
        <v>74</v>
      </c>
      <c r="AK631" t="s">
        <v>74</v>
      </c>
      <c r="AL631" t="s">
        <v>74</v>
      </c>
      <c r="AM631" t="s">
        <v>74</v>
      </c>
      <c r="AN631" t="s">
        <v>74</v>
      </c>
      <c r="AO631" t="s">
        <v>285</v>
      </c>
      <c r="AP631" t="s">
        <v>286</v>
      </c>
      <c r="AQ631" t="s">
        <v>74</v>
      </c>
      <c r="AR631" t="s">
        <v>74</v>
      </c>
      <c r="AS631" t="s">
        <v>74</v>
      </c>
      <c r="AT631" t="s">
        <v>255</v>
      </c>
      <c r="AU631">
        <v>2021</v>
      </c>
      <c r="AV631">
        <v>24</v>
      </c>
      <c r="AW631">
        <v>1</v>
      </c>
      <c r="AX631" t="s">
        <v>74</v>
      </c>
      <c r="AY631" t="s">
        <v>74</v>
      </c>
      <c r="AZ631" t="s">
        <v>74</v>
      </c>
      <c r="BA631" t="s">
        <v>74</v>
      </c>
      <c r="BB631">
        <v>205</v>
      </c>
      <c r="BC631">
        <v>212</v>
      </c>
      <c r="BD631" t="s">
        <v>74</v>
      </c>
      <c r="BE631" t="s">
        <v>5796</v>
      </c>
      <c r="BF631" t="str">
        <f>HYPERLINK("http://dx.doi.org/10.1007/s10071-020-01434-8","http://dx.doi.org/10.1007/s10071-020-01434-8")</f>
        <v>http://dx.doi.org/10.1007/s10071-020-01434-8</v>
      </c>
      <c r="BG631" t="s">
        <v>74</v>
      </c>
      <c r="BH631" t="s">
        <v>1067</v>
      </c>
      <c r="BI631" t="s">
        <v>74</v>
      </c>
      <c r="BJ631" t="s">
        <v>74</v>
      </c>
      <c r="BK631" t="s">
        <v>74</v>
      </c>
      <c r="BL631" t="s">
        <v>74</v>
      </c>
      <c r="BM631" t="s">
        <v>74</v>
      </c>
      <c r="BN631">
        <v>32980971</v>
      </c>
      <c r="BO631" t="s">
        <v>74</v>
      </c>
      <c r="BP631" t="s">
        <v>74</v>
      </c>
      <c r="BQ631" t="s">
        <v>74</v>
      </c>
      <c r="BR631" t="s">
        <v>74</v>
      </c>
      <c r="BS631" t="s">
        <v>5797</v>
      </c>
      <c r="BT631" t="str">
        <f>HYPERLINK("https%3A%2F%2Fwww.webofscience.com%2Fwos%2Fwoscc%2Ffull-record%2FWOS:000573200000001","View Full Record in Web of Science")</f>
        <v>View Full Record in Web of Science</v>
      </c>
    </row>
    <row r="632" spans="1:72" x14ac:dyDescent="0.4">
      <c r="A632" t="s">
        <v>72</v>
      </c>
      <c r="B632" t="s">
        <v>4391</v>
      </c>
      <c r="C632" t="s">
        <v>74</v>
      </c>
      <c r="D632" t="s">
        <v>74</v>
      </c>
      <c r="E632" t="s">
        <v>74</v>
      </c>
      <c r="F632" t="s">
        <v>4391</v>
      </c>
      <c r="G632" t="s">
        <v>74</v>
      </c>
      <c r="H632" t="s">
        <v>74</v>
      </c>
      <c r="I632" t="s">
        <v>4392</v>
      </c>
      <c r="J632" t="s">
        <v>1533</v>
      </c>
      <c r="K632" t="s">
        <v>74</v>
      </c>
      <c r="L632" t="s">
        <v>74</v>
      </c>
      <c r="M632" t="s">
        <v>74</v>
      </c>
      <c r="N632" t="s">
        <v>74</v>
      </c>
      <c r="O632" t="s">
        <v>74</v>
      </c>
      <c r="P632" t="s">
        <v>74</v>
      </c>
      <c r="Q632" t="s">
        <v>74</v>
      </c>
      <c r="R632" t="s">
        <v>74</v>
      </c>
      <c r="S632" t="s">
        <v>74</v>
      </c>
      <c r="T632" t="s">
        <v>74</v>
      </c>
      <c r="U632" t="s">
        <v>74</v>
      </c>
      <c r="V632" s="3" t="s">
        <v>4393</v>
      </c>
      <c r="W632" t="s">
        <v>74</v>
      </c>
      <c r="X632" t="s">
        <v>74</v>
      </c>
      <c r="Y632" t="s">
        <v>74</v>
      </c>
      <c r="Z632" t="s">
        <v>74</v>
      </c>
      <c r="AA632" t="s">
        <v>74</v>
      </c>
      <c r="AB632" t="s">
        <v>74</v>
      </c>
      <c r="AC632" t="s">
        <v>74</v>
      </c>
      <c r="AD632" t="s">
        <v>74</v>
      </c>
      <c r="AE632" t="s">
        <v>74</v>
      </c>
      <c r="AF632" t="s">
        <v>74</v>
      </c>
      <c r="AG632" t="s">
        <v>74</v>
      </c>
      <c r="AH632" t="s">
        <v>74</v>
      </c>
      <c r="AI632" t="s">
        <v>74</v>
      </c>
      <c r="AJ632" t="s">
        <v>74</v>
      </c>
      <c r="AK632" t="s">
        <v>74</v>
      </c>
      <c r="AL632" t="s">
        <v>74</v>
      </c>
      <c r="AM632" t="s">
        <v>74</v>
      </c>
      <c r="AN632" t="s">
        <v>74</v>
      </c>
      <c r="AO632" t="s">
        <v>1535</v>
      </c>
      <c r="AP632" t="s">
        <v>1536</v>
      </c>
      <c r="AQ632" t="s">
        <v>74</v>
      </c>
      <c r="AR632" t="s">
        <v>74</v>
      </c>
      <c r="AS632" t="s">
        <v>74</v>
      </c>
      <c r="AT632" t="s">
        <v>74</v>
      </c>
      <c r="AU632">
        <v>1976</v>
      </c>
      <c r="AV632">
        <v>26</v>
      </c>
      <c r="AW632">
        <v>3</v>
      </c>
      <c r="AX632" t="s">
        <v>74</v>
      </c>
      <c r="AY632" t="s">
        <v>74</v>
      </c>
      <c r="AZ632" t="s">
        <v>74</v>
      </c>
      <c r="BA632" t="s">
        <v>74</v>
      </c>
      <c r="BB632">
        <v>349</v>
      </c>
      <c r="BC632">
        <v>360</v>
      </c>
      <c r="BD632" t="s">
        <v>74</v>
      </c>
      <c r="BE632" t="s">
        <v>4394</v>
      </c>
      <c r="BF632" t="str">
        <f>HYPERLINK("http://dx.doi.org/10.1901/jeab.1976.26-349","http://dx.doi.org/10.1901/jeab.1976.26-349")</f>
        <v>http://dx.doi.org/10.1901/jeab.1976.26-349</v>
      </c>
      <c r="BG632" t="s">
        <v>74</v>
      </c>
      <c r="BH632" t="s">
        <v>74</v>
      </c>
      <c r="BI632" t="s">
        <v>74</v>
      </c>
      <c r="BJ632" t="s">
        <v>74</v>
      </c>
      <c r="BK632" t="s">
        <v>74</v>
      </c>
      <c r="BL632" t="s">
        <v>74</v>
      </c>
      <c r="BM632" t="s">
        <v>74</v>
      </c>
      <c r="BN632">
        <v>1033979</v>
      </c>
      <c r="BO632" t="s">
        <v>74</v>
      </c>
      <c r="BP632" t="s">
        <v>74</v>
      </c>
      <c r="BQ632" t="s">
        <v>74</v>
      </c>
      <c r="BR632" t="s">
        <v>74</v>
      </c>
      <c r="BS632" t="s">
        <v>4395</v>
      </c>
      <c r="BT632" t="str">
        <f>HYPERLINK("https%3A%2F%2Fwww.webofscience.com%2Fwos%2Fwoscc%2Ffull-record%2FWOS:A1976CN54900004","View Full Record in Web of Science")</f>
        <v>View Full Record in Web of Science</v>
      </c>
    </row>
    <row r="633" spans="1:72" x14ac:dyDescent="0.4">
      <c r="A633" t="s">
        <v>72</v>
      </c>
      <c r="B633" t="s">
        <v>7604</v>
      </c>
      <c r="C633" t="s">
        <v>74</v>
      </c>
      <c r="D633" t="s">
        <v>74</v>
      </c>
      <c r="E633" t="s">
        <v>74</v>
      </c>
      <c r="F633" t="s">
        <v>7604</v>
      </c>
      <c r="G633" t="s">
        <v>74</v>
      </c>
      <c r="H633" t="s">
        <v>74</v>
      </c>
      <c r="I633" t="s">
        <v>7605</v>
      </c>
      <c r="J633" t="s">
        <v>610</v>
      </c>
      <c r="K633" t="s">
        <v>74</v>
      </c>
      <c r="L633" t="s">
        <v>74</v>
      </c>
      <c r="M633" t="s">
        <v>74</v>
      </c>
      <c r="N633" t="s">
        <v>74</v>
      </c>
      <c r="O633" t="s">
        <v>74</v>
      </c>
      <c r="P633" t="s">
        <v>74</v>
      </c>
      <c r="Q633" t="s">
        <v>74</v>
      </c>
      <c r="R633" t="s">
        <v>74</v>
      </c>
      <c r="S633" t="s">
        <v>74</v>
      </c>
      <c r="T633" t="s">
        <v>74</v>
      </c>
      <c r="U633" t="s">
        <v>74</v>
      </c>
      <c r="V633" s="3" t="s">
        <v>7606</v>
      </c>
      <c r="W633" t="s">
        <v>74</v>
      </c>
      <c r="X633" t="s">
        <v>74</v>
      </c>
      <c r="Y633" t="s">
        <v>74</v>
      </c>
      <c r="Z633" t="s">
        <v>74</v>
      </c>
      <c r="AA633" t="s">
        <v>1933</v>
      </c>
      <c r="AB633" t="s">
        <v>1934</v>
      </c>
      <c r="AC633" t="s">
        <v>74</v>
      </c>
      <c r="AD633" t="s">
        <v>74</v>
      </c>
      <c r="AE633" t="s">
        <v>74</v>
      </c>
      <c r="AF633" t="s">
        <v>74</v>
      </c>
      <c r="AG633" t="s">
        <v>74</v>
      </c>
      <c r="AH633" t="s">
        <v>74</v>
      </c>
      <c r="AI633" t="s">
        <v>74</v>
      </c>
      <c r="AJ633" t="s">
        <v>74</v>
      </c>
      <c r="AK633" t="s">
        <v>74</v>
      </c>
      <c r="AL633" t="s">
        <v>74</v>
      </c>
      <c r="AM633" t="s">
        <v>74</v>
      </c>
      <c r="AN633" t="s">
        <v>74</v>
      </c>
      <c r="AO633" t="s">
        <v>614</v>
      </c>
      <c r="AP633" t="s">
        <v>615</v>
      </c>
      <c r="AQ633" t="s">
        <v>74</v>
      </c>
      <c r="AR633" t="s">
        <v>74</v>
      </c>
      <c r="AS633" t="s">
        <v>74</v>
      </c>
      <c r="AT633" t="s">
        <v>175</v>
      </c>
      <c r="AU633">
        <v>2001</v>
      </c>
      <c r="AV633">
        <v>107</v>
      </c>
      <c r="AW633">
        <v>10</v>
      </c>
      <c r="AX633" t="s">
        <v>74</v>
      </c>
      <c r="AY633" t="s">
        <v>74</v>
      </c>
      <c r="AZ633" t="s">
        <v>74</v>
      </c>
      <c r="BA633" t="s">
        <v>74</v>
      </c>
      <c r="BB633">
        <v>901</v>
      </c>
      <c r="BC633">
        <v>912</v>
      </c>
      <c r="BD633" t="s">
        <v>74</v>
      </c>
      <c r="BE633" t="s">
        <v>7607</v>
      </c>
      <c r="BF633" t="str">
        <f>HYPERLINK("http://dx.doi.org/10.1046/j.1439-0310.2001.00724.x","http://dx.doi.org/10.1046/j.1439-0310.2001.00724.x")</f>
        <v>http://dx.doi.org/10.1046/j.1439-0310.2001.00724.x</v>
      </c>
      <c r="BG633" t="s">
        <v>74</v>
      </c>
      <c r="BH633" t="s">
        <v>74</v>
      </c>
      <c r="BI633" t="s">
        <v>74</v>
      </c>
      <c r="BJ633" t="s">
        <v>74</v>
      </c>
      <c r="BK633" t="s">
        <v>74</v>
      </c>
      <c r="BL633" t="s">
        <v>74</v>
      </c>
      <c r="BM633" t="s">
        <v>74</v>
      </c>
      <c r="BN633" t="s">
        <v>74</v>
      </c>
      <c r="BO633" t="s">
        <v>74</v>
      </c>
      <c r="BP633" t="s">
        <v>74</v>
      </c>
      <c r="BQ633" t="s">
        <v>74</v>
      </c>
      <c r="BR633" t="s">
        <v>74</v>
      </c>
      <c r="BS633" t="s">
        <v>7608</v>
      </c>
      <c r="BT633" t="str">
        <f>HYPERLINK("https%3A%2F%2Fwww.webofscience.com%2Fwos%2Fwoscc%2Ffull-record%2FWOS:000172914000004","View Full Record in Web of Science")</f>
        <v>View Full Record in Web of Science</v>
      </c>
    </row>
    <row r="634" spans="1:72" x14ac:dyDescent="0.4">
      <c r="A634" t="s">
        <v>72</v>
      </c>
      <c r="B634" t="s">
        <v>1930</v>
      </c>
      <c r="C634" t="s">
        <v>74</v>
      </c>
      <c r="D634" t="s">
        <v>74</v>
      </c>
      <c r="E634" t="s">
        <v>74</v>
      </c>
      <c r="F634" t="s">
        <v>1930</v>
      </c>
      <c r="G634" t="s">
        <v>74</v>
      </c>
      <c r="H634" t="s">
        <v>74</v>
      </c>
      <c r="I634" t="s">
        <v>1931</v>
      </c>
      <c r="J634" t="s">
        <v>229</v>
      </c>
      <c r="K634" t="s">
        <v>74</v>
      </c>
      <c r="L634" t="s">
        <v>74</v>
      </c>
      <c r="M634" t="s">
        <v>74</v>
      </c>
      <c r="N634" t="s">
        <v>74</v>
      </c>
      <c r="O634" t="s">
        <v>74</v>
      </c>
      <c r="P634" t="s">
        <v>74</v>
      </c>
      <c r="Q634" t="s">
        <v>74</v>
      </c>
      <c r="R634" t="s">
        <v>74</v>
      </c>
      <c r="S634" t="s">
        <v>74</v>
      </c>
      <c r="T634" t="s">
        <v>74</v>
      </c>
      <c r="U634" t="s">
        <v>74</v>
      </c>
      <c r="V634" s="3" t="s">
        <v>1932</v>
      </c>
      <c r="W634" t="s">
        <v>74</v>
      </c>
      <c r="X634" t="s">
        <v>74</v>
      </c>
      <c r="Y634" t="s">
        <v>74</v>
      </c>
      <c r="Z634" t="s">
        <v>74</v>
      </c>
      <c r="AA634" t="s">
        <v>1933</v>
      </c>
      <c r="AB634" t="s">
        <v>1934</v>
      </c>
      <c r="AC634" t="s">
        <v>74</v>
      </c>
      <c r="AD634" t="s">
        <v>74</v>
      </c>
      <c r="AE634" t="s">
        <v>74</v>
      </c>
      <c r="AF634" t="s">
        <v>74</v>
      </c>
      <c r="AG634" t="s">
        <v>74</v>
      </c>
      <c r="AH634" t="s">
        <v>74</v>
      </c>
      <c r="AI634" t="s">
        <v>74</v>
      </c>
      <c r="AJ634" t="s">
        <v>74</v>
      </c>
      <c r="AK634" t="s">
        <v>74</v>
      </c>
      <c r="AL634" t="s">
        <v>74</v>
      </c>
      <c r="AM634" t="s">
        <v>74</v>
      </c>
      <c r="AN634" t="s">
        <v>74</v>
      </c>
      <c r="AO634" t="s">
        <v>233</v>
      </c>
      <c r="AP634" t="s">
        <v>234</v>
      </c>
      <c r="AQ634" t="s">
        <v>74</v>
      </c>
      <c r="AR634" t="s">
        <v>74</v>
      </c>
      <c r="AS634" t="s">
        <v>74</v>
      </c>
      <c r="AT634" t="s">
        <v>1038</v>
      </c>
      <c r="AU634">
        <v>2002</v>
      </c>
      <c r="AV634">
        <v>28</v>
      </c>
      <c r="AW634">
        <v>2</v>
      </c>
      <c r="AX634" t="s">
        <v>74</v>
      </c>
      <c r="AY634" t="s">
        <v>74</v>
      </c>
      <c r="AZ634" t="s">
        <v>74</v>
      </c>
      <c r="BA634" t="s">
        <v>74</v>
      </c>
      <c r="BB634">
        <v>154</v>
      </c>
      <c r="BC634">
        <v>163</v>
      </c>
      <c r="BD634" t="s">
        <v>74</v>
      </c>
      <c r="BE634" t="s">
        <v>1935</v>
      </c>
      <c r="BF634" t="str">
        <f>HYPERLINK("http://dx.doi.org/10.1002/ab.90017","http://dx.doi.org/10.1002/ab.90017")</f>
        <v>http://dx.doi.org/10.1002/ab.90017</v>
      </c>
      <c r="BG634" t="s">
        <v>74</v>
      </c>
      <c r="BH634" t="s">
        <v>74</v>
      </c>
      <c r="BI634" t="s">
        <v>74</v>
      </c>
      <c r="BJ634" t="s">
        <v>74</v>
      </c>
      <c r="BK634" t="s">
        <v>74</v>
      </c>
      <c r="BL634" t="s">
        <v>74</v>
      </c>
      <c r="BM634" t="s">
        <v>74</v>
      </c>
      <c r="BN634" t="s">
        <v>74</v>
      </c>
      <c r="BO634" t="s">
        <v>74</v>
      </c>
      <c r="BP634" t="s">
        <v>74</v>
      </c>
      <c r="BQ634" t="s">
        <v>74</v>
      </c>
      <c r="BR634" t="s">
        <v>74</v>
      </c>
      <c r="BS634" t="s">
        <v>1936</v>
      </c>
      <c r="BT634" t="str">
        <f>HYPERLINK("https%3A%2F%2Fwww.webofscience.com%2Fwos%2Fwoscc%2Ffull-record%2FWOS:000174435600008","View Full Record in Web of Science")</f>
        <v>View Full Record in Web of Science</v>
      </c>
    </row>
    <row r="635" spans="1:72" x14ac:dyDescent="0.4">
      <c r="A635" t="s">
        <v>72</v>
      </c>
      <c r="B635" t="s">
        <v>1930</v>
      </c>
      <c r="C635" t="s">
        <v>74</v>
      </c>
      <c r="D635" t="s">
        <v>74</v>
      </c>
      <c r="E635" t="s">
        <v>74</v>
      </c>
      <c r="F635" t="s">
        <v>1930</v>
      </c>
      <c r="G635" t="s">
        <v>74</v>
      </c>
      <c r="H635" t="s">
        <v>74</v>
      </c>
      <c r="I635" t="s">
        <v>5603</v>
      </c>
      <c r="J635" t="s">
        <v>129</v>
      </c>
      <c r="K635" t="s">
        <v>74</v>
      </c>
      <c r="L635" t="s">
        <v>74</v>
      </c>
      <c r="M635" t="s">
        <v>74</v>
      </c>
      <c r="N635" t="s">
        <v>74</v>
      </c>
      <c r="O635" t="s">
        <v>74</v>
      </c>
      <c r="P635" t="s">
        <v>74</v>
      </c>
      <c r="Q635" t="s">
        <v>74</v>
      </c>
      <c r="R635" t="s">
        <v>74</v>
      </c>
      <c r="S635" t="s">
        <v>74</v>
      </c>
      <c r="T635" t="s">
        <v>74</v>
      </c>
      <c r="U635" t="s">
        <v>74</v>
      </c>
      <c r="V635" s="3" t="s">
        <v>5604</v>
      </c>
      <c r="W635" t="s">
        <v>74</v>
      </c>
      <c r="X635" t="s">
        <v>74</v>
      </c>
      <c r="Y635" t="s">
        <v>74</v>
      </c>
      <c r="Z635" t="s">
        <v>74</v>
      </c>
      <c r="AA635" t="s">
        <v>1933</v>
      </c>
      <c r="AB635" t="s">
        <v>1934</v>
      </c>
      <c r="AC635" t="s">
        <v>74</v>
      </c>
      <c r="AD635" t="s">
        <v>74</v>
      </c>
      <c r="AE635" t="s">
        <v>74</v>
      </c>
      <c r="AF635" t="s">
        <v>74</v>
      </c>
      <c r="AG635" t="s">
        <v>74</v>
      </c>
      <c r="AH635" t="s">
        <v>74</v>
      </c>
      <c r="AI635" t="s">
        <v>74</v>
      </c>
      <c r="AJ635" t="s">
        <v>74</v>
      </c>
      <c r="AK635" t="s">
        <v>74</v>
      </c>
      <c r="AL635" t="s">
        <v>74</v>
      </c>
      <c r="AM635" t="s">
        <v>74</v>
      </c>
      <c r="AN635" t="s">
        <v>74</v>
      </c>
      <c r="AO635" t="s">
        <v>132</v>
      </c>
      <c r="AP635" t="s">
        <v>74</v>
      </c>
      <c r="AQ635" t="s">
        <v>74</v>
      </c>
      <c r="AR635" t="s">
        <v>74</v>
      </c>
      <c r="AS635" t="s">
        <v>74</v>
      </c>
      <c r="AT635" t="s">
        <v>145</v>
      </c>
      <c r="AU635">
        <v>2003</v>
      </c>
      <c r="AV635">
        <v>54</v>
      </c>
      <c r="AW635">
        <v>3</v>
      </c>
      <c r="AX635" t="s">
        <v>74</v>
      </c>
      <c r="AY635" t="s">
        <v>74</v>
      </c>
      <c r="AZ635" t="s">
        <v>74</v>
      </c>
      <c r="BA635" t="s">
        <v>74</v>
      </c>
      <c r="BB635">
        <v>218</v>
      </c>
      <c r="BC635">
        <v>224</v>
      </c>
      <c r="BD635" t="s">
        <v>74</v>
      </c>
      <c r="BE635" t="s">
        <v>5605</v>
      </c>
      <c r="BF635" t="str">
        <f>HYPERLINK("http://dx.doi.org/10.1007/s00265-003-0623-2","http://dx.doi.org/10.1007/s00265-003-0623-2")</f>
        <v>http://dx.doi.org/10.1007/s00265-003-0623-2</v>
      </c>
      <c r="BG635" t="s">
        <v>74</v>
      </c>
      <c r="BH635" t="s">
        <v>74</v>
      </c>
      <c r="BI635" t="s">
        <v>74</v>
      </c>
      <c r="BJ635" t="s">
        <v>74</v>
      </c>
      <c r="BK635" t="s">
        <v>74</v>
      </c>
      <c r="BL635" t="s">
        <v>74</v>
      </c>
      <c r="BM635" t="s">
        <v>74</v>
      </c>
      <c r="BN635" t="s">
        <v>74</v>
      </c>
      <c r="BO635" t="s">
        <v>74</v>
      </c>
      <c r="BP635" t="s">
        <v>74</v>
      </c>
      <c r="BQ635" t="s">
        <v>74</v>
      </c>
      <c r="BR635" t="s">
        <v>74</v>
      </c>
      <c r="BS635" t="s">
        <v>5606</v>
      </c>
      <c r="BT635" t="str">
        <f>HYPERLINK("https%3A%2F%2Fwww.webofscience.com%2Fwos%2Fwoscc%2Ffull-record%2FWOS:000184754900003","View Full Record in Web of Science")</f>
        <v>View Full Record in Web of Science</v>
      </c>
    </row>
    <row r="636" spans="1:72" x14ac:dyDescent="0.4">
      <c r="A636" t="s">
        <v>72</v>
      </c>
      <c r="B636" t="s">
        <v>1930</v>
      </c>
      <c r="C636" t="s">
        <v>74</v>
      </c>
      <c r="D636" t="s">
        <v>74</v>
      </c>
      <c r="E636" t="s">
        <v>74</v>
      </c>
      <c r="F636" t="s">
        <v>1930</v>
      </c>
      <c r="G636" t="s">
        <v>74</v>
      </c>
      <c r="H636" t="s">
        <v>74</v>
      </c>
      <c r="I636" t="s">
        <v>7276</v>
      </c>
      <c r="J636" t="s">
        <v>610</v>
      </c>
      <c r="K636" t="s">
        <v>74</v>
      </c>
      <c r="L636" t="s">
        <v>74</v>
      </c>
      <c r="M636" t="s">
        <v>74</v>
      </c>
      <c r="N636" t="s">
        <v>74</v>
      </c>
      <c r="O636" t="s">
        <v>74</v>
      </c>
      <c r="P636" t="s">
        <v>74</v>
      </c>
      <c r="Q636" t="s">
        <v>74</v>
      </c>
      <c r="R636" t="s">
        <v>74</v>
      </c>
      <c r="S636" t="s">
        <v>74</v>
      </c>
      <c r="T636" t="s">
        <v>74</v>
      </c>
      <c r="U636" t="s">
        <v>74</v>
      </c>
      <c r="V636" s="3" t="s">
        <v>7277</v>
      </c>
      <c r="W636" t="s">
        <v>74</v>
      </c>
      <c r="X636" t="s">
        <v>74</v>
      </c>
      <c r="Y636" t="s">
        <v>74</v>
      </c>
      <c r="Z636" t="s">
        <v>74</v>
      </c>
      <c r="AA636" t="s">
        <v>1933</v>
      </c>
      <c r="AB636" t="s">
        <v>1934</v>
      </c>
      <c r="AC636" t="s">
        <v>74</v>
      </c>
      <c r="AD636" t="s">
        <v>74</v>
      </c>
      <c r="AE636" t="s">
        <v>74</v>
      </c>
      <c r="AF636" t="s">
        <v>74</v>
      </c>
      <c r="AG636" t="s">
        <v>74</v>
      </c>
      <c r="AH636" t="s">
        <v>74</v>
      </c>
      <c r="AI636" t="s">
        <v>74</v>
      </c>
      <c r="AJ636" t="s">
        <v>74</v>
      </c>
      <c r="AK636" t="s">
        <v>74</v>
      </c>
      <c r="AL636" t="s">
        <v>74</v>
      </c>
      <c r="AM636" t="s">
        <v>74</v>
      </c>
      <c r="AN636" t="s">
        <v>74</v>
      </c>
      <c r="AO636" t="s">
        <v>614</v>
      </c>
      <c r="AP636" t="s">
        <v>615</v>
      </c>
      <c r="AQ636" t="s">
        <v>74</v>
      </c>
      <c r="AR636" t="s">
        <v>74</v>
      </c>
      <c r="AS636" t="s">
        <v>74</v>
      </c>
      <c r="AT636" t="s">
        <v>204</v>
      </c>
      <c r="AU636">
        <v>2004</v>
      </c>
      <c r="AV636">
        <v>110</v>
      </c>
      <c r="AW636">
        <v>7</v>
      </c>
      <c r="AX636" t="s">
        <v>74</v>
      </c>
      <c r="AY636" t="s">
        <v>74</v>
      </c>
      <c r="AZ636" t="s">
        <v>74</v>
      </c>
      <c r="BA636" t="s">
        <v>74</v>
      </c>
      <c r="BB636">
        <v>543</v>
      </c>
      <c r="BC636">
        <v>561</v>
      </c>
      <c r="BD636" t="s">
        <v>74</v>
      </c>
      <c r="BE636" t="s">
        <v>7278</v>
      </c>
      <c r="BF636" t="str">
        <f>HYPERLINK("http://dx.doi.org/10.1111/j.1439-0310.2004.00996.x","http://dx.doi.org/10.1111/j.1439-0310.2004.00996.x")</f>
        <v>http://dx.doi.org/10.1111/j.1439-0310.2004.00996.x</v>
      </c>
      <c r="BG636" t="s">
        <v>74</v>
      </c>
      <c r="BH636" t="s">
        <v>74</v>
      </c>
      <c r="BI636" t="s">
        <v>74</v>
      </c>
      <c r="BJ636" t="s">
        <v>74</v>
      </c>
      <c r="BK636" t="s">
        <v>74</v>
      </c>
      <c r="BL636" t="s">
        <v>74</v>
      </c>
      <c r="BM636" t="s">
        <v>74</v>
      </c>
      <c r="BN636" t="s">
        <v>74</v>
      </c>
      <c r="BO636" t="s">
        <v>74</v>
      </c>
      <c r="BP636" t="s">
        <v>74</v>
      </c>
      <c r="BQ636" t="s">
        <v>74</v>
      </c>
      <c r="BR636" t="s">
        <v>74</v>
      </c>
      <c r="BS636" t="s">
        <v>7279</v>
      </c>
      <c r="BT636" t="str">
        <f>HYPERLINK("https%3A%2F%2Fwww.webofscience.com%2Fwos%2Fwoscc%2Ffull-record%2FWOS:000222483900004","View Full Record in Web of Science")</f>
        <v>View Full Record in Web of Science</v>
      </c>
    </row>
    <row r="637" spans="1:72" x14ac:dyDescent="0.4">
      <c r="A637" t="s">
        <v>72</v>
      </c>
      <c r="B637" t="s">
        <v>249</v>
      </c>
      <c r="C637" t="s">
        <v>74</v>
      </c>
      <c r="D637" t="s">
        <v>74</v>
      </c>
      <c r="E637" t="s">
        <v>74</v>
      </c>
      <c r="F637" t="s">
        <v>250</v>
      </c>
      <c r="G637" t="s">
        <v>74</v>
      </c>
      <c r="H637" t="s">
        <v>74</v>
      </c>
      <c r="I637" t="s">
        <v>251</v>
      </c>
      <c r="J637" t="s">
        <v>129</v>
      </c>
      <c r="K637" t="s">
        <v>74</v>
      </c>
      <c r="L637" t="s">
        <v>74</v>
      </c>
      <c r="M637" t="s">
        <v>74</v>
      </c>
      <c r="N637" t="s">
        <v>74</v>
      </c>
      <c r="O637" t="s">
        <v>74</v>
      </c>
      <c r="P637" t="s">
        <v>74</v>
      </c>
      <c r="Q637" t="s">
        <v>74</v>
      </c>
      <c r="R637" t="s">
        <v>74</v>
      </c>
      <c r="S637" t="s">
        <v>74</v>
      </c>
      <c r="T637" t="s">
        <v>74</v>
      </c>
      <c r="U637" t="s">
        <v>74</v>
      </c>
      <c r="V637" s="3" t="s">
        <v>252</v>
      </c>
      <c r="W637" t="s">
        <v>74</v>
      </c>
      <c r="X637" t="s">
        <v>74</v>
      </c>
      <c r="Y637" t="s">
        <v>74</v>
      </c>
      <c r="Z637" t="s">
        <v>74</v>
      </c>
      <c r="AA637" t="s">
        <v>253</v>
      </c>
      <c r="AB637" t="s">
        <v>254</v>
      </c>
      <c r="AC637" t="s">
        <v>74</v>
      </c>
      <c r="AD637" t="s">
        <v>74</v>
      </c>
      <c r="AE637" t="s">
        <v>74</v>
      </c>
      <c r="AF637" t="s">
        <v>74</v>
      </c>
      <c r="AG637" t="s">
        <v>74</v>
      </c>
      <c r="AH637" t="s">
        <v>74</v>
      </c>
      <c r="AI637" t="s">
        <v>74</v>
      </c>
      <c r="AJ637" t="s">
        <v>74</v>
      </c>
      <c r="AK637" t="s">
        <v>74</v>
      </c>
      <c r="AL637" t="s">
        <v>74</v>
      </c>
      <c r="AM637" t="s">
        <v>74</v>
      </c>
      <c r="AN637" t="s">
        <v>74</v>
      </c>
      <c r="AO637" t="s">
        <v>132</v>
      </c>
      <c r="AP637" t="s">
        <v>133</v>
      </c>
      <c r="AQ637" t="s">
        <v>74</v>
      </c>
      <c r="AR637" t="s">
        <v>74</v>
      </c>
      <c r="AS637" t="s">
        <v>74</v>
      </c>
      <c r="AT637" t="s">
        <v>255</v>
      </c>
      <c r="AU637">
        <v>2010</v>
      </c>
      <c r="AV637">
        <v>64</v>
      </c>
      <c r="AW637">
        <v>3</v>
      </c>
      <c r="AX637" t="s">
        <v>74</v>
      </c>
      <c r="AY637" t="s">
        <v>74</v>
      </c>
      <c r="AZ637" t="s">
        <v>74</v>
      </c>
      <c r="BA637" t="s">
        <v>74</v>
      </c>
      <c r="BB637">
        <v>317</v>
      </c>
      <c r="BC637">
        <v>324</v>
      </c>
      <c r="BD637" t="s">
        <v>74</v>
      </c>
      <c r="BE637" t="s">
        <v>256</v>
      </c>
      <c r="BF637" t="str">
        <f>HYPERLINK("http://dx.doi.org/10.1007/s00265-009-0811-9","http://dx.doi.org/10.1007/s00265-009-0811-9")</f>
        <v>http://dx.doi.org/10.1007/s00265-009-0811-9</v>
      </c>
      <c r="BG637" t="s">
        <v>74</v>
      </c>
      <c r="BH637" t="s">
        <v>74</v>
      </c>
      <c r="BI637" t="s">
        <v>74</v>
      </c>
      <c r="BJ637" t="s">
        <v>74</v>
      </c>
      <c r="BK637" t="s">
        <v>74</v>
      </c>
      <c r="BL637" t="s">
        <v>74</v>
      </c>
      <c r="BM637" t="s">
        <v>74</v>
      </c>
      <c r="BN637" t="s">
        <v>74</v>
      </c>
      <c r="BO637" t="s">
        <v>74</v>
      </c>
      <c r="BP637" t="s">
        <v>74</v>
      </c>
      <c r="BQ637" t="s">
        <v>74</v>
      </c>
      <c r="BR637" t="s">
        <v>74</v>
      </c>
      <c r="BS637" t="s">
        <v>257</v>
      </c>
      <c r="BT637" t="str">
        <f>HYPERLINK("https%3A%2F%2Fwww.webofscience.com%2Fwos%2Fwoscc%2Ffull-record%2FWOS:000274433500002","View Full Record in Web of Science")</f>
        <v>View Full Record in Web of Science</v>
      </c>
    </row>
    <row r="638" spans="1:72" x14ac:dyDescent="0.4">
      <c r="A638" t="s">
        <v>72</v>
      </c>
      <c r="B638" t="s">
        <v>5272</v>
      </c>
      <c r="C638" t="s">
        <v>74</v>
      </c>
      <c r="D638" t="s">
        <v>74</v>
      </c>
      <c r="E638" t="s">
        <v>74</v>
      </c>
      <c r="F638" t="s">
        <v>5273</v>
      </c>
      <c r="G638" t="s">
        <v>74</v>
      </c>
      <c r="H638" t="s">
        <v>74</v>
      </c>
      <c r="I638" t="s">
        <v>5274</v>
      </c>
      <c r="J638" t="s">
        <v>1656</v>
      </c>
      <c r="K638" t="s">
        <v>74</v>
      </c>
      <c r="L638" t="s">
        <v>74</v>
      </c>
      <c r="M638" t="s">
        <v>74</v>
      </c>
      <c r="N638" t="s">
        <v>74</v>
      </c>
      <c r="O638" t="s">
        <v>74</v>
      </c>
      <c r="P638" t="s">
        <v>74</v>
      </c>
      <c r="Q638" t="s">
        <v>74</v>
      </c>
      <c r="R638" t="s">
        <v>74</v>
      </c>
      <c r="S638" t="s">
        <v>74</v>
      </c>
      <c r="T638" t="s">
        <v>74</v>
      </c>
      <c r="U638" t="s">
        <v>74</v>
      </c>
      <c r="V638" s="3" t="s">
        <v>5275</v>
      </c>
      <c r="W638" t="s">
        <v>74</v>
      </c>
      <c r="X638" t="s">
        <v>74</v>
      </c>
      <c r="Y638" t="s">
        <v>74</v>
      </c>
      <c r="Z638" t="s">
        <v>74</v>
      </c>
      <c r="AA638" t="s">
        <v>5276</v>
      </c>
      <c r="AB638" t="s">
        <v>5277</v>
      </c>
      <c r="AC638" t="s">
        <v>74</v>
      </c>
      <c r="AD638" t="s">
        <v>74</v>
      </c>
      <c r="AE638" t="s">
        <v>74</v>
      </c>
      <c r="AF638" t="s">
        <v>74</v>
      </c>
      <c r="AG638" t="s">
        <v>74</v>
      </c>
      <c r="AH638" t="s">
        <v>74</v>
      </c>
      <c r="AI638" t="s">
        <v>74</v>
      </c>
      <c r="AJ638" t="s">
        <v>74</v>
      </c>
      <c r="AK638" t="s">
        <v>74</v>
      </c>
      <c r="AL638" t="s">
        <v>74</v>
      </c>
      <c r="AM638" t="s">
        <v>74</v>
      </c>
      <c r="AN638" t="s">
        <v>74</v>
      </c>
      <c r="AO638" t="s">
        <v>1658</v>
      </c>
      <c r="AP638" t="s">
        <v>1659</v>
      </c>
      <c r="AQ638" t="s">
        <v>74</v>
      </c>
      <c r="AR638" t="s">
        <v>74</v>
      </c>
      <c r="AS638" t="s">
        <v>74</v>
      </c>
      <c r="AT638" t="s">
        <v>5278</v>
      </c>
      <c r="AU638">
        <v>2013</v>
      </c>
      <c r="AV638">
        <v>3664</v>
      </c>
      <c r="AW638">
        <v>4</v>
      </c>
      <c r="AX638" t="s">
        <v>74</v>
      </c>
      <c r="AY638" t="s">
        <v>74</v>
      </c>
      <c r="AZ638" t="s">
        <v>74</v>
      </c>
      <c r="BA638" t="s">
        <v>74</v>
      </c>
      <c r="BB638">
        <v>505</v>
      </c>
      <c r="BC638">
        <v>524</v>
      </c>
      <c r="BD638" t="s">
        <v>74</v>
      </c>
      <c r="BE638" t="s">
        <v>5279</v>
      </c>
      <c r="BF638" t="str">
        <f>HYPERLINK("http://dx.doi.org/10.11646/zootaxa.3664.4.5","http://dx.doi.org/10.11646/zootaxa.3664.4.5")</f>
        <v>http://dx.doi.org/10.11646/zootaxa.3664.4.5</v>
      </c>
      <c r="BG638" t="s">
        <v>74</v>
      </c>
      <c r="BH638" t="s">
        <v>74</v>
      </c>
      <c r="BI638" t="s">
        <v>74</v>
      </c>
      <c r="BJ638" t="s">
        <v>74</v>
      </c>
      <c r="BK638" t="s">
        <v>74</v>
      </c>
      <c r="BL638" t="s">
        <v>74</v>
      </c>
      <c r="BM638" t="s">
        <v>74</v>
      </c>
      <c r="BN638">
        <v>26266316</v>
      </c>
      <c r="BO638" t="s">
        <v>74</v>
      </c>
      <c r="BP638" t="s">
        <v>74</v>
      </c>
      <c r="BQ638" t="s">
        <v>74</v>
      </c>
      <c r="BR638" t="s">
        <v>74</v>
      </c>
      <c r="BS638" t="s">
        <v>5280</v>
      </c>
      <c r="BT638" t="str">
        <f>HYPERLINK("https%3A%2F%2Fwww.webofscience.com%2Fwos%2Fwoscc%2Ffull-record%2FWOS:000319727800005","View Full Record in Web of Science")</f>
        <v>View Full Record in Web of Science</v>
      </c>
    </row>
    <row r="639" spans="1:72" x14ac:dyDescent="0.4">
      <c r="A639" t="s">
        <v>72</v>
      </c>
      <c r="B639" t="s">
        <v>5499</v>
      </c>
      <c r="C639" t="s">
        <v>74</v>
      </c>
      <c r="D639" t="s">
        <v>74</v>
      </c>
      <c r="E639" t="s">
        <v>74</v>
      </c>
      <c r="F639" t="s">
        <v>5499</v>
      </c>
      <c r="G639" t="s">
        <v>74</v>
      </c>
      <c r="H639" t="s">
        <v>74</v>
      </c>
      <c r="I639" t="s">
        <v>5500</v>
      </c>
      <c r="J639" t="s">
        <v>140</v>
      </c>
      <c r="K639" t="s">
        <v>74</v>
      </c>
      <c r="L639" t="s">
        <v>74</v>
      </c>
      <c r="M639" t="s">
        <v>74</v>
      </c>
      <c r="N639" t="s">
        <v>74</v>
      </c>
      <c r="O639" t="s">
        <v>74</v>
      </c>
      <c r="P639" t="s">
        <v>74</v>
      </c>
      <c r="Q639" t="s">
        <v>74</v>
      </c>
      <c r="R639" t="s">
        <v>74</v>
      </c>
      <c r="S639" t="s">
        <v>74</v>
      </c>
      <c r="T639" t="s">
        <v>74</v>
      </c>
      <c r="U639" t="s">
        <v>74</v>
      </c>
      <c r="V639" s="3" t="s">
        <v>5501</v>
      </c>
      <c r="W639" t="s">
        <v>74</v>
      </c>
      <c r="X639" t="s">
        <v>74</v>
      </c>
      <c r="Y639" t="s">
        <v>74</v>
      </c>
      <c r="Z639" t="s">
        <v>74</v>
      </c>
      <c r="AA639" t="s">
        <v>74</v>
      </c>
      <c r="AB639" t="s">
        <v>74</v>
      </c>
      <c r="AC639" t="s">
        <v>74</v>
      </c>
      <c r="AD639" t="s">
        <v>74</v>
      </c>
      <c r="AE639" t="s">
        <v>74</v>
      </c>
      <c r="AF639" t="s">
        <v>74</v>
      </c>
      <c r="AG639" t="s">
        <v>74</v>
      </c>
      <c r="AH639" t="s">
        <v>74</v>
      </c>
      <c r="AI639" t="s">
        <v>74</v>
      </c>
      <c r="AJ639" t="s">
        <v>74</v>
      </c>
      <c r="AK639" t="s">
        <v>74</v>
      </c>
      <c r="AL639" t="s">
        <v>74</v>
      </c>
      <c r="AM639" t="s">
        <v>74</v>
      </c>
      <c r="AN639" t="s">
        <v>74</v>
      </c>
      <c r="AO639" t="s">
        <v>143</v>
      </c>
      <c r="AP639" t="s">
        <v>144</v>
      </c>
      <c r="AQ639" t="s">
        <v>74</v>
      </c>
      <c r="AR639" t="s">
        <v>74</v>
      </c>
      <c r="AS639" t="s">
        <v>74</v>
      </c>
      <c r="AT639" t="s">
        <v>145</v>
      </c>
      <c r="AU639">
        <v>2003</v>
      </c>
      <c r="AV639">
        <v>66</v>
      </c>
      <c r="AW639" t="s">
        <v>74</v>
      </c>
      <c r="AX639">
        <v>2</v>
      </c>
      <c r="AY639" t="s">
        <v>74</v>
      </c>
      <c r="AZ639" t="s">
        <v>74</v>
      </c>
      <c r="BA639" t="s">
        <v>74</v>
      </c>
      <c r="BB639">
        <v>299</v>
      </c>
      <c r="BC639">
        <v>307</v>
      </c>
      <c r="BD639" t="s">
        <v>74</v>
      </c>
      <c r="BE639" t="s">
        <v>5502</v>
      </c>
      <c r="BF639" t="str">
        <f>HYPERLINK("http://dx.doi.org/10.1006/anbe.2003.2214","http://dx.doi.org/10.1006/anbe.2003.2214")</f>
        <v>http://dx.doi.org/10.1006/anbe.2003.2214</v>
      </c>
      <c r="BG639" t="s">
        <v>74</v>
      </c>
      <c r="BH639" t="s">
        <v>74</v>
      </c>
      <c r="BI639" t="s">
        <v>74</v>
      </c>
      <c r="BJ639" t="s">
        <v>74</v>
      </c>
      <c r="BK639" t="s">
        <v>74</v>
      </c>
      <c r="BL639" t="s">
        <v>74</v>
      </c>
      <c r="BM639" t="s">
        <v>74</v>
      </c>
      <c r="BN639" t="s">
        <v>74</v>
      </c>
      <c r="BO639" t="s">
        <v>74</v>
      </c>
      <c r="BP639" t="s">
        <v>74</v>
      </c>
      <c r="BQ639" t="s">
        <v>74</v>
      </c>
      <c r="BR639" t="s">
        <v>74</v>
      </c>
      <c r="BS639" t="s">
        <v>5503</v>
      </c>
      <c r="BT639" t="str">
        <f>HYPERLINK("https%3A%2F%2Fwww.webofscience.com%2Fwos%2Fwoscc%2Ffull-record%2FWOS:000184899600013","View Full Record in Web of Science")</f>
        <v>View Full Record in Web of Science</v>
      </c>
    </row>
    <row r="640" spans="1:72" x14ac:dyDescent="0.4">
      <c r="A640" t="s">
        <v>72</v>
      </c>
      <c r="B640" t="s">
        <v>2025</v>
      </c>
      <c r="C640" t="s">
        <v>74</v>
      </c>
      <c r="D640" t="s">
        <v>74</v>
      </c>
      <c r="E640" t="s">
        <v>74</v>
      </c>
      <c r="F640" t="s">
        <v>2025</v>
      </c>
      <c r="G640" t="s">
        <v>74</v>
      </c>
      <c r="H640" t="s">
        <v>74</v>
      </c>
      <c r="I640" t="s">
        <v>2026</v>
      </c>
      <c r="J640" t="s">
        <v>1126</v>
      </c>
      <c r="K640" t="s">
        <v>74</v>
      </c>
      <c r="L640" t="s">
        <v>74</v>
      </c>
      <c r="M640" t="s">
        <v>74</v>
      </c>
      <c r="N640" t="s">
        <v>74</v>
      </c>
      <c r="O640" t="s">
        <v>74</v>
      </c>
      <c r="P640" t="s">
        <v>74</v>
      </c>
      <c r="Q640" t="s">
        <v>74</v>
      </c>
      <c r="R640" t="s">
        <v>74</v>
      </c>
      <c r="S640" t="s">
        <v>74</v>
      </c>
      <c r="T640" t="s">
        <v>74</v>
      </c>
      <c r="U640" t="s">
        <v>74</v>
      </c>
      <c r="V640" s="3" t="s">
        <v>2027</v>
      </c>
      <c r="W640" t="s">
        <v>74</v>
      </c>
      <c r="X640" t="s">
        <v>74</v>
      </c>
      <c r="Y640" t="s">
        <v>74</v>
      </c>
      <c r="Z640" t="s">
        <v>74</v>
      </c>
      <c r="AA640" t="s">
        <v>74</v>
      </c>
      <c r="AB640" t="s">
        <v>74</v>
      </c>
      <c r="AC640" t="s">
        <v>74</v>
      </c>
      <c r="AD640" t="s">
        <v>74</v>
      </c>
      <c r="AE640" t="s">
        <v>74</v>
      </c>
      <c r="AF640" t="s">
        <v>74</v>
      </c>
      <c r="AG640" t="s">
        <v>74</v>
      </c>
      <c r="AH640" t="s">
        <v>74</v>
      </c>
      <c r="AI640" t="s">
        <v>74</v>
      </c>
      <c r="AJ640" t="s">
        <v>74</v>
      </c>
      <c r="AK640" t="s">
        <v>74</v>
      </c>
      <c r="AL640" t="s">
        <v>74</v>
      </c>
      <c r="AM640" t="s">
        <v>74</v>
      </c>
      <c r="AN640" t="s">
        <v>74</v>
      </c>
      <c r="AO640" t="s">
        <v>1128</v>
      </c>
      <c r="AP640" t="s">
        <v>1129</v>
      </c>
      <c r="AQ640" t="s">
        <v>74</v>
      </c>
      <c r="AR640" t="s">
        <v>74</v>
      </c>
      <c r="AS640" t="s">
        <v>74</v>
      </c>
      <c r="AT640" t="s">
        <v>2028</v>
      </c>
      <c r="AU640">
        <v>1985</v>
      </c>
      <c r="AV640" t="s">
        <v>74</v>
      </c>
      <c r="AW640">
        <v>4</v>
      </c>
      <c r="AX640" t="s">
        <v>74</v>
      </c>
      <c r="AY640" t="s">
        <v>74</v>
      </c>
      <c r="AZ640" t="s">
        <v>74</v>
      </c>
      <c r="BA640" t="s">
        <v>74</v>
      </c>
      <c r="BB640">
        <v>905</v>
      </c>
      <c r="BC640">
        <v>910</v>
      </c>
      <c r="BD640" t="s">
        <v>74</v>
      </c>
      <c r="BE640" t="s">
        <v>2029</v>
      </c>
      <c r="BF640" t="str">
        <f>HYPERLINK("http://dx.doi.org/10.2307/1445240","http://dx.doi.org/10.2307/1445240")</f>
        <v>http://dx.doi.org/10.2307/1445240</v>
      </c>
      <c r="BG640" t="s">
        <v>74</v>
      </c>
      <c r="BH640" t="s">
        <v>74</v>
      </c>
      <c r="BI640" t="s">
        <v>74</v>
      </c>
      <c r="BJ640" t="s">
        <v>74</v>
      </c>
      <c r="BK640" t="s">
        <v>74</v>
      </c>
      <c r="BL640" t="s">
        <v>74</v>
      </c>
      <c r="BM640" t="s">
        <v>74</v>
      </c>
      <c r="BN640" t="s">
        <v>74</v>
      </c>
      <c r="BO640" t="s">
        <v>74</v>
      </c>
      <c r="BP640" t="s">
        <v>74</v>
      </c>
      <c r="BQ640" t="s">
        <v>74</v>
      </c>
      <c r="BR640" t="s">
        <v>74</v>
      </c>
      <c r="BS640" t="s">
        <v>2030</v>
      </c>
      <c r="BT640" t="str">
        <f>HYPERLINK("https%3A%2F%2Fwww.webofscience.com%2Fwos%2Fwoscc%2Ffull-record%2FWOS:A1985AXC0800010","View Full Record in Web of Science")</f>
        <v>View Full Record in Web of Science</v>
      </c>
    </row>
    <row r="641" spans="1:72" x14ac:dyDescent="0.4">
      <c r="A641" t="s">
        <v>72</v>
      </c>
      <c r="B641" t="s">
        <v>1381</v>
      </c>
      <c r="C641" t="s">
        <v>74</v>
      </c>
      <c r="D641" t="s">
        <v>74</v>
      </c>
      <c r="E641" t="s">
        <v>74</v>
      </c>
      <c r="F641" t="s">
        <v>1382</v>
      </c>
      <c r="G641" t="s">
        <v>74</v>
      </c>
      <c r="H641" t="s">
        <v>74</v>
      </c>
      <c r="I641" t="s">
        <v>1383</v>
      </c>
      <c r="J641" t="s">
        <v>1384</v>
      </c>
      <c r="K641" t="s">
        <v>74</v>
      </c>
      <c r="L641" t="s">
        <v>74</v>
      </c>
      <c r="M641" t="s">
        <v>74</v>
      </c>
      <c r="N641" t="s">
        <v>74</v>
      </c>
      <c r="O641" t="s">
        <v>74</v>
      </c>
      <c r="P641" t="s">
        <v>74</v>
      </c>
      <c r="Q641" t="s">
        <v>74</v>
      </c>
      <c r="R641" t="s">
        <v>74</v>
      </c>
      <c r="S641" t="s">
        <v>74</v>
      </c>
      <c r="T641" t="s">
        <v>74</v>
      </c>
      <c r="U641" t="s">
        <v>74</v>
      </c>
      <c r="V641" s="3" t="s">
        <v>1385</v>
      </c>
      <c r="W641" t="s">
        <v>74</v>
      </c>
      <c r="X641" t="s">
        <v>74</v>
      </c>
      <c r="Y641" t="s">
        <v>74</v>
      </c>
      <c r="Z641" t="s">
        <v>74</v>
      </c>
      <c r="AA641" t="s">
        <v>1386</v>
      </c>
      <c r="AB641" t="s">
        <v>1387</v>
      </c>
      <c r="AC641" t="s">
        <v>74</v>
      </c>
      <c r="AD641" t="s">
        <v>74</v>
      </c>
      <c r="AE641" t="s">
        <v>74</v>
      </c>
      <c r="AF641" t="s">
        <v>74</v>
      </c>
      <c r="AG641" t="s">
        <v>74</v>
      </c>
      <c r="AH641" t="s">
        <v>74</v>
      </c>
      <c r="AI641" t="s">
        <v>74</v>
      </c>
      <c r="AJ641" t="s">
        <v>74</v>
      </c>
      <c r="AK641" t="s">
        <v>74</v>
      </c>
      <c r="AL641" t="s">
        <v>74</v>
      </c>
      <c r="AM641" t="s">
        <v>74</v>
      </c>
      <c r="AN641" t="s">
        <v>74</v>
      </c>
      <c r="AO641" t="s">
        <v>1388</v>
      </c>
      <c r="AP641" t="s">
        <v>1389</v>
      </c>
      <c r="AQ641" t="s">
        <v>74</v>
      </c>
      <c r="AR641" t="s">
        <v>74</v>
      </c>
      <c r="AS641" t="s">
        <v>74</v>
      </c>
      <c r="AT641" t="s">
        <v>175</v>
      </c>
      <c r="AU641">
        <v>2023</v>
      </c>
      <c r="AV641">
        <v>165</v>
      </c>
      <c r="AW641">
        <v>4</v>
      </c>
      <c r="AX641" t="s">
        <v>74</v>
      </c>
      <c r="AY641" t="s">
        <v>74</v>
      </c>
      <c r="AZ641" t="s">
        <v>74</v>
      </c>
      <c r="BA641" t="s">
        <v>74</v>
      </c>
      <c r="BB641">
        <v>1359</v>
      </c>
      <c r="BC641">
        <v>1367</v>
      </c>
      <c r="BD641" t="s">
        <v>74</v>
      </c>
      <c r="BE641" t="s">
        <v>1390</v>
      </c>
      <c r="BF641" t="str">
        <f>HYPERLINK("http://dx.doi.org/10.1111/ibi.13219","http://dx.doi.org/10.1111/ibi.13219")</f>
        <v>http://dx.doi.org/10.1111/ibi.13219</v>
      </c>
      <c r="BG641" t="s">
        <v>74</v>
      </c>
      <c r="BH641" t="s">
        <v>1391</v>
      </c>
      <c r="BI641" t="s">
        <v>74</v>
      </c>
      <c r="BJ641" t="s">
        <v>74</v>
      </c>
      <c r="BK641" t="s">
        <v>74</v>
      </c>
      <c r="BL641" t="s">
        <v>74</v>
      </c>
      <c r="BM641" t="s">
        <v>74</v>
      </c>
      <c r="BN641" t="s">
        <v>74</v>
      </c>
      <c r="BO641" t="s">
        <v>74</v>
      </c>
      <c r="BP641" t="s">
        <v>74</v>
      </c>
      <c r="BQ641" t="s">
        <v>74</v>
      </c>
      <c r="BR641" t="s">
        <v>74</v>
      </c>
      <c r="BS641" t="s">
        <v>1392</v>
      </c>
      <c r="BT641" t="str">
        <f>HYPERLINK("https%3A%2F%2Fwww.webofscience.com%2Fwos%2Fwoscc%2Ffull-record%2FWOS:000985415400001","View Full Record in Web of Science")</f>
        <v>View Full Record in Web of Science</v>
      </c>
    </row>
    <row r="642" spans="1:72" x14ac:dyDescent="0.4">
      <c r="A642" t="s">
        <v>72</v>
      </c>
      <c r="B642" t="s">
        <v>7373</v>
      </c>
      <c r="C642" t="s">
        <v>74</v>
      </c>
      <c r="D642" t="s">
        <v>74</v>
      </c>
      <c r="E642" t="s">
        <v>74</v>
      </c>
      <c r="F642" t="s">
        <v>7374</v>
      </c>
      <c r="G642" t="s">
        <v>74</v>
      </c>
      <c r="H642" t="s">
        <v>74</v>
      </c>
      <c r="I642" t="s">
        <v>7375</v>
      </c>
      <c r="J642" t="s">
        <v>7376</v>
      </c>
      <c r="K642" t="s">
        <v>74</v>
      </c>
      <c r="L642" t="s">
        <v>74</v>
      </c>
      <c r="M642" t="s">
        <v>74</v>
      </c>
      <c r="N642" t="s">
        <v>74</v>
      </c>
      <c r="O642" t="s">
        <v>74</v>
      </c>
      <c r="P642" t="s">
        <v>74</v>
      </c>
      <c r="Q642" t="s">
        <v>74</v>
      </c>
      <c r="R642" t="s">
        <v>74</v>
      </c>
      <c r="S642" t="s">
        <v>74</v>
      </c>
      <c r="T642" t="s">
        <v>74</v>
      </c>
      <c r="U642" t="s">
        <v>74</v>
      </c>
      <c r="V642" s="3" t="s">
        <v>7377</v>
      </c>
      <c r="W642" t="s">
        <v>74</v>
      </c>
      <c r="X642" t="s">
        <v>74</v>
      </c>
      <c r="Y642" t="s">
        <v>74</v>
      </c>
      <c r="Z642" t="s">
        <v>74</v>
      </c>
      <c r="AA642" t="s">
        <v>7378</v>
      </c>
      <c r="AB642" t="s">
        <v>7379</v>
      </c>
      <c r="AC642" t="s">
        <v>74</v>
      </c>
      <c r="AD642" t="s">
        <v>74</v>
      </c>
      <c r="AE642" t="s">
        <v>74</v>
      </c>
      <c r="AF642" t="s">
        <v>74</v>
      </c>
      <c r="AG642" t="s">
        <v>74</v>
      </c>
      <c r="AH642" t="s">
        <v>74</v>
      </c>
      <c r="AI642" t="s">
        <v>74</v>
      </c>
      <c r="AJ642" t="s">
        <v>74</v>
      </c>
      <c r="AK642" t="s">
        <v>74</v>
      </c>
      <c r="AL642" t="s">
        <v>74</v>
      </c>
      <c r="AM642" t="s">
        <v>74</v>
      </c>
      <c r="AN642" t="s">
        <v>74</v>
      </c>
      <c r="AO642" t="s">
        <v>7380</v>
      </c>
      <c r="AP642" t="s">
        <v>7381</v>
      </c>
      <c r="AQ642" t="s">
        <v>74</v>
      </c>
      <c r="AR642" t="s">
        <v>74</v>
      </c>
      <c r="AS642" t="s">
        <v>74</v>
      </c>
      <c r="AT642" t="s">
        <v>255</v>
      </c>
      <c r="AU642">
        <v>2021</v>
      </c>
      <c r="AV642">
        <v>62</v>
      </c>
      <c r="AW642">
        <v>1</v>
      </c>
      <c r="AX642" t="s">
        <v>74</v>
      </c>
      <c r="AY642" t="s">
        <v>74</v>
      </c>
      <c r="AZ642" t="s">
        <v>74</v>
      </c>
      <c r="BA642" t="s">
        <v>74</v>
      </c>
      <c r="BB642">
        <v>11</v>
      </c>
      <c r="BC642">
        <v>17</v>
      </c>
      <c r="BD642" t="s">
        <v>74</v>
      </c>
      <c r="BE642" t="s">
        <v>7382</v>
      </c>
      <c r="BF642" t="str">
        <f>HYPERLINK("http://dx.doi.org/10.1007/s10329-020-00852-z","http://dx.doi.org/10.1007/s10329-020-00852-z")</f>
        <v>http://dx.doi.org/10.1007/s10329-020-00852-z</v>
      </c>
      <c r="BG642" t="s">
        <v>74</v>
      </c>
      <c r="BH642" t="s">
        <v>2560</v>
      </c>
      <c r="BI642" t="s">
        <v>74</v>
      </c>
      <c r="BJ642" t="s">
        <v>74</v>
      </c>
      <c r="BK642" t="s">
        <v>74</v>
      </c>
      <c r="BL642" t="s">
        <v>74</v>
      </c>
      <c r="BM642" t="s">
        <v>74</v>
      </c>
      <c r="BN642">
        <v>32804328</v>
      </c>
      <c r="BO642" t="s">
        <v>74</v>
      </c>
      <c r="BP642" t="s">
        <v>74</v>
      </c>
      <c r="BQ642" t="s">
        <v>74</v>
      </c>
      <c r="BR642" t="s">
        <v>74</v>
      </c>
      <c r="BS642" t="s">
        <v>7383</v>
      </c>
      <c r="BT642" t="str">
        <f>HYPERLINK("https%3A%2F%2Fwww.webofscience.com%2Fwos%2Fwoscc%2Ffull-record%2FWOS:000560278300001","View Full Record in Web of Science")</f>
        <v>View Full Record in Web of Science</v>
      </c>
    </row>
    <row r="643" spans="1:72" x14ac:dyDescent="0.4">
      <c r="A643" t="s">
        <v>72</v>
      </c>
      <c r="B643" t="s">
        <v>3322</v>
      </c>
      <c r="C643" t="s">
        <v>74</v>
      </c>
      <c r="D643" t="s">
        <v>74</v>
      </c>
      <c r="E643" t="s">
        <v>74</v>
      </c>
      <c r="F643" t="s">
        <v>3323</v>
      </c>
      <c r="G643" t="s">
        <v>74</v>
      </c>
      <c r="H643" t="s">
        <v>74</v>
      </c>
      <c r="I643" t="s">
        <v>3324</v>
      </c>
      <c r="J643" t="s">
        <v>119</v>
      </c>
      <c r="K643" t="s">
        <v>74</v>
      </c>
      <c r="L643" t="s">
        <v>74</v>
      </c>
      <c r="M643" t="s">
        <v>74</v>
      </c>
      <c r="N643" t="s">
        <v>74</v>
      </c>
      <c r="O643" t="s">
        <v>74</v>
      </c>
      <c r="P643" t="s">
        <v>74</v>
      </c>
      <c r="Q643" t="s">
        <v>74</v>
      </c>
      <c r="R643" t="s">
        <v>74</v>
      </c>
      <c r="S643" t="s">
        <v>74</v>
      </c>
      <c r="T643" t="s">
        <v>74</v>
      </c>
      <c r="U643" t="s">
        <v>74</v>
      </c>
      <c r="V643" s="3" t="s">
        <v>3325</v>
      </c>
      <c r="W643" t="s">
        <v>74</v>
      </c>
      <c r="X643" t="s">
        <v>74</v>
      </c>
      <c r="Y643" t="s">
        <v>74</v>
      </c>
      <c r="Z643" t="s">
        <v>74</v>
      </c>
      <c r="AA643" t="s">
        <v>3163</v>
      </c>
      <c r="AB643" t="s">
        <v>3326</v>
      </c>
      <c r="AC643" t="s">
        <v>74</v>
      </c>
      <c r="AD643" t="s">
        <v>74</v>
      </c>
      <c r="AE643" t="s">
        <v>74</v>
      </c>
      <c r="AF643" t="s">
        <v>74</v>
      </c>
      <c r="AG643" t="s">
        <v>74</v>
      </c>
      <c r="AH643" t="s">
        <v>74</v>
      </c>
      <c r="AI643" t="s">
        <v>74</v>
      </c>
      <c r="AJ643" t="s">
        <v>74</v>
      </c>
      <c r="AK643" t="s">
        <v>74</v>
      </c>
      <c r="AL643" t="s">
        <v>74</v>
      </c>
      <c r="AM643" t="s">
        <v>74</v>
      </c>
      <c r="AN643" t="s">
        <v>74</v>
      </c>
      <c r="AO643" t="s">
        <v>121</v>
      </c>
      <c r="AP643" t="s">
        <v>122</v>
      </c>
      <c r="AQ643" t="s">
        <v>74</v>
      </c>
      <c r="AR643" t="s">
        <v>74</v>
      </c>
      <c r="AS643" t="s">
        <v>74</v>
      </c>
      <c r="AT643" t="s">
        <v>123</v>
      </c>
      <c r="AU643">
        <v>2016</v>
      </c>
      <c r="AV643">
        <v>124</v>
      </c>
      <c r="AW643" t="s">
        <v>74</v>
      </c>
      <c r="AX643" t="s">
        <v>74</v>
      </c>
      <c r="AY643" t="s">
        <v>74</v>
      </c>
      <c r="AZ643" t="s">
        <v>74</v>
      </c>
      <c r="BA643" t="s">
        <v>74</v>
      </c>
      <c r="BB643">
        <v>47</v>
      </c>
      <c r="BC643">
        <v>51</v>
      </c>
      <c r="BD643" t="s">
        <v>74</v>
      </c>
      <c r="BE643" t="s">
        <v>3327</v>
      </c>
      <c r="BF643" t="str">
        <f>HYPERLINK("http://dx.doi.org/10.1016/j.beproc.2015.11.021","http://dx.doi.org/10.1016/j.beproc.2015.11.021")</f>
        <v>http://dx.doi.org/10.1016/j.beproc.2015.11.021</v>
      </c>
      <c r="BG643" t="s">
        <v>74</v>
      </c>
      <c r="BH643" t="s">
        <v>74</v>
      </c>
      <c r="BI643" t="s">
        <v>74</v>
      </c>
      <c r="BJ643" t="s">
        <v>74</v>
      </c>
      <c r="BK643" t="s">
        <v>74</v>
      </c>
      <c r="BL643" t="s">
        <v>74</v>
      </c>
      <c r="BM643" t="s">
        <v>74</v>
      </c>
      <c r="BN643">
        <v>26655891</v>
      </c>
      <c r="BO643" t="s">
        <v>74</v>
      </c>
      <c r="BP643" t="s">
        <v>74</v>
      </c>
      <c r="BQ643" t="s">
        <v>74</v>
      </c>
      <c r="BR643" t="s">
        <v>74</v>
      </c>
      <c r="BS643" t="s">
        <v>3328</v>
      </c>
      <c r="BT643" t="str">
        <f>HYPERLINK("https%3A%2F%2Fwww.webofscience.com%2Fwos%2Fwoscc%2Ffull-record%2FWOS:000371552600007","View Full Record in Web of Science")</f>
        <v>View Full Record in Web of Science</v>
      </c>
    </row>
    <row r="644" spans="1:72" x14ac:dyDescent="0.4">
      <c r="A644" t="s">
        <v>72</v>
      </c>
      <c r="B644" t="s">
        <v>7235</v>
      </c>
      <c r="C644" t="s">
        <v>74</v>
      </c>
      <c r="D644" t="s">
        <v>74</v>
      </c>
      <c r="E644" t="s">
        <v>74</v>
      </c>
      <c r="F644" t="s">
        <v>7236</v>
      </c>
      <c r="G644" t="s">
        <v>74</v>
      </c>
      <c r="H644" t="s">
        <v>74</v>
      </c>
      <c r="I644" t="s">
        <v>7237</v>
      </c>
      <c r="J644" t="s">
        <v>654</v>
      </c>
      <c r="K644" t="s">
        <v>74</v>
      </c>
      <c r="L644" t="s">
        <v>74</v>
      </c>
      <c r="M644" t="s">
        <v>74</v>
      </c>
      <c r="N644" t="s">
        <v>74</v>
      </c>
      <c r="O644" t="s">
        <v>74</v>
      </c>
      <c r="P644" t="s">
        <v>74</v>
      </c>
      <c r="Q644" t="s">
        <v>74</v>
      </c>
      <c r="R644" t="s">
        <v>74</v>
      </c>
      <c r="S644" t="s">
        <v>74</v>
      </c>
      <c r="T644" t="s">
        <v>74</v>
      </c>
      <c r="U644" t="s">
        <v>74</v>
      </c>
      <c r="V644" s="3" t="s">
        <v>7238</v>
      </c>
      <c r="W644" t="s">
        <v>74</v>
      </c>
      <c r="X644" t="s">
        <v>74</v>
      </c>
      <c r="Y644" t="s">
        <v>74</v>
      </c>
      <c r="Z644" t="s">
        <v>74</v>
      </c>
      <c r="AA644" t="s">
        <v>7239</v>
      </c>
      <c r="AB644" t="s">
        <v>7240</v>
      </c>
      <c r="AC644" t="s">
        <v>74</v>
      </c>
      <c r="AD644" t="s">
        <v>74</v>
      </c>
      <c r="AE644" t="s">
        <v>74</v>
      </c>
      <c r="AF644" t="s">
        <v>74</v>
      </c>
      <c r="AG644" t="s">
        <v>74</v>
      </c>
      <c r="AH644" t="s">
        <v>74</v>
      </c>
      <c r="AI644" t="s">
        <v>74</v>
      </c>
      <c r="AJ644" t="s">
        <v>74</v>
      </c>
      <c r="AK644" t="s">
        <v>74</v>
      </c>
      <c r="AL644" t="s">
        <v>74</v>
      </c>
      <c r="AM644" t="s">
        <v>74</v>
      </c>
      <c r="AN644" t="s">
        <v>74</v>
      </c>
      <c r="AO644" t="s">
        <v>658</v>
      </c>
      <c r="AP644" t="s">
        <v>74</v>
      </c>
      <c r="AQ644" t="s">
        <v>74</v>
      </c>
      <c r="AR644" t="s">
        <v>74</v>
      </c>
      <c r="AS644" t="s">
        <v>74</v>
      </c>
      <c r="AT644" t="s">
        <v>633</v>
      </c>
      <c r="AU644">
        <v>2019</v>
      </c>
      <c r="AV644">
        <v>9</v>
      </c>
      <c r="AW644">
        <v>7</v>
      </c>
      <c r="AX644" t="s">
        <v>74</v>
      </c>
      <c r="AY644" t="s">
        <v>74</v>
      </c>
      <c r="AZ644" t="s">
        <v>74</v>
      </c>
      <c r="BA644" t="s">
        <v>74</v>
      </c>
      <c r="BB644">
        <v>4001</v>
      </c>
      <c r="BC644">
        <v>4012</v>
      </c>
      <c r="BD644" t="s">
        <v>74</v>
      </c>
      <c r="BE644" t="s">
        <v>7241</v>
      </c>
      <c r="BF644" t="str">
        <f>HYPERLINK("http://dx.doi.org/10.1002/ece3.5029","http://dx.doi.org/10.1002/ece3.5029")</f>
        <v>http://dx.doi.org/10.1002/ece3.5029</v>
      </c>
      <c r="BG644" t="s">
        <v>74</v>
      </c>
      <c r="BH644" t="s">
        <v>74</v>
      </c>
      <c r="BI644" t="s">
        <v>74</v>
      </c>
      <c r="BJ644" t="s">
        <v>74</v>
      </c>
      <c r="BK644" t="s">
        <v>74</v>
      </c>
      <c r="BL644" t="s">
        <v>74</v>
      </c>
      <c r="BM644" t="s">
        <v>74</v>
      </c>
      <c r="BN644">
        <v>31015983</v>
      </c>
      <c r="BO644" t="s">
        <v>74</v>
      </c>
      <c r="BP644" t="s">
        <v>74</v>
      </c>
      <c r="BQ644" t="s">
        <v>74</v>
      </c>
      <c r="BR644" t="s">
        <v>74</v>
      </c>
      <c r="BS644" t="s">
        <v>7242</v>
      </c>
      <c r="BT644" t="str">
        <f>HYPERLINK("https%3A%2F%2Fwww.webofscience.com%2Fwos%2Fwoscc%2Ffull-record%2FWOS:000465089500027","View Full Record in Web of Science")</f>
        <v>View Full Record in Web of Science</v>
      </c>
    </row>
    <row r="645" spans="1:72" x14ac:dyDescent="0.4">
      <c r="A645" t="s">
        <v>72</v>
      </c>
      <c r="B645" t="s">
        <v>7826</v>
      </c>
      <c r="C645" t="s">
        <v>74</v>
      </c>
      <c r="D645" t="s">
        <v>74</v>
      </c>
      <c r="E645" t="s">
        <v>74</v>
      </c>
      <c r="F645" t="s">
        <v>7827</v>
      </c>
      <c r="G645" t="s">
        <v>74</v>
      </c>
      <c r="H645" t="s">
        <v>74</v>
      </c>
      <c r="I645" t="s">
        <v>7828</v>
      </c>
      <c r="J645" t="s">
        <v>218</v>
      </c>
      <c r="K645" t="s">
        <v>74</v>
      </c>
      <c r="L645" t="s">
        <v>74</v>
      </c>
      <c r="M645" t="s">
        <v>74</v>
      </c>
      <c r="N645" t="s">
        <v>74</v>
      </c>
      <c r="O645" t="s">
        <v>74</v>
      </c>
      <c r="P645" t="s">
        <v>74</v>
      </c>
      <c r="Q645" t="s">
        <v>74</v>
      </c>
      <c r="R645" t="s">
        <v>74</v>
      </c>
      <c r="S645" t="s">
        <v>74</v>
      </c>
      <c r="T645" t="s">
        <v>74</v>
      </c>
      <c r="U645" t="s">
        <v>74</v>
      </c>
      <c r="V645" s="3" t="s">
        <v>7829</v>
      </c>
      <c r="W645" t="s">
        <v>74</v>
      </c>
      <c r="X645" t="s">
        <v>74</v>
      </c>
      <c r="Y645" t="s">
        <v>74</v>
      </c>
      <c r="Z645" t="s">
        <v>74</v>
      </c>
      <c r="AA645" t="s">
        <v>74</v>
      </c>
      <c r="AB645" t="s">
        <v>7830</v>
      </c>
      <c r="AC645" t="s">
        <v>74</v>
      </c>
      <c r="AD645" t="s">
        <v>74</v>
      </c>
      <c r="AE645" t="s">
        <v>74</v>
      </c>
      <c r="AF645" t="s">
        <v>74</v>
      </c>
      <c r="AG645" t="s">
        <v>74</v>
      </c>
      <c r="AH645" t="s">
        <v>74</v>
      </c>
      <c r="AI645" t="s">
        <v>74</v>
      </c>
      <c r="AJ645" t="s">
        <v>74</v>
      </c>
      <c r="AK645" t="s">
        <v>74</v>
      </c>
      <c r="AL645" t="s">
        <v>74</v>
      </c>
      <c r="AM645" t="s">
        <v>74</v>
      </c>
      <c r="AN645" t="s">
        <v>74</v>
      </c>
      <c r="AO645" t="s">
        <v>221</v>
      </c>
      <c r="AP645" t="s">
        <v>222</v>
      </c>
      <c r="AQ645" t="s">
        <v>74</v>
      </c>
      <c r="AR645" t="s">
        <v>74</v>
      </c>
      <c r="AS645" t="s">
        <v>74</v>
      </c>
      <c r="AT645" t="s">
        <v>213</v>
      </c>
      <c r="AU645">
        <v>2022</v>
      </c>
      <c r="AV645">
        <v>35</v>
      </c>
      <c r="AW645">
        <v>11</v>
      </c>
      <c r="AX645" t="s">
        <v>74</v>
      </c>
      <c r="AY645" t="s">
        <v>74</v>
      </c>
      <c r="AZ645" t="s">
        <v>74</v>
      </c>
      <c r="BA645" t="s">
        <v>74</v>
      </c>
      <c r="BB645">
        <v>1558</v>
      </c>
      <c r="BC645">
        <v>1567</v>
      </c>
      <c r="BD645" t="s">
        <v>74</v>
      </c>
      <c r="BE645" t="s">
        <v>7831</v>
      </c>
      <c r="BF645" t="str">
        <f>HYPERLINK("http://dx.doi.org/10.1111/jeb.14089","http://dx.doi.org/10.1111/jeb.14089")</f>
        <v>http://dx.doi.org/10.1111/jeb.14089</v>
      </c>
      <c r="BG645" t="s">
        <v>74</v>
      </c>
      <c r="BH645" t="s">
        <v>6006</v>
      </c>
      <c r="BI645" t="s">
        <v>74</v>
      </c>
      <c r="BJ645" t="s">
        <v>74</v>
      </c>
      <c r="BK645" t="s">
        <v>74</v>
      </c>
      <c r="BL645" t="s">
        <v>74</v>
      </c>
      <c r="BM645" t="s">
        <v>74</v>
      </c>
      <c r="BN645">
        <v>36196886</v>
      </c>
      <c r="BO645" t="s">
        <v>74</v>
      </c>
      <c r="BP645" t="s">
        <v>74</v>
      </c>
      <c r="BQ645" t="s">
        <v>74</v>
      </c>
      <c r="BR645" t="s">
        <v>74</v>
      </c>
      <c r="BS645" t="s">
        <v>7832</v>
      </c>
      <c r="BT645" t="str">
        <f>HYPERLINK("https%3A%2F%2Fwww.webofscience.com%2Fwos%2Fwoscc%2Ffull-record%2FWOS:000863852000001","View Full Record in Web of Science")</f>
        <v>View Full Record in Web of Science</v>
      </c>
    </row>
    <row r="646" spans="1:72" x14ac:dyDescent="0.4">
      <c r="A646" t="s">
        <v>72</v>
      </c>
      <c r="B646" t="s">
        <v>8492</v>
      </c>
      <c r="C646" t="s">
        <v>74</v>
      </c>
      <c r="D646" t="s">
        <v>74</v>
      </c>
      <c r="E646" t="s">
        <v>74</v>
      </c>
      <c r="F646" t="s">
        <v>8492</v>
      </c>
      <c r="G646" t="s">
        <v>74</v>
      </c>
      <c r="H646" t="s">
        <v>74</v>
      </c>
      <c r="I646" t="s">
        <v>8493</v>
      </c>
      <c r="J646" t="s">
        <v>140</v>
      </c>
      <c r="K646" t="s">
        <v>74</v>
      </c>
      <c r="L646" t="s">
        <v>74</v>
      </c>
      <c r="M646" t="s">
        <v>74</v>
      </c>
      <c r="N646" t="s">
        <v>74</v>
      </c>
      <c r="O646" t="s">
        <v>74</v>
      </c>
      <c r="P646" t="s">
        <v>74</v>
      </c>
      <c r="Q646" t="s">
        <v>74</v>
      </c>
      <c r="R646" t="s">
        <v>74</v>
      </c>
      <c r="S646" t="s">
        <v>74</v>
      </c>
      <c r="T646" t="s">
        <v>74</v>
      </c>
      <c r="U646" t="s">
        <v>74</v>
      </c>
      <c r="V646" s="3" t="s">
        <v>8494</v>
      </c>
      <c r="W646" t="s">
        <v>74</v>
      </c>
      <c r="X646" t="s">
        <v>74</v>
      </c>
      <c r="Y646" t="s">
        <v>74</v>
      </c>
      <c r="Z646" t="s">
        <v>74</v>
      </c>
      <c r="AA646" t="s">
        <v>468</v>
      </c>
      <c r="AB646" t="s">
        <v>74</v>
      </c>
      <c r="AC646" t="s">
        <v>74</v>
      </c>
      <c r="AD646" t="s">
        <v>74</v>
      </c>
      <c r="AE646" t="s">
        <v>74</v>
      </c>
      <c r="AF646" t="s">
        <v>74</v>
      </c>
      <c r="AG646" t="s">
        <v>74</v>
      </c>
      <c r="AH646" t="s">
        <v>74</v>
      </c>
      <c r="AI646" t="s">
        <v>74</v>
      </c>
      <c r="AJ646" t="s">
        <v>74</v>
      </c>
      <c r="AK646" t="s">
        <v>74</v>
      </c>
      <c r="AL646" t="s">
        <v>74</v>
      </c>
      <c r="AM646" t="s">
        <v>74</v>
      </c>
      <c r="AN646" t="s">
        <v>74</v>
      </c>
      <c r="AO646" t="s">
        <v>143</v>
      </c>
      <c r="AP646" t="s">
        <v>144</v>
      </c>
      <c r="AQ646" t="s">
        <v>74</v>
      </c>
      <c r="AR646" t="s">
        <v>74</v>
      </c>
      <c r="AS646" t="s">
        <v>74</v>
      </c>
      <c r="AT646" t="s">
        <v>175</v>
      </c>
      <c r="AU646">
        <v>1997</v>
      </c>
      <c r="AV646">
        <v>54</v>
      </c>
      <c r="AW646" t="s">
        <v>74</v>
      </c>
      <c r="AX646">
        <v>4</v>
      </c>
      <c r="AY646" t="s">
        <v>74</v>
      </c>
      <c r="AZ646" t="s">
        <v>74</v>
      </c>
      <c r="BA646" t="s">
        <v>74</v>
      </c>
      <c r="BB646">
        <v>927</v>
      </c>
      <c r="BC646">
        <v>939</v>
      </c>
      <c r="BD646" t="s">
        <v>74</v>
      </c>
      <c r="BE646" t="s">
        <v>8495</v>
      </c>
      <c r="BF646" t="str">
        <f>HYPERLINK("http://dx.doi.org/10.1006/anbe.1997.0476","http://dx.doi.org/10.1006/anbe.1997.0476")</f>
        <v>http://dx.doi.org/10.1006/anbe.1997.0476</v>
      </c>
      <c r="BG646" t="s">
        <v>74</v>
      </c>
      <c r="BH646" t="s">
        <v>74</v>
      </c>
      <c r="BI646" t="s">
        <v>74</v>
      </c>
      <c r="BJ646" t="s">
        <v>74</v>
      </c>
      <c r="BK646" t="s">
        <v>74</v>
      </c>
      <c r="BL646" t="s">
        <v>74</v>
      </c>
      <c r="BM646" t="s">
        <v>74</v>
      </c>
      <c r="BN646">
        <v>9344445</v>
      </c>
      <c r="BO646" t="s">
        <v>74</v>
      </c>
      <c r="BP646" t="s">
        <v>74</v>
      </c>
      <c r="BQ646" t="s">
        <v>74</v>
      </c>
      <c r="BR646" t="s">
        <v>74</v>
      </c>
      <c r="BS646" t="s">
        <v>8496</v>
      </c>
      <c r="BT646" t="str">
        <f>HYPERLINK("https%3A%2F%2Fwww.webofscience.com%2Fwos%2Fwoscc%2Ffull-record%2FWOS:A1997YE30600016","View Full Record in Web of Science")</f>
        <v>View Full Record in Web of Science</v>
      </c>
    </row>
    <row r="647" spans="1:72" x14ac:dyDescent="0.4">
      <c r="A647" t="s">
        <v>72</v>
      </c>
      <c r="B647" t="s">
        <v>6388</v>
      </c>
      <c r="C647" t="s">
        <v>74</v>
      </c>
      <c r="D647" t="s">
        <v>74</v>
      </c>
      <c r="E647" t="s">
        <v>74</v>
      </c>
      <c r="F647" t="s">
        <v>6388</v>
      </c>
      <c r="G647" t="s">
        <v>74</v>
      </c>
      <c r="H647" t="s">
        <v>74</v>
      </c>
      <c r="I647" t="s">
        <v>6389</v>
      </c>
      <c r="J647" t="s">
        <v>171</v>
      </c>
      <c r="K647" t="s">
        <v>74</v>
      </c>
      <c r="L647" t="s">
        <v>74</v>
      </c>
      <c r="M647" t="s">
        <v>74</v>
      </c>
      <c r="N647" t="s">
        <v>74</v>
      </c>
      <c r="O647" t="s">
        <v>74</v>
      </c>
      <c r="P647" t="s">
        <v>74</v>
      </c>
      <c r="Q647" t="s">
        <v>74</v>
      </c>
      <c r="R647" t="s">
        <v>74</v>
      </c>
      <c r="S647" t="s">
        <v>74</v>
      </c>
      <c r="T647" t="s">
        <v>74</v>
      </c>
      <c r="U647" t="s">
        <v>74</v>
      </c>
      <c r="V647" s="3" t="s">
        <v>6390</v>
      </c>
      <c r="W647" t="s">
        <v>74</v>
      </c>
      <c r="X647" t="s">
        <v>74</v>
      </c>
      <c r="Y647" t="s">
        <v>74</v>
      </c>
      <c r="Z647" t="s">
        <v>74</v>
      </c>
      <c r="AA647" t="s">
        <v>6391</v>
      </c>
      <c r="AB647" t="s">
        <v>74</v>
      </c>
      <c r="AC647" t="s">
        <v>74</v>
      </c>
      <c r="AD647" t="s">
        <v>74</v>
      </c>
      <c r="AE647" t="s">
        <v>74</v>
      </c>
      <c r="AF647" t="s">
        <v>74</v>
      </c>
      <c r="AG647" t="s">
        <v>74</v>
      </c>
      <c r="AH647" t="s">
        <v>74</v>
      </c>
      <c r="AI647" t="s">
        <v>74</v>
      </c>
      <c r="AJ647" t="s">
        <v>74</v>
      </c>
      <c r="AK647" t="s">
        <v>74</v>
      </c>
      <c r="AL647" t="s">
        <v>74</v>
      </c>
      <c r="AM647" t="s">
        <v>74</v>
      </c>
      <c r="AN647" t="s">
        <v>74</v>
      </c>
      <c r="AO647" t="s">
        <v>173</v>
      </c>
      <c r="AP647" t="s">
        <v>174</v>
      </c>
      <c r="AQ647" t="s">
        <v>74</v>
      </c>
      <c r="AR647" t="s">
        <v>74</v>
      </c>
      <c r="AS647" t="s">
        <v>74</v>
      </c>
      <c r="AT647" t="s">
        <v>134</v>
      </c>
      <c r="AU647">
        <v>1986</v>
      </c>
      <c r="AV647">
        <v>40</v>
      </c>
      <c r="AW647">
        <v>3</v>
      </c>
      <c r="AX647" t="s">
        <v>74</v>
      </c>
      <c r="AY647" t="s">
        <v>74</v>
      </c>
      <c r="AZ647" t="s">
        <v>74</v>
      </c>
      <c r="BA647" t="s">
        <v>74</v>
      </c>
      <c r="BB647">
        <v>605</v>
      </c>
      <c r="BC647">
        <v>615</v>
      </c>
      <c r="BD647" t="s">
        <v>74</v>
      </c>
      <c r="BE647" t="s">
        <v>6392</v>
      </c>
      <c r="BF647" t="str">
        <f>HYPERLINK("http://dx.doi.org/10.2307/2408581","http://dx.doi.org/10.2307/2408581")</f>
        <v>http://dx.doi.org/10.2307/2408581</v>
      </c>
      <c r="BG647" t="s">
        <v>74</v>
      </c>
      <c r="BH647" t="s">
        <v>74</v>
      </c>
      <c r="BI647" t="s">
        <v>74</v>
      </c>
      <c r="BJ647" t="s">
        <v>74</v>
      </c>
      <c r="BK647" t="s">
        <v>74</v>
      </c>
      <c r="BL647" t="s">
        <v>74</v>
      </c>
      <c r="BM647" t="s">
        <v>74</v>
      </c>
      <c r="BN647">
        <v>28556339</v>
      </c>
      <c r="BO647" t="s">
        <v>74</v>
      </c>
      <c r="BP647" t="s">
        <v>74</v>
      </c>
      <c r="BQ647" t="s">
        <v>74</v>
      </c>
      <c r="BR647" t="s">
        <v>74</v>
      </c>
      <c r="BS647" t="s">
        <v>6393</v>
      </c>
      <c r="BT647" t="str">
        <f>HYPERLINK("https%3A%2F%2Fwww.webofscience.com%2Fwos%2Fwoscc%2Ffull-record%2FWOS:A1986C438800014","View Full Record in Web of Science")</f>
        <v>View Full Record in Web of Science</v>
      </c>
    </row>
    <row r="648" spans="1:72" x14ac:dyDescent="0.4">
      <c r="A648" t="s">
        <v>72</v>
      </c>
      <c r="B648" t="s">
        <v>464</v>
      </c>
      <c r="C648" t="s">
        <v>74</v>
      </c>
      <c r="D648" t="s">
        <v>74</v>
      </c>
      <c r="E648" t="s">
        <v>74</v>
      </c>
      <c r="F648" t="s">
        <v>465</v>
      </c>
      <c r="G648" t="s">
        <v>74</v>
      </c>
      <c r="H648" t="s">
        <v>74</v>
      </c>
      <c r="I648" t="s">
        <v>466</v>
      </c>
      <c r="J648" t="s">
        <v>140</v>
      </c>
      <c r="K648" t="s">
        <v>74</v>
      </c>
      <c r="L648" t="s">
        <v>74</v>
      </c>
      <c r="M648" t="s">
        <v>74</v>
      </c>
      <c r="N648" t="s">
        <v>74</v>
      </c>
      <c r="O648" t="s">
        <v>74</v>
      </c>
      <c r="P648" t="s">
        <v>74</v>
      </c>
      <c r="Q648" t="s">
        <v>74</v>
      </c>
      <c r="R648" t="s">
        <v>74</v>
      </c>
      <c r="S648" t="s">
        <v>74</v>
      </c>
      <c r="T648" t="s">
        <v>74</v>
      </c>
      <c r="U648" t="s">
        <v>74</v>
      </c>
      <c r="V648" s="3" t="s">
        <v>467</v>
      </c>
      <c r="W648" t="s">
        <v>74</v>
      </c>
      <c r="X648" t="s">
        <v>74</v>
      </c>
      <c r="Y648" t="s">
        <v>74</v>
      </c>
      <c r="Z648" t="s">
        <v>74</v>
      </c>
      <c r="AA648" t="s">
        <v>468</v>
      </c>
      <c r="AB648" t="s">
        <v>469</v>
      </c>
      <c r="AC648" t="s">
        <v>74</v>
      </c>
      <c r="AD648" t="s">
        <v>74</v>
      </c>
      <c r="AE648" t="s">
        <v>74</v>
      </c>
      <c r="AF648" t="s">
        <v>74</v>
      </c>
      <c r="AG648" t="s">
        <v>74</v>
      </c>
      <c r="AH648" t="s">
        <v>74</v>
      </c>
      <c r="AI648" t="s">
        <v>74</v>
      </c>
      <c r="AJ648" t="s">
        <v>74</v>
      </c>
      <c r="AK648" t="s">
        <v>74</v>
      </c>
      <c r="AL648" t="s">
        <v>74</v>
      </c>
      <c r="AM648" t="s">
        <v>74</v>
      </c>
      <c r="AN648" t="s">
        <v>74</v>
      </c>
      <c r="AO648" t="s">
        <v>143</v>
      </c>
      <c r="AP648" t="s">
        <v>144</v>
      </c>
      <c r="AQ648" t="s">
        <v>74</v>
      </c>
      <c r="AR648" t="s">
        <v>74</v>
      </c>
      <c r="AS648" t="s">
        <v>74</v>
      </c>
      <c r="AT648" t="s">
        <v>134</v>
      </c>
      <c r="AU648">
        <v>2015</v>
      </c>
      <c r="AV648">
        <v>103</v>
      </c>
      <c r="AW648" t="s">
        <v>74</v>
      </c>
      <c r="AX648" t="s">
        <v>74</v>
      </c>
      <c r="AY648" t="s">
        <v>74</v>
      </c>
      <c r="AZ648" t="s">
        <v>74</v>
      </c>
      <c r="BA648" t="s">
        <v>74</v>
      </c>
      <c r="BB648">
        <v>117</v>
      </c>
      <c r="BC648">
        <v>124</v>
      </c>
      <c r="BD648" t="s">
        <v>74</v>
      </c>
      <c r="BE648" t="s">
        <v>470</v>
      </c>
      <c r="BF648" t="str">
        <f>HYPERLINK("http://dx.doi.org/10.1016/j.anbehav.2015.02.010","http://dx.doi.org/10.1016/j.anbehav.2015.02.010")</f>
        <v>http://dx.doi.org/10.1016/j.anbehav.2015.02.010</v>
      </c>
      <c r="BG648" t="s">
        <v>74</v>
      </c>
      <c r="BH648" t="s">
        <v>74</v>
      </c>
      <c r="BI648" t="s">
        <v>74</v>
      </c>
      <c r="BJ648" t="s">
        <v>74</v>
      </c>
      <c r="BK648" t="s">
        <v>74</v>
      </c>
      <c r="BL648" t="s">
        <v>74</v>
      </c>
      <c r="BM648" t="s">
        <v>74</v>
      </c>
      <c r="BN648" t="s">
        <v>74</v>
      </c>
      <c r="BO648" t="s">
        <v>74</v>
      </c>
      <c r="BP648" t="s">
        <v>74</v>
      </c>
      <c r="BQ648" t="s">
        <v>74</v>
      </c>
      <c r="BR648" t="s">
        <v>74</v>
      </c>
      <c r="BS648" t="s">
        <v>471</v>
      </c>
      <c r="BT648" t="str">
        <f>HYPERLINK("https%3A%2F%2Fwww.webofscience.com%2Fwos%2Fwoscc%2Ffull-record%2FWOS:000353378200015","View Full Record in Web of Science")</f>
        <v>View Full Record in Web of Science</v>
      </c>
    </row>
    <row r="649" spans="1:72" x14ac:dyDescent="0.4">
      <c r="A649" t="s">
        <v>72</v>
      </c>
      <c r="B649" t="s">
        <v>2163</v>
      </c>
      <c r="C649" t="s">
        <v>74</v>
      </c>
      <c r="D649" t="s">
        <v>74</v>
      </c>
      <c r="E649" t="s">
        <v>74</v>
      </c>
      <c r="F649" t="s">
        <v>2164</v>
      </c>
      <c r="G649" t="s">
        <v>74</v>
      </c>
      <c r="H649" t="s">
        <v>74</v>
      </c>
      <c r="I649" t="s">
        <v>2165</v>
      </c>
      <c r="J649" t="s">
        <v>312</v>
      </c>
      <c r="K649" t="s">
        <v>74</v>
      </c>
      <c r="L649" t="s">
        <v>74</v>
      </c>
      <c r="M649" t="s">
        <v>74</v>
      </c>
      <c r="N649" t="s">
        <v>74</v>
      </c>
      <c r="O649" t="s">
        <v>74</v>
      </c>
      <c r="P649" t="s">
        <v>74</v>
      </c>
      <c r="Q649" t="s">
        <v>74</v>
      </c>
      <c r="R649" t="s">
        <v>74</v>
      </c>
      <c r="S649" t="s">
        <v>74</v>
      </c>
      <c r="T649" t="s">
        <v>74</v>
      </c>
      <c r="U649" t="s">
        <v>74</v>
      </c>
      <c r="V649" s="3" t="s">
        <v>2166</v>
      </c>
      <c r="W649" t="s">
        <v>74</v>
      </c>
      <c r="X649" t="s">
        <v>74</v>
      </c>
      <c r="Y649" t="s">
        <v>74</v>
      </c>
      <c r="Z649" t="s">
        <v>74</v>
      </c>
      <c r="AA649" t="s">
        <v>2167</v>
      </c>
      <c r="AB649" t="s">
        <v>2168</v>
      </c>
      <c r="AC649" t="s">
        <v>74</v>
      </c>
      <c r="AD649" t="s">
        <v>74</v>
      </c>
      <c r="AE649" t="s">
        <v>74</v>
      </c>
      <c r="AF649" t="s">
        <v>74</v>
      </c>
      <c r="AG649" t="s">
        <v>74</v>
      </c>
      <c r="AH649" t="s">
        <v>74</v>
      </c>
      <c r="AI649" t="s">
        <v>74</v>
      </c>
      <c r="AJ649" t="s">
        <v>74</v>
      </c>
      <c r="AK649" t="s">
        <v>74</v>
      </c>
      <c r="AL649" t="s">
        <v>74</v>
      </c>
      <c r="AM649" t="s">
        <v>74</v>
      </c>
      <c r="AN649" t="s">
        <v>74</v>
      </c>
      <c r="AO649" t="s">
        <v>314</v>
      </c>
      <c r="AP649" t="s">
        <v>74</v>
      </c>
      <c r="AQ649" t="s">
        <v>74</v>
      </c>
      <c r="AR649" t="s">
        <v>74</v>
      </c>
      <c r="AS649" t="s">
        <v>74</v>
      </c>
      <c r="AT649" t="s">
        <v>255</v>
      </c>
      <c r="AU649">
        <v>2012</v>
      </c>
      <c r="AV649">
        <v>179</v>
      </c>
      <c r="AW649">
        <v>1</v>
      </c>
      <c r="AX649" t="s">
        <v>74</v>
      </c>
      <c r="AY649" t="s">
        <v>74</v>
      </c>
      <c r="AZ649" t="s">
        <v>74</v>
      </c>
      <c r="BA649" t="s">
        <v>74</v>
      </c>
      <c r="BB649" t="s">
        <v>2169</v>
      </c>
      <c r="BC649" t="s">
        <v>2170</v>
      </c>
      <c r="BD649" t="s">
        <v>74</v>
      </c>
      <c r="BE649" t="s">
        <v>2171</v>
      </c>
      <c r="BF649" t="str">
        <f>HYPERLINK("http://dx.doi.org/10.1086/663197","http://dx.doi.org/10.1086/663197")</f>
        <v>http://dx.doi.org/10.1086/663197</v>
      </c>
      <c r="BG649" t="s">
        <v>74</v>
      </c>
      <c r="BH649" t="s">
        <v>74</v>
      </c>
      <c r="BI649" t="s">
        <v>74</v>
      </c>
      <c r="BJ649" t="s">
        <v>74</v>
      </c>
      <c r="BK649" t="s">
        <v>74</v>
      </c>
      <c r="BL649" t="s">
        <v>74</v>
      </c>
      <c r="BM649" t="s">
        <v>74</v>
      </c>
      <c r="BN649">
        <v>22173468</v>
      </c>
      <c r="BO649" t="s">
        <v>74</v>
      </c>
      <c r="BP649" t="s">
        <v>74</v>
      </c>
      <c r="BQ649" t="s">
        <v>74</v>
      </c>
      <c r="BR649" t="s">
        <v>74</v>
      </c>
      <c r="BS649" t="s">
        <v>2172</v>
      </c>
      <c r="BT649" t="str">
        <f>HYPERLINK("https%3A%2F%2Fwww.webofscience.com%2Fwos%2Fwoscc%2Ffull-record%2FWOS:000298379200001","View Full Record in Web of Science")</f>
        <v>View Full Record in Web of Science</v>
      </c>
    </row>
    <row r="650" spans="1:72" x14ac:dyDescent="0.4">
      <c r="A650" t="s">
        <v>72</v>
      </c>
      <c r="B650" t="s">
        <v>1272</v>
      </c>
      <c r="C650" t="s">
        <v>74</v>
      </c>
      <c r="D650" t="s">
        <v>74</v>
      </c>
      <c r="E650" t="s">
        <v>74</v>
      </c>
      <c r="F650" t="s">
        <v>1272</v>
      </c>
      <c r="G650" t="s">
        <v>74</v>
      </c>
      <c r="H650" t="s">
        <v>74</v>
      </c>
      <c r="I650" t="s">
        <v>1273</v>
      </c>
      <c r="J650" t="s">
        <v>610</v>
      </c>
      <c r="K650" t="s">
        <v>74</v>
      </c>
      <c r="L650" t="s">
        <v>74</v>
      </c>
      <c r="M650" t="s">
        <v>74</v>
      </c>
      <c r="N650" t="s">
        <v>74</v>
      </c>
      <c r="O650" t="s">
        <v>74</v>
      </c>
      <c r="P650" t="s">
        <v>74</v>
      </c>
      <c r="Q650" t="s">
        <v>74</v>
      </c>
      <c r="R650" t="s">
        <v>74</v>
      </c>
      <c r="S650" t="s">
        <v>74</v>
      </c>
      <c r="T650" t="s">
        <v>74</v>
      </c>
      <c r="U650" t="s">
        <v>74</v>
      </c>
      <c r="V650" s="3" t="s">
        <v>1274</v>
      </c>
      <c r="W650" t="s">
        <v>74</v>
      </c>
      <c r="X650" t="s">
        <v>74</v>
      </c>
      <c r="Y650" t="s">
        <v>74</v>
      </c>
      <c r="Z650" t="s">
        <v>74</v>
      </c>
      <c r="AA650" t="s">
        <v>1275</v>
      </c>
      <c r="AB650" t="s">
        <v>74</v>
      </c>
      <c r="AC650" t="s">
        <v>74</v>
      </c>
      <c r="AD650" t="s">
        <v>74</v>
      </c>
      <c r="AE650" t="s">
        <v>74</v>
      </c>
      <c r="AF650" t="s">
        <v>74</v>
      </c>
      <c r="AG650" t="s">
        <v>74</v>
      </c>
      <c r="AH650" t="s">
        <v>74</v>
      </c>
      <c r="AI650" t="s">
        <v>74</v>
      </c>
      <c r="AJ650" t="s">
        <v>74</v>
      </c>
      <c r="AK650" t="s">
        <v>74</v>
      </c>
      <c r="AL650" t="s">
        <v>74</v>
      </c>
      <c r="AM650" t="s">
        <v>74</v>
      </c>
      <c r="AN650" t="s">
        <v>74</v>
      </c>
      <c r="AO650" t="s">
        <v>614</v>
      </c>
      <c r="AP650" t="s">
        <v>74</v>
      </c>
      <c r="AQ650" t="s">
        <v>74</v>
      </c>
      <c r="AR650" t="s">
        <v>74</v>
      </c>
      <c r="AS650" t="s">
        <v>74</v>
      </c>
      <c r="AT650" t="s">
        <v>1075</v>
      </c>
      <c r="AU650">
        <v>1994</v>
      </c>
      <c r="AV650">
        <v>98</v>
      </c>
      <c r="AW650" t="s">
        <v>1276</v>
      </c>
      <c r="AX650" t="s">
        <v>74</v>
      </c>
      <c r="AY650" t="s">
        <v>74</v>
      </c>
      <c r="AZ650" t="s">
        <v>74</v>
      </c>
      <c r="BA650" t="s">
        <v>74</v>
      </c>
      <c r="BB650">
        <v>246</v>
      </c>
      <c r="BC650">
        <v>264</v>
      </c>
      <c r="BD650" t="s">
        <v>74</v>
      </c>
      <c r="BE650" t="s">
        <v>74</v>
      </c>
      <c r="BF650" t="s">
        <v>74</v>
      </c>
      <c r="BG650" t="s">
        <v>74</v>
      </c>
      <c r="BH650" t="s">
        <v>74</v>
      </c>
      <c r="BI650" t="s">
        <v>74</v>
      </c>
      <c r="BJ650" t="s">
        <v>74</v>
      </c>
      <c r="BK650" t="s">
        <v>74</v>
      </c>
      <c r="BL650" t="s">
        <v>74</v>
      </c>
      <c r="BM650" t="s">
        <v>74</v>
      </c>
      <c r="BN650" t="s">
        <v>74</v>
      </c>
      <c r="BO650" t="s">
        <v>74</v>
      </c>
      <c r="BP650" t="s">
        <v>74</v>
      </c>
      <c r="BQ650" t="s">
        <v>74</v>
      </c>
      <c r="BR650" t="s">
        <v>74</v>
      </c>
      <c r="BS650" t="s">
        <v>1277</v>
      </c>
      <c r="BT650" t="str">
        <f>HYPERLINK("https%3A%2F%2Fwww.webofscience.com%2Fwos%2Fwoscc%2Ffull-record%2FWOS:A1994QA66800006","View Full Record in Web of Science")</f>
        <v>View Full Record in Web of Science</v>
      </c>
    </row>
    <row r="651" spans="1:72" x14ac:dyDescent="0.4">
      <c r="A651" t="s">
        <v>72</v>
      </c>
      <c r="B651" t="s">
        <v>3860</v>
      </c>
      <c r="C651" t="s">
        <v>74</v>
      </c>
      <c r="D651" t="s">
        <v>74</v>
      </c>
      <c r="E651" t="s">
        <v>74</v>
      </c>
      <c r="F651" t="s">
        <v>3861</v>
      </c>
      <c r="G651" t="s">
        <v>74</v>
      </c>
      <c r="H651" t="s">
        <v>74</v>
      </c>
      <c r="I651" t="s">
        <v>3862</v>
      </c>
      <c r="J651" t="s">
        <v>1198</v>
      </c>
      <c r="K651" t="s">
        <v>74</v>
      </c>
      <c r="L651" t="s">
        <v>74</v>
      </c>
      <c r="M651" t="s">
        <v>74</v>
      </c>
      <c r="N651" t="s">
        <v>74</v>
      </c>
      <c r="O651" t="s">
        <v>74</v>
      </c>
      <c r="P651" t="s">
        <v>74</v>
      </c>
      <c r="Q651" t="s">
        <v>74</v>
      </c>
      <c r="R651" t="s">
        <v>74</v>
      </c>
      <c r="S651" t="s">
        <v>74</v>
      </c>
      <c r="T651" t="s">
        <v>74</v>
      </c>
      <c r="U651" t="s">
        <v>74</v>
      </c>
      <c r="V651" s="3" t="s">
        <v>3863</v>
      </c>
      <c r="W651" t="s">
        <v>74</v>
      </c>
      <c r="X651" t="s">
        <v>74</v>
      </c>
      <c r="Y651" t="s">
        <v>74</v>
      </c>
      <c r="Z651" t="s">
        <v>74</v>
      </c>
      <c r="AA651" t="s">
        <v>74</v>
      </c>
      <c r="AB651" t="s">
        <v>2709</v>
      </c>
      <c r="AC651" t="s">
        <v>74</v>
      </c>
      <c r="AD651" t="s">
        <v>74</v>
      </c>
      <c r="AE651" t="s">
        <v>74</v>
      </c>
      <c r="AF651" t="s">
        <v>74</v>
      </c>
      <c r="AG651" t="s">
        <v>74</v>
      </c>
      <c r="AH651" t="s">
        <v>74</v>
      </c>
      <c r="AI651" t="s">
        <v>74</v>
      </c>
      <c r="AJ651" t="s">
        <v>74</v>
      </c>
      <c r="AK651" t="s">
        <v>74</v>
      </c>
      <c r="AL651" t="s">
        <v>74</v>
      </c>
      <c r="AM651" t="s">
        <v>74</v>
      </c>
      <c r="AN651" t="s">
        <v>74</v>
      </c>
      <c r="AO651" t="s">
        <v>1202</v>
      </c>
      <c r="AP651" t="s">
        <v>1203</v>
      </c>
      <c r="AQ651" t="s">
        <v>74</v>
      </c>
      <c r="AR651" t="s">
        <v>74</v>
      </c>
      <c r="AS651" t="s">
        <v>74</v>
      </c>
      <c r="AT651" t="s">
        <v>102</v>
      </c>
      <c r="AU651">
        <v>2015</v>
      </c>
      <c r="AV651">
        <v>71</v>
      </c>
      <c r="AW651">
        <v>2</v>
      </c>
      <c r="AX651" t="s">
        <v>74</v>
      </c>
      <c r="AY651" t="s">
        <v>74</v>
      </c>
      <c r="AZ651" t="s">
        <v>74</v>
      </c>
      <c r="BA651" t="s">
        <v>74</v>
      </c>
      <c r="BB651">
        <v>110</v>
      </c>
      <c r="BC651">
        <v>116</v>
      </c>
      <c r="BD651" t="s">
        <v>74</v>
      </c>
      <c r="BE651" t="s">
        <v>3864</v>
      </c>
      <c r="BF651" t="str">
        <f>HYPERLINK("http://dx.doi.org/10.1655/HERPETOLOGICA-D-14-00044","http://dx.doi.org/10.1655/HERPETOLOGICA-D-14-00044")</f>
        <v>http://dx.doi.org/10.1655/HERPETOLOGICA-D-14-00044</v>
      </c>
      <c r="BG651" t="s">
        <v>74</v>
      </c>
      <c r="BH651" t="s">
        <v>74</v>
      </c>
      <c r="BI651" t="s">
        <v>74</v>
      </c>
      <c r="BJ651" t="s">
        <v>74</v>
      </c>
      <c r="BK651" t="s">
        <v>74</v>
      </c>
      <c r="BL651" t="s">
        <v>74</v>
      </c>
      <c r="BM651" t="s">
        <v>74</v>
      </c>
      <c r="BN651" t="s">
        <v>74</v>
      </c>
      <c r="BO651" t="s">
        <v>74</v>
      </c>
      <c r="BP651" t="s">
        <v>74</v>
      </c>
      <c r="BQ651" t="s">
        <v>74</v>
      </c>
      <c r="BR651" t="s">
        <v>74</v>
      </c>
      <c r="BS651" t="s">
        <v>3865</v>
      </c>
      <c r="BT651" t="str">
        <f>HYPERLINK("https%3A%2F%2Fwww.webofscience.com%2Fwos%2Fwoscc%2Ffull-record%2FWOS:000357733800005","View Full Record in Web of Science")</f>
        <v>View Full Record in Web of Science</v>
      </c>
    </row>
    <row r="652" spans="1:72" x14ac:dyDescent="0.4">
      <c r="A652" t="s">
        <v>72</v>
      </c>
      <c r="B652" t="s">
        <v>7069</v>
      </c>
      <c r="C652" t="s">
        <v>74</v>
      </c>
      <c r="D652" t="s">
        <v>74</v>
      </c>
      <c r="E652" t="s">
        <v>74</v>
      </c>
      <c r="F652" t="s">
        <v>7070</v>
      </c>
      <c r="G652" t="s">
        <v>74</v>
      </c>
      <c r="H652" t="s">
        <v>74</v>
      </c>
      <c r="I652" t="s">
        <v>7071</v>
      </c>
      <c r="J652" t="s">
        <v>1198</v>
      </c>
      <c r="K652" t="s">
        <v>74</v>
      </c>
      <c r="L652" t="s">
        <v>74</v>
      </c>
      <c r="M652" t="s">
        <v>74</v>
      </c>
      <c r="N652" t="s">
        <v>74</v>
      </c>
      <c r="O652" t="s">
        <v>74</v>
      </c>
      <c r="P652" t="s">
        <v>74</v>
      </c>
      <c r="Q652" t="s">
        <v>74</v>
      </c>
      <c r="R652" t="s">
        <v>74</v>
      </c>
      <c r="S652" t="s">
        <v>74</v>
      </c>
      <c r="T652" t="s">
        <v>74</v>
      </c>
      <c r="U652" t="s">
        <v>74</v>
      </c>
      <c r="V652" s="3" t="s">
        <v>7072</v>
      </c>
      <c r="W652" t="s">
        <v>74</v>
      </c>
      <c r="X652" t="s">
        <v>74</v>
      </c>
      <c r="Y652" t="s">
        <v>74</v>
      </c>
      <c r="Z652" t="s">
        <v>74</v>
      </c>
      <c r="AA652" t="s">
        <v>74</v>
      </c>
      <c r="AB652" t="s">
        <v>74</v>
      </c>
      <c r="AC652" t="s">
        <v>74</v>
      </c>
      <c r="AD652" t="s">
        <v>74</v>
      </c>
      <c r="AE652" t="s">
        <v>74</v>
      </c>
      <c r="AF652" t="s">
        <v>74</v>
      </c>
      <c r="AG652" t="s">
        <v>74</v>
      </c>
      <c r="AH652" t="s">
        <v>74</v>
      </c>
      <c r="AI652" t="s">
        <v>74</v>
      </c>
      <c r="AJ652" t="s">
        <v>74</v>
      </c>
      <c r="AK652" t="s">
        <v>74</v>
      </c>
      <c r="AL652" t="s">
        <v>74</v>
      </c>
      <c r="AM652" t="s">
        <v>74</v>
      </c>
      <c r="AN652" t="s">
        <v>74</v>
      </c>
      <c r="AO652" t="s">
        <v>1202</v>
      </c>
      <c r="AP652" t="s">
        <v>1203</v>
      </c>
      <c r="AQ652" t="s">
        <v>74</v>
      </c>
      <c r="AR652" t="s">
        <v>74</v>
      </c>
      <c r="AS652" t="s">
        <v>74</v>
      </c>
      <c r="AT652" t="s">
        <v>305</v>
      </c>
      <c r="AU652">
        <v>2023</v>
      </c>
      <c r="AV652">
        <v>79</v>
      </c>
      <c r="AW652">
        <v>4</v>
      </c>
      <c r="AX652" t="s">
        <v>74</v>
      </c>
      <c r="AY652" t="s">
        <v>74</v>
      </c>
      <c r="AZ652" t="s">
        <v>74</v>
      </c>
      <c r="BA652" t="s">
        <v>74</v>
      </c>
      <c r="BB652">
        <v>196</v>
      </c>
      <c r="BC652">
        <v>206</v>
      </c>
      <c r="BD652" t="s">
        <v>74</v>
      </c>
      <c r="BE652" t="s">
        <v>7073</v>
      </c>
      <c r="BF652" t="str">
        <f>HYPERLINK("http://dx.doi.org/10.1655/Herpetologica-D-23-00011.s1","http://dx.doi.org/10.1655/Herpetologica-D-23-00011.s1")</f>
        <v>http://dx.doi.org/10.1655/Herpetologica-D-23-00011.s1</v>
      </c>
      <c r="BG652" t="s">
        <v>74</v>
      </c>
      <c r="BH652" t="s">
        <v>74</v>
      </c>
      <c r="BI652" t="s">
        <v>74</v>
      </c>
      <c r="BJ652" t="s">
        <v>74</v>
      </c>
      <c r="BK652" t="s">
        <v>74</v>
      </c>
      <c r="BL652" t="s">
        <v>74</v>
      </c>
      <c r="BM652" t="s">
        <v>74</v>
      </c>
      <c r="BN652" t="s">
        <v>74</v>
      </c>
      <c r="BO652" t="s">
        <v>74</v>
      </c>
      <c r="BP652" t="s">
        <v>74</v>
      </c>
      <c r="BQ652" t="s">
        <v>74</v>
      </c>
      <c r="BR652" t="s">
        <v>74</v>
      </c>
      <c r="BS652" t="s">
        <v>7074</v>
      </c>
      <c r="BT652" t="str">
        <f>HYPERLINK("https%3A%2F%2Fwww.webofscience.com%2Fwos%2Fwoscc%2Ffull-record%2FWOS:001208746500005","View Full Record in Web of Science")</f>
        <v>View Full Record in Web of Science</v>
      </c>
    </row>
    <row r="653" spans="1:72" x14ac:dyDescent="0.4">
      <c r="A653" t="s">
        <v>72</v>
      </c>
      <c r="B653" t="s">
        <v>2180</v>
      </c>
      <c r="C653" t="s">
        <v>74</v>
      </c>
      <c r="D653" t="s">
        <v>74</v>
      </c>
      <c r="E653" t="s">
        <v>74</v>
      </c>
      <c r="F653" t="s">
        <v>2181</v>
      </c>
      <c r="G653" t="s">
        <v>74</v>
      </c>
      <c r="H653" t="s">
        <v>74</v>
      </c>
      <c r="I653" t="s">
        <v>2182</v>
      </c>
      <c r="J653" t="s">
        <v>333</v>
      </c>
      <c r="K653" t="s">
        <v>74</v>
      </c>
      <c r="L653" t="s">
        <v>74</v>
      </c>
      <c r="M653" t="s">
        <v>74</v>
      </c>
      <c r="N653" t="s">
        <v>74</v>
      </c>
      <c r="O653" t="s">
        <v>74</v>
      </c>
      <c r="P653" t="s">
        <v>74</v>
      </c>
      <c r="Q653" t="s">
        <v>74</v>
      </c>
      <c r="R653" t="s">
        <v>74</v>
      </c>
      <c r="S653" t="s">
        <v>74</v>
      </c>
      <c r="T653" t="s">
        <v>74</v>
      </c>
      <c r="U653" t="s">
        <v>74</v>
      </c>
      <c r="V653" s="3" t="s">
        <v>2183</v>
      </c>
      <c r="W653" t="s">
        <v>74</v>
      </c>
      <c r="X653" t="s">
        <v>74</v>
      </c>
      <c r="Y653" t="s">
        <v>74</v>
      </c>
      <c r="Z653" t="s">
        <v>74</v>
      </c>
      <c r="AA653" t="s">
        <v>2184</v>
      </c>
      <c r="AB653" t="s">
        <v>2185</v>
      </c>
      <c r="AC653" t="s">
        <v>74</v>
      </c>
      <c r="AD653" t="s">
        <v>74</v>
      </c>
      <c r="AE653" t="s">
        <v>74</v>
      </c>
      <c r="AF653" t="s">
        <v>74</v>
      </c>
      <c r="AG653" t="s">
        <v>74</v>
      </c>
      <c r="AH653" t="s">
        <v>74</v>
      </c>
      <c r="AI653" t="s">
        <v>74</v>
      </c>
      <c r="AJ653" t="s">
        <v>74</v>
      </c>
      <c r="AK653" t="s">
        <v>74</v>
      </c>
      <c r="AL653" t="s">
        <v>74</v>
      </c>
      <c r="AM653" t="s">
        <v>74</v>
      </c>
      <c r="AN653" t="s">
        <v>74</v>
      </c>
      <c r="AO653" t="s">
        <v>337</v>
      </c>
      <c r="AP653" t="s">
        <v>338</v>
      </c>
      <c r="AQ653" t="s">
        <v>74</v>
      </c>
      <c r="AR653" t="s">
        <v>74</v>
      </c>
      <c r="AS653" t="s">
        <v>74</v>
      </c>
      <c r="AT653" t="s">
        <v>339</v>
      </c>
      <c r="AU653">
        <v>2013</v>
      </c>
      <c r="AV653">
        <v>24</v>
      </c>
      <c r="AW653">
        <v>4</v>
      </c>
      <c r="AX653" t="s">
        <v>74</v>
      </c>
      <c r="AY653" t="s">
        <v>74</v>
      </c>
      <c r="AZ653" t="s">
        <v>74</v>
      </c>
      <c r="BA653" t="s">
        <v>74</v>
      </c>
      <c r="BB653">
        <v>846</v>
      </c>
      <c r="BC653">
        <v>852</v>
      </c>
      <c r="BD653" t="s">
        <v>74</v>
      </c>
      <c r="BE653" t="s">
        <v>2186</v>
      </c>
      <c r="BF653" t="str">
        <f>HYPERLINK("http://dx.doi.org/10.1093/beheco/art027","http://dx.doi.org/10.1093/beheco/art027")</f>
        <v>http://dx.doi.org/10.1093/beheco/art027</v>
      </c>
      <c r="BG653" t="s">
        <v>74</v>
      </c>
      <c r="BH653" t="s">
        <v>74</v>
      </c>
      <c r="BI653" t="s">
        <v>74</v>
      </c>
      <c r="BJ653" t="s">
        <v>74</v>
      </c>
      <c r="BK653" t="s">
        <v>74</v>
      </c>
      <c r="BL653" t="s">
        <v>74</v>
      </c>
      <c r="BM653" t="s">
        <v>74</v>
      </c>
      <c r="BN653" t="s">
        <v>74</v>
      </c>
      <c r="BO653" t="s">
        <v>74</v>
      </c>
      <c r="BP653" t="s">
        <v>74</v>
      </c>
      <c r="BQ653" t="s">
        <v>74</v>
      </c>
      <c r="BR653" t="s">
        <v>74</v>
      </c>
      <c r="BS653" t="s">
        <v>2187</v>
      </c>
      <c r="BT653" t="str">
        <f>HYPERLINK("https%3A%2F%2Fwww.webofscience.com%2Fwos%2Fwoscc%2Ffull-record%2FWOS:000320409900014","View Full Record in Web of Science")</f>
        <v>View Full Record in Web of Science</v>
      </c>
    </row>
    <row r="654" spans="1:72" x14ac:dyDescent="0.4">
      <c r="A654" t="s">
        <v>72</v>
      </c>
      <c r="B654" t="s">
        <v>2705</v>
      </c>
      <c r="C654" t="s">
        <v>74</v>
      </c>
      <c r="D654" t="s">
        <v>74</v>
      </c>
      <c r="E654" t="s">
        <v>74</v>
      </c>
      <c r="F654" t="s">
        <v>2706</v>
      </c>
      <c r="G654" t="s">
        <v>74</v>
      </c>
      <c r="H654" t="s">
        <v>74</v>
      </c>
      <c r="I654" t="s">
        <v>2707</v>
      </c>
      <c r="J654" t="s">
        <v>1198</v>
      </c>
      <c r="K654" t="s">
        <v>74</v>
      </c>
      <c r="L654" t="s">
        <v>74</v>
      </c>
      <c r="M654" t="s">
        <v>74</v>
      </c>
      <c r="N654" t="s">
        <v>74</v>
      </c>
      <c r="O654" t="s">
        <v>74</v>
      </c>
      <c r="P654" t="s">
        <v>74</v>
      </c>
      <c r="Q654" t="s">
        <v>74</v>
      </c>
      <c r="R654" t="s">
        <v>74</v>
      </c>
      <c r="S654" t="s">
        <v>74</v>
      </c>
      <c r="T654" t="s">
        <v>74</v>
      </c>
      <c r="U654" t="s">
        <v>74</v>
      </c>
      <c r="V654" s="3" t="s">
        <v>2708</v>
      </c>
      <c r="W654" t="s">
        <v>74</v>
      </c>
      <c r="X654" t="s">
        <v>74</v>
      </c>
      <c r="Y654" t="s">
        <v>74</v>
      </c>
      <c r="Z654" t="s">
        <v>74</v>
      </c>
      <c r="AA654" t="s">
        <v>74</v>
      </c>
      <c r="AB654" t="s">
        <v>2709</v>
      </c>
      <c r="AC654" t="s">
        <v>74</v>
      </c>
      <c r="AD654" t="s">
        <v>74</v>
      </c>
      <c r="AE654" t="s">
        <v>74</v>
      </c>
      <c r="AF654" t="s">
        <v>74</v>
      </c>
      <c r="AG654" t="s">
        <v>74</v>
      </c>
      <c r="AH654" t="s">
        <v>74</v>
      </c>
      <c r="AI654" t="s">
        <v>74</v>
      </c>
      <c r="AJ654" t="s">
        <v>74</v>
      </c>
      <c r="AK654" t="s">
        <v>74</v>
      </c>
      <c r="AL654" t="s">
        <v>74</v>
      </c>
      <c r="AM654" t="s">
        <v>74</v>
      </c>
      <c r="AN654" t="s">
        <v>74</v>
      </c>
      <c r="AO654" t="s">
        <v>1202</v>
      </c>
      <c r="AP654" t="s">
        <v>1203</v>
      </c>
      <c r="AQ654" t="s">
        <v>74</v>
      </c>
      <c r="AR654" t="s">
        <v>74</v>
      </c>
      <c r="AS654" t="s">
        <v>74</v>
      </c>
      <c r="AT654" t="s">
        <v>102</v>
      </c>
      <c r="AU654">
        <v>2014</v>
      </c>
      <c r="AV654">
        <v>70</v>
      </c>
      <c r="AW654">
        <v>2</v>
      </c>
      <c r="AX654" t="s">
        <v>74</v>
      </c>
      <c r="AY654" t="s">
        <v>74</v>
      </c>
      <c r="AZ654" t="s">
        <v>74</v>
      </c>
      <c r="BA654" t="s">
        <v>74</v>
      </c>
      <c r="BB654">
        <v>157</v>
      </c>
      <c r="BC654">
        <v>170</v>
      </c>
      <c r="BD654" t="s">
        <v>74</v>
      </c>
      <c r="BE654" t="s">
        <v>2710</v>
      </c>
      <c r="BF654" t="str">
        <f>HYPERLINK("http://dx.doi.org/10.1655/HERPETOLOGICA-D-13-00073","http://dx.doi.org/10.1655/HERPETOLOGICA-D-13-00073")</f>
        <v>http://dx.doi.org/10.1655/HERPETOLOGICA-D-13-00073</v>
      </c>
      <c r="BG654" t="s">
        <v>74</v>
      </c>
      <c r="BH654" t="s">
        <v>74</v>
      </c>
      <c r="BI654" t="s">
        <v>74</v>
      </c>
      <c r="BJ654" t="s">
        <v>74</v>
      </c>
      <c r="BK654" t="s">
        <v>74</v>
      </c>
      <c r="BL654" t="s">
        <v>74</v>
      </c>
      <c r="BM654" t="s">
        <v>74</v>
      </c>
      <c r="BN654" t="s">
        <v>74</v>
      </c>
      <c r="BO654" t="s">
        <v>74</v>
      </c>
      <c r="BP654" t="s">
        <v>74</v>
      </c>
      <c r="BQ654" t="s">
        <v>74</v>
      </c>
      <c r="BR654" t="s">
        <v>74</v>
      </c>
      <c r="BS654" t="s">
        <v>2711</v>
      </c>
      <c r="BT654" t="str">
        <f>HYPERLINK("https%3A%2F%2Fwww.webofscience.com%2Fwos%2Fwoscc%2Ffull-record%2FWOS:000336047900004","View Full Record in Web of Science")</f>
        <v>View Full Record in Web of Science</v>
      </c>
    </row>
    <row r="655" spans="1:72" x14ac:dyDescent="0.4">
      <c r="A655" t="s">
        <v>72</v>
      </c>
      <c r="B655" t="s">
        <v>3989</v>
      </c>
      <c r="C655" t="s">
        <v>74</v>
      </c>
      <c r="D655" t="s">
        <v>74</v>
      </c>
      <c r="E655" t="s">
        <v>74</v>
      </c>
      <c r="F655" t="s">
        <v>3990</v>
      </c>
      <c r="G655" t="s">
        <v>74</v>
      </c>
      <c r="H655" t="s">
        <v>74</v>
      </c>
      <c r="I655" t="s">
        <v>3991</v>
      </c>
      <c r="J655" t="s">
        <v>129</v>
      </c>
      <c r="K655" t="s">
        <v>74</v>
      </c>
      <c r="L655" t="s">
        <v>74</v>
      </c>
      <c r="M655" t="s">
        <v>74</v>
      </c>
      <c r="N655" t="s">
        <v>74</v>
      </c>
      <c r="O655" t="s">
        <v>74</v>
      </c>
      <c r="P655" t="s">
        <v>74</v>
      </c>
      <c r="Q655" t="s">
        <v>74</v>
      </c>
      <c r="R655" t="s">
        <v>74</v>
      </c>
      <c r="S655" t="s">
        <v>74</v>
      </c>
      <c r="T655" t="s">
        <v>74</v>
      </c>
      <c r="U655" t="s">
        <v>74</v>
      </c>
      <c r="V655" s="3" t="s">
        <v>3992</v>
      </c>
      <c r="W655" t="s">
        <v>74</v>
      </c>
      <c r="X655" t="s">
        <v>74</v>
      </c>
      <c r="Y655" t="s">
        <v>74</v>
      </c>
      <c r="Z655" t="s">
        <v>74</v>
      </c>
      <c r="AA655" t="s">
        <v>3993</v>
      </c>
      <c r="AB655" t="s">
        <v>3994</v>
      </c>
      <c r="AC655" t="s">
        <v>74</v>
      </c>
      <c r="AD655" t="s">
        <v>74</v>
      </c>
      <c r="AE655" t="s">
        <v>74</v>
      </c>
      <c r="AF655" t="s">
        <v>74</v>
      </c>
      <c r="AG655" t="s">
        <v>74</v>
      </c>
      <c r="AH655" t="s">
        <v>74</v>
      </c>
      <c r="AI655" t="s">
        <v>74</v>
      </c>
      <c r="AJ655" t="s">
        <v>74</v>
      </c>
      <c r="AK655" t="s">
        <v>74</v>
      </c>
      <c r="AL655" t="s">
        <v>74</v>
      </c>
      <c r="AM655" t="s">
        <v>74</v>
      </c>
      <c r="AN655" t="s">
        <v>74</v>
      </c>
      <c r="AO655" t="s">
        <v>132</v>
      </c>
      <c r="AP655" t="s">
        <v>133</v>
      </c>
      <c r="AQ655" t="s">
        <v>74</v>
      </c>
      <c r="AR655" t="s">
        <v>74</v>
      </c>
      <c r="AS655" t="s">
        <v>74</v>
      </c>
      <c r="AT655" t="s">
        <v>633</v>
      </c>
      <c r="AU655">
        <v>2008</v>
      </c>
      <c r="AV655">
        <v>62</v>
      </c>
      <c r="AW655">
        <v>8</v>
      </c>
      <c r="AX655" t="s">
        <v>74</v>
      </c>
      <c r="AY655" t="s">
        <v>74</v>
      </c>
      <c r="AZ655" t="s">
        <v>74</v>
      </c>
      <c r="BA655" t="s">
        <v>74</v>
      </c>
      <c r="BB655">
        <v>1341</v>
      </c>
      <c r="BC655">
        <v>1350</v>
      </c>
      <c r="BD655" t="s">
        <v>74</v>
      </c>
      <c r="BE655" t="s">
        <v>3995</v>
      </c>
      <c r="BF655" t="str">
        <f>HYPERLINK("http://dx.doi.org/10.1007/s00265-008-0562-z","http://dx.doi.org/10.1007/s00265-008-0562-z")</f>
        <v>http://dx.doi.org/10.1007/s00265-008-0562-z</v>
      </c>
      <c r="BG655" t="s">
        <v>74</v>
      </c>
      <c r="BH655" t="s">
        <v>74</v>
      </c>
      <c r="BI655" t="s">
        <v>74</v>
      </c>
      <c r="BJ655" t="s">
        <v>74</v>
      </c>
      <c r="BK655" t="s">
        <v>74</v>
      </c>
      <c r="BL655" t="s">
        <v>74</v>
      </c>
      <c r="BM655" t="s">
        <v>74</v>
      </c>
      <c r="BN655" t="s">
        <v>74</v>
      </c>
      <c r="BO655" t="s">
        <v>74</v>
      </c>
      <c r="BP655" t="s">
        <v>74</v>
      </c>
      <c r="BQ655" t="s">
        <v>74</v>
      </c>
      <c r="BR655" t="s">
        <v>74</v>
      </c>
      <c r="BS655" t="s">
        <v>3996</v>
      </c>
      <c r="BT655" t="str">
        <f>HYPERLINK("https%3A%2F%2Fwww.webofscience.com%2Fwos%2Fwoscc%2Ffull-record%2FWOS:000255851400013","View Full Record in Web of Science")</f>
        <v>View Full Record in Web of Science</v>
      </c>
    </row>
    <row r="656" spans="1:72" x14ac:dyDescent="0.4">
      <c r="A656" t="s">
        <v>72</v>
      </c>
      <c r="B656" t="s">
        <v>7673</v>
      </c>
      <c r="C656" t="s">
        <v>74</v>
      </c>
      <c r="D656" t="s">
        <v>74</v>
      </c>
      <c r="E656" t="s">
        <v>74</v>
      </c>
      <c r="F656" t="s">
        <v>7674</v>
      </c>
      <c r="G656" t="s">
        <v>74</v>
      </c>
      <c r="H656" t="s">
        <v>74</v>
      </c>
      <c r="I656" t="s">
        <v>7675</v>
      </c>
      <c r="J656" t="s">
        <v>610</v>
      </c>
      <c r="K656" t="s">
        <v>74</v>
      </c>
      <c r="L656" t="s">
        <v>74</v>
      </c>
      <c r="M656" t="s">
        <v>74</v>
      </c>
      <c r="N656" t="s">
        <v>74</v>
      </c>
      <c r="O656" t="s">
        <v>74</v>
      </c>
      <c r="P656" t="s">
        <v>74</v>
      </c>
      <c r="Q656" t="s">
        <v>74</v>
      </c>
      <c r="R656" t="s">
        <v>74</v>
      </c>
      <c r="S656" t="s">
        <v>74</v>
      </c>
      <c r="T656" t="s">
        <v>74</v>
      </c>
      <c r="U656" t="s">
        <v>74</v>
      </c>
      <c r="V656" s="3" t="s">
        <v>7676</v>
      </c>
      <c r="W656" t="s">
        <v>74</v>
      </c>
      <c r="X656" t="s">
        <v>74</v>
      </c>
      <c r="Y656" t="s">
        <v>74</v>
      </c>
      <c r="Z656" t="s">
        <v>74</v>
      </c>
      <c r="AA656" t="s">
        <v>74</v>
      </c>
      <c r="AB656" t="s">
        <v>74</v>
      </c>
      <c r="AC656" t="s">
        <v>74</v>
      </c>
      <c r="AD656" t="s">
        <v>74</v>
      </c>
      <c r="AE656" t="s">
        <v>74</v>
      </c>
      <c r="AF656" t="s">
        <v>74</v>
      </c>
      <c r="AG656" t="s">
        <v>74</v>
      </c>
      <c r="AH656" t="s">
        <v>74</v>
      </c>
      <c r="AI656" t="s">
        <v>74</v>
      </c>
      <c r="AJ656" t="s">
        <v>74</v>
      </c>
      <c r="AK656" t="s">
        <v>74</v>
      </c>
      <c r="AL656" t="s">
        <v>74</v>
      </c>
      <c r="AM656" t="s">
        <v>74</v>
      </c>
      <c r="AN656" t="s">
        <v>74</v>
      </c>
      <c r="AO656" t="s">
        <v>614</v>
      </c>
      <c r="AP656" t="s">
        <v>615</v>
      </c>
      <c r="AQ656" t="s">
        <v>74</v>
      </c>
      <c r="AR656" t="s">
        <v>74</v>
      </c>
      <c r="AS656" t="s">
        <v>74</v>
      </c>
      <c r="AT656" t="s">
        <v>145</v>
      </c>
      <c r="AU656">
        <v>2019</v>
      </c>
      <c r="AV656">
        <v>125</v>
      </c>
      <c r="AW656">
        <v>8</v>
      </c>
      <c r="AX656" t="s">
        <v>74</v>
      </c>
      <c r="AY656" t="s">
        <v>74</v>
      </c>
      <c r="AZ656" t="s">
        <v>74</v>
      </c>
      <c r="BA656" t="s">
        <v>74</v>
      </c>
      <c r="BB656">
        <v>575</v>
      </c>
      <c r="BC656">
        <v>586</v>
      </c>
      <c r="BD656" t="s">
        <v>74</v>
      </c>
      <c r="BE656" t="s">
        <v>7677</v>
      </c>
      <c r="BF656" t="str">
        <f>HYPERLINK("http://dx.doi.org/10.1111/eth.12885","http://dx.doi.org/10.1111/eth.12885")</f>
        <v>http://dx.doi.org/10.1111/eth.12885</v>
      </c>
      <c r="BG656" t="s">
        <v>74</v>
      </c>
      <c r="BH656" t="s">
        <v>74</v>
      </c>
      <c r="BI656" t="s">
        <v>74</v>
      </c>
      <c r="BJ656" t="s">
        <v>74</v>
      </c>
      <c r="BK656" t="s">
        <v>74</v>
      </c>
      <c r="BL656" t="s">
        <v>74</v>
      </c>
      <c r="BM656" t="s">
        <v>74</v>
      </c>
      <c r="BN656" t="s">
        <v>74</v>
      </c>
      <c r="BO656" t="s">
        <v>74</v>
      </c>
      <c r="BP656" t="s">
        <v>74</v>
      </c>
      <c r="BQ656" t="s">
        <v>74</v>
      </c>
      <c r="BR656" t="s">
        <v>74</v>
      </c>
      <c r="BS656" t="s">
        <v>7678</v>
      </c>
      <c r="BT656" t="str">
        <f>HYPERLINK("https%3A%2F%2Fwww.webofscience.com%2Fwos%2Fwoscc%2Ffull-record%2FWOS:000474271600009","View Full Record in Web of Science")</f>
        <v>View Full Record in Web of Science</v>
      </c>
    </row>
    <row r="657" spans="1:72" x14ac:dyDescent="0.4">
      <c r="A657" t="s">
        <v>72</v>
      </c>
      <c r="B657" t="s">
        <v>5631</v>
      </c>
      <c r="C657" t="s">
        <v>74</v>
      </c>
      <c r="D657" t="s">
        <v>74</v>
      </c>
      <c r="E657" t="s">
        <v>74</v>
      </c>
      <c r="F657" t="s">
        <v>5632</v>
      </c>
      <c r="G657" t="s">
        <v>74</v>
      </c>
      <c r="H657" t="s">
        <v>74</v>
      </c>
      <c r="I657" t="s">
        <v>5633</v>
      </c>
      <c r="J657" t="s">
        <v>1549</v>
      </c>
      <c r="K657" t="s">
        <v>74</v>
      </c>
      <c r="L657" t="s">
        <v>74</v>
      </c>
      <c r="M657" t="s">
        <v>74</v>
      </c>
      <c r="N657" t="s">
        <v>74</v>
      </c>
      <c r="O657" t="s">
        <v>74</v>
      </c>
      <c r="P657" t="s">
        <v>74</v>
      </c>
      <c r="Q657" t="s">
        <v>74</v>
      </c>
      <c r="R657" t="s">
        <v>74</v>
      </c>
      <c r="S657" t="s">
        <v>74</v>
      </c>
      <c r="T657" t="s">
        <v>74</v>
      </c>
      <c r="U657" t="s">
        <v>74</v>
      </c>
      <c r="V657" s="3" t="s">
        <v>5634</v>
      </c>
      <c r="W657" t="s">
        <v>74</v>
      </c>
      <c r="X657" t="s">
        <v>74</v>
      </c>
      <c r="Y657" t="s">
        <v>74</v>
      </c>
      <c r="Z657" t="s">
        <v>74</v>
      </c>
      <c r="AA657" t="s">
        <v>74</v>
      </c>
      <c r="AB657" t="s">
        <v>5635</v>
      </c>
      <c r="AC657" t="s">
        <v>74</v>
      </c>
      <c r="AD657" t="s">
        <v>74</v>
      </c>
      <c r="AE657" t="s">
        <v>74</v>
      </c>
      <c r="AF657" t="s">
        <v>74</v>
      </c>
      <c r="AG657" t="s">
        <v>74</v>
      </c>
      <c r="AH657" t="s">
        <v>74</v>
      </c>
      <c r="AI657" t="s">
        <v>74</v>
      </c>
      <c r="AJ657" t="s">
        <v>74</v>
      </c>
      <c r="AK657" t="s">
        <v>74</v>
      </c>
      <c r="AL657" t="s">
        <v>74</v>
      </c>
      <c r="AM657" t="s">
        <v>74</v>
      </c>
      <c r="AN657" t="s">
        <v>74</v>
      </c>
      <c r="AO657" t="s">
        <v>1551</v>
      </c>
      <c r="AP657" t="s">
        <v>74</v>
      </c>
      <c r="AQ657" t="s">
        <v>74</v>
      </c>
      <c r="AR657" t="s">
        <v>74</v>
      </c>
      <c r="AS657" t="s">
        <v>74</v>
      </c>
      <c r="AT657" t="s">
        <v>102</v>
      </c>
      <c r="AU657">
        <v>2012</v>
      </c>
      <c r="AV657">
        <v>37</v>
      </c>
      <c r="AW657">
        <v>2</v>
      </c>
      <c r="AX657" t="s">
        <v>74</v>
      </c>
      <c r="AY657" t="s">
        <v>74</v>
      </c>
      <c r="AZ657" t="s">
        <v>74</v>
      </c>
      <c r="BA657" t="s">
        <v>74</v>
      </c>
      <c r="BB657">
        <v>109</v>
      </c>
      <c r="BC657">
        <v>118</v>
      </c>
      <c r="BD657" t="s">
        <v>74</v>
      </c>
      <c r="BE657" t="s">
        <v>5636</v>
      </c>
      <c r="BF657" t="str">
        <f>HYPERLINK("http://dx.doi.org/10.1111/j.1365-3032.2011.00812.x","http://dx.doi.org/10.1111/j.1365-3032.2011.00812.x")</f>
        <v>http://dx.doi.org/10.1111/j.1365-3032.2011.00812.x</v>
      </c>
      <c r="BG657" t="s">
        <v>74</v>
      </c>
      <c r="BH657" t="s">
        <v>74</v>
      </c>
      <c r="BI657" t="s">
        <v>74</v>
      </c>
      <c r="BJ657" t="s">
        <v>74</v>
      </c>
      <c r="BK657" t="s">
        <v>74</v>
      </c>
      <c r="BL657" t="s">
        <v>74</v>
      </c>
      <c r="BM657" t="s">
        <v>74</v>
      </c>
      <c r="BN657" t="s">
        <v>74</v>
      </c>
      <c r="BO657" t="s">
        <v>74</v>
      </c>
      <c r="BP657" t="s">
        <v>74</v>
      </c>
      <c r="BQ657" t="s">
        <v>74</v>
      </c>
      <c r="BR657" t="s">
        <v>74</v>
      </c>
      <c r="BS657" t="s">
        <v>5637</v>
      </c>
      <c r="BT657" t="str">
        <f>HYPERLINK("https%3A%2F%2Fwww.webofscience.com%2Fwos%2Fwoscc%2Ffull-record%2FWOS:000304091500002","View Full Record in Web of Science")</f>
        <v>View Full Record in Web of Science</v>
      </c>
    </row>
    <row r="658" spans="1:72" x14ac:dyDescent="0.4">
      <c r="A658" t="s">
        <v>72</v>
      </c>
      <c r="B658" t="s">
        <v>1102</v>
      </c>
      <c r="C658" t="s">
        <v>74</v>
      </c>
      <c r="D658" t="s">
        <v>74</v>
      </c>
      <c r="E658" t="s">
        <v>74</v>
      </c>
      <c r="F658" t="s">
        <v>1103</v>
      </c>
      <c r="G658" t="s">
        <v>74</v>
      </c>
      <c r="H658" t="s">
        <v>74</v>
      </c>
      <c r="I658" t="s">
        <v>1104</v>
      </c>
      <c r="J658" t="s">
        <v>1044</v>
      </c>
      <c r="K658" t="s">
        <v>74</v>
      </c>
      <c r="L658" t="s">
        <v>74</v>
      </c>
      <c r="M658" t="s">
        <v>74</v>
      </c>
      <c r="N658" t="s">
        <v>74</v>
      </c>
      <c r="O658" t="s">
        <v>74</v>
      </c>
      <c r="P658" t="s">
        <v>74</v>
      </c>
      <c r="Q658" t="s">
        <v>74</v>
      </c>
      <c r="R658" t="s">
        <v>74</v>
      </c>
      <c r="S658" t="s">
        <v>74</v>
      </c>
      <c r="T658" t="s">
        <v>74</v>
      </c>
      <c r="U658" t="s">
        <v>74</v>
      </c>
      <c r="V658" s="3" t="s">
        <v>1105</v>
      </c>
      <c r="W658" t="s">
        <v>74</v>
      </c>
      <c r="X658" t="s">
        <v>74</v>
      </c>
      <c r="Y658" t="s">
        <v>74</v>
      </c>
      <c r="Z658" t="s">
        <v>74</v>
      </c>
      <c r="AA658" t="s">
        <v>1106</v>
      </c>
      <c r="AB658" t="s">
        <v>1107</v>
      </c>
      <c r="AC658" t="s">
        <v>74</v>
      </c>
      <c r="AD658" t="s">
        <v>74</v>
      </c>
      <c r="AE658" t="s">
        <v>74</v>
      </c>
      <c r="AF658" t="s">
        <v>74</v>
      </c>
      <c r="AG658" t="s">
        <v>74</v>
      </c>
      <c r="AH658" t="s">
        <v>74</v>
      </c>
      <c r="AI658" t="s">
        <v>74</v>
      </c>
      <c r="AJ658" t="s">
        <v>74</v>
      </c>
      <c r="AK658" t="s">
        <v>74</v>
      </c>
      <c r="AL658" t="s">
        <v>74</v>
      </c>
      <c r="AM658" t="s">
        <v>74</v>
      </c>
      <c r="AN658" t="s">
        <v>74</v>
      </c>
      <c r="AO658" t="s">
        <v>1048</v>
      </c>
      <c r="AP658" t="s">
        <v>74</v>
      </c>
      <c r="AQ658" t="s">
        <v>74</v>
      </c>
      <c r="AR658" t="s">
        <v>74</v>
      </c>
      <c r="AS658" t="s">
        <v>74</v>
      </c>
      <c r="AT658" t="s">
        <v>145</v>
      </c>
      <c r="AU658">
        <v>2010</v>
      </c>
      <c r="AV658">
        <v>19</v>
      </c>
      <c r="AW658">
        <v>16</v>
      </c>
      <c r="AX658" t="s">
        <v>74</v>
      </c>
      <c r="AY658" t="s">
        <v>74</v>
      </c>
      <c r="AZ658" t="s">
        <v>74</v>
      </c>
      <c r="BA658" t="s">
        <v>74</v>
      </c>
      <c r="BB658">
        <v>3285</v>
      </c>
      <c r="BC658">
        <v>3300</v>
      </c>
      <c r="BD658" t="s">
        <v>74</v>
      </c>
      <c r="BE658" t="s">
        <v>1108</v>
      </c>
      <c r="BF658" t="str">
        <f>HYPERLINK("http://dx.doi.org/10.1111/j.1365-294X.2010.04751.x","http://dx.doi.org/10.1111/j.1365-294X.2010.04751.x")</f>
        <v>http://dx.doi.org/10.1111/j.1365-294X.2010.04751.x</v>
      </c>
      <c r="BG658" t="s">
        <v>74</v>
      </c>
      <c r="BH658" t="s">
        <v>74</v>
      </c>
      <c r="BI658" t="s">
        <v>74</v>
      </c>
      <c r="BJ658" t="s">
        <v>74</v>
      </c>
      <c r="BK658" t="s">
        <v>74</v>
      </c>
      <c r="BL658" t="s">
        <v>74</v>
      </c>
      <c r="BM658" t="s">
        <v>74</v>
      </c>
      <c r="BN658">
        <v>20659245</v>
      </c>
      <c r="BO658" t="s">
        <v>74</v>
      </c>
      <c r="BP658" t="s">
        <v>74</v>
      </c>
      <c r="BQ658" t="s">
        <v>74</v>
      </c>
      <c r="BR658" t="s">
        <v>74</v>
      </c>
      <c r="BS658" t="s">
        <v>1109</v>
      </c>
      <c r="BT658" t="str">
        <f>HYPERLINK("https%3A%2F%2Fwww.webofscience.com%2Fwos%2Fwoscc%2Ffull-record%2FWOS:000208393200001","View Full Record in Web of Science")</f>
        <v>View Full Record in Web of Science</v>
      </c>
    </row>
    <row r="659" spans="1:72" x14ac:dyDescent="0.4">
      <c r="A659" t="s">
        <v>72</v>
      </c>
      <c r="B659" t="s">
        <v>3448</v>
      </c>
      <c r="C659" t="s">
        <v>74</v>
      </c>
      <c r="D659" t="s">
        <v>74</v>
      </c>
      <c r="E659" t="s">
        <v>74</v>
      </c>
      <c r="F659" t="s">
        <v>3449</v>
      </c>
      <c r="G659" t="s">
        <v>74</v>
      </c>
      <c r="H659" t="s">
        <v>74</v>
      </c>
      <c r="I659" t="s">
        <v>3450</v>
      </c>
      <c r="J659" t="s">
        <v>3451</v>
      </c>
      <c r="K659" t="s">
        <v>74</v>
      </c>
      <c r="L659" t="s">
        <v>74</v>
      </c>
      <c r="M659" t="s">
        <v>74</v>
      </c>
      <c r="N659" t="s">
        <v>74</v>
      </c>
      <c r="O659" t="s">
        <v>74</v>
      </c>
      <c r="P659" t="s">
        <v>74</v>
      </c>
      <c r="Q659" t="s">
        <v>74</v>
      </c>
      <c r="R659" t="s">
        <v>74</v>
      </c>
      <c r="S659" t="s">
        <v>74</v>
      </c>
      <c r="T659" t="s">
        <v>74</v>
      </c>
      <c r="U659" t="s">
        <v>74</v>
      </c>
      <c r="V659" s="3" t="s">
        <v>3452</v>
      </c>
      <c r="W659" t="s">
        <v>74</v>
      </c>
      <c r="X659" t="s">
        <v>74</v>
      </c>
      <c r="Y659" t="s">
        <v>74</v>
      </c>
      <c r="Z659" t="s">
        <v>74</v>
      </c>
      <c r="AA659" t="s">
        <v>3453</v>
      </c>
      <c r="AB659" t="s">
        <v>1610</v>
      </c>
      <c r="AC659" t="s">
        <v>74</v>
      </c>
      <c r="AD659" t="s">
        <v>74</v>
      </c>
      <c r="AE659" t="s">
        <v>74</v>
      </c>
      <c r="AF659" t="s">
        <v>74</v>
      </c>
      <c r="AG659" t="s">
        <v>74</v>
      </c>
      <c r="AH659" t="s">
        <v>74</v>
      </c>
      <c r="AI659" t="s">
        <v>74</v>
      </c>
      <c r="AJ659" t="s">
        <v>74</v>
      </c>
      <c r="AK659" t="s">
        <v>74</v>
      </c>
      <c r="AL659" t="s">
        <v>74</v>
      </c>
      <c r="AM659" t="s">
        <v>74</v>
      </c>
      <c r="AN659" t="s">
        <v>74</v>
      </c>
      <c r="AO659" t="s">
        <v>3454</v>
      </c>
      <c r="AP659" t="s">
        <v>74</v>
      </c>
      <c r="AQ659" t="s">
        <v>74</v>
      </c>
      <c r="AR659" t="s">
        <v>74</v>
      </c>
      <c r="AS659" t="s">
        <v>74</v>
      </c>
      <c r="AT659" t="s">
        <v>213</v>
      </c>
      <c r="AU659">
        <v>2010</v>
      </c>
      <c r="AV659">
        <v>81</v>
      </c>
      <c r="AW659">
        <v>3</v>
      </c>
      <c r="AX659" t="s">
        <v>74</v>
      </c>
      <c r="AY659" t="s">
        <v>74</v>
      </c>
      <c r="AZ659" t="s">
        <v>74</v>
      </c>
      <c r="BA659" t="s">
        <v>74</v>
      </c>
      <c r="BB659">
        <v>247</v>
      </c>
      <c r="BC659">
        <v>250</v>
      </c>
      <c r="BD659" t="s">
        <v>3455</v>
      </c>
      <c r="BE659" t="s">
        <v>3456</v>
      </c>
      <c r="BF659" t="str">
        <f>HYPERLINK("http://dx.doi.org/10.2989/00306525.2010.519864","http://dx.doi.org/10.2989/00306525.2010.519864")</f>
        <v>http://dx.doi.org/10.2989/00306525.2010.519864</v>
      </c>
      <c r="BG659" t="s">
        <v>74</v>
      </c>
      <c r="BH659" t="s">
        <v>74</v>
      </c>
      <c r="BI659" t="s">
        <v>74</v>
      </c>
      <c r="BJ659" t="s">
        <v>74</v>
      </c>
      <c r="BK659" t="s">
        <v>74</v>
      </c>
      <c r="BL659" t="s">
        <v>74</v>
      </c>
      <c r="BM659" t="s">
        <v>74</v>
      </c>
      <c r="BN659" t="s">
        <v>74</v>
      </c>
      <c r="BO659" t="s">
        <v>74</v>
      </c>
      <c r="BP659" t="s">
        <v>74</v>
      </c>
      <c r="BQ659" t="s">
        <v>74</v>
      </c>
      <c r="BR659" t="s">
        <v>74</v>
      </c>
      <c r="BS659" t="s">
        <v>3457</v>
      </c>
      <c r="BT659" t="str">
        <f>HYPERLINK("https%3A%2F%2Fwww.webofscience.com%2Fwos%2Fwoscc%2Ffull-record%2FWOS:000284229300012","View Full Record in Web of Science")</f>
        <v>View Full Record in Web of Science</v>
      </c>
    </row>
    <row r="660" spans="1:72" x14ac:dyDescent="0.4">
      <c r="A660" t="s">
        <v>72</v>
      </c>
      <c r="B660" t="s">
        <v>2121</v>
      </c>
      <c r="C660" t="s">
        <v>74</v>
      </c>
      <c r="D660" t="s">
        <v>74</v>
      </c>
      <c r="E660" t="s">
        <v>74</v>
      </c>
      <c r="F660" t="s">
        <v>2121</v>
      </c>
      <c r="G660" t="s">
        <v>74</v>
      </c>
      <c r="H660" t="s">
        <v>74</v>
      </c>
      <c r="I660" t="s">
        <v>2122</v>
      </c>
      <c r="J660" t="s">
        <v>77</v>
      </c>
      <c r="K660" t="s">
        <v>74</v>
      </c>
      <c r="L660" t="s">
        <v>74</v>
      </c>
      <c r="M660" t="s">
        <v>74</v>
      </c>
      <c r="N660" t="s">
        <v>74</v>
      </c>
      <c r="O660" t="s">
        <v>74</v>
      </c>
      <c r="P660" t="s">
        <v>74</v>
      </c>
      <c r="Q660" t="s">
        <v>74</v>
      </c>
      <c r="R660" t="s">
        <v>74</v>
      </c>
      <c r="S660" t="s">
        <v>74</v>
      </c>
      <c r="T660" t="s">
        <v>74</v>
      </c>
      <c r="U660" t="s">
        <v>74</v>
      </c>
      <c r="V660" s="3" t="s">
        <v>2123</v>
      </c>
      <c r="W660" t="s">
        <v>74</v>
      </c>
      <c r="X660" t="s">
        <v>74</v>
      </c>
      <c r="Y660" t="s">
        <v>74</v>
      </c>
      <c r="Z660" t="s">
        <v>74</v>
      </c>
      <c r="AA660" t="s">
        <v>2124</v>
      </c>
      <c r="AB660" t="s">
        <v>2125</v>
      </c>
      <c r="AC660" t="s">
        <v>74</v>
      </c>
      <c r="AD660" t="s">
        <v>74</v>
      </c>
      <c r="AE660" t="s">
        <v>74</v>
      </c>
      <c r="AF660" t="s">
        <v>74</v>
      </c>
      <c r="AG660" t="s">
        <v>74</v>
      </c>
      <c r="AH660" t="s">
        <v>74</v>
      </c>
      <c r="AI660" t="s">
        <v>74</v>
      </c>
      <c r="AJ660" t="s">
        <v>74</v>
      </c>
      <c r="AK660" t="s">
        <v>74</v>
      </c>
      <c r="AL660" t="s">
        <v>74</v>
      </c>
      <c r="AM660" t="s">
        <v>74</v>
      </c>
      <c r="AN660" t="s">
        <v>74</v>
      </c>
      <c r="AO660" t="s">
        <v>81</v>
      </c>
      <c r="AP660" t="s">
        <v>74</v>
      </c>
      <c r="AQ660" t="s">
        <v>74</v>
      </c>
      <c r="AR660" t="s">
        <v>74</v>
      </c>
      <c r="AS660" t="s">
        <v>74</v>
      </c>
      <c r="AT660" t="s">
        <v>352</v>
      </c>
      <c r="AU660">
        <v>1991</v>
      </c>
      <c r="AV660">
        <v>118</v>
      </c>
      <c r="AW660" t="s">
        <v>74</v>
      </c>
      <c r="AX660" t="s">
        <v>1276</v>
      </c>
      <c r="AY660" t="s">
        <v>74</v>
      </c>
      <c r="AZ660" t="s">
        <v>74</v>
      </c>
      <c r="BA660" t="s">
        <v>74</v>
      </c>
      <c r="BB660">
        <v>214</v>
      </c>
      <c r="BC660">
        <v>234</v>
      </c>
      <c r="BD660" t="s">
        <v>74</v>
      </c>
      <c r="BE660" t="s">
        <v>2126</v>
      </c>
      <c r="BF660" t="str">
        <f>HYPERLINK("http://dx.doi.org/10.1163/156853991X00292","http://dx.doi.org/10.1163/156853991X00292")</f>
        <v>http://dx.doi.org/10.1163/156853991X00292</v>
      </c>
      <c r="BG660" t="s">
        <v>74</v>
      </c>
      <c r="BH660" t="s">
        <v>74</v>
      </c>
      <c r="BI660" t="s">
        <v>74</v>
      </c>
      <c r="BJ660" t="s">
        <v>74</v>
      </c>
      <c r="BK660" t="s">
        <v>74</v>
      </c>
      <c r="BL660" t="s">
        <v>74</v>
      </c>
      <c r="BM660" t="s">
        <v>74</v>
      </c>
      <c r="BN660" t="s">
        <v>74</v>
      </c>
      <c r="BO660" t="s">
        <v>74</v>
      </c>
      <c r="BP660" t="s">
        <v>74</v>
      </c>
      <c r="BQ660" t="s">
        <v>74</v>
      </c>
      <c r="BR660" t="s">
        <v>74</v>
      </c>
      <c r="BS660" t="s">
        <v>2127</v>
      </c>
      <c r="BT660" t="str">
        <f>HYPERLINK("https%3A%2F%2Fwww.webofscience.com%2Fwos%2Fwoscc%2Ffull-record%2FWOS:A1991GT42800004","View Full Record in Web of Science")</f>
        <v>View Full Record in Web of Science</v>
      </c>
    </row>
    <row r="661" spans="1:72" x14ac:dyDescent="0.4">
      <c r="A661" t="s">
        <v>72</v>
      </c>
      <c r="B661" t="s">
        <v>7943</v>
      </c>
      <c r="C661" t="s">
        <v>74</v>
      </c>
      <c r="D661" t="s">
        <v>74</v>
      </c>
      <c r="E661" t="s">
        <v>74</v>
      </c>
      <c r="F661" t="s">
        <v>7943</v>
      </c>
      <c r="G661" t="s">
        <v>74</v>
      </c>
      <c r="H661" t="s">
        <v>74</v>
      </c>
      <c r="I661" t="s">
        <v>7944</v>
      </c>
      <c r="J661" t="s">
        <v>5065</v>
      </c>
      <c r="K661" t="s">
        <v>74</v>
      </c>
      <c r="L661" t="s">
        <v>74</v>
      </c>
      <c r="M661" t="s">
        <v>74</v>
      </c>
      <c r="N661" t="s">
        <v>74</v>
      </c>
      <c r="O661" t="s">
        <v>7945</v>
      </c>
      <c r="P661" t="s">
        <v>7946</v>
      </c>
      <c r="Q661" t="s">
        <v>7947</v>
      </c>
      <c r="R661" t="s">
        <v>7948</v>
      </c>
      <c r="S661" t="s">
        <v>7949</v>
      </c>
      <c r="T661" t="s">
        <v>74</v>
      </c>
      <c r="U661" t="s">
        <v>74</v>
      </c>
      <c r="V661" s="3" t="s">
        <v>7950</v>
      </c>
      <c r="W661" t="s">
        <v>74</v>
      </c>
      <c r="X661" t="s">
        <v>74</v>
      </c>
      <c r="Y661" t="s">
        <v>74</v>
      </c>
      <c r="Z661" t="s">
        <v>74</v>
      </c>
      <c r="AA661" t="s">
        <v>2124</v>
      </c>
      <c r="AB661" t="s">
        <v>74</v>
      </c>
      <c r="AC661" t="s">
        <v>74</v>
      </c>
      <c r="AD661" t="s">
        <v>74</v>
      </c>
      <c r="AE661" t="s">
        <v>74</v>
      </c>
      <c r="AF661" t="s">
        <v>74</v>
      </c>
      <c r="AG661" t="s">
        <v>74</v>
      </c>
      <c r="AH661" t="s">
        <v>74</v>
      </c>
      <c r="AI661" t="s">
        <v>74</v>
      </c>
      <c r="AJ661" t="s">
        <v>74</v>
      </c>
      <c r="AK661" t="s">
        <v>74</v>
      </c>
      <c r="AL661" t="s">
        <v>74</v>
      </c>
      <c r="AM661" t="s">
        <v>74</v>
      </c>
      <c r="AN661" t="s">
        <v>74</v>
      </c>
      <c r="AO661" t="s">
        <v>5068</v>
      </c>
      <c r="AP661" t="s">
        <v>74</v>
      </c>
      <c r="AQ661" t="s">
        <v>74</v>
      </c>
      <c r="AR661" t="s">
        <v>74</v>
      </c>
      <c r="AS661" t="s">
        <v>74</v>
      </c>
      <c r="AT661" t="s">
        <v>74</v>
      </c>
      <c r="AU661">
        <v>1993</v>
      </c>
      <c r="AV661">
        <v>23</v>
      </c>
      <c r="AW661" t="s">
        <v>3743</v>
      </c>
      <c r="AX661" t="s">
        <v>74</v>
      </c>
      <c r="AY661" t="s">
        <v>74</v>
      </c>
      <c r="AZ661" t="s">
        <v>74</v>
      </c>
      <c r="BA661" t="s">
        <v>74</v>
      </c>
      <c r="BB661">
        <v>29</v>
      </c>
      <c r="BC661">
        <v>44</v>
      </c>
      <c r="BD661" t="s">
        <v>74</v>
      </c>
      <c r="BE661" t="s">
        <v>7951</v>
      </c>
      <c r="BF661" t="str">
        <f>HYPERLINK("http://dx.doi.org/10.1080/10236249309378855","http://dx.doi.org/10.1080/10236249309378855")</f>
        <v>http://dx.doi.org/10.1080/10236249309378855</v>
      </c>
      <c r="BG661" t="s">
        <v>74</v>
      </c>
      <c r="BH661" t="s">
        <v>74</v>
      </c>
      <c r="BI661" t="s">
        <v>74</v>
      </c>
      <c r="BJ661" t="s">
        <v>74</v>
      </c>
      <c r="BK661" t="s">
        <v>74</v>
      </c>
      <c r="BL661" t="s">
        <v>74</v>
      </c>
      <c r="BM661" t="s">
        <v>74</v>
      </c>
      <c r="BN661" t="s">
        <v>74</v>
      </c>
      <c r="BO661" t="s">
        <v>74</v>
      </c>
      <c r="BP661" t="s">
        <v>74</v>
      </c>
      <c r="BQ661" t="s">
        <v>74</v>
      </c>
      <c r="BR661" t="s">
        <v>74</v>
      </c>
      <c r="BS661" t="s">
        <v>7952</v>
      </c>
      <c r="BT661" t="str">
        <f>HYPERLINK("https%3A%2F%2Fwww.webofscience.com%2Fwos%2Fwoscc%2Ffull-record%2FWOS:A1993MN22500006","View Full Record in Web of Science")</f>
        <v>View Full Record in Web of Science</v>
      </c>
    </row>
    <row r="662" spans="1:72" x14ac:dyDescent="0.4">
      <c r="A662" t="s">
        <v>72</v>
      </c>
      <c r="B662" t="s">
        <v>7220</v>
      </c>
      <c r="C662" t="s">
        <v>74</v>
      </c>
      <c r="D662" t="s">
        <v>74</v>
      </c>
      <c r="E662" t="s">
        <v>74</v>
      </c>
      <c r="F662" t="s">
        <v>7221</v>
      </c>
      <c r="G662" t="s">
        <v>74</v>
      </c>
      <c r="H662" t="s">
        <v>74</v>
      </c>
      <c r="I662" t="s">
        <v>7222</v>
      </c>
      <c r="J662" t="s">
        <v>1656</v>
      </c>
      <c r="K662" t="s">
        <v>74</v>
      </c>
      <c r="L662" t="s">
        <v>74</v>
      </c>
      <c r="M662" t="s">
        <v>74</v>
      </c>
      <c r="N662" t="s">
        <v>74</v>
      </c>
      <c r="O662" t="s">
        <v>74</v>
      </c>
      <c r="P662" t="s">
        <v>74</v>
      </c>
      <c r="Q662" t="s">
        <v>74</v>
      </c>
      <c r="R662" t="s">
        <v>74</v>
      </c>
      <c r="S662" t="s">
        <v>74</v>
      </c>
      <c r="T662" t="s">
        <v>74</v>
      </c>
      <c r="U662" t="s">
        <v>74</v>
      </c>
      <c r="V662" s="3" t="s">
        <v>7223</v>
      </c>
      <c r="W662" t="s">
        <v>74</v>
      </c>
      <c r="X662" t="s">
        <v>74</v>
      </c>
      <c r="Y662" t="s">
        <v>74</v>
      </c>
      <c r="Z662" t="s">
        <v>74</v>
      </c>
      <c r="AA662" t="s">
        <v>7224</v>
      </c>
      <c r="AB662" t="s">
        <v>7225</v>
      </c>
      <c r="AC662" t="s">
        <v>74</v>
      </c>
      <c r="AD662" t="s">
        <v>74</v>
      </c>
      <c r="AE662" t="s">
        <v>74</v>
      </c>
      <c r="AF662" t="s">
        <v>74</v>
      </c>
      <c r="AG662" t="s">
        <v>74</v>
      </c>
      <c r="AH662" t="s">
        <v>74</v>
      </c>
      <c r="AI662" t="s">
        <v>74</v>
      </c>
      <c r="AJ662" t="s">
        <v>74</v>
      </c>
      <c r="AK662" t="s">
        <v>74</v>
      </c>
      <c r="AL662" t="s">
        <v>74</v>
      </c>
      <c r="AM662" t="s">
        <v>74</v>
      </c>
      <c r="AN662" t="s">
        <v>74</v>
      </c>
      <c r="AO662" t="s">
        <v>1658</v>
      </c>
      <c r="AP662" t="s">
        <v>1659</v>
      </c>
      <c r="AQ662" t="s">
        <v>74</v>
      </c>
      <c r="AR662" t="s">
        <v>74</v>
      </c>
      <c r="AS662" t="s">
        <v>74</v>
      </c>
      <c r="AT662" t="s">
        <v>2492</v>
      </c>
      <c r="AU662">
        <v>2021</v>
      </c>
      <c r="AV662">
        <v>5072</v>
      </c>
      <c r="AW662">
        <v>3</v>
      </c>
      <c r="AX662" t="s">
        <v>74</v>
      </c>
      <c r="AY662" t="s">
        <v>74</v>
      </c>
      <c r="AZ662" t="s">
        <v>74</v>
      </c>
      <c r="BA662" t="s">
        <v>74</v>
      </c>
      <c r="BB662">
        <v>201</v>
      </c>
      <c r="BC662">
        <v>237</v>
      </c>
      <c r="BD662" t="s">
        <v>74</v>
      </c>
      <c r="BE662" t="s">
        <v>7226</v>
      </c>
      <c r="BF662" t="str">
        <f>HYPERLINK("http://dx.doi.org/10.11646/zootaxa.5072.3.1","http://dx.doi.org/10.11646/zootaxa.5072.3.1")</f>
        <v>http://dx.doi.org/10.11646/zootaxa.5072.3.1</v>
      </c>
      <c r="BG662" t="s">
        <v>74</v>
      </c>
      <c r="BH662" t="s">
        <v>74</v>
      </c>
      <c r="BI662" t="s">
        <v>74</v>
      </c>
      <c r="BJ662" t="s">
        <v>74</v>
      </c>
      <c r="BK662" t="s">
        <v>74</v>
      </c>
      <c r="BL662" t="s">
        <v>74</v>
      </c>
      <c r="BM662" t="s">
        <v>74</v>
      </c>
      <c r="BN662">
        <v>35390870</v>
      </c>
      <c r="BO662" t="s">
        <v>74</v>
      </c>
      <c r="BP662" t="s">
        <v>74</v>
      </c>
      <c r="BQ662" t="s">
        <v>74</v>
      </c>
      <c r="BR662" t="s">
        <v>74</v>
      </c>
      <c r="BS662" t="s">
        <v>7227</v>
      </c>
      <c r="BT662" t="str">
        <f>HYPERLINK("https%3A%2F%2Fwww.webofscience.com%2Fwos%2Fwoscc%2Ffull-record%2FWOS:000725866700001","View Full Record in Web of Science")</f>
        <v>View Full Record in Web of Science</v>
      </c>
    </row>
    <row r="663" spans="1:72" x14ac:dyDescent="0.4">
      <c r="A663" t="s">
        <v>72</v>
      </c>
      <c r="B663" t="s">
        <v>4548</v>
      </c>
      <c r="C663" t="s">
        <v>74</v>
      </c>
      <c r="D663" t="s">
        <v>74</v>
      </c>
      <c r="E663" t="s">
        <v>74</v>
      </c>
      <c r="F663" t="s">
        <v>4549</v>
      </c>
      <c r="G663" t="s">
        <v>74</v>
      </c>
      <c r="H663" t="s">
        <v>74</v>
      </c>
      <c r="I663" t="s">
        <v>4550</v>
      </c>
      <c r="J663" t="s">
        <v>4551</v>
      </c>
      <c r="K663" t="s">
        <v>74</v>
      </c>
      <c r="L663" t="s">
        <v>74</v>
      </c>
      <c r="M663" t="s">
        <v>74</v>
      </c>
      <c r="N663" t="s">
        <v>74</v>
      </c>
      <c r="O663" t="s">
        <v>74</v>
      </c>
      <c r="P663" t="s">
        <v>74</v>
      </c>
      <c r="Q663" t="s">
        <v>74</v>
      </c>
      <c r="R663" t="s">
        <v>74</v>
      </c>
      <c r="S663" t="s">
        <v>74</v>
      </c>
      <c r="T663" t="s">
        <v>74</v>
      </c>
      <c r="U663" t="s">
        <v>74</v>
      </c>
      <c r="V663" s="3" t="s">
        <v>4552</v>
      </c>
      <c r="W663" t="s">
        <v>74</v>
      </c>
      <c r="X663" t="s">
        <v>74</v>
      </c>
      <c r="Y663" t="s">
        <v>74</v>
      </c>
      <c r="Z663" t="s">
        <v>74</v>
      </c>
      <c r="AA663" t="s">
        <v>4553</v>
      </c>
      <c r="AB663" t="s">
        <v>4554</v>
      </c>
      <c r="AC663" t="s">
        <v>74</v>
      </c>
      <c r="AD663" t="s">
        <v>74</v>
      </c>
      <c r="AE663" t="s">
        <v>74</v>
      </c>
      <c r="AF663" t="s">
        <v>74</v>
      </c>
      <c r="AG663" t="s">
        <v>74</v>
      </c>
      <c r="AH663" t="s">
        <v>74</v>
      </c>
      <c r="AI663" t="s">
        <v>74</v>
      </c>
      <c r="AJ663" t="s">
        <v>74</v>
      </c>
      <c r="AK663" t="s">
        <v>74</v>
      </c>
      <c r="AL663" t="s">
        <v>74</v>
      </c>
      <c r="AM663" t="s">
        <v>74</v>
      </c>
      <c r="AN663" t="s">
        <v>74</v>
      </c>
      <c r="AO663" t="s">
        <v>4555</v>
      </c>
      <c r="AP663" t="s">
        <v>4556</v>
      </c>
      <c r="AQ663" t="s">
        <v>74</v>
      </c>
      <c r="AR663" t="s">
        <v>74</v>
      </c>
      <c r="AS663" t="s">
        <v>74</v>
      </c>
      <c r="AT663" t="s">
        <v>4557</v>
      </c>
      <c r="AU663">
        <v>2023</v>
      </c>
      <c r="AV663">
        <v>577</v>
      </c>
      <c r="AW663" t="s">
        <v>74</v>
      </c>
      <c r="AX663" t="s">
        <v>74</v>
      </c>
      <c r="AY663" t="s">
        <v>74</v>
      </c>
      <c r="AZ663" t="s">
        <v>74</v>
      </c>
      <c r="BA663" t="s">
        <v>74</v>
      </c>
      <c r="BB663" t="s">
        <v>74</v>
      </c>
      <c r="BC663" t="s">
        <v>74</v>
      </c>
      <c r="BD663">
        <v>739980</v>
      </c>
      <c r="BE663" t="s">
        <v>4558</v>
      </c>
      <c r="BF663" t="str">
        <f>HYPERLINK("http://dx.doi.org/10.1016/j.aquaculture.2023.739980","http://dx.doi.org/10.1016/j.aquaculture.2023.739980")</f>
        <v>http://dx.doi.org/10.1016/j.aquaculture.2023.739980</v>
      </c>
      <c r="BG663" t="s">
        <v>74</v>
      </c>
      <c r="BH663" t="s">
        <v>4559</v>
      </c>
      <c r="BI663" t="s">
        <v>74</v>
      </c>
      <c r="BJ663" t="s">
        <v>74</v>
      </c>
      <c r="BK663" t="s">
        <v>74</v>
      </c>
      <c r="BL663" t="s">
        <v>74</v>
      </c>
      <c r="BM663" t="s">
        <v>74</v>
      </c>
      <c r="BN663" t="s">
        <v>74</v>
      </c>
      <c r="BO663" t="s">
        <v>74</v>
      </c>
      <c r="BP663" t="s">
        <v>74</v>
      </c>
      <c r="BQ663" t="s">
        <v>74</v>
      </c>
      <c r="BR663" t="s">
        <v>74</v>
      </c>
      <c r="BS663" t="s">
        <v>4560</v>
      </c>
      <c r="BT663" t="str">
        <f>HYPERLINK("https%3A%2F%2Fwww.webofscience.com%2Fwos%2Fwoscc%2Ffull-record%2FWOS:001065191600001","View Full Record in Web of Science")</f>
        <v>View Full Record in Web of Science</v>
      </c>
    </row>
    <row r="664" spans="1:72" x14ac:dyDescent="0.4">
      <c r="A664" t="s">
        <v>72</v>
      </c>
      <c r="B664" t="s">
        <v>1346</v>
      </c>
      <c r="C664" t="s">
        <v>74</v>
      </c>
      <c r="D664" t="s">
        <v>74</v>
      </c>
      <c r="E664" t="s">
        <v>74</v>
      </c>
      <c r="F664" t="s">
        <v>1346</v>
      </c>
      <c r="G664" t="s">
        <v>74</v>
      </c>
      <c r="H664" t="s">
        <v>74</v>
      </c>
      <c r="I664" t="s">
        <v>1347</v>
      </c>
      <c r="J664" t="s">
        <v>192</v>
      </c>
      <c r="K664" t="s">
        <v>74</v>
      </c>
      <c r="L664" t="s">
        <v>74</v>
      </c>
      <c r="M664" t="s">
        <v>74</v>
      </c>
      <c r="N664" t="s">
        <v>74</v>
      </c>
      <c r="O664" t="s">
        <v>74</v>
      </c>
      <c r="P664" t="s">
        <v>74</v>
      </c>
      <c r="Q664" t="s">
        <v>74</v>
      </c>
      <c r="R664" t="s">
        <v>74</v>
      </c>
      <c r="S664" t="s">
        <v>74</v>
      </c>
      <c r="T664" t="s">
        <v>74</v>
      </c>
      <c r="U664" t="s">
        <v>74</v>
      </c>
      <c r="V664" s="3" t="s">
        <v>1348</v>
      </c>
      <c r="W664" t="s">
        <v>74</v>
      </c>
      <c r="X664" t="s">
        <v>74</v>
      </c>
      <c r="Y664" t="s">
        <v>74</v>
      </c>
      <c r="Z664" t="s">
        <v>74</v>
      </c>
      <c r="AA664" t="s">
        <v>74</v>
      </c>
      <c r="AB664" t="s">
        <v>74</v>
      </c>
      <c r="AC664" t="s">
        <v>74</v>
      </c>
      <c r="AD664" t="s">
        <v>74</v>
      </c>
      <c r="AE664" t="s">
        <v>74</v>
      </c>
      <c r="AF664" t="s">
        <v>74</v>
      </c>
      <c r="AG664" t="s">
        <v>74</v>
      </c>
      <c r="AH664" t="s">
        <v>74</v>
      </c>
      <c r="AI664" t="s">
        <v>74</v>
      </c>
      <c r="AJ664" t="s">
        <v>74</v>
      </c>
      <c r="AK664" t="s">
        <v>74</v>
      </c>
      <c r="AL664" t="s">
        <v>74</v>
      </c>
      <c r="AM664" t="s">
        <v>74</v>
      </c>
      <c r="AN664" t="s">
        <v>74</v>
      </c>
      <c r="AO664" t="s">
        <v>195</v>
      </c>
      <c r="AP664" t="s">
        <v>196</v>
      </c>
      <c r="AQ664" t="s">
        <v>74</v>
      </c>
      <c r="AR664" t="s">
        <v>74</v>
      </c>
      <c r="AS664" t="s">
        <v>74</v>
      </c>
      <c r="AT664" t="s">
        <v>1349</v>
      </c>
      <c r="AU664">
        <v>1996</v>
      </c>
      <c r="AV664">
        <v>337</v>
      </c>
      <c r="AW664" t="s">
        <v>1350</v>
      </c>
      <c r="AX664" t="s">
        <v>74</v>
      </c>
      <c r="AY664" t="s">
        <v>74</v>
      </c>
      <c r="AZ664" t="s">
        <v>74</v>
      </c>
      <c r="BA664" t="s">
        <v>74</v>
      </c>
      <c r="BB664">
        <v>69</v>
      </c>
      <c r="BC664">
        <v>76</v>
      </c>
      <c r="BD664" t="s">
        <v>74</v>
      </c>
      <c r="BE664" t="s">
        <v>1351</v>
      </c>
      <c r="BF664" t="str">
        <f>HYPERLINK("http://dx.doi.org/10.1007/BF00028507","http://dx.doi.org/10.1007/BF00028507")</f>
        <v>http://dx.doi.org/10.1007/BF00028507</v>
      </c>
      <c r="BG664" t="s">
        <v>74</v>
      </c>
      <c r="BH664" t="s">
        <v>74</v>
      </c>
      <c r="BI664" t="s">
        <v>74</v>
      </c>
      <c r="BJ664" t="s">
        <v>74</v>
      </c>
      <c r="BK664" t="s">
        <v>74</v>
      </c>
      <c r="BL664" t="s">
        <v>74</v>
      </c>
      <c r="BM664" t="s">
        <v>74</v>
      </c>
      <c r="BN664" t="s">
        <v>74</v>
      </c>
      <c r="BO664" t="s">
        <v>74</v>
      </c>
      <c r="BP664" t="s">
        <v>74</v>
      </c>
      <c r="BQ664" t="s">
        <v>74</v>
      </c>
      <c r="BR664" t="s">
        <v>74</v>
      </c>
      <c r="BS664" t="s">
        <v>1352</v>
      </c>
      <c r="BT664" t="str">
        <f>HYPERLINK("https%3A%2F%2Fwww.webofscience.com%2Fwos%2Fwoscc%2Ffull-record%2FWOS:A1996WB14600006","View Full Record in Web of Science")</f>
        <v>View Full Record in Web of Science</v>
      </c>
    </row>
    <row r="665" spans="1:72" x14ac:dyDescent="0.4">
      <c r="A665" t="s">
        <v>72</v>
      </c>
      <c r="B665" t="s">
        <v>4294</v>
      </c>
      <c r="C665" t="s">
        <v>74</v>
      </c>
      <c r="D665" t="s">
        <v>74</v>
      </c>
      <c r="E665" t="s">
        <v>74</v>
      </c>
      <c r="F665" t="s">
        <v>4294</v>
      </c>
      <c r="G665" t="s">
        <v>74</v>
      </c>
      <c r="H665" t="s">
        <v>74</v>
      </c>
      <c r="I665" t="s">
        <v>4295</v>
      </c>
      <c r="J665" t="s">
        <v>140</v>
      </c>
      <c r="K665" t="s">
        <v>74</v>
      </c>
      <c r="L665" t="s">
        <v>74</v>
      </c>
      <c r="M665" t="s">
        <v>74</v>
      </c>
      <c r="N665" t="s">
        <v>74</v>
      </c>
      <c r="O665" t="s">
        <v>74</v>
      </c>
      <c r="P665" t="s">
        <v>74</v>
      </c>
      <c r="Q665" t="s">
        <v>74</v>
      </c>
      <c r="R665" t="s">
        <v>74</v>
      </c>
      <c r="S665" t="s">
        <v>74</v>
      </c>
      <c r="T665" t="s">
        <v>74</v>
      </c>
      <c r="U665" t="s">
        <v>74</v>
      </c>
      <c r="V665" s="3" t="s">
        <v>4296</v>
      </c>
      <c r="W665" t="s">
        <v>74</v>
      </c>
      <c r="X665" t="s">
        <v>74</v>
      </c>
      <c r="Y665" t="s">
        <v>74</v>
      </c>
      <c r="Z665" t="s">
        <v>74</v>
      </c>
      <c r="AA665" t="s">
        <v>74</v>
      </c>
      <c r="AB665" t="s">
        <v>74</v>
      </c>
      <c r="AC665" t="s">
        <v>74</v>
      </c>
      <c r="AD665" t="s">
        <v>74</v>
      </c>
      <c r="AE665" t="s">
        <v>74</v>
      </c>
      <c r="AF665" t="s">
        <v>74</v>
      </c>
      <c r="AG665" t="s">
        <v>74</v>
      </c>
      <c r="AH665" t="s">
        <v>74</v>
      </c>
      <c r="AI665" t="s">
        <v>74</v>
      </c>
      <c r="AJ665" t="s">
        <v>74</v>
      </c>
      <c r="AK665" t="s">
        <v>74</v>
      </c>
      <c r="AL665" t="s">
        <v>74</v>
      </c>
      <c r="AM665" t="s">
        <v>74</v>
      </c>
      <c r="AN665" t="s">
        <v>74</v>
      </c>
      <c r="AO665" t="s">
        <v>143</v>
      </c>
      <c r="AP665" t="s">
        <v>144</v>
      </c>
      <c r="AQ665" t="s">
        <v>74</v>
      </c>
      <c r="AR665" t="s">
        <v>74</v>
      </c>
      <c r="AS665" t="s">
        <v>74</v>
      </c>
      <c r="AT665" t="s">
        <v>123</v>
      </c>
      <c r="AU665">
        <v>2004</v>
      </c>
      <c r="AV665">
        <v>67</v>
      </c>
      <c r="AW665" t="s">
        <v>74</v>
      </c>
      <c r="AX665">
        <v>3</v>
      </c>
      <c r="AY665" t="s">
        <v>74</v>
      </c>
      <c r="AZ665" t="s">
        <v>74</v>
      </c>
      <c r="BA665" t="s">
        <v>74</v>
      </c>
      <c r="BB665">
        <v>397</v>
      </c>
      <c r="BC665">
        <v>402</v>
      </c>
      <c r="BD665" t="s">
        <v>74</v>
      </c>
      <c r="BE665" t="s">
        <v>4297</v>
      </c>
      <c r="BF665" t="str">
        <f>HYPERLINK("http://dx.doi.org/10.1016/j.anbehav.2003.03.017","http://dx.doi.org/10.1016/j.anbehav.2003.03.017")</f>
        <v>http://dx.doi.org/10.1016/j.anbehav.2003.03.017</v>
      </c>
      <c r="BG665" t="s">
        <v>74</v>
      </c>
      <c r="BH665" t="s">
        <v>74</v>
      </c>
      <c r="BI665" t="s">
        <v>74</v>
      </c>
      <c r="BJ665" t="s">
        <v>74</v>
      </c>
      <c r="BK665" t="s">
        <v>74</v>
      </c>
      <c r="BL665" t="s">
        <v>74</v>
      </c>
      <c r="BM665" t="s">
        <v>74</v>
      </c>
      <c r="BN665" t="s">
        <v>74</v>
      </c>
      <c r="BO665" t="s">
        <v>74</v>
      </c>
      <c r="BP665" t="s">
        <v>74</v>
      </c>
      <c r="BQ665" t="s">
        <v>74</v>
      </c>
      <c r="BR665" t="s">
        <v>74</v>
      </c>
      <c r="BS665" t="s">
        <v>4298</v>
      </c>
      <c r="BT665" t="str">
        <f>HYPERLINK("https%3A%2F%2Fwww.webofscience.com%2Fwos%2Fwoscc%2Ffull-record%2FWOS:000220540800003","View Full Record in Web of Science")</f>
        <v>View Full Record in Web of Science</v>
      </c>
    </row>
    <row r="666" spans="1:72" x14ac:dyDescent="0.4">
      <c r="A666" t="s">
        <v>72</v>
      </c>
      <c r="B666" t="s">
        <v>2940</v>
      </c>
      <c r="C666" t="s">
        <v>74</v>
      </c>
      <c r="D666" t="s">
        <v>74</v>
      </c>
      <c r="E666" t="s">
        <v>74</v>
      </c>
      <c r="F666" t="s">
        <v>2941</v>
      </c>
      <c r="G666" t="s">
        <v>74</v>
      </c>
      <c r="H666" t="s">
        <v>74</v>
      </c>
      <c r="I666" t="s">
        <v>2942</v>
      </c>
      <c r="J666" t="s">
        <v>970</v>
      </c>
      <c r="K666" t="s">
        <v>74</v>
      </c>
      <c r="L666" t="s">
        <v>74</v>
      </c>
      <c r="M666" t="s">
        <v>74</v>
      </c>
      <c r="N666" t="s">
        <v>74</v>
      </c>
      <c r="O666" t="s">
        <v>74</v>
      </c>
      <c r="P666" t="s">
        <v>74</v>
      </c>
      <c r="Q666" t="s">
        <v>74</v>
      </c>
      <c r="R666" t="s">
        <v>74</v>
      </c>
      <c r="S666" t="s">
        <v>74</v>
      </c>
      <c r="T666" t="s">
        <v>74</v>
      </c>
      <c r="U666" t="s">
        <v>74</v>
      </c>
      <c r="V666" s="3" t="s">
        <v>2943</v>
      </c>
      <c r="W666" t="s">
        <v>74</v>
      </c>
      <c r="X666" t="s">
        <v>74</v>
      </c>
      <c r="Y666" t="s">
        <v>74</v>
      </c>
      <c r="Z666" t="s">
        <v>74</v>
      </c>
      <c r="AA666" t="s">
        <v>2944</v>
      </c>
      <c r="AB666" t="s">
        <v>2945</v>
      </c>
      <c r="AC666" t="s">
        <v>74</v>
      </c>
      <c r="AD666" t="s">
        <v>74</v>
      </c>
      <c r="AE666" t="s">
        <v>74</v>
      </c>
      <c r="AF666" t="s">
        <v>74</v>
      </c>
      <c r="AG666" t="s">
        <v>74</v>
      </c>
      <c r="AH666" t="s">
        <v>74</v>
      </c>
      <c r="AI666" t="s">
        <v>74</v>
      </c>
      <c r="AJ666" t="s">
        <v>74</v>
      </c>
      <c r="AK666" t="s">
        <v>74</v>
      </c>
      <c r="AL666" t="s">
        <v>74</v>
      </c>
      <c r="AM666" t="s">
        <v>74</v>
      </c>
      <c r="AN666" t="s">
        <v>74</v>
      </c>
      <c r="AO666" t="s">
        <v>974</v>
      </c>
      <c r="AP666" t="s">
        <v>975</v>
      </c>
      <c r="AQ666" t="s">
        <v>74</v>
      </c>
      <c r="AR666" t="s">
        <v>74</v>
      </c>
      <c r="AS666" t="s">
        <v>74</v>
      </c>
      <c r="AT666" t="s">
        <v>204</v>
      </c>
      <c r="AU666">
        <v>2015</v>
      </c>
      <c r="AV666">
        <v>156</v>
      </c>
      <c r="AW666">
        <v>3</v>
      </c>
      <c r="AX666" t="s">
        <v>74</v>
      </c>
      <c r="AY666" t="s">
        <v>74</v>
      </c>
      <c r="AZ666" t="s">
        <v>74</v>
      </c>
      <c r="BA666" t="s">
        <v>74</v>
      </c>
      <c r="BB666">
        <v>783</v>
      </c>
      <c r="BC666">
        <v>793</v>
      </c>
      <c r="BD666" t="s">
        <v>74</v>
      </c>
      <c r="BE666" t="s">
        <v>2946</v>
      </c>
      <c r="BF666" t="str">
        <f>HYPERLINK("http://dx.doi.org/10.1007/s10336-015-1168-7","http://dx.doi.org/10.1007/s10336-015-1168-7")</f>
        <v>http://dx.doi.org/10.1007/s10336-015-1168-7</v>
      </c>
      <c r="BG666" t="s">
        <v>74</v>
      </c>
      <c r="BH666" t="s">
        <v>74</v>
      </c>
      <c r="BI666" t="s">
        <v>74</v>
      </c>
      <c r="BJ666" t="s">
        <v>74</v>
      </c>
      <c r="BK666" t="s">
        <v>74</v>
      </c>
      <c r="BL666" t="s">
        <v>74</v>
      </c>
      <c r="BM666" t="s">
        <v>74</v>
      </c>
      <c r="BN666" t="s">
        <v>74</v>
      </c>
      <c r="BO666" t="s">
        <v>74</v>
      </c>
      <c r="BP666" t="s">
        <v>74</v>
      </c>
      <c r="BQ666" t="s">
        <v>74</v>
      </c>
      <c r="BR666" t="s">
        <v>74</v>
      </c>
      <c r="BS666" t="s">
        <v>2947</v>
      </c>
      <c r="BT666" t="str">
        <f>HYPERLINK("https%3A%2F%2Fwww.webofscience.com%2Fwos%2Fwoscc%2Ffull-record%2FWOS:000356447100022","View Full Record in Web of Science")</f>
        <v>View Full Record in Web of Science</v>
      </c>
    </row>
    <row r="667" spans="1:72" x14ac:dyDescent="0.4">
      <c r="A667" t="s">
        <v>72</v>
      </c>
      <c r="B667" t="s">
        <v>7061</v>
      </c>
      <c r="C667" t="s">
        <v>74</v>
      </c>
      <c r="D667" t="s">
        <v>74</v>
      </c>
      <c r="E667" t="s">
        <v>74</v>
      </c>
      <c r="F667" t="s">
        <v>7062</v>
      </c>
      <c r="G667" t="s">
        <v>74</v>
      </c>
      <c r="H667" t="s">
        <v>74</v>
      </c>
      <c r="I667" t="s">
        <v>7063</v>
      </c>
      <c r="J667" t="s">
        <v>108</v>
      </c>
      <c r="K667" t="s">
        <v>74</v>
      </c>
      <c r="L667" t="s">
        <v>74</v>
      </c>
      <c r="M667" t="s">
        <v>74</v>
      </c>
      <c r="N667" t="s">
        <v>74</v>
      </c>
      <c r="O667" t="s">
        <v>74</v>
      </c>
      <c r="P667" t="s">
        <v>74</v>
      </c>
      <c r="Q667" t="s">
        <v>74</v>
      </c>
      <c r="R667" t="s">
        <v>74</v>
      </c>
      <c r="S667" t="s">
        <v>74</v>
      </c>
      <c r="T667" t="s">
        <v>74</v>
      </c>
      <c r="U667" t="s">
        <v>74</v>
      </c>
      <c r="V667" s="3" t="s">
        <v>7064</v>
      </c>
      <c r="W667" t="s">
        <v>74</v>
      </c>
      <c r="X667" t="s">
        <v>74</v>
      </c>
      <c r="Y667" t="s">
        <v>74</v>
      </c>
      <c r="Z667" t="s">
        <v>74</v>
      </c>
      <c r="AA667" t="s">
        <v>7065</v>
      </c>
      <c r="AB667" t="s">
        <v>7066</v>
      </c>
      <c r="AC667" t="s">
        <v>74</v>
      </c>
      <c r="AD667" t="s">
        <v>74</v>
      </c>
      <c r="AE667" t="s">
        <v>74</v>
      </c>
      <c r="AF667" t="s">
        <v>74</v>
      </c>
      <c r="AG667" t="s">
        <v>74</v>
      </c>
      <c r="AH667" t="s">
        <v>74</v>
      </c>
      <c r="AI667" t="s">
        <v>74</v>
      </c>
      <c r="AJ667" t="s">
        <v>74</v>
      </c>
      <c r="AK667" t="s">
        <v>74</v>
      </c>
      <c r="AL667" t="s">
        <v>74</v>
      </c>
      <c r="AM667" t="s">
        <v>74</v>
      </c>
      <c r="AN667" t="s">
        <v>74</v>
      </c>
      <c r="AO667" t="s">
        <v>111</v>
      </c>
      <c r="AP667" t="s">
        <v>112</v>
      </c>
      <c r="AQ667" t="s">
        <v>74</v>
      </c>
      <c r="AR667" t="s">
        <v>74</v>
      </c>
      <c r="AS667" t="s">
        <v>74</v>
      </c>
      <c r="AT667" t="s">
        <v>493</v>
      </c>
      <c r="AU667">
        <v>2015</v>
      </c>
      <c r="AV667">
        <v>282</v>
      </c>
      <c r="AW667">
        <v>1811</v>
      </c>
      <c r="AX667" t="s">
        <v>74</v>
      </c>
      <c r="AY667" t="s">
        <v>74</v>
      </c>
      <c r="AZ667" t="s">
        <v>74</v>
      </c>
      <c r="BA667" t="s">
        <v>74</v>
      </c>
      <c r="BB667" t="s">
        <v>74</v>
      </c>
      <c r="BC667" t="s">
        <v>74</v>
      </c>
      <c r="BD667">
        <v>20150624</v>
      </c>
      <c r="BE667" t="s">
        <v>7067</v>
      </c>
      <c r="BF667" t="str">
        <f>HYPERLINK("http://dx.doi.org/10.1098/rspb.2015.0624","http://dx.doi.org/10.1098/rspb.2015.0624")</f>
        <v>http://dx.doi.org/10.1098/rspb.2015.0624</v>
      </c>
      <c r="BG667" t="s">
        <v>74</v>
      </c>
      <c r="BH667" t="s">
        <v>74</v>
      </c>
      <c r="BI667" t="s">
        <v>74</v>
      </c>
      <c r="BJ667" t="s">
        <v>74</v>
      </c>
      <c r="BK667" t="s">
        <v>74</v>
      </c>
      <c r="BL667" t="s">
        <v>74</v>
      </c>
      <c r="BM667" t="s">
        <v>74</v>
      </c>
      <c r="BN667">
        <v>26136445</v>
      </c>
      <c r="BO667" t="s">
        <v>74</v>
      </c>
      <c r="BP667" t="s">
        <v>74</v>
      </c>
      <c r="BQ667" t="s">
        <v>74</v>
      </c>
      <c r="BR667" t="s">
        <v>74</v>
      </c>
      <c r="BS667" t="s">
        <v>7068</v>
      </c>
      <c r="BT667" t="str">
        <f>HYPERLINK("https%3A%2F%2Fwww.webofscience.com%2Fwos%2Fwoscc%2Ffull-record%2FWOS:000358735700011","View Full Record in Web of Science")</f>
        <v>View Full Record in Web of Science</v>
      </c>
    </row>
    <row r="668" spans="1:72" x14ac:dyDescent="0.4">
      <c r="A668" t="s">
        <v>72</v>
      </c>
      <c r="B668" t="s">
        <v>5257</v>
      </c>
      <c r="C668" t="s">
        <v>74</v>
      </c>
      <c r="D668" t="s">
        <v>74</v>
      </c>
      <c r="E668" t="s">
        <v>74</v>
      </c>
      <c r="F668" t="s">
        <v>5257</v>
      </c>
      <c r="G668" t="s">
        <v>74</v>
      </c>
      <c r="H668" t="s">
        <v>74</v>
      </c>
      <c r="I668" t="s">
        <v>5258</v>
      </c>
      <c r="J668" t="s">
        <v>3817</v>
      </c>
      <c r="K668" t="s">
        <v>74</v>
      </c>
      <c r="L668" t="s">
        <v>74</v>
      </c>
      <c r="M668" t="s">
        <v>74</v>
      </c>
      <c r="N668" t="s">
        <v>74</v>
      </c>
      <c r="O668" t="s">
        <v>74</v>
      </c>
      <c r="P668" t="s">
        <v>74</v>
      </c>
      <c r="Q668" t="s">
        <v>74</v>
      </c>
      <c r="R668" t="s">
        <v>74</v>
      </c>
      <c r="S668" t="s">
        <v>74</v>
      </c>
      <c r="T668" t="s">
        <v>74</v>
      </c>
      <c r="U668" t="s">
        <v>74</v>
      </c>
      <c r="V668" s="3" t="s">
        <v>5259</v>
      </c>
      <c r="W668" t="s">
        <v>74</v>
      </c>
      <c r="X668" t="s">
        <v>74</v>
      </c>
      <c r="Y668" t="s">
        <v>74</v>
      </c>
      <c r="Z668" t="s">
        <v>74</v>
      </c>
      <c r="AA668" t="s">
        <v>74</v>
      </c>
      <c r="AB668" t="s">
        <v>74</v>
      </c>
      <c r="AC668" t="s">
        <v>74</v>
      </c>
      <c r="AD668" t="s">
        <v>74</v>
      </c>
      <c r="AE668" t="s">
        <v>74</v>
      </c>
      <c r="AF668" t="s">
        <v>74</v>
      </c>
      <c r="AG668" t="s">
        <v>74</v>
      </c>
      <c r="AH668" t="s">
        <v>74</v>
      </c>
      <c r="AI668" t="s">
        <v>74</v>
      </c>
      <c r="AJ668" t="s">
        <v>74</v>
      </c>
      <c r="AK668" t="s">
        <v>74</v>
      </c>
      <c r="AL668" t="s">
        <v>74</v>
      </c>
      <c r="AM668" t="s">
        <v>74</v>
      </c>
      <c r="AN668" t="s">
        <v>74</v>
      </c>
      <c r="AO668" t="s">
        <v>3821</v>
      </c>
      <c r="AP668" t="s">
        <v>3822</v>
      </c>
      <c r="AQ668" t="s">
        <v>74</v>
      </c>
      <c r="AR668" t="s">
        <v>74</v>
      </c>
      <c r="AS668" t="s">
        <v>74</v>
      </c>
      <c r="AT668" t="s">
        <v>74</v>
      </c>
      <c r="AU668">
        <v>1981</v>
      </c>
      <c r="AV668">
        <v>71</v>
      </c>
      <c r="AW668">
        <v>3</v>
      </c>
      <c r="AX668" t="s">
        <v>74</v>
      </c>
      <c r="AY668" t="s">
        <v>74</v>
      </c>
      <c r="AZ668" t="s">
        <v>74</v>
      </c>
      <c r="BA668" t="s">
        <v>74</v>
      </c>
      <c r="BB668">
        <v>253</v>
      </c>
      <c r="BC668">
        <v>264</v>
      </c>
      <c r="BD668" t="s">
        <v>74</v>
      </c>
      <c r="BE668" t="s">
        <v>5260</v>
      </c>
      <c r="BF668" t="str">
        <f>HYPERLINK("http://dx.doi.org/10.1111/j.1096-3642.1981.tb01132.x","http://dx.doi.org/10.1111/j.1096-3642.1981.tb01132.x")</f>
        <v>http://dx.doi.org/10.1111/j.1096-3642.1981.tb01132.x</v>
      </c>
      <c r="BG668" t="s">
        <v>74</v>
      </c>
      <c r="BH668" t="s">
        <v>74</v>
      </c>
      <c r="BI668" t="s">
        <v>74</v>
      </c>
      <c r="BJ668" t="s">
        <v>74</v>
      </c>
      <c r="BK668" t="s">
        <v>74</v>
      </c>
      <c r="BL668" t="s">
        <v>74</v>
      </c>
      <c r="BM668" t="s">
        <v>74</v>
      </c>
      <c r="BN668" t="s">
        <v>74</v>
      </c>
      <c r="BO668" t="s">
        <v>74</v>
      </c>
      <c r="BP668" t="s">
        <v>74</v>
      </c>
      <c r="BQ668" t="s">
        <v>74</v>
      </c>
      <c r="BR668" t="s">
        <v>74</v>
      </c>
      <c r="BS668" t="s">
        <v>5261</v>
      </c>
      <c r="BT668" t="str">
        <f>HYPERLINK("https%3A%2F%2Fwww.webofscience.com%2Fwos%2Fwoscc%2Ffull-record%2FWOS:A1981LF81100001","View Full Record in Web of Science")</f>
        <v>View Full Record in Web of Science</v>
      </c>
    </row>
    <row r="669" spans="1:72" x14ac:dyDescent="0.4">
      <c r="A669" t="s">
        <v>72</v>
      </c>
      <c r="B669" t="s">
        <v>4183</v>
      </c>
      <c r="C669" t="s">
        <v>74</v>
      </c>
      <c r="D669" t="s">
        <v>74</v>
      </c>
      <c r="E669" t="s">
        <v>74</v>
      </c>
      <c r="F669" t="s">
        <v>4184</v>
      </c>
      <c r="G669" t="s">
        <v>74</v>
      </c>
      <c r="H669" t="s">
        <v>74</v>
      </c>
      <c r="I669" t="s">
        <v>4185</v>
      </c>
      <c r="J669" t="s">
        <v>333</v>
      </c>
      <c r="K669" t="s">
        <v>74</v>
      </c>
      <c r="L669" t="s">
        <v>74</v>
      </c>
      <c r="M669" t="s">
        <v>74</v>
      </c>
      <c r="N669" t="s">
        <v>74</v>
      </c>
      <c r="O669" t="s">
        <v>74</v>
      </c>
      <c r="P669" t="s">
        <v>74</v>
      </c>
      <c r="Q669" t="s">
        <v>74</v>
      </c>
      <c r="R669" t="s">
        <v>74</v>
      </c>
      <c r="S669" t="s">
        <v>74</v>
      </c>
      <c r="T669" t="s">
        <v>74</v>
      </c>
      <c r="U669" t="s">
        <v>74</v>
      </c>
      <c r="V669" s="3" t="s">
        <v>4186</v>
      </c>
      <c r="W669" t="s">
        <v>74</v>
      </c>
      <c r="X669" t="s">
        <v>74</v>
      </c>
      <c r="Y669" t="s">
        <v>74</v>
      </c>
      <c r="Z669" t="s">
        <v>74</v>
      </c>
      <c r="AA669" t="s">
        <v>74</v>
      </c>
      <c r="AB669" t="s">
        <v>4187</v>
      </c>
      <c r="AC669" t="s">
        <v>74</v>
      </c>
      <c r="AD669" t="s">
        <v>74</v>
      </c>
      <c r="AE669" t="s">
        <v>74</v>
      </c>
      <c r="AF669" t="s">
        <v>74</v>
      </c>
      <c r="AG669" t="s">
        <v>74</v>
      </c>
      <c r="AH669" t="s">
        <v>74</v>
      </c>
      <c r="AI669" t="s">
        <v>74</v>
      </c>
      <c r="AJ669" t="s">
        <v>74</v>
      </c>
      <c r="AK669" t="s">
        <v>74</v>
      </c>
      <c r="AL669" t="s">
        <v>74</v>
      </c>
      <c r="AM669" t="s">
        <v>74</v>
      </c>
      <c r="AN669" t="s">
        <v>74</v>
      </c>
      <c r="AO669" t="s">
        <v>337</v>
      </c>
      <c r="AP669" t="s">
        <v>338</v>
      </c>
      <c r="AQ669" t="s">
        <v>74</v>
      </c>
      <c r="AR669" t="s">
        <v>74</v>
      </c>
      <c r="AS669" t="s">
        <v>74</v>
      </c>
      <c r="AT669" t="s">
        <v>1075</v>
      </c>
      <c r="AU669">
        <v>2014</v>
      </c>
      <c r="AV669">
        <v>25</v>
      </c>
      <c r="AW669">
        <v>6</v>
      </c>
      <c r="AX669" t="s">
        <v>74</v>
      </c>
      <c r="AY669" t="s">
        <v>74</v>
      </c>
      <c r="AZ669" t="s">
        <v>74</v>
      </c>
      <c r="BA669" t="s">
        <v>74</v>
      </c>
      <c r="BB669">
        <v>1325</v>
      </c>
      <c r="BC669">
        <v>1337</v>
      </c>
      <c r="BD669" t="s">
        <v>74</v>
      </c>
      <c r="BE669" t="s">
        <v>4188</v>
      </c>
      <c r="BF669" t="str">
        <f>HYPERLINK("http://dx.doi.org/10.1093/beheco/aru126","http://dx.doi.org/10.1093/beheco/aru126")</f>
        <v>http://dx.doi.org/10.1093/beheco/aru126</v>
      </c>
      <c r="BG669" t="s">
        <v>74</v>
      </c>
      <c r="BH669" t="s">
        <v>74</v>
      </c>
      <c r="BI669" t="s">
        <v>74</v>
      </c>
      <c r="BJ669" t="s">
        <v>74</v>
      </c>
      <c r="BK669" t="s">
        <v>74</v>
      </c>
      <c r="BL669" t="s">
        <v>74</v>
      </c>
      <c r="BM669" t="s">
        <v>74</v>
      </c>
      <c r="BN669">
        <v>25419083</v>
      </c>
      <c r="BO669" t="s">
        <v>74</v>
      </c>
      <c r="BP669" t="s">
        <v>74</v>
      </c>
      <c r="BQ669" t="s">
        <v>74</v>
      </c>
      <c r="BR669" t="s">
        <v>74</v>
      </c>
      <c r="BS669" t="s">
        <v>4189</v>
      </c>
      <c r="BT669" t="str">
        <f>HYPERLINK("https%3A%2F%2Fwww.webofscience.com%2Fwos%2Fwoscc%2Ffull-record%2FWOS:000345432900014","View Full Record in Web of Science")</f>
        <v>View Full Record in Web of Science</v>
      </c>
    </row>
    <row r="670" spans="1:72" x14ac:dyDescent="0.4">
      <c r="A670" t="s">
        <v>72</v>
      </c>
      <c r="B670" t="s">
        <v>5047</v>
      </c>
      <c r="C670" t="s">
        <v>74</v>
      </c>
      <c r="D670" t="s">
        <v>74</v>
      </c>
      <c r="E670" t="s">
        <v>74</v>
      </c>
      <c r="F670" t="s">
        <v>5047</v>
      </c>
      <c r="G670" t="s">
        <v>74</v>
      </c>
      <c r="H670" t="s">
        <v>74</v>
      </c>
      <c r="I670" t="s">
        <v>5048</v>
      </c>
      <c r="J670" t="s">
        <v>5049</v>
      </c>
      <c r="K670" t="s">
        <v>74</v>
      </c>
      <c r="L670" t="s">
        <v>74</v>
      </c>
      <c r="M670" t="s">
        <v>74</v>
      </c>
      <c r="N670" t="s">
        <v>74</v>
      </c>
      <c r="O670" t="s">
        <v>74</v>
      </c>
      <c r="P670" t="s">
        <v>74</v>
      </c>
      <c r="Q670" t="s">
        <v>74</v>
      </c>
      <c r="R670" t="s">
        <v>74</v>
      </c>
      <c r="S670" t="s">
        <v>74</v>
      </c>
      <c r="T670" t="s">
        <v>74</v>
      </c>
      <c r="U670" t="s">
        <v>74</v>
      </c>
      <c r="V670" s="3" t="s">
        <v>5050</v>
      </c>
      <c r="W670" t="s">
        <v>74</v>
      </c>
      <c r="X670" t="s">
        <v>74</v>
      </c>
      <c r="Y670" t="s">
        <v>74</v>
      </c>
      <c r="Z670" t="s">
        <v>74</v>
      </c>
      <c r="AA670" t="s">
        <v>5051</v>
      </c>
      <c r="AB670" t="s">
        <v>5052</v>
      </c>
      <c r="AC670" t="s">
        <v>74</v>
      </c>
      <c r="AD670" t="s">
        <v>74</v>
      </c>
      <c r="AE670" t="s">
        <v>74</v>
      </c>
      <c r="AF670" t="s">
        <v>74</v>
      </c>
      <c r="AG670" t="s">
        <v>74</v>
      </c>
      <c r="AH670" t="s">
        <v>74</v>
      </c>
      <c r="AI670" t="s">
        <v>74</v>
      </c>
      <c r="AJ670" t="s">
        <v>74</v>
      </c>
      <c r="AK670" t="s">
        <v>74</v>
      </c>
      <c r="AL670" t="s">
        <v>74</v>
      </c>
      <c r="AM670" t="s">
        <v>74</v>
      </c>
      <c r="AN670" t="s">
        <v>74</v>
      </c>
      <c r="AO670" t="s">
        <v>5053</v>
      </c>
      <c r="AP670" t="s">
        <v>74</v>
      </c>
      <c r="AQ670" t="s">
        <v>74</v>
      </c>
      <c r="AR670" t="s">
        <v>74</v>
      </c>
      <c r="AS670" t="s">
        <v>74</v>
      </c>
      <c r="AT670" t="s">
        <v>255</v>
      </c>
      <c r="AU670">
        <v>2006</v>
      </c>
      <c r="AV670">
        <v>22</v>
      </c>
      <c r="AW670">
        <v>1</v>
      </c>
      <c r="AX670" t="s">
        <v>74</v>
      </c>
      <c r="AY670" t="s">
        <v>74</v>
      </c>
      <c r="AZ670" t="s">
        <v>74</v>
      </c>
      <c r="BA670" t="s">
        <v>74</v>
      </c>
      <c r="BB670">
        <v>25</v>
      </c>
      <c r="BC670">
        <v>33</v>
      </c>
      <c r="BD670" t="s">
        <v>74</v>
      </c>
      <c r="BE670" t="s">
        <v>5054</v>
      </c>
      <c r="BF670" t="str">
        <f>HYPERLINK("http://dx.doi.org/10.1111/j.1748-7692.2006.00003.x","http://dx.doi.org/10.1111/j.1748-7692.2006.00003.x")</f>
        <v>http://dx.doi.org/10.1111/j.1748-7692.2006.00003.x</v>
      </c>
      <c r="BG670" t="s">
        <v>74</v>
      </c>
      <c r="BH670" t="s">
        <v>74</v>
      </c>
      <c r="BI670" t="s">
        <v>74</v>
      </c>
      <c r="BJ670" t="s">
        <v>74</v>
      </c>
      <c r="BK670" t="s">
        <v>74</v>
      </c>
      <c r="BL670" t="s">
        <v>74</v>
      </c>
      <c r="BM670" t="s">
        <v>74</v>
      </c>
      <c r="BN670" t="s">
        <v>74</v>
      </c>
      <c r="BO670" t="s">
        <v>74</v>
      </c>
      <c r="BP670" t="s">
        <v>74</v>
      </c>
      <c r="BQ670" t="s">
        <v>74</v>
      </c>
      <c r="BR670" t="s">
        <v>74</v>
      </c>
      <c r="BS670" t="s">
        <v>5055</v>
      </c>
      <c r="BT670" t="str">
        <f>HYPERLINK("https%3A%2F%2Fwww.webofscience.com%2Fwos%2Fwoscc%2Ffull-record%2FWOS:000234942300003","View Full Record in Web of Science")</f>
        <v>View Full Record in Web of Science</v>
      </c>
    </row>
    <row r="671" spans="1:72" x14ac:dyDescent="0.4">
      <c r="A671" t="s">
        <v>72</v>
      </c>
      <c r="B671" t="s">
        <v>1119</v>
      </c>
      <c r="C671" t="s">
        <v>74</v>
      </c>
      <c r="D671" t="s">
        <v>74</v>
      </c>
      <c r="E671" t="s">
        <v>74</v>
      </c>
      <c r="F671" t="s">
        <v>1119</v>
      </c>
      <c r="G671" t="s">
        <v>74</v>
      </c>
      <c r="H671" t="s">
        <v>74</v>
      </c>
      <c r="I671" t="s">
        <v>1120</v>
      </c>
      <c r="J671" t="s">
        <v>140</v>
      </c>
      <c r="K671" t="s">
        <v>74</v>
      </c>
      <c r="L671" t="s">
        <v>74</v>
      </c>
      <c r="M671" t="s">
        <v>74</v>
      </c>
      <c r="N671" t="s">
        <v>74</v>
      </c>
      <c r="O671" t="s">
        <v>74</v>
      </c>
      <c r="P671" t="s">
        <v>74</v>
      </c>
      <c r="Q671" t="s">
        <v>74</v>
      </c>
      <c r="R671" t="s">
        <v>74</v>
      </c>
      <c r="S671" t="s">
        <v>74</v>
      </c>
      <c r="T671" t="s">
        <v>74</v>
      </c>
      <c r="U671" t="s">
        <v>74</v>
      </c>
      <c r="V671" s="3" t="s">
        <v>1121</v>
      </c>
      <c r="W671" t="s">
        <v>74</v>
      </c>
      <c r="X671" t="s">
        <v>74</v>
      </c>
      <c r="Y671" t="s">
        <v>74</v>
      </c>
      <c r="Z671" t="s">
        <v>74</v>
      </c>
      <c r="AA671" t="s">
        <v>74</v>
      </c>
      <c r="AB671" t="s">
        <v>1122</v>
      </c>
      <c r="AC671" t="s">
        <v>74</v>
      </c>
      <c r="AD671" t="s">
        <v>74</v>
      </c>
      <c r="AE671" t="s">
        <v>74</v>
      </c>
      <c r="AF671" t="s">
        <v>74</v>
      </c>
      <c r="AG671" t="s">
        <v>74</v>
      </c>
      <c r="AH671" t="s">
        <v>74</v>
      </c>
      <c r="AI671" t="s">
        <v>74</v>
      </c>
      <c r="AJ671" t="s">
        <v>74</v>
      </c>
      <c r="AK671" t="s">
        <v>74</v>
      </c>
      <c r="AL671" t="s">
        <v>74</v>
      </c>
      <c r="AM671" t="s">
        <v>74</v>
      </c>
      <c r="AN671" t="s">
        <v>74</v>
      </c>
      <c r="AO671" t="s">
        <v>143</v>
      </c>
      <c r="AP671" t="s">
        <v>144</v>
      </c>
      <c r="AQ671" t="s">
        <v>74</v>
      </c>
      <c r="AR671" t="s">
        <v>74</v>
      </c>
      <c r="AS671" t="s">
        <v>74</v>
      </c>
      <c r="AT671" t="s">
        <v>74</v>
      </c>
      <c r="AU671">
        <v>1981</v>
      </c>
      <c r="AV671">
        <v>29</v>
      </c>
      <c r="AW671" t="s">
        <v>134</v>
      </c>
      <c r="AX671" t="s">
        <v>74</v>
      </c>
      <c r="AY671" t="s">
        <v>74</v>
      </c>
      <c r="AZ671" t="s">
        <v>74</v>
      </c>
      <c r="BA671" t="s">
        <v>74</v>
      </c>
      <c r="BB671">
        <v>325</v>
      </c>
      <c r="BC671">
        <v>331</v>
      </c>
      <c r="BD671" t="s">
        <v>74</v>
      </c>
      <c r="BE671" t="s">
        <v>1123</v>
      </c>
      <c r="BF671" t="str">
        <f>HYPERLINK("http://dx.doi.org/10.1016/S0003-3472(81)80092-9","http://dx.doi.org/10.1016/S0003-3472(81)80092-9")</f>
        <v>http://dx.doi.org/10.1016/S0003-3472(81)80092-9</v>
      </c>
      <c r="BG671" t="s">
        <v>74</v>
      </c>
      <c r="BH671" t="s">
        <v>74</v>
      </c>
      <c r="BI671" t="s">
        <v>74</v>
      </c>
      <c r="BJ671" t="s">
        <v>74</v>
      </c>
      <c r="BK671" t="s">
        <v>74</v>
      </c>
      <c r="BL671" t="s">
        <v>74</v>
      </c>
      <c r="BM671" t="s">
        <v>74</v>
      </c>
      <c r="BN671" t="s">
        <v>74</v>
      </c>
      <c r="BO671" t="s">
        <v>74</v>
      </c>
      <c r="BP671" t="s">
        <v>74</v>
      </c>
      <c r="BQ671" t="s">
        <v>74</v>
      </c>
      <c r="BR671" t="s">
        <v>74</v>
      </c>
      <c r="BS671" t="s">
        <v>1124</v>
      </c>
      <c r="BT671" t="str">
        <f>HYPERLINK("https%3A%2F%2Fwww.webofscience.com%2Fwos%2Fwoscc%2Ffull-record%2FWOS:A1981LQ60200001","View Full Record in Web of Science")</f>
        <v>View Full Record in Web of Science</v>
      </c>
    </row>
    <row r="672" spans="1:72" x14ac:dyDescent="0.4">
      <c r="A672" t="s">
        <v>72</v>
      </c>
      <c r="B672" t="s">
        <v>3953</v>
      </c>
      <c r="C672" t="s">
        <v>74</v>
      </c>
      <c r="D672" t="s">
        <v>74</v>
      </c>
      <c r="E672" t="s">
        <v>74</v>
      </c>
      <c r="F672" t="s">
        <v>3954</v>
      </c>
      <c r="G672" t="s">
        <v>74</v>
      </c>
      <c r="H672" t="s">
        <v>74</v>
      </c>
      <c r="I672" t="s">
        <v>3955</v>
      </c>
      <c r="J672" t="s">
        <v>201</v>
      </c>
      <c r="K672" t="s">
        <v>74</v>
      </c>
      <c r="L672" t="s">
        <v>74</v>
      </c>
      <c r="M672" t="s">
        <v>74</v>
      </c>
      <c r="N672" t="s">
        <v>74</v>
      </c>
      <c r="O672" t="s">
        <v>74</v>
      </c>
      <c r="P672" t="s">
        <v>74</v>
      </c>
      <c r="Q672" t="s">
        <v>74</v>
      </c>
      <c r="R672" t="s">
        <v>74</v>
      </c>
      <c r="S672" t="s">
        <v>74</v>
      </c>
      <c r="T672" t="s">
        <v>74</v>
      </c>
      <c r="U672" t="s">
        <v>74</v>
      </c>
      <c r="V672" s="3" t="s">
        <v>3956</v>
      </c>
      <c r="W672" t="s">
        <v>74</v>
      </c>
      <c r="X672" t="s">
        <v>74</v>
      </c>
      <c r="Y672" t="s">
        <v>74</v>
      </c>
      <c r="Z672" t="s">
        <v>74</v>
      </c>
      <c r="AA672" t="s">
        <v>379</v>
      </c>
      <c r="AB672" t="s">
        <v>3957</v>
      </c>
      <c r="AC672" t="s">
        <v>74</v>
      </c>
      <c r="AD672" t="s">
        <v>74</v>
      </c>
      <c r="AE672" t="s">
        <v>74</v>
      </c>
      <c r="AF672" t="s">
        <v>74</v>
      </c>
      <c r="AG672" t="s">
        <v>74</v>
      </c>
      <c r="AH672" t="s">
        <v>74</v>
      </c>
      <c r="AI672" t="s">
        <v>74</v>
      </c>
      <c r="AJ672" t="s">
        <v>74</v>
      </c>
      <c r="AK672" t="s">
        <v>74</v>
      </c>
      <c r="AL672" t="s">
        <v>74</v>
      </c>
      <c r="AM672" t="s">
        <v>74</v>
      </c>
      <c r="AN672" t="s">
        <v>74</v>
      </c>
      <c r="AO672" t="s">
        <v>203</v>
      </c>
      <c r="AP672" t="s">
        <v>1192</v>
      </c>
      <c r="AQ672" t="s">
        <v>74</v>
      </c>
      <c r="AR672" t="s">
        <v>74</v>
      </c>
      <c r="AS672" t="s">
        <v>74</v>
      </c>
      <c r="AT672" t="s">
        <v>213</v>
      </c>
      <c r="AU672">
        <v>2013</v>
      </c>
      <c r="AV672">
        <v>83</v>
      </c>
      <c r="AW672">
        <v>5</v>
      </c>
      <c r="AX672" t="s">
        <v>74</v>
      </c>
      <c r="AY672" t="s">
        <v>74</v>
      </c>
      <c r="AZ672" t="s">
        <v>74</v>
      </c>
      <c r="BA672" t="s">
        <v>74</v>
      </c>
      <c r="BB672">
        <v>1371</v>
      </c>
      <c r="BC672">
        <v>1380</v>
      </c>
      <c r="BD672" t="s">
        <v>74</v>
      </c>
      <c r="BE672" t="s">
        <v>3958</v>
      </c>
      <c r="BF672" t="str">
        <f>HYPERLINK("http://dx.doi.org/10.1111/jfb.12239","http://dx.doi.org/10.1111/jfb.12239")</f>
        <v>http://dx.doi.org/10.1111/jfb.12239</v>
      </c>
      <c r="BG672" t="s">
        <v>74</v>
      </c>
      <c r="BH672" t="s">
        <v>74</v>
      </c>
      <c r="BI672" t="s">
        <v>74</v>
      </c>
      <c r="BJ672" t="s">
        <v>74</v>
      </c>
      <c r="BK672" t="s">
        <v>74</v>
      </c>
      <c r="BL672" t="s">
        <v>74</v>
      </c>
      <c r="BM672" t="s">
        <v>74</v>
      </c>
      <c r="BN672">
        <v>24580670</v>
      </c>
      <c r="BO672" t="s">
        <v>74</v>
      </c>
      <c r="BP672" t="s">
        <v>74</v>
      </c>
      <c r="BQ672" t="s">
        <v>74</v>
      </c>
      <c r="BR672" t="s">
        <v>74</v>
      </c>
      <c r="BS672" t="s">
        <v>3959</v>
      </c>
      <c r="BT672" t="str">
        <f>HYPERLINK("https%3A%2F%2Fwww.webofscience.com%2Fwos%2Fwoscc%2Ffull-record%2FWOS:000326476700019","View Full Record in Web of Science")</f>
        <v>View Full Record in Web of Science</v>
      </c>
    </row>
    <row r="673" spans="1:72" x14ac:dyDescent="0.4">
      <c r="A673" t="s">
        <v>72</v>
      </c>
      <c r="B673" t="s">
        <v>5638</v>
      </c>
      <c r="C673" t="s">
        <v>74</v>
      </c>
      <c r="D673" t="s">
        <v>74</v>
      </c>
      <c r="E673" t="s">
        <v>74</v>
      </c>
      <c r="F673" t="s">
        <v>5639</v>
      </c>
      <c r="G673" t="s">
        <v>74</v>
      </c>
      <c r="H673" t="s">
        <v>74</v>
      </c>
      <c r="I673" t="s">
        <v>5640</v>
      </c>
      <c r="J673" t="s">
        <v>408</v>
      </c>
      <c r="K673" t="s">
        <v>74</v>
      </c>
      <c r="L673" t="s">
        <v>74</v>
      </c>
      <c r="M673" t="s">
        <v>74</v>
      </c>
      <c r="N673" t="s">
        <v>74</v>
      </c>
      <c r="O673" t="s">
        <v>74</v>
      </c>
      <c r="P673" t="s">
        <v>74</v>
      </c>
      <c r="Q673" t="s">
        <v>74</v>
      </c>
      <c r="R673" t="s">
        <v>74</v>
      </c>
      <c r="S673" t="s">
        <v>74</v>
      </c>
      <c r="T673" t="s">
        <v>74</v>
      </c>
      <c r="U673" t="s">
        <v>74</v>
      </c>
      <c r="V673" s="3" t="s">
        <v>5641</v>
      </c>
      <c r="W673" t="s">
        <v>74</v>
      </c>
      <c r="X673" t="s">
        <v>74</v>
      </c>
      <c r="Y673" t="s">
        <v>74</v>
      </c>
      <c r="Z673" t="s">
        <v>74</v>
      </c>
      <c r="AA673" t="s">
        <v>5642</v>
      </c>
      <c r="AB673" t="s">
        <v>5643</v>
      </c>
      <c r="AC673" t="s">
        <v>74</v>
      </c>
      <c r="AD673" t="s">
        <v>74</v>
      </c>
      <c r="AE673" t="s">
        <v>74</v>
      </c>
      <c r="AF673" t="s">
        <v>74</v>
      </c>
      <c r="AG673" t="s">
        <v>74</v>
      </c>
      <c r="AH673" t="s">
        <v>74</v>
      </c>
      <c r="AI673" t="s">
        <v>74</v>
      </c>
      <c r="AJ673" t="s">
        <v>74</v>
      </c>
      <c r="AK673" t="s">
        <v>74</v>
      </c>
      <c r="AL673" t="s">
        <v>74</v>
      </c>
      <c r="AM673" t="s">
        <v>74</v>
      </c>
      <c r="AN673" t="s">
        <v>74</v>
      </c>
      <c r="AO673" t="s">
        <v>412</v>
      </c>
      <c r="AP673" t="s">
        <v>413</v>
      </c>
      <c r="AQ673" t="s">
        <v>74</v>
      </c>
      <c r="AR673" t="s">
        <v>74</v>
      </c>
      <c r="AS673" t="s">
        <v>74</v>
      </c>
      <c r="AT673" t="s">
        <v>352</v>
      </c>
      <c r="AU673">
        <v>2013</v>
      </c>
      <c r="AV673">
        <v>110</v>
      </c>
      <c r="AW673">
        <v>1</v>
      </c>
      <c r="AX673" t="s">
        <v>74</v>
      </c>
      <c r="AY673" t="s">
        <v>74</v>
      </c>
      <c r="AZ673" t="s">
        <v>74</v>
      </c>
      <c r="BA673" t="s">
        <v>74</v>
      </c>
      <c r="BB673">
        <v>128</v>
      </c>
      <c r="BC673">
        <v>141</v>
      </c>
      <c r="BD673" t="s">
        <v>74</v>
      </c>
      <c r="BE673" t="s">
        <v>5644</v>
      </c>
      <c r="BF673" t="str">
        <f>HYPERLINK("http://dx.doi.org/10.1111/bij.12104","http://dx.doi.org/10.1111/bij.12104")</f>
        <v>http://dx.doi.org/10.1111/bij.12104</v>
      </c>
      <c r="BG673" t="s">
        <v>74</v>
      </c>
      <c r="BH673" t="s">
        <v>74</v>
      </c>
      <c r="BI673" t="s">
        <v>74</v>
      </c>
      <c r="BJ673" t="s">
        <v>74</v>
      </c>
      <c r="BK673" t="s">
        <v>74</v>
      </c>
      <c r="BL673" t="s">
        <v>74</v>
      </c>
      <c r="BM673" t="s">
        <v>74</v>
      </c>
      <c r="BN673" t="s">
        <v>74</v>
      </c>
      <c r="BO673" t="s">
        <v>74</v>
      </c>
      <c r="BP673" t="s">
        <v>74</v>
      </c>
      <c r="BQ673" t="s">
        <v>74</v>
      </c>
      <c r="BR673" t="s">
        <v>74</v>
      </c>
      <c r="BS673" t="s">
        <v>5645</v>
      </c>
      <c r="BT673" t="str">
        <f>HYPERLINK("https%3A%2F%2Fwww.webofscience.com%2Fwos%2Fwoscc%2Ffull-record%2FWOS:000323040200010","View Full Record in Web of Science")</f>
        <v>View Full Record in Web of Science</v>
      </c>
    </row>
    <row r="674" spans="1:72" x14ac:dyDescent="0.4">
      <c r="A674" t="s">
        <v>72</v>
      </c>
      <c r="B674" t="s">
        <v>3806</v>
      </c>
      <c r="C674" t="s">
        <v>74</v>
      </c>
      <c r="D674" t="s">
        <v>74</v>
      </c>
      <c r="E674" t="s">
        <v>74</v>
      </c>
      <c r="F674" t="s">
        <v>3807</v>
      </c>
      <c r="G674" t="s">
        <v>74</v>
      </c>
      <c r="H674" t="s">
        <v>74</v>
      </c>
      <c r="I674" t="s">
        <v>3808</v>
      </c>
      <c r="J674" t="s">
        <v>333</v>
      </c>
      <c r="K674" t="s">
        <v>74</v>
      </c>
      <c r="L674" t="s">
        <v>74</v>
      </c>
      <c r="M674" t="s">
        <v>74</v>
      </c>
      <c r="N674" t="s">
        <v>74</v>
      </c>
      <c r="O674" t="s">
        <v>74</v>
      </c>
      <c r="P674" t="s">
        <v>74</v>
      </c>
      <c r="Q674" t="s">
        <v>74</v>
      </c>
      <c r="R674" t="s">
        <v>74</v>
      </c>
      <c r="S674" t="s">
        <v>74</v>
      </c>
      <c r="T674" t="s">
        <v>74</v>
      </c>
      <c r="U674" t="s">
        <v>74</v>
      </c>
      <c r="V674" s="3" t="s">
        <v>3809</v>
      </c>
      <c r="W674" t="s">
        <v>74</v>
      </c>
      <c r="X674" t="s">
        <v>74</v>
      </c>
      <c r="Y674" t="s">
        <v>74</v>
      </c>
      <c r="Z674" t="s">
        <v>74</v>
      </c>
      <c r="AA674" t="s">
        <v>3810</v>
      </c>
      <c r="AB674" t="s">
        <v>3811</v>
      </c>
      <c r="AC674" t="s">
        <v>74</v>
      </c>
      <c r="AD674" t="s">
        <v>74</v>
      </c>
      <c r="AE674" t="s">
        <v>74</v>
      </c>
      <c r="AF674" t="s">
        <v>74</v>
      </c>
      <c r="AG674" t="s">
        <v>74</v>
      </c>
      <c r="AH674" t="s">
        <v>74</v>
      </c>
      <c r="AI674" t="s">
        <v>74</v>
      </c>
      <c r="AJ674" t="s">
        <v>74</v>
      </c>
      <c r="AK674" t="s">
        <v>74</v>
      </c>
      <c r="AL674" t="s">
        <v>74</v>
      </c>
      <c r="AM674" t="s">
        <v>74</v>
      </c>
      <c r="AN674" t="s">
        <v>74</v>
      </c>
      <c r="AO674" t="s">
        <v>337</v>
      </c>
      <c r="AP674" t="s">
        <v>338</v>
      </c>
      <c r="AQ674" t="s">
        <v>74</v>
      </c>
      <c r="AR674" t="s">
        <v>74</v>
      </c>
      <c r="AS674" t="s">
        <v>74</v>
      </c>
      <c r="AT674" t="s">
        <v>1475</v>
      </c>
      <c r="AU674">
        <v>2016</v>
      </c>
      <c r="AV674">
        <v>27</v>
      </c>
      <c r="AW674">
        <v>1</v>
      </c>
      <c r="AX674" t="s">
        <v>74</v>
      </c>
      <c r="AY674" t="s">
        <v>74</v>
      </c>
      <c r="AZ674" t="s">
        <v>74</v>
      </c>
      <c r="BA674" t="s">
        <v>74</v>
      </c>
      <c r="BB674">
        <v>262</v>
      </c>
      <c r="BC674">
        <v>270</v>
      </c>
      <c r="BD674" t="s">
        <v>74</v>
      </c>
      <c r="BE674" t="s">
        <v>3812</v>
      </c>
      <c r="BF674" t="str">
        <f>HYPERLINK("http://dx.doi.org/10.1093/beheco/arv149","http://dx.doi.org/10.1093/beheco/arv149")</f>
        <v>http://dx.doi.org/10.1093/beheco/arv149</v>
      </c>
      <c r="BG674" t="s">
        <v>74</v>
      </c>
      <c r="BH674" t="s">
        <v>74</v>
      </c>
      <c r="BI674" t="s">
        <v>74</v>
      </c>
      <c r="BJ674" t="s">
        <v>74</v>
      </c>
      <c r="BK674" t="s">
        <v>74</v>
      </c>
      <c r="BL674" t="s">
        <v>74</v>
      </c>
      <c r="BM674" t="s">
        <v>74</v>
      </c>
      <c r="BN674" t="s">
        <v>74</v>
      </c>
      <c r="BO674" t="s">
        <v>74</v>
      </c>
      <c r="BP674" t="s">
        <v>74</v>
      </c>
      <c r="BQ674" t="s">
        <v>74</v>
      </c>
      <c r="BR674" t="s">
        <v>74</v>
      </c>
      <c r="BS674" t="s">
        <v>3813</v>
      </c>
      <c r="BT674" t="str">
        <f>HYPERLINK("https%3A%2F%2Fwww.webofscience.com%2Fwos%2Fwoscc%2Ffull-record%2FWOS:000374768300038","View Full Record in Web of Science")</f>
        <v>View Full Record in Web of Science</v>
      </c>
    </row>
    <row r="675" spans="1:72" x14ac:dyDescent="0.4">
      <c r="A675" t="s">
        <v>72</v>
      </c>
      <c r="B675" t="s">
        <v>1412</v>
      </c>
      <c r="C675" t="s">
        <v>74</v>
      </c>
      <c r="D675" t="s">
        <v>74</v>
      </c>
      <c r="E675" t="s">
        <v>74</v>
      </c>
      <c r="F675" t="s">
        <v>1413</v>
      </c>
      <c r="G675" t="s">
        <v>74</v>
      </c>
      <c r="H675" t="s">
        <v>74</v>
      </c>
      <c r="I675" t="s">
        <v>1414</v>
      </c>
      <c r="J675" t="s">
        <v>312</v>
      </c>
      <c r="K675" t="s">
        <v>74</v>
      </c>
      <c r="L675" t="s">
        <v>74</v>
      </c>
      <c r="M675" t="s">
        <v>74</v>
      </c>
      <c r="N675" t="s">
        <v>74</v>
      </c>
      <c r="O675" t="s">
        <v>74</v>
      </c>
      <c r="P675" t="s">
        <v>74</v>
      </c>
      <c r="Q675" t="s">
        <v>74</v>
      </c>
      <c r="R675" t="s">
        <v>74</v>
      </c>
      <c r="S675" t="s">
        <v>74</v>
      </c>
      <c r="T675" t="s">
        <v>74</v>
      </c>
      <c r="U675" t="s">
        <v>74</v>
      </c>
      <c r="V675" s="3" t="s">
        <v>1415</v>
      </c>
      <c r="W675" t="s">
        <v>74</v>
      </c>
      <c r="X675" t="s">
        <v>74</v>
      </c>
      <c r="Y675" t="s">
        <v>74</v>
      </c>
      <c r="Z675" t="s">
        <v>74</v>
      </c>
      <c r="AA675" t="s">
        <v>1416</v>
      </c>
      <c r="AB675" t="s">
        <v>74</v>
      </c>
      <c r="AC675" t="s">
        <v>74</v>
      </c>
      <c r="AD675" t="s">
        <v>74</v>
      </c>
      <c r="AE675" t="s">
        <v>74</v>
      </c>
      <c r="AF675" t="s">
        <v>74</v>
      </c>
      <c r="AG675" t="s">
        <v>74</v>
      </c>
      <c r="AH675" t="s">
        <v>74</v>
      </c>
      <c r="AI675" t="s">
        <v>74</v>
      </c>
      <c r="AJ675" t="s">
        <v>74</v>
      </c>
      <c r="AK675" t="s">
        <v>74</v>
      </c>
      <c r="AL675" t="s">
        <v>74</v>
      </c>
      <c r="AM675" t="s">
        <v>74</v>
      </c>
      <c r="AN675" t="s">
        <v>74</v>
      </c>
      <c r="AO675" t="s">
        <v>314</v>
      </c>
      <c r="AP675" t="s">
        <v>315</v>
      </c>
      <c r="AQ675" t="s">
        <v>74</v>
      </c>
      <c r="AR675" t="s">
        <v>74</v>
      </c>
      <c r="AS675" t="s">
        <v>74</v>
      </c>
      <c r="AT675" t="s">
        <v>633</v>
      </c>
      <c r="AU675">
        <v>2015</v>
      </c>
      <c r="AV675">
        <v>185</v>
      </c>
      <c r="AW675">
        <v>4</v>
      </c>
      <c r="AX675" t="s">
        <v>74</v>
      </c>
      <c r="AY675" t="s">
        <v>74</v>
      </c>
      <c r="AZ675" t="s">
        <v>74</v>
      </c>
      <c r="BA675" t="s">
        <v>74</v>
      </c>
      <c r="BB675">
        <v>443</v>
      </c>
      <c r="BC675">
        <v>451</v>
      </c>
      <c r="BD675" t="s">
        <v>74</v>
      </c>
      <c r="BE675" t="s">
        <v>1417</v>
      </c>
      <c r="BF675" t="str">
        <f>HYPERLINK("http://dx.doi.org/10.1086/680206","http://dx.doi.org/10.1086/680206")</f>
        <v>http://dx.doi.org/10.1086/680206</v>
      </c>
      <c r="BG675" t="s">
        <v>74</v>
      </c>
      <c r="BH675" t="s">
        <v>74</v>
      </c>
      <c r="BI675" t="s">
        <v>74</v>
      </c>
      <c r="BJ675" t="s">
        <v>74</v>
      </c>
      <c r="BK675" t="s">
        <v>74</v>
      </c>
      <c r="BL675" t="s">
        <v>74</v>
      </c>
      <c r="BM675" t="s">
        <v>74</v>
      </c>
      <c r="BN675">
        <v>25811081</v>
      </c>
      <c r="BO675" t="s">
        <v>74</v>
      </c>
      <c r="BP675" t="s">
        <v>74</v>
      </c>
      <c r="BQ675" t="s">
        <v>74</v>
      </c>
      <c r="BR675" t="s">
        <v>74</v>
      </c>
      <c r="BS675" t="s">
        <v>1418</v>
      </c>
      <c r="BT675" t="str">
        <f>HYPERLINK("https%3A%2F%2Fwww.webofscience.com%2Fwos%2Fwoscc%2Ffull-record%2FWOS:000351859700005","View Full Record in Web of Science")</f>
        <v>View Full Record in Web of Science</v>
      </c>
    </row>
    <row r="676" spans="1:72" x14ac:dyDescent="0.4">
      <c r="A676" t="s">
        <v>72</v>
      </c>
      <c r="B676" t="s">
        <v>689</v>
      </c>
      <c r="C676" t="s">
        <v>74</v>
      </c>
      <c r="D676" t="s">
        <v>74</v>
      </c>
      <c r="E676" t="s">
        <v>74</v>
      </c>
      <c r="F676" t="s">
        <v>689</v>
      </c>
      <c r="G676" t="s">
        <v>74</v>
      </c>
      <c r="H676" t="s">
        <v>74</v>
      </c>
      <c r="I676" t="s">
        <v>690</v>
      </c>
      <c r="J676" t="s">
        <v>691</v>
      </c>
      <c r="K676" t="s">
        <v>74</v>
      </c>
      <c r="L676" t="s">
        <v>74</v>
      </c>
      <c r="M676" t="s">
        <v>74</v>
      </c>
      <c r="N676" t="s">
        <v>74</v>
      </c>
      <c r="O676" t="s">
        <v>74</v>
      </c>
      <c r="P676" t="s">
        <v>74</v>
      </c>
      <c r="Q676" t="s">
        <v>74</v>
      </c>
      <c r="R676" t="s">
        <v>74</v>
      </c>
      <c r="S676" t="s">
        <v>74</v>
      </c>
      <c r="T676" t="s">
        <v>74</v>
      </c>
      <c r="U676" t="s">
        <v>74</v>
      </c>
      <c r="V676" s="3" t="s">
        <v>692</v>
      </c>
      <c r="W676" t="s">
        <v>74</v>
      </c>
      <c r="X676" t="s">
        <v>74</v>
      </c>
      <c r="Y676" t="s">
        <v>74</v>
      </c>
      <c r="Z676" t="s">
        <v>74</v>
      </c>
      <c r="AA676" t="s">
        <v>693</v>
      </c>
      <c r="AB676" t="s">
        <v>694</v>
      </c>
      <c r="AC676" t="s">
        <v>74</v>
      </c>
      <c r="AD676" t="s">
        <v>74</v>
      </c>
      <c r="AE676" t="s">
        <v>74</v>
      </c>
      <c r="AF676" t="s">
        <v>74</v>
      </c>
      <c r="AG676" t="s">
        <v>74</v>
      </c>
      <c r="AH676" t="s">
        <v>74</v>
      </c>
      <c r="AI676" t="s">
        <v>74</v>
      </c>
      <c r="AJ676" t="s">
        <v>74</v>
      </c>
      <c r="AK676" t="s">
        <v>74</v>
      </c>
      <c r="AL676" t="s">
        <v>74</v>
      </c>
      <c r="AM676" t="s">
        <v>74</v>
      </c>
      <c r="AN676" t="s">
        <v>74</v>
      </c>
      <c r="AO676" t="s">
        <v>695</v>
      </c>
      <c r="AP676" t="s">
        <v>74</v>
      </c>
      <c r="AQ676" t="s">
        <v>74</v>
      </c>
      <c r="AR676" t="s">
        <v>74</v>
      </c>
      <c r="AS676" t="s">
        <v>74</v>
      </c>
      <c r="AT676" t="s">
        <v>145</v>
      </c>
      <c r="AU676">
        <v>1995</v>
      </c>
      <c r="AV676">
        <v>58</v>
      </c>
      <c r="AW676">
        <v>2</v>
      </c>
      <c r="AX676" t="s">
        <v>74</v>
      </c>
      <c r="AY676" t="s">
        <v>74</v>
      </c>
      <c r="AZ676" t="s">
        <v>74</v>
      </c>
      <c r="BA676" t="s">
        <v>74</v>
      </c>
      <c r="BB676">
        <v>323</v>
      </c>
      <c r="BC676">
        <v>328</v>
      </c>
      <c r="BD676" t="s">
        <v>74</v>
      </c>
      <c r="BE676" t="s">
        <v>696</v>
      </c>
      <c r="BF676" t="str">
        <f>HYPERLINK("http://dx.doi.org/10.1016/0031-9384(95)00061-M","http://dx.doi.org/10.1016/0031-9384(95)00061-M")</f>
        <v>http://dx.doi.org/10.1016/0031-9384(95)00061-M</v>
      </c>
      <c r="BG676" t="s">
        <v>74</v>
      </c>
      <c r="BH676" t="s">
        <v>74</v>
      </c>
      <c r="BI676" t="s">
        <v>74</v>
      </c>
      <c r="BJ676" t="s">
        <v>74</v>
      </c>
      <c r="BK676" t="s">
        <v>74</v>
      </c>
      <c r="BL676" t="s">
        <v>74</v>
      </c>
      <c r="BM676" t="s">
        <v>74</v>
      </c>
      <c r="BN676">
        <v>7568436</v>
      </c>
      <c r="BO676" t="s">
        <v>74</v>
      </c>
      <c r="BP676" t="s">
        <v>74</v>
      </c>
      <c r="BQ676" t="s">
        <v>74</v>
      </c>
      <c r="BR676" t="s">
        <v>74</v>
      </c>
      <c r="BS676" t="s">
        <v>697</v>
      </c>
      <c r="BT676" t="str">
        <f>HYPERLINK("https%3A%2F%2Fwww.webofscience.com%2Fwos%2Fwoscc%2Ffull-record%2FWOS:A1995RH18300016","View Full Record in Web of Science")</f>
        <v>View Full Record in Web of Science</v>
      </c>
    </row>
    <row r="677" spans="1:72" x14ac:dyDescent="0.4">
      <c r="A677" t="s">
        <v>72</v>
      </c>
      <c r="B677" t="s">
        <v>7812</v>
      </c>
      <c r="C677" t="s">
        <v>74</v>
      </c>
      <c r="D677" t="s">
        <v>74</v>
      </c>
      <c r="E677" t="s">
        <v>74</v>
      </c>
      <c r="F677" t="s">
        <v>7813</v>
      </c>
      <c r="G677" t="s">
        <v>74</v>
      </c>
      <c r="H677" t="s">
        <v>74</v>
      </c>
      <c r="I677" t="s">
        <v>7814</v>
      </c>
      <c r="J677" t="s">
        <v>803</v>
      </c>
      <c r="K677" t="s">
        <v>74</v>
      </c>
      <c r="L677" t="s">
        <v>74</v>
      </c>
      <c r="M677" t="s">
        <v>74</v>
      </c>
      <c r="N677" t="s">
        <v>74</v>
      </c>
      <c r="O677" t="s">
        <v>74</v>
      </c>
      <c r="P677" t="s">
        <v>74</v>
      </c>
      <c r="Q677" t="s">
        <v>74</v>
      </c>
      <c r="R677" t="s">
        <v>74</v>
      </c>
      <c r="S677" t="s">
        <v>74</v>
      </c>
      <c r="T677" t="s">
        <v>74</v>
      </c>
      <c r="U677" t="s">
        <v>74</v>
      </c>
      <c r="V677" s="3" t="s">
        <v>7815</v>
      </c>
      <c r="W677" t="s">
        <v>74</v>
      </c>
      <c r="X677" t="s">
        <v>74</v>
      </c>
      <c r="Y677" t="s">
        <v>74</v>
      </c>
      <c r="Z677" t="s">
        <v>74</v>
      </c>
      <c r="AA677" t="s">
        <v>7816</v>
      </c>
      <c r="AB677" t="s">
        <v>7817</v>
      </c>
      <c r="AC677" t="s">
        <v>74</v>
      </c>
      <c r="AD677" t="s">
        <v>74</v>
      </c>
      <c r="AE677" t="s">
        <v>74</v>
      </c>
      <c r="AF677" t="s">
        <v>74</v>
      </c>
      <c r="AG677" t="s">
        <v>74</v>
      </c>
      <c r="AH677" t="s">
        <v>74</v>
      </c>
      <c r="AI677" t="s">
        <v>74</v>
      </c>
      <c r="AJ677" t="s">
        <v>74</v>
      </c>
      <c r="AK677" t="s">
        <v>74</v>
      </c>
      <c r="AL677" t="s">
        <v>74</v>
      </c>
      <c r="AM677" t="s">
        <v>74</v>
      </c>
      <c r="AN677" t="s">
        <v>74</v>
      </c>
      <c r="AO677" t="s">
        <v>806</v>
      </c>
      <c r="AP677" t="s">
        <v>807</v>
      </c>
      <c r="AQ677" t="s">
        <v>74</v>
      </c>
      <c r="AR677" t="s">
        <v>74</v>
      </c>
      <c r="AS677" t="s">
        <v>74</v>
      </c>
      <c r="AT677" t="s">
        <v>1475</v>
      </c>
      <c r="AU677">
        <v>2021</v>
      </c>
      <c r="AV677">
        <v>41</v>
      </c>
      <c r="AW677" t="s">
        <v>74</v>
      </c>
      <c r="AX677" t="s">
        <v>74</v>
      </c>
      <c r="AY677" t="s">
        <v>74</v>
      </c>
      <c r="AZ677" t="s">
        <v>74</v>
      </c>
      <c r="BA677" t="s">
        <v>74</v>
      </c>
      <c r="BB677">
        <v>12</v>
      </c>
      <c r="BC677">
        <v>21</v>
      </c>
      <c r="BD677" t="s">
        <v>74</v>
      </c>
      <c r="BE677" t="s">
        <v>7818</v>
      </c>
      <c r="BF677" t="str">
        <f>HYPERLINK("http://dx.doi.org/10.1016/j.jveb.2020.10.007","http://dx.doi.org/10.1016/j.jveb.2020.10.007")</f>
        <v>http://dx.doi.org/10.1016/j.jveb.2020.10.007</v>
      </c>
      <c r="BG677" t="s">
        <v>74</v>
      </c>
      <c r="BH677" t="s">
        <v>74</v>
      </c>
      <c r="BI677" t="s">
        <v>74</v>
      </c>
      <c r="BJ677" t="s">
        <v>74</v>
      </c>
      <c r="BK677" t="s">
        <v>74</v>
      </c>
      <c r="BL677" t="s">
        <v>74</v>
      </c>
      <c r="BM677" t="s">
        <v>74</v>
      </c>
      <c r="BN677" t="s">
        <v>74</v>
      </c>
      <c r="BO677" t="s">
        <v>74</v>
      </c>
      <c r="BP677" t="s">
        <v>74</v>
      </c>
      <c r="BQ677" t="s">
        <v>74</v>
      </c>
      <c r="BR677" t="s">
        <v>74</v>
      </c>
      <c r="BS677" t="s">
        <v>7819</v>
      </c>
      <c r="BT677" t="str">
        <f>HYPERLINK("https%3A%2F%2Fwww.webofscience.com%2Fwos%2Fwoscc%2Ffull-record%2FWOS:000632186500001","View Full Record in Web of Science")</f>
        <v>View Full Record in Web of Science</v>
      </c>
    </row>
    <row r="678" spans="1:72" x14ac:dyDescent="0.4">
      <c r="A678" t="s">
        <v>72</v>
      </c>
      <c r="B678" t="s">
        <v>5673</v>
      </c>
      <c r="C678" t="s">
        <v>74</v>
      </c>
      <c r="D678" t="s">
        <v>74</v>
      </c>
      <c r="E678" t="s">
        <v>74</v>
      </c>
      <c r="F678" t="s">
        <v>5674</v>
      </c>
      <c r="G678" t="s">
        <v>74</v>
      </c>
      <c r="H678" t="s">
        <v>74</v>
      </c>
      <c r="I678" t="s">
        <v>5675</v>
      </c>
      <c r="J678" t="s">
        <v>129</v>
      </c>
      <c r="K678" t="s">
        <v>74</v>
      </c>
      <c r="L678" t="s">
        <v>74</v>
      </c>
      <c r="M678" t="s">
        <v>74</v>
      </c>
      <c r="N678" t="s">
        <v>74</v>
      </c>
      <c r="O678" t="s">
        <v>74</v>
      </c>
      <c r="P678" t="s">
        <v>74</v>
      </c>
      <c r="Q678" t="s">
        <v>74</v>
      </c>
      <c r="R678" t="s">
        <v>74</v>
      </c>
      <c r="S678" t="s">
        <v>74</v>
      </c>
      <c r="T678" t="s">
        <v>74</v>
      </c>
      <c r="U678" t="s">
        <v>74</v>
      </c>
      <c r="V678" s="3" t="s">
        <v>5676</v>
      </c>
      <c r="W678" t="s">
        <v>74</v>
      </c>
      <c r="X678" t="s">
        <v>74</v>
      </c>
      <c r="Y678" t="s">
        <v>74</v>
      </c>
      <c r="Z678" t="s">
        <v>74</v>
      </c>
      <c r="AA678" t="s">
        <v>5677</v>
      </c>
      <c r="AB678" t="s">
        <v>5678</v>
      </c>
      <c r="AC678" t="s">
        <v>74</v>
      </c>
      <c r="AD678" t="s">
        <v>74</v>
      </c>
      <c r="AE678" t="s">
        <v>74</v>
      </c>
      <c r="AF678" t="s">
        <v>74</v>
      </c>
      <c r="AG678" t="s">
        <v>74</v>
      </c>
      <c r="AH678" t="s">
        <v>74</v>
      </c>
      <c r="AI678" t="s">
        <v>74</v>
      </c>
      <c r="AJ678" t="s">
        <v>74</v>
      </c>
      <c r="AK678" t="s">
        <v>74</v>
      </c>
      <c r="AL678" t="s">
        <v>74</v>
      </c>
      <c r="AM678" t="s">
        <v>74</v>
      </c>
      <c r="AN678" t="s">
        <v>74</v>
      </c>
      <c r="AO678" t="s">
        <v>132</v>
      </c>
      <c r="AP678" t="s">
        <v>133</v>
      </c>
      <c r="AQ678" t="s">
        <v>74</v>
      </c>
      <c r="AR678" t="s">
        <v>74</v>
      </c>
      <c r="AS678" t="s">
        <v>74</v>
      </c>
      <c r="AT678" t="s">
        <v>305</v>
      </c>
      <c r="AU678">
        <v>2018</v>
      </c>
      <c r="AV678">
        <v>72</v>
      </c>
      <c r="AW678">
        <v>12</v>
      </c>
      <c r="AX678" t="s">
        <v>74</v>
      </c>
      <c r="AY678" t="s">
        <v>74</v>
      </c>
      <c r="AZ678" t="s">
        <v>74</v>
      </c>
      <c r="BA678" t="s">
        <v>74</v>
      </c>
      <c r="BB678" t="s">
        <v>74</v>
      </c>
      <c r="BC678" t="s">
        <v>74</v>
      </c>
      <c r="BD678">
        <v>189</v>
      </c>
      <c r="BE678" t="s">
        <v>5679</v>
      </c>
      <c r="BF678" t="str">
        <f>HYPERLINK("http://dx.doi.org/10.1007/s00265-018-2617-0","http://dx.doi.org/10.1007/s00265-018-2617-0")</f>
        <v>http://dx.doi.org/10.1007/s00265-018-2617-0</v>
      </c>
      <c r="BG678" t="s">
        <v>74</v>
      </c>
      <c r="BH678" t="s">
        <v>74</v>
      </c>
      <c r="BI678" t="s">
        <v>74</v>
      </c>
      <c r="BJ678" t="s">
        <v>74</v>
      </c>
      <c r="BK678" t="s">
        <v>74</v>
      </c>
      <c r="BL678" t="s">
        <v>74</v>
      </c>
      <c r="BM678" t="s">
        <v>74</v>
      </c>
      <c r="BN678" t="s">
        <v>74</v>
      </c>
      <c r="BO678" t="s">
        <v>74</v>
      </c>
      <c r="BP678" t="s">
        <v>74</v>
      </c>
      <c r="BQ678" t="s">
        <v>74</v>
      </c>
      <c r="BR678" t="s">
        <v>74</v>
      </c>
      <c r="BS678" t="s">
        <v>5680</v>
      </c>
      <c r="BT678" t="str">
        <f>HYPERLINK("https%3A%2F%2Fwww.webofscience.com%2Fwos%2Fwoscc%2Ffull-record%2FWOS:000451753200001","View Full Record in Web of Science")</f>
        <v>View Full Record in Web of Science</v>
      </c>
    </row>
    <row r="679" spans="1:72" x14ac:dyDescent="0.4">
      <c r="A679" t="s">
        <v>72</v>
      </c>
      <c r="B679" t="s">
        <v>5395</v>
      </c>
      <c r="C679" t="s">
        <v>74</v>
      </c>
      <c r="D679" t="s">
        <v>74</v>
      </c>
      <c r="E679" t="s">
        <v>74</v>
      </c>
      <c r="F679" t="s">
        <v>5396</v>
      </c>
      <c r="G679" t="s">
        <v>74</v>
      </c>
      <c r="H679" t="s">
        <v>74</v>
      </c>
      <c r="I679" t="s">
        <v>5397</v>
      </c>
      <c r="J679" t="s">
        <v>1656</v>
      </c>
      <c r="K679" t="s">
        <v>74</v>
      </c>
      <c r="L679" t="s">
        <v>74</v>
      </c>
      <c r="M679" t="s">
        <v>74</v>
      </c>
      <c r="N679" t="s">
        <v>74</v>
      </c>
      <c r="O679" t="s">
        <v>74</v>
      </c>
      <c r="P679" t="s">
        <v>74</v>
      </c>
      <c r="Q679" t="s">
        <v>74</v>
      </c>
      <c r="R679" t="s">
        <v>74</v>
      </c>
      <c r="S679" t="s">
        <v>74</v>
      </c>
      <c r="T679" t="s">
        <v>74</v>
      </c>
      <c r="U679" t="s">
        <v>74</v>
      </c>
      <c r="V679" s="3" t="s">
        <v>5398</v>
      </c>
      <c r="W679" t="s">
        <v>74</v>
      </c>
      <c r="X679" t="s">
        <v>74</v>
      </c>
      <c r="Y679" t="s">
        <v>74</v>
      </c>
      <c r="Z679" t="s">
        <v>74</v>
      </c>
      <c r="AA679" t="s">
        <v>5399</v>
      </c>
      <c r="AB679" t="s">
        <v>5400</v>
      </c>
      <c r="AC679" t="s">
        <v>74</v>
      </c>
      <c r="AD679" t="s">
        <v>74</v>
      </c>
      <c r="AE679" t="s">
        <v>74</v>
      </c>
      <c r="AF679" t="s">
        <v>74</v>
      </c>
      <c r="AG679" t="s">
        <v>74</v>
      </c>
      <c r="AH679" t="s">
        <v>74</v>
      </c>
      <c r="AI679" t="s">
        <v>74</v>
      </c>
      <c r="AJ679" t="s">
        <v>74</v>
      </c>
      <c r="AK679" t="s">
        <v>74</v>
      </c>
      <c r="AL679" t="s">
        <v>74</v>
      </c>
      <c r="AM679" t="s">
        <v>74</v>
      </c>
      <c r="AN679" t="s">
        <v>74</v>
      </c>
      <c r="AO679" t="s">
        <v>1658</v>
      </c>
      <c r="AP679" t="s">
        <v>1659</v>
      </c>
      <c r="AQ679" t="s">
        <v>74</v>
      </c>
      <c r="AR679" t="s">
        <v>74</v>
      </c>
      <c r="AS679" t="s">
        <v>74</v>
      </c>
      <c r="AT679" t="s">
        <v>5401</v>
      </c>
      <c r="AU679">
        <v>2014</v>
      </c>
      <c r="AV679">
        <v>3893</v>
      </c>
      <c r="AW679">
        <v>2</v>
      </c>
      <c r="AX679" t="s">
        <v>74</v>
      </c>
      <c r="AY679" t="s">
        <v>74</v>
      </c>
      <c r="AZ679" t="s">
        <v>74</v>
      </c>
      <c r="BA679" t="s">
        <v>74</v>
      </c>
      <c r="BB679">
        <v>277</v>
      </c>
      <c r="BC679">
        <v>292</v>
      </c>
      <c r="BD679" t="s">
        <v>74</v>
      </c>
      <c r="BE679" t="s">
        <v>5402</v>
      </c>
      <c r="BF679" t="str">
        <f>HYPERLINK("http://dx.doi.org/10.11646/zootaxa.3893.2.7","http://dx.doi.org/10.11646/zootaxa.3893.2.7")</f>
        <v>http://dx.doi.org/10.11646/zootaxa.3893.2.7</v>
      </c>
      <c r="BG679" t="s">
        <v>74</v>
      </c>
      <c r="BH679" t="s">
        <v>74</v>
      </c>
      <c r="BI679" t="s">
        <v>74</v>
      </c>
      <c r="BJ679" t="s">
        <v>74</v>
      </c>
      <c r="BK679" t="s">
        <v>74</v>
      </c>
      <c r="BL679" t="s">
        <v>74</v>
      </c>
      <c r="BM679" t="s">
        <v>74</v>
      </c>
      <c r="BN679">
        <v>25544523</v>
      </c>
      <c r="BO679" t="s">
        <v>74</v>
      </c>
      <c r="BP679" t="s">
        <v>74</v>
      </c>
      <c r="BQ679" t="s">
        <v>74</v>
      </c>
      <c r="BR679" t="s">
        <v>74</v>
      </c>
      <c r="BS679" t="s">
        <v>5403</v>
      </c>
      <c r="BT679" t="str">
        <f>HYPERLINK("https%3A%2F%2Fwww.webofscience.com%2Fwos%2Fwoscc%2Ffull-record%2FWOS:000346874900007","View Full Record in Web of Science")</f>
        <v>View Full Record in Web of Science</v>
      </c>
    </row>
    <row r="680" spans="1:72" x14ac:dyDescent="0.4">
      <c r="A680" t="s">
        <v>72</v>
      </c>
      <c r="B680" t="s">
        <v>5188</v>
      </c>
      <c r="C680" t="s">
        <v>74</v>
      </c>
      <c r="D680" t="s">
        <v>74</v>
      </c>
      <c r="E680" t="s">
        <v>74</v>
      </c>
      <c r="F680" t="s">
        <v>5188</v>
      </c>
      <c r="G680" t="s">
        <v>74</v>
      </c>
      <c r="H680" t="s">
        <v>74</v>
      </c>
      <c r="I680" t="s">
        <v>5189</v>
      </c>
      <c r="J680" t="s">
        <v>431</v>
      </c>
      <c r="K680" t="s">
        <v>74</v>
      </c>
      <c r="L680" t="s">
        <v>74</v>
      </c>
      <c r="M680" t="s">
        <v>74</v>
      </c>
      <c r="N680" t="s">
        <v>74</v>
      </c>
      <c r="O680" t="s">
        <v>74</v>
      </c>
      <c r="P680" t="s">
        <v>74</v>
      </c>
      <c r="Q680" t="s">
        <v>74</v>
      </c>
      <c r="R680" t="s">
        <v>74</v>
      </c>
      <c r="S680" t="s">
        <v>74</v>
      </c>
      <c r="T680" t="s">
        <v>74</v>
      </c>
      <c r="U680" t="s">
        <v>74</v>
      </c>
      <c r="V680" s="3" t="s">
        <v>5190</v>
      </c>
      <c r="W680" t="s">
        <v>74</v>
      </c>
      <c r="X680" t="s">
        <v>74</v>
      </c>
      <c r="Y680" t="s">
        <v>74</v>
      </c>
      <c r="Z680" t="s">
        <v>74</v>
      </c>
      <c r="AA680" t="s">
        <v>74</v>
      </c>
      <c r="AB680" t="s">
        <v>74</v>
      </c>
      <c r="AC680" t="s">
        <v>74</v>
      </c>
      <c r="AD680" t="s">
        <v>74</v>
      </c>
      <c r="AE680" t="s">
        <v>74</v>
      </c>
      <c r="AF680" t="s">
        <v>74</v>
      </c>
      <c r="AG680" t="s">
        <v>74</v>
      </c>
      <c r="AH680" t="s">
        <v>74</v>
      </c>
      <c r="AI680" t="s">
        <v>74</v>
      </c>
      <c r="AJ680" t="s">
        <v>74</v>
      </c>
      <c r="AK680" t="s">
        <v>74</v>
      </c>
      <c r="AL680" t="s">
        <v>74</v>
      </c>
      <c r="AM680" t="s">
        <v>74</v>
      </c>
      <c r="AN680" t="s">
        <v>74</v>
      </c>
      <c r="AO680" t="s">
        <v>74</v>
      </c>
      <c r="AP680" t="s">
        <v>435</v>
      </c>
      <c r="AQ680" t="s">
        <v>74</v>
      </c>
      <c r="AR680" t="s">
        <v>74</v>
      </c>
      <c r="AS680" t="s">
        <v>74</v>
      </c>
      <c r="AT680" t="s">
        <v>74</v>
      </c>
      <c r="AU680">
        <v>1982</v>
      </c>
      <c r="AV680">
        <v>99</v>
      </c>
      <c r="AW680">
        <v>3</v>
      </c>
      <c r="AX680" t="s">
        <v>74</v>
      </c>
      <c r="AY680" t="s">
        <v>74</v>
      </c>
      <c r="AZ680" t="s">
        <v>74</v>
      </c>
      <c r="BA680" t="s">
        <v>74</v>
      </c>
      <c r="BB680">
        <v>548</v>
      </c>
      <c r="BC680">
        <v>554</v>
      </c>
      <c r="BD680" t="s">
        <v>74</v>
      </c>
      <c r="BE680" t="s">
        <v>74</v>
      </c>
      <c r="BF680" t="s">
        <v>74</v>
      </c>
      <c r="BG680" t="s">
        <v>74</v>
      </c>
      <c r="BH680" t="s">
        <v>74</v>
      </c>
      <c r="BI680" t="s">
        <v>74</v>
      </c>
      <c r="BJ680" t="s">
        <v>74</v>
      </c>
      <c r="BK680" t="s">
        <v>74</v>
      </c>
      <c r="BL680" t="s">
        <v>74</v>
      </c>
      <c r="BM680" t="s">
        <v>74</v>
      </c>
      <c r="BN680" t="s">
        <v>74</v>
      </c>
      <c r="BO680" t="s">
        <v>74</v>
      </c>
      <c r="BP680" t="s">
        <v>74</v>
      </c>
      <c r="BQ680" t="s">
        <v>74</v>
      </c>
      <c r="BR680" t="s">
        <v>74</v>
      </c>
      <c r="BS680" t="s">
        <v>5191</v>
      </c>
      <c r="BT680" t="str">
        <f>HYPERLINK("https%3A%2F%2Fwww.webofscience.com%2Fwos%2Fwoscc%2Ffull-record%2FWOS:A1982NY39800015","View Full Record in Web of Science")</f>
        <v>View Full Record in Web of Science</v>
      </c>
    </row>
    <row r="681" spans="1:72" x14ac:dyDescent="0.4">
      <c r="A681" t="s">
        <v>72</v>
      </c>
      <c r="B681" t="s">
        <v>2964</v>
      </c>
      <c r="C681" t="s">
        <v>74</v>
      </c>
      <c r="D681" t="s">
        <v>74</v>
      </c>
      <c r="E681" t="s">
        <v>74</v>
      </c>
      <c r="F681" t="s">
        <v>2964</v>
      </c>
      <c r="G681" t="s">
        <v>74</v>
      </c>
      <c r="H681" t="s">
        <v>74</v>
      </c>
      <c r="I681" t="s">
        <v>2965</v>
      </c>
      <c r="J681" t="s">
        <v>2966</v>
      </c>
      <c r="K681" t="s">
        <v>74</v>
      </c>
      <c r="L681" t="s">
        <v>74</v>
      </c>
      <c r="M681" t="s">
        <v>74</v>
      </c>
      <c r="N681" t="s">
        <v>74</v>
      </c>
      <c r="O681" t="s">
        <v>74</v>
      </c>
      <c r="P681" t="s">
        <v>74</v>
      </c>
      <c r="Q681" t="s">
        <v>74</v>
      </c>
      <c r="R681" t="s">
        <v>74</v>
      </c>
      <c r="S681" t="s">
        <v>74</v>
      </c>
      <c r="T681" t="s">
        <v>74</v>
      </c>
      <c r="U681" t="s">
        <v>74</v>
      </c>
      <c r="V681" s="3" t="s">
        <v>2967</v>
      </c>
      <c r="W681" t="s">
        <v>74</v>
      </c>
      <c r="X681" t="s">
        <v>74</v>
      </c>
      <c r="Y681" t="s">
        <v>74</v>
      </c>
      <c r="Z681" t="s">
        <v>74</v>
      </c>
      <c r="AA681" t="s">
        <v>74</v>
      </c>
      <c r="AB681" t="s">
        <v>74</v>
      </c>
      <c r="AC681" t="s">
        <v>74</v>
      </c>
      <c r="AD681" t="s">
        <v>74</v>
      </c>
      <c r="AE681" t="s">
        <v>74</v>
      </c>
      <c r="AF681" t="s">
        <v>74</v>
      </c>
      <c r="AG681" t="s">
        <v>74</v>
      </c>
      <c r="AH681" t="s">
        <v>74</v>
      </c>
      <c r="AI681" t="s">
        <v>74</v>
      </c>
      <c r="AJ681" t="s">
        <v>74</v>
      </c>
      <c r="AK681" t="s">
        <v>74</v>
      </c>
      <c r="AL681" t="s">
        <v>74</v>
      </c>
      <c r="AM681" t="s">
        <v>74</v>
      </c>
      <c r="AN681" t="s">
        <v>74</v>
      </c>
      <c r="AO681" t="s">
        <v>2968</v>
      </c>
      <c r="AP681" t="s">
        <v>2969</v>
      </c>
      <c r="AQ681" t="s">
        <v>74</v>
      </c>
      <c r="AR681" t="s">
        <v>74</v>
      </c>
      <c r="AS681" t="s">
        <v>74</v>
      </c>
      <c r="AT681" t="s">
        <v>957</v>
      </c>
      <c r="AU681">
        <v>1989</v>
      </c>
      <c r="AV681">
        <v>36</v>
      </c>
      <c r="AW681">
        <v>1</v>
      </c>
      <c r="AX681" t="s">
        <v>74</v>
      </c>
      <c r="AY681" t="s">
        <v>74</v>
      </c>
      <c r="AZ681" t="s">
        <v>74</v>
      </c>
      <c r="BA681" t="s">
        <v>74</v>
      </c>
      <c r="BB681">
        <v>30</v>
      </c>
      <c r="BC681">
        <v>41</v>
      </c>
      <c r="BD681" t="s">
        <v>74</v>
      </c>
      <c r="BE681" t="s">
        <v>2970</v>
      </c>
      <c r="BF681" t="str">
        <f>HYPERLINK("http://dx.doi.org/10.1007/BF02905670","http://dx.doi.org/10.1007/BF02905670")</f>
        <v>http://dx.doi.org/10.1007/BF02905670</v>
      </c>
      <c r="BG681" t="s">
        <v>74</v>
      </c>
      <c r="BH681" t="s">
        <v>74</v>
      </c>
      <c r="BI681" t="s">
        <v>74</v>
      </c>
      <c r="BJ681" t="s">
        <v>74</v>
      </c>
      <c r="BK681" t="s">
        <v>74</v>
      </c>
      <c r="BL681" t="s">
        <v>74</v>
      </c>
      <c r="BM681" t="s">
        <v>74</v>
      </c>
      <c r="BN681" t="s">
        <v>74</v>
      </c>
      <c r="BO681" t="s">
        <v>74</v>
      </c>
      <c r="BP681" t="s">
        <v>74</v>
      </c>
      <c r="BQ681" t="s">
        <v>74</v>
      </c>
      <c r="BR681" t="s">
        <v>74</v>
      </c>
      <c r="BS681" t="s">
        <v>2971</v>
      </c>
      <c r="BT681" t="str">
        <f>HYPERLINK("https%3A%2F%2Fwww.webofscience.com%2Fwos%2Fwoscc%2Ffull-record%2FWOS:A1989AD70900004","View Full Record in Web of Science")</f>
        <v>View Full Record in Web of Science</v>
      </c>
    </row>
    <row r="682" spans="1:72" x14ac:dyDescent="0.4">
      <c r="A682" t="s">
        <v>72</v>
      </c>
      <c r="B682" t="s">
        <v>6008</v>
      </c>
      <c r="C682" t="s">
        <v>74</v>
      </c>
      <c r="D682" t="s">
        <v>74</v>
      </c>
      <c r="E682" t="s">
        <v>74</v>
      </c>
      <c r="F682" t="s">
        <v>6008</v>
      </c>
      <c r="G682" t="s">
        <v>74</v>
      </c>
      <c r="H682" t="s">
        <v>74</v>
      </c>
      <c r="I682" t="s">
        <v>6009</v>
      </c>
      <c r="J682" t="s">
        <v>140</v>
      </c>
      <c r="K682" t="s">
        <v>74</v>
      </c>
      <c r="L682" t="s">
        <v>74</v>
      </c>
      <c r="M682" t="s">
        <v>74</v>
      </c>
      <c r="N682" t="s">
        <v>74</v>
      </c>
      <c r="O682" t="s">
        <v>74</v>
      </c>
      <c r="P682" t="s">
        <v>74</v>
      </c>
      <c r="Q682" t="s">
        <v>74</v>
      </c>
      <c r="R682" t="s">
        <v>74</v>
      </c>
      <c r="S682" t="s">
        <v>74</v>
      </c>
      <c r="T682" t="s">
        <v>74</v>
      </c>
      <c r="U682" t="s">
        <v>74</v>
      </c>
      <c r="V682" s="3" t="s">
        <v>6010</v>
      </c>
      <c r="W682" t="s">
        <v>74</v>
      </c>
      <c r="X682" t="s">
        <v>74</v>
      </c>
      <c r="Y682" t="s">
        <v>74</v>
      </c>
      <c r="Z682" t="s">
        <v>74</v>
      </c>
      <c r="AA682" t="s">
        <v>6011</v>
      </c>
      <c r="AB682" t="s">
        <v>6012</v>
      </c>
      <c r="AC682" t="s">
        <v>74</v>
      </c>
      <c r="AD682" t="s">
        <v>74</v>
      </c>
      <c r="AE682" t="s">
        <v>74</v>
      </c>
      <c r="AF682" t="s">
        <v>74</v>
      </c>
      <c r="AG682" t="s">
        <v>74</v>
      </c>
      <c r="AH682" t="s">
        <v>74</v>
      </c>
      <c r="AI682" t="s">
        <v>74</v>
      </c>
      <c r="AJ682" t="s">
        <v>74</v>
      </c>
      <c r="AK682" t="s">
        <v>74</v>
      </c>
      <c r="AL682" t="s">
        <v>74</v>
      </c>
      <c r="AM682" t="s">
        <v>74</v>
      </c>
      <c r="AN682" t="s">
        <v>74</v>
      </c>
      <c r="AO682" t="s">
        <v>143</v>
      </c>
      <c r="AP682" t="s">
        <v>144</v>
      </c>
      <c r="AQ682" t="s">
        <v>74</v>
      </c>
      <c r="AR682" t="s">
        <v>74</v>
      </c>
      <c r="AS682" t="s">
        <v>74</v>
      </c>
      <c r="AT682" t="s">
        <v>213</v>
      </c>
      <c r="AU682">
        <v>1997</v>
      </c>
      <c r="AV682">
        <v>54</v>
      </c>
      <c r="AW682" t="s">
        <v>74</v>
      </c>
      <c r="AX682">
        <v>5</v>
      </c>
      <c r="AY682" t="s">
        <v>74</v>
      </c>
      <c r="AZ682" t="s">
        <v>74</v>
      </c>
      <c r="BA682" t="s">
        <v>74</v>
      </c>
      <c r="BB682">
        <v>1205</v>
      </c>
      <c r="BC682">
        <v>1214</v>
      </c>
      <c r="BD682" t="s">
        <v>74</v>
      </c>
      <c r="BE682" t="s">
        <v>6013</v>
      </c>
      <c r="BF682" t="str">
        <f>HYPERLINK("http://dx.doi.org/10.1006/anbe.1997.0516","http://dx.doi.org/10.1006/anbe.1997.0516")</f>
        <v>http://dx.doi.org/10.1006/anbe.1997.0516</v>
      </c>
      <c r="BG682" t="s">
        <v>74</v>
      </c>
      <c r="BH682" t="s">
        <v>74</v>
      </c>
      <c r="BI682" t="s">
        <v>74</v>
      </c>
      <c r="BJ682" t="s">
        <v>74</v>
      </c>
      <c r="BK682" t="s">
        <v>74</v>
      </c>
      <c r="BL682" t="s">
        <v>74</v>
      </c>
      <c r="BM682" t="s">
        <v>74</v>
      </c>
      <c r="BN682">
        <v>9398373</v>
      </c>
      <c r="BO682" t="s">
        <v>74</v>
      </c>
      <c r="BP682" t="s">
        <v>74</v>
      </c>
      <c r="BQ682" t="s">
        <v>74</v>
      </c>
      <c r="BR682" t="s">
        <v>74</v>
      </c>
      <c r="BS682" t="s">
        <v>6014</v>
      </c>
      <c r="BT682" t="str">
        <f>HYPERLINK("https%3A%2F%2Fwww.webofscience.com%2Fwos%2Fwoscc%2Ffull-record%2FWOS:A1997YJ17400014","View Full Record in Web of Science")</f>
        <v>View Full Record in Web of Science</v>
      </c>
    </row>
    <row r="683" spans="1:72" x14ac:dyDescent="0.4">
      <c r="A683" t="s">
        <v>72</v>
      </c>
      <c r="B683" t="s">
        <v>5619</v>
      </c>
      <c r="C683" t="s">
        <v>74</v>
      </c>
      <c r="D683" t="s">
        <v>74</v>
      </c>
      <c r="E683" t="s">
        <v>74</v>
      </c>
      <c r="F683" t="s">
        <v>5619</v>
      </c>
      <c r="G683" t="s">
        <v>74</v>
      </c>
      <c r="H683" t="s">
        <v>74</v>
      </c>
      <c r="I683" t="s">
        <v>5620</v>
      </c>
      <c r="J683" t="s">
        <v>456</v>
      </c>
      <c r="K683" t="s">
        <v>74</v>
      </c>
      <c r="L683" t="s">
        <v>74</v>
      </c>
      <c r="M683" t="s">
        <v>74</v>
      </c>
      <c r="N683" t="s">
        <v>74</v>
      </c>
      <c r="O683" t="s">
        <v>74</v>
      </c>
      <c r="P683" t="s">
        <v>74</v>
      </c>
      <c r="Q683" t="s">
        <v>74</v>
      </c>
      <c r="R683" t="s">
        <v>74</v>
      </c>
      <c r="S683" t="s">
        <v>74</v>
      </c>
      <c r="T683" t="s">
        <v>74</v>
      </c>
      <c r="U683" t="s">
        <v>74</v>
      </c>
      <c r="V683" s="3" t="s">
        <v>5621</v>
      </c>
      <c r="W683" t="s">
        <v>74</v>
      </c>
      <c r="X683" t="s">
        <v>74</v>
      </c>
      <c r="Y683" t="s">
        <v>74</v>
      </c>
      <c r="Z683" t="s">
        <v>74</v>
      </c>
      <c r="AA683" t="s">
        <v>74</v>
      </c>
      <c r="AB683" t="s">
        <v>74</v>
      </c>
      <c r="AC683" t="s">
        <v>74</v>
      </c>
      <c r="AD683" t="s">
        <v>74</v>
      </c>
      <c r="AE683" t="s">
        <v>74</v>
      </c>
      <c r="AF683" t="s">
        <v>74</v>
      </c>
      <c r="AG683" t="s">
        <v>74</v>
      </c>
      <c r="AH683" t="s">
        <v>74</v>
      </c>
      <c r="AI683" t="s">
        <v>74</v>
      </c>
      <c r="AJ683" t="s">
        <v>74</v>
      </c>
      <c r="AK683" t="s">
        <v>74</v>
      </c>
      <c r="AL683" t="s">
        <v>74</v>
      </c>
      <c r="AM683" t="s">
        <v>74</v>
      </c>
      <c r="AN683" t="s">
        <v>74</v>
      </c>
      <c r="AO683" t="s">
        <v>460</v>
      </c>
      <c r="AP683" t="s">
        <v>461</v>
      </c>
      <c r="AQ683" t="s">
        <v>74</v>
      </c>
      <c r="AR683" t="s">
        <v>74</v>
      </c>
      <c r="AS683" t="s">
        <v>74</v>
      </c>
      <c r="AT683" t="s">
        <v>134</v>
      </c>
      <c r="AU683">
        <v>2004</v>
      </c>
      <c r="AV683">
        <v>263</v>
      </c>
      <c r="AW683" t="s">
        <v>74</v>
      </c>
      <c r="AX683">
        <v>1</v>
      </c>
      <c r="AY683" t="s">
        <v>74</v>
      </c>
      <c r="AZ683" t="s">
        <v>74</v>
      </c>
      <c r="BA683" t="s">
        <v>74</v>
      </c>
      <c r="BB683">
        <v>89</v>
      </c>
      <c r="BC683">
        <v>94</v>
      </c>
      <c r="BD683" t="s">
        <v>74</v>
      </c>
      <c r="BE683" t="s">
        <v>5622</v>
      </c>
      <c r="BF683" t="str">
        <f>HYPERLINK("http://dx.doi.org/10.1017/S0952836904004911","http://dx.doi.org/10.1017/S0952836904004911")</f>
        <v>http://dx.doi.org/10.1017/S0952836904004911</v>
      </c>
      <c r="BG683" t="s">
        <v>74</v>
      </c>
      <c r="BH683" t="s">
        <v>74</v>
      </c>
      <c r="BI683" t="s">
        <v>74</v>
      </c>
      <c r="BJ683" t="s">
        <v>74</v>
      </c>
      <c r="BK683" t="s">
        <v>74</v>
      </c>
      <c r="BL683" t="s">
        <v>74</v>
      </c>
      <c r="BM683" t="s">
        <v>74</v>
      </c>
      <c r="BN683" t="s">
        <v>74</v>
      </c>
      <c r="BO683" t="s">
        <v>74</v>
      </c>
      <c r="BP683" t="s">
        <v>74</v>
      </c>
      <c r="BQ683" t="s">
        <v>74</v>
      </c>
      <c r="BR683" t="s">
        <v>74</v>
      </c>
      <c r="BS683" t="s">
        <v>5623</v>
      </c>
      <c r="BT683" t="str">
        <f>HYPERLINK("https%3A%2F%2Fwww.webofscience.com%2Fwos%2Fwoscc%2Ffull-record%2FWOS:000221567900009","View Full Record in Web of Science")</f>
        <v>View Full Record in Web of Science</v>
      </c>
    </row>
    <row r="684" spans="1:72" x14ac:dyDescent="0.4">
      <c r="A684" t="s">
        <v>72</v>
      </c>
      <c r="B684" t="s">
        <v>4407</v>
      </c>
      <c r="C684" t="s">
        <v>74</v>
      </c>
      <c r="D684" t="s">
        <v>74</v>
      </c>
      <c r="E684" t="s">
        <v>74</v>
      </c>
      <c r="F684" t="s">
        <v>4408</v>
      </c>
      <c r="G684" t="s">
        <v>74</v>
      </c>
      <c r="H684" t="s">
        <v>74</v>
      </c>
      <c r="I684" t="s">
        <v>4409</v>
      </c>
      <c r="J684" t="s">
        <v>88</v>
      </c>
      <c r="K684" t="s">
        <v>74</v>
      </c>
      <c r="L684" t="s">
        <v>74</v>
      </c>
      <c r="M684" t="s">
        <v>74</v>
      </c>
      <c r="N684" t="s">
        <v>74</v>
      </c>
      <c r="O684" t="s">
        <v>74</v>
      </c>
      <c r="P684" t="s">
        <v>74</v>
      </c>
      <c r="Q684" t="s">
        <v>74</v>
      </c>
      <c r="R684" t="s">
        <v>74</v>
      </c>
      <c r="S684" t="s">
        <v>74</v>
      </c>
      <c r="T684" t="s">
        <v>74</v>
      </c>
      <c r="U684" t="s">
        <v>74</v>
      </c>
      <c r="V684" s="3" t="s">
        <v>4410</v>
      </c>
      <c r="W684" t="s">
        <v>74</v>
      </c>
      <c r="X684" t="s">
        <v>74</v>
      </c>
      <c r="Y684" t="s">
        <v>74</v>
      </c>
      <c r="Z684" t="s">
        <v>74</v>
      </c>
      <c r="AA684" t="s">
        <v>4411</v>
      </c>
      <c r="AB684" t="s">
        <v>74</v>
      </c>
      <c r="AC684" t="s">
        <v>74</v>
      </c>
      <c r="AD684" t="s">
        <v>74</v>
      </c>
      <c r="AE684" t="s">
        <v>74</v>
      </c>
      <c r="AF684" t="s">
        <v>74</v>
      </c>
      <c r="AG684" t="s">
        <v>74</v>
      </c>
      <c r="AH684" t="s">
        <v>74</v>
      </c>
      <c r="AI684" t="s">
        <v>74</v>
      </c>
      <c r="AJ684" t="s">
        <v>74</v>
      </c>
      <c r="AK684" t="s">
        <v>74</v>
      </c>
      <c r="AL684" t="s">
        <v>74</v>
      </c>
      <c r="AM684" t="s">
        <v>74</v>
      </c>
      <c r="AN684" t="s">
        <v>74</v>
      </c>
      <c r="AO684" t="s">
        <v>91</v>
      </c>
      <c r="AP684" t="s">
        <v>74</v>
      </c>
      <c r="AQ684" t="s">
        <v>74</v>
      </c>
      <c r="AR684" t="s">
        <v>74</v>
      </c>
      <c r="AS684" t="s">
        <v>74</v>
      </c>
      <c r="AT684" t="s">
        <v>1210</v>
      </c>
      <c r="AU684">
        <v>2006</v>
      </c>
      <c r="AV684">
        <v>2</v>
      </c>
      <c r="AW684">
        <v>4</v>
      </c>
      <c r="AX684" t="s">
        <v>74</v>
      </c>
      <c r="AY684" t="s">
        <v>74</v>
      </c>
      <c r="AZ684" t="s">
        <v>74</v>
      </c>
      <c r="BA684" t="s">
        <v>74</v>
      </c>
      <c r="BB684">
        <v>494</v>
      </c>
      <c r="BC684">
        <v>496</v>
      </c>
      <c r="BD684" t="s">
        <v>74</v>
      </c>
      <c r="BE684" t="s">
        <v>4412</v>
      </c>
      <c r="BF684" t="str">
        <f>HYPERLINK("http://dx.doi.org/10.1098/rsbl.2006.0542","http://dx.doi.org/10.1098/rsbl.2006.0542")</f>
        <v>http://dx.doi.org/10.1098/rsbl.2006.0542</v>
      </c>
      <c r="BG684" t="s">
        <v>74</v>
      </c>
      <c r="BH684" t="s">
        <v>74</v>
      </c>
      <c r="BI684" t="s">
        <v>74</v>
      </c>
      <c r="BJ684" t="s">
        <v>74</v>
      </c>
      <c r="BK684" t="s">
        <v>74</v>
      </c>
      <c r="BL684" t="s">
        <v>74</v>
      </c>
      <c r="BM684" t="s">
        <v>74</v>
      </c>
      <c r="BN684">
        <v>17148271</v>
      </c>
      <c r="BO684" t="s">
        <v>74</v>
      </c>
      <c r="BP684" t="s">
        <v>74</v>
      </c>
      <c r="BQ684" t="s">
        <v>74</v>
      </c>
      <c r="BR684" t="s">
        <v>74</v>
      </c>
      <c r="BS684" t="s">
        <v>4413</v>
      </c>
      <c r="BT684" t="str">
        <f>HYPERLINK("https%3A%2F%2Fwww.webofscience.com%2Fwos%2Fwoscc%2Ffull-record%2FWOS:000242686500005","View Full Record in Web of Science")</f>
        <v>View Full Record in Web of Science</v>
      </c>
    </row>
    <row r="685" spans="1:72" x14ac:dyDescent="0.4">
      <c r="A685" t="s">
        <v>72</v>
      </c>
      <c r="B685" t="s">
        <v>7014</v>
      </c>
      <c r="C685" t="s">
        <v>74</v>
      </c>
      <c r="D685" t="s">
        <v>74</v>
      </c>
      <c r="E685" t="s">
        <v>74</v>
      </c>
      <c r="F685" t="s">
        <v>7014</v>
      </c>
      <c r="G685" t="s">
        <v>74</v>
      </c>
      <c r="H685" t="s">
        <v>74</v>
      </c>
      <c r="I685" t="s">
        <v>7015</v>
      </c>
      <c r="J685" t="s">
        <v>1743</v>
      </c>
      <c r="K685" t="s">
        <v>74</v>
      </c>
      <c r="L685" t="s">
        <v>74</v>
      </c>
      <c r="M685" t="s">
        <v>74</v>
      </c>
      <c r="N685" t="s">
        <v>74</v>
      </c>
      <c r="O685" t="s">
        <v>74</v>
      </c>
      <c r="P685" t="s">
        <v>74</v>
      </c>
      <c r="Q685" t="s">
        <v>74</v>
      </c>
      <c r="R685" t="s">
        <v>74</v>
      </c>
      <c r="S685" t="s">
        <v>74</v>
      </c>
      <c r="T685" t="s">
        <v>74</v>
      </c>
      <c r="U685" t="s">
        <v>74</v>
      </c>
      <c r="V685" s="3" t="s">
        <v>7016</v>
      </c>
      <c r="W685" t="s">
        <v>74</v>
      </c>
      <c r="X685" t="s">
        <v>74</v>
      </c>
      <c r="Y685" t="s">
        <v>74</v>
      </c>
      <c r="Z685" t="s">
        <v>74</v>
      </c>
      <c r="AA685" t="s">
        <v>74</v>
      </c>
      <c r="AB685" t="s">
        <v>74</v>
      </c>
      <c r="AC685" t="s">
        <v>74</v>
      </c>
      <c r="AD685" t="s">
        <v>74</v>
      </c>
      <c r="AE685" t="s">
        <v>74</v>
      </c>
      <c r="AF685" t="s">
        <v>74</v>
      </c>
      <c r="AG685" t="s">
        <v>74</v>
      </c>
      <c r="AH685" t="s">
        <v>74</v>
      </c>
      <c r="AI685" t="s">
        <v>74</v>
      </c>
      <c r="AJ685" t="s">
        <v>74</v>
      </c>
      <c r="AK685" t="s">
        <v>74</v>
      </c>
      <c r="AL685" t="s">
        <v>74</v>
      </c>
      <c r="AM685" t="s">
        <v>74</v>
      </c>
      <c r="AN685" t="s">
        <v>74</v>
      </c>
      <c r="AO685" t="s">
        <v>1746</v>
      </c>
      <c r="AP685" t="s">
        <v>74</v>
      </c>
      <c r="AQ685" t="s">
        <v>74</v>
      </c>
      <c r="AR685" t="s">
        <v>74</v>
      </c>
      <c r="AS685" t="s">
        <v>74</v>
      </c>
      <c r="AT685" t="s">
        <v>964</v>
      </c>
      <c r="AU685">
        <v>1991</v>
      </c>
      <c r="AV685">
        <v>8</v>
      </c>
      <c r="AW685">
        <v>1</v>
      </c>
      <c r="AX685" t="s">
        <v>74</v>
      </c>
      <c r="AY685" t="s">
        <v>74</v>
      </c>
      <c r="AZ685" t="s">
        <v>74</v>
      </c>
      <c r="BA685" t="s">
        <v>74</v>
      </c>
      <c r="BB685">
        <v>121</v>
      </c>
      <c r="BC685">
        <v>133</v>
      </c>
      <c r="BD685" t="s">
        <v>74</v>
      </c>
      <c r="BE685" t="s">
        <v>74</v>
      </c>
      <c r="BF685" t="s">
        <v>74</v>
      </c>
      <c r="BG685" t="s">
        <v>74</v>
      </c>
      <c r="BH685" t="s">
        <v>74</v>
      </c>
      <c r="BI685" t="s">
        <v>74</v>
      </c>
      <c r="BJ685" t="s">
        <v>74</v>
      </c>
      <c r="BK685" t="s">
        <v>74</v>
      </c>
      <c r="BL685" t="s">
        <v>74</v>
      </c>
      <c r="BM685" t="s">
        <v>74</v>
      </c>
      <c r="BN685" t="s">
        <v>74</v>
      </c>
      <c r="BO685" t="s">
        <v>74</v>
      </c>
      <c r="BP685" t="s">
        <v>74</v>
      </c>
      <c r="BQ685" t="s">
        <v>74</v>
      </c>
      <c r="BR685" t="s">
        <v>74</v>
      </c>
      <c r="BS685" t="s">
        <v>7017</v>
      </c>
      <c r="BT685" t="str">
        <f>HYPERLINK("https%3A%2F%2Fwww.webofscience.com%2Fwos%2Fwoscc%2Ffull-record%2FWOS:A1991FG50700015","View Full Record in Web of Science")</f>
        <v>View Full Record in Web of Science</v>
      </c>
    </row>
    <row r="686" spans="1:72" x14ac:dyDescent="0.4">
      <c r="A686" t="s">
        <v>72</v>
      </c>
      <c r="B686" t="s">
        <v>7104</v>
      </c>
      <c r="C686" t="s">
        <v>74</v>
      </c>
      <c r="D686" t="s">
        <v>74</v>
      </c>
      <c r="E686" t="s">
        <v>74</v>
      </c>
      <c r="F686" t="s">
        <v>7104</v>
      </c>
      <c r="G686" t="s">
        <v>74</v>
      </c>
      <c r="H686" t="s">
        <v>74</v>
      </c>
      <c r="I686" t="s">
        <v>7105</v>
      </c>
      <c r="J686" t="s">
        <v>5129</v>
      </c>
      <c r="K686" t="s">
        <v>74</v>
      </c>
      <c r="L686" t="s">
        <v>74</v>
      </c>
      <c r="M686" t="s">
        <v>74</v>
      </c>
      <c r="N686" t="s">
        <v>74</v>
      </c>
      <c r="O686" t="s">
        <v>74</v>
      </c>
      <c r="P686" t="s">
        <v>74</v>
      </c>
      <c r="Q686" t="s">
        <v>74</v>
      </c>
      <c r="R686" t="s">
        <v>74</v>
      </c>
      <c r="S686" t="s">
        <v>74</v>
      </c>
      <c r="T686" t="s">
        <v>74</v>
      </c>
      <c r="U686" t="s">
        <v>74</v>
      </c>
      <c r="V686" s="3" t="s">
        <v>7106</v>
      </c>
      <c r="W686" t="s">
        <v>74</v>
      </c>
      <c r="X686" t="s">
        <v>74</v>
      </c>
      <c r="Y686" t="s">
        <v>74</v>
      </c>
      <c r="Z686" t="s">
        <v>74</v>
      </c>
      <c r="AA686" t="s">
        <v>74</v>
      </c>
      <c r="AB686" t="s">
        <v>74</v>
      </c>
      <c r="AC686" t="s">
        <v>74</v>
      </c>
      <c r="AD686" t="s">
        <v>74</v>
      </c>
      <c r="AE686" t="s">
        <v>74</v>
      </c>
      <c r="AF686" t="s">
        <v>74</v>
      </c>
      <c r="AG686" t="s">
        <v>74</v>
      </c>
      <c r="AH686" t="s">
        <v>74</v>
      </c>
      <c r="AI686" t="s">
        <v>74</v>
      </c>
      <c r="AJ686" t="s">
        <v>74</v>
      </c>
      <c r="AK686" t="s">
        <v>74</v>
      </c>
      <c r="AL686" t="s">
        <v>74</v>
      </c>
      <c r="AM686" t="s">
        <v>74</v>
      </c>
      <c r="AN686" t="s">
        <v>74</v>
      </c>
      <c r="AO686" t="s">
        <v>5131</v>
      </c>
      <c r="AP686" t="s">
        <v>5132</v>
      </c>
      <c r="AQ686" t="s">
        <v>74</v>
      </c>
      <c r="AR686" t="s">
        <v>74</v>
      </c>
      <c r="AS686" t="s">
        <v>74</v>
      </c>
      <c r="AT686" t="s">
        <v>74</v>
      </c>
      <c r="AU686">
        <v>1986</v>
      </c>
      <c r="AV686">
        <v>74</v>
      </c>
      <c r="AW686">
        <v>2</v>
      </c>
      <c r="AX686" t="s">
        <v>74</v>
      </c>
      <c r="AY686" t="s">
        <v>74</v>
      </c>
      <c r="AZ686" t="s">
        <v>74</v>
      </c>
      <c r="BA686" t="s">
        <v>74</v>
      </c>
      <c r="BB686">
        <v>177</v>
      </c>
      <c r="BC686">
        <v>183</v>
      </c>
      <c r="BD686" t="s">
        <v>74</v>
      </c>
      <c r="BE686" t="s">
        <v>74</v>
      </c>
      <c r="BF686" t="s">
        <v>74</v>
      </c>
      <c r="BG686" t="s">
        <v>74</v>
      </c>
      <c r="BH686" t="s">
        <v>74</v>
      </c>
      <c r="BI686" t="s">
        <v>74</v>
      </c>
      <c r="BJ686" t="s">
        <v>74</v>
      </c>
      <c r="BK686" t="s">
        <v>74</v>
      </c>
      <c r="BL686" t="s">
        <v>74</v>
      </c>
      <c r="BM686" t="s">
        <v>74</v>
      </c>
      <c r="BN686" t="s">
        <v>74</v>
      </c>
      <c r="BO686" t="s">
        <v>74</v>
      </c>
      <c r="BP686" t="s">
        <v>74</v>
      </c>
      <c r="BQ686" t="s">
        <v>74</v>
      </c>
      <c r="BR686" t="s">
        <v>74</v>
      </c>
      <c r="BS686" t="s">
        <v>7107</v>
      </c>
      <c r="BT686" t="str">
        <f>HYPERLINK("https%3A%2F%2Fwww.webofscience.com%2Fwos%2Fwoscc%2Ffull-record%2FWOS:A1986D993200007","View Full Record in Web of Science")</f>
        <v>View Full Record in Web of Science</v>
      </c>
    </row>
    <row r="687" spans="1:72" x14ac:dyDescent="0.4">
      <c r="A687" t="s">
        <v>72</v>
      </c>
      <c r="B687" t="s">
        <v>6827</v>
      </c>
      <c r="C687" t="s">
        <v>74</v>
      </c>
      <c r="D687" t="s">
        <v>74</v>
      </c>
      <c r="E687" t="s">
        <v>74</v>
      </c>
      <c r="F687" t="s">
        <v>6827</v>
      </c>
      <c r="G687" t="s">
        <v>74</v>
      </c>
      <c r="H687" t="s">
        <v>74</v>
      </c>
      <c r="I687" t="s">
        <v>6828</v>
      </c>
      <c r="J687" t="s">
        <v>6829</v>
      </c>
      <c r="K687" t="s">
        <v>74</v>
      </c>
      <c r="L687" t="s">
        <v>74</v>
      </c>
      <c r="M687" t="s">
        <v>74</v>
      </c>
      <c r="N687" t="s">
        <v>74</v>
      </c>
      <c r="O687" t="s">
        <v>74</v>
      </c>
      <c r="P687" t="s">
        <v>74</v>
      </c>
      <c r="Q687" t="s">
        <v>74</v>
      </c>
      <c r="R687" t="s">
        <v>74</v>
      </c>
      <c r="S687" t="s">
        <v>74</v>
      </c>
      <c r="T687" t="s">
        <v>74</v>
      </c>
      <c r="U687" t="s">
        <v>74</v>
      </c>
      <c r="V687" s="3" t="s">
        <v>6830</v>
      </c>
      <c r="W687" t="s">
        <v>74</v>
      </c>
      <c r="X687" t="s">
        <v>74</v>
      </c>
      <c r="Y687" t="s">
        <v>74</v>
      </c>
      <c r="Z687" t="s">
        <v>74</v>
      </c>
      <c r="AA687" t="s">
        <v>74</v>
      </c>
      <c r="AB687" t="s">
        <v>74</v>
      </c>
      <c r="AC687" t="s">
        <v>74</v>
      </c>
      <c r="AD687" t="s">
        <v>74</v>
      </c>
      <c r="AE687" t="s">
        <v>74</v>
      </c>
      <c r="AF687" t="s">
        <v>74</v>
      </c>
      <c r="AG687" t="s">
        <v>74</v>
      </c>
      <c r="AH687" t="s">
        <v>74</v>
      </c>
      <c r="AI687" t="s">
        <v>74</v>
      </c>
      <c r="AJ687" t="s">
        <v>74</v>
      </c>
      <c r="AK687" t="s">
        <v>74</v>
      </c>
      <c r="AL687" t="s">
        <v>74</v>
      </c>
      <c r="AM687" t="s">
        <v>74</v>
      </c>
      <c r="AN687" t="s">
        <v>74</v>
      </c>
      <c r="AO687" t="s">
        <v>6831</v>
      </c>
      <c r="AP687" t="s">
        <v>6832</v>
      </c>
      <c r="AQ687" t="s">
        <v>74</v>
      </c>
      <c r="AR687" t="s">
        <v>74</v>
      </c>
      <c r="AS687" t="s">
        <v>74</v>
      </c>
      <c r="AT687" t="s">
        <v>305</v>
      </c>
      <c r="AU687">
        <v>1997</v>
      </c>
      <c r="AV687">
        <v>87</v>
      </c>
      <c r="AW687">
        <v>6</v>
      </c>
      <c r="AX687" t="s">
        <v>74</v>
      </c>
      <c r="AY687" t="s">
        <v>74</v>
      </c>
      <c r="AZ687" t="s">
        <v>74</v>
      </c>
      <c r="BA687" t="s">
        <v>74</v>
      </c>
      <c r="BB687">
        <v>595</v>
      </c>
      <c r="BC687">
        <v>608</v>
      </c>
      <c r="BD687" t="s">
        <v>74</v>
      </c>
      <c r="BE687" t="s">
        <v>6833</v>
      </c>
      <c r="BF687" t="str">
        <f>HYPERLINK("http://dx.doi.org/10.1017/S0007485300038694","http://dx.doi.org/10.1017/S0007485300038694")</f>
        <v>http://dx.doi.org/10.1017/S0007485300038694</v>
      </c>
      <c r="BG687" t="s">
        <v>74</v>
      </c>
      <c r="BH687" t="s">
        <v>74</v>
      </c>
      <c r="BI687" t="s">
        <v>74</v>
      </c>
      <c r="BJ687" t="s">
        <v>74</v>
      </c>
      <c r="BK687" t="s">
        <v>74</v>
      </c>
      <c r="BL687" t="s">
        <v>74</v>
      </c>
      <c r="BM687" t="s">
        <v>74</v>
      </c>
      <c r="BN687" t="s">
        <v>74</v>
      </c>
      <c r="BO687" t="s">
        <v>74</v>
      </c>
      <c r="BP687" t="s">
        <v>74</v>
      </c>
      <c r="BQ687" t="s">
        <v>74</v>
      </c>
      <c r="BR687" t="s">
        <v>74</v>
      </c>
      <c r="BS687" t="s">
        <v>6834</v>
      </c>
      <c r="BT687" t="str">
        <f>HYPERLINK("https%3A%2F%2Fwww.webofscience.com%2Fwos%2Fwoscc%2Ffull-record%2FWOS:A1997YL39300006","View Full Record in Web of Science")</f>
        <v>View Full Record in Web of Science</v>
      </c>
    </row>
    <row r="688" spans="1:72" x14ac:dyDescent="0.4">
      <c r="A688" t="s">
        <v>72</v>
      </c>
      <c r="B688" t="s">
        <v>6122</v>
      </c>
      <c r="C688" t="s">
        <v>74</v>
      </c>
      <c r="D688" t="s">
        <v>74</v>
      </c>
      <c r="E688" t="s">
        <v>74</v>
      </c>
      <c r="F688" t="s">
        <v>6122</v>
      </c>
      <c r="G688" t="s">
        <v>74</v>
      </c>
      <c r="H688" t="s">
        <v>74</v>
      </c>
      <c r="I688" t="s">
        <v>6123</v>
      </c>
      <c r="J688" t="s">
        <v>6124</v>
      </c>
      <c r="K688" t="s">
        <v>74</v>
      </c>
      <c r="L688" t="s">
        <v>74</v>
      </c>
      <c r="M688" t="s">
        <v>74</v>
      </c>
      <c r="N688" t="s">
        <v>74</v>
      </c>
      <c r="O688" t="s">
        <v>74</v>
      </c>
      <c r="P688" t="s">
        <v>74</v>
      </c>
      <c r="Q688" t="s">
        <v>74</v>
      </c>
      <c r="R688" t="s">
        <v>74</v>
      </c>
      <c r="S688" t="s">
        <v>74</v>
      </c>
      <c r="T688" t="s">
        <v>74</v>
      </c>
      <c r="U688" t="s">
        <v>74</v>
      </c>
      <c r="V688" s="3" t="s">
        <v>6125</v>
      </c>
      <c r="W688" t="s">
        <v>74</v>
      </c>
      <c r="X688" t="s">
        <v>74</v>
      </c>
      <c r="Y688" t="s">
        <v>74</v>
      </c>
      <c r="Z688" t="s">
        <v>74</v>
      </c>
      <c r="AA688" t="s">
        <v>74</v>
      </c>
      <c r="AB688" t="s">
        <v>74</v>
      </c>
      <c r="AC688" t="s">
        <v>74</v>
      </c>
      <c r="AD688" t="s">
        <v>74</v>
      </c>
      <c r="AE688" t="s">
        <v>74</v>
      </c>
      <c r="AF688" t="s">
        <v>74</v>
      </c>
      <c r="AG688" t="s">
        <v>74</v>
      </c>
      <c r="AH688" t="s">
        <v>74</v>
      </c>
      <c r="AI688" t="s">
        <v>74</v>
      </c>
      <c r="AJ688" t="s">
        <v>74</v>
      </c>
      <c r="AK688" t="s">
        <v>74</v>
      </c>
      <c r="AL688" t="s">
        <v>74</v>
      </c>
      <c r="AM688" t="s">
        <v>74</v>
      </c>
      <c r="AN688" t="s">
        <v>74</v>
      </c>
      <c r="AO688" t="s">
        <v>6126</v>
      </c>
      <c r="AP688" t="s">
        <v>6127</v>
      </c>
      <c r="AQ688" t="s">
        <v>74</v>
      </c>
      <c r="AR688" t="s">
        <v>74</v>
      </c>
      <c r="AS688" t="s">
        <v>74</v>
      </c>
      <c r="AT688" t="s">
        <v>74</v>
      </c>
      <c r="AU688">
        <v>1984</v>
      </c>
      <c r="AV688">
        <v>70</v>
      </c>
      <c r="AW688">
        <v>4</v>
      </c>
      <c r="AX688" t="s">
        <v>74</v>
      </c>
      <c r="AY688" t="s">
        <v>74</v>
      </c>
      <c r="AZ688" t="s">
        <v>74</v>
      </c>
      <c r="BA688" t="s">
        <v>74</v>
      </c>
      <c r="BB688">
        <v>234</v>
      </c>
      <c r="BC688">
        <v>239</v>
      </c>
      <c r="BD688" t="s">
        <v>74</v>
      </c>
      <c r="BE688" t="s">
        <v>74</v>
      </c>
      <c r="BF688" t="s">
        <v>74</v>
      </c>
      <c r="BG688" t="s">
        <v>74</v>
      </c>
      <c r="BH688" t="s">
        <v>74</v>
      </c>
      <c r="BI688" t="s">
        <v>74</v>
      </c>
      <c r="BJ688" t="s">
        <v>74</v>
      </c>
      <c r="BK688" t="s">
        <v>74</v>
      </c>
      <c r="BL688" t="s">
        <v>74</v>
      </c>
      <c r="BM688" t="s">
        <v>74</v>
      </c>
      <c r="BN688" t="s">
        <v>74</v>
      </c>
      <c r="BO688" t="s">
        <v>74</v>
      </c>
      <c r="BP688" t="s">
        <v>74</v>
      </c>
      <c r="BQ688" t="s">
        <v>74</v>
      </c>
      <c r="BR688" t="s">
        <v>74</v>
      </c>
      <c r="BS688" t="s">
        <v>6128</v>
      </c>
      <c r="BT688" t="str">
        <f>HYPERLINK("https%3A%2F%2Fwww.webofscience.com%2Fwos%2Fwoscc%2Ffull-record%2FWOS:A1984TV59800004","View Full Record in Web of Science")</f>
        <v>View Full Record in Web of Science</v>
      </c>
    </row>
    <row r="689" spans="1:72" x14ac:dyDescent="0.4">
      <c r="A689" t="s">
        <v>72</v>
      </c>
      <c r="B689" t="s">
        <v>4634</v>
      </c>
      <c r="C689" t="s">
        <v>74</v>
      </c>
      <c r="D689" t="s">
        <v>74</v>
      </c>
      <c r="E689" t="s">
        <v>74</v>
      </c>
      <c r="F689" t="s">
        <v>4634</v>
      </c>
      <c r="G689" t="s">
        <v>74</v>
      </c>
      <c r="H689" t="s">
        <v>74</v>
      </c>
      <c r="I689" t="s">
        <v>4635</v>
      </c>
      <c r="J689" t="s">
        <v>171</v>
      </c>
      <c r="K689" t="s">
        <v>74</v>
      </c>
      <c r="L689" t="s">
        <v>74</v>
      </c>
      <c r="M689" t="s">
        <v>74</v>
      </c>
      <c r="N689" t="s">
        <v>74</v>
      </c>
      <c r="O689" t="s">
        <v>74</v>
      </c>
      <c r="P689" t="s">
        <v>74</v>
      </c>
      <c r="Q689" t="s">
        <v>74</v>
      </c>
      <c r="R689" t="s">
        <v>74</v>
      </c>
      <c r="S689" t="s">
        <v>74</v>
      </c>
      <c r="T689" t="s">
        <v>74</v>
      </c>
      <c r="U689" t="s">
        <v>74</v>
      </c>
      <c r="V689" s="3" t="s">
        <v>4636</v>
      </c>
      <c r="W689" t="s">
        <v>74</v>
      </c>
      <c r="X689" t="s">
        <v>74</v>
      </c>
      <c r="Y689" t="s">
        <v>74</v>
      </c>
      <c r="Z689" t="s">
        <v>74</v>
      </c>
      <c r="AA689" t="s">
        <v>4637</v>
      </c>
      <c r="AB689" t="s">
        <v>4638</v>
      </c>
      <c r="AC689" t="s">
        <v>74</v>
      </c>
      <c r="AD689" t="s">
        <v>74</v>
      </c>
      <c r="AE689" t="s">
        <v>74</v>
      </c>
      <c r="AF689" t="s">
        <v>74</v>
      </c>
      <c r="AG689" t="s">
        <v>74</v>
      </c>
      <c r="AH689" t="s">
        <v>74</v>
      </c>
      <c r="AI689" t="s">
        <v>74</v>
      </c>
      <c r="AJ689" t="s">
        <v>74</v>
      </c>
      <c r="AK689" t="s">
        <v>74</v>
      </c>
      <c r="AL689" t="s">
        <v>74</v>
      </c>
      <c r="AM689" t="s">
        <v>74</v>
      </c>
      <c r="AN689" t="s">
        <v>74</v>
      </c>
      <c r="AO689" t="s">
        <v>173</v>
      </c>
      <c r="AP689" t="s">
        <v>174</v>
      </c>
      <c r="AQ689" t="s">
        <v>74</v>
      </c>
      <c r="AR689" t="s">
        <v>74</v>
      </c>
      <c r="AS689" t="s">
        <v>74</v>
      </c>
      <c r="AT689" t="s">
        <v>204</v>
      </c>
      <c r="AU689">
        <v>2001</v>
      </c>
      <c r="AV689">
        <v>55</v>
      </c>
      <c r="AW689">
        <v>7</v>
      </c>
      <c r="AX689" t="s">
        <v>74</v>
      </c>
      <c r="AY689" t="s">
        <v>74</v>
      </c>
      <c r="AZ689" t="s">
        <v>74</v>
      </c>
      <c r="BA689" t="s">
        <v>74</v>
      </c>
      <c r="BB689">
        <v>1443</v>
      </c>
      <c r="BC689">
        <v>1451</v>
      </c>
      <c r="BD689" t="s">
        <v>74</v>
      </c>
      <c r="BE689" t="s">
        <v>74</v>
      </c>
      <c r="BF689" t="s">
        <v>74</v>
      </c>
      <c r="BG689" t="s">
        <v>74</v>
      </c>
      <c r="BH689" t="s">
        <v>74</v>
      </c>
      <c r="BI689" t="s">
        <v>74</v>
      </c>
      <c r="BJ689" t="s">
        <v>74</v>
      </c>
      <c r="BK689" t="s">
        <v>74</v>
      </c>
      <c r="BL689" t="s">
        <v>74</v>
      </c>
      <c r="BM689" t="s">
        <v>74</v>
      </c>
      <c r="BN689">
        <v>11525466</v>
      </c>
      <c r="BO689" t="s">
        <v>74</v>
      </c>
      <c r="BP689" t="s">
        <v>74</v>
      </c>
      <c r="BQ689" t="s">
        <v>74</v>
      </c>
      <c r="BR689" t="s">
        <v>74</v>
      </c>
      <c r="BS689" t="s">
        <v>4639</v>
      </c>
      <c r="BT689" t="str">
        <f>HYPERLINK("https%3A%2F%2Fwww.webofscience.com%2Fwos%2Fwoscc%2Ffull-record%2FWOS:000170699300015","View Full Record in Web of Science")</f>
        <v>View Full Record in Web of Science</v>
      </c>
    </row>
    <row r="690" spans="1:72" x14ac:dyDescent="0.4">
      <c r="A690" t="s">
        <v>72</v>
      </c>
      <c r="B690" t="s">
        <v>4172</v>
      </c>
      <c r="C690" t="s">
        <v>74</v>
      </c>
      <c r="D690" t="s">
        <v>74</v>
      </c>
      <c r="E690" t="s">
        <v>74</v>
      </c>
      <c r="F690" t="s">
        <v>4173</v>
      </c>
      <c r="G690" t="s">
        <v>74</v>
      </c>
      <c r="H690" t="s">
        <v>74</v>
      </c>
      <c r="I690" t="s">
        <v>4174</v>
      </c>
      <c r="J690" t="s">
        <v>610</v>
      </c>
      <c r="K690" t="s">
        <v>74</v>
      </c>
      <c r="L690" t="s">
        <v>74</v>
      </c>
      <c r="M690" t="s">
        <v>74</v>
      </c>
      <c r="N690" t="s">
        <v>74</v>
      </c>
      <c r="O690" t="s">
        <v>74</v>
      </c>
      <c r="P690" t="s">
        <v>74</v>
      </c>
      <c r="Q690" t="s">
        <v>74</v>
      </c>
      <c r="R690" t="s">
        <v>74</v>
      </c>
      <c r="S690" t="s">
        <v>74</v>
      </c>
      <c r="T690" t="s">
        <v>74</v>
      </c>
      <c r="U690" t="s">
        <v>74</v>
      </c>
      <c r="V690" s="3" t="s">
        <v>4175</v>
      </c>
      <c r="W690" t="s">
        <v>74</v>
      </c>
      <c r="X690" t="s">
        <v>74</v>
      </c>
      <c r="Y690" t="s">
        <v>74</v>
      </c>
      <c r="Z690" t="s">
        <v>74</v>
      </c>
      <c r="AA690" t="s">
        <v>74</v>
      </c>
      <c r="AB690" t="s">
        <v>74</v>
      </c>
      <c r="AC690" t="s">
        <v>74</v>
      </c>
      <c r="AD690" t="s">
        <v>74</v>
      </c>
      <c r="AE690" t="s">
        <v>74</v>
      </c>
      <c r="AF690" t="s">
        <v>74</v>
      </c>
      <c r="AG690" t="s">
        <v>74</v>
      </c>
      <c r="AH690" t="s">
        <v>74</v>
      </c>
      <c r="AI690" t="s">
        <v>74</v>
      </c>
      <c r="AJ690" t="s">
        <v>74</v>
      </c>
      <c r="AK690" t="s">
        <v>74</v>
      </c>
      <c r="AL690" t="s">
        <v>74</v>
      </c>
      <c r="AM690" t="s">
        <v>74</v>
      </c>
      <c r="AN690" t="s">
        <v>74</v>
      </c>
      <c r="AO690" t="s">
        <v>614</v>
      </c>
      <c r="AP690" t="s">
        <v>615</v>
      </c>
      <c r="AQ690" t="s">
        <v>74</v>
      </c>
      <c r="AR690" t="s">
        <v>74</v>
      </c>
      <c r="AS690" t="s">
        <v>74</v>
      </c>
      <c r="AT690" t="s">
        <v>213</v>
      </c>
      <c r="AU690">
        <v>2007</v>
      </c>
      <c r="AV690">
        <v>113</v>
      </c>
      <c r="AW690">
        <v>11</v>
      </c>
      <c r="AX690" t="s">
        <v>74</v>
      </c>
      <c r="AY690" t="s">
        <v>74</v>
      </c>
      <c r="AZ690" t="s">
        <v>74</v>
      </c>
      <c r="BA690" t="s">
        <v>74</v>
      </c>
      <c r="BB690">
        <v>1113</v>
      </c>
      <c r="BC690">
        <v>1122</v>
      </c>
      <c r="BD690" t="s">
        <v>74</v>
      </c>
      <c r="BE690" t="s">
        <v>4176</v>
      </c>
      <c r="BF690" t="str">
        <f>HYPERLINK("http://dx.doi.org/10.1111/j.1439-0310.2007.01420.x","http://dx.doi.org/10.1111/j.1439-0310.2007.01420.x")</f>
        <v>http://dx.doi.org/10.1111/j.1439-0310.2007.01420.x</v>
      </c>
      <c r="BG690" t="s">
        <v>74</v>
      </c>
      <c r="BH690" t="s">
        <v>74</v>
      </c>
      <c r="BI690" t="s">
        <v>74</v>
      </c>
      <c r="BJ690" t="s">
        <v>74</v>
      </c>
      <c r="BK690" t="s">
        <v>74</v>
      </c>
      <c r="BL690" t="s">
        <v>74</v>
      </c>
      <c r="BM690" t="s">
        <v>74</v>
      </c>
      <c r="BN690" t="s">
        <v>74</v>
      </c>
      <c r="BO690" t="s">
        <v>74</v>
      </c>
      <c r="BP690" t="s">
        <v>74</v>
      </c>
      <c r="BQ690" t="s">
        <v>74</v>
      </c>
      <c r="BR690" t="s">
        <v>74</v>
      </c>
      <c r="BS690" t="s">
        <v>4177</v>
      </c>
      <c r="BT690" t="str">
        <f>HYPERLINK("https%3A%2F%2Fwww.webofscience.com%2Fwos%2Fwoscc%2Ffull-record%2FWOS:000250262400011","View Full Record in Web of Science")</f>
        <v>View Full Record in Web of Science</v>
      </c>
    </row>
    <row r="691" spans="1:72" x14ac:dyDescent="0.4">
      <c r="A691" t="s">
        <v>72</v>
      </c>
      <c r="B691" t="s">
        <v>8247</v>
      </c>
      <c r="C691" t="s">
        <v>74</v>
      </c>
      <c r="D691" t="s">
        <v>74</v>
      </c>
      <c r="E691" t="s">
        <v>74</v>
      </c>
      <c r="F691" t="s">
        <v>8248</v>
      </c>
      <c r="G691" t="s">
        <v>74</v>
      </c>
      <c r="H691" t="s">
        <v>74</v>
      </c>
      <c r="I691" t="s">
        <v>8249</v>
      </c>
      <c r="J691" t="s">
        <v>408</v>
      </c>
      <c r="K691" t="s">
        <v>74</v>
      </c>
      <c r="L691" t="s">
        <v>74</v>
      </c>
      <c r="M691" t="s">
        <v>74</v>
      </c>
      <c r="N691" t="s">
        <v>74</v>
      </c>
      <c r="O691" t="s">
        <v>74</v>
      </c>
      <c r="P691" t="s">
        <v>74</v>
      </c>
      <c r="Q691" t="s">
        <v>74</v>
      </c>
      <c r="R691" t="s">
        <v>74</v>
      </c>
      <c r="S691" t="s">
        <v>74</v>
      </c>
      <c r="T691" t="s">
        <v>74</v>
      </c>
      <c r="U691" t="s">
        <v>74</v>
      </c>
      <c r="V691" s="3" t="s">
        <v>8250</v>
      </c>
      <c r="W691" t="s">
        <v>74</v>
      </c>
      <c r="X691" t="s">
        <v>74</v>
      </c>
      <c r="Y691" t="s">
        <v>74</v>
      </c>
      <c r="Z691" t="s">
        <v>74</v>
      </c>
      <c r="AA691" t="s">
        <v>74</v>
      </c>
      <c r="AB691" t="s">
        <v>8251</v>
      </c>
      <c r="AC691" t="s">
        <v>74</v>
      </c>
      <c r="AD691" t="s">
        <v>74</v>
      </c>
      <c r="AE691" t="s">
        <v>74</v>
      </c>
      <c r="AF691" t="s">
        <v>74</v>
      </c>
      <c r="AG691" t="s">
        <v>74</v>
      </c>
      <c r="AH691" t="s">
        <v>74</v>
      </c>
      <c r="AI691" t="s">
        <v>74</v>
      </c>
      <c r="AJ691" t="s">
        <v>74</v>
      </c>
      <c r="AK691" t="s">
        <v>74</v>
      </c>
      <c r="AL691" t="s">
        <v>74</v>
      </c>
      <c r="AM691" t="s">
        <v>74</v>
      </c>
      <c r="AN691" t="s">
        <v>74</v>
      </c>
      <c r="AO691" t="s">
        <v>412</v>
      </c>
      <c r="AP691" t="s">
        <v>413</v>
      </c>
      <c r="AQ691" t="s">
        <v>74</v>
      </c>
      <c r="AR691" t="s">
        <v>74</v>
      </c>
      <c r="AS691" t="s">
        <v>74</v>
      </c>
      <c r="AT691" t="s">
        <v>255</v>
      </c>
      <c r="AU691">
        <v>2020</v>
      </c>
      <c r="AV691">
        <v>129</v>
      </c>
      <c r="AW691">
        <v>1</v>
      </c>
      <c r="AX691" t="s">
        <v>74</v>
      </c>
      <c r="AY691" t="s">
        <v>74</v>
      </c>
      <c r="AZ691" t="s">
        <v>74</v>
      </c>
      <c r="BA691" t="s">
        <v>74</v>
      </c>
      <c r="BB691">
        <v>143</v>
      </c>
      <c r="BC691">
        <v>161</v>
      </c>
      <c r="BD691" t="s">
        <v>74</v>
      </c>
      <c r="BE691" t="s">
        <v>8252</v>
      </c>
      <c r="BF691" t="str">
        <f>HYPERLINK("http://dx.doi.org/10.1093/biolinnean/blz162","http://dx.doi.org/10.1093/biolinnean/blz162")</f>
        <v>http://dx.doi.org/10.1093/biolinnean/blz162</v>
      </c>
      <c r="BG691" t="s">
        <v>74</v>
      </c>
      <c r="BH691" t="s">
        <v>74</v>
      </c>
      <c r="BI691" t="s">
        <v>74</v>
      </c>
      <c r="BJ691" t="s">
        <v>74</v>
      </c>
      <c r="BK691" t="s">
        <v>74</v>
      </c>
      <c r="BL691" t="s">
        <v>74</v>
      </c>
      <c r="BM691" t="s">
        <v>74</v>
      </c>
      <c r="BN691" t="s">
        <v>74</v>
      </c>
      <c r="BO691" t="s">
        <v>74</v>
      </c>
      <c r="BP691" t="s">
        <v>74</v>
      </c>
      <c r="BQ691" t="s">
        <v>74</v>
      </c>
      <c r="BR691" t="s">
        <v>74</v>
      </c>
      <c r="BS691" t="s">
        <v>8253</v>
      </c>
      <c r="BT691" t="str">
        <f>HYPERLINK("https%3A%2F%2Fwww.webofscience.com%2Fwos%2Fwoscc%2Ffull-record%2FWOS:000506800100011","View Full Record in Web of Science")</f>
        <v>View Full Record in Web of Science</v>
      </c>
    </row>
    <row r="692" spans="1:72" x14ac:dyDescent="0.4">
      <c r="A692" t="s">
        <v>72</v>
      </c>
      <c r="B692" t="s">
        <v>1825</v>
      </c>
      <c r="C692" t="s">
        <v>74</v>
      </c>
      <c r="D692" t="s">
        <v>74</v>
      </c>
      <c r="E692" t="s">
        <v>74</v>
      </c>
      <c r="F692" t="s">
        <v>1826</v>
      </c>
      <c r="G692" t="s">
        <v>74</v>
      </c>
      <c r="H692" t="s">
        <v>74</v>
      </c>
      <c r="I692" t="s">
        <v>1827</v>
      </c>
      <c r="J692" t="s">
        <v>77</v>
      </c>
      <c r="K692" t="s">
        <v>74</v>
      </c>
      <c r="L692" t="s">
        <v>74</v>
      </c>
      <c r="M692" t="s">
        <v>74</v>
      </c>
      <c r="N692" t="s">
        <v>74</v>
      </c>
      <c r="O692" t="s">
        <v>74</v>
      </c>
      <c r="P692" t="s">
        <v>74</v>
      </c>
      <c r="Q692" t="s">
        <v>74</v>
      </c>
      <c r="R692" t="s">
        <v>74</v>
      </c>
      <c r="S692" t="s">
        <v>74</v>
      </c>
      <c r="T692" t="s">
        <v>74</v>
      </c>
      <c r="U692" t="s">
        <v>74</v>
      </c>
      <c r="V692" s="3" t="s">
        <v>1828</v>
      </c>
      <c r="W692" t="s">
        <v>74</v>
      </c>
      <c r="X692" t="s">
        <v>74</v>
      </c>
      <c r="Y692" t="s">
        <v>74</v>
      </c>
      <c r="Z692" t="s">
        <v>74</v>
      </c>
      <c r="AA692" t="s">
        <v>74</v>
      </c>
      <c r="AB692" t="s">
        <v>74</v>
      </c>
      <c r="AC692" t="s">
        <v>74</v>
      </c>
      <c r="AD692" t="s">
        <v>74</v>
      </c>
      <c r="AE692" t="s">
        <v>74</v>
      </c>
      <c r="AF692" t="s">
        <v>74</v>
      </c>
      <c r="AG692" t="s">
        <v>74</v>
      </c>
      <c r="AH692" t="s">
        <v>74</v>
      </c>
      <c r="AI692" t="s">
        <v>74</v>
      </c>
      <c r="AJ692" t="s">
        <v>74</v>
      </c>
      <c r="AK692" t="s">
        <v>74</v>
      </c>
      <c r="AL692" t="s">
        <v>74</v>
      </c>
      <c r="AM692" t="s">
        <v>74</v>
      </c>
      <c r="AN692" t="s">
        <v>74</v>
      </c>
      <c r="AO692" t="s">
        <v>81</v>
      </c>
      <c r="AP692" t="s">
        <v>74</v>
      </c>
      <c r="AQ692" t="s">
        <v>74</v>
      </c>
      <c r="AR692" t="s">
        <v>74</v>
      </c>
      <c r="AS692" t="s">
        <v>74</v>
      </c>
      <c r="AT692" t="s">
        <v>964</v>
      </c>
      <c r="AU692">
        <v>2007</v>
      </c>
      <c r="AV692">
        <v>144</v>
      </c>
      <c r="AW692" t="s">
        <v>74</v>
      </c>
      <c r="AX692">
        <v>2</v>
      </c>
      <c r="AY692" t="s">
        <v>74</v>
      </c>
      <c r="AZ692" t="s">
        <v>74</v>
      </c>
      <c r="BA692" t="s">
        <v>74</v>
      </c>
      <c r="BB692">
        <v>165</v>
      </c>
      <c r="BC692">
        <v>178</v>
      </c>
      <c r="BD692" t="s">
        <v>74</v>
      </c>
      <c r="BE692" t="s">
        <v>1829</v>
      </c>
      <c r="BF692" t="str">
        <f>HYPERLINK("http://dx.doi.org/10.1163/156853907779947328","http://dx.doi.org/10.1163/156853907779947328")</f>
        <v>http://dx.doi.org/10.1163/156853907779947328</v>
      </c>
      <c r="BG692" t="s">
        <v>74</v>
      </c>
      <c r="BH692" t="s">
        <v>74</v>
      </c>
      <c r="BI692" t="s">
        <v>74</v>
      </c>
      <c r="BJ692" t="s">
        <v>74</v>
      </c>
      <c r="BK692" t="s">
        <v>74</v>
      </c>
      <c r="BL692" t="s">
        <v>74</v>
      </c>
      <c r="BM692" t="s">
        <v>74</v>
      </c>
      <c r="BN692" t="s">
        <v>74</v>
      </c>
      <c r="BO692" t="s">
        <v>74</v>
      </c>
      <c r="BP692" t="s">
        <v>74</v>
      </c>
      <c r="BQ692" t="s">
        <v>74</v>
      </c>
      <c r="BR692" t="s">
        <v>74</v>
      </c>
      <c r="BS692" t="s">
        <v>1830</v>
      </c>
      <c r="BT692" t="str">
        <f>HYPERLINK("https%3A%2F%2Fwww.webofscience.com%2Fwos%2Fwoscc%2Ffull-record%2FWOS:000245544800002","View Full Record in Web of Science")</f>
        <v>View Full Record in Web of Science</v>
      </c>
    </row>
    <row r="693" spans="1:72" x14ac:dyDescent="0.4">
      <c r="A693" t="s">
        <v>72</v>
      </c>
      <c r="B693" t="s">
        <v>7440</v>
      </c>
      <c r="C693" t="s">
        <v>74</v>
      </c>
      <c r="D693" t="s">
        <v>74</v>
      </c>
      <c r="E693" t="s">
        <v>74</v>
      </c>
      <c r="F693" t="s">
        <v>7440</v>
      </c>
      <c r="G693" t="s">
        <v>74</v>
      </c>
      <c r="H693" t="s">
        <v>74</v>
      </c>
      <c r="I693" t="s">
        <v>7441</v>
      </c>
      <c r="J693" t="s">
        <v>610</v>
      </c>
      <c r="K693" t="s">
        <v>74</v>
      </c>
      <c r="L693" t="s">
        <v>74</v>
      </c>
      <c r="M693" t="s">
        <v>74</v>
      </c>
      <c r="N693" t="s">
        <v>74</v>
      </c>
      <c r="O693" t="s">
        <v>74</v>
      </c>
      <c r="P693" t="s">
        <v>74</v>
      </c>
      <c r="Q693" t="s">
        <v>74</v>
      </c>
      <c r="R693" t="s">
        <v>74</v>
      </c>
      <c r="S693" t="s">
        <v>74</v>
      </c>
      <c r="T693" t="s">
        <v>74</v>
      </c>
      <c r="U693" t="s">
        <v>74</v>
      </c>
      <c r="V693" s="3" t="s">
        <v>7442</v>
      </c>
      <c r="W693" t="s">
        <v>74</v>
      </c>
      <c r="X693" t="s">
        <v>74</v>
      </c>
      <c r="Y693" t="s">
        <v>74</v>
      </c>
      <c r="Z693" t="s">
        <v>74</v>
      </c>
      <c r="AA693" t="s">
        <v>74</v>
      </c>
      <c r="AB693" t="s">
        <v>74</v>
      </c>
      <c r="AC693" t="s">
        <v>74</v>
      </c>
      <c r="AD693" t="s">
        <v>74</v>
      </c>
      <c r="AE693" t="s">
        <v>74</v>
      </c>
      <c r="AF693" t="s">
        <v>74</v>
      </c>
      <c r="AG693" t="s">
        <v>74</v>
      </c>
      <c r="AH693" t="s">
        <v>74</v>
      </c>
      <c r="AI693" t="s">
        <v>74</v>
      </c>
      <c r="AJ693" t="s">
        <v>74</v>
      </c>
      <c r="AK693" t="s">
        <v>74</v>
      </c>
      <c r="AL693" t="s">
        <v>74</v>
      </c>
      <c r="AM693" t="s">
        <v>74</v>
      </c>
      <c r="AN693" t="s">
        <v>74</v>
      </c>
      <c r="AO693" t="s">
        <v>614</v>
      </c>
      <c r="AP693" t="s">
        <v>615</v>
      </c>
      <c r="AQ693" t="s">
        <v>74</v>
      </c>
      <c r="AR693" t="s">
        <v>74</v>
      </c>
      <c r="AS693" t="s">
        <v>74</v>
      </c>
      <c r="AT693" t="s">
        <v>352</v>
      </c>
      <c r="AU693">
        <v>2004</v>
      </c>
      <c r="AV693">
        <v>110</v>
      </c>
      <c r="AW693">
        <v>9</v>
      </c>
      <c r="AX693" t="s">
        <v>74</v>
      </c>
      <c r="AY693" t="s">
        <v>74</v>
      </c>
      <c r="AZ693" t="s">
        <v>74</v>
      </c>
      <c r="BA693" t="s">
        <v>74</v>
      </c>
      <c r="BB693">
        <v>707</v>
      </c>
      <c r="BC693">
        <v>715</v>
      </c>
      <c r="BD693" t="s">
        <v>74</v>
      </c>
      <c r="BE693" t="s">
        <v>7443</v>
      </c>
      <c r="BF693" t="str">
        <f>HYPERLINK("http://dx.doi.org/10.1111/j.1439-0310.2004.01011.x","http://dx.doi.org/10.1111/j.1439-0310.2004.01011.x")</f>
        <v>http://dx.doi.org/10.1111/j.1439-0310.2004.01011.x</v>
      </c>
      <c r="BG693" t="s">
        <v>74</v>
      </c>
      <c r="BH693" t="s">
        <v>74</v>
      </c>
      <c r="BI693" t="s">
        <v>74</v>
      </c>
      <c r="BJ693" t="s">
        <v>74</v>
      </c>
      <c r="BK693" t="s">
        <v>74</v>
      </c>
      <c r="BL693" t="s">
        <v>74</v>
      </c>
      <c r="BM693" t="s">
        <v>74</v>
      </c>
      <c r="BN693" t="s">
        <v>74</v>
      </c>
      <c r="BO693" t="s">
        <v>74</v>
      </c>
      <c r="BP693" t="s">
        <v>74</v>
      </c>
      <c r="BQ693" t="s">
        <v>74</v>
      </c>
      <c r="BR693" t="s">
        <v>74</v>
      </c>
      <c r="BS693" t="s">
        <v>7444</v>
      </c>
      <c r="BT693" t="str">
        <f>HYPERLINK("https%3A%2F%2Fwww.webofscience.com%2Fwos%2Fwoscc%2Ffull-record%2FWOS:000223642800004","View Full Record in Web of Science")</f>
        <v>View Full Record in Web of Science</v>
      </c>
    </row>
    <row r="694" spans="1:72" x14ac:dyDescent="0.4">
      <c r="A694" t="s">
        <v>72</v>
      </c>
      <c r="B694" t="s">
        <v>6764</v>
      </c>
      <c r="C694" t="s">
        <v>74</v>
      </c>
      <c r="D694" t="s">
        <v>74</v>
      </c>
      <c r="E694" t="s">
        <v>74</v>
      </c>
      <c r="F694" t="s">
        <v>6764</v>
      </c>
      <c r="G694" t="s">
        <v>74</v>
      </c>
      <c r="H694" t="s">
        <v>74</v>
      </c>
      <c r="I694" t="s">
        <v>6765</v>
      </c>
      <c r="J694" t="s">
        <v>129</v>
      </c>
      <c r="K694" t="s">
        <v>74</v>
      </c>
      <c r="L694" t="s">
        <v>74</v>
      </c>
      <c r="M694" t="s">
        <v>74</v>
      </c>
      <c r="N694" t="s">
        <v>74</v>
      </c>
      <c r="O694" t="s">
        <v>74</v>
      </c>
      <c r="P694" t="s">
        <v>74</v>
      </c>
      <c r="Q694" t="s">
        <v>74</v>
      </c>
      <c r="R694" t="s">
        <v>74</v>
      </c>
      <c r="S694" t="s">
        <v>74</v>
      </c>
      <c r="T694" t="s">
        <v>74</v>
      </c>
      <c r="U694" t="s">
        <v>74</v>
      </c>
      <c r="V694" s="3" t="s">
        <v>6766</v>
      </c>
      <c r="W694" t="s">
        <v>74</v>
      </c>
      <c r="X694" t="s">
        <v>74</v>
      </c>
      <c r="Y694" t="s">
        <v>74</v>
      </c>
      <c r="Z694" t="s">
        <v>74</v>
      </c>
      <c r="AA694" t="s">
        <v>6220</v>
      </c>
      <c r="AB694" t="s">
        <v>6221</v>
      </c>
      <c r="AC694" t="s">
        <v>74</v>
      </c>
      <c r="AD694" t="s">
        <v>74</v>
      </c>
      <c r="AE694" t="s">
        <v>74</v>
      </c>
      <c r="AF694" t="s">
        <v>74</v>
      </c>
      <c r="AG694" t="s">
        <v>74</v>
      </c>
      <c r="AH694" t="s">
        <v>74</v>
      </c>
      <c r="AI694" t="s">
        <v>74</v>
      </c>
      <c r="AJ694" t="s">
        <v>74</v>
      </c>
      <c r="AK694" t="s">
        <v>74</v>
      </c>
      <c r="AL694" t="s">
        <v>74</v>
      </c>
      <c r="AM694" t="s">
        <v>74</v>
      </c>
      <c r="AN694" t="s">
        <v>74</v>
      </c>
      <c r="AO694" t="s">
        <v>132</v>
      </c>
      <c r="AP694" t="s">
        <v>133</v>
      </c>
      <c r="AQ694" t="s">
        <v>74</v>
      </c>
      <c r="AR694" t="s">
        <v>74</v>
      </c>
      <c r="AS694" t="s">
        <v>74</v>
      </c>
      <c r="AT694" t="s">
        <v>255</v>
      </c>
      <c r="AU694">
        <v>2003</v>
      </c>
      <c r="AV694">
        <v>53</v>
      </c>
      <c r="AW694">
        <v>2</v>
      </c>
      <c r="AX694" t="s">
        <v>74</v>
      </c>
      <c r="AY694" t="s">
        <v>74</v>
      </c>
      <c r="AZ694" t="s">
        <v>74</v>
      </c>
      <c r="BA694" t="s">
        <v>74</v>
      </c>
      <c r="BB694">
        <v>116</v>
      </c>
      <c r="BC694">
        <v>122</v>
      </c>
      <c r="BD694" t="s">
        <v>74</v>
      </c>
      <c r="BE694" t="s">
        <v>6767</v>
      </c>
      <c r="BF694" t="str">
        <f>HYPERLINK("http://dx.doi.org/10.1007/s00265-002-0558-z","http://dx.doi.org/10.1007/s00265-002-0558-z")</f>
        <v>http://dx.doi.org/10.1007/s00265-002-0558-z</v>
      </c>
      <c r="BG694" t="s">
        <v>74</v>
      </c>
      <c r="BH694" t="s">
        <v>74</v>
      </c>
      <c r="BI694" t="s">
        <v>74</v>
      </c>
      <c r="BJ694" t="s">
        <v>74</v>
      </c>
      <c r="BK694" t="s">
        <v>74</v>
      </c>
      <c r="BL694" t="s">
        <v>74</v>
      </c>
      <c r="BM694" t="s">
        <v>74</v>
      </c>
      <c r="BN694" t="s">
        <v>74</v>
      </c>
      <c r="BO694" t="s">
        <v>74</v>
      </c>
      <c r="BP694" t="s">
        <v>74</v>
      </c>
      <c r="BQ694" t="s">
        <v>74</v>
      </c>
      <c r="BR694" t="s">
        <v>74</v>
      </c>
      <c r="BS694" t="s">
        <v>6768</v>
      </c>
      <c r="BT694" t="str">
        <f>HYPERLINK("https%3A%2F%2Fwww.webofscience.com%2Fwos%2Fwoscc%2Ffull-record%2FWOS:000180871900007","View Full Record in Web of Science")</f>
        <v>View Full Record in Web of Science</v>
      </c>
    </row>
    <row r="695" spans="1:72" x14ac:dyDescent="0.4">
      <c r="A695" t="s">
        <v>72</v>
      </c>
      <c r="B695" t="s">
        <v>6106</v>
      </c>
      <c r="C695" t="s">
        <v>74</v>
      </c>
      <c r="D695" t="s">
        <v>74</v>
      </c>
      <c r="E695" t="s">
        <v>74</v>
      </c>
      <c r="F695" t="s">
        <v>6106</v>
      </c>
      <c r="G695" t="s">
        <v>74</v>
      </c>
      <c r="H695" t="s">
        <v>74</v>
      </c>
      <c r="I695" t="s">
        <v>6107</v>
      </c>
      <c r="J695" t="s">
        <v>333</v>
      </c>
      <c r="K695" t="s">
        <v>74</v>
      </c>
      <c r="L695" t="s">
        <v>74</v>
      </c>
      <c r="M695" t="s">
        <v>74</v>
      </c>
      <c r="N695" t="s">
        <v>74</v>
      </c>
      <c r="O695" t="s">
        <v>74</v>
      </c>
      <c r="P695" t="s">
        <v>74</v>
      </c>
      <c r="Q695" t="s">
        <v>74</v>
      </c>
      <c r="R695" t="s">
        <v>74</v>
      </c>
      <c r="S695" t="s">
        <v>74</v>
      </c>
      <c r="T695" t="s">
        <v>74</v>
      </c>
      <c r="U695" t="s">
        <v>74</v>
      </c>
      <c r="V695" s="3" t="s">
        <v>6108</v>
      </c>
      <c r="W695" t="s">
        <v>74</v>
      </c>
      <c r="X695" t="s">
        <v>74</v>
      </c>
      <c r="Y695" t="s">
        <v>74</v>
      </c>
      <c r="Z695" t="s">
        <v>74</v>
      </c>
      <c r="AA695" t="s">
        <v>5351</v>
      </c>
      <c r="AB695" t="s">
        <v>6109</v>
      </c>
      <c r="AC695" t="s">
        <v>74</v>
      </c>
      <c r="AD695" t="s">
        <v>74</v>
      </c>
      <c r="AE695" t="s">
        <v>74</v>
      </c>
      <c r="AF695" t="s">
        <v>74</v>
      </c>
      <c r="AG695" t="s">
        <v>74</v>
      </c>
      <c r="AH695" t="s">
        <v>74</v>
      </c>
      <c r="AI695" t="s">
        <v>74</v>
      </c>
      <c r="AJ695" t="s">
        <v>74</v>
      </c>
      <c r="AK695" t="s">
        <v>74</v>
      </c>
      <c r="AL695" t="s">
        <v>74</v>
      </c>
      <c r="AM695" t="s">
        <v>74</v>
      </c>
      <c r="AN695" t="s">
        <v>74</v>
      </c>
      <c r="AO695" t="s">
        <v>337</v>
      </c>
      <c r="AP695" t="s">
        <v>338</v>
      </c>
      <c r="AQ695" t="s">
        <v>74</v>
      </c>
      <c r="AR695" t="s">
        <v>74</v>
      </c>
      <c r="AS695" t="s">
        <v>74</v>
      </c>
      <c r="AT695" t="s">
        <v>1013</v>
      </c>
      <c r="AU695">
        <v>2000</v>
      </c>
      <c r="AV695">
        <v>11</v>
      </c>
      <c r="AW695">
        <v>5</v>
      </c>
      <c r="AX695" t="s">
        <v>74</v>
      </c>
      <c r="AY695" t="s">
        <v>74</v>
      </c>
      <c r="AZ695" t="s">
        <v>74</v>
      </c>
      <c r="BA695" t="s">
        <v>74</v>
      </c>
      <c r="BB695">
        <v>520</v>
      </c>
      <c r="BC695">
        <v>527</v>
      </c>
      <c r="BD695" t="s">
        <v>74</v>
      </c>
      <c r="BE695" t="s">
        <v>6110</v>
      </c>
      <c r="BF695" t="str">
        <f>HYPERLINK("http://dx.doi.org/10.1093/beheco/11.5.520","http://dx.doi.org/10.1093/beheco/11.5.520")</f>
        <v>http://dx.doi.org/10.1093/beheco/11.5.520</v>
      </c>
      <c r="BG695" t="s">
        <v>74</v>
      </c>
      <c r="BH695" t="s">
        <v>74</v>
      </c>
      <c r="BI695" t="s">
        <v>74</v>
      </c>
      <c r="BJ695" t="s">
        <v>74</v>
      </c>
      <c r="BK695" t="s">
        <v>74</v>
      </c>
      <c r="BL695" t="s">
        <v>74</v>
      </c>
      <c r="BM695" t="s">
        <v>74</v>
      </c>
      <c r="BN695" t="s">
        <v>74</v>
      </c>
      <c r="BO695" t="s">
        <v>74</v>
      </c>
      <c r="BP695" t="s">
        <v>74</v>
      </c>
      <c r="BQ695" t="s">
        <v>74</v>
      </c>
      <c r="BR695" t="s">
        <v>74</v>
      </c>
      <c r="BS695" t="s">
        <v>6111</v>
      </c>
      <c r="BT695" t="str">
        <f>HYPERLINK("https%3A%2F%2Fwww.webofscience.com%2Fwos%2Fwoscc%2Ffull-record%2FWOS:000089580100008","View Full Record in Web of Science")</f>
        <v>View Full Record in Web of Science</v>
      </c>
    </row>
    <row r="696" spans="1:72" x14ac:dyDescent="0.4">
      <c r="A696" t="s">
        <v>72</v>
      </c>
      <c r="B696" t="s">
        <v>1235</v>
      </c>
      <c r="C696" t="s">
        <v>74</v>
      </c>
      <c r="D696" t="s">
        <v>74</v>
      </c>
      <c r="E696" t="s">
        <v>74</v>
      </c>
      <c r="F696" t="s">
        <v>1235</v>
      </c>
      <c r="G696" t="s">
        <v>74</v>
      </c>
      <c r="H696" t="s">
        <v>74</v>
      </c>
      <c r="I696" t="s">
        <v>1236</v>
      </c>
      <c r="J696" t="s">
        <v>1237</v>
      </c>
      <c r="K696" t="s">
        <v>74</v>
      </c>
      <c r="L696" t="s">
        <v>74</v>
      </c>
      <c r="M696" t="s">
        <v>74</v>
      </c>
      <c r="N696" t="s">
        <v>74</v>
      </c>
      <c r="O696" t="s">
        <v>74</v>
      </c>
      <c r="P696" t="s">
        <v>74</v>
      </c>
      <c r="Q696" t="s">
        <v>74</v>
      </c>
      <c r="R696" t="s">
        <v>74</v>
      </c>
      <c r="S696" t="s">
        <v>74</v>
      </c>
      <c r="T696" t="s">
        <v>74</v>
      </c>
      <c r="U696" t="s">
        <v>74</v>
      </c>
      <c r="V696" s="3" t="s">
        <v>1238</v>
      </c>
      <c r="W696" t="s">
        <v>74</v>
      </c>
      <c r="X696" t="s">
        <v>74</v>
      </c>
      <c r="Y696" t="s">
        <v>74</v>
      </c>
      <c r="Z696" t="s">
        <v>74</v>
      </c>
      <c r="AA696" t="s">
        <v>74</v>
      </c>
      <c r="AB696" t="s">
        <v>74</v>
      </c>
      <c r="AC696" t="s">
        <v>74</v>
      </c>
      <c r="AD696" t="s">
        <v>74</v>
      </c>
      <c r="AE696" t="s">
        <v>74</v>
      </c>
      <c r="AF696" t="s">
        <v>74</v>
      </c>
      <c r="AG696" t="s">
        <v>74</v>
      </c>
      <c r="AH696" t="s">
        <v>74</v>
      </c>
      <c r="AI696" t="s">
        <v>74</v>
      </c>
      <c r="AJ696" t="s">
        <v>74</v>
      </c>
      <c r="AK696" t="s">
        <v>74</v>
      </c>
      <c r="AL696" t="s">
        <v>74</v>
      </c>
      <c r="AM696" t="s">
        <v>74</v>
      </c>
      <c r="AN696" t="s">
        <v>74</v>
      </c>
      <c r="AO696" t="s">
        <v>1239</v>
      </c>
      <c r="AP696" t="s">
        <v>74</v>
      </c>
      <c r="AQ696" t="s">
        <v>74</v>
      </c>
      <c r="AR696" t="s">
        <v>74</v>
      </c>
      <c r="AS696" t="s">
        <v>74</v>
      </c>
      <c r="AT696" t="s">
        <v>352</v>
      </c>
      <c r="AU696">
        <v>1996</v>
      </c>
      <c r="AV696">
        <v>74</v>
      </c>
      <c r="AW696">
        <v>9</v>
      </c>
      <c r="AX696" t="s">
        <v>74</v>
      </c>
      <c r="AY696" t="s">
        <v>74</v>
      </c>
      <c r="AZ696" t="s">
        <v>74</v>
      </c>
      <c r="BA696" t="s">
        <v>74</v>
      </c>
      <c r="BB696">
        <v>1727</v>
      </c>
      <c r="BC696">
        <v>1733</v>
      </c>
      <c r="BD696" t="s">
        <v>74</v>
      </c>
      <c r="BE696" t="s">
        <v>1240</v>
      </c>
      <c r="BF696" t="str">
        <f>HYPERLINK("http://dx.doi.org/10.1139/z96-191","http://dx.doi.org/10.1139/z96-191")</f>
        <v>http://dx.doi.org/10.1139/z96-191</v>
      </c>
      <c r="BG696" t="s">
        <v>74</v>
      </c>
      <c r="BH696" t="s">
        <v>74</v>
      </c>
      <c r="BI696" t="s">
        <v>74</v>
      </c>
      <c r="BJ696" t="s">
        <v>74</v>
      </c>
      <c r="BK696" t="s">
        <v>74</v>
      </c>
      <c r="BL696" t="s">
        <v>74</v>
      </c>
      <c r="BM696" t="s">
        <v>74</v>
      </c>
      <c r="BN696" t="s">
        <v>74</v>
      </c>
      <c r="BO696" t="s">
        <v>74</v>
      </c>
      <c r="BP696" t="s">
        <v>74</v>
      </c>
      <c r="BQ696" t="s">
        <v>74</v>
      </c>
      <c r="BR696" t="s">
        <v>74</v>
      </c>
      <c r="BS696" t="s">
        <v>1241</v>
      </c>
      <c r="BT696" t="str">
        <f>HYPERLINK("https%3A%2F%2Fwww.webofscience.com%2Fwos%2Fwoscc%2Ffull-record%2FWOS:A1996VG77300016","View Full Record in Web of Science")</f>
        <v>View Full Record in Web of Science</v>
      </c>
    </row>
    <row r="697" spans="1:72" x14ac:dyDescent="0.4">
      <c r="A697" t="s">
        <v>72</v>
      </c>
      <c r="B697" t="s">
        <v>6245</v>
      </c>
      <c r="C697" t="s">
        <v>74</v>
      </c>
      <c r="D697" t="s">
        <v>74</v>
      </c>
      <c r="E697" t="s">
        <v>74</v>
      </c>
      <c r="F697" t="s">
        <v>6246</v>
      </c>
      <c r="G697" t="s">
        <v>74</v>
      </c>
      <c r="H697" t="s">
        <v>74</v>
      </c>
      <c r="I697" t="s">
        <v>6247</v>
      </c>
      <c r="J697" t="s">
        <v>88</v>
      </c>
      <c r="K697" t="s">
        <v>74</v>
      </c>
      <c r="L697" t="s">
        <v>74</v>
      </c>
      <c r="M697" t="s">
        <v>74</v>
      </c>
      <c r="N697" t="s">
        <v>74</v>
      </c>
      <c r="O697" t="s">
        <v>74</v>
      </c>
      <c r="P697" t="s">
        <v>74</v>
      </c>
      <c r="Q697" t="s">
        <v>74</v>
      </c>
      <c r="R697" t="s">
        <v>74</v>
      </c>
      <c r="S697" t="s">
        <v>74</v>
      </c>
      <c r="T697" t="s">
        <v>74</v>
      </c>
      <c r="U697" t="s">
        <v>74</v>
      </c>
      <c r="V697" s="3" t="s">
        <v>6248</v>
      </c>
      <c r="W697" t="s">
        <v>74</v>
      </c>
      <c r="X697" t="s">
        <v>74</v>
      </c>
      <c r="Y697" t="s">
        <v>74</v>
      </c>
      <c r="Z697" t="s">
        <v>74</v>
      </c>
      <c r="AA697" t="s">
        <v>6249</v>
      </c>
      <c r="AB697" t="s">
        <v>6250</v>
      </c>
      <c r="AC697" t="s">
        <v>74</v>
      </c>
      <c r="AD697" t="s">
        <v>74</v>
      </c>
      <c r="AE697" t="s">
        <v>74</v>
      </c>
      <c r="AF697" t="s">
        <v>74</v>
      </c>
      <c r="AG697" t="s">
        <v>74</v>
      </c>
      <c r="AH697" t="s">
        <v>74</v>
      </c>
      <c r="AI697" t="s">
        <v>74</v>
      </c>
      <c r="AJ697" t="s">
        <v>74</v>
      </c>
      <c r="AK697" t="s">
        <v>74</v>
      </c>
      <c r="AL697" t="s">
        <v>74</v>
      </c>
      <c r="AM697" t="s">
        <v>74</v>
      </c>
      <c r="AN697" t="s">
        <v>74</v>
      </c>
      <c r="AO697" t="s">
        <v>91</v>
      </c>
      <c r="AP697" t="s">
        <v>92</v>
      </c>
      <c r="AQ697" t="s">
        <v>74</v>
      </c>
      <c r="AR697" t="s">
        <v>74</v>
      </c>
      <c r="AS697" t="s">
        <v>74</v>
      </c>
      <c r="AT697" t="s">
        <v>6251</v>
      </c>
      <c r="AU697">
        <v>2020</v>
      </c>
      <c r="AV697">
        <v>16</v>
      </c>
      <c r="AW697">
        <v>5</v>
      </c>
      <c r="AX697" t="s">
        <v>74</v>
      </c>
      <c r="AY697" t="s">
        <v>74</v>
      </c>
      <c r="AZ697" t="s">
        <v>74</v>
      </c>
      <c r="BA697" t="s">
        <v>74</v>
      </c>
      <c r="BB697" t="s">
        <v>74</v>
      </c>
      <c r="BC697" t="s">
        <v>74</v>
      </c>
      <c r="BD697" t="s">
        <v>74</v>
      </c>
      <c r="BE697" t="s">
        <v>6252</v>
      </c>
      <c r="BF697" t="str">
        <f>HYPERLINK("http://dx.doi.org/10.1098/rsbl.2019.0870","http://dx.doi.org/10.1098/rsbl.2019.0870")</f>
        <v>http://dx.doi.org/10.1098/rsbl.2019.0870</v>
      </c>
      <c r="BG697" t="s">
        <v>74</v>
      </c>
      <c r="BH697" t="s">
        <v>74</v>
      </c>
      <c r="BI697" t="s">
        <v>74</v>
      </c>
      <c r="BJ697" t="s">
        <v>74</v>
      </c>
      <c r="BK697" t="s">
        <v>74</v>
      </c>
      <c r="BL697" t="s">
        <v>74</v>
      </c>
      <c r="BM697" t="s">
        <v>74</v>
      </c>
      <c r="BN697">
        <v>32396786</v>
      </c>
      <c r="BO697" t="s">
        <v>74</v>
      </c>
      <c r="BP697" t="s">
        <v>74</v>
      </c>
      <c r="BQ697" t="s">
        <v>74</v>
      </c>
      <c r="BR697" t="s">
        <v>74</v>
      </c>
      <c r="BS697" t="s">
        <v>6253</v>
      </c>
      <c r="BT697" t="str">
        <f>HYPERLINK("https%3A%2F%2Fwww.webofscience.com%2Fwos%2Fwoscc%2Ffull-record%2FWOS:000535684800001","View Full Record in Web of Science")</f>
        <v>View Full Record in Web of Science</v>
      </c>
    </row>
    <row r="698" spans="1:72" x14ac:dyDescent="0.4">
      <c r="A698" t="s">
        <v>72</v>
      </c>
      <c r="B698" t="s">
        <v>2685</v>
      </c>
      <c r="C698" t="s">
        <v>74</v>
      </c>
      <c r="D698" t="s">
        <v>74</v>
      </c>
      <c r="E698" t="s">
        <v>74</v>
      </c>
      <c r="F698" t="s">
        <v>2685</v>
      </c>
      <c r="G698" t="s">
        <v>74</v>
      </c>
      <c r="H698" t="s">
        <v>74</v>
      </c>
      <c r="I698" t="s">
        <v>2686</v>
      </c>
      <c r="J698" t="s">
        <v>1237</v>
      </c>
      <c r="K698" t="s">
        <v>74</v>
      </c>
      <c r="L698" t="s">
        <v>74</v>
      </c>
      <c r="M698" t="s">
        <v>74</v>
      </c>
      <c r="N698" t="s">
        <v>74</v>
      </c>
      <c r="O698" t="s">
        <v>74</v>
      </c>
      <c r="P698" t="s">
        <v>74</v>
      </c>
      <c r="Q698" t="s">
        <v>74</v>
      </c>
      <c r="R698" t="s">
        <v>74</v>
      </c>
      <c r="S698" t="s">
        <v>74</v>
      </c>
      <c r="T698" t="s">
        <v>74</v>
      </c>
      <c r="U698" t="s">
        <v>74</v>
      </c>
      <c r="V698" s="3" t="s">
        <v>2687</v>
      </c>
      <c r="W698" t="s">
        <v>74</v>
      </c>
      <c r="X698" t="s">
        <v>74</v>
      </c>
      <c r="Y698" t="s">
        <v>74</v>
      </c>
      <c r="Z698" t="s">
        <v>74</v>
      </c>
      <c r="AA698" t="s">
        <v>74</v>
      </c>
      <c r="AB698" t="s">
        <v>74</v>
      </c>
      <c r="AC698" t="s">
        <v>74</v>
      </c>
      <c r="AD698" t="s">
        <v>74</v>
      </c>
      <c r="AE698" t="s">
        <v>74</v>
      </c>
      <c r="AF698" t="s">
        <v>74</v>
      </c>
      <c r="AG698" t="s">
        <v>74</v>
      </c>
      <c r="AH698" t="s">
        <v>74</v>
      </c>
      <c r="AI698" t="s">
        <v>74</v>
      </c>
      <c r="AJ698" t="s">
        <v>74</v>
      </c>
      <c r="AK698" t="s">
        <v>74</v>
      </c>
      <c r="AL698" t="s">
        <v>74</v>
      </c>
      <c r="AM698" t="s">
        <v>74</v>
      </c>
      <c r="AN698" t="s">
        <v>74</v>
      </c>
      <c r="AO698" t="s">
        <v>1239</v>
      </c>
      <c r="AP698" t="s">
        <v>74</v>
      </c>
      <c r="AQ698" t="s">
        <v>74</v>
      </c>
      <c r="AR698" t="s">
        <v>74</v>
      </c>
      <c r="AS698" t="s">
        <v>74</v>
      </c>
      <c r="AT698" t="s">
        <v>102</v>
      </c>
      <c r="AU698">
        <v>1993</v>
      </c>
      <c r="AV698">
        <v>71</v>
      </c>
      <c r="AW698">
        <v>6</v>
      </c>
      <c r="AX698" t="s">
        <v>74</v>
      </c>
      <c r="AY698" t="s">
        <v>74</v>
      </c>
      <c r="AZ698" t="s">
        <v>74</v>
      </c>
      <c r="BA698" t="s">
        <v>74</v>
      </c>
      <c r="BB698">
        <v>1111</v>
      </c>
      <c r="BC698">
        <v>1119</v>
      </c>
      <c r="BD698" t="s">
        <v>74</v>
      </c>
      <c r="BE698" t="s">
        <v>2688</v>
      </c>
      <c r="BF698" t="str">
        <f>HYPERLINK("http://dx.doi.org/10.1139/z93-151","http://dx.doi.org/10.1139/z93-151")</f>
        <v>http://dx.doi.org/10.1139/z93-151</v>
      </c>
      <c r="BG698" t="s">
        <v>74</v>
      </c>
      <c r="BH698" t="s">
        <v>74</v>
      </c>
      <c r="BI698" t="s">
        <v>74</v>
      </c>
      <c r="BJ698" t="s">
        <v>74</v>
      </c>
      <c r="BK698" t="s">
        <v>74</v>
      </c>
      <c r="BL698" t="s">
        <v>74</v>
      </c>
      <c r="BM698" t="s">
        <v>74</v>
      </c>
      <c r="BN698" t="s">
        <v>74</v>
      </c>
      <c r="BO698" t="s">
        <v>74</v>
      </c>
      <c r="BP698" t="s">
        <v>74</v>
      </c>
      <c r="BQ698" t="s">
        <v>74</v>
      </c>
      <c r="BR698" t="s">
        <v>74</v>
      </c>
      <c r="BS698" t="s">
        <v>2689</v>
      </c>
      <c r="BT698" t="str">
        <f>HYPERLINK("https%3A%2F%2Fwww.webofscience.com%2Fwos%2Fwoscc%2Ffull-record%2FWOS:A1993LU73200007","View Full Record in Web of Science")</f>
        <v>View Full Record in Web of Science</v>
      </c>
    </row>
    <row r="699" spans="1:72" x14ac:dyDescent="0.4">
      <c r="A699" t="s">
        <v>72</v>
      </c>
      <c r="B699" t="s">
        <v>2685</v>
      </c>
      <c r="C699" t="s">
        <v>74</v>
      </c>
      <c r="D699" t="s">
        <v>74</v>
      </c>
      <c r="E699" t="s">
        <v>74</v>
      </c>
      <c r="F699" t="s">
        <v>2685</v>
      </c>
      <c r="G699" t="s">
        <v>74</v>
      </c>
      <c r="H699" t="s">
        <v>74</v>
      </c>
      <c r="I699" t="s">
        <v>3634</v>
      </c>
      <c r="J699" t="s">
        <v>1673</v>
      </c>
      <c r="K699" t="s">
        <v>74</v>
      </c>
      <c r="L699" t="s">
        <v>74</v>
      </c>
      <c r="M699" t="s">
        <v>74</v>
      </c>
      <c r="N699" t="s">
        <v>74</v>
      </c>
      <c r="O699" t="s">
        <v>74</v>
      </c>
      <c r="P699" t="s">
        <v>74</v>
      </c>
      <c r="Q699" t="s">
        <v>74</v>
      </c>
      <c r="R699" t="s">
        <v>74</v>
      </c>
      <c r="S699" t="s">
        <v>74</v>
      </c>
      <c r="T699" t="s">
        <v>74</v>
      </c>
      <c r="U699" t="s">
        <v>74</v>
      </c>
      <c r="V699" s="3" t="s">
        <v>3635</v>
      </c>
      <c r="W699" t="s">
        <v>74</v>
      </c>
      <c r="X699" t="s">
        <v>74</v>
      </c>
      <c r="Y699" t="s">
        <v>74</v>
      </c>
      <c r="Z699" t="s">
        <v>74</v>
      </c>
      <c r="AA699" t="s">
        <v>74</v>
      </c>
      <c r="AB699" t="s">
        <v>74</v>
      </c>
      <c r="AC699" t="s">
        <v>74</v>
      </c>
      <c r="AD699" t="s">
        <v>74</v>
      </c>
      <c r="AE699" t="s">
        <v>74</v>
      </c>
      <c r="AF699" t="s">
        <v>74</v>
      </c>
      <c r="AG699" t="s">
        <v>74</v>
      </c>
      <c r="AH699" t="s">
        <v>74</v>
      </c>
      <c r="AI699" t="s">
        <v>74</v>
      </c>
      <c r="AJ699" t="s">
        <v>74</v>
      </c>
      <c r="AK699" t="s">
        <v>74</v>
      </c>
      <c r="AL699" t="s">
        <v>74</v>
      </c>
      <c r="AM699" t="s">
        <v>74</v>
      </c>
      <c r="AN699" t="s">
        <v>74</v>
      </c>
      <c r="AO699" t="s">
        <v>1239</v>
      </c>
      <c r="AP699" t="s">
        <v>1675</v>
      </c>
      <c r="AQ699" t="s">
        <v>74</v>
      </c>
      <c r="AR699" t="s">
        <v>74</v>
      </c>
      <c r="AS699" t="s">
        <v>74</v>
      </c>
      <c r="AT699" t="s">
        <v>255</v>
      </c>
      <c r="AU699">
        <v>1994</v>
      </c>
      <c r="AV699">
        <v>72</v>
      </c>
      <c r="AW699">
        <v>1</v>
      </c>
      <c r="AX699" t="s">
        <v>74</v>
      </c>
      <c r="AY699" t="s">
        <v>74</v>
      </c>
      <c r="AZ699" t="s">
        <v>74</v>
      </c>
      <c r="BA699" t="s">
        <v>74</v>
      </c>
      <c r="BB699">
        <v>144</v>
      </c>
      <c r="BC699">
        <v>153</v>
      </c>
      <c r="BD699" t="s">
        <v>74</v>
      </c>
      <c r="BE699" t="s">
        <v>3636</v>
      </c>
      <c r="BF699" t="str">
        <f>HYPERLINK("http://dx.doi.org/10.1139/z94-018","http://dx.doi.org/10.1139/z94-018")</f>
        <v>http://dx.doi.org/10.1139/z94-018</v>
      </c>
      <c r="BG699" t="s">
        <v>74</v>
      </c>
      <c r="BH699" t="s">
        <v>74</v>
      </c>
      <c r="BI699" t="s">
        <v>74</v>
      </c>
      <c r="BJ699" t="s">
        <v>74</v>
      </c>
      <c r="BK699" t="s">
        <v>74</v>
      </c>
      <c r="BL699" t="s">
        <v>74</v>
      </c>
      <c r="BM699" t="s">
        <v>74</v>
      </c>
      <c r="BN699" t="s">
        <v>74</v>
      </c>
      <c r="BO699" t="s">
        <v>74</v>
      </c>
      <c r="BP699" t="s">
        <v>74</v>
      </c>
      <c r="BQ699" t="s">
        <v>74</v>
      </c>
      <c r="BR699" t="s">
        <v>74</v>
      </c>
      <c r="BS699" t="s">
        <v>3637</v>
      </c>
      <c r="BT699" t="str">
        <f>HYPERLINK("https%3A%2F%2Fwww.webofscience.com%2Fwos%2Fwoscc%2Ffull-record%2FWOS:A1994NK85100018","View Full Record in Web of Science")</f>
        <v>View Full Record in Web of Science</v>
      </c>
    </row>
    <row r="700" spans="1:72" x14ac:dyDescent="0.4">
      <c r="A700" t="s">
        <v>72</v>
      </c>
      <c r="B700" t="s">
        <v>2685</v>
      </c>
      <c r="C700" t="s">
        <v>74</v>
      </c>
      <c r="D700" t="s">
        <v>74</v>
      </c>
      <c r="E700" t="s">
        <v>74</v>
      </c>
      <c r="F700" t="s">
        <v>2685</v>
      </c>
      <c r="G700" t="s">
        <v>74</v>
      </c>
      <c r="H700" t="s">
        <v>74</v>
      </c>
      <c r="I700" t="s">
        <v>4476</v>
      </c>
      <c r="J700" t="s">
        <v>140</v>
      </c>
      <c r="K700" t="s">
        <v>74</v>
      </c>
      <c r="L700" t="s">
        <v>74</v>
      </c>
      <c r="M700" t="s">
        <v>74</v>
      </c>
      <c r="N700" t="s">
        <v>74</v>
      </c>
      <c r="O700" t="s">
        <v>74</v>
      </c>
      <c r="P700" t="s">
        <v>74</v>
      </c>
      <c r="Q700" t="s">
        <v>74</v>
      </c>
      <c r="R700" t="s">
        <v>74</v>
      </c>
      <c r="S700" t="s">
        <v>74</v>
      </c>
      <c r="T700" t="s">
        <v>74</v>
      </c>
      <c r="U700" t="s">
        <v>74</v>
      </c>
      <c r="V700" s="3" t="s">
        <v>4477</v>
      </c>
      <c r="W700" t="s">
        <v>74</v>
      </c>
      <c r="X700" t="s">
        <v>74</v>
      </c>
      <c r="Y700" t="s">
        <v>74</v>
      </c>
      <c r="Z700" t="s">
        <v>74</v>
      </c>
      <c r="AA700" t="s">
        <v>74</v>
      </c>
      <c r="AB700" t="s">
        <v>74</v>
      </c>
      <c r="AC700" t="s">
        <v>74</v>
      </c>
      <c r="AD700" t="s">
        <v>74</v>
      </c>
      <c r="AE700" t="s">
        <v>74</v>
      </c>
      <c r="AF700" t="s">
        <v>74</v>
      </c>
      <c r="AG700" t="s">
        <v>74</v>
      </c>
      <c r="AH700" t="s">
        <v>74</v>
      </c>
      <c r="AI700" t="s">
        <v>74</v>
      </c>
      <c r="AJ700" t="s">
        <v>74</v>
      </c>
      <c r="AK700" t="s">
        <v>74</v>
      </c>
      <c r="AL700" t="s">
        <v>74</v>
      </c>
      <c r="AM700" t="s">
        <v>74</v>
      </c>
      <c r="AN700" t="s">
        <v>74</v>
      </c>
      <c r="AO700" t="s">
        <v>143</v>
      </c>
      <c r="AP700" t="s">
        <v>74</v>
      </c>
      <c r="AQ700" t="s">
        <v>74</v>
      </c>
      <c r="AR700" t="s">
        <v>74</v>
      </c>
      <c r="AS700" t="s">
        <v>74</v>
      </c>
      <c r="AT700" t="s">
        <v>204</v>
      </c>
      <c r="AU700">
        <v>1995</v>
      </c>
      <c r="AV700">
        <v>50</v>
      </c>
      <c r="AW700" t="s">
        <v>74</v>
      </c>
      <c r="AX700">
        <v>1</v>
      </c>
      <c r="AY700" t="s">
        <v>74</v>
      </c>
      <c r="AZ700" t="s">
        <v>74</v>
      </c>
      <c r="BA700" t="s">
        <v>74</v>
      </c>
      <c r="BB700">
        <v>213</v>
      </c>
      <c r="BC700">
        <v>221</v>
      </c>
      <c r="BD700" t="s">
        <v>74</v>
      </c>
      <c r="BE700" t="s">
        <v>4478</v>
      </c>
      <c r="BF700" t="str">
        <f>HYPERLINK("http://dx.doi.org/10.1006/anbe.1995.0233","http://dx.doi.org/10.1006/anbe.1995.0233")</f>
        <v>http://dx.doi.org/10.1006/anbe.1995.0233</v>
      </c>
      <c r="BG700" t="s">
        <v>74</v>
      </c>
      <c r="BH700" t="s">
        <v>74</v>
      </c>
      <c r="BI700" t="s">
        <v>74</v>
      </c>
      <c r="BJ700" t="s">
        <v>74</v>
      </c>
      <c r="BK700" t="s">
        <v>74</v>
      </c>
      <c r="BL700" t="s">
        <v>74</v>
      </c>
      <c r="BM700" t="s">
        <v>74</v>
      </c>
      <c r="BN700" t="s">
        <v>74</v>
      </c>
      <c r="BO700" t="s">
        <v>74</v>
      </c>
      <c r="BP700" t="s">
        <v>74</v>
      </c>
      <c r="BQ700" t="s">
        <v>74</v>
      </c>
      <c r="BR700" t="s">
        <v>74</v>
      </c>
      <c r="BS700" t="s">
        <v>4479</v>
      </c>
      <c r="BT700" t="str">
        <f>HYPERLINK("https%3A%2F%2Fwww.webofscience.com%2Fwos%2Fwoscc%2Ffull-record%2FWOS:A1995RM19000020","View Full Record in Web of Science")</f>
        <v>View Full Record in Web of Science</v>
      </c>
    </row>
    <row r="701" spans="1:72" x14ac:dyDescent="0.4">
      <c r="A701" t="s">
        <v>72</v>
      </c>
      <c r="B701" t="s">
        <v>2307</v>
      </c>
      <c r="C701" t="s">
        <v>74</v>
      </c>
      <c r="D701" t="s">
        <v>74</v>
      </c>
      <c r="E701" t="s">
        <v>74</v>
      </c>
      <c r="F701" t="s">
        <v>2308</v>
      </c>
      <c r="G701" t="s">
        <v>74</v>
      </c>
      <c r="H701" t="s">
        <v>74</v>
      </c>
      <c r="I701" t="s">
        <v>2309</v>
      </c>
      <c r="J701" t="s">
        <v>2310</v>
      </c>
      <c r="K701" t="s">
        <v>74</v>
      </c>
      <c r="L701" t="s">
        <v>74</v>
      </c>
      <c r="M701" t="s">
        <v>74</v>
      </c>
      <c r="N701" t="s">
        <v>74</v>
      </c>
      <c r="O701" t="s">
        <v>74</v>
      </c>
      <c r="P701" t="s">
        <v>74</v>
      </c>
      <c r="Q701" t="s">
        <v>74</v>
      </c>
      <c r="R701" t="s">
        <v>74</v>
      </c>
      <c r="S701" t="s">
        <v>74</v>
      </c>
      <c r="T701" t="s">
        <v>74</v>
      </c>
      <c r="U701" t="s">
        <v>74</v>
      </c>
      <c r="V701" s="3" t="s">
        <v>2311</v>
      </c>
      <c r="W701" t="s">
        <v>74</v>
      </c>
      <c r="X701" t="s">
        <v>74</v>
      </c>
      <c r="Y701" t="s">
        <v>74</v>
      </c>
      <c r="Z701" t="s">
        <v>74</v>
      </c>
      <c r="AA701" t="s">
        <v>74</v>
      </c>
      <c r="AB701" t="s">
        <v>2312</v>
      </c>
      <c r="AC701" t="s">
        <v>74</v>
      </c>
      <c r="AD701" t="s">
        <v>74</v>
      </c>
      <c r="AE701" t="s">
        <v>74</v>
      </c>
      <c r="AF701" t="s">
        <v>74</v>
      </c>
      <c r="AG701" t="s">
        <v>74</v>
      </c>
      <c r="AH701" t="s">
        <v>74</v>
      </c>
      <c r="AI701" t="s">
        <v>74</v>
      </c>
      <c r="AJ701" t="s">
        <v>74</v>
      </c>
      <c r="AK701" t="s">
        <v>74</v>
      </c>
      <c r="AL701" t="s">
        <v>74</v>
      </c>
      <c r="AM701" t="s">
        <v>74</v>
      </c>
      <c r="AN701" t="s">
        <v>74</v>
      </c>
      <c r="AO701" t="s">
        <v>2313</v>
      </c>
      <c r="AP701" t="s">
        <v>74</v>
      </c>
      <c r="AQ701" t="s">
        <v>74</v>
      </c>
      <c r="AR701" t="s">
        <v>74</v>
      </c>
      <c r="AS701" t="s">
        <v>74</v>
      </c>
      <c r="AT701" t="s">
        <v>123</v>
      </c>
      <c r="AU701">
        <v>2012</v>
      </c>
      <c r="AV701">
        <v>46</v>
      </c>
      <c r="AW701">
        <v>1</v>
      </c>
      <c r="AX701" t="s">
        <v>74</v>
      </c>
      <c r="AY701" t="s">
        <v>74</v>
      </c>
      <c r="AZ701" t="s">
        <v>74</v>
      </c>
      <c r="BA701" t="s">
        <v>74</v>
      </c>
      <c r="BB701">
        <v>111</v>
      </c>
      <c r="BC701">
        <v>123</v>
      </c>
      <c r="BD701" t="s">
        <v>74</v>
      </c>
      <c r="BE701" t="s">
        <v>2314</v>
      </c>
      <c r="BF701" t="str">
        <f>HYPERLINK("http://dx.doi.org/10.1080/00288330.2011.608687","http://dx.doi.org/10.1080/00288330.2011.608687")</f>
        <v>http://dx.doi.org/10.1080/00288330.2011.608687</v>
      </c>
      <c r="BG701" t="s">
        <v>74</v>
      </c>
      <c r="BH701" t="s">
        <v>74</v>
      </c>
      <c r="BI701" t="s">
        <v>74</v>
      </c>
      <c r="BJ701" t="s">
        <v>74</v>
      </c>
      <c r="BK701" t="s">
        <v>74</v>
      </c>
      <c r="BL701" t="s">
        <v>74</v>
      </c>
      <c r="BM701" t="s">
        <v>74</v>
      </c>
      <c r="BN701" t="s">
        <v>74</v>
      </c>
      <c r="BO701" t="s">
        <v>74</v>
      </c>
      <c r="BP701" t="s">
        <v>74</v>
      </c>
      <c r="BQ701" t="s">
        <v>74</v>
      </c>
      <c r="BR701" t="s">
        <v>74</v>
      </c>
      <c r="BS701" t="s">
        <v>2315</v>
      </c>
      <c r="BT701" t="str">
        <f>HYPERLINK("https%3A%2F%2Fwww.webofscience.com%2Fwos%2Fwoscc%2Ffull-record%2FWOS:000304675700010","View Full Record in Web of Science")</f>
        <v>View Full Record in Web of Science</v>
      </c>
    </row>
    <row r="702" spans="1:72" x14ac:dyDescent="0.4">
      <c r="A702" t="s">
        <v>72</v>
      </c>
      <c r="B702" t="s">
        <v>4341</v>
      </c>
      <c r="C702" t="s">
        <v>74</v>
      </c>
      <c r="D702" t="s">
        <v>74</v>
      </c>
      <c r="E702" t="s">
        <v>74</v>
      </c>
      <c r="F702" t="s">
        <v>4342</v>
      </c>
      <c r="G702" t="s">
        <v>74</v>
      </c>
      <c r="H702" t="s">
        <v>74</v>
      </c>
      <c r="I702" t="s">
        <v>4343</v>
      </c>
      <c r="J702" t="s">
        <v>814</v>
      </c>
      <c r="K702" t="s">
        <v>74</v>
      </c>
      <c r="L702" t="s">
        <v>74</v>
      </c>
      <c r="M702" t="s">
        <v>74</v>
      </c>
      <c r="N702" t="s">
        <v>74</v>
      </c>
      <c r="O702" t="s">
        <v>74</v>
      </c>
      <c r="P702" t="s">
        <v>74</v>
      </c>
      <c r="Q702" t="s">
        <v>74</v>
      </c>
      <c r="R702" t="s">
        <v>74</v>
      </c>
      <c r="S702" t="s">
        <v>74</v>
      </c>
      <c r="T702" t="s">
        <v>74</v>
      </c>
      <c r="U702" t="s">
        <v>74</v>
      </c>
      <c r="V702" s="3" t="s">
        <v>4344</v>
      </c>
      <c r="W702" t="s">
        <v>74</v>
      </c>
      <c r="X702" t="s">
        <v>74</v>
      </c>
      <c r="Y702" t="s">
        <v>74</v>
      </c>
      <c r="Z702" t="s">
        <v>74</v>
      </c>
      <c r="AA702" t="s">
        <v>4345</v>
      </c>
      <c r="AB702" t="s">
        <v>4346</v>
      </c>
      <c r="AC702" t="s">
        <v>74</v>
      </c>
      <c r="AD702" t="s">
        <v>74</v>
      </c>
      <c r="AE702" t="s">
        <v>74</v>
      </c>
      <c r="AF702" t="s">
        <v>74</v>
      </c>
      <c r="AG702" t="s">
        <v>74</v>
      </c>
      <c r="AH702" t="s">
        <v>74</v>
      </c>
      <c r="AI702" t="s">
        <v>74</v>
      </c>
      <c r="AJ702" t="s">
        <v>74</v>
      </c>
      <c r="AK702" t="s">
        <v>74</v>
      </c>
      <c r="AL702" t="s">
        <v>74</v>
      </c>
      <c r="AM702" t="s">
        <v>74</v>
      </c>
      <c r="AN702" t="s">
        <v>74</v>
      </c>
      <c r="AO702" t="s">
        <v>818</v>
      </c>
      <c r="AP702" t="s">
        <v>1505</v>
      </c>
      <c r="AQ702" t="s">
        <v>74</v>
      </c>
      <c r="AR702" t="s">
        <v>74</v>
      </c>
      <c r="AS702" t="s">
        <v>74</v>
      </c>
      <c r="AT702" t="s">
        <v>74</v>
      </c>
      <c r="AU702">
        <v>2009</v>
      </c>
      <c r="AV702">
        <v>112</v>
      </c>
      <c r="AW702">
        <v>3</v>
      </c>
      <c r="AX702" t="s">
        <v>74</v>
      </c>
      <c r="AY702" t="s">
        <v>74</v>
      </c>
      <c r="AZ702" t="s">
        <v>74</v>
      </c>
      <c r="BA702" t="s">
        <v>74</v>
      </c>
      <c r="BB702">
        <v>217</v>
      </c>
      <c r="BC702">
        <v>226</v>
      </c>
      <c r="BD702" t="s">
        <v>74</v>
      </c>
      <c r="BE702" t="s">
        <v>4347</v>
      </c>
      <c r="BF702" t="str">
        <f>HYPERLINK("http://dx.doi.org/10.1016/j.zool.2008.09.005","http://dx.doi.org/10.1016/j.zool.2008.09.005")</f>
        <v>http://dx.doi.org/10.1016/j.zool.2008.09.005</v>
      </c>
      <c r="BG702" t="s">
        <v>74</v>
      </c>
      <c r="BH702" t="s">
        <v>74</v>
      </c>
      <c r="BI702" t="s">
        <v>74</v>
      </c>
      <c r="BJ702" t="s">
        <v>74</v>
      </c>
      <c r="BK702" t="s">
        <v>74</v>
      </c>
      <c r="BL702" t="s">
        <v>74</v>
      </c>
      <c r="BM702" t="s">
        <v>74</v>
      </c>
      <c r="BN702">
        <v>19230632</v>
      </c>
      <c r="BO702" t="s">
        <v>74</v>
      </c>
      <c r="BP702" t="s">
        <v>74</v>
      </c>
      <c r="BQ702" t="s">
        <v>74</v>
      </c>
      <c r="BR702" t="s">
        <v>74</v>
      </c>
      <c r="BS702" t="s">
        <v>4348</v>
      </c>
      <c r="BT702" t="str">
        <f>HYPERLINK("https%3A%2F%2Fwww.webofscience.com%2Fwos%2Fwoscc%2Ffull-record%2FWOS:000265663200006","View Full Record in Web of Science")</f>
        <v>View Full Record in Web of Science</v>
      </c>
    </row>
    <row r="703" spans="1:72" x14ac:dyDescent="0.4">
      <c r="A703" t="s">
        <v>72</v>
      </c>
      <c r="B703" t="s">
        <v>3361</v>
      </c>
      <c r="C703" t="s">
        <v>74</v>
      </c>
      <c r="D703" t="s">
        <v>74</v>
      </c>
      <c r="E703" t="s">
        <v>74</v>
      </c>
      <c r="F703" t="s">
        <v>3361</v>
      </c>
      <c r="G703" t="s">
        <v>74</v>
      </c>
      <c r="H703" t="s">
        <v>74</v>
      </c>
      <c r="I703" t="s">
        <v>3362</v>
      </c>
      <c r="J703" t="s">
        <v>3363</v>
      </c>
      <c r="K703" t="s">
        <v>74</v>
      </c>
      <c r="L703" t="s">
        <v>74</v>
      </c>
      <c r="M703" t="s">
        <v>74</v>
      </c>
      <c r="N703" t="s">
        <v>74</v>
      </c>
      <c r="O703" t="s">
        <v>74</v>
      </c>
      <c r="P703" t="s">
        <v>74</v>
      </c>
      <c r="Q703" t="s">
        <v>74</v>
      </c>
      <c r="R703" t="s">
        <v>74</v>
      </c>
      <c r="S703" t="s">
        <v>74</v>
      </c>
      <c r="T703" t="s">
        <v>74</v>
      </c>
      <c r="U703" t="s">
        <v>74</v>
      </c>
      <c r="V703" s="3" t="s">
        <v>3364</v>
      </c>
      <c r="W703" t="s">
        <v>74</v>
      </c>
      <c r="X703" t="s">
        <v>74</v>
      </c>
      <c r="Y703" t="s">
        <v>74</v>
      </c>
      <c r="Z703" t="s">
        <v>74</v>
      </c>
      <c r="AA703" t="s">
        <v>74</v>
      </c>
      <c r="AB703" t="s">
        <v>74</v>
      </c>
      <c r="AC703" t="s">
        <v>74</v>
      </c>
      <c r="AD703" t="s">
        <v>74</v>
      </c>
      <c r="AE703" t="s">
        <v>74</v>
      </c>
      <c r="AF703" t="s">
        <v>74</v>
      </c>
      <c r="AG703" t="s">
        <v>74</v>
      </c>
      <c r="AH703" t="s">
        <v>74</v>
      </c>
      <c r="AI703" t="s">
        <v>74</v>
      </c>
      <c r="AJ703" t="s">
        <v>74</v>
      </c>
      <c r="AK703" t="s">
        <v>74</v>
      </c>
      <c r="AL703" t="s">
        <v>74</v>
      </c>
      <c r="AM703" t="s">
        <v>74</v>
      </c>
      <c r="AN703" t="s">
        <v>74</v>
      </c>
      <c r="AO703" t="s">
        <v>3365</v>
      </c>
      <c r="AP703" t="s">
        <v>3366</v>
      </c>
      <c r="AQ703" t="s">
        <v>74</v>
      </c>
      <c r="AR703" t="s">
        <v>74</v>
      </c>
      <c r="AS703" t="s">
        <v>74</v>
      </c>
      <c r="AT703" t="s">
        <v>74</v>
      </c>
      <c r="AU703">
        <v>1979</v>
      </c>
      <c r="AV703">
        <v>50</v>
      </c>
      <c r="AW703">
        <v>2</v>
      </c>
      <c r="AX703" t="s">
        <v>74</v>
      </c>
      <c r="AY703" t="s">
        <v>74</v>
      </c>
      <c r="AZ703" t="s">
        <v>74</v>
      </c>
      <c r="BA703" t="s">
        <v>74</v>
      </c>
      <c r="BB703">
        <v>97</v>
      </c>
      <c r="BC703">
        <v>99</v>
      </c>
      <c r="BD703" t="s">
        <v>74</v>
      </c>
      <c r="BE703" t="s">
        <v>74</v>
      </c>
      <c r="BF703" t="s">
        <v>74</v>
      </c>
      <c r="BG703" t="s">
        <v>74</v>
      </c>
      <c r="BH703" t="s">
        <v>74</v>
      </c>
      <c r="BI703" t="s">
        <v>74</v>
      </c>
      <c r="BJ703" t="s">
        <v>74</v>
      </c>
      <c r="BK703" t="s">
        <v>74</v>
      </c>
      <c r="BL703" t="s">
        <v>74</v>
      </c>
      <c r="BM703" t="s">
        <v>74</v>
      </c>
      <c r="BN703">
        <v>575907</v>
      </c>
      <c r="BO703" t="s">
        <v>74</v>
      </c>
      <c r="BP703" t="s">
        <v>74</v>
      </c>
      <c r="BQ703" t="s">
        <v>74</v>
      </c>
      <c r="BR703" t="s">
        <v>74</v>
      </c>
      <c r="BS703" t="s">
        <v>3367</v>
      </c>
      <c r="BT703" t="str">
        <f>HYPERLINK("https%3A%2F%2Fwww.webofscience.com%2Fwos%2Fwoscc%2Ffull-record%2FWOS:A1979HS03900007","View Full Record in Web of Science")</f>
        <v>View Full Record in Web of Science</v>
      </c>
    </row>
    <row r="704" spans="1:72" x14ac:dyDescent="0.4">
      <c r="A704" t="s">
        <v>72</v>
      </c>
      <c r="B704" t="s">
        <v>2290</v>
      </c>
      <c r="C704" t="s">
        <v>74</v>
      </c>
      <c r="D704" t="s">
        <v>74</v>
      </c>
      <c r="E704" t="s">
        <v>74</v>
      </c>
      <c r="F704" t="s">
        <v>2291</v>
      </c>
      <c r="G704" t="s">
        <v>74</v>
      </c>
      <c r="H704" t="s">
        <v>74</v>
      </c>
      <c r="I704" t="s">
        <v>2292</v>
      </c>
      <c r="J704" t="s">
        <v>775</v>
      </c>
      <c r="K704" t="s">
        <v>74</v>
      </c>
      <c r="L704" t="s">
        <v>74</v>
      </c>
      <c r="M704" t="s">
        <v>74</v>
      </c>
      <c r="N704" t="s">
        <v>74</v>
      </c>
      <c r="O704" t="s">
        <v>74</v>
      </c>
      <c r="P704" t="s">
        <v>74</v>
      </c>
      <c r="Q704" t="s">
        <v>74</v>
      </c>
      <c r="R704" t="s">
        <v>74</v>
      </c>
      <c r="S704" t="s">
        <v>74</v>
      </c>
      <c r="T704" t="s">
        <v>74</v>
      </c>
      <c r="U704" t="s">
        <v>74</v>
      </c>
      <c r="V704" s="3" t="s">
        <v>2293</v>
      </c>
      <c r="W704" t="s">
        <v>74</v>
      </c>
      <c r="X704" t="s">
        <v>74</v>
      </c>
      <c r="Y704" t="s">
        <v>74</v>
      </c>
      <c r="Z704" t="s">
        <v>74</v>
      </c>
      <c r="AA704" t="s">
        <v>2294</v>
      </c>
      <c r="AB704" t="s">
        <v>2295</v>
      </c>
      <c r="AC704" t="s">
        <v>74</v>
      </c>
      <c r="AD704" t="s">
        <v>74</v>
      </c>
      <c r="AE704" t="s">
        <v>74</v>
      </c>
      <c r="AF704" t="s">
        <v>74</v>
      </c>
      <c r="AG704" t="s">
        <v>74</v>
      </c>
      <c r="AH704" t="s">
        <v>74</v>
      </c>
      <c r="AI704" t="s">
        <v>74</v>
      </c>
      <c r="AJ704" t="s">
        <v>74</v>
      </c>
      <c r="AK704" t="s">
        <v>74</v>
      </c>
      <c r="AL704" t="s">
        <v>74</v>
      </c>
      <c r="AM704" t="s">
        <v>74</v>
      </c>
      <c r="AN704" t="s">
        <v>74</v>
      </c>
      <c r="AO704" t="s">
        <v>778</v>
      </c>
      <c r="AP704" t="s">
        <v>779</v>
      </c>
      <c r="AQ704" t="s">
        <v>74</v>
      </c>
      <c r="AR704" t="s">
        <v>74</v>
      </c>
      <c r="AS704" t="s">
        <v>74</v>
      </c>
      <c r="AT704" t="s">
        <v>2296</v>
      </c>
      <c r="AU704">
        <v>2024</v>
      </c>
      <c r="AV704">
        <v>70</v>
      </c>
      <c r="AW704">
        <v>1</v>
      </c>
      <c r="AX704" t="s">
        <v>74</v>
      </c>
      <c r="AY704" t="s">
        <v>74</v>
      </c>
      <c r="AZ704" t="s">
        <v>74</v>
      </c>
      <c r="BA704" t="s">
        <v>74</v>
      </c>
      <c r="BB704">
        <v>59</v>
      </c>
      <c r="BC704">
        <v>69</v>
      </c>
      <c r="BD704" t="s">
        <v>74</v>
      </c>
      <c r="BE704" t="s">
        <v>2297</v>
      </c>
      <c r="BF704" t="str">
        <f>HYPERLINK("http://dx.doi.org/10.1093/cz/zoac095","http://dx.doi.org/10.1093/cz/zoac095")</f>
        <v>http://dx.doi.org/10.1093/cz/zoac095</v>
      </c>
      <c r="BG704" t="s">
        <v>74</v>
      </c>
      <c r="BH704" t="s">
        <v>2298</v>
      </c>
      <c r="BI704" t="s">
        <v>74</v>
      </c>
      <c r="BJ704" t="s">
        <v>74</v>
      </c>
      <c r="BK704" t="s">
        <v>74</v>
      </c>
      <c r="BL704" t="s">
        <v>74</v>
      </c>
      <c r="BM704" t="s">
        <v>74</v>
      </c>
      <c r="BN704">
        <v>38476133</v>
      </c>
      <c r="BO704" t="s">
        <v>74</v>
      </c>
      <c r="BP704" t="s">
        <v>74</v>
      </c>
      <c r="BQ704" t="s">
        <v>74</v>
      </c>
      <c r="BR704" t="s">
        <v>74</v>
      </c>
      <c r="BS704" t="s">
        <v>2299</v>
      </c>
      <c r="BT704" t="str">
        <f>HYPERLINK("https%3A%2F%2Fwww.webofscience.com%2Fwos%2Fwoscc%2Ffull-record%2FWOS:000908307000001","View Full Record in Web of Science")</f>
        <v>View Full Record in Web of Science</v>
      </c>
    </row>
    <row r="705" spans="1:72" x14ac:dyDescent="0.4">
      <c r="A705" t="s">
        <v>72</v>
      </c>
      <c r="B705" t="s">
        <v>1721</v>
      </c>
      <c r="C705" t="s">
        <v>74</v>
      </c>
      <c r="D705" t="s">
        <v>74</v>
      </c>
      <c r="E705" t="s">
        <v>74</v>
      </c>
      <c r="F705" t="s">
        <v>1721</v>
      </c>
      <c r="G705" t="s">
        <v>74</v>
      </c>
      <c r="H705" t="s">
        <v>74</v>
      </c>
      <c r="I705" t="s">
        <v>1722</v>
      </c>
      <c r="J705" t="s">
        <v>171</v>
      </c>
      <c r="K705" t="s">
        <v>74</v>
      </c>
      <c r="L705" t="s">
        <v>74</v>
      </c>
      <c r="M705" t="s">
        <v>74</v>
      </c>
      <c r="N705" t="s">
        <v>74</v>
      </c>
      <c r="O705" t="s">
        <v>74</v>
      </c>
      <c r="P705" t="s">
        <v>74</v>
      </c>
      <c r="Q705" t="s">
        <v>74</v>
      </c>
      <c r="R705" t="s">
        <v>74</v>
      </c>
      <c r="S705" t="s">
        <v>74</v>
      </c>
      <c r="T705" t="s">
        <v>74</v>
      </c>
      <c r="U705" t="s">
        <v>74</v>
      </c>
      <c r="V705" s="3" t="s">
        <v>1723</v>
      </c>
      <c r="W705" t="s">
        <v>74</v>
      </c>
      <c r="X705" t="s">
        <v>74</v>
      </c>
      <c r="Y705" t="s">
        <v>74</v>
      </c>
      <c r="Z705" t="s">
        <v>74</v>
      </c>
      <c r="AA705" t="s">
        <v>1724</v>
      </c>
      <c r="AB705" t="s">
        <v>1725</v>
      </c>
      <c r="AC705" t="s">
        <v>74</v>
      </c>
      <c r="AD705" t="s">
        <v>74</v>
      </c>
      <c r="AE705" t="s">
        <v>74</v>
      </c>
      <c r="AF705" t="s">
        <v>74</v>
      </c>
      <c r="AG705" t="s">
        <v>74</v>
      </c>
      <c r="AH705" t="s">
        <v>74</v>
      </c>
      <c r="AI705" t="s">
        <v>74</v>
      </c>
      <c r="AJ705" t="s">
        <v>74</v>
      </c>
      <c r="AK705" t="s">
        <v>74</v>
      </c>
      <c r="AL705" t="s">
        <v>74</v>
      </c>
      <c r="AM705" t="s">
        <v>74</v>
      </c>
      <c r="AN705" t="s">
        <v>74</v>
      </c>
      <c r="AO705" t="s">
        <v>173</v>
      </c>
      <c r="AP705" t="s">
        <v>174</v>
      </c>
      <c r="AQ705" t="s">
        <v>74</v>
      </c>
      <c r="AR705" t="s">
        <v>74</v>
      </c>
      <c r="AS705" t="s">
        <v>74</v>
      </c>
      <c r="AT705" t="s">
        <v>175</v>
      </c>
      <c r="AU705">
        <v>1998</v>
      </c>
      <c r="AV705">
        <v>52</v>
      </c>
      <c r="AW705">
        <v>5</v>
      </c>
      <c r="AX705" t="s">
        <v>74</v>
      </c>
      <c r="AY705" t="s">
        <v>74</v>
      </c>
      <c r="AZ705" t="s">
        <v>74</v>
      </c>
      <c r="BA705" t="s">
        <v>74</v>
      </c>
      <c r="BB705">
        <v>1293</v>
      </c>
      <c r="BC705">
        <v>1303</v>
      </c>
      <c r="BD705" t="s">
        <v>74</v>
      </c>
      <c r="BE705" t="s">
        <v>1726</v>
      </c>
      <c r="BF705" t="str">
        <f>HYPERLINK("http://dx.doi.org/10.2307/2411299","http://dx.doi.org/10.2307/2411299")</f>
        <v>http://dx.doi.org/10.2307/2411299</v>
      </c>
      <c r="BG705" t="s">
        <v>74</v>
      </c>
      <c r="BH705" t="s">
        <v>74</v>
      </c>
      <c r="BI705" t="s">
        <v>74</v>
      </c>
      <c r="BJ705" t="s">
        <v>74</v>
      </c>
      <c r="BK705" t="s">
        <v>74</v>
      </c>
      <c r="BL705" t="s">
        <v>74</v>
      </c>
      <c r="BM705" t="s">
        <v>74</v>
      </c>
      <c r="BN705">
        <v>28565388</v>
      </c>
      <c r="BO705" t="s">
        <v>74</v>
      </c>
      <c r="BP705" t="s">
        <v>74</v>
      </c>
      <c r="BQ705" t="s">
        <v>74</v>
      </c>
      <c r="BR705" t="s">
        <v>74</v>
      </c>
      <c r="BS705" t="s">
        <v>1727</v>
      </c>
      <c r="BT705" t="str">
        <f>HYPERLINK("https%3A%2F%2Fwww.webofscience.com%2Fwos%2Fwoscc%2Ffull-record%2FWOS:000076931100006","View Full Record in Web of Science")</f>
        <v>View Full Record in Web of Science</v>
      </c>
    </row>
    <row r="706" spans="1:72" x14ac:dyDescent="0.4">
      <c r="A706" t="s">
        <v>72</v>
      </c>
      <c r="B706" t="s">
        <v>4777</v>
      </c>
      <c r="C706" t="s">
        <v>74</v>
      </c>
      <c r="D706" t="s">
        <v>74</v>
      </c>
      <c r="E706" t="s">
        <v>74</v>
      </c>
      <c r="F706" t="s">
        <v>4778</v>
      </c>
      <c r="G706" t="s">
        <v>74</v>
      </c>
      <c r="H706" t="s">
        <v>74</v>
      </c>
      <c r="I706" t="s">
        <v>4779</v>
      </c>
      <c r="J706" t="s">
        <v>171</v>
      </c>
      <c r="K706" t="s">
        <v>74</v>
      </c>
      <c r="L706" t="s">
        <v>74</v>
      </c>
      <c r="M706" t="s">
        <v>74</v>
      </c>
      <c r="N706" t="s">
        <v>74</v>
      </c>
      <c r="O706" t="s">
        <v>74</v>
      </c>
      <c r="P706" t="s">
        <v>74</v>
      </c>
      <c r="Q706" t="s">
        <v>74</v>
      </c>
      <c r="R706" t="s">
        <v>74</v>
      </c>
      <c r="S706" t="s">
        <v>74</v>
      </c>
      <c r="T706" t="s">
        <v>74</v>
      </c>
      <c r="U706" t="s">
        <v>74</v>
      </c>
      <c r="V706" s="3" t="s">
        <v>4780</v>
      </c>
      <c r="W706" t="s">
        <v>74</v>
      </c>
      <c r="X706" t="s">
        <v>74</v>
      </c>
      <c r="Y706" t="s">
        <v>74</v>
      </c>
      <c r="Z706" t="s">
        <v>74</v>
      </c>
      <c r="AA706" t="s">
        <v>379</v>
      </c>
      <c r="AB706" t="s">
        <v>3957</v>
      </c>
      <c r="AC706" t="s">
        <v>74</v>
      </c>
      <c r="AD706" t="s">
        <v>74</v>
      </c>
      <c r="AE706" t="s">
        <v>74</v>
      </c>
      <c r="AF706" t="s">
        <v>74</v>
      </c>
      <c r="AG706" t="s">
        <v>74</v>
      </c>
      <c r="AH706" t="s">
        <v>74</v>
      </c>
      <c r="AI706" t="s">
        <v>74</v>
      </c>
      <c r="AJ706" t="s">
        <v>74</v>
      </c>
      <c r="AK706" t="s">
        <v>74</v>
      </c>
      <c r="AL706" t="s">
        <v>74</v>
      </c>
      <c r="AM706" t="s">
        <v>74</v>
      </c>
      <c r="AN706" t="s">
        <v>74</v>
      </c>
      <c r="AO706" t="s">
        <v>173</v>
      </c>
      <c r="AP706" t="s">
        <v>174</v>
      </c>
      <c r="AQ706" t="s">
        <v>74</v>
      </c>
      <c r="AR706" t="s">
        <v>74</v>
      </c>
      <c r="AS706" t="s">
        <v>74</v>
      </c>
      <c r="AT706" t="s">
        <v>964</v>
      </c>
      <c r="AU706">
        <v>2018</v>
      </c>
      <c r="AV706">
        <v>72</v>
      </c>
      <c r="AW706">
        <v>2</v>
      </c>
      <c r="AX706" t="s">
        <v>74</v>
      </c>
      <c r="AY706" t="s">
        <v>74</v>
      </c>
      <c r="AZ706" t="s">
        <v>74</v>
      </c>
      <c r="BA706" t="s">
        <v>74</v>
      </c>
      <c r="BB706">
        <v>337</v>
      </c>
      <c r="BC706">
        <v>347</v>
      </c>
      <c r="BD706" t="s">
        <v>74</v>
      </c>
      <c r="BE706" t="s">
        <v>4781</v>
      </c>
      <c r="BF706" t="str">
        <f>HYPERLINK("http://dx.doi.org/10.1111/evo.13406","http://dx.doi.org/10.1111/evo.13406")</f>
        <v>http://dx.doi.org/10.1111/evo.13406</v>
      </c>
      <c r="BG706" t="s">
        <v>74</v>
      </c>
      <c r="BH706" t="s">
        <v>74</v>
      </c>
      <c r="BI706" t="s">
        <v>74</v>
      </c>
      <c r="BJ706" t="s">
        <v>74</v>
      </c>
      <c r="BK706" t="s">
        <v>74</v>
      </c>
      <c r="BL706" t="s">
        <v>74</v>
      </c>
      <c r="BM706" t="s">
        <v>74</v>
      </c>
      <c r="BN706">
        <v>29265367</v>
      </c>
      <c r="BO706" t="s">
        <v>74</v>
      </c>
      <c r="BP706" t="s">
        <v>74</v>
      </c>
      <c r="BQ706" t="s">
        <v>74</v>
      </c>
      <c r="BR706" t="s">
        <v>74</v>
      </c>
      <c r="BS706" t="s">
        <v>4782</v>
      </c>
      <c r="BT706" t="str">
        <f>HYPERLINK("https%3A%2F%2Fwww.webofscience.com%2Fwos%2Fwoscc%2Ffull-record%2FWOS:000424131100009","View Full Record in Web of Science")</f>
        <v>View Full Record in Web of Science</v>
      </c>
    </row>
    <row r="707" spans="1:72" x14ac:dyDescent="0.4">
      <c r="A707" t="s">
        <v>72</v>
      </c>
      <c r="B707" t="s">
        <v>8682</v>
      </c>
      <c r="C707" t="s">
        <v>74</v>
      </c>
      <c r="D707" t="s">
        <v>74</v>
      </c>
      <c r="E707" t="s">
        <v>74</v>
      </c>
      <c r="F707" t="s">
        <v>8683</v>
      </c>
      <c r="G707" t="s">
        <v>74</v>
      </c>
      <c r="H707" t="s">
        <v>74</v>
      </c>
      <c r="I707" t="s">
        <v>8684</v>
      </c>
      <c r="J707" t="s">
        <v>8685</v>
      </c>
      <c r="K707" t="s">
        <v>74</v>
      </c>
      <c r="L707" t="s">
        <v>74</v>
      </c>
      <c r="M707" t="s">
        <v>74</v>
      </c>
      <c r="N707" t="s">
        <v>74</v>
      </c>
      <c r="O707" t="s">
        <v>74</v>
      </c>
      <c r="P707" t="s">
        <v>74</v>
      </c>
      <c r="Q707" t="s">
        <v>74</v>
      </c>
      <c r="R707" t="s">
        <v>74</v>
      </c>
      <c r="S707" t="s">
        <v>74</v>
      </c>
      <c r="T707" t="s">
        <v>74</v>
      </c>
      <c r="U707" t="s">
        <v>74</v>
      </c>
      <c r="V707" s="3" t="s">
        <v>8686</v>
      </c>
      <c r="W707" t="s">
        <v>74</v>
      </c>
      <c r="X707" t="s">
        <v>74</v>
      </c>
      <c r="Y707" t="s">
        <v>74</v>
      </c>
      <c r="Z707" t="s">
        <v>74</v>
      </c>
      <c r="AA707" t="s">
        <v>8687</v>
      </c>
      <c r="AB707" t="s">
        <v>8688</v>
      </c>
      <c r="AC707" t="s">
        <v>74</v>
      </c>
      <c r="AD707" t="s">
        <v>74</v>
      </c>
      <c r="AE707" t="s">
        <v>74</v>
      </c>
      <c r="AF707" t="s">
        <v>74</v>
      </c>
      <c r="AG707" t="s">
        <v>74</v>
      </c>
      <c r="AH707" t="s">
        <v>74</v>
      </c>
      <c r="AI707" t="s">
        <v>74</v>
      </c>
      <c r="AJ707" t="s">
        <v>74</v>
      </c>
      <c r="AK707" t="s">
        <v>74</v>
      </c>
      <c r="AL707" t="s">
        <v>74</v>
      </c>
      <c r="AM707" t="s">
        <v>74</v>
      </c>
      <c r="AN707" t="s">
        <v>74</v>
      </c>
      <c r="AO707" t="s">
        <v>8689</v>
      </c>
      <c r="AP707" t="s">
        <v>74</v>
      </c>
      <c r="AQ707" t="s">
        <v>74</v>
      </c>
      <c r="AR707" t="s">
        <v>74</v>
      </c>
      <c r="AS707" t="s">
        <v>74</v>
      </c>
      <c r="AT707" t="s">
        <v>352</v>
      </c>
      <c r="AU707">
        <v>2008</v>
      </c>
      <c r="AV707">
        <v>25</v>
      </c>
      <c r="AW707">
        <v>3</v>
      </c>
      <c r="AX707" t="s">
        <v>74</v>
      </c>
      <c r="AY707" t="s">
        <v>74</v>
      </c>
      <c r="AZ707" t="s">
        <v>74</v>
      </c>
      <c r="BA707" t="s">
        <v>74</v>
      </c>
      <c r="BB707">
        <v>413</v>
      </c>
      <c r="BC707">
        <v>418</v>
      </c>
      <c r="BD707" t="s">
        <v>74</v>
      </c>
      <c r="BE707" t="s">
        <v>8690</v>
      </c>
      <c r="BF707" t="str">
        <f>HYPERLINK("http://dx.doi.org/10.1590/S0101-81752008000300005","http://dx.doi.org/10.1590/S0101-81752008000300005")</f>
        <v>http://dx.doi.org/10.1590/S0101-81752008000300005</v>
      </c>
      <c r="BG707" t="s">
        <v>74</v>
      </c>
      <c r="BH707" t="s">
        <v>74</v>
      </c>
      <c r="BI707" t="s">
        <v>74</v>
      </c>
      <c r="BJ707" t="s">
        <v>74</v>
      </c>
      <c r="BK707" t="s">
        <v>74</v>
      </c>
      <c r="BL707" t="s">
        <v>74</v>
      </c>
      <c r="BM707" t="s">
        <v>74</v>
      </c>
      <c r="BN707" t="s">
        <v>74</v>
      </c>
      <c r="BO707" t="s">
        <v>74</v>
      </c>
      <c r="BP707" t="s">
        <v>74</v>
      </c>
      <c r="BQ707" t="s">
        <v>74</v>
      </c>
      <c r="BR707" t="s">
        <v>74</v>
      </c>
      <c r="BS707" t="s">
        <v>8691</v>
      </c>
      <c r="BT707" t="str">
        <f>HYPERLINK("https%3A%2F%2Fwww.webofscience.com%2Fwos%2Fwoscc%2Ffull-record%2FWOS:000260040800006","View Full Record in Web of Science")</f>
        <v>View Full Record in Web of Science</v>
      </c>
    </row>
    <row r="708" spans="1:72" x14ac:dyDescent="0.4">
      <c r="A708" t="s">
        <v>72</v>
      </c>
      <c r="B708" t="s">
        <v>7592</v>
      </c>
      <c r="C708" t="s">
        <v>74</v>
      </c>
      <c r="D708" t="s">
        <v>74</v>
      </c>
      <c r="E708" t="s">
        <v>74</v>
      </c>
      <c r="F708" t="s">
        <v>7592</v>
      </c>
      <c r="G708" t="s">
        <v>74</v>
      </c>
      <c r="H708" t="s">
        <v>74</v>
      </c>
      <c r="I708" t="s">
        <v>7593</v>
      </c>
      <c r="J708" t="s">
        <v>2207</v>
      </c>
      <c r="K708" t="s">
        <v>74</v>
      </c>
      <c r="L708" t="s">
        <v>74</v>
      </c>
      <c r="M708" t="s">
        <v>74</v>
      </c>
      <c r="N708" t="s">
        <v>74</v>
      </c>
      <c r="O708" t="s">
        <v>74</v>
      </c>
      <c r="P708" t="s">
        <v>74</v>
      </c>
      <c r="Q708" t="s">
        <v>74</v>
      </c>
      <c r="R708" t="s">
        <v>74</v>
      </c>
      <c r="S708" t="s">
        <v>74</v>
      </c>
      <c r="T708" t="s">
        <v>74</v>
      </c>
      <c r="U708" t="s">
        <v>74</v>
      </c>
      <c r="V708" s="3" t="s">
        <v>7594</v>
      </c>
      <c r="W708" t="s">
        <v>74</v>
      </c>
      <c r="X708" t="s">
        <v>74</v>
      </c>
      <c r="Y708" t="s">
        <v>74</v>
      </c>
      <c r="Z708" t="s">
        <v>74</v>
      </c>
      <c r="AA708" t="s">
        <v>74</v>
      </c>
      <c r="AB708" t="s">
        <v>3387</v>
      </c>
      <c r="AC708" t="s">
        <v>74</v>
      </c>
      <c r="AD708" t="s">
        <v>74</v>
      </c>
      <c r="AE708" t="s">
        <v>74</v>
      </c>
      <c r="AF708" t="s">
        <v>74</v>
      </c>
      <c r="AG708" t="s">
        <v>74</v>
      </c>
      <c r="AH708" t="s">
        <v>74</v>
      </c>
      <c r="AI708" t="s">
        <v>74</v>
      </c>
      <c r="AJ708" t="s">
        <v>74</v>
      </c>
      <c r="AK708" t="s">
        <v>74</v>
      </c>
      <c r="AL708" t="s">
        <v>74</v>
      </c>
      <c r="AM708" t="s">
        <v>74</v>
      </c>
      <c r="AN708" t="s">
        <v>74</v>
      </c>
      <c r="AO708" t="s">
        <v>2211</v>
      </c>
      <c r="AP708" t="s">
        <v>2461</v>
      </c>
      <c r="AQ708" t="s">
        <v>74</v>
      </c>
      <c r="AR708" t="s">
        <v>74</v>
      </c>
      <c r="AS708" t="s">
        <v>74</v>
      </c>
      <c r="AT708" t="s">
        <v>213</v>
      </c>
      <c r="AU708">
        <v>2004</v>
      </c>
      <c r="AV708">
        <v>35</v>
      </c>
      <c r="AW708">
        <v>6</v>
      </c>
      <c r="AX708" t="s">
        <v>74</v>
      </c>
      <c r="AY708" t="s">
        <v>74</v>
      </c>
      <c r="AZ708" t="s">
        <v>74</v>
      </c>
      <c r="BA708" t="s">
        <v>74</v>
      </c>
      <c r="BB708">
        <v>477</v>
      </c>
      <c r="BC708">
        <v>482</v>
      </c>
      <c r="BD708" t="s">
        <v>74</v>
      </c>
      <c r="BE708" t="s">
        <v>7595</v>
      </c>
      <c r="BF708" t="str">
        <f>HYPERLINK("http://dx.doi.org/10.1111/j.0908-8857.2004.03351.x","http://dx.doi.org/10.1111/j.0908-8857.2004.03351.x")</f>
        <v>http://dx.doi.org/10.1111/j.0908-8857.2004.03351.x</v>
      </c>
      <c r="BG708" t="s">
        <v>74</v>
      </c>
      <c r="BH708" t="s">
        <v>74</v>
      </c>
      <c r="BI708" t="s">
        <v>74</v>
      </c>
      <c r="BJ708" t="s">
        <v>74</v>
      </c>
      <c r="BK708" t="s">
        <v>74</v>
      </c>
      <c r="BL708" t="s">
        <v>74</v>
      </c>
      <c r="BM708" t="s">
        <v>74</v>
      </c>
      <c r="BN708" t="s">
        <v>74</v>
      </c>
      <c r="BO708" t="s">
        <v>74</v>
      </c>
      <c r="BP708" t="s">
        <v>74</v>
      </c>
      <c r="BQ708" t="s">
        <v>74</v>
      </c>
      <c r="BR708" t="s">
        <v>74</v>
      </c>
      <c r="BS708" t="s">
        <v>7596</v>
      </c>
      <c r="BT708" t="str">
        <f>HYPERLINK("https%3A%2F%2Fwww.webofscience.com%2Fwos%2Fwoscc%2Ffull-record%2FWOS:000225224600004","View Full Record in Web of Science")</f>
        <v>View Full Record in Web of Science</v>
      </c>
    </row>
    <row r="709" spans="1:72" x14ac:dyDescent="0.4">
      <c r="A709" t="s">
        <v>72</v>
      </c>
      <c r="B709" t="s">
        <v>3080</v>
      </c>
      <c r="C709" t="s">
        <v>74</v>
      </c>
      <c r="D709" t="s">
        <v>74</v>
      </c>
      <c r="E709" t="s">
        <v>74</v>
      </c>
      <c r="F709" t="s">
        <v>3081</v>
      </c>
      <c r="G709" t="s">
        <v>74</v>
      </c>
      <c r="H709" t="s">
        <v>74</v>
      </c>
      <c r="I709" t="s">
        <v>3082</v>
      </c>
      <c r="J709" t="s">
        <v>2017</v>
      </c>
      <c r="K709" t="s">
        <v>74</v>
      </c>
      <c r="L709" t="s">
        <v>74</v>
      </c>
      <c r="M709" t="s">
        <v>74</v>
      </c>
      <c r="N709" t="s">
        <v>74</v>
      </c>
      <c r="O709" t="s">
        <v>74</v>
      </c>
      <c r="P709" t="s">
        <v>74</v>
      </c>
      <c r="Q709" t="s">
        <v>74</v>
      </c>
      <c r="R709" t="s">
        <v>74</v>
      </c>
      <c r="S709" t="s">
        <v>74</v>
      </c>
      <c r="T709" t="s">
        <v>74</v>
      </c>
      <c r="U709" t="s">
        <v>74</v>
      </c>
      <c r="V709" s="3" t="s">
        <v>3083</v>
      </c>
      <c r="W709" t="s">
        <v>74</v>
      </c>
      <c r="X709" t="s">
        <v>74</v>
      </c>
      <c r="Y709" t="s">
        <v>74</v>
      </c>
      <c r="Z709" t="s">
        <v>74</v>
      </c>
      <c r="AA709" t="s">
        <v>74</v>
      </c>
      <c r="AB709" t="s">
        <v>74</v>
      </c>
      <c r="AC709" t="s">
        <v>74</v>
      </c>
      <c r="AD709" t="s">
        <v>74</v>
      </c>
      <c r="AE709" t="s">
        <v>74</v>
      </c>
      <c r="AF709" t="s">
        <v>74</v>
      </c>
      <c r="AG709" t="s">
        <v>74</v>
      </c>
      <c r="AH709" t="s">
        <v>74</v>
      </c>
      <c r="AI709" t="s">
        <v>74</v>
      </c>
      <c r="AJ709" t="s">
        <v>74</v>
      </c>
      <c r="AK709" t="s">
        <v>74</v>
      </c>
      <c r="AL709" t="s">
        <v>74</v>
      </c>
      <c r="AM709" t="s">
        <v>74</v>
      </c>
      <c r="AN709" t="s">
        <v>74</v>
      </c>
      <c r="AO709" t="s">
        <v>2021</v>
      </c>
      <c r="AP709" t="s">
        <v>74</v>
      </c>
      <c r="AQ709" t="s">
        <v>74</v>
      </c>
      <c r="AR709" t="s">
        <v>74</v>
      </c>
      <c r="AS709" t="s">
        <v>74</v>
      </c>
      <c r="AT709" t="s">
        <v>74</v>
      </c>
      <c r="AU709">
        <v>2014</v>
      </c>
      <c r="AV709">
        <v>2</v>
      </c>
      <c r="AW709" t="s">
        <v>74</v>
      </c>
      <c r="AX709" t="s">
        <v>74</v>
      </c>
      <c r="AY709" t="s">
        <v>74</v>
      </c>
      <c r="AZ709" t="s">
        <v>74</v>
      </c>
      <c r="BA709" t="s">
        <v>74</v>
      </c>
      <c r="BB709" t="s">
        <v>74</v>
      </c>
      <c r="BC709" t="s">
        <v>74</v>
      </c>
      <c r="BD709">
        <v>24</v>
      </c>
      <c r="BE709" t="s">
        <v>3084</v>
      </c>
      <c r="BF709" t="str">
        <f>HYPERLINK("http://dx.doi.org/10.3389/fevo.2014.00024","http://dx.doi.org/10.3389/fevo.2014.00024")</f>
        <v>http://dx.doi.org/10.3389/fevo.2014.00024</v>
      </c>
      <c r="BG709" t="s">
        <v>74</v>
      </c>
      <c r="BH709" t="s">
        <v>74</v>
      </c>
      <c r="BI709" t="s">
        <v>74</v>
      </c>
      <c r="BJ709" t="s">
        <v>74</v>
      </c>
      <c r="BK709" t="s">
        <v>74</v>
      </c>
      <c r="BL709" t="s">
        <v>74</v>
      </c>
      <c r="BM709" t="s">
        <v>74</v>
      </c>
      <c r="BN709" t="s">
        <v>74</v>
      </c>
      <c r="BO709" t="s">
        <v>74</v>
      </c>
      <c r="BP709" t="s">
        <v>74</v>
      </c>
      <c r="BQ709" t="s">
        <v>74</v>
      </c>
      <c r="BR709" t="s">
        <v>74</v>
      </c>
      <c r="BS709" t="s">
        <v>3085</v>
      </c>
      <c r="BT709" t="str">
        <f>HYPERLINK("https%3A%2F%2Fwww.webofscience.com%2Fwos%2Fwoscc%2Ffull-record%2FWOS:000517755700023","View Full Record in Web of Science")</f>
        <v>View Full Record in Web of Science</v>
      </c>
    </row>
    <row r="710" spans="1:72" x14ac:dyDescent="0.4">
      <c r="A710" t="s">
        <v>72</v>
      </c>
      <c r="B710" t="s">
        <v>7522</v>
      </c>
      <c r="C710" t="s">
        <v>74</v>
      </c>
      <c r="D710" t="s">
        <v>74</v>
      </c>
      <c r="E710" t="s">
        <v>74</v>
      </c>
      <c r="F710" t="s">
        <v>7523</v>
      </c>
      <c r="G710" t="s">
        <v>74</v>
      </c>
      <c r="H710" t="s">
        <v>74</v>
      </c>
      <c r="I710" t="s">
        <v>7524</v>
      </c>
      <c r="J710" t="s">
        <v>1526</v>
      </c>
      <c r="K710" t="s">
        <v>74</v>
      </c>
      <c r="L710" t="s">
        <v>74</v>
      </c>
      <c r="M710" t="s">
        <v>74</v>
      </c>
      <c r="N710" t="s">
        <v>74</v>
      </c>
      <c r="O710" t="s">
        <v>74</v>
      </c>
      <c r="P710" t="s">
        <v>74</v>
      </c>
      <c r="Q710" t="s">
        <v>74</v>
      </c>
      <c r="R710" t="s">
        <v>74</v>
      </c>
      <c r="S710" t="s">
        <v>74</v>
      </c>
      <c r="T710" t="s">
        <v>74</v>
      </c>
      <c r="U710" t="s">
        <v>74</v>
      </c>
      <c r="V710" s="3" t="s">
        <v>7525</v>
      </c>
      <c r="W710" t="s">
        <v>74</v>
      </c>
      <c r="X710" t="s">
        <v>74</v>
      </c>
      <c r="Y710" t="s">
        <v>74</v>
      </c>
      <c r="Z710" t="s">
        <v>74</v>
      </c>
      <c r="AA710" t="s">
        <v>7526</v>
      </c>
      <c r="AB710" t="s">
        <v>74</v>
      </c>
      <c r="AC710" t="s">
        <v>74</v>
      </c>
      <c r="AD710" t="s">
        <v>74</v>
      </c>
      <c r="AE710" t="s">
        <v>74</v>
      </c>
      <c r="AF710" t="s">
        <v>74</v>
      </c>
      <c r="AG710" t="s">
        <v>74</v>
      </c>
      <c r="AH710" t="s">
        <v>74</v>
      </c>
      <c r="AI710" t="s">
        <v>74</v>
      </c>
      <c r="AJ710" t="s">
        <v>74</v>
      </c>
      <c r="AK710" t="s">
        <v>74</v>
      </c>
      <c r="AL710" t="s">
        <v>74</v>
      </c>
      <c r="AM710" t="s">
        <v>74</v>
      </c>
      <c r="AN710" t="s">
        <v>74</v>
      </c>
      <c r="AO710" t="s">
        <v>1528</v>
      </c>
      <c r="AP710" t="s">
        <v>2131</v>
      </c>
      <c r="AQ710" t="s">
        <v>74</v>
      </c>
      <c r="AR710" t="s">
        <v>74</v>
      </c>
      <c r="AS710" t="s">
        <v>74</v>
      </c>
      <c r="AT710" t="s">
        <v>213</v>
      </c>
      <c r="AU710">
        <v>2013</v>
      </c>
      <c r="AV710">
        <v>115</v>
      </c>
      <c r="AW710">
        <v>4</v>
      </c>
      <c r="AX710" t="s">
        <v>74</v>
      </c>
      <c r="AY710" t="s">
        <v>74</v>
      </c>
      <c r="AZ710" t="s">
        <v>74</v>
      </c>
      <c r="BA710" t="s">
        <v>74</v>
      </c>
      <c r="BB710">
        <v>910</v>
      </c>
      <c r="BC710">
        <v>920</v>
      </c>
      <c r="BD710" t="s">
        <v>74</v>
      </c>
      <c r="BE710" t="s">
        <v>7527</v>
      </c>
      <c r="BF710" t="str">
        <f>HYPERLINK("http://dx.doi.org/10.1525/cond.2013.120146","http://dx.doi.org/10.1525/cond.2013.120146")</f>
        <v>http://dx.doi.org/10.1525/cond.2013.120146</v>
      </c>
      <c r="BG710" t="s">
        <v>74</v>
      </c>
      <c r="BH710" t="s">
        <v>74</v>
      </c>
      <c r="BI710" t="s">
        <v>74</v>
      </c>
      <c r="BJ710" t="s">
        <v>74</v>
      </c>
      <c r="BK710" t="s">
        <v>74</v>
      </c>
      <c r="BL710" t="s">
        <v>74</v>
      </c>
      <c r="BM710" t="s">
        <v>74</v>
      </c>
      <c r="BN710" t="s">
        <v>74</v>
      </c>
      <c r="BO710" t="s">
        <v>74</v>
      </c>
      <c r="BP710" t="s">
        <v>74</v>
      </c>
      <c r="BQ710" t="s">
        <v>74</v>
      </c>
      <c r="BR710" t="s">
        <v>74</v>
      </c>
      <c r="BS710" t="s">
        <v>7528</v>
      </c>
      <c r="BT710" t="str">
        <f>HYPERLINK("https%3A%2F%2Fwww.webofscience.com%2Fwos%2Fwoscc%2Ffull-record%2FWOS:000328295800023","View Full Record in Web of Science")</f>
        <v>View Full Record in Web of Science</v>
      </c>
    </row>
    <row r="711" spans="1:72" x14ac:dyDescent="0.4">
      <c r="A711" t="s">
        <v>72</v>
      </c>
      <c r="B711" t="s">
        <v>4609</v>
      </c>
      <c r="C711" t="s">
        <v>74</v>
      </c>
      <c r="D711" t="s">
        <v>74</v>
      </c>
      <c r="E711" t="s">
        <v>74</v>
      </c>
      <c r="F711" t="s">
        <v>4610</v>
      </c>
      <c r="G711" t="s">
        <v>74</v>
      </c>
      <c r="H711" t="s">
        <v>74</v>
      </c>
      <c r="I711" t="s">
        <v>4611</v>
      </c>
      <c r="J711" t="s">
        <v>654</v>
      </c>
      <c r="K711" t="s">
        <v>74</v>
      </c>
      <c r="L711" t="s">
        <v>74</v>
      </c>
      <c r="M711" t="s">
        <v>74</v>
      </c>
      <c r="N711" t="s">
        <v>74</v>
      </c>
      <c r="O711" t="s">
        <v>74</v>
      </c>
      <c r="P711" t="s">
        <v>74</v>
      </c>
      <c r="Q711" t="s">
        <v>74</v>
      </c>
      <c r="R711" t="s">
        <v>74</v>
      </c>
      <c r="S711" t="s">
        <v>74</v>
      </c>
      <c r="T711" t="s">
        <v>74</v>
      </c>
      <c r="U711" t="s">
        <v>74</v>
      </c>
      <c r="V711" s="3" t="s">
        <v>4612</v>
      </c>
      <c r="W711" t="s">
        <v>74</v>
      </c>
      <c r="X711" t="s">
        <v>74</v>
      </c>
      <c r="Y711" t="s">
        <v>74</v>
      </c>
      <c r="Z711" t="s">
        <v>74</v>
      </c>
      <c r="AA711" t="s">
        <v>4613</v>
      </c>
      <c r="AB711" t="s">
        <v>4614</v>
      </c>
      <c r="AC711" t="s">
        <v>74</v>
      </c>
      <c r="AD711" t="s">
        <v>74</v>
      </c>
      <c r="AE711" t="s">
        <v>74</v>
      </c>
      <c r="AF711" t="s">
        <v>74</v>
      </c>
      <c r="AG711" t="s">
        <v>74</v>
      </c>
      <c r="AH711" t="s">
        <v>74</v>
      </c>
      <c r="AI711" t="s">
        <v>74</v>
      </c>
      <c r="AJ711" t="s">
        <v>74</v>
      </c>
      <c r="AK711" t="s">
        <v>74</v>
      </c>
      <c r="AL711" t="s">
        <v>74</v>
      </c>
      <c r="AM711" t="s">
        <v>74</v>
      </c>
      <c r="AN711" t="s">
        <v>74</v>
      </c>
      <c r="AO711" t="s">
        <v>658</v>
      </c>
      <c r="AP711" t="s">
        <v>74</v>
      </c>
      <c r="AQ711" t="s">
        <v>74</v>
      </c>
      <c r="AR711" t="s">
        <v>74</v>
      </c>
      <c r="AS711" t="s">
        <v>74</v>
      </c>
      <c r="AT711" t="s">
        <v>633</v>
      </c>
      <c r="AU711">
        <v>2014</v>
      </c>
      <c r="AV711">
        <v>4</v>
      </c>
      <c r="AW711">
        <v>7</v>
      </c>
      <c r="AX711" t="s">
        <v>74</v>
      </c>
      <c r="AY711" t="s">
        <v>74</v>
      </c>
      <c r="AZ711" t="s">
        <v>74</v>
      </c>
      <c r="BA711" t="s">
        <v>74</v>
      </c>
      <c r="BB711">
        <v>911</v>
      </c>
      <c r="BC711">
        <v>917</v>
      </c>
      <c r="BD711" t="s">
        <v>74</v>
      </c>
      <c r="BE711" t="s">
        <v>4615</v>
      </c>
      <c r="BF711" t="str">
        <f>HYPERLINK("http://dx.doi.org/10.1002/ece3.996","http://dx.doi.org/10.1002/ece3.996")</f>
        <v>http://dx.doi.org/10.1002/ece3.996</v>
      </c>
      <c r="BG711" t="s">
        <v>74</v>
      </c>
      <c r="BH711" t="s">
        <v>74</v>
      </c>
      <c r="BI711" t="s">
        <v>74</v>
      </c>
      <c r="BJ711" t="s">
        <v>74</v>
      </c>
      <c r="BK711" t="s">
        <v>74</v>
      </c>
      <c r="BL711" t="s">
        <v>74</v>
      </c>
      <c r="BM711" t="s">
        <v>74</v>
      </c>
      <c r="BN711">
        <v>24772270</v>
      </c>
      <c r="BO711" t="s">
        <v>74</v>
      </c>
      <c r="BP711" t="s">
        <v>74</v>
      </c>
      <c r="BQ711" t="s">
        <v>74</v>
      </c>
      <c r="BR711" t="s">
        <v>74</v>
      </c>
      <c r="BS711" t="s">
        <v>4616</v>
      </c>
      <c r="BT711" t="str">
        <f>HYPERLINK("https%3A%2F%2Fwww.webofscience.com%2Fwos%2Fwoscc%2Ffull-record%2FWOS:000333809000004","View Full Record in Web of Science")</f>
        <v>View Full Record in Web of Science</v>
      </c>
    </row>
    <row r="712" spans="1:72" x14ac:dyDescent="0.4">
      <c r="A712" t="s">
        <v>72</v>
      </c>
      <c r="B712" t="s">
        <v>1713</v>
      </c>
      <c r="C712" t="s">
        <v>74</v>
      </c>
      <c r="D712" t="s">
        <v>74</v>
      </c>
      <c r="E712" t="s">
        <v>74</v>
      </c>
      <c r="F712" t="s">
        <v>1714</v>
      </c>
      <c r="G712" t="s">
        <v>74</v>
      </c>
      <c r="H712" t="s">
        <v>74</v>
      </c>
      <c r="I712" t="s">
        <v>1715</v>
      </c>
      <c r="J712" t="s">
        <v>1112</v>
      </c>
      <c r="K712" t="s">
        <v>74</v>
      </c>
      <c r="L712" t="s">
        <v>74</v>
      </c>
      <c r="M712" t="s">
        <v>74</v>
      </c>
      <c r="N712" t="s">
        <v>74</v>
      </c>
      <c r="O712" t="s">
        <v>74</v>
      </c>
      <c r="P712" t="s">
        <v>74</v>
      </c>
      <c r="Q712" t="s">
        <v>74</v>
      </c>
      <c r="R712" t="s">
        <v>74</v>
      </c>
      <c r="S712" t="s">
        <v>74</v>
      </c>
      <c r="T712" t="s">
        <v>74</v>
      </c>
      <c r="U712" t="s">
        <v>74</v>
      </c>
      <c r="V712" s="3" t="s">
        <v>1716</v>
      </c>
      <c r="W712" t="s">
        <v>74</v>
      </c>
      <c r="X712" t="s">
        <v>74</v>
      </c>
      <c r="Y712" t="s">
        <v>74</v>
      </c>
      <c r="Z712" t="s">
        <v>74</v>
      </c>
      <c r="AA712" t="s">
        <v>1717</v>
      </c>
      <c r="AB712" t="s">
        <v>1718</v>
      </c>
      <c r="AC712" t="s">
        <v>74</v>
      </c>
      <c r="AD712" t="s">
        <v>74</v>
      </c>
      <c r="AE712" t="s">
        <v>74</v>
      </c>
      <c r="AF712" t="s">
        <v>74</v>
      </c>
      <c r="AG712" t="s">
        <v>74</v>
      </c>
      <c r="AH712" t="s">
        <v>74</v>
      </c>
      <c r="AI712" t="s">
        <v>74</v>
      </c>
      <c r="AJ712" t="s">
        <v>74</v>
      </c>
      <c r="AK712" t="s">
        <v>74</v>
      </c>
      <c r="AL712" t="s">
        <v>74</v>
      </c>
      <c r="AM712" t="s">
        <v>74</v>
      </c>
      <c r="AN712" t="s">
        <v>74</v>
      </c>
      <c r="AO712" t="s">
        <v>1114</v>
      </c>
      <c r="AP712" t="s">
        <v>1115</v>
      </c>
      <c r="AQ712" t="s">
        <v>74</v>
      </c>
      <c r="AR712" t="s">
        <v>74</v>
      </c>
      <c r="AS712" t="s">
        <v>74</v>
      </c>
      <c r="AT712" t="s">
        <v>123</v>
      </c>
      <c r="AU712">
        <v>2020</v>
      </c>
      <c r="AV712">
        <v>224</v>
      </c>
      <c r="AW712" t="s">
        <v>74</v>
      </c>
      <c r="AX712" t="s">
        <v>74</v>
      </c>
      <c r="AY712" t="s">
        <v>74</v>
      </c>
      <c r="AZ712" t="s">
        <v>74</v>
      </c>
      <c r="BA712" t="s">
        <v>74</v>
      </c>
      <c r="BB712" t="s">
        <v>74</v>
      </c>
      <c r="BC712" t="s">
        <v>74</v>
      </c>
      <c r="BD712">
        <v>104939</v>
      </c>
      <c r="BE712" t="s">
        <v>1719</v>
      </c>
      <c r="BF712" t="str">
        <f>HYPERLINK("http://dx.doi.org/10.1016/j.applanim.2020.104939","http://dx.doi.org/10.1016/j.applanim.2020.104939")</f>
        <v>http://dx.doi.org/10.1016/j.applanim.2020.104939</v>
      </c>
      <c r="BG712" t="s">
        <v>74</v>
      </c>
      <c r="BH712" t="s">
        <v>74</v>
      </c>
      <c r="BI712" t="s">
        <v>74</v>
      </c>
      <c r="BJ712" t="s">
        <v>74</v>
      </c>
      <c r="BK712" t="s">
        <v>74</v>
      </c>
      <c r="BL712" t="s">
        <v>74</v>
      </c>
      <c r="BM712" t="s">
        <v>74</v>
      </c>
      <c r="BN712" t="s">
        <v>74</v>
      </c>
      <c r="BO712" t="s">
        <v>74</v>
      </c>
      <c r="BP712" t="s">
        <v>74</v>
      </c>
      <c r="BQ712" t="s">
        <v>74</v>
      </c>
      <c r="BR712" t="s">
        <v>74</v>
      </c>
      <c r="BS712" t="s">
        <v>1720</v>
      </c>
      <c r="BT712" t="str">
        <f>HYPERLINK("https%3A%2F%2Fwww.webofscience.com%2Fwos%2Fwoscc%2Ffull-record%2FWOS:000524493000008","View Full Record in Web of Science")</f>
        <v>View Full Record in Web of Science</v>
      </c>
    </row>
    <row r="713" spans="1:72" x14ac:dyDescent="0.4">
      <c r="A713" t="s">
        <v>72</v>
      </c>
      <c r="B713" t="s">
        <v>4811</v>
      </c>
      <c r="C713" t="s">
        <v>74</v>
      </c>
      <c r="D713" t="s">
        <v>74</v>
      </c>
      <c r="E713" t="s">
        <v>74</v>
      </c>
      <c r="F713" t="s">
        <v>4812</v>
      </c>
      <c r="G713" t="s">
        <v>74</v>
      </c>
      <c r="H713" t="s">
        <v>74</v>
      </c>
      <c r="I713" t="s">
        <v>4813</v>
      </c>
      <c r="J713" t="s">
        <v>2248</v>
      </c>
      <c r="K713" t="s">
        <v>74</v>
      </c>
      <c r="L713" t="s">
        <v>74</v>
      </c>
      <c r="M713" t="s">
        <v>74</v>
      </c>
      <c r="N713" t="s">
        <v>74</v>
      </c>
      <c r="O713" t="s">
        <v>74</v>
      </c>
      <c r="P713" t="s">
        <v>74</v>
      </c>
      <c r="Q713" t="s">
        <v>74</v>
      </c>
      <c r="R713" t="s">
        <v>74</v>
      </c>
      <c r="S713" t="s">
        <v>74</v>
      </c>
      <c r="T713" t="s">
        <v>74</v>
      </c>
      <c r="U713" t="s">
        <v>74</v>
      </c>
      <c r="V713" s="3" t="s">
        <v>4814</v>
      </c>
      <c r="W713" t="s">
        <v>74</v>
      </c>
      <c r="X713" t="s">
        <v>74</v>
      </c>
      <c r="Y713" t="s">
        <v>74</v>
      </c>
      <c r="Z713" t="s">
        <v>74</v>
      </c>
      <c r="AA713" t="s">
        <v>4815</v>
      </c>
      <c r="AB713" t="s">
        <v>4816</v>
      </c>
      <c r="AC713" t="s">
        <v>74</v>
      </c>
      <c r="AD713" t="s">
        <v>74</v>
      </c>
      <c r="AE713" t="s">
        <v>74</v>
      </c>
      <c r="AF713" t="s">
        <v>74</v>
      </c>
      <c r="AG713" t="s">
        <v>74</v>
      </c>
      <c r="AH713" t="s">
        <v>74</v>
      </c>
      <c r="AI713" t="s">
        <v>74</v>
      </c>
      <c r="AJ713" t="s">
        <v>74</v>
      </c>
      <c r="AK713" t="s">
        <v>74</v>
      </c>
      <c r="AL713" t="s">
        <v>74</v>
      </c>
      <c r="AM713" t="s">
        <v>74</v>
      </c>
      <c r="AN713" t="s">
        <v>74</v>
      </c>
      <c r="AO713" t="s">
        <v>2251</v>
      </c>
      <c r="AP713" t="s">
        <v>2252</v>
      </c>
      <c r="AQ713" t="s">
        <v>74</v>
      </c>
      <c r="AR713" t="s">
        <v>74</v>
      </c>
      <c r="AS713" t="s">
        <v>74</v>
      </c>
      <c r="AT713" t="s">
        <v>4817</v>
      </c>
      <c r="AU713">
        <v>2021</v>
      </c>
      <c r="AV713">
        <v>24</v>
      </c>
      <c r="AW713">
        <v>2</v>
      </c>
      <c r="AX713" t="s">
        <v>74</v>
      </c>
      <c r="AY713" t="s">
        <v>74</v>
      </c>
      <c r="AZ713" t="s">
        <v>74</v>
      </c>
      <c r="BA713" t="s">
        <v>74</v>
      </c>
      <c r="BB713">
        <v>107</v>
      </c>
      <c r="BC713">
        <v>116</v>
      </c>
      <c r="BD713" t="s">
        <v>74</v>
      </c>
      <c r="BE713" t="s">
        <v>4818</v>
      </c>
      <c r="BF713" t="str">
        <f>HYPERLINK("http://dx.doi.org/10.1080/10888705.2021.1872026","http://dx.doi.org/10.1080/10888705.2021.1872026")</f>
        <v>http://dx.doi.org/10.1080/10888705.2021.1872026</v>
      </c>
      <c r="BG713" t="s">
        <v>74</v>
      </c>
      <c r="BH713" t="s">
        <v>2962</v>
      </c>
      <c r="BI713" t="s">
        <v>74</v>
      </c>
      <c r="BJ713" t="s">
        <v>74</v>
      </c>
      <c r="BK713" t="s">
        <v>74</v>
      </c>
      <c r="BL713" t="s">
        <v>74</v>
      </c>
      <c r="BM713" t="s">
        <v>74</v>
      </c>
      <c r="BN713">
        <v>33508981</v>
      </c>
      <c r="BO713" t="s">
        <v>74</v>
      </c>
      <c r="BP713" t="s">
        <v>74</v>
      </c>
      <c r="BQ713" t="s">
        <v>74</v>
      </c>
      <c r="BR713" t="s">
        <v>74</v>
      </c>
      <c r="BS713" t="s">
        <v>4819</v>
      </c>
      <c r="BT713" t="str">
        <f>HYPERLINK("https%3A%2F%2Fwww.webofscience.com%2Fwos%2Fwoscc%2Ffull-record%2FWOS:000612753900001","View Full Record in Web of Science")</f>
        <v>View Full Record in Web of Science</v>
      </c>
    </row>
    <row r="714" spans="1:72" x14ac:dyDescent="0.4">
      <c r="A714" t="s">
        <v>72</v>
      </c>
      <c r="B714" t="s">
        <v>2668</v>
      </c>
      <c r="C714" t="s">
        <v>74</v>
      </c>
      <c r="D714" t="s">
        <v>74</v>
      </c>
      <c r="E714" t="s">
        <v>74</v>
      </c>
      <c r="F714" t="s">
        <v>2669</v>
      </c>
      <c r="G714" t="s">
        <v>74</v>
      </c>
      <c r="H714" t="s">
        <v>74</v>
      </c>
      <c r="I714" t="s">
        <v>2670</v>
      </c>
      <c r="J714" t="s">
        <v>610</v>
      </c>
      <c r="K714" t="s">
        <v>74</v>
      </c>
      <c r="L714" t="s">
        <v>74</v>
      </c>
      <c r="M714" t="s">
        <v>74</v>
      </c>
      <c r="N714" t="s">
        <v>74</v>
      </c>
      <c r="O714" t="s">
        <v>74</v>
      </c>
      <c r="P714" t="s">
        <v>74</v>
      </c>
      <c r="Q714" t="s">
        <v>74</v>
      </c>
      <c r="R714" t="s">
        <v>74</v>
      </c>
      <c r="S714" t="s">
        <v>74</v>
      </c>
      <c r="T714" t="s">
        <v>74</v>
      </c>
      <c r="U714" t="s">
        <v>74</v>
      </c>
      <c r="V714" s="3" t="s">
        <v>2671</v>
      </c>
      <c r="W714" t="s">
        <v>74</v>
      </c>
      <c r="X714" t="s">
        <v>74</v>
      </c>
      <c r="Y714" t="s">
        <v>74</v>
      </c>
      <c r="Z714" t="s">
        <v>74</v>
      </c>
      <c r="AA714" t="s">
        <v>74</v>
      </c>
      <c r="AB714" t="s">
        <v>74</v>
      </c>
      <c r="AC714" t="s">
        <v>74</v>
      </c>
      <c r="AD714" t="s">
        <v>74</v>
      </c>
      <c r="AE714" t="s">
        <v>74</v>
      </c>
      <c r="AF714" t="s">
        <v>74</v>
      </c>
      <c r="AG714" t="s">
        <v>74</v>
      </c>
      <c r="AH714" t="s">
        <v>74</v>
      </c>
      <c r="AI714" t="s">
        <v>74</v>
      </c>
      <c r="AJ714" t="s">
        <v>74</v>
      </c>
      <c r="AK714" t="s">
        <v>74</v>
      </c>
      <c r="AL714" t="s">
        <v>74</v>
      </c>
      <c r="AM714" t="s">
        <v>74</v>
      </c>
      <c r="AN714" t="s">
        <v>74</v>
      </c>
      <c r="AO714" t="s">
        <v>614</v>
      </c>
      <c r="AP714" t="s">
        <v>615</v>
      </c>
      <c r="AQ714" t="s">
        <v>74</v>
      </c>
      <c r="AR714" t="s">
        <v>74</v>
      </c>
      <c r="AS714" t="s">
        <v>74</v>
      </c>
      <c r="AT714" t="s">
        <v>352</v>
      </c>
      <c r="AU714">
        <v>2012</v>
      </c>
      <c r="AV714">
        <v>118</v>
      </c>
      <c r="AW714">
        <v>9</v>
      </c>
      <c r="AX714" t="s">
        <v>74</v>
      </c>
      <c r="AY714" t="s">
        <v>74</v>
      </c>
      <c r="AZ714" t="s">
        <v>74</v>
      </c>
      <c r="BA714" t="s">
        <v>74</v>
      </c>
      <c r="BB714">
        <v>906</v>
      </c>
      <c r="BC714">
        <v>916</v>
      </c>
      <c r="BD714" t="s">
        <v>74</v>
      </c>
      <c r="BE714" t="s">
        <v>2672</v>
      </c>
      <c r="BF714" t="str">
        <f>HYPERLINK("http://dx.doi.org/10.1111/j.1439-0310.2012.02079.x","http://dx.doi.org/10.1111/j.1439-0310.2012.02079.x")</f>
        <v>http://dx.doi.org/10.1111/j.1439-0310.2012.02079.x</v>
      </c>
      <c r="BG714" t="s">
        <v>74</v>
      </c>
      <c r="BH714" t="s">
        <v>74</v>
      </c>
      <c r="BI714" t="s">
        <v>74</v>
      </c>
      <c r="BJ714" t="s">
        <v>74</v>
      </c>
      <c r="BK714" t="s">
        <v>74</v>
      </c>
      <c r="BL714" t="s">
        <v>74</v>
      </c>
      <c r="BM714" t="s">
        <v>74</v>
      </c>
      <c r="BN714" t="s">
        <v>74</v>
      </c>
      <c r="BO714" t="s">
        <v>74</v>
      </c>
      <c r="BP714" t="s">
        <v>74</v>
      </c>
      <c r="BQ714" t="s">
        <v>74</v>
      </c>
      <c r="BR714" t="s">
        <v>74</v>
      </c>
      <c r="BS714" t="s">
        <v>2673</v>
      </c>
      <c r="BT714" t="str">
        <f>HYPERLINK("https%3A%2F%2Fwww.webofscience.com%2Fwos%2Fwoscc%2Ffull-record%2FWOS:000306734400012","View Full Record in Web of Science")</f>
        <v>View Full Record in Web of Science</v>
      </c>
    </row>
    <row r="715" spans="1:72" x14ac:dyDescent="0.4">
      <c r="A715" t="s">
        <v>72</v>
      </c>
      <c r="B715" t="s">
        <v>2668</v>
      </c>
      <c r="C715" t="s">
        <v>74</v>
      </c>
      <c r="D715" t="s">
        <v>74</v>
      </c>
      <c r="E715" t="s">
        <v>74</v>
      </c>
      <c r="F715" t="s">
        <v>2669</v>
      </c>
      <c r="G715" t="s">
        <v>74</v>
      </c>
      <c r="H715" t="s">
        <v>74</v>
      </c>
      <c r="I715" t="s">
        <v>4726</v>
      </c>
      <c r="J715" t="s">
        <v>4727</v>
      </c>
      <c r="K715" t="s">
        <v>74</v>
      </c>
      <c r="L715" t="s">
        <v>74</v>
      </c>
      <c r="M715" t="s">
        <v>74</v>
      </c>
      <c r="N715" t="s">
        <v>74</v>
      </c>
      <c r="O715" t="s">
        <v>74</v>
      </c>
      <c r="P715" t="s">
        <v>74</v>
      </c>
      <c r="Q715" t="s">
        <v>74</v>
      </c>
      <c r="R715" t="s">
        <v>74</v>
      </c>
      <c r="S715" t="s">
        <v>74</v>
      </c>
      <c r="T715" t="s">
        <v>74</v>
      </c>
      <c r="U715" t="s">
        <v>74</v>
      </c>
      <c r="V715" s="3" t="s">
        <v>4728</v>
      </c>
      <c r="W715" t="s">
        <v>74</v>
      </c>
      <c r="X715" t="s">
        <v>74</v>
      </c>
      <c r="Y715" t="s">
        <v>74</v>
      </c>
      <c r="Z715" t="s">
        <v>74</v>
      </c>
      <c r="AA715" t="s">
        <v>74</v>
      </c>
      <c r="AB715" t="s">
        <v>4729</v>
      </c>
      <c r="AC715" t="s">
        <v>74</v>
      </c>
      <c r="AD715" t="s">
        <v>74</v>
      </c>
      <c r="AE715" t="s">
        <v>74</v>
      </c>
      <c r="AF715" t="s">
        <v>74</v>
      </c>
      <c r="AG715" t="s">
        <v>74</v>
      </c>
      <c r="AH715" t="s">
        <v>74</v>
      </c>
      <c r="AI715" t="s">
        <v>74</v>
      </c>
      <c r="AJ715" t="s">
        <v>74</v>
      </c>
      <c r="AK715" t="s">
        <v>74</v>
      </c>
      <c r="AL715" t="s">
        <v>74</v>
      </c>
      <c r="AM715" t="s">
        <v>74</v>
      </c>
      <c r="AN715" t="s">
        <v>74</v>
      </c>
      <c r="AO715" t="s">
        <v>74</v>
      </c>
      <c r="AP715" t="s">
        <v>4730</v>
      </c>
      <c r="AQ715" t="s">
        <v>74</v>
      </c>
      <c r="AR715" t="s">
        <v>74</v>
      </c>
      <c r="AS715" t="s">
        <v>74</v>
      </c>
      <c r="AT715" t="s">
        <v>305</v>
      </c>
      <c r="AU715">
        <v>2021</v>
      </c>
      <c r="AV715">
        <v>2</v>
      </c>
      <c r="AW715">
        <v>4</v>
      </c>
      <c r="AX715" t="s">
        <v>74</v>
      </c>
      <c r="AY715" t="s">
        <v>74</v>
      </c>
      <c r="AZ715" t="s">
        <v>74</v>
      </c>
      <c r="BA715" t="s">
        <v>74</v>
      </c>
      <c r="BB715">
        <v>404</v>
      </c>
      <c r="BC715">
        <v>414</v>
      </c>
      <c r="BD715" t="s">
        <v>74</v>
      </c>
      <c r="BE715" t="s">
        <v>4731</v>
      </c>
      <c r="BF715" t="str">
        <f>HYPERLINK("http://dx.doi.org/10.3390/birds2040030","http://dx.doi.org/10.3390/birds2040030")</f>
        <v>http://dx.doi.org/10.3390/birds2040030</v>
      </c>
      <c r="BG715" t="s">
        <v>74</v>
      </c>
      <c r="BH715" t="s">
        <v>74</v>
      </c>
      <c r="BI715" t="s">
        <v>74</v>
      </c>
      <c r="BJ715" t="s">
        <v>74</v>
      </c>
      <c r="BK715" t="s">
        <v>74</v>
      </c>
      <c r="BL715" t="s">
        <v>74</v>
      </c>
      <c r="BM715" t="s">
        <v>74</v>
      </c>
      <c r="BN715" t="s">
        <v>74</v>
      </c>
      <c r="BO715" t="s">
        <v>74</v>
      </c>
      <c r="BP715" t="s">
        <v>74</v>
      </c>
      <c r="BQ715" t="s">
        <v>74</v>
      </c>
      <c r="BR715" t="s">
        <v>74</v>
      </c>
      <c r="BS715" t="s">
        <v>4732</v>
      </c>
      <c r="BT715" t="str">
        <f>HYPERLINK("https%3A%2F%2Fwww.webofscience.com%2Fwos%2Fwoscc%2Ffull-record%2FWOS:001123340900001","View Full Record in Web of Science")</f>
        <v>View Full Record in Web of Science</v>
      </c>
    </row>
    <row r="716" spans="1:72" x14ac:dyDescent="0.4">
      <c r="A716" t="s">
        <v>72</v>
      </c>
      <c r="B716" t="s">
        <v>2547</v>
      </c>
      <c r="C716" t="s">
        <v>74</v>
      </c>
      <c r="D716" t="s">
        <v>74</v>
      </c>
      <c r="E716" t="s">
        <v>74</v>
      </c>
      <c r="F716" t="s">
        <v>2548</v>
      </c>
      <c r="G716" t="s">
        <v>74</v>
      </c>
      <c r="H716" t="s">
        <v>74</v>
      </c>
      <c r="I716" t="s">
        <v>2549</v>
      </c>
      <c r="J716" t="s">
        <v>2550</v>
      </c>
      <c r="K716" t="s">
        <v>74</v>
      </c>
      <c r="L716" t="s">
        <v>74</v>
      </c>
      <c r="M716" t="s">
        <v>74</v>
      </c>
      <c r="N716" t="s">
        <v>74</v>
      </c>
      <c r="O716" t="s">
        <v>74</v>
      </c>
      <c r="P716" t="s">
        <v>74</v>
      </c>
      <c r="Q716" t="s">
        <v>74</v>
      </c>
      <c r="R716" t="s">
        <v>74</v>
      </c>
      <c r="S716" t="s">
        <v>74</v>
      </c>
      <c r="T716" t="s">
        <v>74</v>
      </c>
      <c r="U716" t="s">
        <v>74</v>
      </c>
      <c r="V716" s="3" t="s">
        <v>2551</v>
      </c>
      <c r="W716" t="s">
        <v>74</v>
      </c>
      <c r="X716" t="s">
        <v>74</v>
      </c>
      <c r="Y716" t="s">
        <v>74</v>
      </c>
      <c r="Z716" t="s">
        <v>74</v>
      </c>
      <c r="AA716" t="s">
        <v>2552</v>
      </c>
      <c r="AB716" t="s">
        <v>2553</v>
      </c>
      <c r="AC716" t="s">
        <v>74</v>
      </c>
      <c r="AD716" t="s">
        <v>74</v>
      </c>
      <c r="AE716" t="s">
        <v>74</v>
      </c>
      <c r="AF716" t="s">
        <v>74</v>
      </c>
      <c r="AG716" t="s">
        <v>74</v>
      </c>
      <c r="AH716" t="s">
        <v>74</v>
      </c>
      <c r="AI716" t="s">
        <v>74</v>
      </c>
      <c r="AJ716" t="s">
        <v>74</v>
      </c>
      <c r="AK716" t="s">
        <v>74</v>
      </c>
      <c r="AL716" t="s">
        <v>74</v>
      </c>
      <c r="AM716" t="s">
        <v>74</v>
      </c>
      <c r="AN716" t="s">
        <v>74</v>
      </c>
      <c r="AO716" t="s">
        <v>2554</v>
      </c>
      <c r="AP716" t="s">
        <v>74</v>
      </c>
      <c r="AQ716" t="s">
        <v>74</v>
      </c>
      <c r="AR716" t="s">
        <v>74</v>
      </c>
      <c r="AS716" t="s">
        <v>74</v>
      </c>
      <c r="AT716" t="s">
        <v>633</v>
      </c>
      <c r="AU716">
        <v>2008</v>
      </c>
      <c r="AV716">
        <v>31</v>
      </c>
      <c r="AW716">
        <v>5</v>
      </c>
      <c r="AX716" t="s">
        <v>74</v>
      </c>
      <c r="AY716" t="s">
        <v>74</v>
      </c>
      <c r="AZ716" t="s">
        <v>74</v>
      </c>
      <c r="BA716" t="s">
        <v>74</v>
      </c>
      <c r="BB716">
        <v>557</v>
      </c>
      <c r="BC716">
        <v>560</v>
      </c>
      <c r="BD716" t="s">
        <v>74</v>
      </c>
      <c r="BE716" t="s">
        <v>2555</v>
      </c>
      <c r="BF716" t="str">
        <f>HYPERLINK("http://dx.doi.org/10.1007/s00300-007-0387-7","http://dx.doi.org/10.1007/s00300-007-0387-7")</f>
        <v>http://dx.doi.org/10.1007/s00300-007-0387-7</v>
      </c>
      <c r="BG716" t="s">
        <v>74</v>
      </c>
      <c r="BH716" t="s">
        <v>74</v>
      </c>
      <c r="BI716" t="s">
        <v>74</v>
      </c>
      <c r="BJ716" t="s">
        <v>74</v>
      </c>
      <c r="BK716" t="s">
        <v>74</v>
      </c>
      <c r="BL716" t="s">
        <v>74</v>
      </c>
      <c r="BM716" t="s">
        <v>74</v>
      </c>
      <c r="BN716" t="s">
        <v>74</v>
      </c>
      <c r="BO716" t="s">
        <v>74</v>
      </c>
      <c r="BP716" t="s">
        <v>74</v>
      </c>
      <c r="BQ716" t="s">
        <v>74</v>
      </c>
      <c r="BR716" t="s">
        <v>74</v>
      </c>
      <c r="BS716" t="s">
        <v>2556</v>
      </c>
      <c r="BT716" t="str">
        <f>HYPERLINK("https%3A%2F%2Fwww.webofscience.com%2Fwos%2Fwoscc%2Ffull-record%2FWOS:000254486900004","View Full Record in Web of Science")</f>
        <v>View Full Record in Web of Science</v>
      </c>
    </row>
    <row r="717" spans="1:72" x14ac:dyDescent="0.4">
      <c r="A717" t="s">
        <v>72</v>
      </c>
      <c r="B717" t="s">
        <v>2812</v>
      </c>
      <c r="C717" t="s">
        <v>74</v>
      </c>
      <c r="D717" t="s">
        <v>74</v>
      </c>
      <c r="E717" t="s">
        <v>74</v>
      </c>
      <c r="F717" t="s">
        <v>2813</v>
      </c>
      <c r="G717" t="s">
        <v>74</v>
      </c>
      <c r="H717" t="s">
        <v>74</v>
      </c>
      <c r="I717" t="s">
        <v>2814</v>
      </c>
      <c r="J717" t="s">
        <v>1755</v>
      </c>
      <c r="K717" t="s">
        <v>74</v>
      </c>
      <c r="L717" t="s">
        <v>74</v>
      </c>
      <c r="M717" t="s">
        <v>74</v>
      </c>
      <c r="N717" t="s">
        <v>74</v>
      </c>
      <c r="O717" t="s">
        <v>74</v>
      </c>
      <c r="P717" t="s">
        <v>74</v>
      </c>
      <c r="Q717" t="s">
        <v>74</v>
      </c>
      <c r="R717" t="s">
        <v>74</v>
      </c>
      <c r="S717" t="s">
        <v>74</v>
      </c>
      <c r="T717" t="s">
        <v>74</v>
      </c>
      <c r="U717" t="s">
        <v>74</v>
      </c>
      <c r="V717" s="3" t="s">
        <v>2815</v>
      </c>
      <c r="W717" t="s">
        <v>74</v>
      </c>
      <c r="X717" t="s">
        <v>74</v>
      </c>
      <c r="Y717" t="s">
        <v>74</v>
      </c>
      <c r="Z717" t="s">
        <v>74</v>
      </c>
      <c r="AA717" t="s">
        <v>2816</v>
      </c>
      <c r="AB717" t="s">
        <v>2817</v>
      </c>
      <c r="AC717" t="s">
        <v>74</v>
      </c>
      <c r="AD717" t="s">
        <v>74</v>
      </c>
      <c r="AE717" t="s">
        <v>74</v>
      </c>
      <c r="AF717" t="s">
        <v>74</v>
      </c>
      <c r="AG717" t="s">
        <v>74</v>
      </c>
      <c r="AH717" t="s">
        <v>74</v>
      </c>
      <c r="AI717" t="s">
        <v>74</v>
      </c>
      <c r="AJ717" t="s">
        <v>74</v>
      </c>
      <c r="AK717" t="s">
        <v>74</v>
      </c>
      <c r="AL717" t="s">
        <v>74</v>
      </c>
      <c r="AM717" t="s">
        <v>74</v>
      </c>
      <c r="AN717" t="s">
        <v>74</v>
      </c>
      <c r="AO717" t="s">
        <v>1759</v>
      </c>
      <c r="AP717" t="s">
        <v>1760</v>
      </c>
      <c r="AQ717" t="s">
        <v>74</v>
      </c>
      <c r="AR717" t="s">
        <v>74</v>
      </c>
      <c r="AS717" t="s">
        <v>74</v>
      </c>
      <c r="AT717" t="s">
        <v>123</v>
      </c>
      <c r="AU717">
        <v>2015</v>
      </c>
      <c r="AV717">
        <v>28</v>
      </c>
      <c r="AW717">
        <v>2</v>
      </c>
      <c r="AX717" t="s">
        <v>74</v>
      </c>
      <c r="AY717" t="s">
        <v>74</v>
      </c>
      <c r="AZ717" t="s">
        <v>74</v>
      </c>
      <c r="BA717" t="s">
        <v>74</v>
      </c>
      <c r="BB717">
        <v>175</v>
      </c>
      <c r="BC717">
        <v>182</v>
      </c>
      <c r="BD717" t="s">
        <v>74</v>
      </c>
      <c r="BE717" t="s">
        <v>2818</v>
      </c>
      <c r="BF717" t="str">
        <f>HYPERLINK("http://dx.doi.org/10.1007/s10905-015-9487-3","http://dx.doi.org/10.1007/s10905-015-9487-3")</f>
        <v>http://dx.doi.org/10.1007/s10905-015-9487-3</v>
      </c>
      <c r="BG717" t="s">
        <v>74</v>
      </c>
      <c r="BH717" t="s">
        <v>74</v>
      </c>
      <c r="BI717" t="s">
        <v>74</v>
      </c>
      <c r="BJ717" t="s">
        <v>74</v>
      </c>
      <c r="BK717" t="s">
        <v>74</v>
      </c>
      <c r="BL717" t="s">
        <v>74</v>
      </c>
      <c r="BM717" t="s">
        <v>74</v>
      </c>
      <c r="BN717" t="s">
        <v>74</v>
      </c>
      <c r="BO717" t="s">
        <v>74</v>
      </c>
      <c r="BP717" t="s">
        <v>74</v>
      </c>
      <c r="BQ717" t="s">
        <v>74</v>
      </c>
      <c r="BR717" t="s">
        <v>74</v>
      </c>
      <c r="BS717" t="s">
        <v>2819</v>
      </c>
      <c r="BT717" t="str">
        <f>HYPERLINK("https%3A%2F%2Fwww.webofscience.com%2Fwos%2Fwoscc%2Ffull-record%2FWOS:000351525100009","View Full Record in Web of Science")</f>
        <v>View Full Record in Web of Science</v>
      </c>
    </row>
    <row r="718" spans="1:72" x14ac:dyDescent="0.4">
      <c r="A718" t="s">
        <v>72</v>
      </c>
      <c r="B718" t="s">
        <v>5587</v>
      </c>
      <c r="C718" t="s">
        <v>74</v>
      </c>
      <c r="D718" t="s">
        <v>74</v>
      </c>
      <c r="E718" t="s">
        <v>74</v>
      </c>
      <c r="F718" t="s">
        <v>5588</v>
      </c>
      <c r="G718" t="s">
        <v>74</v>
      </c>
      <c r="H718" t="s">
        <v>74</v>
      </c>
      <c r="I718" t="s">
        <v>5589</v>
      </c>
      <c r="J718" t="s">
        <v>431</v>
      </c>
      <c r="K718" t="s">
        <v>74</v>
      </c>
      <c r="L718" t="s">
        <v>74</v>
      </c>
      <c r="M718" t="s">
        <v>74</v>
      </c>
      <c r="N718" t="s">
        <v>74</v>
      </c>
      <c r="O718" t="s">
        <v>74</v>
      </c>
      <c r="P718" t="s">
        <v>74</v>
      </c>
      <c r="Q718" t="s">
        <v>74</v>
      </c>
      <c r="R718" t="s">
        <v>74</v>
      </c>
      <c r="S718" t="s">
        <v>74</v>
      </c>
      <c r="T718" t="s">
        <v>74</v>
      </c>
      <c r="U718" t="s">
        <v>74</v>
      </c>
      <c r="V718" s="3" t="s">
        <v>5590</v>
      </c>
      <c r="W718" t="s">
        <v>74</v>
      </c>
      <c r="X718" t="s">
        <v>74</v>
      </c>
      <c r="Y718" t="s">
        <v>74</v>
      </c>
      <c r="Z718" t="s">
        <v>74</v>
      </c>
      <c r="AA718" t="s">
        <v>5591</v>
      </c>
      <c r="AB718" t="s">
        <v>5592</v>
      </c>
      <c r="AC718" t="s">
        <v>74</v>
      </c>
      <c r="AD718" t="s">
        <v>74</v>
      </c>
      <c r="AE718" t="s">
        <v>74</v>
      </c>
      <c r="AF718" t="s">
        <v>74</v>
      </c>
      <c r="AG718" t="s">
        <v>74</v>
      </c>
      <c r="AH718" t="s">
        <v>74</v>
      </c>
      <c r="AI718" t="s">
        <v>74</v>
      </c>
      <c r="AJ718" t="s">
        <v>74</v>
      </c>
      <c r="AK718" t="s">
        <v>74</v>
      </c>
      <c r="AL718" t="s">
        <v>74</v>
      </c>
      <c r="AM718" t="s">
        <v>74</v>
      </c>
      <c r="AN718" t="s">
        <v>74</v>
      </c>
      <c r="AO718" t="s">
        <v>1458</v>
      </c>
      <c r="AP718" t="s">
        <v>435</v>
      </c>
      <c r="AQ718" t="s">
        <v>74</v>
      </c>
      <c r="AR718" t="s">
        <v>74</v>
      </c>
      <c r="AS718" t="s">
        <v>74</v>
      </c>
      <c r="AT718" t="s">
        <v>175</v>
      </c>
      <c r="AU718">
        <v>2007</v>
      </c>
      <c r="AV718">
        <v>124</v>
      </c>
      <c r="AW718">
        <v>4</v>
      </c>
      <c r="AX718" t="s">
        <v>74</v>
      </c>
      <c r="AY718" t="s">
        <v>74</v>
      </c>
      <c r="AZ718" t="s">
        <v>74</v>
      </c>
      <c r="BA718" t="s">
        <v>74</v>
      </c>
      <c r="BB718">
        <v>1330</v>
      </c>
      <c r="BC718">
        <v>1335</v>
      </c>
      <c r="BD718" t="s">
        <v>74</v>
      </c>
      <c r="BE718" t="s">
        <v>5593</v>
      </c>
      <c r="BF718" t="str">
        <f>HYPERLINK("http://dx.doi.org/10.1642/0004-8038(2007)124[1330:AGATDP]2.0.CO;2","http://dx.doi.org/10.1642/0004-8038(2007)124[1330:AGATDP]2.0.CO;2")</f>
        <v>http://dx.doi.org/10.1642/0004-8038(2007)124[1330:AGATDP]2.0.CO;2</v>
      </c>
      <c r="BG718" t="s">
        <v>74</v>
      </c>
      <c r="BH718" t="s">
        <v>74</v>
      </c>
      <c r="BI718" t="s">
        <v>74</v>
      </c>
      <c r="BJ718" t="s">
        <v>74</v>
      </c>
      <c r="BK718" t="s">
        <v>74</v>
      </c>
      <c r="BL718" t="s">
        <v>74</v>
      </c>
      <c r="BM718" t="s">
        <v>74</v>
      </c>
      <c r="BN718" t="s">
        <v>74</v>
      </c>
      <c r="BO718" t="s">
        <v>74</v>
      </c>
      <c r="BP718" t="s">
        <v>74</v>
      </c>
      <c r="BQ718" t="s">
        <v>74</v>
      </c>
      <c r="BR718" t="s">
        <v>74</v>
      </c>
      <c r="BS718" t="s">
        <v>5594</v>
      </c>
      <c r="BT718" t="str">
        <f>HYPERLINK("https%3A%2F%2Fwww.webofscience.com%2Fwos%2Fwoscc%2Ffull-record%2FWOS:000251446100017","View Full Record in Web of Science")</f>
        <v>View Full Record in Web of Science</v>
      </c>
    </row>
    <row r="719" spans="1:72" x14ac:dyDescent="0.4">
      <c r="A719" t="s">
        <v>72</v>
      </c>
      <c r="B719" t="s">
        <v>3368</v>
      </c>
      <c r="C719" t="s">
        <v>74</v>
      </c>
      <c r="D719" t="s">
        <v>74</v>
      </c>
      <c r="E719" t="s">
        <v>74</v>
      </c>
      <c r="F719" t="s">
        <v>3368</v>
      </c>
      <c r="G719" t="s">
        <v>74</v>
      </c>
      <c r="H719" t="s">
        <v>74</v>
      </c>
      <c r="I719" t="s">
        <v>3369</v>
      </c>
      <c r="J719" t="s">
        <v>201</v>
      </c>
      <c r="K719" t="s">
        <v>74</v>
      </c>
      <c r="L719" t="s">
        <v>74</v>
      </c>
      <c r="M719" t="s">
        <v>74</v>
      </c>
      <c r="N719" t="s">
        <v>74</v>
      </c>
      <c r="O719" t="s">
        <v>74</v>
      </c>
      <c r="P719" t="s">
        <v>74</v>
      </c>
      <c r="Q719" t="s">
        <v>74</v>
      </c>
      <c r="R719" t="s">
        <v>74</v>
      </c>
      <c r="S719" t="s">
        <v>74</v>
      </c>
      <c r="T719" t="s">
        <v>74</v>
      </c>
      <c r="U719" t="s">
        <v>74</v>
      </c>
      <c r="V719" s="3" t="s">
        <v>3370</v>
      </c>
      <c r="W719" t="s">
        <v>74</v>
      </c>
      <c r="X719" t="s">
        <v>74</v>
      </c>
      <c r="Y719" t="s">
        <v>74</v>
      </c>
      <c r="Z719" t="s">
        <v>74</v>
      </c>
      <c r="AA719" t="s">
        <v>74</v>
      </c>
      <c r="AB719" t="s">
        <v>74</v>
      </c>
      <c r="AC719" t="s">
        <v>74</v>
      </c>
      <c r="AD719" t="s">
        <v>74</v>
      </c>
      <c r="AE719" t="s">
        <v>74</v>
      </c>
      <c r="AF719" t="s">
        <v>74</v>
      </c>
      <c r="AG719" t="s">
        <v>74</v>
      </c>
      <c r="AH719" t="s">
        <v>74</v>
      </c>
      <c r="AI719" t="s">
        <v>74</v>
      </c>
      <c r="AJ719" t="s">
        <v>74</v>
      </c>
      <c r="AK719" t="s">
        <v>74</v>
      </c>
      <c r="AL719" t="s">
        <v>74</v>
      </c>
      <c r="AM719" t="s">
        <v>74</v>
      </c>
      <c r="AN719" t="s">
        <v>74</v>
      </c>
      <c r="AO719" t="s">
        <v>203</v>
      </c>
      <c r="AP719" t="s">
        <v>74</v>
      </c>
      <c r="AQ719" t="s">
        <v>74</v>
      </c>
      <c r="AR719" t="s">
        <v>74</v>
      </c>
      <c r="AS719" t="s">
        <v>74</v>
      </c>
      <c r="AT719" t="s">
        <v>352</v>
      </c>
      <c r="AU719">
        <v>1996</v>
      </c>
      <c r="AV719">
        <v>49</v>
      </c>
      <c r="AW719">
        <v>3</v>
      </c>
      <c r="AX719" t="s">
        <v>74</v>
      </c>
      <c r="AY719" t="s">
        <v>74</v>
      </c>
      <c r="AZ719" t="s">
        <v>74</v>
      </c>
      <c r="BA719" t="s">
        <v>74</v>
      </c>
      <c r="BB719">
        <v>494</v>
      </c>
      <c r="BC719">
        <v>500</v>
      </c>
      <c r="BD719" t="s">
        <v>74</v>
      </c>
      <c r="BE719" t="s">
        <v>74</v>
      </c>
      <c r="BF719" t="s">
        <v>74</v>
      </c>
      <c r="BG719" t="s">
        <v>74</v>
      </c>
      <c r="BH719" t="s">
        <v>74</v>
      </c>
      <c r="BI719" t="s">
        <v>74</v>
      </c>
      <c r="BJ719" t="s">
        <v>74</v>
      </c>
      <c r="BK719" t="s">
        <v>74</v>
      </c>
      <c r="BL719" t="s">
        <v>74</v>
      </c>
      <c r="BM719" t="s">
        <v>74</v>
      </c>
      <c r="BN719" t="s">
        <v>74</v>
      </c>
      <c r="BO719" t="s">
        <v>74</v>
      </c>
      <c r="BP719" t="s">
        <v>74</v>
      </c>
      <c r="BQ719" t="s">
        <v>74</v>
      </c>
      <c r="BR719" t="s">
        <v>74</v>
      </c>
      <c r="BS719" t="s">
        <v>3371</v>
      </c>
      <c r="BT719" t="str">
        <f>HYPERLINK("https%3A%2F%2Fwww.webofscience.com%2Fwos%2Fwoscc%2Ffull-record%2FWOS:A1996VQ32100010","View Full Record in Web of Science")</f>
        <v>View Full Record in Web of Science</v>
      </c>
    </row>
    <row r="720" spans="1:72" x14ac:dyDescent="0.4">
      <c r="A720" t="s">
        <v>72</v>
      </c>
      <c r="B720" t="s">
        <v>3586</v>
      </c>
      <c r="C720" t="s">
        <v>74</v>
      </c>
      <c r="D720" t="s">
        <v>74</v>
      </c>
      <c r="E720" t="s">
        <v>74</v>
      </c>
      <c r="F720" t="s">
        <v>3587</v>
      </c>
      <c r="G720" t="s">
        <v>74</v>
      </c>
      <c r="H720" t="s">
        <v>74</v>
      </c>
      <c r="I720" t="s">
        <v>3588</v>
      </c>
      <c r="J720" t="s">
        <v>814</v>
      </c>
      <c r="K720" t="s">
        <v>74</v>
      </c>
      <c r="L720" t="s">
        <v>74</v>
      </c>
      <c r="M720" t="s">
        <v>74</v>
      </c>
      <c r="N720" t="s">
        <v>74</v>
      </c>
      <c r="O720" t="s">
        <v>74</v>
      </c>
      <c r="P720" t="s">
        <v>74</v>
      </c>
      <c r="Q720" t="s">
        <v>74</v>
      </c>
      <c r="R720" t="s">
        <v>74</v>
      </c>
      <c r="S720" t="s">
        <v>74</v>
      </c>
      <c r="T720" t="s">
        <v>74</v>
      </c>
      <c r="U720" t="s">
        <v>74</v>
      </c>
      <c r="V720" s="3" t="s">
        <v>3589</v>
      </c>
      <c r="W720" t="s">
        <v>74</v>
      </c>
      <c r="X720" t="s">
        <v>74</v>
      </c>
      <c r="Y720" t="s">
        <v>74</v>
      </c>
      <c r="Z720" t="s">
        <v>74</v>
      </c>
      <c r="AA720" t="s">
        <v>74</v>
      </c>
      <c r="AB720" t="s">
        <v>74</v>
      </c>
      <c r="AC720" t="s">
        <v>74</v>
      </c>
      <c r="AD720" t="s">
        <v>74</v>
      </c>
      <c r="AE720" t="s">
        <v>74</v>
      </c>
      <c r="AF720" t="s">
        <v>74</v>
      </c>
      <c r="AG720" t="s">
        <v>74</v>
      </c>
      <c r="AH720" t="s">
        <v>74</v>
      </c>
      <c r="AI720" t="s">
        <v>74</v>
      </c>
      <c r="AJ720" t="s">
        <v>74</v>
      </c>
      <c r="AK720" t="s">
        <v>74</v>
      </c>
      <c r="AL720" t="s">
        <v>74</v>
      </c>
      <c r="AM720" t="s">
        <v>74</v>
      </c>
      <c r="AN720" t="s">
        <v>74</v>
      </c>
      <c r="AO720" t="s">
        <v>818</v>
      </c>
      <c r="AP720" t="s">
        <v>1505</v>
      </c>
      <c r="AQ720" t="s">
        <v>74</v>
      </c>
      <c r="AR720" t="s">
        <v>74</v>
      </c>
      <c r="AS720" t="s">
        <v>74</v>
      </c>
      <c r="AT720" t="s">
        <v>305</v>
      </c>
      <c r="AU720">
        <v>2023</v>
      </c>
      <c r="AV720">
        <v>161</v>
      </c>
      <c r="AW720" t="s">
        <v>74</v>
      </c>
      <c r="AX720" t="s">
        <v>74</v>
      </c>
      <c r="AY720" t="s">
        <v>74</v>
      </c>
      <c r="AZ720" t="s">
        <v>74</v>
      </c>
      <c r="BA720" t="s">
        <v>74</v>
      </c>
      <c r="BB720" t="s">
        <v>74</v>
      </c>
      <c r="BC720" t="s">
        <v>74</v>
      </c>
      <c r="BD720">
        <v>126128</v>
      </c>
      <c r="BE720" t="s">
        <v>3590</v>
      </c>
      <c r="BF720" t="str">
        <f>HYPERLINK("http://dx.doi.org/10.1016/j.zool.2023.126128","http://dx.doi.org/10.1016/j.zool.2023.126128")</f>
        <v>http://dx.doi.org/10.1016/j.zool.2023.126128</v>
      </c>
      <c r="BG720" t="s">
        <v>74</v>
      </c>
      <c r="BH720" t="s">
        <v>902</v>
      </c>
      <c r="BI720" t="s">
        <v>74</v>
      </c>
      <c r="BJ720" t="s">
        <v>74</v>
      </c>
      <c r="BK720" t="s">
        <v>74</v>
      </c>
      <c r="BL720" t="s">
        <v>74</v>
      </c>
      <c r="BM720" t="s">
        <v>74</v>
      </c>
      <c r="BN720">
        <v>37839289</v>
      </c>
      <c r="BO720" t="s">
        <v>74</v>
      </c>
      <c r="BP720" t="s">
        <v>74</v>
      </c>
      <c r="BQ720" t="s">
        <v>74</v>
      </c>
      <c r="BR720" t="s">
        <v>74</v>
      </c>
      <c r="BS720" t="s">
        <v>3591</v>
      </c>
      <c r="BT720" t="str">
        <f>HYPERLINK("https%3A%2F%2Fwww.webofscience.com%2Fwos%2Fwoscc%2Ffull-record%2FWOS:001098666600001","View Full Record in Web of Science")</f>
        <v>View Full Record in Web of Science</v>
      </c>
    </row>
    <row r="721" spans="1:72" x14ac:dyDescent="0.4">
      <c r="A721" t="s">
        <v>72</v>
      </c>
      <c r="B721" t="s">
        <v>4673</v>
      </c>
      <c r="C721" t="s">
        <v>74</v>
      </c>
      <c r="D721" t="s">
        <v>74</v>
      </c>
      <c r="E721" t="s">
        <v>74</v>
      </c>
      <c r="F721" t="s">
        <v>4673</v>
      </c>
      <c r="G721" t="s">
        <v>74</v>
      </c>
      <c r="H721" t="s">
        <v>74</v>
      </c>
      <c r="I721" t="s">
        <v>4674</v>
      </c>
      <c r="J721" t="s">
        <v>1755</v>
      </c>
      <c r="K721" t="s">
        <v>74</v>
      </c>
      <c r="L721" t="s">
        <v>74</v>
      </c>
      <c r="M721" t="s">
        <v>74</v>
      </c>
      <c r="N721" t="s">
        <v>74</v>
      </c>
      <c r="O721" t="s">
        <v>74</v>
      </c>
      <c r="P721" t="s">
        <v>74</v>
      </c>
      <c r="Q721" t="s">
        <v>74</v>
      </c>
      <c r="R721" t="s">
        <v>74</v>
      </c>
      <c r="S721" t="s">
        <v>74</v>
      </c>
      <c r="T721" t="s">
        <v>74</v>
      </c>
      <c r="U721" t="s">
        <v>74</v>
      </c>
      <c r="V721" s="3" t="s">
        <v>4675</v>
      </c>
      <c r="W721" t="s">
        <v>74</v>
      </c>
      <c r="X721" t="s">
        <v>74</v>
      </c>
      <c r="Y721" t="s">
        <v>74</v>
      </c>
      <c r="Z721" t="s">
        <v>74</v>
      </c>
      <c r="AA721" t="s">
        <v>2989</v>
      </c>
      <c r="AB721" t="s">
        <v>4093</v>
      </c>
      <c r="AC721" t="s">
        <v>74</v>
      </c>
      <c r="AD721" t="s">
        <v>74</v>
      </c>
      <c r="AE721" t="s">
        <v>74</v>
      </c>
      <c r="AF721" t="s">
        <v>74</v>
      </c>
      <c r="AG721" t="s">
        <v>74</v>
      </c>
      <c r="AH721" t="s">
        <v>74</v>
      </c>
      <c r="AI721" t="s">
        <v>74</v>
      </c>
      <c r="AJ721" t="s">
        <v>74</v>
      </c>
      <c r="AK721" t="s">
        <v>74</v>
      </c>
      <c r="AL721" t="s">
        <v>74</v>
      </c>
      <c r="AM721" t="s">
        <v>74</v>
      </c>
      <c r="AN721" t="s">
        <v>74</v>
      </c>
      <c r="AO721" t="s">
        <v>1759</v>
      </c>
      <c r="AP721" t="s">
        <v>1760</v>
      </c>
      <c r="AQ721" t="s">
        <v>74</v>
      </c>
      <c r="AR721" t="s">
        <v>74</v>
      </c>
      <c r="AS721" t="s">
        <v>74</v>
      </c>
      <c r="AT721" t="s">
        <v>213</v>
      </c>
      <c r="AU721">
        <v>1999</v>
      </c>
      <c r="AV721">
        <v>12</v>
      </c>
      <c r="AW721">
        <v>6</v>
      </c>
      <c r="AX721" t="s">
        <v>74</v>
      </c>
      <c r="AY721" t="s">
        <v>74</v>
      </c>
      <c r="AZ721" t="s">
        <v>74</v>
      </c>
      <c r="BA721" t="s">
        <v>74</v>
      </c>
      <c r="BB721">
        <v>801</v>
      </c>
      <c r="BC721">
        <v>814</v>
      </c>
      <c r="BD721" t="s">
        <v>74</v>
      </c>
      <c r="BE721" t="s">
        <v>4676</v>
      </c>
      <c r="BF721" t="str">
        <f>HYPERLINK("http://dx.doi.org/10.1023/A:1020957110842","http://dx.doi.org/10.1023/A:1020957110842")</f>
        <v>http://dx.doi.org/10.1023/A:1020957110842</v>
      </c>
      <c r="BG721" t="s">
        <v>74</v>
      </c>
      <c r="BH721" t="s">
        <v>74</v>
      </c>
      <c r="BI721" t="s">
        <v>74</v>
      </c>
      <c r="BJ721" t="s">
        <v>74</v>
      </c>
      <c r="BK721" t="s">
        <v>74</v>
      </c>
      <c r="BL721" t="s">
        <v>74</v>
      </c>
      <c r="BM721" t="s">
        <v>74</v>
      </c>
      <c r="BN721" t="s">
        <v>74</v>
      </c>
      <c r="BO721" t="s">
        <v>74</v>
      </c>
      <c r="BP721" t="s">
        <v>74</v>
      </c>
      <c r="BQ721" t="s">
        <v>74</v>
      </c>
      <c r="BR721" t="s">
        <v>74</v>
      </c>
      <c r="BS721" t="s">
        <v>4677</v>
      </c>
      <c r="BT721" t="str">
        <f>HYPERLINK("https%3A%2F%2Fwww.webofscience.com%2Fwos%2Fwoscc%2Ffull-record%2FWOS:000087352400006","View Full Record in Web of Science")</f>
        <v>View Full Record in Web of Science</v>
      </c>
    </row>
    <row r="722" spans="1:72" x14ac:dyDescent="0.4">
      <c r="A722" t="s">
        <v>72</v>
      </c>
      <c r="B722" t="s">
        <v>4957</v>
      </c>
      <c r="C722" t="s">
        <v>74</v>
      </c>
      <c r="D722" t="s">
        <v>74</v>
      </c>
      <c r="E722" t="s">
        <v>74</v>
      </c>
      <c r="F722" t="s">
        <v>4958</v>
      </c>
      <c r="G722" t="s">
        <v>74</v>
      </c>
      <c r="H722" t="s">
        <v>74</v>
      </c>
      <c r="I722" t="s">
        <v>4959</v>
      </c>
      <c r="J722" t="s">
        <v>367</v>
      </c>
      <c r="K722" t="s">
        <v>74</v>
      </c>
      <c r="L722" t="s">
        <v>74</v>
      </c>
      <c r="M722" t="s">
        <v>74</v>
      </c>
      <c r="N722" t="s">
        <v>74</v>
      </c>
      <c r="O722" t="s">
        <v>74</v>
      </c>
      <c r="P722" t="s">
        <v>74</v>
      </c>
      <c r="Q722" t="s">
        <v>74</v>
      </c>
      <c r="R722" t="s">
        <v>74</v>
      </c>
      <c r="S722" t="s">
        <v>74</v>
      </c>
      <c r="T722" t="s">
        <v>74</v>
      </c>
      <c r="U722" t="s">
        <v>74</v>
      </c>
      <c r="V722" s="3" t="s">
        <v>4960</v>
      </c>
      <c r="W722" t="s">
        <v>74</v>
      </c>
      <c r="X722" t="s">
        <v>74</v>
      </c>
      <c r="Y722" t="s">
        <v>74</v>
      </c>
      <c r="Z722" t="s">
        <v>74</v>
      </c>
      <c r="AA722" t="s">
        <v>74</v>
      </c>
      <c r="AB722" t="s">
        <v>4961</v>
      </c>
      <c r="AC722" t="s">
        <v>74</v>
      </c>
      <c r="AD722" t="s">
        <v>74</v>
      </c>
      <c r="AE722" t="s">
        <v>74</v>
      </c>
      <c r="AF722" t="s">
        <v>74</v>
      </c>
      <c r="AG722" t="s">
        <v>74</v>
      </c>
      <c r="AH722" t="s">
        <v>74</v>
      </c>
      <c r="AI722" t="s">
        <v>74</v>
      </c>
      <c r="AJ722" t="s">
        <v>74</v>
      </c>
      <c r="AK722" t="s">
        <v>74</v>
      </c>
      <c r="AL722" t="s">
        <v>74</v>
      </c>
      <c r="AM722" t="s">
        <v>74</v>
      </c>
      <c r="AN722" t="s">
        <v>74</v>
      </c>
      <c r="AO722" t="s">
        <v>371</v>
      </c>
      <c r="AP722" t="s">
        <v>372</v>
      </c>
      <c r="AQ722" t="s">
        <v>74</v>
      </c>
      <c r="AR722" t="s">
        <v>74</v>
      </c>
      <c r="AS722" t="s">
        <v>74</v>
      </c>
      <c r="AT722" t="s">
        <v>213</v>
      </c>
      <c r="AU722">
        <v>2016</v>
      </c>
      <c r="AV722">
        <v>130</v>
      </c>
      <c r="AW722">
        <v>4</v>
      </c>
      <c r="AX722" t="s">
        <v>74</v>
      </c>
      <c r="AY722" t="s">
        <v>74</v>
      </c>
      <c r="AZ722" t="s">
        <v>74</v>
      </c>
      <c r="BA722" t="s">
        <v>74</v>
      </c>
      <c r="BB722">
        <v>328</v>
      </c>
      <c r="BC722">
        <v>340</v>
      </c>
      <c r="BD722" t="s">
        <v>74</v>
      </c>
      <c r="BE722" t="s">
        <v>4962</v>
      </c>
      <c r="BF722" t="str">
        <f>HYPERLINK("http://dx.doi.org/10.1037/com0000039","http://dx.doi.org/10.1037/com0000039")</f>
        <v>http://dx.doi.org/10.1037/com0000039</v>
      </c>
      <c r="BG722" t="s">
        <v>74</v>
      </c>
      <c r="BH722" t="s">
        <v>74</v>
      </c>
      <c r="BI722" t="s">
        <v>74</v>
      </c>
      <c r="BJ722" t="s">
        <v>74</v>
      </c>
      <c r="BK722" t="s">
        <v>74</v>
      </c>
      <c r="BL722" t="s">
        <v>74</v>
      </c>
      <c r="BM722" t="s">
        <v>74</v>
      </c>
      <c r="BN722">
        <v>27359074</v>
      </c>
      <c r="BO722" t="s">
        <v>74</v>
      </c>
      <c r="BP722" t="s">
        <v>74</v>
      </c>
      <c r="BQ722" t="s">
        <v>74</v>
      </c>
      <c r="BR722" t="s">
        <v>74</v>
      </c>
      <c r="BS722" t="s">
        <v>4963</v>
      </c>
      <c r="BT722" t="str">
        <f>HYPERLINK("https%3A%2F%2Fwww.webofscience.com%2Fwos%2Fwoscc%2Ffull-record%2FWOS:000388497000004","View Full Record in Web of Science")</f>
        <v>View Full Record in Web of Science</v>
      </c>
    </row>
    <row r="723" spans="1:72" x14ac:dyDescent="0.4">
      <c r="A723" t="s">
        <v>72</v>
      </c>
      <c r="B723" t="s">
        <v>8568</v>
      </c>
      <c r="C723" t="s">
        <v>74</v>
      </c>
      <c r="D723" t="s">
        <v>74</v>
      </c>
      <c r="E723" t="s">
        <v>74</v>
      </c>
      <c r="F723" t="s">
        <v>8569</v>
      </c>
      <c r="G723" t="s">
        <v>74</v>
      </c>
      <c r="H723" t="s">
        <v>74</v>
      </c>
      <c r="I723" t="s">
        <v>8570</v>
      </c>
      <c r="J723" t="s">
        <v>2662</v>
      </c>
      <c r="K723" t="s">
        <v>74</v>
      </c>
      <c r="L723" t="s">
        <v>74</v>
      </c>
      <c r="M723" t="s">
        <v>74</v>
      </c>
      <c r="N723" t="s">
        <v>74</v>
      </c>
      <c r="O723" t="s">
        <v>74</v>
      </c>
      <c r="P723" t="s">
        <v>74</v>
      </c>
      <c r="Q723" t="s">
        <v>74</v>
      </c>
      <c r="R723" t="s">
        <v>74</v>
      </c>
      <c r="S723" t="s">
        <v>74</v>
      </c>
      <c r="T723" t="s">
        <v>74</v>
      </c>
      <c r="U723" t="s">
        <v>74</v>
      </c>
      <c r="V723" s="3" t="s">
        <v>8571</v>
      </c>
      <c r="W723" t="s">
        <v>74</v>
      </c>
      <c r="X723" t="s">
        <v>74</v>
      </c>
      <c r="Y723" t="s">
        <v>74</v>
      </c>
      <c r="Z723" t="s">
        <v>74</v>
      </c>
      <c r="AA723" t="s">
        <v>8572</v>
      </c>
      <c r="AB723" t="s">
        <v>8573</v>
      </c>
      <c r="AC723" t="s">
        <v>74</v>
      </c>
      <c r="AD723" t="s">
        <v>74</v>
      </c>
      <c r="AE723" t="s">
        <v>74</v>
      </c>
      <c r="AF723" t="s">
        <v>74</v>
      </c>
      <c r="AG723" t="s">
        <v>74</v>
      </c>
      <c r="AH723" t="s">
        <v>74</v>
      </c>
      <c r="AI723" t="s">
        <v>74</v>
      </c>
      <c r="AJ723" t="s">
        <v>74</v>
      </c>
      <c r="AK723" t="s">
        <v>74</v>
      </c>
      <c r="AL723" t="s">
        <v>74</v>
      </c>
      <c r="AM723" t="s">
        <v>74</v>
      </c>
      <c r="AN723" t="s">
        <v>74</v>
      </c>
      <c r="AO723" t="s">
        <v>2664</v>
      </c>
      <c r="AP723" t="s">
        <v>2665</v>
      </c>
      <c r="AQ723" t="s">
        <v>74</v>
      </c>
      <c r="AR723" t="s">
        <v>74</v>
      </c>
      <c r="AS723" t="s">
        <v>74</v>
      </c>
      <c r="AT723" t="s">
        <v>305</v>
      </c>
      <c r="AU723">
        <v>2020</v>
      </c>
      <c r="AV723">
        <v>54</v>
      </c>
      <c r="AW723">
        <v>4</v>
      </c>
      <c r="AX723" t="s">
        <v>74</v>
      </c>
      <c r="AY723" t="s">
        <v>74</v>
      </c>
      <c r="AZ723" t="s">
        <v>74</v>
      </c>
      <c r="BA723" t="s">
        <v>74</v>
      </c>
      <c r="BB723">
        <v>364</v>
      </c>
      <c r="BC723">
        <v>375</v>
      </c>
      <c r="BD723" t="s">
        <v>74</v>
      </c>
      <c r="BE723" t="s">
        <v>8574</v>
      </c>
      <c r="BF723" t="str">
        <f>HYPERLINK("http://dx.doi.org/10.3356/0892-1016-54.4.364","http://dx.doi.org/10.3356/0892-1016-54.4.364")</f>
        <v>http://dx.doi.org/10.3356/0892-1016-54.4.364</v>
      </c>
      <c r="BG723" t="s">
        <v>74</v>
      </c>
      <c r="BH723" t="s">
        <v>74</v>
      </c>
      <c r="BI723" t="s">
        <v>74</v>
      </c>
      <c r="BJ723" t="s">
        <v>74</v>
      </c>
      <c r="BK723" t="s">
        <v>74</v>
      </c>
      <c r="BL723" t="s">
        <v>74</v>
      </c>
      <c r="BM723" t="s">
        <v>74</v>
      </c>
      <c r="BN723" t="s">
        <v>74</v>
      </c>
      <c r="BO723" t="s">
        <v>74</v>
      </c>
      <c r="BP723" t="s">
        <v>74</v>
      </c>
      <c r="BQ723" t="s">
        <v>74</v>
      </c>
      <c r="BR723" t="s">
        <v>74</v>
      </c>
      <c r="BS723" t="s">
        <v>8575</v>
      </c>
      <c r="BT723" t="str">
        <f>HYPERLINK("https%3A%2F%2Fwww.webofscience.com%2Fwos%2Fwoscc%2Ffull-record%2FWOS:000604780200003","View Full Record in Web of Science")</f>
        <v>View Full Record in Web of Science</v>
      </c>
    </row>
    <row r="724" spans="1:72" x14ac:dyDescent="0.4">
      <c r="A724" t="s">
        <v>72</v>
      </c>
      <c r="B724" t="s">
        <v>4426</v>
      </c>
      <c r="C724" t="s">
        <v>74</v>
      </c>
      <c r="D724" t="s">
        <v>74</v>
      </c>
      <c r="E724" t="s">
        <v>74</v>
      </c>
      <c r="F724" t="s">
        <v>4427</v>
      </c>
      <c r="G724" t="s">
        <v>74</v>
      </c>
      <c r="H724" t="s">
        <v>74</v>
      </c>
      <c r="I724" t="s">
        <v>4428</v>
      </c>
      <c r="J724" t="s">
        <v>1995</v>
      </c>
      <c r="K724" t="s">
        <v>74</v>
      </c>
      <c r="L724" t="s">
        <v>74</v>
      </c>
      <c r="M724" t="s">
        <v>74</v>
      </c>
      <c r="N724" t="s">
        <v>74</v>
      </c>
      <c r="O724" t="s">
        <v>74</v>
      </c>
      <c r="P724" t="s">
        <v>74</v>
      </c>
      <c r="Q724" t="s">
        <v>74</v>
      </c>
      <c r="R724" t="s">
        <v>74</v>
      </c>
      <c r="S724" t="s">
        <v>74</v>
      </c>
      <c r="T724" t="s">
        <v>74</v>
      </c>
      <c r="U724" t="s">
        <v>74</v>
      </c>
      <c r="V724" s="3" t="s">
        <v>4429</v>
      </c>
      <c r="W724" t="s">
        <v>74</v>
      </c>
      <c r="X724" t="s">
        <v>74</v>
      </c>
      <c r="Y724" t="s">
        <v>74</v>
      </c>
      <c r="Z724" t="s">
        <v>74</v>
      </c>
      <c r="AA724" t="s">
        <v>74</v>
      </c>
      <c r="AB724" t="s">
        <v>74</v>
      </c>
      <c r="AC724" t="s">
        <v>74</v>
      </c>
      <c r="AD724" t="s">
        <v>74</v>
      </c>
      <c r="AE724" t="s">
        <v>74</v>
      </c>
      <c r="AF724" t="s">
        <v>74</v>
      </c>
      <c r="AG724" t="s">
        <v>74</v>
      </c>
      <c r="AH724" t="s">
        <v>74</v>
      </c>
      <c r="AI724" t="s">
        <v>74</v>
      </c>
      <c r="AJ724" t="s">
        <v>74</v>
      </c>
      <c r="AK724" t="s">
        <v>74</v>
      </c>
      <c r="AL724" t="s">
        <v>74</v>
      </c>
      <c r="AM724" t="s">
        <v>74</v>
      </c>
      <c r="AN724" t="s">
        <v>74</v>
      </c>
      <c r="AO724" t="s">
        <v>1997</v>
      </c>
      <c r="AP724" t="s">
        <v>3917</v>
      </c>
      <c r="AQ724" t="s">
        <v>74</v>
      </c>
      <c r="AR724" t="s">
        <v>74</v>
      </c>
      <c r="AS724" t="s">
        <v>74</v>
      </c>
      <c r="AT724" t="s">
        <v>145</v>
      </c>
      <c r="AU724">
        <v>2023</v>
      </c>
      <c r="AV724">
        <v>94</v>
      </c>
      <c r="AW724">
        <v>3</v>
      </c>
      <c r="AX724" t="s">
        <v>74</v>
      </c>
      <c r="AY724" t="s">
        <v>74</v>
      </c>
      <c r="AZ724" t="s">
        <v>74</v>
      </c>
      <c r="BA724" t="s">
        <v>74</v>
      </c>
      <c r="BB724" t="s">
        <v>74</v>
      </c>
      <c r="BC724" t="s">
        <v>74</v>
      </c>
      <c r="BD724">
        <v>7</v>
      </c>
      <c r="BE724" t="s">
        <v>4430</v>
      </c>
      <c r="BF724" t="str">
        <f>HYPERLINK("http://dx.doi.org/10.5751/JFO-00288-940307","http://dx.doi.org/10.5751/JFO-00288-940307")</f>
        <v>http://dx.doi.org/10.5751/JFO-00288-940307</v>
      </c>
      <c r="BG724" t="s">
        <v>74</v>
      </c>
      <c r="BH724" t="s">
        <v>74</v>
      </c>
      <c r="BI724" t="s">
        <v>74</v>
      </c>
      <c r="BJ724" t="s">
        <v>74</v>
      </c>
      <c r="BK724" t="s">
        <v>74</v>
      </c>
      <c r="BL724" t="s">
        <v>74</v>
      </c>
      <c r="BM724" t="s">
        <v>74</v>
      </c>
      <c r="BN724" t="s">
        <v>74</v>
      </c>
      <c r="BO724" t="s">
        <v>74</v>
      </c>
      <c r="BP724" t="s">
        <v>74</v>
      </c>
      <c r="BQ724" t="s">
        <v>74</v>
      </c>
      <c r="BR724" t="s">
        <v>74</v>
      </c>
      <c r="BS724" t="s">
        <v>4431</v>
      </c>
      <c r="BT724" t="str">
        <f>HYPERLINK("https%3A%2F%2Fwww.webofscience.com%2Fwos%2Fwoscc%2Ffull-record%2FWOS:001041634300001","View Full Record in Web of Science")</f>
        <v>View Full Record in Web of Science</v>
      </c>
    </row>
    <row r="725" spans="1:72" x14ac:dyDescent="0.4">
      <c r="A725" t="s">
        <v>72</v>
      </c>
      <c r="B725" t="s">
        <v>1291</v>
      </c>
      <c r="C725" t="s">
        <v>74</v>
      </c>
      <c r="D725" t="s">
        <v>74</v>
      </c>
      <c r="E725" t="s">
        <v>74</v>
      </c>
      <c r="F725" t="s">
        <v>1292</v>
      </c>
      <c r="G725" t="s">
        <v>74</v>
      </c>
      <c r="H725" t="s">
        <v>74</v>
      </c>
      <c r="I725" t="s">
        <v>1293</v>
      </c>
      <c r="J725" t="s">
        <v>108</v>
      </c>
      <c r="K725" t="s">
        <v>74</v>
      </c>
      <c r="L725" t="s">
        <v>74</v>
      </c>
      <c r="M725" t="s">
        <v>74</v>
      </c>
      <c r="N725" t="s">
        <v>74</v>
      </c>
      <c r="O725" t="s">
        <v>74</v>
      </c>
      <c r="P725" t="s">
        <v>74</v>
      </c>
      <c r="Q725" t="s">
        <v>74</v>
      </c>
      <c r="R725" t="s">
        <v>74</v>
      </c>
      <c r="S725" t="s">
        <v>74</v>
      </c>
      <c r="T725" t="s">
        <v>74</v>
      </c>
      <c r="U725" t="s">
        <v>74</v>
      </c>
      <c r="V725" s="3" t="s">
        <v>1294</v>
      </c>
      <c r="W725" t="s">
        <v>74</v>
      </c>
      <c r="X725" t="s">
        <v>74</v>
      </c>
      <c r="Y725" t="s">
        <v>74</v>
      </c>
      <c r="Z725" t="s">
        <v>74</v>
      </c>
      <c r="AA725" t="s">
        <v>1295</v>
      </c>
      <c r="AB725" t="s">
        <v>1296</v>
      </c>
      <c r="AC725" t="s">
        <v>74</v>
      </c>
      <c r="AD725" t="s">
        <v>74</v>
      </c>
      <c r="AE725" t="s">
        <v>74</v>
      </c>
      <c r="AF725" t="s">
        <v>74</v>
      </c>
      <c r="AG725" t="s">
        <v>74</v>
      </c>
      <c r="AH725" t="s">
        <v>74</v>
      </c>
      <c r="AI725" t="s">
        <v>74</v>
      </c>
      <c r="AJ725" t="s">
        <v>74</v>
      </c>
      <c r="AK725" t="s">
        <v>74</v>
      </c>
      <c r="AL725" t="s">
        <v>74</v>
      </c>
      <c r="AM725" t="s">
        <v>74</v>
      </c>
      <c r="AN725" t="s">
        <v>74</v>
      </c>
      <c r="AO725" t="s">
        <v>111</v>
      </c>
      <c r="AP725" t="s">
        <v>74</v>
      </c>
      <c r="AQ725" t="s">
        <v>74</v>
      </c>
      <c r="AR725" t="s">
        <v>74</v>
      </c>
      <c r="AS725" t="s">
        <v>74</v>
      </c>
      <c r="AT725" t="s">
        <v>924</v>
      </c>
      <c r="AU725">
        <v>2009</v>
      </c>
      <c r="AV725">
        <v>276</v>
      </c>
      <c r="AW725">
        <v>1675</v>
      </c>
      <c r="AX725" t="s">
        <v>74</v>
      </c>
      <c r="AY725" t="s">
        <v>74</v>
      </c>
      <c r="AZ725" t="s">
        <v>74</v>
      </c>
      <c r="BA725" t="s">
        <v>74</v>
      </c>
      <c r="BB725">
        <v>3989</v>
      </c>
      <c r="BC725">
        <v>3993</v>
      </c>
      <c r="BD725" t="s">
        <v>74</v>
      </c>
      <c r="BE725" t="s">
        <v>1297</v>
      </c>
      <c r="BF725" t="str">
        <f>HYPERLINK("http://dx.doi.org/10.1098/rspb.2009.1219","http://dx.doi.org/10.1098/rspb.2009.1219")</f>
        <v>http://dx.doi.org/10.1098/rspb.2009.1219</v>
      </c>
      <c r="BG725" t="s">
        <v>74</v>
      </c>
      <c r="BH725" t="s">
        <v>74</v>
      </c>
      <c r="BI725" t="s">
        <v>74</v>
      </c>
      <c r="BJ725" t="s">
        <v>74</v>
      </c>
      <c r="BK725" t="s">
        <v>74</v>
      </c>
      <c r="BL725" t="s">
        <v>74</v>
      </c>
      <c r="BM725" t="s">
        <v>74</v>
      </c>
      <c r="BN725">
        <v>19710067</v>
      </c>
      <c r="BO725" t="s">
        <v>74</v>
      </c>
      <c r="BP725" t="s">
        <v>74</v>
      </c>
      <c r="BQ725" t="s">
        <v>74</v>
      </c>
      <c r="BR725" t="s">
        <v>74</v>
      </c>
      <c r="BS725" t="s">
        <v>1298</v>
      </c>
      <c r="BT725" t="str">
        <f>HYPERLINK("https%3A%2F%2Fwww.webofscience.com%2Fwos%2Fwoscc%2Ffull-record%2FWOS:000270665100010","View Full Record in Web of Science")</f>
        <v>View Full Record in Web of Science</v>
      </c>
    </row>
    <row r="726" spans="1:72" x14ac:dyDescent="0.4">
      <c r="A726" t="s">
        <v>72</v>
      </c>
      <c r="B726" t="s">
        <v>2627</v>
      </c>
      <c r="C726" t="s">
        <v>74</v>
      </c>
      <c r="D726" t="s">
        <v>74</v>
      </c>
      <c r="E726" t="s">
        <v>74</v>
      </c>
      <c r="F726" t="s">
        <v>2627</v>
      </c>
      <c r="G726" t="s">
        <v>74</v>
      </c>
      <c r="H726" t="s">
        <v>74</v>
      </c>
      <c r="I726" t="s">
        <v>2628</v>
      </c>
      <c r="J726" t="s">
        <v>2629</v>
      </c>
      <c r="K726" t="s">
        <v>74</v>
      </c>
      <c r="L726" t="s">
        <v>74</v>
      </c>
      <c r="M726" t="s">
        <v>74</v>
      </c>
      <c r="N726" t="s">
        <v>74</v>
      </c>
      <c r="O726" t="s">
        <v>74</v>
      </c>
      <c r="P726" t="s">
        <v>74</v>
      </c>
      <c r="Q726" t="s">
        <v>74</v>
      </c>
      <c r="R726" t="s">
        <v>74</v>
      </c>
      <c r="S726" t="s">
        <v>74</v>
      </c>
      <c r="T726" t="s">
        <v>74</v>
      </c>
      <c r="U726" t="s">
        <v>74</v>
      </c>
      <c r="V726" s="3" t="s">
        <v>2630</v>
      </c>
      <c r="W726" t="s">
        <v>74</v>
      </c>
      <c r="X726" t="s">
        <v>74</v>
      </c>
      <c r="Y726" t="s">
        <v>74</v>
      </c>
      <c r="Z726" t="s">
        <v>74</v>
      </c>
      <c r="AA726" t="s">
        <v>2631</v>
      </c>
      <c r="AB726" t="s">
        <v>74</v>
      </c>
      <c r="AC726" t="s">
        <v>74</v>
      </c>
      <c r="AD726" t="s">
        <v>74</v>
      </c>
      <c r="AE726" t="s">
        <v>74</v>
      </c>
      <c r="AF726" t="s">
        <v>74</v>
      </c>
      <c r="AG726" t="s">
        <v>74</v>
      </c>
      <c r="AH726" t="s">
        <v>74</v>
      </c>
      <c r="AI726" t="s">
        <v>74</v>
      </c>
      <c r="AJ726" t="s">
        <v>74</v>
      </c>
      <c r="AK726" t="s">
        <v>74</v>
      </c>
      <c r="AL726" t="s">
        <v>74</v>
      </c>
      <c r="AM726" t="s">
        <v>74</v>
      </c>
      <c r="AN726" t="s">
        <v>74</v>
      </c>
      <c r="AO726" t="s">
        <v>2632</v>
      </c>
      <c r="AP726" t="s">
        <v>2633</v>
      </c>
      <c r="AQ726" t="s">
        <v>74</v>
      </c>
      <c r="AR726" t="s">
        <v>74</v>
      </c>
      <c r="AS726" t="s">
        <v>74</v>
      </c>
      <c r="AT726" t="s">
        <v>74</v>
      </c>
      <c r="AU726">
        <v>1990</v>
      </c>
      <c r="AV726">
        <v>38</v>
      </c>
      <c r="AW726">
        <v>2</v>
      </c>
      <c r="AX726" t="s">
        <v>74</v>
      </c>
      <c r="AY726" t="s">
        <v>74</v>
      </c>
      <c r="AZ726" t="s">
        <v>74</v>
      </c>
      <c r="BA726" t="s">
        <v>74</v>
      </c>
      <c r="BB726">
        <v>117</v>
      </c>
      <c r="BC726">
        <v>130</v>
      </c>
      <c r="BD726" t="s">
        <v>74</v>
      </c>
      <c r="BE726" t="s">
        <v>2634</v>
      </c>
      <c r="BF726" t="str">
        <f>HYPERLINK("http://dx.doi.org/10.1071/ZO9900117","http://dx.doi.org/10.1071/ZO9900117")</f>
        <v>http://dx.doi.org/10.1071/ZO9900117</v>
      </c>
      <c r="BG726" t="s">
        <v>74</v>
      </c>
      <c r="BH726" t="s">
        <v>74</v>
      </c>
      <c r="BI726" t="s">
        <v>74</v>
      </c>
      <c r="BJ726" t="s">
        <v>74</v>
      </c>
      <c r="BK726" t="s">
        <v>74</v>
      </c>
      <c r="BL726" t="s">
        <v>74</v>
      </c>
      <c r="BM726" t="s">
        <v>74</v>
      </c>
      <c r="BN726" t="s">
        <v>74</v>
      </c>
      <c r="BO726" t="s">
        <v>74</v>
      </c>
      <c r="BP726" t="s">
        <v>74</v>
      </c>
      <c r="BQ726" t="s">
        <v>74</v>
      </c>
      <c r="BR726" t="s">
        <v>74</v>
      </c>
      <c r="BS726" t="s">
        <v>2635</v>
      </c>
      <c r="BT726" t="str">
        <f>HYPERLINK("https%3A%2F%2Fwww.webofscience.com%2Fwos%2Fwoscc%2Ffull-record%2FWOS:A1990ED59400002","View Full Record in Web of Science")</f>
        <v>View Full Record in Web of Science</v>
      </c>
    </row>
    <row r="727" spans="1:72" x14ac:dyDescent="0.4">
      <c r="A727" t="s">
        <v>72</v>
      </c>
      <c r="B727" t="s">
        <v>5355</v>
      </c>
      <c r="C727" t="s">
        <v>74</v>
      </c>
      <c r="D727" t="s">
        <v>74</v>
      </c>
      <c r="E727" t="s">
        <v>74</v>
      </c>
      <c r="F727" t="s">
        <v>5355</v>
      </c>
      <c r="G727" t="s">
        <v>74</v>
      </c>
      <c r="H727" t="s">
        <v>74</v>
      </c>
      <c r="I727" t="s">
        <v>5356</v>
      </c>
      <c r="J727" t="s">
        <v>5357</v>
      </c>
      <c r="K727" t="s">
        <v>74</v>
      </c>
      <c r="L727" t="s">
        <v>74</v>
      </c>
      <c r="M727" t="s">
        <v>74</v>
      </c>
      <c r="N727" t="s">
        <v>74</v>
      </c>
      <c r="O727" t="s">
        <v>74</v>
      </c>
      <c r="P727" t="s">
        <v>74</v>
      </c>
      <c r="Q727" t="s">
        <v>74</v>
      </c>
      <c r="R727" t="s">
        <v>74</v>
      </c>
      <c r="S727" t="s">
        <v>74</v>
      </c>
      <c r="T727" t="s">
        <v>74</v>
      </c>
      <c r="U727" t="s">
        <v>74</v>
      </c>
      <c r="V727" s="3" t="s">
        <v>5358</v>
      </c>
      <c r="W727" t="s">
        <v>74</v>
      </c>
      <c r="X727" t="s">
        <v>74</v>
      </c>
      <c r="Y727" t="s">
        <v>74</v>
      </c>
      <c r="Z727" t="s">
        <v>74</v>
      </c>
      <c r="AA727" t="s">
        <v>74</v>
      </c>
      <c r="AB727" t="s">
        <v>74</v>
      </c>
      <c r="AC727" t="s">
        <v>74</v>
      </c>
      <c r="AD727" t="s">
        <v>74</v>
      </c>
      <c r="AE727" t="s">
        <v>74</v>
      </c>
      <c r="AF727" t="s">
        <v>74</v>
      </c>
      <c r="AG727" t="s">
        <v>74</v>
      </c>
      <c r="AH727" t="s">
        <v>74</v>
      </c>
      <c r="AI727" t="s">
        <v>74</v>
      </c>
      <c r="AJ727" t="s">
        <v>74</v>
      </c>
      <c r="AK727" t="s">
        <v>74</v>
      </c>
      <c r="AL727" t="s">
        <v>74</v>
      </c>
      <c r="AM727" t="s">
        <v>74</v>
      </c>
      <c r="AN727" t="s">
        <v>74</v>
      </c>
      <c r="AO727" t="s">
        <v>5359</v>
      </c>
      <c r="AP727" t="s">
        <v>5360</v>
      </c>
      <c r="AQ727" t="s">
        <v>74</v>
      </c>
      <c r="AR727" t="s">
        <v>74</v>
      </c>
      <c r="AS727" t="s">
        <v>74</v>
      </c>
      <c r="AT727" t="s">
        <v>74</v>
      </c>
      <c r="AU727">
        <v>2001</v>
      </c>
      <c r="AV727">
        <v>16</v>
      </c>
      <c r="AW727" t="s">
        <v>548</v>
      </c>
      <c r="AX727" t="s">
        <v>74</v>
      </c>
      <c r="AY727" t="s">
        <v>74</v>
      </c>
      <c r="AZ727" t="s">
        <v>74</v>
      </c>
      <c r="BA727" t="s">
        <v>74</v>
      </c>
      <c r="BB727">
        <v>13</v>
      </c>
      <c r="BC727">
        <v>20</v>
      </c>
      <c r="BD727" t="s">
        <v>74</v>
      </c>
      <c r="BE727" t="s">
        <v>74</v>
      </c>
      <c r="BF727" t="s">
        <v>74</v>
      </c>
      <c r="BG727" t="s">
        <v>74</v>
      </c>
      <c r="BH727" t="s">
        <v>74</v>
      </c>
      <c r="BI727" t="s">
        <v>74</v>
      </c>
      <c r="BJ727" t="s">
        <v>74</v>
      </c>
      <c r="BK727" t="s">
        <v>74</v>
      </c>
      <c r="BL727" t="s">
        <v>74</v>
      </c>
      <c r="BM727" t="s">
        <v>74</v>
      </c>
      <c r="BN727" t="s">
        <v>74</v>
      </c>
      <c r="BO727" t="s">
        <v>74</v>
      </c>
      <c r="BP727" t="s">
        <v>74</v>
      </c>
      <c r="BQ727" t="s">
        <v>74</v>
      </c>
      <c r="BR727" t="s">
        <v>74</v>
      </c>
      <c r="BS727" t="s">
        <v>5361</v>
      </c>
      <c r="BT727" t="str">
        <f>HYPERLINK("https%3A%2F%2Fwww.webofscience.com%2Fwos%2Fwoscc%2Ffull-record%2FWOS:000180542900002","View Full Record in Web of Science")</f>
        <v>View Full Record in Web of Science</v>
      </c>
    </row>
    <row r="728" spans="1:72" x14ac:dyDescent="0.4">
      <c r="A728" t="s">
        <v>72</v>
      </c>
      <c r="B728" t="s">
        <v>5969</v>
      </c>
      <c r="C728" t="s">
        <v>74</v>
      </c>
      <c r="D728" t="s">
        <v>74</v>
      </c>
      <c r="E728" t="s">
        <v>74</v>
      </c>
      <c r="F728" t="s">
        <v>5970</v>
      </c>
      <c r="G728" t="s">
        <v>74</v>
      </c>
      <c r="H728" t="s">
        <v>74</v>
      </c>
      <c r="I728" t="s">
        <v>5971</v>
      </c>
      <c r="J728" t="s">
        <v>5972</v>
      </c>
      <c r="K728" t="s">
        <v>74</v>
      </c>
      <c r="L728" t="s">
        <v>74</v>
      </c>
      <c r="M728" t="s">
        <v>74</v>
      </c>
      <c r="N728" t="s">
        <v>74</v>
      </c>
      <c r="O728" t="s">
        <v>74</v>
      </c>
      <c r="P728" t="s">
        <v>74</v>
      </c>
      <c r="Q728" t="s">
        <v>74</v>
      </c>
      <c r="R728" t="s">
        <v>74</v>
      </c>
      <c r="S728" t="s">
        <v>74</v>
      </c>
      <c r="T728" t="s">
        <v>74</v>
      </c>
      <c r="U728" t="s">
        <v>74</v>
      </c>
      <c r="V728" s="3" t="s">
        <v>5973</v>
      </c>
      <c r="W728" t="s">
        <v>74</v>
      </c>
      <c r="X728" t="s">
        <v>74</v>
      </c>
      <c r="Y728" t="s">
        <v>74</v>
      </c>
      <c r="Z728" t="s">
        <v>74</v>
      </c>
      <c r="AA728" t="s">
        <v>74</v>
      </c>
      <c r="AB728" t="s">
        <v>5974</v>
      </c>
      <c r="AC728" t="s">
        <v>74</v>
      </c>
      <c r="AD728" t="s">
        <v>74</v>
      </c>
      <c r="AE728" t="s">
        <v>74</v>
      </c>
      <c r="AF728" t="s">
        <v>74</v>
      </c>
      <c r="AG728" t="s">
        <v>74</v>
      </c>
      <c r="AH728" t="s">
        <v>74</v>
      </c>
      <c r="AI728" t="s">
        <v>74</v>
      </c>
      <c r="AJ728" t="s">
        <v>74</v>
      </c>
      <c r="AK728" t="s">
        <v>74</v>
      </c>
      <c r="AL728" t="s">
        <v>74</v>
      </c>
      <c r="AM728" t="s">
        <v>74</v>
      </c>
      <c r="AN728" t="s">
        <v>74</v>
      </c>
      <c r="AO728" t="s">
        <v>5975</v>
      </c>
      <c r="AP728" t="s">
        <v>74</v>
      </c>
      <c r="AQ728" t="s">
        <v>74</v>
      </c>
      <c r="AR728" t="s">
        <v>74</v>
      </c>
      <c r="AS728" t="s">
        <v>74</v>
      </c>
      <c r="AT728" t="s">
        <v>74</v>
      </c>
      <c r="AU728">
        <v>2017</v>
      </c>
      <c r="AV728">
        <v>93</v>
      </c>
      <c r="AW728">
        <v>1</v>
      </c>
      <c r="AX728" t="s">
        <v>74</v>
      </c>
      <c r="AY728" t="s">
        <v>74</v>
      </c>
      <c r="AZ728" t="s">
        <v>74</v>
      </c>
      <c r="BA728" t="s">
        <v>74</v>
      </c>
      <c r="BB728">
        <v>95</v>
      </c>
      <c r="BC728">
        <v>104</v>
      </c>
      <c r="BD728" t="s">
        <v>74</v>
      </c>
      <c r="BE728" t="s">
        <v>5976</v>
      </c>
      <c r="BF728" t="str">
        <f>HYPERLINK("http://dx.doi.org/10.3897/zse.93.10794","http://dx.doi.org/10.3897/zse.93.10794")</f>
        <v>http://dx.doi.org/10.3897/zse.93.10794</v>
      </c>
      <c r="BG728" t="s">
        <v>74</v>
      </c>
      <c r="BH728" t="s">
        <v>74</v>
      </c>
      <c r="BI728" t="s">
        <v>74</v>
      </c>
      <c r="BJ728" t="s">
        <v>74</v>
      </c>
      <c r="BK728" t="s">
        <v>74</v>
      </c>
      <c r="BL728" t="s">
        <v>74</v>
      </c>
      <c r="BM728" t="s">
        <v>74</v>
      </c>
      <c r="BN728" t="s">
        <v>74</v>
      </c>
      <c r="BO728" t="s">
        <v>74</v>
      </c>
      <c r="BP728" t="s">
        <v>74</v>
      </c>
      <c r="BQ728" t="s">
        <v>74</v>
      </c>
      <c r="BR728" t="s">
        <v>74</v>
      </c>
      <c r="BS728" t="s">
        <v>5977</v>
      </c>
      <c r="BT728" t="str">
        <f>HYPERLINK("https%3A%2F%2Fwww.webofscience.com%2Fwos%2Fwoscc%2Ffull-record%2FWOS:000393302300005","View Full Record in Web of Science")</f>
        <v>View Full Record in Web of Science</v>
      </c>
    </row>
    <row r="729" spans="1:72" x14ac:dyDescent="0.4">
      <c r="A729" t="s">
        <v>72</v>
      </c>
      <c r="B729" t="s">
        <v>3483</v>
      </c>
      <c r="C729" t="s">
        <v>74</v>
      </c>
      <c r="D729" t="s">
        <v>74</v>
      </c>
      <c r="E729" t="s">
        <v>74</v>
      </c>
      <c r="F729" t="s">
        <v>3484</v>
      </c>
      <c r="G729" t="s">
        <v>74</v>
      </c>
      <c r="H729" t="s">
        <v>74</v>
      </c>
      <c r="I729" t="s">
        <v>3485</v>
      </c>
      <c r="J729" t="s">
        <v>333</v>
      </c>
      <c r="K729" t="s">
        <v>74</v>
      </c>
      <c r="L729" t="s">
        <v>74</v>
      </c>
      <c r="M729" t="s">
        <v>74</v>
      </c>
      <c r="N729" t="s">
        <v>74</v>
      </c>
      <c r="O729" t="s">
        <v>74</v>
      </c>
      <c r="P729" t="s">
        <v>74</v>
      </c>
      <c r="Q729" t="s">
        <v>74</v>
      </c>
      <c r="R729" t="s">
        <v>74</v>
      </c>
      <c r="S729" t="s">
        <v>74</v>
      </c>
      <c r="T729" t="s">
        <v>74</v>
      </c>
      <c r="U729" t="s">
        <v>74</v>
      </c>
      <c r="V729" s="3" t="s">
        <v>3486</v>
      </c>
      <c r="W729" t="s">
        <v>74</v>
      </c>
      <c r="X729" t="s">
        <v>74</v>
      </c>
      <c r="Y729" t="s">
        <v>74</v>
      </c>
      <c r="Z729" t="s">
        <v>74</v>
      </c>
      <c r="AA729" t="s">
        <v>3487</v>
      </c>
      <c r="AB729" t="s">
        <v>3488</v>
      </c>
      <c r="AC729" t="s">
        <v>74</v>
      </c>
      <c r="AD729" t="s">
        <v>74</v>
      </c>
      <c r="AE729" t="s">
        <v>74</v>
      </c>
      <c r="AF729" t="s">
        <v>74</v>
      </c>
      <c r="AG729" t="s">
        <v>74</v>
      </c>
      <c r="AH729" t="s">
        <v>74</v>
      </c>
      <c r="AI729" t="s">
        <v>74</v>
      </c>
      <c r="AJ729" t="s">
        <v>74</v>
      </c>
      <c r="AK729" t="s">
        <v>74</v>
      </c>
      <c r="AL729" t="s">
        <v>74</v>
      </c>
      <c r="AM729" t="s">
        <v>74</v>
      </c>
      <c r="AN729" t="s">
        <v>74</v>
      </c>
      <c r="AO729" t="s">
        <v>337</v>
      </c>
      <c r="AP729" t="s">
        <v>338</v>
      </c>
      <c r="AQ729" t="s">
        <v>74</v>
      </c>
      <c r="AR729" t="s">
        <v>74</v>
      </c>
      <c r="AS729" t="s">
        <v>74</v>
      </c>
      <c r="AT729" t="s">
        <v>1130</v>
      </c>
      <c r="AU729">
        <v>2023</v>
      </c>
      <c r="AV729">
        <v>34</v>
      </c>
      <c r="AW729">
        <v>1</v>
      </c>
      <c r="AX729" t="s">
        <v>74</v>
      </c>
      <c r="AY729" t="s">
        <v>74</v>
      </c>
      <c r="AZ729" t="s">
        <v>74</v>
      </c>
      <c r="BA729" t="s">
        <v>74</v>
      </c>
      <c r="BB729">
        <v>19</v>
      </c>
      <c r="BC729">
        <v>32</v>
      </c>
      <c r="BD729" t="s">
        <v>74</v>
      </c>
      <c r="BE729" t="s">
        <v>3489</v>
      </c>
      <c r="BF729" t="str">
        <f>HYPERLINK("http://dx.doi.org/10.1093/beheco/arac089","http://dx.doi.org/10.1093/beheco/arac089")</f>
        <v>http://dx.doi.org/10.1093/beheco/arac089</v>
      </c>
      <c r="BG729" t="s">
        <v>74</v>
      </c>
      <c r="BH729" t="s">
        <v>2298</v>
      </c>
      <c r="BI729" t="s">
        <v>74</v>
      </c>
      <c r="BJ729" t="s">
        <v>74</v>
      </c>
      <c r="BK729" t="s">
        <v>74</v>
      </c>
      <c r="BL729" t="s">
        <v>74</v>
      </c>
      <c r="BM729" t="s">
        <v>74</v>
      </c>
      <c r="BN729">
        <v>36789393</v>
      </c>
      <c r="BO729" t="s">
        <v>74</v>
      </c>
      <c r="BP729" t="s">
        <v>74</v>
      </c>
      <c r="BQ729" t="s">
        <v>74</v>
      </c>
      <c r="BR729" t="s">
        <v>74</v>
      </c>
      <c r="BS729" t="s">
        <v>3490</v>
      </c>
      <c r="BT729" t="str">
        <f>HYPERLINK("https%3A%2F%2Fwww.webofscience.com%2Fwos%2Fwoscc%2Ffull-record%2FWOS:000876657000001","View Full Record in Web of Science")</f>
        <v>View Full Record in Web of Science</v>
      </c>
    </row>
    <row r="730" spans="1:72" x14ac:dyDescent="0.4">
      <c r="A730" t="s">
        <v>72</v>
      </c>
      <c r="B730" t="s">
        <v>4909</v>
      </c>
      <c r="C730" t="s">
        <v>74</v>
      </c>
      <c r="D730" t="s">
        <v>74</v>
      </c>
      <c r="E730" t="s">
        <v>74</v>
      </c>
      <c r="F730" t="s">
        <v>4910</v>
      </c>
      <c r="G730" t="s">
        <v>74</v>
      </c>
      <c r="H730" t="s">
        <v>74</v>
      </c>
      <c r="I730" t="s">
        <v>4911</v>
      </c>
      <c r="J730" t="s">
        <v>1656</v>
      </c>
      <c r="K730" t="s">
        <v>74</v>
      </c>
      <c r="L730" t="s">
        <v>74</v>
      </c>
      <c r="M730" t="s">
        <v>74</v>
      </c>
      <c r="N730" t="s">
        <v>74</v>
      </c>
      <c r="O730" t="s">
        <v>74</v>
      </c>
      <c r="P730" t="s">
        <v>74</v>
      </c>
      <c r="Q730" t="s">
        <v>74</v>
      </c>
      <c r="R730" t="s">
        <v>74</v>
      </c>
      <c r="S730" t="s">
        <v>74</v>
      </c>
      <c r="T730" t="s">
        <v>74</v>
      </c>
      <c r="U730" t="s">
        <v>74</v>
      </c>
      <c r="V730" s="3" t="s">
        <v>4912</v>
      </c>
      <c r="W730" t="s">
        <v>74</v>
      </c>
      <c r="X730" t="s">
        <v>74</v>
      </c>
      <c r="Y730" t="s">
        <v>74</v>
      </c>
      <c r="Z730" t="s">
        <v>74</v>
      </c>
      <c r="AA730" t="s">
        <v>74</v>
      </c>
      <c r="AB730" t="s">
        <v>74</v>
      </c>
      <c r="AC730" t="s">
        <v>74</v>
      </c>
      <c r="AD730" t="s">
        <v>74</v>
      </c>
      <c r="AE730" t="s">
        <v>74</v>
      </c>
      <c r="AF730" t="s">
        <v>74</v>
      </c>
      <c r="AG730" t="s">
        <v>74</v>
      </c>
      <c r="AH730" t="s">
        <v>74</v>
      </c>
      <c r="AI730" t="s">
        <v>74</v>
      </c>
      <c r="AJ730" t="s">
        <v>74</v>
      </c>
      <c r="AK730" t="s">
        <v>74</v>
      </c>
      <c r="AL730" t="s">
        <v>74</v>
      </c>
      <c r="AM730" t="s">
        <v>74</v>
      </c>
      <c r="AN730" t="s">
        <v>74</v>
      </c>
      <c r="AO730" t="s">
        <v>1658</v>
      </c>
      <c r="AP730" t="s">
        <v>1659</v>
      </c>
      <c r="AQ730" t="s">
        <v>74</v>
      </c>
      <c r="AR730" t="s">
        <v>74</v>
      </c>
      <c r="AS730" t="s">
        <v>74</v>
      </c>
      <c r="AT730" t="s">
        <v>4913</v>
      </c>
      <c r="AU730">
        <v>2008</v>
      </c>
      <c r="AV730" t="s">
        <v>74</v>
      </c>
      <c r="AW730">
        <v>1703</v>
      </c>
      <c r="AX730" t="s">
        <v>74</v>
      </c>
      <c r="AY730" t="s">
        <v>74</v>
      </c>
      <c r="AZ730" t="s">
        <v>74</v>
      </c>
      <c r="BA730" t="s">
        <v>74</v>
      </c>
      <c r="BB730">
        <v>1</v>
      </c>
      <c r="BC730">
        <v>24</v>
      </c>
      <c r="BD730" t="s">
        <v>74</v>
      </c>
      <c r="BE730" t="s">
        <v>74</v>
      </c>
      <c r="BF730" t="s">
        <v>74</v>
      </c>
      <c r="BG730" t="s">
        <v>74</v>
      </c>
      <c r="BH730" t="s">
        <v>74</v>
      </c>
      <c r="BI730" t="s">
        <v>74</v>
      </c>
      <c r="BJ730" t="s">
        <v>74</v>
      </c>
      <c r="BK730" t="s">
        <v>74</v>
      </c>
      <c r="BL730" t="s">
        <v>74</v>
      </c>
      <c r="BM730" t="s">
        <v>74</v>
      </c>
      <c r="BN730" t="s">
        <v>74</v>
      </c>
      <c r="BO730" t="s">
        <v>74</v>
      </c>
      <c r="BP730" t="s">
        <v>74</v>
      </c>
      <c r="BQ730" t="s">
        <v>74</v>
      </c>
      <c r="BR730" t="s">
        <v>74</v>
      </c>
      <c r="BS730" t="s">
        <v>4914</v>
      </c>
      <c r="BT730" t="str">
        <f>HYPERLINK("https%3A%2F%2Fwww.webofscience.com%2Fwos%2Fwoscc%2Ffull-record%2FWOS:000253163600001","View Full Record in Web of Science")</f>
        <v>View Full Record in Web of Science</v>
      </c>
    </row>
    <row r="731" spans="1:72" x14ac:dyDescent="0.4">
      <c r="A731" t="s">
        <v>72</v>
      </c>
      <c r="B731" t="s">
        <v>811</v>
      </c>
      <c r="C731" t="s">
        <v>74</v>
      </c>
      <c r="D731" t="s">
        <v>74</v>
      </c>
      <c r="E731" t="s">
        <v>74</v>
      </c>
      <c r="F731" t="s">
        <v>812</v>
      </c>
      <c r="G731" t="s">
        <v>74</v>
      </c>
      <c r="H731" t="s">
        <v>74</v>
      </c>
      <c r="I731" t="s">
        <v>813</v>
      </c>
      <c r="J731" t="s">
        <v>814</v>
      </c>
      <c r="K731" t="s">
        <v>74</v>
      </c>
      <c r="L731" t="s">
        <v>74</v>
      </c>
      <c r="M731" t="s">
        <v>74</v>
      </c>
      <c r="N731" t="s">
        <v>74</v>
      </c>
      <c r="O731" t="s">
        <v>74</v>
      </c>
      <c r="P731" t="s">
        <v>74</v>
      </c>
      <c r="Q731" t="s">
        <v>74</v>
      </c>
      <c r="R731" t="s">
        <v>74</v>
      </c>
      <c r="S731" t="s">
        <v>74</v>
      </c>
      <c r="T731" t="s">
        <v>74</v>
      </c>
      <c r="U731" t="s">
        <v>74</v>
      </c>
      <c r="V731" s="3" t="s">
        <v>815</v>
      </c>
      <c r="W731" t="s">
        <v>74</v>
      </c>
      <c r="X731" t="s">
        <v>74</v>
      </c>
      <c r="Y731" t="s">
        <v>74</v>
      </c>
      <c r="Z731" t="s">
        <v>74</v>
      </c>
      <c r="AA731" t="s">
        <v>816</v>
      </c>
      <c r="AB731" t="s">
        <v>817</v>
      </c>
      <c r="AC731" t="s">
        <v>74</v>
      </c>
      <c r="AD731" t="s">
        <v>74</v>
      </c>
      <c r="AE731" t="s">
        <v>74</v>
      </c>
      <c r="AF731" t="s">
        <v>74</v>
      </c>
      <c r="AG731" t="s">
        <v>74</v>
      </c>
      <c r="AH731" t="s">
        <v>74</v>
      </c>
      <c r="AI731" t="s">
        <v>74</v>
      </c>
      <c r="AJ731" t="s">
        <v>74</v>
      </c>
      <c r="AK731" t="s">
        <v>74</v>
      </c>
      <c r="AL731" t="s">
        <v>74</v>
      </c>
      <c r="AM731" t="s">
        <v>74</v>
      </c>
      <c r="AN731" t="s">
        <v>74</v>
      </c>
      <c r="AO731" t="s">
        <v>818</v>
      </c>
      <c r="AP731" t="s">
        <v>74</v>
      </c>
      <c r="AQ731" t="s">
        <v>74</v>
      </c>
      <c r="AR731" t="s">
        <v>74</v>
      </c>
      <c r="AS731" t="s">
        <v>74</v>
      </c>
      <c r="AT731" t="s">
        <v>305</v>
      </c>
      <c r="AU731">
        <v>2011</v>
      </c>
      <c r="AV731">
        <v>114</v>
      </c>
      <c r="AW731">
        <v>6</v>
      </c>
      <c r="AX731" t="s">
        <v>74</v>
      </c>
      <c r="AY731" t="s">
        <v>74</v>
      </c>
      <c r="AZ731" t="s">
        <v>74</v>
      </c>
      <c r="BA731" t="s">
        <v>74</v>
      </c>
      <c r="BB731">
        <v>335</v>
      </c>
      <c r="BC731">
        <v>339</v>
      </c>
      <c r="BD731" t="s">
        <v>74</v>
      </c>
      <c r="BE731" t="s">
        <v>819</v>
      </c>
      <c r="BF731" t="str">
        <f>HYPERLINK("http://dx.doi.org/10.1016/j.zool.2011.07.001","http://dx.doi.org/10.1016/j.zool.2011.07.001")</f>
        <v>http://dx.doi.org/10.1016/j.zool.2011.07.001</v>
      </c>
      <c r="BG731" t="s">
        <v>74</v>
      </c>
      <c r="BH731" t="s">
        <v>74</v>
      </c>
      <c r="BI731" t="s">
        <v>74</v>
      </c>
      <c r="BJ731" t="s">
        <v>74</v>
      </c>
      <c r="BK731" t="s">
        <v>74</v>
      </c>
      <c r="BL731" t="s">
        <v>74</v>
      </c>
      <c r="BM731" t="s">
        <v>74</v>
      </c>
      <c r="BN731">
        <v>21975142</v>
      </c>
      <c r="BO731" t="s">
        <v>74</v>
      </c>
      <c r="BP731" t="s">
        <v>74</v>
      </c>
      <c r="BQ731" t="s">
        <v>74</v>
      </c>
      <c r="BR731" t="s">
        <v>74</v>
      </c>
      <c r="BS731" t="s">
        <v>820</v>
      </c>
      <c r="BT731" t="str">
        <f>HYPERLINK("https%3A%2F%2Fwww.webofscience.com%2Fwos%2Fwoscc%2Ffull-record%2FWOS:000297909600003","View Full Record in Web of Science")</f>
        <v>View Full Record in Web of Science</v>
      </c>
    </row>
    <row r="732" spans="1:72" x14ac:dyDescent="0.4">
      <c r="A732" t="s">
        <v>72</v>
      </c>
      <c r="B732" t="s">
        <v>5878</v>
      </c>
      <c r="C732" t="s">
        <v>74</v>
      </c>
      <c r="D732" t="s">
        <v>74</v>
      </c>
      <c r="E732" t="s">
        <v>74</v>
      </c>
      <c r="F732" t="s">
        <v>5879</v>
      </c>
      <c r="G732" t="s">
        <v>74</v>
      </c>
      <c r="H732" t="s">
        <v>74</v>
      </c>
      <c r="I732" t="s">
        <v>5880</v>
      </c>
      <c r="J732" t="s">
        <v>5881</v>
      </c>
      <c r="K732" t="s">
        <v>74</v>
      </c>
      <c r="L732" t="s">
        <v>74</v>
      </c>
      <c r="M732" t="s">
        <v>74</v>
      </c>
      <c r="N732" t="s">
        <v>74</v>
      </c>
      <c r="O732" t="s">
        <v>74</v>
      </c>
      <c r="P732" t="s">
        <v>74</v>
      </c>
      <c r="Q732" t="s">
        <v>74</v>
      </c>
      <c r="R732" t="s">
        <v>74</v>
      </c>
      <c r="S732" t="s">
        <v>74</v>
      </c>
      <c r="T732" t="s">
        <v>74</v>
      </c>
      <c r="U732" t="s">
        <v>74</v>
      </c>
      <c r="V732" s="3" t="s">
        <v>5882</v>
      </c>
      <c r="W732" t="s">
        <v>74</v>
      </c>
      <c r="X732" t="s">
        <v>74</v>
      </c>
      <c r="Y732" t="s">
        <v>74</v>
      </c>
      <c r="Z732" t="s">
        <v>74</v>
      </c>
      <c r="AA732" t="s">
        <v>5883</v>
      </c>
      <c r="AB732" t="s">
        <v>5884</v>
      </c>
      <c r="AC732" t="s">
        <v>74</v>
      </c>
      <c r="AD732" t="s">
        <v>74</v>
      </c>
      <c r="AE732" t="s">
        <v>74</v>
      </c>
      <c r="AF732" t="s">
        <v>74</v>
      </c>
      <c r="AG732" t="s">
        <v>74</v>
      </c>
      <c r="AH732" t="s">
        <v>74</v>
      </c>
      <c r="AI732" t="s">
        <v>74</v>
      </c>
      <c r="AJ732" t="s">
        <v>74</v>
      </c>
      <c r="AK732" t="s">
        <v>74</v>
      </c>
      <c r="AL732" t="s">
        <v>74</v>
      </c>
      <c r="AM732" t="s">
        <v>74</v>
      </c>
      <c r="AN732" t="s">
        <v>74</v>
      </c>
      <c r="AO732" t="s">
        <v>5885</v>
      </c>
      <c r="AP732" t="s">
        <v>5886</v>
      </c>
      <c r="AQ732" t="s">
        <v>74</v>
      </c>
      <c r="AR732" t="s">
        <v>74</v>
      </c>
      <c r="AS732" t="s">
        <v>74</v>
      </c>
      <c r="AT732" t="s">
        <v>5887</v>
      </c>
      <c r="AU732">
        <v>2015</v>
      </c>
      <c r="AV732">
        <v>82</v>
      </c>
      <c r="AW732">
        <v>3</v>
      </c>
      <c r="AX732" t="s">
        <v>74</v>
      </c>
      <c r="AY732" t="s">
        <v>74</v>
      </c>
      <c r="AZ732" t="s">
        <v>74</v>
      </c>
      <c r="BA732" t="s">
        <v>74</v>
      </c>
      <c r="BB732">
        <v>398</v>
      </c>
      <c r="BC732">
        <v>403</v>
      </c>
      <c r="BD732" t="s">
        <v>74</v>
      </c>
      <c r="BE732" t="s">
        <v>5888</v>
      </c>
      <c r="BF732" t="str">
        <f>HYPERLINK("http://dx.doi.org/10.1080/11250003.2015.1021391","http://dx.doi.org/10.1080/11250003.2015.1021391")</f>
        <v>http://dx.doi.org/10.1080/11250003.2015.1021391</v>
      </c>
      <c r="BG732" t="s">
        <v>74</v>
      </c>
      <c r="BH732" t="s">
        <v>74</v>
      </c>
      <c r="BI732" t="s">
        <v>74</v>
      </c>
      <c r="BJ732" t="s">
        <v>74</v>
      </c>
      <c r="BK732" t="s">
        <v>74</v>
      </c>
      <c r="BL732" t="s">
        <v>74</v>
      </c>
      <c r="BM732" t="s">
        <v>74</v>
      </c>
      <c r="BN732" t="s">
        <v>74</v>
      </c>
      <c r="BO732" t="s">
        <v>74</v>
      </c>
      <c r="BP732" t="s">
        <v>74</v>
      </c>
      <c r="BQ732" t="s">
        <v>74</v>
      </c>
      <c r="BR732" t="s">
        <v>74</v>
      </c>
      <c r="BS732" t="s">
        <v>5889</v>
      </c>
      <c r="BT732" t="str">
        <f>HYPERLINK("https%3A%2F%2Fwww.webofscience.com%2Fwos%2Fwoscc%2Ffull-record%2FWOS:000359742100011","View Full Record in Web of Science")</f>
        <v>View Full Record in Web of Science</v>
      </c>
    </row>
    <row r="733" spans="1:72" x14ac:dyDescent="0.4">
      <c r="A733" t="s">
        <v>72</v>
      </c>
      <c r="B733" t="s">
        <v>296</v>
      </c>
      <c r="C733" t="s">
        <v>74</v>
      </c>
      <c r="D733" t="s">
        <v>74</v>
      </c>
      <c r="E733" t="s">
        <v>74</v>
      </c>
      <c r="F733" t="s">
        <v>297</v>
      </c>
      <c r="G733" t="s">
        <v>74</v>
      </c>
      <c r="H733" t="s">
        <v>74</v>
      </c>
      <c r="I733" t="s">
        <v>298</v>
      </c>
      <c r="J733" t="s">
        <v>299</v>
      </c>
      <c r="K733" t="s">
        <v>74</v>
      </c>
      <c r="L733" t="s">
        <v>74</v>
      </c>
      <c r="M733" t="s">
        <v>74</v>
      </c>
      <c r="N733" t="s">
        <v>74</v>
      </c>
      <c r="O733" t="s">
        <v>74</v>
      </c>
      <c r="P733" t="s">
        <v>74</v>
      </c>
      <c r="Q733" t="s">
        <v>74</v>
      </c>
      <c r="R733" t="s">
        <v>74</v>
      </c>
      <c r="S733" t="s">
        <v>74</v>
      </c>
      <c r="T733" t="s">
        <v>74</v>
      </c>
      <c r="U733" t="s">
        <v>74</v>
      </c>
      <c r="V733" s="3" t="s">
        <v>300</v>
      </c>
      <c r="W733" t="s">
        <v>74</v>
      </c>
      <c r="X733" t="s">
        <v>74</v>
      </c>
      <c r="Y733" t="s">
        <v>74</v>
      </c>
      <c r="Z733" t="s">
        <v>74</v>
      </c>
      <c r="AA733" t="s">
        <v>301</v>
      </c>
      <c r="AB733" t="s">
        <v>302</v>
      </c>
      <c r="AC733" t="s">
        <v>74</v>
      </c>
      <c r="AD733" t="s">
        <v>74</v>
      </c>
      <c r="AE733" t="s">
        <v>74</v>
      </c>
      <c r="AF733" t="s">
        <v>74</v>
      </c>
      <c r="AG733" t="s">
        <v>74</v>
      </c>
      <c r="AH733" t="s">
        <v>74</v>
      </c>
      <c r="AI733" t="s">
        <v>74</v>
      </c>
      <c r="AJ733" t="s">
        <v>74</v>
      </c>
      <c r="AK733" t="s">
        <v>74</v>
      </c>
      <c r="AL733" t="s">
        <v>74</v>
      </c>
      <c r="AM733" t="s">
        <v>74</v>
      </c>
      <c r="AN733" t="s">
        <v>74</v>
      </c>
      <c r="AO733" t="s">
        <v>303</v>
      </c>
      <c r="AP733" t="s">
        <v>304</v>
      </c>
      <c r="AQ733" t="s">
        <v>74</v>
      </c>
      <c r="AR733" t="s">
        <v>74</v>
      </c>
      <c r="AS733" t="s">
        <v>74</v>
      </c>
      <c r="AT733" t="s">
        <v>305</v>
      </c>
      <c r="AU733">
        <v>2022</v>
      </c>
      <c r="AV733">
        <v>53</v>
      </c>
      <c r="AW733">
        <v>17</v>
      </c>
      <c r="AX733" t="s">
        <v>74</v>
      </c>
      <c r="AY733" t="s">
        <v>74</v>
      </c>
      <c r="AZ733" t="s">
        <v>74</v>
      </c>
      <c r="BA733" t="s">
        <v>74</v>
      </c>
      <c r="BB733">
        <v>6407</v>
      </c>
      <c r="BC733">
        <v>6413</v>
      </c>
      <c r="BD733" t="s">
        <v>74</v>
      </c>
      <c r="BE733" t="s">
        <v>306</v>
      </c>
      <c r="BF733" t="str">
        <f>HYPERLINK("http://dx.doi.org/10.1111/are.16083","http://dx.doi.org/10.1111/are.16083")</f>
        <v>http://dx.doi.org/10.1111/are.16083</v>
      </c>
      <c r="BG733" t="s">
        <v>74</v>
      </c>
      <c r="BH733" t="s">
        <v>307</v>
      </c>
      <c r="BI733" t="s">
        <v>74</v>
      </c>
      <c r="BJ733" t="s">
        <v>74</v>
      </c>
      <c r="BK733" t="s">
        <v>74</v>
      </c>
      <c r="BL733" t="s">
        <v>74</v>
      </c>
      <c r="BM733" t="s">
        <v>74</v>
      </c>
      <c r="BN733" t="s">
        <v>74</v>
      </c>
      <c r="BO733" t="s">
        <v>74</v>
      </c>
      <c r="BP733" t="s">
        <v>74</v>
      </c>
      <c r="BQ733" t="s">
        <v>74</v>
      </c>
      <c r="BR733" t="s">
        <v>74</v>
      </c>
      <c r="BS733" t="s">
        <v>308</v>
      </c>
      <c r="BT733" t="str">
        <f>HYPERLINK("https%3A%2F%2Fwww.webofscience.com%2Fwos%2Fwoscc%2Ffull-record%2FWOS:000847232100001","View Full Record in Web of Science")</f>
        <v>View Full Record in Web of Science</v>
      </c>
    </row>
    <row r="734" spans="1:72" x14ac:dyDescent="0.4">
      <c r="A734" t="s">
        <v>72</v>
      </c>
      <c r="B734" t="s">
        <v>1606</v>
      </c>
      <c r="C734" t="s">
        <v>74</v>
      </c>
      <c r="D734" t="s">
        <v>74</v>
      </c>
      <c r="E734" t="s">
        <v>74</v>
      </c>
      <c r="F734" t="s">
        <v>1606</v>
      </c>
      <c r="G734" t="s">
        <v>74</v>
      </c>
      <c r="H734" t="s">
        <v>74</v>
      </c>
      <c r="I734" t="s">
        <v>1607</v>
      </c>
      <c r="J734" t="s">
        <v>1135</v>
      </c>
      <c r="K734" t="s">
        <v>74</v>
      </c>
      <c r="L734" t="s">
        <v>74</v>
      </c>
      <c r="M734" t="s">
        <v>74</v>
      </c>
      <c r="N734" t="s">
        <v>74</v>
      </c>
      <c r="O734" t="s">
        <v>74</v>
      </c>
      <c r="P734" t="s">
        <v>74</v>
      </c>
      <c r="Q734" t="s">
        <v>74</v>
      </c>
      <c r="R734" t="s">
        <v>74</v>
      </c>
      <c r="S734" t="s">
        <v>74</v>
      </c>
      <c r="T734" t="s">
        <v>74</v>
      </c>
      <c r="U734" t="s">
        <v>74</v>
      </c>
      <c r="V734" s="3" t="s">
        <v>1608</v>
      </c>
      <c r="W734" t="s">
        <v>74</v>
      </c>
      <c r="X734" t="s">
        <v>74</v>
      </c>
      <c r="Y734" t="s">
        <v>74</v>
      </c>
      <c r="Z734" t="s">
        <v>74</v>
      </c>
      <c r="AA734" t="s">
        <v>1609</v>
      </c>
      <c r="AB734" t="s">
        <v>1610</v>
      </c>
      <c r="AC734" t="s">
        <v>74</v>
      </c>
      <c r="AD734" t="s">
        <v>74</v>
      </c>
      <c r="AE734" t="s">
        <v>74</v>
      </c>
      <c r="AF734" t="s">
        <v>74</v>
      </c>
      <c r="AG734" t="s">
        <v>74</v>
      </c>
      <c r="AH734" t="s">
        <v>74</v>
      </c>
      <c r="AI734" t="s">
        <v>74</v>
      </c>
      <c r="AJ734" t="s">
        <v>74</v>
      </c>
      <c r="AK734" t="s">
        <v>74</v>
      </c>
      <c r="AL734" t="s">
        <v>74</v>
      </c>
      <c r="AM734" t="s">
        <v>74</v>
      </c>
      <c r="AN734" t="s">
        <v>74</v>
      </c>
      <c r="AO734" t="s">
        <v>1137</v>
      </c>
      <c r="AP734" t="s">
        <v>74</v>
      </c>
      <c r="AQ734" t="s">
        <v>74</v>
      </c>
      <c r="AR734" t="s">
        <v>74</v>
      </c>
      <c r="AS734" t="s">
        <v>74</v>
      </c>
      <c r="AT734" t="s">
        <v>1611</v>
      </c>
      <c r="AU734">
        <v>1992</v>
      </c>
      <c r="AV734">
        <v>23</v>
      </c>
      <c r="AW734">
        <v>1</v>
      </c>
      <c r="AX734" t="s">
        <v>74</v>
      </c>
      <c r="AY734" t="s">
        <v>74</v>
      </c>
      <c r="AZ734" t="s">
        <v>74</v>
      </c>
      <c r="BA734" t="s">
        <v>74</v>
      </c>
      <c r="BB734">
        <v>17</v>
      </c>
      <c r="BC734">
        <v>23</v>
      </c>
      <c r="BD734" t="s">
        <v>74</v>
      </c>
      <c r="BE734" t="s">
        <v>1612</v>
      </c>
      <c r="BF734" t="str">
        <f>HYPERLINK("http://dx.doi.org/10.2307/3676422","http://dx.doi.org/10.2307/3676422")</f>
        <v>http://dx.doi.org/10.2307/3676422</v>
      </c>
      <c r="BG734" t="s">
        <v>74</v>
      </c>
      <c r="BH734" t="s">
        <v>74</v>
      </c>
      <c r="BI734" t="s">
        <v>74</v>
      </c>
      <c r="BJ734" t="s">
        <v>74</v>
      </c>
      <c r="BK734" t="s">
        <v>74</v>
      </c>
      <c r="BL734" t="s">
        <v>74</v>
      </c>
      <c r="BM734" t="s">
        <v>74</v>
      </c>
      <c r="BN734" t="s">
        <v>74</v>
      </c>
      <c r="BO734" t="s">
        <v>74</v>
      </c>
      <c r="BP734" t="s">
        <v>74</v>
      </c>
      <c r="BQ734" t="s">
        <v>74</v>
      </c>
      <c r="BR734" t="s">
        <v>74</v>
      </c>
      <c r="BS734" t="s">
        <v>1613</v>
      </c>
      <c r="BT734" t="str">
        <f>HYPERLINK("https%3A%2F%2Fwww.webofscience.com%2Fwos%2Fwoscc%2Ffull-record%2FWOS:A1992HN98800004","View Full Record in Web of Science")</f>
        <v>View Full Record in Web of Science</v>
      </c>
    </row>
    <row r="735" spans="1:72" x14ac:dyDescent="0.4">
      <c r="A735" t="s">
        <v>72</v>
      </c>
      <c r="B735" t="s">
        <v>8412</v>
      </c>
      <c r="C735" t="s">
        <v>74</v>
      </c>
      <c r="D735" t="s">
        <v>74</v>
      </c>
      <c r="E735" t="s">
        <v>74</v>
      </c>
      <c r="F735" t="s">
        <v>8413</v>
      </c>
      <c r="G735" t="s">
        <v>74</v>
      </c>
      <c r="H735" t="s">
        <v>74</v>
      </c>
      <c r="I735" t="s">
        <v>8414</v>
      </c>
      <c r="J735" t="s">
        <v>1656</v>
      </c>
      <c r="K735" t="s">
        <v>74</v>
      </c>
      <c r="L735" t="s">
        <v>74</v>
      </c>
      <c r="M735" t="s">
        <v>74</v>
      </c>
      <c r="N735" t="s">
        <v>74</v>
      </c>
      <c r="O735" t="s">
        <v>74</v>
      </c>
      <c r="P735" t="s">
        <v>74</v>
      </c>
      <c r="Q735" t="s">
        <v>74</v>
      </c>
      <c r="R735" t="s">
        <v>74</v>
      </c>
      <c r="S735" t="s">
        <v>74</v>
      </c>
      <c r="T735" t="s">
        <v>74</v>
      </c>
      <c r="U735" t="s">
        <v>74</v>
      </c>
      <c r="V735" s="3" t="s">
        <v>8415</v>
      </c>
      <c r="W735" t="s">
        <v>74</v>
      </c>
      <c r="X735" t="s">
        <v>74</v>
      </c>
      <c r="Y735" t="s">
        <v>74</v>
      </c>
      <c r="Z735" t="s">
        <v>74</v>
      </c>
      <c r="AA735" t="s">
        <v>8416</v>
      </c>
      <c r="AB735" t="s">
        <v>8417</v>
      </c>
      <c r="AC735" t="s">
        <v>74</v>
      </c>
      <c r="AD735" t="s">
        <v>74</v>
      </c>
      <c r="AE735" t="s">
        <v>74</v>
      </c>
      <c r="AF735" t="s">
        <v>74</v>
      </c>
      <c r="AG735" t="s">
        <v>74</v>
      </c>
      <c r="AH735" t="s">
        <v>74</v>
      </c>
      <c r="AI735" t="s">
        <v>74</v>
      </c>
      <c r="AJ735" t="s">
        <v>74</v>
      </c>
      <c r="AK735" t="s">
        <v>74</v>
      </c>
      <c r="AL735" t="s">
        <v>74</v>
      </c>
      <c r="AM735" t="s">
        <v>74</v>
      </c>
      <c r="AN735" t="s">
        <v>74</v>
      </c>
      <c r="AO735" t="s">
        <v>1658</v>
      </c>
      <c r="AP735" t="s">
        <v>1659</v>
      </c>
      <c r="AQ735" t="s">
        <v>74</v>
      </c>
      <c r="AR735" t="s">
        <v>74</v>
      </c>
      <c r="AS735" t="s">
        <v>74</v>
      </c>
      <c r="AT735" t="s">
        <v>8418</v>
      </c>
      <c r="AU735">
        <v>2023</v>
      </c>
      <c r="AV735">
        <v>5285</v>
      </c>
      <c r="AW735">
        <v>2</v>
      </c>
      <c r="AX735" t="s">
        <v>74</v>
      </c>
      <c r="AY735" t="s">
        <v>74</v>
      </c>
      <c r="AZ735" t="s">
        <v>74</v>
      </c>
      <c r="BA735" t="s">
        <v>74</v>
      </c>
      <c r="BB735">
        <v>201</v>
      </c>
      <c r="BC735">
        <v>251</v>
      </c>
      <c r="BD735" t="s">
        <v>74</v>
      </c>
      <c r="BE735" t="s">
        <v>8419</v>
      </c>
      <c r="BF735" t="str">
        <f>HYPERLINK("http://dx.doi.org/10.11646/zootaxa.5285.2.1","http://dx.doi.org/10.11646/zootaxa.5285.2.1")</f>
        <v>http://dx.doi.org/10.11646/zootaxa.5285.2.1</v>
      </c>
      <c r="BG735" t="s">
        <v>74</v>
      </c>
      <c r="BH735" t="s">
        <v>74</v>
      </c>
      <c r="BI735" t="s">
        <v>74</v>
      </c>
      <c r="BJ735" t="s">
        <v>74</v>
      </c>
      <c r="BK735" t="s">
        <v>74</v>
      </c>
      <c r="BL735" t="s">
        <v>74</v>
      </c>
      <c r="BM735" t="s">
        <v>74</v>
      </c>
      <c r="BN735">
        <v>37518708</v>
      </c>
      <c r="BO735" t="s">
        <v>74</v>
      </c>
      <c r="BP735" t="s">
        <v>74</v>
      </c>
      <c r="BQ735" t="s">
        <v>74</v>
      </c>
      <c r="BR735" t="s">
        <v>74</v>
      </c>
      <c r="BS735" t="s">
        <v>8420</v>
      </c>
      <c r="BT735" t="str">
        <f>HYPERLINK("https%3A%2F%2Fwww.webofscience.com%2Fwos%2Fwoscc%2Ffull-record%2FWOS:000996486900001","View Full Record in Web of Science")</f>
        <v>View Full Record in Web of Science</v>
      </c>
    </row>
    <row r="736" spans="1:72" x14ac:dyDescent="0.4">
      <c r="A736" t="s">
        <v>72</v>
      </c>
      <c r="B736" t="s">
        <v>8716</v>
      </c>
      <c r="C736" t="s">
        <v>74</v>
      </c>
      <c r="D736" t="s">
        <v>74</v>
      </c>
      <c r="E736" t="s">
        <v>74</v>
      </c>
      <c r="F736" t="s">
        <v>8717</v>
      </c>
      <c r="G736" t="s">
        <v>74</v>
      </c>
      <c r="H736" t="s">
        <v>74</v>
      </c>
      <c r="I736" t="s">
        <v>8718</v>
      </c>
      <c r="J736" t="s">
        <v>1112</v>
      </c>
      <c r="K736" t="s">
        <v>74</v>
      </c>
      <c r="L736" t="s">
        <v>74</v>
      </c>
      <c r="M736" t="s">
        <v>74</v>
      </c>
      <c r="N736" t="s">
        <v>74</v>
      </c>
      <c r="O736" t="s">
        <v>74</v>
      </c>
      <c r="P736" t="s">
        <v>74</v>
      </c>
      <c r="Q736" t="s">
        <v>74</v>
      </c>
      <c r="R736" t="s">
        <v>74</v>
      </c>
      <c r="S736" t="s">
        <v>74</v>
      </c>
      <c r="T736" t="s">
        <v>74</v>
      </c>
      <c r="U736" t="s">
        <v>74</v>
      </c>
      <c r="V736" s="3" t="s">
        <v>8719</v>
      </c>
      <c r="W736" t="s">
        <v>74</v>
      </c>
      <c r="X736" t="s">
        <v>74</v>
      </c>
      <c r="Y736" t="s">
        <v>74</v>
      </c>
      <c r="Z736" t="s">
        <v>74</v>
      </c>
      <c r="AA736" t="s">
        <v>74</v>
      </c>
      <c r="AB736" t="s">
        <v>8720</v>
      </c>
      <c r="AC736" t="s">
        <v>74</v>
      </c>
      <c r="AD736" t="s">
        <v>74</v>
      </c>
      <c r="AE736" t="s">
        <v>74</v>
      </c>
      <c r="AF736" t="s">
        <v>74</v>
      </c>
      <c r="AG736" t="s">
        <v>74</v>
      </c>
      <c r="AH736" t="s">
        <v>74</v>
      </c>
      <c r="AI736" t="s">
        <v>74</v>
      </c>
      <c r="AJ736" t="s">
        <v>74</v>
      </c>
      <c r="AK736" t="s">
        <v>74</v>
      </c>
      <c r="AL736" t="s">
        <v>74</v>
      </c>
      <c r="AM736" t="s">
        <v>74</v>
      </c>
      <c r="AN736" t="s">
        <v>74</v>
      </c>
      <c r="AO736" t="s">
        <v>1114</v>
      </c>
      <c r="AP736" t="s">
        <v>1115</v>
      </c>
      <c r="AQ736" t="s">
        <v>74</v>
      </c>
      <c r="AR736" t="s">
        <v>74</v>
      </c>
      <c r="AS736" t="s">
        <v>74</v>
      </c>
      <c r="AT736" t="s">
        <v>255</v>
      </c>
      <c r="AU736">
        <v>2019</v>
      </c>
      <c r="AV736">
        <v>210</v>
      </c>
      <c r="AW736" t="s">
        <v>74</v>
      </c>
      <c r="AX736" t="s">
        <v>74</v>
      </c>
      <c r="AY736" t="s">
        <v>74</v>
      </c>
      <c r="AZ736" t="s">
        <v>74</v>
      </c>
      <c r="BA736" t="s">
        <v>74</v>
      </c>
      <c r="BB736">
        <v>73</v>
      </c>
      <c r="BC736">
        <v>80</v>
      </c>
      <c r="BD736" t="s">
        <v>74</v>
      </c>
      <c r="BE736" t="s">
        <v>8721</v>
      </c>
      <c r="BF736" t="str">
        <f>HYPERLINK("http://dx.doi.org/10.1016/j.applanim.2018.10.011","http://dx.doi.org/10.1016/j.applanim.2018.10.011")</f>
        <v>http://dx.doi.org/10.1016/j.applanim.2018.10.011</v>
      </c>
      <c r="BG736" t="s">
        <v>74</v>
      </c>
      <c r="BH736" t="s">
        <v>74</v>
      </c>
      <c r="BI736" t="s">
        <v>74</v>
      </c>
      <c r="BJ736" t="s">
        <v>74</v>
      </c>
      <c r="BK736" t="s">
        <v>74</v>
      </c>
      <c r="BL736" t="s">
        <v>74</v>
      </c>
      <c r="BM736" t="s">
        <v>74</v>
      </c>
      <c r="BN736" t="s">
        <v>74</v>
      </c>
      <c r="BO736" t="s">
        <v>74</v>
      </c>
      <c r="BP736" t="s">
        <v>74</v>
      </c>
      <c r="BQ736" t="s">
        <v>74</v>
      </c>
      <c r="BR736" t="s">
        <v>74</v>
      </c>
      <c r="BS736" t="s">
        <v>8722</v>
      </c>
      <c r="BT736" t="str">
        <f>HYPERLINK("https%3A%2F%2Fwww.webofscience.com%2Fwos%2Fwoscc%2Ffull-record%2FWOS:000457661700010","View Full Record in Web of Science")</f>
        <v>View Full Record in Web of Science</v>
      </c>
    </row>
    <row r="737" spans="1:72" x14ac:dyDescent="0.4">
      <c r="A737" t="s">
        <v>72</v>
      </c>
      <c r="B737" t="s">
        <v>2447</v>
      </c>
      <c r="C737" t="s">
        <v>74</v>
      </c>
      <c r="D737" t="s">
        <v>74</v>
      </c>
      <c r="E737" t="s">
        <v>74</v>
      </c>
      <c r="F737" t="s">
        <v>2448</v>
      </c>
      <c r="G737" t="s">
        <v>74</v>
      </c>
      <c r="H737" t="s">
        <v>74</v>
      </c>
      <c r="I737" t="s">
        <v>2449</v>
      </c>
      <c r="J737" t="s">
        <v>218</v>
      </c>
      <c r="K737" t="s">
        <v>74</v>
      </c>
      <c r="L737" t="s">
        <v>74</v>
      </c>
      <c r="M737" t="s">
        <v>74</v>
      </c>
      <c r="N737" t="s">
        <v>74</v>
      </c>
      <c r="O737" t="s">
        <v>74</v>
      </c>
      <c r="P737" t="s">
        <v>74</v>
      </c>
      <c r="Q737" t="s">
        <v>74</v>
      </c>
      <c r="R737" t="s">
        <v>74</v>
      </c>
      <c r="S737" t="s">
        <v>74</v>
      </c>
      <c r="T737" t="s">
        <v>74</v>
      </c>
      <c r="U737" t="s">
        <v>74</v>
      </c>
      <c r="V737" s="3" t="s">
        <v>2450</v>
      </c>
      <c r="W737" t="s">
        <v>74</v>
      </c>
      <c r="X737" t="s">
        <v>74</v>
      </c>
      <c r="Y737" t="s">
        <v>74</v>
      </c>
      <c r="Z737" t="s">
        <v>74</v>
      </c>
      <c r="AA737" t="s">
        <v>2451</v>
      </c>
      <c r="AB737" t="s">
        <v>2452</v>
      </c>
      <c r="AC737" t="s">
        <v>74</v>
      </c>
      <c r="AD737" t="s">
        <v>74</v>
      </c>
      <c r="AE737" t="s">
        <v>74</v>
      </c>
      <c r="AF737" t="s">
        <v>74</v>
      </c>
      <c r="AG737" t="s">
        <v>74</v>
      </c>
      <c r="AH737" t="s">
        <v>74</v>
      </c>
      <c r="AI737" t="s">
        <v>74</v>
      </c>
      <c r="AJ737" t="s">
        <v>74</v>
      </c>
      <c r="AK737" t="s">
        <v>74</v>
      </c>
      <c r="AL737" t="s">
        <v>74</v>
      </c>
      <c r="AM737" t="s">
        <v>74</v>
      </c>
      <c r="AN737" t="s">
        <v>74</v>
      </c>
      <c r="AO737" t="s">
        <v>221</v>
      </c>
      <c r="AP737" t="s">
        <v>222</v>
      </c>
      <c r="AQ737" t="s">
        <v>74</v>
      </c>
      <c r="AR737" t="s">
        <v>74</v>
      </c>
      <c r="AS737" t="s">
        <v>74</v>
      </c>
      <c r="AT737" t="s">
        <v>213</v>
      </c>
      <c r="AU737">
        <v>2016</v>
      </c>
      <c r="AV737">
        <v>29</v>
      </c>
      <c r="AW737">
        <v>11</v>
      </c>
      <c r="AX737" t="s">
        <v>74</v>
      </c>
      <c r="AY737" t="s">
        <v>74</v>
      </c>
      <c r="AZ737" t="s">
        <v>74</v>
      </c>
      <c r="BA737" t="s">
        <v>74</v>
      </c>
      <c r="BB737">
        <v>2256</v>
      </c>
      <c r="BC737">
        <v>2265</v>
      </c>
      <c r="BD737" t="s">
        <v>74</v>
      </c>
      <c r="BE737" t="s">
        <v>2453</v>
      </c>
      <c r="BF737" t="str">
        <f>HYPERLINK("http://dx.doi.org/10.1111/jeb.12953","http://dx.doi.org/10.1111/jeb.12953")</f>
        <v>http://dx.doi.org/10.1111/jeb.12953</v>
      </c>
      <c r="BG737" t="s">
        <v>74</v>
      </c>
      <c r="BH737" t="s">
        <v>74</v>
      </c>
      <c r="BI737" t="s">
        <v>74</v>
      </c>
      <c r="BJ737" t="s">
        <v>74</v>
      </c>
      <c r="BK737" t="s">
        <v>74</v>
      </c>
      <c r="BL737" t="s">
        <v>74</v>
      </c>
      <c r="BM737" t="s">
        <v>74</v>
      </c>
      <c r="BN737">
        <v>27467980</v>
      </c>
      <c r="BO737" t="s">
        <v>74</v>
      </c>
      <c r="BP737" t="s">
        <v>74</v>
      </c>
      <c r="BQ737" t="s">
        <v>74</v>
      </c>
      <c r="BR737" t="s">
        <v>74</v>
      </c>
      <c r="BS737" t="s">
        <v>2454</v>
      </c>
      <c r="BT737" t="str">
        <f>HYPERLINK("https%3A%2F%2Fwww.webofscience.com%2Fwos%2Fwoscc%2Ffull-record%2FWOS:000388312300013","View Full Record in Web of Science")</f>
        <v>View Full Record in Web of Science</v>
      </c>
    </row>
    <row r="738" spans="1:72" x14ac:dyDescent="0.4">
      <c r="A738" t="s">
        <v>72</v>
      </c>
      <c r="B738" t="s">
        <v>105</v>
      </c>
      <c r="C738" t="s">
        <v>74</v>
      </c>
      <c r="D738" t="s">
        <v>74</v>
      </c>
      <c r="E738" t="s">
        <v>74</v>
      </c>
      <c r="F738" t="s">
        <v>106</v>
      </c>
      <c r="G738" t="s">
        <v>74</v>
      </c>
      <c r="H738" t="s">
        <v>74</v>
      </c>
      <c r="I738" t="s">
        <v>107</v>
      </c>
      <c r="J738" t="s">
        <v>108</v>
      </c>
      <c r="K738" t="s">
        <v>74</v>
      </c>
      <c r="L738" t="s">
        <v>74</v>
      </c>
      <c r="M738" t="s">
        <v>74</v>
      </c>
      <c r="N738" t="s">
        <v>74</v>
      </c>
      <c r="O738" t="s">
        <v>74</v>
      </c>
      <c r="P738" t="s">
        <v>74</v>
      </c>
      <c r="Q738" t="s">
        <v>74</v>
      </c>
      <c r="R738" t="s">
        <v>74</v>
      </c>
      <c r="S738" t="s">
        <v>74</v>
      </c>
      <c r="T738" t="s">
        <v>74</v>
      </c>
      <c r="U738" t="s">
        <v>74</v>
      </c>
      <c r="V738" s="3" t="s">
        <v>109</v>
      </c>
      <c r="W738" t="s">
        <v>74</v>
      </c>
      <c r="X738" t="s">
        <v>74</v>
      </c>
      <c r="Y738" t="s">
        <v>74</v>
      </c>
      <c r="Z738" t="s">
        <v>74</v>
      </c>
      <c r="AA738" t="s">
        <v>74</v>
      </c>
      <c r="AB738" t="s">
        <v>110</v>
      </c>
      <c r="AC738" t="s">
        <v>74</v>
      </c>
      <c r="AD738" t="s">
        <v>74</v>
      </c>
      <c r="AE738" t="s">
        <v>74</v>
      </c>
      <c r="AF738" t="s">
        <v>74</v>
      </c>
      <c r="AG738" t="s">
        <v>74</v>
      </c>
      <c r="AH738" t="s">
        <v>74</v>
      </c>
      <c r="AI738" t="s">
        <v>74</v>
      </c>
      <c r="AJ738" t="s">
        <v>74</v>
      </c>
      <c r="AK738" t="s">
        <v>74</v>
      </c>
      <c r="AL738" t="s">
        <v>74</v>
      </c>
      <c r="AM738" t="s">
        <v>74</v>
      </c>
      <c r="AN738" t="s">
        <v>74</v>
      </c>
      <c r="AO738" t="s">
        <v>111</v>
      </c>
      <c r="AP738" t="s">
        <v>112</v>
      </c>
      <c r="AQ738" t="s">
        <v>74</v>
      </c>
      <c r="AR738" t="s">
        <v>74</v>
      </c>
      <c r="AS738" t="s">
        <v>74</v>
      </c>
      <c r="AT738" t="s">
        <v>113</v>
      </c>
      <c r="AU738">
        <v>2018</v>
      </c>
      <c r="AV738">
        <v>285</v>
      </c>
      <c r="AW738">
        <v>1884</v>
      </c>
      <c r="AX738" t="s">
        <v>74</v>
      </c>
      <c r="AY738" t="s">
        <v>74</v>
      </c>
      <c r="AZ738" t="s">
        <v>74</v>
      </c>
      <c r="BA738" t="s">
        <v>74</v>
      </c>
      <c r="BB738" t="s">
        <v>74</v>
      </c>
      <c r="BC738" t="s">
        <v>74</v>
      </c>
      <c r="BD738">
        <v>20181248</v>
      </c>
      <c r="BE738" t="s">
        <v>114</v>
      </c>
      <c r="BF738" t="str">
        <f>HYPERLINK("http://dx.doi.org/10.1098/rspb.2018.1248","http://dx.doi.org/10.1098/rspb.2018.1248")</f>
        <v>http://dx.doi.org/10.1098/rspb.2018.1248</v>
      </c>
      <c r="BG738" t="s">
        <v>74</v>
      </c>
      <c r="BH738" t="s">
        <v>74</v>
      </c>
      <c r="BI738" t="s">
        <v>74</v>
      </c>
      <c r="BJ738" t="s">
        <v>74</v>
      </c>
      <c r="BK738" t="s">
        <v>74</v>
      </c>
      <c r="BL738" t="s">
        <v>74</v>
      </c>
      <c r="BM738" t="s">
        <v>74</v>
      </c>
      <c r="BN738">
        <v>30068684</v>
      </c>
      <c r="BO738" t="s">
        <v>74</v>
      </c>
      <c r="BP738" t="s">
        <v>74</v>
      </c>
      <c r="BQ738" t="s">
        <v>74</v>
      </c>
      <c r="BR738" t="s">
        <v>74</v>
      </c>
      <c r="BS738" t="s">
        <v>115</v>
      </c>
      <c r="BT738" t="str">
        <f>HYPERLINK("https%3A%2F%2Fwww.webofscience.com%2Fwos%2Fwoscc%2Ffull-record%2FWOS:000441725900027","View Full Record in Web of Science")</f>
        <v>View Full Record in Web of Science</v>
      </c>
    </row>
    <row r="739" spans="1:72" x14ac:dyDescent="0.4">
      <c r="A739" t="s">
        <v>72</v>
      </c>
      <c r="B739" t="s">
        <v>168</v>
      </c>
      <c r="C739" t="s">
        <v>74</v>
      </c>
      <c r="D739" t="s">
        <v>74</v>
      </c>
      <c r="E739" t="s">
        <v>74</v>
      </c>
      <c r="F739" t="s">
        <v>169</v>
      </c>
      <c r="G739" t="s">
        <v>74</v>
      </c>
      <c r="H739" t="s">
        <v>74</v>
      </c>
      <c r="I739" t="s">
        <v>170</v>
      </c>
      <c r="J739" t="s">
        <v>171</v>
      </c>
      <c r="K739" t="s">
        <v>74</v>
      </c>
      <c r="L739" t="s">
        <v>74</v>
      </c>
      <c r="M739" t="s">
        <v>74</v>
      </c>
      <c r="N739" t="s">
        <v>74</v>
      </c>
      <c r="O739" t="s">
        <v>74</v>
      </c>
      <c r="P739" t="s">
        <v>74</v>
      </c>
      <c r="Q739" t="s">
        <v>74</v>
      </c>
      <c r="R739" t="s">
        <v>74</v>
      </c>
      <c r="S739" t="s">
        <v>74</v>
      </c>
      <c r="T739" t="s">
        <v>74</v>
      </c>
      <c r="U739" t="s">
        <v>74</v>
      </c>
      <c r="V739" s="3" t="s">
        <v>172</v>
      </c>
      <c r="W739" t="s">
        <v>74</v>
      </c>
      <c r="X739" t="s">
        <v>74</v>
      </c>
      <c r="Y739" t="s">
        <v>74</v>
      </c>
      <c r="Z739" t="s">
        <v>74</v>
      </c>
      <c r="AA739" t="s">
        <v>74</v>
      </c>
      <c r="AB739" t="s">
        <v>110</v>
      </c>
      <c r="AC739" t="s">
        <v>74</v>
      </c>
      <c r="AD739" t="s">
        <v>74</v>
      </c>
      <c r="AE739" t="s">
        <v>74</v>
      </c>
      <c r="AF739" t="s">
        <v>74</v>
      </c>
      <c r="AG739" t="s">
        <v>74</v>
      </c>
      <c r="AH739" t="s">
        <v>74</v>
      </c>
      <c r="AI739" t="s">
        <v>74</v>
      </c>
      <c r="AJ739" t="s">
        <v>74</v>
      </c>
      <c r="AK739" t="s">
        <v>74</v>
      </c>
      <c r="AL739" t="s">
        <v>74</v>
      </c>
      <c r="AM739" t="s">
        <v>74</v>
      </c>
      <c r="AN739" t="s">
        <v>74</v>
      </c>
      <c r="AO739" t="s">
        <v>173</v>
      </c>
      <c r="AP739" t="s">
        <v>174</v>
      </c>
      <c r="AQ739" t="s">
        <v>74</v>
      </c>
      <c r="AR739" t="s">
        <v>74</v>
      </c>
      <c r="AS739" t="s">
        <v>74</v>
      </c>
      <c r="AT739" t="s">
        <v>175</v>
      </c>
      <c r="AU739">
        <v>2017</v>
      </c>
      <c r="AV739">
        <v>71</v>
      </c>
      <c r="AW739">
        <v>10</v>
      </c>
      <c r="AX739" t="s">
        <v>74</v>
      </c>
      <c r="AY739" t="s">
        <v>74</v>
      </c>
      <c r="AZ739" t="s">
        <v>74</v>
      </c>
      <c r="BA739" t="s">
        <v>74</v>
      </c>
      <c r="BB739">
        <v>2428</v>
      </c>
      <c r="BC739">
        <v>2444</v>
      </c>
      <c r="BD739" t="s">
        <v>74</v>
      </c>
      <c r="BE739" t="s">
        <v>176</v>
      </c>
      <c r="BF739" t="str">
        <f>HYPERLINK("http://dx.doi.org/10.1111/evo.13321","http://dx.doi.org/10.1111/evo.13321")</f>
        <v>http://dx.doi.org/10.1111/evo.13321</v>
      </c>
      <c r="BG739" t="s">
        <v>74</v>
      </c>
      <c r="BH739" t="s">
        <v>74</v>
      </c>
      <c r="BI739" t="s">
        <v>74</v>
      </c>
      <c r="BJ739" t="s">
        <v>74</v>
      </c>
      <c r="BK739" t="s">
        <v>74</v>
      </c>
      <c r="BL739" t="s">
        <v>74</v>
      </c>
      <c r="BM739" t="s">
        <v>74</v>
      </c>
      <c r="BN739">
        <v>28776645</v>
      </c>
      <c r="BO739" t="s">
        <v>74</v>
      </c>
      <c r="BP739" t="s">
        <v>74</v>
      </c>
      <c r="BQ739" t="s">
        <v>74</v>
      </c>
      <c r="BR739" t="s">
        <v>74</v>
      </c>
      <c r="BS739" t="s">
        <v>177</v>
      </c>
      <c r="BT739" t="str">
        <f>HYPERLINK("https%3A%2F%2Fwww.webofscience.com%2Fwos%2Fwoscc%2Ffull-record%2FWOS:000412834700011","View Full Record in Web of Science")</f>
        <v>View Full Record in Web of Science</v>
      </c>
    </row>
    <row r="740" spans="1:72" x14ac:dyDescent="0.4">
      <c r="A740" t="s">
        <v>72</v>
      </c>
      <c r="B740" t="s">
        <v>6835</v>
      </c>
      <c r="C740" t="s">
        <v>74</v>
      </c>
      <c r="D740" t="s">
        <v>74</v>
      </c>
      <c r="E740" t="s">
        <v>74</v>
      </c>
      <c r="F740" t="s">
        <v>6836</v>
      </c>
      <c r="G740" t="s">
        <v>74</v>
      </c>
      <c r="H740" t="s">
        <v>74</v>
      </c>
      <c r="I740" t="s">
        <v>6837</v>
      </c>
      <c r="J740" t="s">
        <v>1656</v>
      </c>
      <c r="K740" t="s">
        <v>74</v>
      </c>
      <c r="L740" t="s">
        <v>74</v>
      </c>
      <c r="M740" t="s">
        <v>74</v>
      </c>
      <c r="N740" t="s">
        <v>74</v>
      </c>
      <c r="O740" t="s">
        <v>74</v>
      </c>
      <c r="P740" t="s">
        <v>74</v>
      </c>
      <c r="Q740" t="s">
        <v>74</v>
      </c>
      <c r="R740" t="s">
        <v>74</v>
      </c>
      <c r="S740" t="s">
        <v>74</v>
      </c>
      <c r="T740" t="s">
        <v>74</v>
      </c>
      <c r="U740" t="s">
        <v>74</v>
      </c>
      <c r="V740" s="3" t="s">
        <v>6838</v>
      </c>
      <c r="W740" t="s">
        <v>74</v>
      </c>
      <c r="X740" t="s">
        <v>74</v>
      </c>
      <c r="Y740" t="s">
        <v>74</v>
      </c>
      <c r="Z740" t="s">
        <v>74</v>
      </c>
      <c r="AA740" t="s">
        <v>74</v>
      </c>
      <c r="AB740" t="s">
        <v>6839</v>
      </c>
      <c r="AC740" t="s">
        <v>74</v>
      </c>
      <c r="AD740" t="s">
        <v>74</v>
      </c>
      <c r="AE740" t="s">
        <v>74</v>
      </c>
      <c r="AF740" t="s">
        <v>74</v>
      </c>
      <c r="AG740" t="s">
        <v>74</v>
      </c>
      <c r="AH740" t="s">
        <v>74</v>
      </c>
      <c r="AI740" t="s">
        <v>74</v>
      </c>
      <c r="AJ740" t="s">
        <v>74</v>
      </c>
      <c r="AK740" t="s">
        <v>74</v>
      </c>
      <c r="AL740" t="s">
        <v>74</v>
      </c>
      <c r="AM740" t="s">
        <v>74</v>
      </c>
      <c r="AN740" t="s">
        <v>74</v>
      </c>
      <c r="AO740" t="s">
        <v>1658</v>
      </c>
      <c r="AP740" t="s">
        <v>1659</v>
      </c>
      <c r="AQ740" t="s">
        <v>74</v>
      </c>
      <c r="AR740" t="s">
        <v>74</v>
      </c>
      <c r="AS740" t="s">
        <v>74</v>
      </c>
      <c r="AT740" t="s">
        <v>6840</v>
      </c>
      <c r="AU740">
        <v>2019</v>
      </c>
      <c r="AV740">
        <v>4700</v>
      </c>
      <c r="AW740">
        <v>4</v>
      </c>
      <c r="AX740" t="s">
        <v>74</v>
      </c>
      <c r="AY740" t="s">
        <v>74</v>
      </c>
      <c r="AZ740" t="s">
        <v>74</v>
      </c>
      <c r="BA740" t="s">
        <v>74</v>
      </c>
      <c r="BB740">
        <v>501</v>
      </c>
      <c r="BC740">
        <v>534</v>
      </c>
      <c r="BD740" t="s">
        <v>74</v>
      </c>
      <c r="BE740" t="s">
        <v>6841</v>
      </c>
      <c r="BF740" t="str">
        <f>HYPERLINK("http://dx.doi.org/10.11646/zootaxa.4700.4.9","http://dx.doi.org/10.11646/zootaxa.4700.4.9")</f>
        <v>http://dx.doi.org/10.11646/zootaxa.4700.4.9</v>
      </c>
      <c r="BG740" t="s">
        <v>74</v>
      </c>
      <c r="BH740" t="s">
        <v>74</v>
      </c>
      <c r="BI740" t="s">
        <v>74</v>
      </c>
      <c r="BJ740" t="s">
        <v>74</v>
      </c>
      <c r="BK740" t="s">
        <v>74</v>
      </c>
      <c r="BL740" t="s">
        <v>74</v>
      </c>
      <c r="BM740" t="s">
        <v>74</v>
      </c>
      <c r="BN740">
        <v>32229960</v>
      </c>
      <c r="BO740" t="s">
        <v>74</v>
      </c>
      <c r="BP740" t="s">
        <v>74</v>
      </c>
      <c r="BQ740" t="s">
        <v>74</v>
      </c>
      <c r="BR740" t="s">
        <v>74</v>
      </c>
      <c r="BS740" t="s">
        <v>6842</v>
      </c>
      <c r="BT740" t="str">
        <f>HYPERLINK("https%3A%2F%2Fwww.webofscience.com%2Fwos%2Fwoscc%2Ffull-record%2FWOS:000498944700009","View Full Record in Web of Science")</f>
        <v>View Full Record in Web of Science</v>
      </c>
    </row>
    <row r="741" spans="1:72" x14ac:dyDescent="0.4">
      <c r="A741" t="s">
        <v>72</v>
      </c>
      <c r="B741" t="s">
        <v>559</v>
      </c>
      <c r="C741" t="s">
        <v>74</v>
      </c>
      <c r="D741" t="s">
        <v>74</v>
      </c>
      <c r="E741" t="s">
        <v>74</v>
      </c>
      <c r="F741" t="s">
        <v>559</v>
      </c>
      <c r="G741" t="s">
        <v>74</v>
      </c>
      <c r="H741" t="s">
        <v>74</v>
      </c>
      <c r="I741" t="s">
        <v>560</v>
      </c>
      <c r="J741" t="s">
        <v>129</v>
      </c>
      <c r="K741" t="s">
        <v>74</v>
      </c>
      <c r="L741" t="s">
        <v>74</v>
      </c>
      <c r="M741" t="s">
        <v>74</v>
      </c>
      <c r="N741" t="s">
        <v>74</v>
      </c>
      <c r="O741" t="s">
        <v>74</v>
      </c>
      <c r="P741" t="s">
        <v>74</v>
      </c>
      <c r="Q741" t="s">
        <v>74</v>
      </c>
      <c r="R741" t="s">
        <v>74</v>
      </c>
      <c r="S741" t="s">
        <v>74</v>
      </c>
      <c r="T741" t="s">
        <v>74</v>
      </c>
      <c r="U741" t="s">
        <v>74</v>
      </c>
      <c r="V741" s="3" t="s">
        <v>561</v>
      </c>
      <c r="W741" t="s">
        <v>74</v>
      </c>
      <c r="X741" t="s">
        <v>74</v>
      </c>
      <c r="Y741" t="s">
        <v>74</v>
      </c>
      <c r="Z741" t="s">
        <v>74</v>
      </c>
      <c r="AA741" t="s">
        <v>74</v>
      </c>
      <c r="AB741" t="s">
        <v>74</v>
      </c>
      <c r="AC741" t="s">
        <v>74</v>
      </c>
      <c r="AD741" t="s">
        <v>74</v>
      </c>
      <c r="AE741" t="s">
        <v>74</v>
      </c>
      <c r="AF741" t="s">
        <v>74</v>
      </c>
      <c r="AG741" t="s">
        <v>74</v>
      </c>
      <c r="AH741" t="s">
        <v>74</v>
      </c>
      <c r="AI741" t="s">
        <v>74</v>
      </c>
      <c r="AJ741" t="s">
        <v>74</v>
      </c>
      <c r="AK741" t="s">
        <v>74</v>
      </c>
      <c r="AL741" t="s">
        <v>74</v>
      </c>
      <c r="AM741" t="s">
        <v>74</v>
      </c>
      <c r="AN741" t="s">
        <v>74</v>
      </c>
      <c r="AO741" t="s">
        <v>132</v>
      </c>
      <c r="AP741" t="s">
        <v>133</v>
      </c>
      <c r="AQ741" t="s">
        <v>74</v>
      </c>
      <c r="AR741" t="s">
        <v>74</v>
      </c>
      <c r="AS741" t="s">
        <v>74</v>
      </c>
      <c r="AT741" t="s">
        <v>213</v>
      </c>
      <c r="AU741">
        <v>2005</v>
      </c>
      <c r="AV741">
        <v>59</v>
      </c>
      <c r="AW741">
        <v>1</v>
      </c>
      <c r="AX741" t="s">
        <v>74</v>
      </c>
      <c r="AY741" t="s">
        <v>74</v>
      </c>
      <c r="AZ741" t="s">
        <v>74</v>
      </c>
      <c r="BA741" t="s">
        <v>74</v>
      </c>
      <c r="BB741">
        <v>51</v>
      </c>
      <c r="BC741">
        <v>57</v>
      </c>
      <c r="BD741" t="s">
        <v>74</v>
      </c>
      <c r="BE741" t="s">
        <v>562</v>
      </c>
      <c r="BF741" t="str">
        <f>HYPERLINK("http://dx.doi.org/10.1007/s00265-005-0008-9","http://dx.doi.org/10.1007/s00265-005-0008-9")</f>
        <v>http://dx.doi.org/10.1007/s00265-005-0008-9</v>
      </c>
      <c r="BG741" t="s">
        <v>74</v>
      </c>
      <c r="BH741" t="s">
        <v>74</v>
      </c>
      <c r="BI741" t="s">
        <v>74</v>
      </c>
      <c r="BJ741" t="s">
        <v>74</v>
      </c>
      <c r="BK741" t="s">
        <v>74</v>
      </c>
      <c r="BL741" t="s">
        <v>74</v>
      </c>
      <c r="BM741" t="s">
        <v>74</v>
      </c>
      <c r="BN741" t="s">
        <v>74</v>
      </c>
      <c r="BO741" t="s">
        <v>74</v>
      </c>
      <c r="BP741" t="s">
        <v>74</v>
      </c>
      <c r="BQ741" t="s">
        <v>74</v>
      </c>
      <c r="BR741" t="s">
        <v>74</v>
      </c>
      <c r="BS741" t="s">
        <v>563</v>
      </c>
      <c r="BT741" t="str">
        <f>HYPERLINK("https%3A%2F%2Fwww.webofscience.com%2Fwos%2Fwoscc%2Ffull-record%2FWOS:000233242600008","View Full Record in Web of Science")</f>
        <v>View Full Record in Web of Science</v>
      </c>
    </row>
    <row r="742" spans="1:72" x14ac:dyDescent="0.4">
      <c r="A742" t="s">
        <v>72</v>
      </c>
      <c r="B742" t="s">
        <v>3976</v>
      </c>
      <c r="C742" t="s">
        <v>74</v>
      </c>
      <c r="D742" t="s">
        <v>74</v>
      </c>
      <c r="E742" t="s">
        <v>74</v>
      </c>
      <c r="F742" t="s">
        <v>3976</v>
      </c>
      <c r="G742" t="s">
        <v>74</v>
      </c>
      <c r="H742" t="s">
        <v>74</v>
      </c>
      <c r="I742" t="s">
        <v>3977</v>
      </c>
      <c r="J742" t="s">
        <v>108</v>
      </c>
      <c r="K742" t="s">
        <v>74</v>
      </c>
      <c r="L742" t="s">
        <v>74</v>
      </c>
      <c r="M742" t="s">
        <v>74</v>
      </c>
      <c r="N742" t="s">
        <v>74</v>
      </c>
      <c r="O742" t="s">
        <v>74</v>
      </c>
      <c r="P742" t="s">
        <v>74</v>
      </c>
      <c r="Q742" t="s">
        <v>74</v>
      </c>
      <c r="R742" t="s">
        <v>74</v>
      </c>
      <c r="S742" t="s">
        <v>74</v>
      </c>
      <c r="T742" t="s">
        <v>74</v>
      </c>
      <c r="U742" t="s">
        <v>74</v>
      </c>
      <c r="V742" s="3" t="s">
        <v>3978</v>
      </c>
      <c r="W742" t="s">
        <v>74</v>
      </c>
      <c r="X742" t="s">
        <v>74</v>
      </c>
      <c r="Y742" t="s">
        <v>74</v>
      </c>
      <c r="Z742" t="s">
        <v>74</v>
      </c>
      <c r="AA742" t="s">
        <v>74</v>
      </c>
      <c r="AB742" t="s">
        <v>3979</v>
      </c>
      <c r="AC742" t="s">
        <v>74</v>
      </c>
      <c r="AD742" t="s">
        <v>74</v>
      </c>
      <c r="AE742" t="s">
        <v>74</v>
      </c>
      <c r="AF742" t="s">
        <v>74</v>
      </c>
      <c r="AG742" t="s">
        <v>74</v>
      </c>
      <c r="AH742" t="s">
        <v>74</v>
      </c>
      <c r="AI742" t="s">
        <v>74</v>
      </c>
      <c r="AJ742" t="s">
        <v>74</v>
      </c>
      <c r="AK742" t="s">
        <v>74</v>
      </c>
      <c r="AL742" t="s">
        <v>74</v>
      </c>
      <c r="AM742" t="s">
        <v>74</v>
      </c>
      <c r="AN742" t="s">
        <v>74</v>
      </c>
      <c r="AO742" t="s">
        <v>111</v>
      </c>
      <c r="AP742" t="s">
        <v>112</v>
      </c>
      <c r="AQ742" t="s">
        <v>74</v>
      </c>
      <c r="AR742" t="s">
        <v>74</v>
      </c>
      <c r="AS742" t="s">
        <v>74</v>
      </c>
      <c r="AT742" t="s">
        <v>3980</v>
      </c>
      <c r="AU742">
        <v>2003</v>
      </c>
      <c r="AV742">
        <v>270</v>
      </c>
      <c r="AW742">
        <v>1530</v>
      </c>
      <c r="AX742" t="s">
        <v>74</v>
      </c>
      <c r="AY742" t="s">
        <v>74</v>
      </c>
      <c r="AZ742" t="s">
        <v>74</v>
      </c>
      <c r="BA742" t="s">
        <v>74</v>
      </c>
      <c r="BB742">
        <v>2271</v>
      </c>
      <c r="BC742">
        <v>2277</v>
      </c>
      <c r="BD742" t="s">
        <v>74</v>
      </c>
      <c r="BE742" t="s">
        <v>3981</v>
      </c>
      <c r="BF742" t="str">
        <f>HYPERLINK("http://dx.doi.org/10.1098/rspb.2003.2510","http://dx.doi.org/10.1098/rspb.2003.2510")</f>
        <v>http://dx.doi.org/10.1098/rspb.2003.2510</v>
      </c>
      <c r="BG742" t="s">
        <v>74</v>
      </c>
      <c r="BH742" t="s">
        <v>74</v>
      </c>
      <c r="BI742" t="s">
        <v>74</v>
      </c>
      <c r="BJ742" t="s">
        <v>74</v>
      </c>
      <c r="BK742" t="s">
        <v>74</v>
      </c>
      <c r="BL742" t="s">
        <v>74</v>
      </c>
      <c r="BM742" t="s">
        <v>74</v>
      </c>
      <c r="BN742">
        <v>14613614</v>
      </c>
      <c r="BO742" t="s">
        <v>74</v>
      </c>
      <c r="BP742" t="s">
        <v>74</v>
      </c>
      <c r="BQ742" t="s">
        <v>74</v>
      </c>
      <c r="BR742" t="s">
        <v>74</v>
      </c>
      <c r="BS742" t="s">
        <v>3982</v>
      </c>
      <c r="BT742" t="str">
        <f>HYPERLINK("https%3A%2F%2Fwww.webofscience.com%2Fwos%2Fwoscc%2Ffull-record%2FWOS:000186630800010","View Full Record in Web of Science")</f>
        <v>View Full Record in Web of Science</v>
      </c>
    </row>
    <row r="743" spans="1:72" x14ac:dyDescent="0.4">
      <c r="A743" t="s">
        <v>72</v>
      </c>
      <c r="B743" t="s">
        <v>3746</v>
      </c>
      <c r="C743" t="s">
        <v>74</v>
      </c>
      <c r="D743" t="s">
        <v>74</v>
      </c>
      <c r="E743" t="s">
        <v>74</v>
      </c>
      <c r="F743" t="s">
        <v>3747</v>
      </c>
      <c r="G743" t="s">
        <v>74</v>
      </c>
      <c r="H743" t="s">
        <v>74</v>
      </c>
      <c r="I743" t="s">
        <v>3748</v>
      </c>
      <c r="J743" t="s">
        <v>3089</v>
      </c>
      <c r="K743" t="s">
        <v>74</v>
      </c>
      <c r="L743" t="s">
        <v>74</v>
      </c>
      <c r="M743" t="s">
        <v>74</v>
      </c>
      <c r="N743" t="s">
        <v>74</v>
      </c>
      <c r="O743" t="s">
        <v>74</v>
      </c>
      <c r="P743" t="s">
        <v>74</v>
      </c>
      <c r="Q743" t="s">
        <v>74</v>
      </c>
      <c r="R743" t="s">
        <v>74</v>
      </c>
      <c r="S743" t="s">
        <v>74</v>
      </c>
      <c r="T743" t="s">
        <v>74</v>
      </c>
      <c r="U743" t="s">
        <v>74</v>
      </c>
      <c r="V743" s="3" t="s">
        <v>3749</v>
      </c>
      <c r="W743" t="s">
        <v>74</v>
      </c>
      <c r="X743" t="s">
        <v>74</v>
      </c>
      <c r="Y743" t="s">
        <v>74</v>
      </c>
      <c r="Z743" t="s">
        <v>74</v>
      </c>
      <c r="AA743" t="s">
        <v>3750</v>
      </c>
      <c r="AB743" t="s">
        <v>74</v>
      </c>
      <c r="AC743" t="s">
        <v>74</v>
      </c>
      <c r="AD743" t="s">
        <v>74</v>
      </c>
      <c r="AE743" t="s">
        <v>74</v>
      </c>
      <c r="AF743" t="s">
        <v>74</v>
      </c>
      <c r="AG743" t="s">
        <v>74</v>
      </c>
      <c r="AH743" t="s">
        <v>74</v>
      </c>
      <c r="AI743" t="s">
        <v>74</v>
      </c>
      <c r="AJ743" t="s">
        <v>74</v>
      </c>
      <c r="AK743" t="s">
        <v>74</v>
      </c>
      <c r="AL743" t="s">
        <v>74</v>
      </c>
      <c r="AM743" t="s">
        <v>74</v>
      </c>
      <c r="AN743" t="s">
        <v>74</v>
      </c>
      <c r="AO743" t="s">
        <v>3093</v>
      </c>
      <c r="AP743" t="s">
        <v>3094</v>
      </c>
      <c r="AQ743" t="s">
        <v>74</v>
      </c>
      <c r="AR743" t="s">
        <v>74</v>
      </c>
      <c r="AS743" t="s">
        <v>74</v>
      </c>
      <c r="AT743" t="s">
        <v>74</v>
      </c>
      <c r="AU743">
        <v>2006</v>
      </c>
      <c r="AV743">
        <v>24</v>
      </c>
      <c r="AW743">
        <v>3</v>
      </c>
      <c r="AX743" t="s">
        <v>74</v>
      </c>
      <c r="AY743" t="s">
        <v>74</v>
      </c>
      <c r="AZ743" t="s">
        <v>74</v>
      </c>
      <c r="BA743" t="s">
        <v>74</v>
      </c>
      <c r="BB743">
        <v>261</v>
      </c>
      <c r="BC743">
        <v>266</v>
      </c>
      <c r="BD743" t="s">
        <v>74</v>
      </c>
      <c r="BE743" t="s">
        <v>3751</v>
      </c>
      <c r="BF743" t="str">
        <f>HYPERLINK("http://dx.doi.org/10.1007/s10164-005-0187-x","http://dx.doi.org/10.1007/s10164-005-0187-x")</f>
        <v>http://dx.doi.org/10.1007/s10164-005-0187-x</v>
      </c>
      <c r="BG743" t="s">
        <v>74</v>
      </c>
      <c r="BH743" t="s">
        <v>74</v>
      </c>
      <c r="BI743" t="s">
        <v>74</v>
      </c>
      <c r="BJ743" t="s">
        <v>74</v>
      </c>
      <c r="BK743" t="s">
        <v>74</v>
      </c>
      <c r="BL743" t="s">
        <v>74</v>
      </c>
      <c r="BM743" t="s">
        <v>74</v>
      </c>
      <c r="BN743" t="s">
        <v>74</v>
      </c>
      <c r="BO743" t="s">
        <v>74</v>
      </c>
      <c r="BP743" t="s">
        <v>74</v>
      </c>
      <c r="BQ743" t="s">
        <v>74</v>
      </c>
      <c r="BR743" t="s">
        <v>74</v>
      </c>
      <c r="BS743" t="s">
        <v>3752</v>
      </c>
      <c r="BT743" t="str">
        <f>HYPERLINK("https%3A%2F%2Fwww.webofscience.com%2Fwos%2Fwoscc%2Ffull-record%2FWOS:000239427700009","View Full Record in Web of Science")</f>
        <v>View Full Record in Web of Science</v>
      </c>
    </row>
    <row r="744" spans="1:72" x14ac:dyDescent="0.4">
      <c r="A744" t="s">
        <v>72</v>
      </c>
      <c r="B744" t="s">
        <v>7154</v>
      </c>
      <c r="C744" t="s">
        <v>74</v>
      </c>
      <c r="D744" t="s">
        <v>74</v>
      </c>
      <c r="E744" t="s">
        <v>74</v>
      </c>
      <c r="F744" t="s">
        <v>7155</v>
      </c>
      <c r="G744" t="s">
        <v>74</v>
      </c>
      <c r="H744" t="s">
        <v>74</v>
      </c>
      <c r="I744" t="s">
        <v>7156</v>
      </c>
      <c r="J744" t="s">
        <v>610</v>
      </c>
      <c r="K744" t="s">
        <v>74</v>
      </c>
      <c r="L744" t="s">
        <v>74</v>
      </c>
      <c r="M744" t="s">
        <v>74</v>
      </c>
      <c r="N744" t="s">
        <v>74</v>
      </c>
      <c r="O744" t="s">
        <v>74</v>
      </c>
      <c r="P744" t="s">
        <v>74</v>
      </c>
      <c r="Q744" t="s">
        <v>74</v>
      </c>
      <c r="R744" t="s">
        <v>74</v>
      </c>
      <c r="S744" t="s">
        <v>74</v>
      </c>
      <c r="T744" t="s">
        <v>74</v>
      </c>
      <c r="U744" t="s">
        <v>74</v>
      </c>
      <c r="V744" s="3" t="s">
        <v>7157</v>
      </c>
      <c r="W744" t="s">
        <v>74</v>
      </c>
      <c r="X744" t="s">
        <v>74</v>
      </c>
      <c r="Y744" t="s">
        <v>74</v>
      </c>
      <c r="Z744" t="s">
        <v>74</v>
      </c>
      <c r="AA744" t="s">
        <v>7158</v>
      </c>
      <c r="AB744" t="s">
        <v>7159</v>
      </c>
      <c r="AC744" t="s">
        <v>74</v>
      </c>
      <c r="AD744" t="s">
        <v>74</v>
      </c>
      <c r="AE744" t="s">
        <v>74</v>
      </c>
      <c r="AF744" t="s">
        <v>74</v>
      </c>
      <c r="AG744" t="s">
        <v>74</v>
      </c>
      <c r="AH744" t="s">
        <v>74</v>
      </c>
      <c r="AI744" t="s">
        <v>74</v>
      </c>
      <c r="AJ744" t="s">
        <v>74</v>
      </c>
      <c r="AK744" t="s">
        <v>74</v>
      </c>
      <c r="AL744" t="s">
        <v>74</v>
      </c>
      <c r="AM744" t="s">
        <v>74</v>
      </c>
      <c r="AN744" t="s">
        <v>74</v>
      </c>
      <c r="AO744" t="s">
        <v>614</v>
      </c>
      <c r="AP744" t="s">
        <v>615</v>
      </c>
      <c r="AQ744" t="s">
        <v>74</v>
      </c>
      <c r="AR744" t="s">
        <v>74</v>
      </c>
      <c r="AS744" t="s">
        <v>74</v>
      </c>
      <c r="AT744" t="s">
        <v>102</v>
      </c>
      <c r="AU744">
        <v>2014</v>
      </c>
      <c r="AV744">
        <v>120</v>
      </c>
      <c r="AW744">
        <v>6</v>
      </c>
      <c r="AX744" t="s">
        <v>74</v>
      </c>
      <c r="AY744" t="s">
        <v>74</v>
      </c>
      <c r="AZ744" t="s">
        <v>74</v>
      </c>
      <c r="BA744" t="s">
        <v>74</v>
      </c>
      <c r="BB744">
        <v>616</v>
      </c>
      <c r="BC744">
        <v>626</v>
      </c>
      <c r="BD744" t="s">
        <v>74</v>
      </c>
      <c r="BE744" t="s">
        <v>7160</v>
      </c>
      <c r="BF744" t="str">
        <f>HYPERLINK("http://dx.doi.org/10.1111/eth.12234","http://dx.doi.org/10.1111/eth.12234")</f>
        <v>http://dx.doi.org/10.1111/eth.12234</v>
      </c>
      <c r="BG744" t="s">
        <v>74</v>
      </c>
      <c r="BH744" t="s">
        <v>74</v>
      </c>
      <c r="BI744" t="s">
        <v>74</v>
      </c>
      <c r="BJ744" t="s">
        <v>74</v>
      </c>
      <c r="BK744" t="s">
        <v>74</v>
      </c>
      <c r="BL744" t="s">
        <v>74</v>
      </c>
      <c r="BM744" t="s">
        <v>74</v>
      </c>
      <c r="BN744" t="s">
        <v>74</v>
      </c>
      <c r="BO744" t="s">
        <v>74</v>
      </c>
      <c r="BP744" t="s">
        <v>74</v>
      </c>
      <c r="BQ744" t="s">
        <v>74</v>
      </c>
      <c r="BR744" t="s">
        <v>74</v>
      </c>
      <c r="BS744" t="s">
        <v>7161</v>
      </c>
      <c r="BT744" t="str">
        <f>HYPERLINK("https%3A%2F%2Fwww.webofscience.com%2Fwos%2Fwoscc%2Ffull-record%2FWOS:000334692600010","View Full Record in Web of Science")</f>
        <v>View Full Record in Web of Science</v>
      </c>
    </row>
    <row r="745" spans="1:72" x14ac:dyDescent="0.4">
      <c r="A745" t="s">
        <v>72</v>
      </c>
      <c r="B745" t="s">
        <v>8357</v>
      </c>
      <c r="C745" t="s">
        <v>74</v>
      </c>
      <c r="D745" t="s">
        <v>74</v>
      </c>
      <c r="E745" t="s">
        <v>74</v>
      </c>
      <c r="F745" t="s">
        <v>8358</v>
      </c>
      <c r="G745" t="s">
        <v>74</v>
      </c>
      <c r="H745" t="s">
        <v>74</v>
      </c>
      <c r="I745" t="s">
        <v>8359</v>
      </c>
      <c r="J745" t="s">
        <v>1803</v>
      </c>
      <c r="K745" t="s">
        <v>74</v>
      </c>
      <c r="L745" t="s">
        <v>74</v>
      </c>
      <c r="M745" t="s">
        <v>74</v>
      </c>
      <c r="N745" t="s">
        <v>74</v>
      </c>
      <c r="O745" t="s">
        <v>74</v>
      </c>
      <c r="P745" t="s">
        <v>74</v>
      </c>
      <c r="Q745" t="s">
        <v>74</v>
      </c>
      <c r="R745" t="s">
        <v>74</v>
      </c>
      <c r="S745" t="s">
        <v>74</v>
      </c>
      <c r="T745" t="s">
        <v>74</v>
      </c>
      <c r="U745" t="s">
        <v>74</v>
      </c>
      <c r="V745" s="3" t="s">
        <v>8360</v>
      </c>
      <c r="W745" t="s">
        <v>74</v>
      </c>
      <c r="X745" t="s">
        <v>74</v>
      </c>
      <c r="Y745" t="s">
        <v>74</v>
      </c>
      <c r="Z745" t="s">
        <v>74</v>
      </c>
      <c r="AA745" t="s">
        <v>8361</v>
      </c>
      <c r="AB745" t="s">
        <v>8362</v>
      </c>
      <c r="AC745" t="s">
        <v>74</v>
      </c>
      <c r="AD745" t="s">
        <v>74</v>
      </c>
      <c r="AE745" t="s">
        <v>74</v>
      </c>
      <c r="AF745" t="s">
        <v>74</v>
      </c>
      <c r="AG745" t="s">
        <v>74</v>
      </c>
      <c r="AH745" t="s">
        <v>74</v>
      </c>
      <c r="AI745" t="s">
        <v>74</v>
      </c>
      <c r="AJ745" t="s">
        <v>74</v>
      </c>
      <c r="AK745" t="s">
        <v>74</v>
      </c>
      <c r="AL745" t="s">
        <v>74</v>
      </c>
      <c r="AM745" t="s">
        <v>74</v>
      </c>
      <c r="AN745" t="s">
        <v>74</v>
      </c>
      <c r="AO745" t="s">
        <v>1807</v>
      </c>
      <c r="AP745" t="s">
        <v>1808</v>
      </c>
      <c r="AQ745" t="s">
        <v>74</v>
      </c>
      <c r="AR745" t="s">
        <v>74</v>
      </c>
      <c r="AS745" t="s">
        <v>74</v>
      </c>
      <c r="AT745" t="s">
        <v>175</v>
      </c>
      <c r="AU745">
        <v>2007</v>
      </c>
      <c r="AV745">
        <v>21</v>
      </c>
      <c r="AW745">
        <v>5</v>
      </c>
      <c r="AX745" t="s">
        <v>74</v>
      </c>
      <c r="AY745" t="s">
        <v>74</v>
      </c>
      <c r="AZ745" t="s">
        <v>74</v>
      </c>
      <c r="BA745" t="s">
        <v>74</v>
      </c>
      <c r="BB745">
        <v>886</v>
      </c>
      <c r="BC745">
        <v>898</v>
      </c>
      <c r="BD745" t="s">
        <v>74</v>
      </c>
      <c r="BE745" t="s">
        <v>8363</v>
      </c>
      <c r="BF745" t="str">
        <f>HYPERLINK("http://dx.doi.org/10.1111/j.1365-2435.2007.01302.x","http://dx.doi.org/10.1111/j.1365-2435.2007.01302.x")</f>
        <v>http://dx.doi.org/10.1111/j.1365-2435.2007.01302.x</v>
      </c>
      <c r="BG745" t="s">
        <v>74</v>
      </c>
      <c r="BH745" t="s">
        <v>74</v>
      </c>
      <c r="BI745" t="s">
        <v>74</v>
      </c>
      <c r="BJ745" t="s">
        <v>74</v>
      </c>
      <c r="BK745" t="s">
        <v>74</v>
      </c>
      <c r="BL745" t="s">
        <v>74</v>
      </c>
      <c r="BM745" t="s">
        <v>74</v>
      </c>
      <c r="BN745" t="s">
        <v>74</v>
      </c>
      <c r="BO745" t="s">
        <v>74</v>
      </c>
      <c r="BP745" t="s">
        <v>74</v>
      </c>
      <c r="BQ745" t="s">
        <v>74</v>
      </c>
      <c r="BR745" t="s">
        <v>74</v>
      </c>
      <c r="BS745" t="s">
        <v>8364</v>
      </c>
      <c r="BT745" t="str">
        <f>HYPERLINK("https%3A%2F%2Fwww.webofscience.com%2Fwos%2Fwoscc%2Ffull-record%2FWOS:000249165000008","View Full Record in Web of Science")</f>
        <v>View Full Record in Web of Science</v>
      </c>
    </row>
    <row r="746" spans="1:72" x14ac:dyDescent="0.4">
      <c r="A746" t="s">
        <v>72</v>
      </c>
      <c r="B746" t="s">
        <v>5362</v>
      </c>
      <c r="C746" t="s">
        <v>74</v>
      </c>
      <c r="D746" t="s">
        <v>74</v>
      </c>
      <c r="E746" t="s">
        <v>74</v>
      </c>
      <c r="F746" t="s">
        <v>5362</v>
      </c>
      <c r="G746" t="s">
        <v>74</v>
      </c>
      <c r="H746" t="s">
        <v>74</v>
      </c>
      <c r="I746" t="s">
        <v>5363</v>
      </c>
      <c r="J746" t="s">
        <v>140</v>
      </c>
      <c r="K746" t="s">
        <v>74</v>
      </c>
      <c r="L746" t="s">
        <v>74</v>
      </c>
      <c r="M746" t="s">
        <v>74</v>
      </c>
      <c r="N746" t="s">
        <v>74</v>
      </c>
      <c r="O746" t="s">
        <v>74</v>
      </c>
      <c r="P746" t="s">
        <v>74</v>
      </c>
      <c r="Q746" t="s">
        <v>74</v>
      </c>
      <c r="R746" t="s">
        <v>74</v>
      </c>
      <c r="S746" t="s">
        <v>74</v>
      </c>
      <c r="T746" t="s">
        <v>74</v>
      </c>
      <c r="U746" t="s">
        <v>74</v>
      </c>
      <c r="V746" s="3" t="s">
        <v>5364</v>
      </c>
      <c r="W746" t="s">
        <v>74</v>
      </c>
      <c r="X746" t="s">
        <v>74</v>
      </c>
      <c r="Y746" t="s">
        <v>74</v>
      </c>
      <c r="Z746" t="s">
        <v>74</v>
      </c>
      <c r="AA746" t="s">
        <v>5365</v>
      </c>
      <c r="AB746" t="s">
        <v>5366</v>
      </c>
      <c r="AC746" t="s">
        <v>74</v>
      </c>
      <c r="AD746" t="s">
        <v>74</v>
      </c>
      <c r="AE746" t="s">
        <v>74</v>
      </c>
      <c r="AF746" t="s">
        <v>74</v>
      </c>
      <c r="AG746" t="s">
        <v>74</v>
      </c>
      <c r="AH746" t="s">
        <v>74</v>
      </c>
      <c r="AI746" t="s">
        <v>74</v>
      </c>
      <c r="AJ746" t="s">
        <v>74</v>
      </c>
      <c r="AK746" t="s">
        <v>74</v>
      </c>
      <c r="AL746" t="s">
        <v>74</v>
      </c>
      <c r="AM746" t="s">
        <v>74</v>
      </c>
      <c r="AN746" t="s">
        <v>74</v>
      </c>
      <c r="AO746" t="s">
        <v>143</v>
      </c>
      <c r="AP746" t="s">
        <v>144</v>
      </c>
      <c r="AQ746" t="s">
        <v>74</v>
      </c>
      <c r="AR746" t="s">
        <v>74</v>
      </c>
      <c r="AS746" t="s">
        <v>74</v>
      </c>
      <c r="AT746" t="s">
        <v>255</v>
      </c>
      <c r="AU746">
        <v>2006</v>
      </c>
      <c r="AV746">
        <v>71</v>
      </c>
      <c r="AW746" t="s">
        <v>74</v>
      </c>
      <c r="AX746">
        <v>1</v>
      </c>
      <c r="AY746" t="s">
        <v>74</v>
      </c>
      <c r="AZ746" t="s">
        <v>74</v>
      </c>
      <c r="BA746" t="s">
        <v>74</v>
      </c>
      <c r="BB746">
        <v>101</v>
      </c>
      <c r="BC746">
        <v>108</v>
      </c>
      <c r="BD746" t="s">
        <v>74</v>
      </c>
      <c r="BE746" t="s">
        <v>5367</v>
      </c>
      <c r="BF746" t="str">
        <f>HYPERLINK("http://dx.doi.org/10.1016/j.anbehav.2005.03.036","http://dx.doi.org/10.1016/j.anbehav.2005.03.036")</f>
        <v>http://dx.doi.org/10.1016/j.anbehav.2005.03.036</v>
      </c>
      <c r="BG746" t="s">
        <v>74</v>
      </c>
      <c r="BH746" t="s">
        <v>74</v>
      </c>
      <c r="BI746" t="s">
        <v>74</v>
      </c>
      <c r="BJ746" t="s">
        <v>74</v>
      </c>
      <c r="BK746" t="s">
        <v>74</v>
      </c>
      <c r="BL746" t="s">
        <v>74</v>
      </c>
      <c r="BM746" t="s">
        <v>74</v>
      </c>
      <c r="BN746" t="s">
        <v>74</v>
      </c>
      <c r="BO746" t="s">
        <v>74</v>
      </c>
      <c r="BP746" t="s">
        <v>74</v>
      </c>
      <c r="BQ746" t="s">
        <v>74</v>
      </c>
      <c r="BR746" t="s">
        <v>74</v>
      </c>
      <c r="BS746" t="s">
        <v>5368</v>
      </c>
      <c r="BT746" t="str">
        <f>HYPERLINK("https%3A%2F%2Fwww.webofscience.com%2Fwos%2Fwoscc%2Ffull-record%2FWOS:000234764500010","View Full Record in Web of Science")</f>
        <v>View Full Record in Web of Science</v>
      </c>
    </row>
    <row r="747" spans="1:72" x14ac:dyDescent="0.4">
      <c r="A747" t="s">
        <v>72</v>
      </c>
      <c r="B747" t="s">
        <v>5666</v>
      </c>
      <c r="C747" t="s">
        <v>74</v>
      </c>
      <c r="D747" t="s">
        <v>74</v>
      </c>
      <c r="E747" t="s">
        <v>74</v>
      </c>
      <c r="F747" t="s">
        <v>5667</v>
      </c>
      <c r="G747" t="s">
        <v>74</v>
      </c>
      <c r="H747" t="s">
        <v>74</v>
      </c>
      <c r="I747" t="s">
        <v>5668</v>
      </c>
      <c r="J747" t="s">
        <v>88</v>
      </c>
      <c r="K747" t="s">
        <v>74</v>
      </c>
      <c r="L747" t="s">
        <v>74</v>
      </c>
      <c r="M747" t="s">
        <v>74</v>
      </c>
      <c r="N747" t="s">
        <v>74</v>
      </c>
      <c r="O747" t="s">
        <v>74</v>
      </c>
      <c r="P747" t="s">
        <v>74</v>
      </c>
      <c r="Q747" t="s">
        <v>74</v>
      </c>
      <c r="R747" t="s">
        <v>74</v>
      </c>
      <c r="S747" t="s">
        <v>74</v>
      </c>
      <c r="T747" t="s">
        <v>74</v>
      </c>
      <c r="U747" t="s">
        <v>74</v>
      </c>
      <c r="V747" s="3" t="s">
        <v>5669</v>
      </c>
      <c r="W747" t="s">
        <v>74</v>
      </c>
      <c r="X747" t="s">
        <v>74</v>
      </c>
      <c r="Y747" t="s">
        <v>74</v>
      </c>
      <c r="Z747" t="s">
        <v>74</v>
      </c>
      <c r="AA747" t="s">
        <v>74</v>
      </c>
      <c r="AB747" t="s">
        <v>5670</v>
      </c>
      <c r="AC747" t="s">
        <v>74</v>
      </c>
      <c r="AD747" t="s">
        <v>74</v>
      </c>
      <c r="AE747" t="s">
        <v>74</v>
      </c>
      <c r="AF747" t="s">
        <v>74</v>
      </c>
      <c r="AG747" t="s">
        <v>74</v>
      </c>
      <c r="AH747" t="s">
        <v>74</v>
      </c>
      <c r="AI747" t="s">
        <v>74</v>
      </c>
      <c r="AJ747" t="s">
        <v>74</v>
      </c>
      <c r="AK747" t="s">
        <v>74</v>
      </c>
      <c r="AL747" t="s">
        <v>74</v>
      </c>
      <c r="AM747" t="s">
        <v>74</v>
      </c>
      <c r="AN747" t="s">
        <v>74</v>
      </c>
      <c r="AO747" t="s">
        <v>91</v>
      </c>
      <c r="AP747" t="s">
        <v>92</v>
      </c>
      <c r="AQ747" t="s">
        <v>74</v>
      </c>
      <c r="AR747" t="s">
        <v>74</v>
      </c>
      <c r="AS747" t="s">
        <v>74</v>
      </c>
      <c r="AT747" t="s">
        <v>5044</v>
      </c>
      <c r="AU747">
        <v>2023</v>
      </c>
      <c r="AV747">
        <v>19</v>
      </c>
      <c r="AW747">
        <v>5</v>
      </c>
      <c r="AX747" t="s">
        <v>74</v>
      </c>
      <c r="AY747" t="s">
        <v>74</v>
      </c>
      <c r="AZ747" t="s">
        <v>74</v>
      </c>
      <c r="BA747" t="s">
        <v>74</v>
      </c>
      <c r="BB747" t="s">
        <v>74</v>
      </c>
      <c r="BC747" t="s">
        <v>74</v>
      </c>
      <c r="BD747">
        <v>20220490</v>
      </c>
      <c r="BE747" t="s">
        <v>5671</v>
      </c>
      <c r="BF747" t="str">
        <f>HYPERLINK("http://dx.doi.org/10.1098/rsbl.2022.0490","http://dx.doi.org/10.1098/rsbl.2022.0490")</f>
        <v>http://dx.doi.org/10.1098/rsbl.2022.0490</v>
      </c>
      <c r="BG747" t="s">
        <v>74</v>
      </c>
      <c r="BH747" t="s">
        <v>74</v>
      </c>
      <c r="BI747" t="s">
        <v>74</v>
      </c>
      <c r="BJ747" t="s">
        <v>74</v>
      </c>
      <c r="BK747" t="s">
        <v>74</v>
      </c>
      <c r="BL747" t="s">
        <v>74</v>
      </c>
      <c r="BM747" t="s">
        <v>74</v>
      </c>
      <c r="BN747">
        <v>37194257</v>
      </c>
      <c r="BO747" t="s">
        <v>74</v>
      </c>
      <c r="BP747" t="s">
        <v>74</v>
      </c>
      <c r="BQ747" t="s">
        <v>74</v>
      </c>
      <c r="BR747" t="s">
        <v>74</v>
      </c>
      <c r="BS747" t="s">
        <v>5672</v>
      </c>
      <c r="BT747" t="str">
        <f>HYPERLINK("https%3A%2F%2Fwww.webofscience.com%2Fwos%2Fwoscc%2Ffull-record%2FWOS:000988392000001","View Full Record in Web of Science")</f>
        <v>View Full Record in Web of Science</v>
      </c>
    </row>
    <row r="748" spans="1:72" x14ac:dyDescent="0.4">
      <c r="A748" t="s">
        <v>72</v>
      </c>
      <c r="B748" t="s">
        <v>2972</v>
      </c>
      <c r="C748" t="s">
        <v>74</v>
      </c>
      <c r="D748" t="s">
        <v>74</v>
      </c>
      <c r="E748" t="s">
        <v>74</v>
      </c>
      <c r="F748" t="s">
        <v>2973</v>
      </c>
      <c r="G748" t="s">
        <v>74</v>
      </c>
      <c r="H748" t="s">
        <v>74</v>
      </c>
      <c r="I748" t="s">
        <v>2974</v>
      </c>
      <c r="J748" t="s">
        <v>201</v>
      </c>
      <c r="K748" t="s">
        <v>74</v>
      </c>
      <c r="L748" t="s">
        <v>74</v>
      </c>
      <c r="M748" t="s">
        <v>74</v>
      </c>
      <c r="N748" t="s">
        <v>74</v>
      </c>
      <c r="O748" t="s">
        <v>74</v>
      </c>
      <c r="P748" t="s">
        <v>74</v>
      </c>
      <c r="Q748" t="s">
        <v>74</v>
      </c>
      <c r="R748" t="s">
        <v>74</v>
      </c>
      <c r="S748" t="s">
        <v>74</v>
      </c>
      <c r="T748" t="s">
        <v>74</v>
      </c>
      <c r="U748" t="s">
        <v>74</v>
      </c>
      <c r="V748" s="3" t="s">
        <v>2975</v>
      </c>
      <c r="W748" t="s">
        <v>74</v>
      </c>
      <c r="X748" t="s">
        <v>74</v>
      </c>
      <c r="Y748" t="s">
        <v>74</v>
      </c>
      <c r="Z748" t="s">
        <v>74</v>
      </c>
      <c r="AA748" t="s">
        <v>74</v>
      </c>
      <c r="AB748" t="s">
        <v>2976</v>
      </c>
      <c r="AC748" t="s">
        <v>74</v>
      </c>
      <c r="AD748" t="s">
        <v>74</v>
      </c>
      <c r="AE748" t="s">
        <v>74</v>
      </c>
      <c r="AF748" t="s">
        <v>74</v>
      </c>
      <c r="AG748" t="s">
        <v>74</v>
      </c>
      <c r="AH748" t="s">
        <v>74</v>
      </c>
      <c r="AI748" t="s">
        <v>74</v>
      </c>
      <c r="AJ748" t="s">
        <v>74</v>
      </c>
      <c r="AK748" t="s">
        <v>74</v>
      </c>
      <c r="AL748" t="s">
        <v>74</v>
      </c>
      <c r="AM748" t="s">
        <v>74</v>
      </c>
      <c r="AN748" t="s">
        <v>74</v>
      </c>
      <c r="AO748" t="s">
        <v>203</v>
      </c>
      <c r="AP748" t="s">
        <v>1192</v>
      </c>
      <c r="AQ748" t="s">
        <v>74</v>
      </c>
      <c r="AR748" t="s">
        <v>74</v>
      </c>
      <c r="AS748" t="s">
        <v>74</v>
      </c>
      <c r="AT748" t="s">
        <v>633</v>
      </c>
      <c r="AU748">
        <v>2023</v>
      </c>
      <c r="AV748">
        <v>102</v>
      </c>
      <c r="AW748">
        <v>4</v>
      </c>
      <c r="AX748" t="s">
        <v>74</v>
      </c>
      <c r="AY748" t="s">
        <v>74</v>
      </c>
      <c r="AZ748" t="s">
        <v>74</v>
      </c>
      <c r="BA748" t="s">
        <v>74</v>
      </c>
      <c r="BB748">
        <v>794</v>
      </c>
      <c r="BC748">
        <v>802</v>
      </c>
      <c r="BD748" t="s">
        <v>74</v>
      </c>
      <c r="BE748" t="s">
        <v>2977</v>
      </c>
      <c r="BF748" t="str">
        <f>HYPERLINK("http://dx.doi.org/10.1111/jfb.15316","http://dx.doi.org/10.1111/jfb.15316")</f>
        <v>http://dx.doi.org/10.1111/jfb.15316</v>
      </c>
      <c r="BG748" t="s">
        <v>74</v>
      </c>
      <c r="BH748" t="s">
        <v>2392</v>
      </c>
      <c r="BI748" t="s">
        <v>74</v>
      </c>
      <c r="BJ748" t="s">
        <v>74</v>
      </c>
      <c r="BK748" t="s">
        <v>74</v>
      </c>
      <c r="BL748" t="s">
        <v>74</v>
      </c>
      <c r="BM748" t="s">
        <v>74</v>
      </c>
      <c r="BN748">
        <v>36648014</v>
      </c>
      <c r="BO748" t="s">
        <v>74</v>
      </c>
      <c r="BP748" t="s">
        <v>74</v>
      </c>
      <c r="BQ748" t="s">
        <v>74</v>
      </c>
      <c r="BR748" t="s">
        <v>74</v>
      </c>
      <c r="BS748" t="s">
        <v>2978</v>
      </c>
      <c r="BT748" t="str">
        <f>HYPERLINK("https%3A%2F%2Fwww.webofscience.com%2Fwos%2Fwoscc%2Ffull-record%2FWOS:000924339000001","View Full Record in Web of Science")</f>
        <v>View Full Record in Web of Science</v>
      </c>
    </row>
    <row r="749" spans="1:72" x14ac:dyDescent="0.4">
      <c r="A749" t="s">
        <v>72</v>
      </c>
      <c r="B749" t="s">
        <v>5614</v>
      </c>
      <c r="C749" t="s">
        <v>74</v>
      </c>
      <c r="D749" t="s">
        <v>74</v>
      </c>
      <c r="E749" t="s">
        <v>74</v>
      </c>
      <c r="F749" t="s">
        <v>5614</v>
      </c>
      <c r="G749" t="s">
        <v>74</v>
      </c>
      <c r="H749" t="s">
        <v>74</v>
      </c>
      <c r="I749" t="s">
        <v>5615</v>
      </c>
      <c r="J749" t="s">
        <v>344</v>
      </c>
      <c r="K749" t="s">
        <v>74</v>
      </c>
      <c r="L749" t="s">
        <v>74</v>
      </c>
      <c r="M749" t="s">
        <v>74</v>
      </c>
      <c r="N749" t="s">
        <v>74</v>
      </c>
      <c r="O749" t="s">
        <v>74</v>
      </c>
      <c r="P749" t="s">
        <v>74</v>
      </c>
      <c r="Q749" t="s">
        <v>74</v>
      </c>
      <c r="R749" t="s">
        <v>74</v>
      </c>
      <c r="S749" t="s">
        <v>74</v>
      </c>
      <c r="T749" t="s">
        <v>74</v>
      </c>
      <c r="U749" t="s">
        <v>74</v>
      </c>
      <c r="V749" s="3" t="s">
        <v>5616</v>
      </c>
      <c r="W749" t="s">
        <v>74</v>
      </c>
      <c r="X749" t="s">
        <v>74</v>
      </c>
      <c r="Y749" t="s">
        <v>74</v>
      </c>
      <c r="Z749" t="s">
        <v>74</v>
      </c>
      <c r="AA749" t="s">
        <v>74</v>
      </c>
      <c r="AB749" t="s">
        <v>74</v>
      </c>
      <c r="AC749" t="s">
        <v>74</v>
      </c>
      <c r="AD749" t="s">
        <v>74</v>
      </c>
      <c r="AE749" t="s">
        <v>74</v>
      </c>
      <c r="AF749" t="s">
        <v>74</v>
      </c>
      <c r="AG749" t="s">
        <v>74</v>
      </c>
      <c r="AH749" t="s">
        <v>74</v>
      </c>
      <c r="AI749" t="s">
        <v>74</v>
      </c>
      <c r="AJ749" t="s">
        <v>74</v>
      </c>
      <c r="AK749" t="s">
        <v>74</v>
      </c>
      <c r="AL749" t="s">
        <v>74</v>
      </c>
      <c r="AM749" t="s">
        <v>74</v>
      </c>
      <c r="AN749" t="s">
        <v>74</v>
      </c>
      <c r="AO749" t="s">
        <v>346</v>
      </c>
      <c r="AP749" t="s">
        <v>74</v>
      </c>
      <c r="AQ749" t="s">
        <v>74</v>
      </c>
      <c r="AR749" t="s">
        <v>74</v>
      </c>
      <c r="AS749" t="s">
        <v>74</v>
      </c>
      <c r="AT749" t="s">
        <v>102</v>
      </c>
      <c r="AU749">
        <v>1994</v>
      </c>
      <c r="AV749">
        <v>40</v>
      </c>
      <c r="AW749">
        <v>2</v>
      </c>
      <c r="AX749" t="s">
        <v>74</v>
      </c>
      <c r="AY749" t="s">
        <v>74</v>
      </c>
      <c r="AZ749" t="s">
        <v>74</v>
      </c>
      <c r="BA749" t="s">
        <v>74</v>
      </c>
      <c r="BB749">
        <v>175</v>
      </c>
      <c r="BC749">
        <v>188</v>
      </c>
      <c r="BD749" t="s">
        <v>74</v>
      </c>
      <c r="BE749" t="s">
        <v>5617</v>
      </c>
      <c r="BF749" t="str">
        <f>HYPERLINK("http://dx.doi.org/10.1007/BF00002544","http://dx.doi.org/10.1007/BF00002544")</f>
        <v>http://dx.doi.org/10.1007/BF00002544</v>
      </c>
      <c r="BG749" t="s">
        <v>74</v>
      </c>
      <c r="BH749" t="s">
        <v>74</v>
      </c>
      <c r="BI749" t="s">
        <v>74</v>
      </c>
      <c r="BJ749" t="s">
        <v>74</v>
      </c>
      <c r="BK749" t="s">
        <v>74</v>
      </c>
      <c r="BL749" t="s">
        <v>74</v>
      </c>
      <c r="BM749" t="s">
        <v>74</v>
      </c>
      <c r="BN749" t="s">
        <v>74</v>
      </c>
      <c r="BO749" t="s">
        <v>74</v>
      </c>
      <c r="BP749" t="s">
        <v>74</v>
      </c>
      <c r="BQ749" t="s">
        <v>74</v>
      </c>
      <c r="BR749" t="s">
        <v>74</v>
      </c>
      <c r="BS749" t="s">
        <v>5618</v>
      </c>
      <c r="BT749" t="str">
        <f>HYPERLINK("https%3A%2F%2Fwww.webofscience.com%2Fwos%2Fwoscc%2Ffull-record%2FWOS:A1994NN69200007","View Full Record in Web of Science")</f>
        <v>View Full Record in Web of Science</v>
      </c>
    </row>
    <row r="750" spans="1:72" x14ac:dyDescent="0.4">
      <c r="A750" t="s">
        <v>72</v>
      </c>
      <c r="B750" t="s">
        <v>6231</v>
      </c>
      <c r="C750" t="s">
        <v>74</v>
      </c>
      <c r="D750" t="s">
        <v>74</v>
      </c>
      <c r="E750" t="s">
        <v>74</v>
      </c>
      <c r="F750" t="s">
        <v>6232</v>
      </c>
      <c r="G750" t="s">
        <v>74</v>
      </c>
      <c r="H750" t="s">
        <v>74</v>
      </c>
      <c r="I750" t="s">
        <v>6233</v>
      </c>
      <c r="J750" t="s">
        <v>218</v>
      </c>
      <c r="K750" t="s">
        <v>74</v>
      </c>
      <c r="L750" t="s">
        <v>74</v>
      </c>
      <c r="M750" t="s">
        <v>74</v>
      </c>
      <c r="N750" t="s">
        <v>74</v>
      </c>
      <c r="O750" t="s">
        <v>74</v>
      </c>
      <c r="P750" t="s">
        <v>74</v>
      </c>
      <c r="Q750" t="s">
        <v>74</v>
      </c>
      <c r="R750" t="s">
        <v>74</v>
      </c>
      <c r="S750" t="s">
        <v>74</v>
      </c>
      <c r="T750" t="s">
        <v>74</v>
      </c>
      <c r="U750" t="s">
        <v>74</v>
      </c>
      <c r="V750" s="3" t="s">
        <v>6234</v>
      </c>
      <c r="W750" t="s">
        <v>74</v>
      </c>
      <c r="X750" t="s">
        <v>74</v>
      </c>
      <c r="Y750" t="s">
        <v>74</v>
      </c>
      <c r="Z750" t="s">
        <v>74</v>
      </c>
      <c r="AA750" t="s">
        <v>6235</v>
      </c>
      <c r="AB750" t="s">
        <v>74</v>
      </c>
      <c r="AC750" t="s">
        <v>74</v>
      </c>
      <c r="AD750" t="s">
        <v>74</v>
      </c>
      <c r="AE750" t="s">
        <v>74</v>
      </c>
      <c r="AF750" t="s">
        <v>74</v>
      </c>
      <c r="AG750" t="s">
        <v>74</v>
      </c>
      <c r="AH750" t="s">
        <v>74</v>
      </c>
      <c r="AI750" t="s">
        <v>74</v>
      </c>
      <c r="AJ750" t="s">
        <v>74</v>
      </c>
      <c r="AK750" t="s">
        <v>74</v>
      </c>
      <c r="AL750" t="s">
        <v>74</v>
      </c>
      <c r="AM750" t="s">
        <v>74</v>
      </c>
      <c r="AN750" t="s">
        <v>74</v>
      </c>
      <c r="AO750" t="s">
        <v>221</v>
      </c>
      <c r="AP750" t="s">
        <v>222</v>
      </c>
      <c r="AQ750" t="s">
        <v>74</v>
      </c>
      <c r="AR750" t="s">
        <v>74</v>
      </c>
      <c r="AS750" t="s">
        <v>74</v>
      </c>
      <c r="AT750" t="s">
        <v>204</v>
      </c>
      <c r="AU750">
        <v>2007</v>
      </c>
      <c r="AV750">
        <v>20</v>
      </c>
      <c r="AW750">
        <v>4</v>
      </c>
      <c r="AX750" t="s">
        <v>74</v>
      </c>
      <c r="AY750" t="s">
        <v>74</v>
      </c>
      <c r="AZ750" t="s">
        <v>74</v>
      </c>
      <c r="BA750" t="s">
        <v>74</v>
      </c>
      <c r="BB750">
        <v>1637</v>
      </c>
      <c r="BC750">
        <v>1648</v>
      </c>
      <c r="BD750" t="s">
        <v>74</v>
      </c>
      <c r="BE750" t="s">
        <v>6236</v>
      </c>
      <c r="BF750" t="str">
        <f>HYPERLINK("http://dx.doi.org/10.1111/j.1420-9101.2007.01297.x","http://dx.doi.org/10.1111/j.1420-9101.2007.01297.x")</f>
        <v>http://dx.doi.org/10.1111/j.1420-9101.2007.01297.x</v>
      </c>
      <c r="BG750" t="s">
        <v>74</v>
      </c>
      <c r="BH750" t="s">
        <v>74</v>
      </c>
      <c r="BI750" t="s">
        <v>74</v>
      </c>
      <c r="BJ750" t="s">
        <v>74</v>
      </c>
      <c r="BK750" t="s">
        <v>74</v>
      </c>
      <c r="BL750" t="s">
        <v>74</v>
      </c>
      <c r="BM750" t="s">
        <v>74</v>
      </c>
      <c r="BN750">
        <v>17584256</v>
      </c>
      <c r="BO750" t="s">
        <v>74</v>
      </c>
      <c r="BP750" t="s">
        <v>74</v>
      </c>
      <c r="BQ750" t="s">
        <v>74</v>
      </c>
      <c r="BR750" t="s">
        <v>74</v>
      </c>
      <c r="BS750" t="s">
        <v>6237</v>
      </c>
      <c r="BT750" t="str">
        <f>HYPERLINK("https%3A%2F%2Fwww.webofscience.com%2Fwos%2Fwoscc%2Ffull-record%2FWOS:000248177600037","View Full Record in Web of Science")</f>
        <v>View Full Record in Web of Science</v>
      </c>
    </row>
    <row r="751" spans="1:72" x14ac:dyDescent="0.4">
      <c r="A751" t="s">
        <v>72</v>
      </c>
      <c r="B751" t="s">
        <v>3783</v>
      </c>
      <c r="C751" t="s">
        <v>74</v>
      </c>
      <c r="D751" t="s">
        <v>74</v>
      </c>
      <c r="E751" t="s">
        <v>74</v>
      </c>
      <c r="F751" t="s">
        <v>3783</v>
      </c>
      <c r="G751" t="s">
        <v>74</v>
      </c>
      <c r="H751" t="s">
        <v>74</v>
      </c>
      <c r="I751" t="s">
        <v>3784</v>
      </c>
      <c r="J751" t="s">
        <v>3785</v>
      </c>
      <c r="K751" t="s">
        <v>74</v>
      </c>
      <c r="L751" t="s">
        <v>74</v>
      </c>
      <c r="M751" t="s">
        <v>74</v>
      </c>
      <c r="N751" t="s">
        <v>74</v>
      </c>
      <c r="O751" t="s">
        <v>74</v>
      </c>
      <c r="P751" t="s">
        <v>74</v>
      </c>
      <c r="Q751" t="s">
        <v>74</v>
      </c>
      <c r="R751" t="s">
        <v>74</v>
      </c>
      <c r="S751" t="s">
        <v>74</v>
      </c>
      <c r="T751" t="s">
        <v>74</v>
      </c>
      <c r="U751" t="s">
        <v>74</v>
      </c>
      <c r="V751" s="3" t="s">
        <v>3786</v>
      </c>
      <c r="W751" t="s">
        <v>74</v>
      </c>
      <c r="X751" t="s">
        <v>74</v>
      </c>
      <c r="Y751" t="s">
        <v>74</v>
      </c>
      <c r="Z751" t="s">
        <v>74</v>
      </c>
      <c r="AA751" t="s">
        <v>74</v>
      </c>
      <c r="AB751" t="s">
        <v>74</v>
      </c>
      <c r="AC751" t="s">
        <v>74</v>
      </c>
      <c r="AD751" t="s">
        <v>74</v>
      </c>
      <c r="AE751" t="s">
        <v>74</v>
      </c>
      <c r="AF751" t="s">
        <v>74</v>
      </c>
      <c r="AG751" t="s">
        <v>74</v>
      </c>
      <c r="AH751" t="s">
        <v>74</v>
      </c>
      <c r="AI751" t="s">
        <v>74</v>
      </c>
      <c r="AJ751" t="s">
        <v>74</v>
      </c>
      <c r="AK751" t="s">
        <v>74</v>
      </c>
      <c r="AL751" t="s">
        <v>74</v>
      </c>
      <c r="AM751" t="s">
        <v>74</v>
      </c>
      <c r="AN751" t="s">
        <v>74</v>
      </c>
      <c r="AO751" t="s">
        <v>3787</v>
      </c>
      <c r="AP751" t="s">
        <v>3788</v>
      </c>
      <c r="AQ751" t="s">
        <v>74</v>
      </c>
      <c r="AR751" t="s">
        <v>74</v>
      </c>
      <c r="AS751" t="s">
        <v>74</v>
      </c>
      <c r="AT751" t="s">
        <v>213</v>
      </c>
      <c r="AU751">
        <v>2002</v>
      </c>
      <c r="AV751">
        <v>47</v>
      </c>
      <c r="AW751">
        <v>11</v>
      </c>
      <c r="AX751" t="s">
        <v>74</v>
      </c>
      <c r="AY751" t="s">
        <v>74</v>
      </c>
      <c r="AZ751" t="s">
        <v>74</v>
      </c>
      <c r="BA751" t="s">
        <v>74</v>
      </c>
      <c r="BB751">
        <v>2039</v>
      </c>
      <c r="BC751">
        <v>2048</v>
      </c>
      <c r="BD751" t="s">
        <v>74</v>
      </c>
      <c r="BE751" t="s">
        <v>3789</v>
      </c>
      <c r="BF751" t="str">
        <f>HYPERLINK("http://dx.doi.org/10.1046/j.1365-2427.2002.00944.x","http://dx.doi.org/10.1046/j.1365-2427.2002.00944.x")</f>
        <v>http://dx.doi.org/10.1046/j.1365-2427.2002.00944.x</v>
      </c>
      <c r="BG751" t="s">
        <v>74</v>
      </c>
      <c r="BH751" t="s">
        <v>74</v>
      </c>
      <c r="BI751" t="s">
        <v>74</v>
      </c>
      <c r="BJ751" t="s">
        <v>74</v>
      </c>
      <c r="BK751" t="s">
        <v>74</v>
      </c>
      <c r="BL751" t="s">
        <v>74</v>
      </c>
      <c r="BM751" t="s">
        <v>74</v>
      </c>
      <c r="BN751" t="s">
        <v>74</v>
      </c>
      <c r="BO751" t="s">
        <v>74</v>
      </c>
      <c r="BP751" t="s">
        <v>74</v>
      </c>
      <c r="BQ751" t="s">
        <v>74</v>
      </c>
      <c r="BR751" t="s">
        <v>74</v>
      </c>
      <c r="BS751" t="s">
        <v>3790</v>
      </c>
      <c r="BT751" t="str">
        <f>HYPERLINK("https%3A%2F%2Fwww.webofscience.com%2Fwos%2Fwoscc%2Ffull-record%2FWOS:000178848300001","View Full Record in Web of Science")</f>
        <v>View Full Record in Web of Science</v>
      </c>
    </row>
    <row r="752" spans="1:72" x14ac:dyDescent="0.4">
      <c r="A752" t="s">
        <v>72</v>
      </c>
      <c r="B752" t="s">
        <v>8452</v>
      </c>
      <c r="C752" t="s">
        <v>74</v>
      </c>
      <c r="D752" t="s">
        <v>74</v>
      </c>
      <c r="E752" t="s">
        <v>74</v>
      </c>
      <c r="F752" t="s">
        <v>8452</v>
      </c>
      <c r="G752" t="s">
        <v>74</v>
      </c>
      <c r="H752" t="s">
        <v>74</v>
      </c>
      <c r="I752" t="s">
        <v>8453</v>
      </c>
      <c r="J752" t="s">
        <v>4655</v>
      </c>
      <c r="K752" t="s">
        <v>74</v>
      </c>
      <c r="L752" t="s">
        <v>74</v>
      </c>
      <c r="M752" t="s">
        <v>74</v>
      </c>
      <c r="N752" t="s">
        <v>74</v>
      </c>
      <c r="O752" t="s">
        <v>74</v>
      </c>
      <c r="P752" t="s">
        <v>74</v>
      </c>
      <c r="Q752" t="s">
        <v>74</v>
      </c>
      <c r="R752" t="s">
        <v>74</v>
      </c>
      <c r="S752" t="s">
        <v>74</v>
      </c>
      <c r="T752" t="s">
        <v>74</v>
      </c>
      <c r="U752" t="s">
        <v>74</v>
      </c>
      <c r="V752" s="3" t="s">
        <v>8454</v>
      </c>
      <c r="W752" t="s">
        <v>74</v>
      </c>
      <c r="X752" t="s">
        <v>74</v>
      </c>
      <c r="Y752" t="s">
        <v>74</v>
      </c>
      <c r="Z752" t="s">
        <v>74</v>
      </c>
      <c r="AA752" t="s">
        <v>8455</v>
      </c>
      <c r="AB752" t="s">
        <v>8456</v>
      </c>
      <c r="AC752" t="s">
        <v>74</v>
      </c>
      <c r="AD752" t="s">
        <v>74</v>
      </c>
      <c r="AE752" t="s">
        <v>74</v>
      </c>
      <c r="AF752" t="s">
        <v>74</v>
      </c>
      <c r="AG752" t="s">
        <v>74</v>
      </c>
      <c r="AH752" t="s">
        <v>74</v>
      </c>
      <c r="AI752" t="s">
        <v>74</v>
      </c>
      <c r="AJ752" t="s">
        <v>74</v>
      </c>
      <c r="AK752" t="s">
        <v>74</v>
      </c>
      <c r="AL752" t="s">
        <v>74</v>
      </c>
      <c r="AM752" t="s">
        <v>74</v>
      </c>
      <c r="AN752" t="s">
        <v>74</v>
      </c>
      <c r="AO752" t="s">
        <v>4657</v>
      </c>
      <c r="AP752" t="s">
        <v>74</v>
      </c>
      <c r="AQ752" t="s">
        <v>74</v>
      </c>
      <c r="AR752" t="s">
        <v>74</v>
      </c>
      <c r="AS752" t="s">
        <v>74</v>
      </c>
      <c r="AT752" t="s">
        <v>123</v>
      </c>
      <c r="AU752">
        <v>2002</v>
      </c>
      <c r="AV752">
        <v>114</v>
      </c>
      <c r="AW752">
        <v>1</v>
      </c>
      <c r="AX752" t="s">
        <v>74</v>
      </c>
      <c r="AY752" t="s">
        <v>74</v>
      </c>
      <c r="AZ752" t="s">
        <v>74</v>
      </c>
      <c r="BA752" t="s">
        <v>74</v>
      </c>
      <c r="BB752">
        <v>106</v>
      </c>
      <c r="BC752">
        <v>113</v>
      </c>
      <c r="BD752" t="s">
        <v>74</v>
      </c>
      <c r="BE752" t="s">
        <v>8457</v>
      </c>
      <c r="BF752" t="str">
        <f>HYPERLINK("http://dx.doi.org/10.1676/0043-5643(2002)114[0106:OPITLW]2.0.CO;2","http://dx.doi.org/10.1676/0043-5643(2002)114[0106:OPITLW]2.0.CO;2")</f>
        <v>http://dx.doi.org/10.1676/0043-5643(2002)114[0106:OPITLW]2.0.CO;2</v>
      </c>
      <c r="BG752" t="s">
        <v>74</v>
      </c>
      <c r="BH752" t="s">
        <v>74</v>
      </c>
      <c r="BI752" t="s">
        <v>74</v>
      </c>
      <c r="BJ752" t="s">
        <v>74</v>
      </c>
      <c r="BK752" t="s">
        <v>74</v>
      </c>
      <c r="BL752" t="s">
        <v>74</v>
      </c>
      <c r="BM752" t="s">
        <v>74</v>
      </c>
      <c r="BN752" t="s">
        <v>74</v>
      </c>
      <c r="BO752" t="s">
        <v>74</v>
      </c>
      <c r="BP752" t="s">
        <v>74</v>
      </c>
      <c r="BQ752" t="s">
        <v>74</v>
      </c>
      <c r="BR752" t="s">
        <v>74</v>
      </c>
      <c r="BS752" t="s">
        <v>8458</v>
      </c>
      <c r="BT752" t="str">
        <f>HYPERLINK("https%3A%2F%2Fwww.webofscience.com%2Fwos%2Fwoscc%2Ffull-record%2FWOS:000178580800010","View Full Record in Web of Science")</f>
        <v>View Full Record in Web of Science</v>
      </c>
    </row>
    <row r="753" spans="1:72" x14ac:dyDescent="0.4">
      <c r="A753" t="s">
        <v>72</v>
      </c>
      <c r="B753" t="s">
        <v>6940</v>
      </c>
      <c r="C753" t="s">
        <v>74</v>
      </c>
      <c r="D753" t="s">
        <v>74</v>
      </c>
      <c r="E753" t="s">
        <v>74</v>
      </c>
      <c r="F753" t="s">
        <v>6940</v>
      </c>
      <c r="G753" t="s">
        <v>74</v>
      </c>
      <c r="H753" t="s">
        <v>74</v>
      </c>
      <c r="I753" t="s">
        <v>6941</v>
      </c>
      <c r="J753" t="s">
        <v>129</v>
      </c>
      <c r="K753" t="s">
        <v>74</v>
      </c>
      <c r="L753" t="s">
        <v>74</v>
      </c>
      <c r="M753" t="s">
        <v>74</v>
      </c>
      <c r="N753" t="s">
        <v>74</v>
      </c>
      <c r="O753" t="s">
        <v>74</v>
      </c>
      <c r="P753" t="s">
        <v>74</v>
      </c>
      <c r="Q753" t="s">
        <v>74</v>
      </c>
      <c r="R753" t="s">
        <v>74</v>
      </c>
      <c r="S753" t="s">
        <v>74</v>
      </c>
      <c r="T753" t="s">
        <v>74</v>
      </c>
      <c r="U753" t="s">
        <v>74</v>
      </c>
      <c r="V753" s="3" t="s">
        <v>6942</v>
      </c>
      <c r="W753" t="s">
        <v>74</v>
      </c>
      <c r="X753" t="s">
        <v>74</v>
      </c>
      <c r="Y753" t="s">
        <v>74</v>
      </c>
      <c r="Z753" t="s">
        <v>74</v>
      </c>
      <c r="AA753" t="s">
        <v>74</v>
      </c>
      <c r="AB753" t="s">
        <v>74</v>
      </c>
      <c r="AC753" t="s">
        <v>74</v>
      </c>
      <c r="AD753" t="s">
        <v>74</v>
      </c>
      <c r="AE753" t="s">
        <v>74</v>
      </c>
      <c r="AF753" t="s">
        <v>74</v>
      </c>
      <c r="AG753" t="s">
        <v>74</v>
      </c>
      <c r="AH753" t="s">
        <v>74</v>
      </c>
      <c r="AI753" t="s">
        <v>74</v>
      </c>
      <c r="AJ753" t="s">
        <v>74</v>
      </c>
      <c r="AK753" t="s">
        <v>74</v>
      </c>
      <c r="AL753" t="s">
        <v>74</v>
      </c>
      <c r="AM753" t="s">
        <v>74</v>
      </c>
      <c r="AN753" t="s">
        <v>74</v>
      </c>
      <c r="AO753" t="s">
        <v>132</v>
      </c>
      <c r="AP753" t="s">
        <v>133</v>
      </c>
      <c r="AQ753" t="s">
        <v>74</v>
      </c>
      <c r="AR753" t="s">
        <v>74</v>
      </c>
      <c r="AS753" t="s">
        <v>74</v>
      </c>
      <c r="AT753" t="s">
        <v>74</v>
      </c>
      <c r="AU753">
        <v>1989</v>
      </c>
      <c r="AV753">
        <v>25</v>
      </c>
      <c r="AW753">
        <v>1</v>
      </c>
      <c r="AX753" t="s">
        <v>74</v>
      </c>
      <c r="AY753" t="s">
        <v>74</v>
      </c>
      <c r="AZ753" t="s">
        <v>74</v>
      </c>
      <c r="BA753" t="s">
        <v>74</v>
      </c>
      <c r="BB753">
        <v>23</v>
      </c>
      <c r="BC753">
        <v>31</v>
      </c>
      <c r="BD753" t="s">
        <v>74</v>
      </c>
      <c r="BE753" t="s">
        <v>6943</v>
      </c>
      <c r="BF753" t="str">
        <f>HYPERLINK("http://dx.doi.org/10.1007/BF00299707","http://dx.doi.org/10.1007/BF00299707")</f>
        <v>http://dx.doi.org/10.1007/BF00299707</v>
      </c>
      <c r="BG753" t="s">
        <v>74</v>
      </c>
      <c r="BH753" t="s">
        <v>74</v>
      </c>
      <c r="BI753" t="s">
        <v>74</v>
      </c>
      <c r="BJ753" t="s">
        <v>74</v>
      </c>
      <c r="BK753" t="s">
        <v>74</v>
      </c>
      <c r="BL753" t="s">
        <v>74</v>
      </c>
      <c r="BM753" t="s">
        <v>74</v>
      </c>
      <c r="BN753" t="s">
        <v>74</v>
      </c>
      <c r="BO753" t="s">
        <v>74</v>
      </c>
      <c r="BP753" t="s">
        <v>74</v>
      </c>
      <c r="BQ753" t="s">
        <v>74</v>
      </c>
      <c r="BR753" t="s">
        <v>74</v>
      </c>
      <c r="BS753" t="s">
        <v>6944</v>
      </c>
      <c r="BT753" t="str">
        <f>HYPERLINK("https%3A%2F%2Fwww.webofscience.com%2Fwos%2Fwoscc%2Ffull-record%2FWOS:A1989AJ00400003","View Full Record in Web of Science")</f>
        <v>View Full Record in Web of Science</v>
      </c>
    </row>
    <row r="754" spans="1:72" x14ac:dyDescent="0.4">
      <c r="A754" t="s">
        <v>72</v>
      </c>
      <c r="B754" t="s">
        <v>8050</v>
      </c>
      <c r="C754" t="s">
        <v>74</v>
      </c>
      <c r="D754" t="s">
        <v>74</v>
      </c>
      <c r="E754" t="s">
        <v>74</v>
      </c>
      <c r="F754" t="s">
        <v>8051</v>
      </c>
      <c r="G754" t="s">
        <v>74</v>
      </c>
      <c r="H754" t="s">
        <v>74</v>
      </c>
      <c r="I754" t="s">
        <v>8052</v>
      </c>
      <c r="J754" t="s">
        <v>431</v>
      </c>
      <c r="K754" t="s">
        <v>74</v>
      </c>
      <c r="L754" t="s">
        <v>74</v>
      </c>
      <c r="M754" t="s">
        <v>74</v>
      </c>
      <c r="N754" t="s">
        <v>74</v>
      </c>
      <c r="O754" t="s">
        <v>74</v>
      </c>
      <c r="P754" t="s">
        <v>74</v>
      </c>
      <c r="Q754" t="s">
        <v>74</v>
      </c>
      <c r="R754" t="s">
        <v>74</v>
      </c>
      <c r="S754" t="s">
        <v>74</v>
      </c>
      <c r="T754" t="s">
        <v>74</v>
      </c>
      <c r="U754" t="s">
        <v>74</v>
      </c>
      <c r="V754" s="3" t="s">
        <v>8053</v>
      </c>
      <c r="W754" t="s">
        <v>74</v>
      </c>
      <c r="X754" t="s">
        <v>74</v>
      </c>
      <c r="Y754" t="s">
        <v>74</v>
      </c>
      <c r="Z754" t="s">
        <v>74</v>
      </c>
      <c r="AA754" t="s">
        <v>8054</v>
      </c>
      <c r="AB754" t="s">
        <v>8055</v>
      </c>
      <c r="AC754" t="s">
        <v>74</v>
      </c>
      <c r="AD754" t="s">
        <v>74</v>
      </c>
      <c r="AE754" t="s">
        <v>74</v>
      </c>
      <c r="AF754" t="s">
        <v>74</v>
      </c>
      <c r="AG754" t="s">
        <v>74</v>
      </c>
      <c r="AH754" t="s">
        <v>74</v>
      </c>
      <c r="AI754" t="s">
        <v>74</v>
      </c>
      <c r="AJ754" t="s">
        <v>74</v>
      </c>
      <c r="AK754" t="s">
        <v>74</v>
      </c>
      <c r="AL754" t="s">
        <v>74</v>
      </c>
      <c r="AM754" t="s">
        <v>74</v>
      </c>
      <c r="AN754" t="s">
        <v>74</v>
      </c>
      <c r="AO754" t="s">
        <v>1458</v>
      </c>
      <c r="AP754" t="s">
        <v>435</v>
      </c>
      <c r="AQ754" t="s">
        <v>74</v>
      </c>
      <c r="AR754" t="s">
        <v>74</v>
      </c>
      <c r="AS754" t="s">
        <v>74</v>
      </c>
      <c r="AT754" t="s">
        <v>633</v>
      </c>
      <c r="AU754">
        <v>2007</v>
      </c>
      <c r="AV754">
        <v>124</v>
      </c>
      <c r="AW754">
        <v>2</v>
      </c>
      <c r="AX754" t="s">
        <v>74</v>
      </c>
      <c r="AY754" t="s">
        <v>74</v>
      </c>
      <c r="AZ754" t="s">
        <v>74</v>
      </c>
      <c r="BA754" t="s">
        <v>74</v>
      </c>
      <c r="BB754">
        <v>619</v>
      </c>
      <c r="BC754">
        <v>627</v>
      </c>
      <c r="BD754" t="s">
        <v>74</v>
      </c>
      <c r="BE754" t="s">
        <v>8056</v>
      </c>
      <c r="BF754" t="str">
        <f>HYPERLINK("http://dx.doi.org/10.1093/auk/124.2.619","http://dx.doi.org/10.1093/auk/124.2.619")</f>
        <v>http://dx.doi.org/10.1093/auk/124.2.619</v>
      </c>
      <c r="BG754" t="s">
        <v>74</v>
      </c>
      <c r="BH754" t="s">
        <v>74</v>
      </c>
      <c r="BI754" t="s">
        <v>74</v>
      </c>
      <c r="BJ754" t="s">
        <v>74</v>
      </c>
      <c r="BK754" t="s">
        <v>74</v>
      </c>
      <c r="BL754" t="s">
        <v>74</v>
      </c>
      <c r="BM754" t="s">
        <v>74</v>
      </c>
      <c r="BN754" t="s">
        <v>74</v>
      </c>
      <c r="BO754" t="s">
        <v>74</v>
      </c>
      <c r="BP754" t="s">
        <v>74</v>
      </c>
      <c r="BQ754" t="s">
        <v>74</v>
      </c>
      <c r="BR754" t="s">
        <v>74</v>
      </c>
      <c r="BS754" t="s">
        <v>8057</v>
      </c>
      <c r="BT754" t="str">
        <f>HYPERLINK("https%3A%2F%2Fwww.webofscience.com%2Fwos%2Fwoscc%2Ffull-record%2FWOS:000246596400020","View Full Record in Web of Science")</f>
        <v>View Full Record in Web of Science</v>
      </c>
    </row>
    <row r="755" spans="1:72" x14ac:dyDescent="0.4">
      <c r="A755" t="s">
        <v>72</v>
      </c>
      <c r="B755" t="s">
        <v>7175</v>
      </c>
      <c r="C755" t="s">
        <v>74</v>
      </c>
      <c r="D755" t="s">
        <v>74</v>
      </c>
      <c r="E755" t="s">
        <v>74</v>
      </c>
      <c r="F755" t="s">
        <v>7176</v>
      </c>
      <c r="G755" t="s">
        <v>74</v>
      </c>
      <c r="H755" t="s">
        <v>74</v>
      </c>
      <c r="I755" t="s">
        <v>7177</v>
      </c>
      <c r="J755" t="s">
        <v>763</v>
      </c>
      <c r="K755" t="s">
        <v>74</v>
      </c>
      <c r="L755" t="s">
        <v>74</v>
      </c>
      <c r="M755" t="s">
        <v>74</v>
      </c>
      <c r="N755" t="s">
        <v>74</v>
      </c>
      <c r="O755" t="s">
        <v>74</v>
      </c>
      <c r="P755" t="s">
        <v>74</v>
      </c>
      <c r="Q755" t="s">
        <v>74</v>
      </c>
      <c r="R755" t="s">
        <v>74</v>
      </c>
      <c r="S755" t="s">
        <v>74</v>
      </c>
      <c r="T755" t="s">
        <v>74</v>
      </c>
      <c r="U755" t="s">
        <v>74</v>
      </c>
      <c r="V755" s="3" t="s">
        <v>7178</v>
      </c>
      <c r="W755" t="s">
        <v>74</v>
      </c>
      <c r="X755" t="s">
        <v>74</v>
      </c>
      <c r="Y755" t="s">
        <v>74</v>
      </c>
      <c r="Z755" t="s">
        <v>74</v>
      </c>
      <c r="AA755" t="s">
        <v>7179</v>
      </c>
      <c r="AB755" t="s">
        <v>7180</v>
      </c>
      <c r="AC755" t="s">
        <v>74</v>
      </c>
      <c r="AD755" t="s">
        <v>74</v>
      </c>
      <c r="AE755" t="s">
        <v>74</v>
      </c>
      <c r="AF755" t="s">
        <v>74</v>
      </c>
      <c r="AG755" t="s">
        <v>74</v>
      </c>
      <c r="AH755" t="s">
        <v>74</v>
      </c>
      <c r="AI755" t="s">
        <v>74</v>
      </c>
      <c r="AJ755" t="s">
        <v>74</v>
      </c>
      <c r="AK755" t="s">
        <v>74</v>
      </c>
      <c r="AL755" t="s">
        <v>74</v>
      </c>
      <c r="AM755" t="s">
        <v>74</v>
      </c>
      <c r="AN755" t="s">
        <v>74</v>
      </c>
      <c r="AO755" t="s">
        <v>767</v>
      </c>
      <c r="AP755" t="s">
        <v>768</v>
      </c>
      <c r="AQ755" t="s">
        <v>74</v>
      </c>
      <c r="AR755" t="s">
        <v>74</v>
      </c>
      <c r="AS755" t="s">
        <v>74</v>
      </c>
      <c r="AT755" t="s">
        <v>102</v>
      </c>
      <c r="AU755">
        <v>2022</v>
      </c>
      <c r="AV755">
        <v>225</v>
      </c>
      <c r="AW755">
        <v>11</v>
      </c>
      <c r="AX755" t="s">
        <v>74</v>
      </c>
      <c r="AY755" t="s">
        <v>74</v>
      </c>
      <c r="AZ755" t="s">
        <v>74</v>
      </c>
      <c r="BA755" t="s">
        <v>74</v>
      </c>
      <c r="BB755" t="s">
        <v>74</v>
      </c>
      <c r="BC755" t="s">
        <v>74</v>
      </c>
      <c r="BD755" t="s">
        <v>7181</v>
      </c>
      <c r="BE755" t="s">
        <v>7182</v>
      </c>
      <c r="BF755" t="str">
        <f>HYPERLINK("http://dx.doi.org/10.1242/jeb.244317","http://dx.doi.org/10.1242/jeb.244317")</f>
        <v>http://dx.doi.org/10.1242/jeb.244317</v>
      </c>
      <c r="BG755" t="s">
        <v>74</v>
      </c>
      <c r="BH755" t="s">
        <v>74</v>
      </c>
      <c r="BI755" t="s">
        <v>74</v>
      </c>
      <c r="BJ755" t="s">
        <v>74</v>
      </c>
      <c r="BK755" t="s">
        <v>74</v>
      </c>
      <c r="BL755" t="s">
        <v>74</v>
      </c>
      <c r="BM755" t="s">
        <v>74</v>
      </c>
      <c r="BN755">
        <v>35582824</v>
      </c>
      <c r="BO755" t="s">
        <v>74</v>
      </c>
      <c r="BP755" t="s">
        <v>74</v>
      </c>
      <c r="BQ755" t="s">
        <v>74</v>
      </c>
      <c r="BR755" t="s">
        <v>74</v>
      </c>
      <c r="BS755" t="s">
        <v>7183</v>
      </c>
      <c r="BT755" t="str">
        <f>HYPERLINK("https%3A%2F%2Fwww.webofscience.com%2Fwos%2Fwoscc%2Ffull-record%2FWOS:000811278900021","View Full Record in Web of Science")</f>
        <v>View Full Record in Web of Science</v>
      </c>
    </row>
    <row r="756" spans="1:72" x14ac:dyDescent="0.4">
      <c r="A756" t="s">
        <v>72</v>
      </c>
      <c r="B756" t="s">
        <v>7039</v>
      </c>
      <c r="C756" t="s">
        <v>74</v>
      </c>
      <c r="D756" t="s">
        <v>74</v>
      </c>
      <c r="E756" t="s">
        <v>74</v>
      </c>
      <c r="F756" t="s">
        <v>7040</v>
      </c>
      <c r="G756" t="s">
        <v>74</v>
      </c>
      <c r="H756" t="s">
        <v>74</v>
      </c>
      <c r="I756" t="s">
        <v>7041</v>
      </c>
      <c r="J756" t="s">
        <v>129</v>
      </c>
      <c r="K756" t="s">
        <v>74</v>
      </c>
      <c r="L756" t="s">
        <v>74</v>
      </c>
      <c r="M756" t="s">
        <v>74</v>
      </c>
      <c r="N756" t="s">
        <v>74</v>
      </c>
      <c r="O756" t="s">
        <v>74</v>
      </c>
      <c r="P756" t="s">
        <v>74</v>
      </c>
      <c r="Q756" t="s">
        <v>74</v>
      </c>
      <c r="R756" t="s">
        <v>74</v>
      </c>
      <c r="S756" t="s">
        <v>74</v>
      </c>
      <c r="T756" t="s">
        <v>74</v>
      </c>
      <c r="U756" t="s">
        <v>74</v>
      </c>
      <c r="V756" s="3" t="s">
        <v>7042</v>
      </c>
      <c r="W756" t="s">
        <v>74</v>
      </c>
      <c r="X756" t="s">
        <v>74</v>
      </c>
      <c r="Y756" t="s">
        <v>74</v>
      </c>
      <c r="Z756" t="s">
        <v>74</v>
      </c>
      <c r="AA756" t="s">
        <v>7043</v>
      </c>
      <c r="AB756" t="s">
        <v>7044</v>
      </c>
      <c r="AC756" t="s">
        <v>74</v>
      </c>
      <c r="AD756" t="s">
        <v>74</v>
      </c>
      <c r="AE756" t="s">
        <v>74</v>
      </c>
      <c r="AF756" t="s">
        <v>74</v>
      </c>
      <c r="AG756" t="s">
        <v>74</v>
      </c>
      <c r="AH756" t="s">
        <v>74</v>
      </c>
      <c r="AI756" t="s">
        <v>74</v>
      </c>
      <c r="AJ756" t="s">
        <v>74</v>
      </c>
      <c r="AK756" t="s">
        <v>74</v>
      </c>
      <c r="AL756" t="s">
        <v>74</v>
      </c>
      <c r="AM756" t="s">
        <v>74</v>
      </c>
      <c r="AN756" t="s">
        <v>74</v>
      </c>
      <c r="AO756" t="s">
        <v>132</v>
      </c>
      <c r="AP756" t="s">
        <v>133</v>
      </c>
      <c r="AQ756" t="s">
        <v>74</v>
      </c>
      <c r="AR756" t="s">
        <v>74</v>
      </c>
      <c r="AS756" t="s">
        <v>74</v>
      </c>
      <c r="AT756" t="s">
        <v>204</v>
      </c>
      <c r="AU756">
        <v>2019</v>
      </c>
      <c r="AV756">
        <v>73</v>
      </c>
      <c r="AW756">
        <v>7</v>
      </c>
      <c r="AX756" t="s">
        <v>74</v>
      </c>
      <c r="AY756" t="s">
        <v>74</v>
      </c>
      <c r="AZ756" t="s">
        <v>74</v>
      </c>
      <c r="BA756" t="s">
        <v>74</v>
      </c>
      <c r="BB756" t="s">
        <v>74</v>
      </c>
      <c r="BC756" t="s">
        <v>74</v>
      </c>
      <c r="BD756">
        <v>98</v>
      </c>
      <c r="BE756" t="s">
        <v>7045</v>
      </c>
      <c r="BF756" t="str">
        <f>HYPERLINK("http://dx.doi.org/10.1007/s00265-019-2710-z","http://dx.doi.org/10.1007/s00265-019-2710-z")</f>
        <v>http://dx.doi.org/10.1007/s00265-019-2710-z</v>
      </c>
      <c r="BG756" t="s">
        <v>74</v>
      </c>
      <c r="BH756" t="s">
        <v>74</v>
      </c>
      <c r="BI756" t="s">
        <v>74</v>
      </c>
      <c r="BJ756" t="s">
        <v>74</v>
      </c>
      <c r="BK756" t="s">
        <v>74</v>
      </c>
      <c r="BL756" t="s">
        <v>74</v>
      </c>
      <c r="BM756" t="s">
        <v>74</v>
      </c>
      <c r="BN756" t="s">
        <v>74</v>
      </c>
      <c r="BO756" t="s">
        <v>74</v>
      </c>
      <c r="BP756" t="s">
        <v>74</v>
      </c>
      <c r="BQ756" t="s">
        <v>74</v>
      </c>
      <c r="BR756" t="s">
        <v>74</v>
      </c>
      <c r="BS756" t="s">
        <v>7046</v>
      </c>
      <c r="BT756" t="str">
        <f>HYPERLINK("https%3A%2F%2Fwww.webofscience.com%2Fwos%2Fwoscc%2Ffull-record%2FWOS:000473131000001","View Full Record in Web of Science")</f>
        <v>View Full Record in Web of Science</v>
      </c>
    </row>
    <row r="757" spans="1:72" x14ac:dyDescent="0.4">
      <c r="A757" t="s">
        <v>72</v>
      </c>
      <c r="B757" t="s">
        <v>4833</v>
      </c>
      <c r="C757" t="s">
        <v>74</v>
      </c>
      <c r="D757" t="s">
        <v>74</v>
      </c>
      <c r="E757" t="s">
        <v>74</v>
      </c>
      <c r="F757" t="s">
        <v>4834</v>
      </c>
      <c r="G757" t="s">
        <v>74</v>
      </c>
      <c r="H757" t="s">
        <v>74</v>
      </c>
      <c r="I757" t="s">
        <v>4835</v>
      </c>
      <c r="J757" t="s">
        <v>4836</v>
      </c>
      <c r="K757" t="s">
        <v>74</v>
      </c>
      <c r="L757" t="s">
        <v>74</v>
      </c>
      <c r="M757" t="s">
        <v>74</v>
      </c>
      <c r="N757" t="s">
        <v>74</v>
      </c>
      <c r="O757" t="s">
        <v>74</v>
      </c>
      <c r="P757" t="s">
        <v>74</v>
      </c>
      <c r="Q757" t="s">
        <v>74</v>
      </c>
      <c r="R757" t="s">
        <v>74</v>
      </c>
      <c r="S757" t="s">
        <v>74</v>
      </c>
      <c r="T757" t="s">
        <v>74</v>
      </c>
      <c r="U757" t="s">
        <v>74</v>
      </c>
      <c r="V757" s="3" t="s">
        <v>4837</v>
      </c>
      <c r="W757" t="s">
        <v>74</v>
      </c>
      <c r="X757" t="s">
        <v>74</v>
      </c>
      <c r="Y757" t="s">
        <v>74</v>
      </c>
      <c r="Z757" t="s">
        <v>74</v>
      </c>
      <c r="AA757" t="s">
        <v>4838</v>
      </c>
      <c r="AB757" t="s">
        <v>4839</v>
      </c>
      <c r="AC757" t="s">
        <v>74</v>
      </c>
      <c r="AD757" t="s">
        <v>74</v>
      </c>
      <c r="AE757" t="s">
        <v>74</v>
      </c>
      <c r="AF757" t="s">
        <v>74</v>
      </c>
      <c r="AG757" t="s">
        <v>74</v>
      </c>
      <c r="AH757" t="s">
        <v>74</v>
      </c>
      <c r="AI757" t="s">
        <v>74</v>
      </c>
      <c r="AJ757" t="s">
        <v>74</v>
      </c>
      <c r="AK757" t="s">
        <v>74</v>
      </c>
      <c r="AL757" t="s">
        <v>74</v>
      </c>
      <c r="AM757" t="s">
        <v>74</v>
      </c>
      <c r="AN757" t="s">
        <v>74</v>
      </c>
      <c r="AO757" t="s">
        <v>4840</v>
      </c>
      <c r="AP757" t="s">
        <v>74</v>
      </c>
      <c r="AQ757" t="s">
        <v>74</v>
      </c>
      <c r="AR757" t="s">
        <v>74</v>
      </c>
      <c r="AS757" t="s">
        <v>74</v>
      </c>
      <c r="AT757" t="s">
        <v>4841</v>
      </c>
      <c r="AU757">
        <v>2023</v>
      </c>
      <c r="AV757">
        <v>73</v>
      </c>
      <c r="AW757" t="s">
        <v>74</v>
      </c>
      <c r="AX757" t="s">
        <v>74</v>
      </c>
      <c r="AY757" t="s">
        <v>74</v>
      </c>
      <c r="AZ757" t="s">
        <v>74</v>
      </c>
      <c r="BA757" t="s">
        <v>74</v>
      </c>
      <c r="BB757">
        <v>1</v>
      </c>
      <c r="BC757">
        <v>21</v>
      </c>
      <c r="BD757" t="s">
        <v>74</v>
      </c>
      <c r="BE757" t="s">
        <v>4842</v>
      </c>
      <c r="BF757" t="str">
        <f>HYPERLINK("http://dx.doi.org/10.3897/vz.73.e97002","http://dx.doi.org/10.3897/vz.73.e97002")</f>
        <v>http://dx.doi.org/10.3897/vz.73.e97002</v>
      </c>
      <c r="BG757" t="s">
        <v>74</v>
      </c>
      <c r="BH757" t="s">
        <v>74</v>
      </c>
      <c r="BI757" t="s">
        <v>74</v>
      </c>
      <c r="BJ757" t="s">
        <v>74</v>
      </c>
      <c r="BK757" t="s">
        <v>74</v>
      </c>
      <c r="BL757" t="s">
        <v>74</v>
      </c>
      <c r="BM757" t="s">
        <v>74</v>
      </c>
      <c r="BN757" t="s">
        <v>74</v>
      </c>
      <c r="BO757" t="s">
        <v>74</v>
      </c>
      <c r="BP757" t="s">
        <v>74</v>
      </c>
      <c r="BQ757" t="s">
        <v>74</v>
      </c>
      <c r="BR757" t="s">
        <v>74</v>
      </c>
      <c r="BS757" t="s">
        <v>4843</v>
      </c>
      <c r="BT757" t="str">
        <f>HYPERLINK("https%3A%2F%2Fwww.webofscience.com%2Fwos%2Fwoscc%2Ffull-record%2FWOS:000960500300001","View Full Record in Web of Science")</f>
        <v>View Full Record in Web of Science</v>
      </c>
    </row>
    <row r="758" spans="1:72" x14ac:dyDescent="0.4">
      <c r="A758" t="s">
        <v>72</v>
      </c>
      <c r="B758" t="s">
        <v>2620</v>
      </c>
      <c r="C758" t="s">
        <v>74</v>
      </c>
      <c r="D758" t="s">
        <v>74</v>
      </c>
      <c r="E758" t="s">
        <v>74</v>
      </c>
      <c r="F758" t="s">
        <v>2621</v>
      </c>
      <c r="G758" t="s">
        <v>74</v>
      </c>
      <c r="H758" t="s">
        <v>74</v>
      </c>
      <c r="I758" t="s">
        <v>2622</v>
      </c>
      <c r="J758" t="s">
        <v>129</v>
      </c>
      <c r="K758" t="s">
        <v>74</v>
      </c>
      <c r="L758" t="s">
        <v>74</v>
      </c>
      <c r="M758" t="s">
        <v>74</v>
      </c>
      <c r="N758" t="s">
        <v>74</v>
      </c>
      <c r="O758" t="s">
        <v>74</v>
      </c>
      <c r="P758" t="s">
        <v>74</v>
      </c>
      <c r="Q758" t="s">
        <v>74</v>
      </c>
      <c r="R758" t="s">
        <v>74</v>
      </c>
      <c r="S758" t="s">
        <v>74</v>
      </c>
      <c r="T758" t="s">
        <v>74</v>
      </c>
      <c r="U758" t="s">
        <v>74</v>
      </c>
      <c r="V758" s="3" t="s">
        <v>2623</v>
      </c>
      <c r="W758" t="s">
        <v>74</v>
      </c>
      <c r="X758" t="s">
        <v>74</v>
      </c>
      <c r="Y758" t="s">
        <v>74</v>
      </c>
      <c r="Z758" t="s">
        <v>74</v>
      </c>
      <c r="AA758" t="s">
        <v>74</v>
      </c>
      <c r="AB758" t="s">
        <v>2624</v>
      </c>
      <c r="AC758" t="s">
        <v>74</v>
      </c>
      <c r="AD758" t="s">
        <v>74</v>
      </c>
      <c r="AE758" t="s">
        <v>74</v>
      </c>
      <c r="AF758" t="s">
        <v>74</v>
      </c>
      <c r="AG758" t="s">
        <v>74</v>
      </c>
      <c r="AH758" t="s">
        <v>74</v>
      </c>
      <c r="AI758" t="s">
        <v>74</v>
      </c>
      <c r="AJ758" t="s">
        <v>74</v>
      </c>
      <c r="AK758" t="s">
        <v>74</v>
      </c>
      <c r="AL758" t="s">
        <v>74</v>
      </c>
      <c r="AM758" t="s">
        <v>74</v>
      </c>
      <c r="AN758" t="s">
        <v>74</v>
      </c>
      <c r="AO758" t="s">
        <v>132</v>
      </c>
      <c r="AP758" t="s">
        <v>133</v>
      </c>
      <c r="AQ758" t="s">
        <v>74</v>
      </c>
      <c r="AR758" t="s">
        <v>74</v>
      </c>
      <c r="AS758" t="s">
        <v>74</v>
      </c>
      <c r="AT758" t="s">
        <v>175</v>
      </c>
      <c r="AU758">
        <v>2023</v>
      </c>
      <c r="AV758">
        <v>77</v>
      </c>
      <c r="AW758">
        <v>10</v>
      </c>
      <c r="AX758" t="s">
        <v>74</v>
      </c>
      <c r="AY758" t="s">
        <v>74</v>
      </c>
      <c r="AZ758" t="s">
        <v>74</v>
      </c>
      <c r="BA758" t="s">
        <v>74</v>
      </c>
      <c r="BB758" t="s">
        <v>74</v>
      </c>
      <c r="BC758" t="s">
        <v>74</v>
      </c>
      <c r="BD758">
        <v>116</v>
      </c>
      <c r="BE758" t="s">
        <v>2625</v>
      </c>
      <c r="BF758" t="str">
        <f>HYPERLINK("http://dx.doi.org/10.1007/s00265-023-03389-5","http://dx.doi.org/10.1007/s00265-023-03389-5")</f>
        <v>http://dx.doi.org/10.1007/s00265-023-03389-5</v>
      </c>
      <c r="BG758" t="s">
        <v>74</v>
      </c>
      <c r="BH758" t="s">
        <v>74</v>
      </c>
      <c r="BI758" t="s">
        <v>74</v>
      </c>
      <c r="BJ758" t="s">
        <v>74</v>
      </c>
      <c r="BK758" t="s">
        <v>74</v>
      </c>
      <c r="BL758" t="s">
        <v>74</v>
      </c>
      <c r="BM758" t="s">
        <v>74</v>
      </c>
      <c r="BN758" t="s">
        <v>74</v>
      </c>
      <c r="BO758" t="s">
        <v>74</v>
      </c>
      <c r="BP758" t="s">
        <v>74</v>
      </c>
      <c r="BQ758" t="s">
        <v>74</v>
      </c>
      <c r="BR758" t="s">
        <v>74</v>
      </c>
      <c r="BS758" t="s">
        <v>2626</v>
      </c>
      <c r="BT758" t="str">
        <f>HYPERLINK("https%3A%2F%2Fwww.webofscience.com%2Fwos%2Fwoscc%2Ffull-record%2FWOS:001100527400001","View Full Record in Web of Science")</f>
        <v>View Full Record in Web of Science</v>
      </c>
    </row>
    <row r="759" spans="1:72" x14ac:dyDescent="0.4">
      <c r="A759" t="s">
        <v>72</v>
      </c>
      <c r="B759" t="s">
        <v>4480</v>
      </c>
      <c r="C759" t="s">
        <v>74</v>
      </c>
      <c r="D759" t="s">
        <v>74</v>
      </c>
      <c r="E759" t="s">
        <v>74</v>
      </c>
      <c r="F759" t="s">
        <v>4481</v>
      </c>
      <c r="G759" t="s">
        <v>74</v>
      </c>
      <c r="H759" t="s">
        <v>74</v>
      </c>
      <c r="I759" t="s">
        <v>4482</v>
      </c>
      <c r="J759" t="s">
        <v>2901</v>
      </c>
      <c r="K759" t="s">
        <v>74</v>
      </c>
      <c r="L759" t="s">
        <v>74</v>
      </c>
      <c r="M759" t="s">
        <v>74</v>
      </c>
      <c r="N759" t="s">
        <v>74</v>
      </c>
      <c r="O759" t="s">
        <v>74</v>
      </c>
      <c r="P759" t="s">
        <v>74</v>
      </c>
      <c r="Q759" t="s">
        <v>74</v>
      </c>
      <c r="R759" t="s">
        <v>74</v>
      </c>
      <c r="S759" t="s">
        <v>74</v>
      </c>
      <c r="T759" t="s">
        <v>74</v>
      </c>
      <c r="U759" t="s">
        <v>74</v>
      </c>
      <c r="V759" s="3" t="s">
        <v>4483</v>
      </c>
      <c r="W759" t="s">
        <v>74</v>
      </c>
      <c r="X759" t="s">
        <v>74</v>
      </c>
      <c r="Y759" t="s">
        <v>74</v>
      </c>
      <c r="Z759" t="s">
        <v>74</v>
      </c>
      <c r="AA759" t="s">
        <v>4484</v>
      </c>
      <c r="AB759" t="s">
        <v>4485</v>
      </c>
      <c r="AC759" t="s">
        <v>74</v>
      </c>
      <c r="AD759" t="s">
        <v>74</v>
      </c>
      <c r="AE759" t="s">
        <v>74</v>
      </c>
      <c r="AF759" t="s">
        <v>74</v>
      </c>
      <c r="AG759" t="s">
        <v>74</v>
      </c>
      <c r="AH759" t="s">
        <v>74</v>
      </c>
      <c r="AI759" t="s">
        <v>74</v>
      </c>
      <c r="AJ759" t="s">
        <v>74</v>
      </c>
      <c r="AK759" t="s">
        <v>74</v>
      </c>
      <c r="AL759" t="s">
        <v>74</v>
      </c>
      <c r="AM759" t="s">
        <v>74</v>
      </c>
      <c r="AN759" t="s">
        <v>74</v>
      </c>
      <c r="AO759" t="s">
        <v>2903</v>
      </c>
      <c r="AP759" t="s">
        <v>2904</v>
      </c>
      <c r="AQ759" t="s">
        <v>74</v>
      </c>
      <c r="AR759" t="s">
        <v>74</v>
      </c>
      <c r="AS759" t="s">
        <v>74</v>
      </c>
      <c r="AT759" t="s">
        <v>74</v>
      </c>
      <c r="AU759">
        <v>2018</v>
      </c>
      <c r="AV759">
        <v>30</v>
      </c>
      <c r="AW759">
        <v>4</v>
      </c>
      <c r="AX759" t="s">
        <v>74</v>
      </c>
      <c r="AY759" t="s">
        <v>74</v>
      </c>
      <c r="AZ759" t="s">
        <v>74</v>
      </c>
      <c r="BA759" t="s">
        <v>74</v>
      </c>
      <c r="BB759">
        <v>319</v>
      </c>
      <c r="BC759">
        <v>330</v>
      </c>
      <c r="BD759" t="s">
        <v>74</v>
      </c>
      <c r="BE759" t="s">
        <v>4486</v>
      </c>
      <c r="BF759" t="str">
        <f>HYPERLINK("http://dx.doi.org/10.1080/03949370.2017.1402091","http://dx.doi.org/10.1080/03949370.2017.1402091")</f>
        <v>http://dx.doi.org/10.1080/03949370.2017.1402091</v>
      </c>
      <c r="BG759" t="s">
        <v>74</v>
      </c>
      <c r="BH759" t="s">
        <v>74</v>
      </c>
      <c r="BI759" t="s">
        <v>74</v>
      </c>
      <c r="BJ759" t="s">
        <v>74</v>
      </c>
      <c r="BK759" t="s">
        <v>74</v>
      </c>
      <c r="BL759" t="s">
        <v>74</v>
      </c>
      <c r="BM759" t="s">
        <v>74</v>
      </c>
      <c r="BN759" t="s">
        <v>74</v>
      </c>
      <c r="BO759" t="s">
        <v>74</v>
      </c>
      <c r="BP759" t="s">
        <v>74</v>
      </c>
      <c r="BQ759" t="s">
        <v>74</v>
      </c>
      <c r="BR759" t="s">
        <v>74</v>
      </c>
      <c r="BS759" t="s">
        <v>4487</v>
      </c>
      <c r="BT759" t="str">
        <f>HYPERLINK("https%3A%2F%2Fwww.webofscience.com%2Fwos%2Fwoscc%2Ffull-record%2FWOS:000435677500003","View Full Record in Web of Science")</f>
        <v>View Full Record in Web of Science</v>
      </c>
    </row>
    <row r="760" spans="1:72" x14ac:dyDescent="0.4">
      <c r="A760" t="s">
        <v>72</v>
      </c>
      <c r="B760" t="s">
        <v>4349</v>
      </c>
      <c r="C760" t="s">
        <v>74</v>
      </c>
      <c r="D760" t="s">
        <v>74</v>
      </c>
      <c r="E760" t="s">
        <v>74</v>
      </c>
      <c r="F760" t="s">
        <v>4349</v>
      </c>
      <c r="G760" t="s">
        <v>74</v>
      </c>
      <c r="H760" t="s">
        <v>74</v>
      </c>
      <c r="I760" t="s">
        <v>4350</v>
      </c>
      <c r="J760" t="s">
        <v>4351</v>
      </c>
      <c r="K760" t="s">
        <v>74</v>
      </c>
      <c r="L760" t="s">
        <v>74</v>
      </c>
      <c r="M760" t="s">
        <v>74</v>
      </c>
      <c r="N760" t="s">
        <v>74</v>
      </c>
      <c r="O760" t="s">
        <v>74</v>
      </c>
      <c r="P760" t="s">
        <v>74</v>
      </c>
      <c r="Q760" t="s">
        <v>74</v>
      </c>
      <c r="R760" t="s">
        <v>74</v>
      </c>
      <c r="S760" t="s">
        <v>74</v>
      </c>
      <c r="T760" t="s">
        <v>74</v>
      </c>
      <c r="U760" t="s">
        <v>74</v>
      </c>
      <c r="V760" s="3" t="s">
        <v>4352</v>
      </c>
      <c r="W760" t="s">
        <v>74</v>
      </c>
      <c r="X760" t="s">
        <v>74</v>
      </c>
      <c r="Y760" t="s">
        <v>74</v>
      </c>
      <c r="Z760" t="s">
        <v>74</v>
      </c>
      <c r="AA760" t="s">
        <v>4353</v>
      </c>
      <c r="AB760" t="s">
        <v>74</v>
      </c>
      <c r="AC760" t="s">
        <v>74</v>
      </c>
      <c r="AD760" t="s">
        <v>74</v>
      </c>
      <c r="AE760" t="s">
        <v>74</v>
      </c>
      <c r="AF760" t="s">
        <v>74</v>
      </c>
      <c r="AG760" t="s">
        <v>74</v>
      </c>
      <c r="AH760" t="s">
        <v>74</v>
      </c>
      <c r="AI760" t="s">
        <v>74</v>
      </c>
      <c r="AJ760" t="s">
        <v>74</v>
      </c>
      <c r="AK760" t="s">
        <v>74</v>
      </c>
      <c r="AL760" t="s">
        <v>74</v>
      </c>
      <c r="AM760" t="s">
        <v>74</v>
      </c>
      <c r="AN760" t="s">
        <v>74</v>
      </c>
      <c r="AO760" t="s">
        <v>4354</v>
      </c>
      <c r="AP760" t="s">
        <v>74</v>
      </c>
      <c r="AQ760" t="s">
        <v>74</v>
      </c>
      <c r="AR760" t="s">
        <v>74</v>
      </c>
      <c r="AS760" t="s">
        <v>74</v>
      </c>
      <c r="AT760" t="s">
        <v>255</v>
      </c>
      <c r="AU760">
        <v>1992</v>
      </c>
      <c r="AV760">
        <v>100</v>
      </c>
      <c r="AW760">
        <v>1</v>
      </c>
      <c r="AX760" t="s">
        <v>74</v>
      </c>
      <c r="AY760" t="s">
        <v>74</v>
      </c>
      <c r="AZ760" t="s">
        <v>74</v>
      </c>
      <c r="BA760" t="s">
        <v>74</v>
      </c>
      <c r="BB760">
        <v>137</v>
      </c>
      <c r="BC760">
        <v>141</v>
      </c>
      <c r="BD760" t="s">
        <v>74</v>
      </c>
      <c r="BE760" t="s">
        <v>74</v>
      </c>
      <c r="BF760" t="s">
        <v>74</v>
      </c>
      <c r="BG760" t="s">
        <v>74</v>
      </c>
      <c r="BH760" t="s">
        <v>74</v>
      </c>
      <c r="BI760" t="s">
        <v>74</v>
      </c>
      <c r="BJ760" t="s">
        <v>74</v>
      </c>
      <c r="BK760" t="s">
        <v>74</v>
      </c>
      <c r="BL760" t="s">
        <v>74</v>
      </c>
      <c r="BM760" t="s">
        <v>74</v>
      </c>
      <c r="BN760" t="s">
        <v>74</v>
      </c>
      <c r="BO760" t="s">
        <v>74</v>
      </c>
      <c r="BP760" t="s">
        <v>74</v>
      </c>
      <c r="BQ760" t="s">
        <v>74</v>
      </c>
      <c r="BR760" t="s">
        <v>74</v>
      </c>
      <c r="BS760" t="s">
        <v>4355</v>
      </c>
      <c r="BT760" t="str">
        <f>HYPERLINK("https%3A%2F%2Fwww.webofscience.com%2Fwos%2Fwoscc%2Ffull-record%2FWOS:A1992HD98800004","View Full Record in Web of Science")</f>
        <v>View Full Record in Web of Science</v>
      </c>
    </row>
    <row r="761" spans="1:72" x14ac:dyDescent="0.4">
      <c r="A761" t="s">
        <v>72</v>
      </c>
      <c r="B761" t="s">
        <v>3000</v>
      </c>
      <c r="C761" t="s">
        <v>74</v>
      </c>
      <c r="D761" t="s">
        <v>74</v>
      </c>
      <c r="E761" t="s">
        <v>74</v>
      </c>
      <c r="F761" t="s">
        <v>3001</v>
      </c>
      <c r="G761" t="s">
        <v>74</v>
      </c>
      <c r="H761" t="s">
        <v>74</v>
      </c>
      <c r="I761" t="s">
        <v>3002</v>
      </c>
      <c r="J761" t="s">
        <v>3003</v>
      </c>
      <c r="K761" t="s">
        <v>74</v>
      </c>
      <c r="L761" t="s">
        <v>74</v>
      </c>
      <c r="M761" t="s">
        <v>74</v>
      </c>
      <c r="N761" t="s">
        <v>74</v>
      </c>
      <c r="O761" t="s">
        <v>74</v>
      </c>
      <c r="P761" t="s">
        <v>74</v>
      </c>
      <c r="Q761" t="s">
        <v>74</v>
      </c>
      <c r="R761" t="s">
        <v>74</v>
      </c>
      <c r="S761" t="s">
        <v>74</v>
      </c>
      <c r="T761" t="s">
        <v>74</v>
      </c>
      <c r="U761" t="s">
        <v>74</v>
      </c>
      <c r="V761" s="3" t="s">
        <v>3004</v>
      </c>
      <c r="W761" t="s">
        <v>74</v>
      </c>
      <c r="X761" t="s">
        <v>74</v>
      </c>
      <c r="Y761" t="s">
        <v>74</v>
      </c>
      <c r="Z761" t="s">
        <v>74</v>
      </c>
      <c r="AA761" t="s">
        <v>74</v>
      </c>
      <c r="AB761" t="s">
        <v>74</v>
      </c>
      <c r="AC761" t="s">
        <v>74</v>
      </c>
      <c r="AD761" t="s">
        <v>74</v>
      </c>
      <c r="AE761" t="s">
        <v>74</v>
      </c>
      <c r="AF761" t="s">
        <v>74</v>
      </c>
      <c r="AG761" t="s">
        <v>74</v>
      </c>
      <c r="AH761" t="s">
        <v>74</v>
      </c>
      <c r="AI761" t="s">
        <v>74</v>
      </c>
      <c r="AJ761" t="s">
        <v>74</v>
      </c>
      <c r="AK761" t="s">
        <v>74</v>
      </c>
      <c r="AL761" t="s">
        <v>74</v>
      </c>
      <c r="AM761" t="s">
        <v>74</v>
      </c>
      <c r="AN761" t="s">
        <v>74</v>
      </c>
      <c r="AO761" t="s">
        <v>3005</v>
      </c>
      <c r="AP761" t="s">
        <v>74</v>
      </c>
      <c r="AQ761" t="s">
        <v>74</v>
      </c>
      <c r="AR761" t="s">
        <v>74</v>
      </c>
      <c r="AS761" t="s">
        <v>74</v>
      </c>
      <c r="AT761" t="s">
        <v>3006</v>
      </c>
      <c r="AU761">
        <v>2010</v>
      </c>
      <c r="AV761">
        <v>64</v>
      </c>
      <c r="AW761">
        <v>2</v>
      </c>
      <c r="AX761" t="s">
        <v>74</v>
      </c>
      <c r="AY761" t="s">
        <v>74</v>
      </c>
      <c r="AZ761" t="s">
        <v>74</v>
      </c>
      <c r="BA761" t="s">
        <v>74</v>
      </c>
      <c r="BB761">
        <v>57</v>
      </c>
      <c r="BC761">
        <v>68</v>
      </c>
      <c r="BD761" t="s">
        <v>74</v>
      </c>
      <c r="BE761" t="s">
        <v>74</v>
      </c>
      <c r="BF761" t="s">
        <v>74</v>
      </c>
      <c r="BG761" t="s">
        <v>74</v>
      </c>
      <c r="BH761" t="s">
        <v>74</v>
      </c>
      <c r="BI761" t="s">
        <v>74</v>
      </c>
      <c r="BJ761" t="s">
        <v>74</v>
      </c>
      <c r="BK761" t="s">
        <v>74</v>
      </c>
      <c r="BL761" t="s">
        <v>74</v>
      </c>
      <c r="BM761" t="s">
        <v>74</v>
      </c>
      <c r="BN761" t="s">
        <v>74</v>
      </c>
      <c r="BO761" t="s">
        <v>74</v>
      </c>
      <c r="BP761" t="s">
        <v>74</v>
      </c>
      <c r="BQ761" t="s">
        <v>74</v>
      </c>
      <c r="BR761" t="s">
        <v>74</v>
      </c>
      <c r="BS761" t="s">
        <v>3007</v>
      </c>
      <c r="BT761" t="str">
        <f>HYPERLINK("https%3A%2F%2Fwww.webofscience.com%2Fwos%2Fwoscc%2Ffull-record%2FWOS:000280497600001","View Full Record in Web of Science")</f>
        <v>View Full Record in Web of Science</v>
      </c>
    </row>
    <row r="762" spans="1:72" x14ac:dyDescent="0.4">
      <c r="A762" t="s">
        <v>72</v>
      </c>
      <c r="B762" t="s">
        <v>8088</v>
      </c>
      <c r="C762" t="s">
        <v>74</v>
      </c>
      <c r="D762" t="s">
        <v>74</v>
      </c>
      <c r="E762" t="s">
        <v>74</v>
      </c>
      <c r="F762" t="s">
        <v>8088</v>
      </c>
      <c r="G762" t="s">
        <v>74</v>
      </c>
      <c r="H762" t="s">
        <v>74</v>
      </c>
      <c r="I762" t="s">
        <v>8089</v>
      </c>
      <c r="J762" t="s">
        <v>344</v>
      </c>
      <c r="K762" t="s">
        <v>74</v>
      </c>
      <c r="L762" t="s">
        <v>74</v>
      </c>
      <c r="M762" t="s">
        <v>74</v>
      </c>
      <c r="N762" t="s">
        <v>74</v>
      </c>
      <c r="O762" t="s">
        <v>74</v>
      </c>
      <c r="P762" t="s">
        <v>74</v>
      </c>
      <c r="Q762" t="s">
        <v>74</v>
      </c>
      <c r="R762" t="s">
        <v>74</v>
      </c>
      <c r="S762" t="s">
        <v>74</v>
      </c>
      <c r="T762" t="s">
        <v>74</v>
      </c>
      <c r="U762" t="s">
        <v>74</v>
      </c>
      <c r="V762" s="3" t="s">
        <v>8090</v>
      </c>
      <c r="W762" t="s">
        <v>74</v>
      </c>
      <c r="X762" t="s">
        <v>74</v>
      </c>
      <c r="Y762" t="s">
        <v>74</v>
      </c>
      <c r="Z762" t="s">
        <v>74</v>
      </c>
      <c r="AA762" t="s">
        <v>74</v>
      </c>
      <c r="AB762" t="s">
        <v>74</v>
      </c>
      <c r="AC762" t="s">
        <v>74</v>
      </c>
      <c r="AD762" t="s">
        <v>74</v>
      </c>
      <c r="AE762" t="s">
        <v>74</v>
      </c>
      <c r="AF762" t="s">
        <v>74</v>
      </c>
      <c r="AG762" t="s">
        <v>74</v>
      </c>
      <c r="AH762" t="s">
        <v>74</v>
      </c>
      <c r="AI762" t="s">
        <v>74</v>
      </c>
      <c r="AJ762" t="s">
        <v>74</v>
      </c>
      <c r="AK762" t="s">
        <v>74</v>
      </c>
      <c r="AL762" t="s">
        <v>74</v>
      </c>
      <c r="AM762" t="s">
        <v>74</v>
      </c>
      <c r="AN762" t="s">
        <v>74</v>
      </c>
      <c r="AO762" t="s">
        <v>346</v>
      </c>
      <c r="AP762" t="s">
        <v>74</v>
      </c>
      <c r="AQ762" t="s">
        <v>74</v>
      </c>
      <c r="AR762" t="s">
        <v>74</v>
      </c>
      <c r="AS762" t="s">
        <v>74</v>
      </c>
      <c r="AT762" t="s">
        <v>213</v>
      </c>
      <c r="AU762">
        <v>1994</v>
      </c>
      <c r="AV762">
        <v>41</v>
      </c>
      <c r="AW762" t="s">
        <v>3743</v>
      </c>
      <c r="AX762" t="s">
        <v>74</v>
      </c>
      <c r="AY762" t="s">
        <v>74</v>
      </c>
      <c r="AZ762" t="s">
        <v>74</v>
      </c>
      <c r="BA762" t="s">
        <v>74</v>
      </c>
      <c r="BB762">
        <v>403</v>
      </c>
      <c r="BC762">
        <v>414</v>
      </c>
      <c r="BD762" t="s">
        <v>74</v>
      </c>
      <c r="BE762" t="s">
        <v>74</v>
      </c>
      <c r="BF762" t="s">
        <v>74</v>
      </c>
      <c r="BG762" t="s">
        <v>74</v>
      </c>
      <c r="BH762" t="s">
        <v>74</v>
      </c>
      <c r="BI762" t="s">
        <v>74</v>
      </c>
      <c r="BJ762" t="s">
        <v>74</v>
      </c>
      <c r="BK762" t="s">
        <v>74</v>
      </c>
      <c r="BL762" t="s">
        <v>74</v>
      </c>
      <c r="BM762" t="s">
        <v>74</v>
      </c>
      <c r="BN762" t="s">
        <v>74</v>
      </c>
      <c r="BO762" t="s">
        <v>74</v>
      </c>
      <c r="BP762" t="s">
        <v>74</v>
      </c>
      <c r="BQ762" t="s">
        <v>74</v>
      </c>
      <c r="BR762" t="s">
        <v>74</v>
      </c>
      <c r="BS762" t="s">
        <v>8091</v>
      </c>
      <c r="BT762" t="str">
        <f>HYPERLINK("https%3A%2F%2Fwww.webofscience.com%2Fwos%2Fwoscc%2Ffull-record%2FWOS:A1994QE85200028","View Full Record in Web of Science")</f>
        <v>View Full Record in Web of Science</v>
      </c>
    </row>
    <row r="763" spans="1:72" x14ac:dyDescent="0.4">
      <c r="A763" t="s">
        <v>72</v>
      </c>
      <c r="B763" t="s">
        <v>8518</v>
      </c>
      <c r="C763" t="s">
        <v>74</v>
      </c>
      <c r="D763" t="s">
        <v>74</v>
      </c>
      <c r="E763" t="s">
        <v>74</v>
      </c>
      <c r="F763" t="s">
        <v>8519</v>
      </c>
      <c r="G763" t="s">
        <v>74</v>
      </c>
      <c r="H763" t="s">
        <v>74</v>
      </c>
      <c r="I763" t="s">
        <v>8520</v>
      </c>
      <c r="J763" t="s">
        <v>281</v>
      </c>
      <c r="K763" t="s">
        <v>74</v>
      </c>
      <c r="L763" t="s">
        <v>74</v>
      </c>
      <c r="M763" t="s">
        <v>74</v>
      </c>
      <c r="N763" t="s">
        <v>74</v>
      </c>
      <c r="O763" t="s">
        <v>74</v>
      </c>
      <c r="P763" t="s">
        <v>74</v>
      </c>
      <c r="Q763" t="s">
        <v>74</v>
      </c>
      <c r="R763" t="s">
        <v>74</v>
      </c>
      <c r="S763" t="s">
        <v>74</v>
      </c>
      <c r="T763" t="s">
        <v>74</v>
      </c>
      <c r="U763" t="s">
        <v>74</v>
      </c>
      <c r="V763" s="3" t="s">
        <v>8521</v>
      </c>
      <c r="W763" t="s">
        <v>74</v>
      </c>
      <c r="X763" t="s">
        <v>74</v>
      </c>
      <c r="Y763" t="s">
        <v>74</v>
      </c>
      <c r="Z763" t="s">
        <v>74</v>
      </c>
      <c r="AA763" t="s">
        <v>8522</v>
      </c>
      <c r="AB763" t="s">
        <v>8523</v>
      </c>
      <c r="AC763" t="s">
        <v>74</v>
      </c>
      <c r="AD763" t="s">
        <v>74</v>
      </c>
      <c r="AE763" t="s">
        <v>74</v>
      </c>
      <c r="AF763" t="s">
        <v>74</v>
      </c>
      <c r="AG763" t="s">
        <v>74</v>
      </c>
      <c r="AH763" t="s">
        <v>74</v>
      </c>
      <c r="AI763" t="s">
        <v>74</v>
      </c>
      <c r="AJ763" t="s">
        <v>74</v>
      </c>
      <c r="AK763" t="s">
        <v>74</v>
      </c>
      <c r="AL763" t="s">
        <v>74</v>
      </c>
      <c r="AM763" t="s">
        <v>74</v>
      </c>
      <c r="AN763" t="s">
        <v>74</v>
      </c>
      <c r="AO763" t="s">
        <v>285</v>
      </c>
      <c r="AP763" t="s">
        <v>286</v>
      </c>
      <c r="AQ763" t="s">
        <v>74</v>
      </c>
      <c r="AR763" t="s">
        <v>74</v>
      </c>
      <c r="AS763" t="s">
        <v>74</v>
      </c>
      <c r="AT763" t="s">
        <v>255</v>
      </c>
      <c r="AU763">
        <v>2020</v>
      </c>
      <c r="AV763">
        <v>23</v>
      </c>
      <c r="AW763">
        <v>1</v>
      </c>
      <c r="AX763" t="s">
        <v>74</v>
      </c>
      <c r="AY763" t="s">
        <v>74</v>
      </c>
      <c r="AZ763" t="s">
        <v>74</v>
      </c>
      <c r="BA763" t="s">
        <v>74</v>
      </c>
      <c r="BB763">
        <v>41</v>
      </c>
      <c r="BC763">
        <v>53</v>
      </c>
      <c r="BD763" t="s">
        <v>74</v>
      </c>
      <c r="BE763" t="s">
        <v>8524</v>
      </c>
      <c r="BF763" t="str">
        <f>HYPERLINK("http://dx.doi.org/10.1007/s10071-019-01313-x","http://dx.doi.org/10.1007/s10071-019-01313-x")</f>
        <v>http://dx.doi.org/10.1007/s10071-019-01313-x</v>
      </c>
      <c r="BG763" t="s">
        <v>74</v>
      </c>
      <c r="BH763" t="s">
        <v>6757</v>
      </c>
      <c r="BI763" t="s">
        <v>74</v>
      </c>
      <c r="BJ763" t="s">
        <v>74</v>
      </c>
      <c r="BK763" t="s">
        <v>74</v>
      </c>
      <c r="BL763" t="s">
        <v>74</v>
      </c>
      <c r="BM763" t="s">
        <v>74</v>
      </c>
      <c r="BN763">
        <v>31586279</v>
      </c>
      <c r="BO763" t="s">
        <v>74</v>
      </c>
      <c r="BP763" t="s">
        <v>74</v>
      </c>
      <c r="BQ763" t="s">
        <v>74</v>
      </c>
      <c r="BR763" t="s">
        <v>74</v>
      </c>
      <c r="BS763" t="s">
        <v>8525</v>
      </c>
      <c r="BT763" t="str">
        <f>HYPERLINK("https%3A%2F%2Fwww.webofscience.com%2Fwos%2Fwoscc%2Ffull-record%2FWOS:000488937600001","View Full Record in Web of Science")</f>
        <v>View Full Record in Web of Science</v>
      </c>
    </row>
    <row r="764" spans="1:72" x14ac:dyDescent="0.4">
      <c r="A764" t="s">
        <v>72</v>
      </c>
      <c r="B764" t="s">
        <v>752</v>
      </c>
      <c r="C764" t="s">
        <v>74</v>
      </c>
      <c r="D764" t="s">
        <v>74</v>
      </c>
      <c r="E764" t="s">
        <v>74</v>
      </c>
      <c r="F764" t="s">
        <v>753</v>
      </c>
      <c r="G764" t="s">
        <v>74</v>
      </c>
      <c r="H764" t="s">
        <v>74</v>
      </c>
      <c r="I764" t="s">
        <v>754</v>
      </c>
      <c r="J764" t="s">
        <v>140</v>
      </c>
      <c r="K764" t="s">
        <v>74</v>
      </c>
      <c r="L764" t="s">
        <v>74</v>
      </c>
      <c r="M764" t="s">
        <v>74</v>
      </c>
      <c r="N764" t="s">
        <v>74</v>
      </c>
      <c r="O764" t="s">
        <v>74</v>
      </c>
      <c r="P764" t="s">
        <v>74</v>
      </c>
      <c r="Q764" t="s">
        <v>74</v>
      </c>
      <c r="R764" t="s">
        <v>74</v>
      </c>
      <c r="S764" t="s">
        <v>74</v>
      </c>
      <c r="T764" t="s">
        <v>74</v>
      </c>
      <c r="U764" t="s">
        <v>74</v>
      </c>
      <c r="V764" s="3" t="s">
        <v>755</v>
      </c>
      <c r="W764" t="s">
        <v>74</v>
      </c>
      <c r="X764" t="s">
        <v>74</v>
      </c>
      <c r="Y764" t="s">
        <v>74</v>
      </c>
      <c r="Z764" t="s">
        <v>74</v>
      </c>
      <c r="AA764" t="s">
        <v>756</v>
      </c>
      <c r="AB764" t="s">
        <v>757</v>
      </c>
      <c r="AC764" t="s">
        <v>74</v>
      </c>
      <c r="AD764" t="s">
        <v>74</v>
      </c>
      <c r="AE764" t="s">
        <v>74</v>
      </c>
      <c r="AF764" t="s">
        <v>74</v>
      </c>
      <c r="AG764" t="s">
        <v>74</v>
      </c>
      <c r="AH764" t="s">
        <v>74</v>
      </c>
      <c r="AI764" t="s">
        <v>74</v>
      </c>
      <c r="AJ764" t="s">
        <v>74</v>
      </c>
      <c r="AK764" t="s">
        <v>74</v>
      </c>
      <c r="AL764" t="s">
        <v>74</v>
      </c>
      <c r="AM764" t="s">
        <v>74</v>
      </c>
      <c r="AN764" t="s">
        <v>74</v>
      </c>
      <c r="AO764" t="s">
        <v>143</v>
      </c>
      <c r="AP764" t="s">
        <v>144</v>
      </c>
      <c r="AQ764" t="s">
        <v>74</v>
      </c>
      <c r="AR764" t="s">
        <v>74</v>
      </c>
      <c r="AS764" t="s">
        <v>74</v>
      </c>
      <c r="AT764" t="s">
        <v>352</v>
      </c>
      <c r="AU764">
        <v>2013</v>
      </c>
      <c r="AV764">
        <v>86</v>
      </c>
      <c r="AW764">
        <v>3</v>
      </c>
      <c r="AX764" t="s">
        <v>74</v>
      </c>
      <c r="AY764" t="s">
        <v>74</v>
      </c>
      <c r="AZ764" t="s">
        <v>74</v>
      </c>
      <c r="BA764" t="s">
        <v>74</v>
      </c>
      <c r="BB764">
        <v>595</v>
      </c>
      <c r="BC764">
        <v>602</v>
      </c>
      <c r="BD764" t="s">
        <v>74</v>
      </c>
      <c r="BE764" t="s">
        <v>758</v>
      </c>
      <c r="BF764" t="str">
        <f>HYPERLINK("http://dx.doi.org/10.1016/j.anbehav.2013.06.015","http://dx.doi.org/10.1016/j.anbehav.2013.06.015")</f>
        <v>http://dx.doi.org/10.1016/j.anbehav.2013.06.015</v>
      </c>
      <c r="BG764" t="s">
        <v>74</v>
      </c>
      <c r="BH764" t="s">
        <v>74</v>
      </c>
      <c r="BI764" t="s">
        <v>74</v>
      </c>
      <c r="BJ764" t="s">
        <v>74</v>
      </c>
      <c r="BK764" t="s">
        <v>74</v>
      </c>
      <c r="BL764" t="s">
        <v>74</v>
      </c>
      <c r="BM764" t="s">
        <v>74</v>
      </c>
      <c r="BN764">
        <v>24027343</v>
      </c>
      <c r="BO764" t="s">
        <v>74</v>
      </c>
      <c r="BP764" t="s">
        <v>74</v>
      </c>
      <c r="BQ764" t="s">
        <v>74</v>
      </c>
      <c r="BR764" t="s">
        <v>74</v>
      </c>
      <c r="BS764" t="s">
        <v>759</v>
      </c>
      <c r="BT764" t="str">
        <f>HYPERLINK("https%3A%2F%2Fwww.webofscience.com%2Fwos%2Fwoscc%2Ffull-record%2FWOS:000323944200016","View Full Record in Web of Science")</f>
        <v>View Full Record in Web of Science</v>
      </c>
    </row>
    <row r="765" spans="1:72" x14ac:dyDescent="0.4">
      <c r="A765" t="s">
        <v>72</v>
      </c>
      <c r="B765" t="s">
        <v>4761</v>
      </c>
      <c r="C765" t="s">
        <v>74</v>
      </c>
      <c r="D765" t="s">
        <v>74</v>
      </c>
      <c r="E765" t="s">
        <v>74</v>
      </c>
      <c r="F765" t="s">
        <v>4762</v>
      </c>
      <c r="G765" t="s">
        <v>74</v>
      </c>
      <c r="H765" t="s">
        <v>74</v>
      </c>
      <c r="I765" t="s">
        <v>4763</v>
      </c>
      <c r="J765" t="s">
        <v>1656</v>
      </c>
      <c r="K765" t="s">
        <v>74</v>
      </c>
      <c r="L765" t="s">
        <v>74</v>
      </c>
      <c r="M765" t="s">
        <v>74</v>
      </c>
      <c r="N765" t="s">
        <v>74</v>
      </c>
      <c r="O765" t="s">
        <v>74</v>
      </c>
      <c r="P765" t="s">
        <v>74</v>
      </c>
      <c r="Q765" t="s">
        <v>74</v>
      </c>
      <c r="R765" t="s">
        <v>74</v>
      </c>
      <c r="S765" t="s">
        <v>74</v>
      </c>
      <c r="T765" t="s">
        <v>74</v>
      </c>
      <c r="U765" t="s">
        <v>74</v>
      </c>
      <c r="V765" s="3" t="s">
        <v>4764</v>
      </c>
      <c r="W765" t="s">
        <v>74</v>
      </c>
      <c r="X765" t="s">
        <v>74</v>
      </c>
      <c r="Y765" t="s">
        <v>74</v>
      </c>
      <c r="Z765" t="s">
        <v>74</v>
      </c>
      <c r="AA765" t="s">
        <v>4765</v>
      </c>
      <c r="AB765" t="s">
        <v>4766</v>
      </c>
      <c r="AC765" t="s">
        <v>74</v>
      </c>
      <c r="AD765" t="s">
        <v>74</v>
      </c>
      <c r="AE765" t="s">
        <v>74</v>
      </c>
      <c r="AF765" t="s">
        <v>74</v>
      </c>
      <c r="AG765" t="s">
        <v>74</v>
      </c>
      <c r="AH765" t="s">
        <v>74</v>
      </c>
      <c r="AI765" t="s">
        <v>74</v>
      </c>
      <c r="AJ765" t="s">
        <v>74</v>
      </c>
      <c r="AK765" t="s">
        <v>74</v>
      </c>
      <c r="AL765" t="s">
        <v>74</v>
      </c>
      <c r="AM765" t="s">
        <v>74</v>
      </c>
      <c r="AN765" t="s">
        <v>74</v>
      </c>
      <c r="AO765" t="s">
        <v>1658</v>
      </c>
      <c r="AP765" t="s">
        <v>1659</v>
      </c>
      <c r="AQ765" t="s">
        <v>74</v>
      </c>
      <c r="AR765" t="s">
        <v>74</v>
      </c>
      <c r="AS765" t="s">
        <v>74</v>
      </c>
      <c r="AT765" t="s">
        <v>3105</v>
      </c>
      <c r="AU765">
        <v>2009</v>
      </c>
      <c r="AV765" t="s">
        <v>74</v>
      </c>
      <c r="AW765">
        <v>2283</v>
      </c>
      <c r="AX765" t="s">
        <v>74</v>
      </c>
      <c r="AY765" t="s">
        <v>74</v>
      </c>
      <c r="AZ765" t="s">
        <v>74</v>
      </c>
      <c r="BA765" t="s">
        <v>74</v>
      </c>
      <c r="BB765">
        <v>16</v>
      </c>
      <c r="BC765">
        <v>28</v>
      </c>
      <c r="BD765" t="s">
        <v>74</v>
      </c>
      <c r="BE765" t="s">
        <v>4767</v>
      </c>
      <c r="BF765" t="str">
        <f>HYPERLINK("http://dx.doi.org/10.11646/zootaxa.2283.1.2","http://dx.doi.org/10.11646/zootaxa.2283.1.2")</f>
        <v>http://dx.doi.org/10.11646/zootaxa.2283.1.2</v>
      </c>
      <c r="BG765" t="s">
        <v>74</v>
      </c>
      <c r="BH765" t="s">
        <v>74</v>
      </c>
      <c r="BI765" t="s">
        <v>74</v>
      </c>
      <c r="BJ765" t="s">
        <v>74</v>
      </c>
      <c r="BK765" t="s">
        <v>74</v>
      </c>
      <c r="BL765" t="s">
        <v>74</v>
      </c>
      <c r="BM765" t="s">
        <v>74</v>
      </c>
      <c r="BN765" t="s">
        <v>74</v>
      </c>
      <c r="BO765" t="s">
        <v>74</v>
      </c>
      <c r="BP765" t="s">
        <v>74</v>
      </c>
      <c r="BQ765" t="s">
        <v>74</v>
      </c>
      <c r="BR765" t="s">
        <v>74</v>
      </c>
      <c r="BS765" t="s">
        <v>4768</v>
      </c>
      <c r="BT765" t="str">
        <f>HYPERLINK("https%3A%2F%2Fwww.webofscience.com%2Fwos%2Fwoscc%2Ffull-record%2FWOS:000271469200002","View Full Record in Web of Science")</f>
        <v>View Full Record in Web of Science</v>
      </c>
    </row>
    <row r="766" spans="1:72" x14ac:dyDescent="0.4">
      <c r="A766" t="s">
        <v>72</v>
      </c>
      <c r="B766" t="s">
        <v>5246</v>
      </c>
      <c r="C766" t="s">
        <v>74</v>
      </c>
      <c r="D766" t="s">
        <v>74</v>
      </c>
      <c r="E766" t="s">
        <v>74</v>
      </c>
      <c r="F766" t="s">
        <v>5246</v>
      </c>
      <c r="G766" t="s">
        <v>74</v>
      </c>
      <c r="H766" t="s">
        <v>74</v>
      </c>
      <c r="I766" t="s">
        <v>5247</v>
      </c>
      <c r="J766" t="s">
        <v>218</v>
      </c>
      <c r="K766" t="s">
        <v>74</v>
      </c>
      <c r="L766" t="s">
        <v>74</v>
      </c>
      <c r="M766" t="s">
        <v>74</v>
      </c>
      <c r="N766" t="s">
        <v>74</v>
      </c>
      <c r="O766" t="s">
        <v>74</v>
      </c>
      <c r="P766" t="s">
        <v>74</v>
      </c>
      <c r="Q766" t="s">
        <v>74</v>
      </c>
      <c r="R766" t="s">
        <v>74</v>
      </c>
      <c r="S766" t="s">
        <v>74</v>
      </c>
      <c r="T766" t="s">
        <v>74</v>
      </c>
      <c r="U766" t="s">
        <v>74</v>
      </c>
      <c r="V766" s="3" t="s">
        <v>5248</v>
      </c>
      <c r="W766" t="s">
        <v>74</v>
      </c>
      <c r="X766" t="s">
        <v>74</v>
      </c>
      <c r="Y766" t="s">
        <v>74</v>
      </c>
      <c r="Z766" t="s">
        <v>74</v>
      </c>
      <c r="AA766" t="s">
        <v>74</v>
      </c>
      <c r="AB766" t="s">
        <v>74</v>
      </c>
      <c r="AC766" t="s">
        <v>74</v>
      </c>
      <c r="AD766" t="s">
        <v>74</v>
      </c>
      <c r="AE766" t="s">
        <v>74</v>
      </c>
      <c r="AF766" t="s">
        <v>74</v>
      </c>
      <c r="AG766" t="s">
        <v>74</v>
      </c>
      <c r="AH766" t="s">
        <v>74</v>
      </c>
      <c r="AI766" t="s">
        <v>74</v>
      </c>
      <c r="AJ766" t="s">
        <v>74</v>
      </c>
      <c r="AK766" t="s">
        <v>74</v>
      </c>
      <c r="AL766" t="s">
        <v>74</v>
      </c>
      <c r="AM766" t="s">
        <v>74</v>
      </c>
      <c r="AN766" t="s">
        <v>74</v>
      </c>
      <c r="AO766" t="s">
        <v>221</v>
      </c>
      <c r="AP766" t="s">
        <v>74</v>
      </c>
      <c r="AQ766" t="s">
        <v>74</v>
      </c>
      <c r="AR766" t="s">
        <v>74</v>
      </c>
      <c r="AS766" t="s">
        <v>74</v>
      </c>
      <c r="AT766" t="s">
        <v>352</v>
      </c>
      <c r="AU766">
        <v>1999</v>
      </c>
      <c r="AV766">
        <v>12</v>
      </c>
      <c r="AW766">
        <v>5</v>
      </c>
      <c r="AX766" t="s">
        <v>74</v>
      </c>
      <c r="AY766" t="s">
        <v>74</v>
      </c>
      <c r="AZ766" t="s">
        <v>74</v>
      </c>
      <c r="BA766" t="s">
        <v>74</v>
      </c>
      <c r="BB766">
        <v>936</v>
      </c>
      <c r="BC766">
        <v>950</v>
      </c>
      <c r="BD766" t="s">
        <v>74</v>
      </c>
      <c r="BE766" t="s">
        <v>5249</v>
      </c>
      <c r="BF766" t="str">
        <f>HYPERLINK("http://dx.doi.org/10.1046/j.1420-9101.1999.00111.x","http://dx.doi.org/10.1046/j.1420-9101.1999.00111.x")</f>
        <v>http://dx.doi.org/10.1046/j.1420-9101.1999.00111.x</v>
      </c>
      <c r="BG766" t="s">
        <v>74</v>
      </c>
      <c r="BH766" t="s">
        <v>74</v>
      </c>
      <c r="BI766" t="s">
        <v>74</v>
      </c>
      <c r="BJ766" t="s">
        <v>74</v>
      </c>
      <c r="BK766" t="s">
        <v>74</v>
      </c>
      <c r="BL766" t="s">
        <v>74</v>
      </c>
      <c r="BM766" t="s">
        <v>74</v>
      </c>
      <c r="BN766" t="s">
        <v>74</v>
      </c>
      <c r="BO766" t="s">
        <v>74</v>
      </c>
      <c r="BP766" t="s">
        <v>74</v>
      </c>
      <c r="BQ766" t="s">
        <v>74</v>
      </c>
      <c r="BR766" t="s">
        <v>74</v>
      </c>
      <c r="BS766" t="s">
        <v>5250</v>
      </c>
      <c r="BT766" t="str">
        <f>HYPERLINK("https%3A%2F%2Fwww.webofscience.com%2Fwos%2Fwoscc%2Ffull-record%2FWOS:000082609500011","View Full Record in Web of Science")</f>
        <v>View Full Record in Web of Science</v>
      </c>
    </row>
    <row r="767" spans="1:72" x14ac:dyDescent="0.4">
      <c r="A767" t="s">
        <v>72</v>
      </c>
      <c r="B767" t="s">
        <v>1041</v>
      </c>
      <c r="C767" t="s">
        <v>74</v>
      </c>
      <c r="D767" t="s">
        <v>74</v>
      </c>
      <c r="E767" t="s">
        <v>74</v>
      </c>
      <c r="F767" t="s">
        <v>1042</v>
      </c>
      <c r="G767" t="s">
        <v>74</v>
      </c>
      <c r="H767" t="s">
        <v>74</v>
      </c>
      <c r="I767" t="s">
        <v>1043</v>
      </c>
      <c r="J767" t="s">
        <v>1044</v>
      </c>
      <c r="K767" t="s">
        <v>74</v>
      </c>
      <c r="L767" t="s">
        <v>74</v>
      </c>
      <c r="M767" t="s">
        <v>74</v>
      </c>
      <c r="N767" t="s">
        <v>74</v>
      </c>
      <c r="O767" t="s">
        <v>74</v>
      </c>
      <c r="P767" t="s">
        <v>74</v>
      </c>
      <c r="Q767" t="s">
        <v>74</v>
      </c>
      <c r="R767" t="s">
        <v>74</v>
      </c>
      <c r="S767" t="s">
        <v>74</v>
      </c>
      <c r="T767" t="s">
        <v>74</v>
      </c>
      <c r="U767" t="s">
        <v>74</v>
      </c>
      <c r="V767" s="3" t="s">
        <v>1045</v>
      </c>
      <c r="W767" t="s">
        <v>74</v>
      </c>
      <c r="X767" t="s">
        <v>74</v>
      </c>
      <c r="Y767" t="s">
        <v>74</v>
      </c>
      <c r="Z767" t="s">
        <v>74</v>
      </c>
      <c r="AA767" t="s">
        <v>1046</v>
      </c>
      <c r="AB767" t="s">
        <v>1047</v>
      </c>
      <c r="AC767" t="s">
        <v>74</v>
      </c>
      <c r="AD767" t="s">
        <v>74</v>
      </c>
      <c r="AE767" t="s">
        <v>74</v>
      </c>
      <c r="AF767" t="s">
        <v>74</v>
      </c>
      <c r="AG767" t="s">
        <v>74</v>
      </c>
      <c r="AH767" t="s">
        <v>74</v>
      </c>
      <c r="AI767" t="s">
        <v>74</v>
      </c>
      <c r="AJ767" t="s">
        <v>74</v>
      </c>
      <c r="AK767" t="s">
        <v>74</v>
      </c>
      <c r="AL767" t="s">
        <v>74</v>
      </c>
      <c r="AM767" t="s">
        <v>74</v>
      </c>
      <c r="AN767" t="s">
        <v>74</v>
      </c>
      <c r="AO767" t="s">
        <v>1048</v>
      </c>
      <c r="AP767" t="s">
        <v>1049</v>
      </c>
      <c r="AQ767" t="s">
        <v>74</v>
      </c>
      <c r="AR767" t="s">
        <v>74</v>
      </c>
      <c r="AS767" t="s">
        <v>74</v>
      </c>
      <c r="AT767" t="s">
        <v>134</v>
      </c>
      <c r="AU767">
        <v>2021</v>
      </c>
      <c r="AV767">
        <v>30</v>
      </c>
      <c r="AW767">
        <v>10</v>
      </c>
      <c r="AX767" t="s">
        <v>74</v>
      </c>
      <c r="AY767" t="s">
        <v>74</v>
      </c>
      <c r="AZ767" t="s">
        <v>74</v>
      </c>
      <c r="BA767" t="s">
        <v>74</v>
      </c>
      <c r="BB767">
        <v>2262</v>
      </c>
      <c r="BC767">
        <v>2284</v>
      </c>
      <c r="BD767" t="s">
        <v>74</v>
      </c>
      <c r="BE767" t="s">
        <v>1050</v>
      </c>
      <c r="BF767" t="str">
        <f>HYPERLINK("http://dx.doi.org/10.1111/mec.15901","http://dx.doi.org/10.1111/mec.15901")</f>
        <v>http://dx.doi.org/10.1111/mec.15901</v>
      </c>
      <c r="BG767" t="s">
        <v>74</v>
      </c>
      <c r="BH767" t="s">
        <v>1051</v>
      </c>
      <c r="BI767" t="s">
        <v>74</v>
      </c>
      <c r="BJ767" t="s">
        <v>74</v>
      </c>
      <c r="BK767" t="s">
        <v>74</v>
      </c>
      <c r="BL767" t="s">
        <v>74</v>
      </c>
      <c r="BM767" t="s">
        <v>74</v>
      </c>
      <c r="BN767">
        <v>33772941</v>
      </c>
      <c r="BO767" t="s">
        <v>74</v>
      </c>
      <c r="BP767" t="s">
        <v>74</v>
      </c>
      <c r="BQ767" t="s">
        <v>74</v>
      </c>
      <c r="BR767" t="s">
        <v>74</v>
      </c>
      <c r="BS767" t="s">
        <v>1052</v>
      </c>
      <c r="BT767" t="str">
        <f>HYPERLINK("https%3A%2F%2Fwww.webofscience.com%2Fwos%2Fwoscc%2Ffull-record%2FWOS:000639399300001","View Full Record in Web of Science")</f>
        <v>View Full Record in Web of Science</v>
      </c>
    </row>
    <row r="768" spans="1:72" x14ac:dyDescent="0.4">
      <c r="A768" t="s">
        <v>72</v>
      </c>
      <c r="B768" t="s">
        <v>3717</v>
      </c>
      <c r="C768" t="s">
        <v>74</v>
      </c>
      <c r="D768" t="s">
        <v>74</v>
      </c>
      <c r="E768" t="s">
        <v>74</v>
      </c>
      <c r="F768" t="s">
        <v>3718</v>
      </c>
      <c r="G768" t="s">
        <v>74</v>
      </c>
      <c r="H768" t="s">
        <v>74</v>
      </c>
      <c r="I768" t="s">
        <v>3719</v>
      </c>
      <c r="J768" t="s">
        <v>333</v>
      </c>
      <c r="K768" t="s">
        <v>74</v>
      </c>
      <c r="L768" t="s">
        <v>74</v>
      </c>
      <c r="M768" t="s">
        <v>74</v>
      </c>
      <c r="N768" t="s">
        <v>74</v>
      </c>
      <c r="O768" t="s">
        <v>74</v>
      </c>
      <c r="P768" t="s">
        <v>74</v>
      </c>
      <c r="Q768" t="s">
        <v>74</v>
      </c>
      <c r="R768" t="s">
        <v>74</v>
      </c>
      <c r="S768" t="s">
        <v>74</v>
      </c>
      <c r="T768" t="s">
        <v>74</v>
      </c>
      <c r="U768" t="s">
        <v>74</v>
      </c>
      <c r="V768" s="3" t="s">
        <v>3720</v>
      </c>
      <c r="W768" t="s">
        <v>74</v>
      </c>
      <c r="X768" t="s">
        <v>74</v>
      </c>
      <c r="Y768" t="s">
        <v>74</v>
      </c>
      <c r="Z768" t="s">
        <v>74</v>
      </c>
      <c r="AA768" t="s">
        <v>3721</v>
      </c>
      <c r="AB768" t="s">
        <v>3722</v>
      </c>
      <c r="AC768" t="s">
        <v>74</v>
      </c>
      <c r="AD768" t="s">
        <v>74</v>
      </c>
      <c r="AE768" t="s">
        <v>74</v>
      </c>
      <c r="AF768" t="s">
        <v>74</v>
      </c>
      <c r="AG768" t="s">
        <v>74</v>
      </c>
      <c r="AH768" t="s">
        <v>74</v>
      </c>
      <c r="AI768" t="s">
        <v>74</v>
      </c>
      <c r="AJ768" t="s">
        <v>74</v>
      </c>
      <c r="AK768" t="s">
        <v>74</v>
      </c>
      <c r="AL768" t="s">
        <v>74</v>
      </c>
      <c r="AM768" t="s">
        <v>74</v>
      </c>
      <c r="AN768" t="s">
        <v>74</v>
      </c>
      <c r="AO768" t="s">
        <v>337</v>
      </c>
      <c r="AP768" t="s">
        <v>338</v>
      </c>
      <c r="AQ768" t="s">
        <v>74</v>
      </c>
      <c r="AR768" t="s">
        <v>74</v>
      </c>
      <c r="AS768" t="s">
        <v>74</v>
      </c>
      <c r="AT768" t="s">
        <v>339</v>
      </c>
      <c r="AU768">
        <v>2015</v>
      </c>
      <c r="AV768">
        <v>26</v>
      </c>
      <c r="AW768">
        <v>4</v>
      </c>
      <c r="AX768" t="s">
        <v>74</v>
      </c>
      <c r="AY768" t="s">
        <v>74</v>
      </c>
      <c r="AZ768" t="s">
        <v>74</v>
      </c>
      <c r="BA768" t="s">
        <v>74</v>
      </c>
      <c r="BB768">
        <v>1212</v>
      </c>
      <c r="BC768">
        <v>1218</v>
      </c>
      <c r="BD768" t="s">
        <v>74</v>
      </c>
      <c r="BE768" t="s">
        <v>3723</v>
      </c>
      <c r="BF768" t="str">
        <f>HYPERLINK("http://dx.doi.org/10.1093/beheco/arv068","http://dx.doi.org/10.1093/beheco/arv068")</f>
        <v>http://dx.doi.org/10.1093/beheco/arv068</v>
      </c>
      <c r="BG768" t="s">
        <v>74</v>
      </c>
      <c r="BH768" t="s">
        <v>74</v>
      </c>
      <c r="BI768" t="s">
        <v>74</v>
      </c>
      <c r="BJ768" t="s">
        <v>74</v>
      </c>
      <c r="BK768" t="s">
        <v>74</v>
      </c>
      <c r="BL768" t="s">
        <v>74</v>
      </c>
      <c r="BM768" t="s">
        <v>74</v>
      </c>
      <c r="BN768" t="s">
        <v>74</v>
      </c>
      <c r="BO768" t="s">
        <v>74</v>
      </c>
      <c r="BP768" t="s">
        <v>74</v>
      </c>
      <c r="BQ768" t="s">
        <v>74</v>
      </c>
      <c r="BR768" t="s">
        <v>74</v>
      </c>
      <c r="BS768" t="s">
        <v>3724</v>
      </c>
      <c r="BT768" t="str">
        <f>HYPERLINK("https%3A%2F%2Fwww.webofscience.com%2Fwos%2Fwoscc%2Ffull-record%2FWOS:000358171600034","View Full Record in Web of Science")</f>
        <v>View Full Record in Web of Science</v>
      </c>
    </row>
    <row r="769" spans="1:72" x14ac:dyDescent="0.4">
      <c r="A769" t="s">
        <v>72</v>
      </c>
      <c r="B769" t="s">
        <v>2826</v>
      </c>
      <c r="C769" t="s">
        <v>74</v>
      </c>
      <c r="D769" t="s">
        <v>74</v>
      </c>
      <c r="E769" t="s">
        <v>74</v>
      </c>
      <c r="F769" t="s">
        <v>2827</v>
      </c>
      <c r="G769" t="s">
        <v>74</v>
      </c>
      <c r="H769" t="s">
        <v>74</v>
      </c>
      <c r="I769" t="s">
        <v>2828</v>
      </c>
      <c r="J769" t="s">
        <v>140</v>
      </c>
      <c r="K769" t="s">
        <v>74</v>
      </c>
      <c r="L769" t="s">
        <v>74</v>
      </c>
      <c r="M769" t="s">
        <v>74</v>
      </c>
      <c r="N769" t="s">
        <v>74</v>
      </c>
      <c r="O769" t="s">
        <v>74</v>
      </c>
      <c r="P769" t="s">
        <v>74</v>
      </c>
      <c r="Q769" t="s">
        <v>74</v>
      </c>
      <c r="R769" t="s">
        <v>74</v>
      </c>
      <c r="S769" t="s">
        <v>74</v>
      </c>
      <c r="T769" t="s">
        <v>74</v>
      </c>
      <c r="U769" t="s">
        <v>74</v>
      </c>
      <c r="V769" s="3" t="s">
        <v>2829</v>
      </c>
      <c r="W769" t="s">
        <v>74</v>
      </c>
      <c r="X769" t="s">
        <v>74</v>
      </c>
      <c r="Y769" t="s">
        <v>74</v>
      </c>
      <c r="Z769" t="s">
        <v>74</v>
      </c>
      <c r="AA769" t="s">
        <v>74</v>
      </c>
      <c r="AB769" t="s">
        <v>2830</v>
      </c>
      <c r="AC769" t="s">
        <v>74</v>
      </c>
      <c r="AD769" t="s">
        <v>74</v>
      </c>
      <c r="AE769" t="s">
        <v>74</v>
      </c>
      <c r="AF769" t="s">
        <v>74</v>
      </c>
      <c r="AG769" t="s">
        <v>74</v>
      </c>
      <c r="AH769" t="s">
        <v>74</v>
      </c>
      <c r="AI769" t="s">
        <v>74</v>
      </c>
      <c r="AJ769" t="s">
        <v>74</v>
      </c>
      <c r="AK769" t="s">
        <v>74</v>
      </c>
      <c r="AL769" t="s">
        <v>74</v>
      </c>
      <c r="AM769" t="s">
        <v>74</v>
      </c>
      <c r="AN769" t="s">
        <v>74</v>
      </c>
      <c r="AO769" t="s">
        <v>143</v>
      </c>
      <c r="AP769" t="s">
        <v>144</v>
      </c>
      <c r="AQ769" t="s">
        <v>74</v>
      </c>
      <c r="AR769" t="s">
        <v>74</v>
      </c>
      <c r="AS769" t="s">
        <v>74</v>
      </c>
      <c r="AT769" t="s">
        <v>145</v>
      </c>
      <c r="AU769">
        <v>2022</v>
      </c>
      <c r="AV769">
        <v>190</v>
      </c>
      <c r="AW769" t="s">
        <v>74</v>
      </c>
      <c r="AX769" t="s">
        <v>74</v>
      </c>
      <c r="AY769" t="s">
        <v>74</v>
      </c>
      <c r="AZ769" t="s">
        <v>74</v>
      </c>
      <c r="BA769" t="s">
        <v>74</v>
      </c>
      <c r="BB769">
        <v>233</v>
      </c>
      <c r="BC769">
        <v>240</v>
      </c>
      <c r="BD769" t="s">
        <v>74</v>
      </c>
      <c r="BE769" t="s">
        <v>2831</v>
      </c>
      <c r="BF769" t="str">
        <f>HYPERLINK("http://dx.doi.org/10.1016/j.anbehav.2022.05.018","http://dx.doi.org/10.1016/j.anbehav.2022.05.018")</f>
        <v>http://dx.doi.org/10.1016/j.anbehav.2022.05.018</v>
      </c>
      <c r="BG769" t="s">
        <v>74</v>
      </c>
      <c r="BH769" t="s">
        <v>2832</v>
      </c>
      <c r="BI769" t="s">
        <v>74</v>
      </c>
      <c r="BJ769" t="s">
        <v>74</v>
      </c>
      <c r="BK769" t="s">
        <v>74</v>
      </c>
      <c r="BL769" t="s">
        <v>74</v>
      </c>
      <c r="BM769" t="s">
        <v>74</v>
      </c>
      <c r="BN769" t="s">
        <v>74</v>
      </c>
      <c r="BO769" t="s">
        <v>74</v>
      </c>
      <c r="BP769" t="s">
        <v>74</v>
      </c>
      <c r="BQ769" t="s">
        <v>74</v>
      </c>
      <c r="BR769" t="s">
        <v>74</v>
      </c>
      <c r="BS769" t="s">
        <v>2833</v>
      </c>
      <c r="BT769" t="str">
        <f>HYPERLINK("https%3A%2F%2Fwww.webofscience.com%2Fwos%2Fwoscc%2Ffull-record%2FWOS:000863984000003","View Full Record in Web of Science")</f>
        <v>View Full Record in Web of Science</v>
      </c>
    </row>
    <row r="770" spans="1:72" x14ac:dyDescent="0.4">
      <c r="A770" t="s">
        <v>72</v>
      </c>
      <c r="B770" t="s">
        <v>2381</v>
      </c>
      <c r="C770" t="s">
        <v>74</v>
      </c>
      <c r="D770" t="s">
        <v>74</v>
      </c>
      <c r="E770" t="s">
        <v>74</v>
      </c>
      <c r="F770" t="s">
        <v>2381</v>
      </c>
      <c r="G770" t="s">
        <v>74</v>
      </c>
      <c r="H770" t="s">
        <v>74</v>
      </c>
      <c r="I770" t="s">
        <v>2382</v>
      </c>
      <c r="J770" t="s">
        <v>77</v>
      </c>
      <c r="K770" t="s">
        <v>74</v>
      </c>
      <c r="L770" t="s">
        <v>74</v>
      </c>
      <c r="M770" t="s">
        <v>74</v>
      </c>
      <c r="N770" t="s">
        <v>74</v>
      </c>
      <c r="O770" t="s">
        <v>74</v>
      </c>
      <c r="P770" t="s">
        <v>74</v>
      </c>
      <c r="Q770" t="s">
        <v>74</v>
      </c>
      <c r="R770" t="s">
        <v>74</v>
      </c>
      <c r="S770" t="s">
        <v>74</v>
      </c>
      <c r="T770" t="s">
        <v>74</v>
      </c>
      <c r="U770" t="s">
        <v>74</v>
      </c>
      <c r="V770" s="3" t="s">
        <v>2383</v>
      </c>
      <c r="W770" t="s">
        <v>74</v>
      </c>
      <c r="X770" t="s">
        <v>74</v>
      </c>
      <c r="Y770" t="s">
        <v>74</v>
      </c>
      <c r="Z770" t="s">
        <v>74</v>
      </c>
      <c r="AA770" t="s">
        <v>74</v>
      </c>
      <c r="AB770" t="s">
        <v>74</v>
      </c>
      <c r="AC770" t="s">
        <v>74</v>
      </c>
      <c r="AD770" t="s">
        <v>74</v>
      </c>
      <c r="AE770" t="s">
        <v>74</v>
      </c>
      <c r="AF770" t="s">
        <v>74</v>
      </c>
      <c r="AG770" t="s">
        <v>74</v>
      </c>
      <c r="AH770" t="s">
        <v>74</v>
      </c>
      <c r="AI770" t="s">
        <v>74</v>
      </c>
      <c r="AJ770" t="s">
        <v>74</v>
      </c>
      <c r="AK770" t="s">
        <v>74</v>
      </c>
      <c r="AL770" t="s">
        <v>74</v>
      </c>
      <c r="AM770" t="s">
        <v>74</v>
      </c>
      <c r="AN770" t="s">
        <v>74</v>
      </c>
      <c r="AO770" t="s">
        <v>81</v>
      </c>
      <c r="AP770" t="s">
        <v>82</v>
      </c>
      <c r="AQ770" t="s">
        <v>74</v>
      </c>
      <c r="AR770" t="s">
        <v>74</v>
      </c>
      <c r="AS770" t="s">
        <v>74</v>
      </c>
      <c r="AT770" t="s">
        <v>74</v>
      </c>
      <c r="AU770">
        <v>1977</v>
      </c>
      <c r="AV770">
        <v>62</v>
      </c>
      <c r="AW770" t="s">
        <v>74</v>
      </c>
      <c r="AX770" t="s">
        <v>1276</v>
      </c>
      <c r="AY770" t="s">
        <v>74</v>
      </c>
      <c r="AZ770" t="s">
        <v>74</v>
      </c>
      <c r="BA770" t="s">
        <v>74</v>
      </c>
      <c r="BB770">
        <v>314</v>
      </c>
      <c r="BC770">
        <v>321</v>
      </c>
      <c r="BD770" t="s">
        <v>74</v>
      </c>
      <c r="BE770" t="s">
        <v>2384</v>
      </c>
      <c r="BF770" t="str">
        <f>HYPERLINK("http://dx.doi.org/10.1163/156853977X00162","http://dx.doi.org/10.1163/156853977X00162")</f>
        <v>http://dx.doi.org/10.1163/156853977X00162</v>
      </c>
      <c r="BG770" t="s">
        <v>74</v>
      </c>
      <c r="BH770" t="s">
        <v>74</v>
      </c>
      <c r="BI770" t="s">
        <v>74</v>
      </c>
      <c r="BJ770" t="s">
        <v>74</v>
      </c>
      <c r="BK770" t="s">
        <v>74</v>
      </c>
      <c r="BL770" t="s">
        <v>74</v>
      </c>
      <c r="BM770" t="s">
        <v>74</v>
      </c>
      <c r="BN770" t="s">
        <v>74</v>
      </c>
      <c r="BO770" t="s">
        <v>74</v>
      </c>
      <c r="BP770" t="s">
        <v>74</v>
      </c>
      <c r="BQ770" t="s">
        <v>74</v>
      </c>
      <c r="BR770" t="s">
        <v>74</v>
      </c>
      <c r="BS770" t="s">
        <v>2385</v>
      </c>
      <c r="BT770" t="str">
        <f>HYPERLINK("https%3A%2F%2Fwww.webofscience.com%2Fwos%2Fwoscc%2Ffull-record%2FWOS:A1977EA46300006","View Full Record in Web of Science")</f>
        <v>View Full Record in Web of Science</v>
      </c>
    </row>
    <row r="771" spans="1:72" x14ac:dyDescent="0.4">
      <c r="A771" t="s">
        <v>72</v>
      </c>
      <c r="B771" t="s">
        <v>7635</v>
      </c>
      <c r="C771" t="s">
        <v>74</v>
      </c>
      <c r="D771" t="s">
        <v>74</v>
      </c>
      <c r="E771" t="s">
        <v>74</v>
      </c>
      <c r="F771" t="s">
        <v>7636</v>
      </c>
      <c r="G771" t="s">
        <v>74</v>
      </c>
      <c r="H771" t="s">
        <v>74</v>
      </c>
      <c r="I771" t="s">
        <v>7637</v>
      </c>
      <c r="J771" t="s">
        <v>3100</v>
      </c>
      <c r="K771" t="s">
        <v>74</v>
      </c>
      <c r="L771" t="s">
        <v>74</v>
      </c>
      <c r="M771" t="s">
        <v>74</v>
      </c>
      <c r="N771" t="s">
        <v>74</v>
      </c>
      <c r="O771" t="s">
        <v>74</v>
      </c>
      <c r="P771" t="s">
        <v>74</v>
      </c>
      <c r="Q771" t="s">
        <v>74</v>
      </c>
      <c r="R771" t="s">
        <v>74</v>
      </c>
      <c r="S771" t="s">
        <v>74</v>
      </c>
      <c r="T771" t="s">
        <v>74</v>
      </c>
      <c r="U771" t="s">
        <v>74</v>
      </c>
      <c r="V771" s="3" t="s">
        <v>7638</v>
      </c>
      <c r="W771" t="s">
        <v>74</v>
      </c>
      <c r="X771" t="s">
        <v>74</v>
      </c>
      <c r="Y771" t="s">
        <v>74</v>
      </c>
      <c r="Z771" t="s">
        <v>74</v>
      </c>
      <c r="AA771" t="s">
        <v>74</v>
      </c>
      <c r="AB771" t="s">
        <v>7639</v>
      </c>
      <c r="AC771" t="s">
        <v>74</v>
      </c>
      <c r="AD771" t="s">
        <v>74</v>
      </c>
      <c r="AE771" t="s">
        <v>74</v>
      </c>
      <c r="AF771" t="s">
        <v>74</v>
      </c>
      <c r="AG771" t="s">
        <v>74</v>
      </c>
      <c r="AH771" t="s">
        <v>74</v>
      </c>
      <c r="AI771" t="s">
        <v>74</v>
      </c>
      <c r="AJ771" t="s">
        <v>74</v>
      </c>
      <c r="AK771" t="s">
        <v>74</v>
      </c>
      <c r="AL771" t="s">
        <v>74</v>
      </c>
      <c r="AM771" t="s">
        <v>74</v>
      </c>
      <c r="AN771" t="s">
        <v>74</v>
      </c>
      <c r="AO771" t="s">
        <v>74</v>
      </c>
      <c r="AP771" t="s">
        <v>3104</v>
      </c>
      <c r="AQ771" t="s">
        <v>74</v>
      </c>
      <c r="AR771" t="s">
        <v>74</v>
      </c>
      <c r="AS771" t="s">
        <v>74</v>
      </c>
      <c r="AT771" t="s">
        <v>7640</v>
      </c>
      <c r="AU771">
        <v>2023</v>
      </c>
      <c r="AV771">
        <v>9</v>
      </c>
      <c r="AW771" t="s">
        <v>74</v>
      </c>
      <c r="AX771" t="s">
        <v>74</v>
      </c>
      <c r="AY771" t="s">
        <v>74</v>
      </c>
      <c r="AZ771" t="s">
        <v>74</v>
      </c>
      <c r="BA771" t="s">
        <v>74</v>
      </c>
      <c r="BB771" t="s">
        <v>74</v>
      </c>
      <c r="BC771" t="s">
        <v>74</v>
      </c>
      <c r="BD771">
        <v>1070206</v>
      </c>
      <c r="BE771" t="s">
        <v>7641</v>
      </c>
      <c r="BF771" t="str">
        <f>HYPERLINK("http://dx.doi.org/10.3389/fvets.2022.1070206","http://dx.doi.org/10.3389/fvets.2022.1070206")</f>
        <v>http://dx.doi.org/10.3389/fvets.2022.1070206</v>
      </c>
      <c r="BG771" t="s">
        <v>74</v>
      </c>
      <c r="BH771" t="s">
        <v>74</v>
      </c>
      <c r="BI771" t="s">
        <v>74</v>
      </c>
      <c r="BJ771" t="s">
        <v>74</v>
      </c>
      <c r="BK771" t="s">
        <v>74</v>
      </c>
      <c r="BL771" t="s">
        <v>74</v>
      </c>
      <c r="BM771" t="s">
        <v>74</v>
      </c>
      <c r="BN771">
        <v>36713853</v>
      </c>
      <c r="BO771" t="s">
        <v>74</v>
      </c>
      <c r="BP771" t="s">
        <v>74</v>
      </c>
      <c r="BQ771" t="s">
        <v>74</v>
      </c>
      <c r="BR771" t="s">
        <v>74</v>
      </c>
      <c r="BS771" t="s">
        <v>7642</v>
      </c>
      <c r="BT771" t="str">
        <f>HYPERLINK("https%3A%2F%2Fwww.webofscience.com%2Fwos%2Fwoscc%2Ffull-record%2FWOS:000920676700001","View Full Record in Web of Science")</f>
        <v>View Full Record in Web of Science</v>
      </c>
    </row>
    <row r="772" spans="1:72" x14ac:dyDescent="0.4">
      <c r="A772" t="s">
        <v>72</v>
      </c>
      <c r="B772" t="s">
        <v>3578</v>
      </c>
      <c r="C772" t="s">
        <v>74</v>
      </c>
      <c r="D772" t="s">
        <v>74</v>
      </c>
      <c r="E772" t="s">
        <v>74</v>
      </c>
      <c r="F772" t="s">
        <v>3579</v>
      </c>
      <c r="G772" t="s">
        <v>74</v>
      </c>
      <c r="H772" t="s">
        <v>74</v>
      </c>
      <c r="I772" t="s">
        <v>3580</v>
      </c>
      <c r="J772" t="s">
        <v>201</v>
      </c>
      <c r="K772" t="s">
        <v>74</v>
      </c>
      <c r="L772" t="s">
        <v>74</v>
      </c>
      <c r="M772" t="s">
        <v>74</v>
      </c>
      <c r="N772" t="s">
        <v>74</v>
      </c>
      <c r="O772" t="s">
        <v>74</v>
      </c>
      <c r="P772" t="s">
        <v>74</v>
      </c>
      <c r="Q772" t="s">
        <v>74</v>
      </c>
      <c r="R772" t="s">
        <v>74</v>
      </c>
      <c r="S772" t="s">
        <v>74</v>
      </c>
      <c r="T772" t="s">
        <v>74</v>
      </c>
      <c r="U772" t="s">
        <v>74</v>
      </c>
      <c r="V772" s="3" t="s">
        <v>3581</v>
      </c>
      <c r="W772" t="s">
        <v>74</v>
      </c>
      <c r="X772" t="s">
        <v>74</v>
      </c>
      <c r="Y772" t="s">
        <v>74</v>
      </c>
      <c r="Z772" t="s">
        <v>74</v>
      </c>
      <c r="AA772" t="s">
        <v>74</v>
      </c>
      <c r="AB772" t="s">
        <v>3582</v>
      </c>
      <c r="AC772" t="s">
        <v>74</v>
      </c>
      <c r="AD772" t="s">
        <v>74</v>
      </c>
      <c r="AE772" t="s">
        <v>74</v>
      </c>
      <c r="AF772" t="s">
        <v>74</v>
      </c>
      <c r="AG772" t="s">
        <v>74</v>
      </c>
      <c r="AH772" t="s">
        <v>74</v>
      </c>
      <c r="AI772" t="s">
        <v>74</v>
      </c>
      <c r="AJ772" t="s">
        <v>74</v>
      </c>
      <c r="AK772" t="s">
        <v>74</v>
      </c>
      <c r="AL772" t="s">
        <v>74</v>
      </c>
      <c r="AM772" t="s">
        <v>74</v>
      </c>
      <c r="AN772" t="s">
        <v>74</v>
      </c>
      <c r="AO772" t="s">
        <v>203</v>
      </c>
      <c r="AP772" t="s">
        <v>1192</v>
      </c>
      <c r="AQ772" t="s">
        <v>74</v>
      </c>
      <c r="AR772" t="s">
        <v>74</v>
      </c>
      <c r="AS772" t="s">
        <v>74</v>
      </c>
      <c r="AT772" t="s">
        <v>204</v>
      </c>
      <c r="AU772">
        <v>2020</v>
      </c>
      <c r="AV772">
        <v>97</v>
      </c>
      <c r="AW772">
        <v>1</v>
      </c>
      <c r="AX772" t="s">
        <v>74</v>
      </c>
      <c r="AY772" t="s">
        <v>74</v>
      </c>
      <c r="AZ772" t="s">
        <v>74</v>
      </c>
      <c r="BA772" t="s">
        <v>74</v>
      </c>
      <c r="BB772">
        <v>75</v>
      </c>
      <c r="BC772">
        <v>82</v>
      </c>
      <c r="BD772" t="s">
        <v>74</v>
      </c>
      <c r="BE772" t="s">
        <v>3583</v>
      </c>
      <c r="BF772" t="str">
        <f>HYPERLINK("http://dx.doi.org/10.1111/jfb.14327","http://dx.doi.org/10.1111/jfb.14327")</f>
        <v>http://dx.doi.org/10.1111/jfb.14327</v>
      </c>
      <c r="BG772" t="s">
        <v>74</v>
      </c>
      <c r="BH772" t="s">
        <v>3584</v>
      </c>
      <c r="BI772" t="s">
        <v>74</v>
      </c>
      <c r="BJ772" t="s">
        <v>74</v>
      </c>
      <c r="BK772" t="s">
        <v>74</v>
      </c>
      <c r="BL772" t="s">
        <v>74</v>
      </c>
      <c r="BM772" t="s">
        <v>74</v>
      </c>
      <c r="BN772">
        <v>32291745</v>
      </c>
      <c r="BO772" t="s">
        <v>74</v>
      </c>
      <c r="BP772" t="s">
        <v>74</v>
      </c>
      <c r="BQ772" t="s">
        <v>74</v>
      </c>
      <c r="BR772" t="s">
        <v>74</v>
      </c>
      <c r="BS772" t="s">
        <v>3585</v>
      </c>
      <c r="BT772" t="str">
        <f>HYPERLINK("https%3A%2F%2Fwww.webofscience.com%2Fwos%2Fwoscc%2Ffull-record%2FWOS:000550050100001","View Full Record in Web of Science")</f>
        <v>View Full Record in Web of Science</v>
      </c>
    </row>
    <row r="773" spans="1:72" x14ac:dyDescent="0.4">
      <c r="A773" t="s">
        <v>72</v>
      </c>
      <c r="B773" t="s">
        <v>6559</v>
      </c>
      <c r="C773" t="s">
        <v>74</v>
      </c>
      <c r="D773" t="s">
        <v>74</v>
      </c>
      <c r="E773" t="s">
        <v>74</v>
      </c>
      <c r="F773" t="s">
        <v>6559</v>
      </c>
      <c r="G773" t="s">
        <v>74</v>
      </c>
      <c r="H773" t="s">
        <v>74</v>
      </c>
      <c r="I773" t="s">
        <v>6560</v>
      </c>
      <c r="J773" t="s">
        <v>1673</v>
      </c>
      <c r="K773" t="s">
        <v>74</v>
      </c>
      <c r="L773" t="s">
        <v>74</v>
      </c>
      <c r="M773" t="s">
        <v>74</v>
      </c>
      <c r="N773" t="s">
        <v>74</v>
      </c>
      <c r="O773" t="s">
        <v>74</v>
      </c>
      <c r="P773" t="s">
        <v>74</v>
      </c>
      <c r="Q773" t="s">
        <v>74</v>
      </c>
      <c r="R773" t="s">
        <v>74</v>
      </c>
      <c r="S773" t="s">
        <v>74</v>
      </c>
      <c r="T773" t="s">
        <v>74</v>
      </c>
      <c r="U773" t="s">
        <v>74</v>
      </c>
      <c r="V773" s="3" t="s">
        <v>6561</v>
      </c>
      <c r="W773" t="s">
        <v>74</v>
      </c>
      <c r="X773" t="s">
        <v>74</v>
      </c>
      <c r="Y773" t="s">
        <v>74</v>
      </c>
      <c r="Z773" t="s">
        <v>74</v>
      </c>
      <c r="AA773" t="s">
        <v>74</v>
      </c>
      <c r="AB773" t="s">
        <v>74</v>
      </c>
      <c r="AC773" t="s">
        <v>74</v>
      </c>
      <c r="AD773" t="s">
        <v>74</v>
      </c>
      <c r="AE773" t="s">
        <v>74</v>
      </c>
      <c r="AF773" t="s">
        <v>74</v>
      </c>
      <c r="AG773" t="s">
        <v>74</v>
      </c>
      <c r="AH773" t="s">
        <v>74</v>
      </c>
      <c r="AI773" t="s">
        <v>74</v>
      </c>
      <c r="AJ773" t="s">
        <v>74</v>
      </c>
      <c r="AK773" t="s">
        <v>74</v>
      </c>
      <c r="AL773" t="s">
        <v>74</v>
      </c>
      <c r="AM773" t="s">
        <v>74</v>
      </c>
      <c r="AN773" t="s">
        <v>74</v>
      </c>
      <c r="AO773" t="s">
        <v>1239</v>
      </c>
      <c r="AP773" t="s">
        <v>1675</v>
      </c>
      <c r="AQ773" t="s">
        <v>74</v>
      </c>
      <c r="AR773" t="s">
        <v>74</v>
      </c>
      <c r="AS773" t="s">
        <v>74</v>
      </c>
      <c r="AT773" t="s">
        <v>633</v>
      </c>
      <c r="AU773">
        <v>1986</v>
      </c>
      <c r="AV773">
        <v>64</v>
      </c>
      <c r="AW773">
        <v>4</v>
      </c>
      <c r="AX773" t="s">
        <v>74</v>
      </c>
      <c r="AY773" t="s">
        <v>74</v>
      </c>
      <c r="AZ773" t="s">
        <v>74</v>
      </c>
      <c r="BA773" t="s">
        <v>74</v>
      </c>
      <c r="BB773">
        <v>867</v>
      </c>
      <c r="BC773">
        <v>874</v>
      </c>
      <c r="BD773" t="s">
        <v>74</v>
      </c>
      <c r="BE773" t="s">
        <v>6562</v>
      </c>
      <c r="BF773" t="str">
        <f>HYPERLINK("http://dx.doi.org/10.1139/z86-130","http://dx.doi.org/10.1139/z86-130")</f>
        <v>http://dx.doi.org/10.1139/z86-130</v>
      </c>
      <c r="BG773" t="s">
        <v>74</v>
      </c>
      <c r="BH773" t="s">
        <v>74</v>
      </c>
      <c r="BI773" t="s">
        <v>74</v>
      </c>
      <c r="BJ773" t="s">
        <v>74</v>
      </c>
      <c r="BK773" t="s">
        <v>74</v>
      </c>
      <c r="BL773" t="s">
        <v>74</v>
      </c>
      <c r="BM773" t="s">
        <v>74</v>
      </c>
      <c r="BN773" t="s">
        <v>74</v>
      </c>
      <c r="BO773" t="s">
        <v>74</v>
      </c>
      <c r="BP773" t="s">
        <v>74</v>
      </c>
      <c r="BQ773" t="s">
        <v>74</v>
      </c>
      <c r="BR773" t="s">
        <v>74</v>
      </c>
      <c r="BS773" t="s">
        <v>6563</v>
      </c>
      <c r="BT773" t="str">
        <f>HYPERLINK("https%3A%2F%2Fwww.webofscience.com%2Fwos%2Fwoscc%2Ffull-record%2FWOS:A1986C507200011","View Full Record in Web of Science")</f>
        <v>View Full Record in Web of Science</v>
      </c>
    </row>
    <row r="774" spans="1:72" x14ac:dyDescent="0.4">
      <c r="A774" t="s">
        <v>72</v>
      </c>
      <c r="B774" t="s">
        <v>1740</v>
      </c>
      <c r="C774" t="s">
        <v>74</v>
      </c>
      <c r="D774" t="s">
        <v>74</v>
      </c>
      <c r="E774" t="s">
        <v>74</v>
      </c>
      <c r="F774" t="s">
        <v>1741</v>
      </c>
      <c r="G774" t="s">
        <v>74</v>
      </c>
      <c r="H774" t="s">
        <v>74</v>
      </c>
      <c r="I774" t="s">
        <v>1742</v>
      </c>
      <c r="J774" t="s">
        <v>1743</v>
      </c>
      <c r="K774" t="s">
        <v>74</v>
      </c>
      <c r="L774" t="s">
        <v>74</v>
      </c>
      <c r="M774" t="s">
        <v>74</v>
      </c>
      <c r="N774" t="s">
        <v>74</v>
      </c>
      <c r="O774" t="s">
        <v>74</v>
      </c>
      <c r="P774" t="s">
        <v>74</v>
      </c>
      <c r="Q774" t="s">
        <v>74</v>
      </c>
      <c r="R774" t="s">
        <v>74</v>
      </c>
      <c r="S774" t="s">
        <v>74</v>
      </c>
      <c r="T774" t="s">
        <v>74</v>
      </c>
      <c r="U774" t="s">
        <v>74</v>
      </c>
      <c r="V774" s="3" t="s">
        <v>1744</v>
      </c>
      <c r="W774" t="s">
        <v>74</v>
      </c>
      <c r="X774" t="s">
        <v>74</v>
      </c>
      <c r="Y774" t="s">
        <v>74</v>
      </c>
      <c r="Z774" t="s">
        <v>74</v>
      </c>
      <c r="AA774" t="s">
        <v>1745</v>
      </c>
      <c r="AB774" t="s">
        <v>74</v>
      </c>
      <c r="AC774" t="s">
        <v>74</v>
      </c>
      <c r="AD774" t="s">
        <v>74</v>
      </c>
      <c r="AE774" t="s">
        <v>74</v>
      </c>
      <c r="AF774" t="s">
        <v>74</v>
      </c>
      <c r="AG774" t="s">
        <v>74</v>
      </c>
      <c r="AH774" t="s">
        <v>74</v>
      </c>
      <c r="AI774" t="s">
        <v>74</v>
      </c>
      <c r="AJ774" t="s">
        <v>74</v>
      </c>
      <c r="AK774" t="s">
        <v>74</v>
      </c>
      <c r="AL774" t="s">
        <v>74</v>
      </c>
      <c r="AM774" t="s">
        <v>74</v>
      </c>
      <c r="AN774" t="s">
        <v>74</v>
      </c>
      <c r="AO774" t="s">
        <v>1746</v>
      </c>
      <c r="AP774" t="s">
        <v>74</v>
      </c>
      <c r="AQ774" t="s">
        <v>74</v>
      </c>
      <c r="AR774" t="s">
        <v>74</v>
      </c>
      <c r="AS774" t="s">
        <v>74</v>
      </c>
      <c r="AT774" t="s">
        <v>255</v>
      </c>
      <c r="AU774">
        <v>2008</v>
      </c>
      <c r="AV774">
        <v>25</v>
      </c>
      <c r="AW774">
        <v>1</v>
      </c>
      <c r="AX774" t="s">
        <v>74</v>
      </c>
      <c r="AY774" t="s">
        <v>74</v>
      </c>
      <c r="AZ774" t="s">
        <v>74</v>
      </c>
      <c r="BA774" t="s">
        <v>74</v>
      </c>
      <c r="BB774">
        <v>1</v>
      </c>
      <c r="BC774">
        <v>5</v>
      </c>
      <c r="BD774" t="s">
        <v>74</v>
      </c>
      <c r="BE774" t="s">
        <v>1747</v>
      </c>
      <c r="BF774" t="str">
        <f>HYPERLINK("http://dx.doi.org/10.2108/zsj.25.1","http://dx.doi.org/10.2108/zsj.25.1")</f>
        <v>http://dx.doi.org/10.2108/zsj.25.1</v>
      </c>
      <c r="BG774" t="s">
        <v>74</v>
      </c>
      <c r="BH774" t="s">
        <v>74</v>
      </c>
      <c r="BI774" t="s">
        <v>74</v>
      </c>
      <c r="BJ774" t="s">
        <v>74</v>
      </c>
      <c r="BK774" t="s">
        <v>74</v>
      </c>
      <c r="BL774" t="s">
        <v>74</v>
      </c>
      <c r="BM774" t="s">
        <v>74</v>
      </c>
      <c r="BN774">
        <v>18275238</v>
      </c>
      <c r="BO774" t="s">
        <v>74</v>
      </c>
      <c r="BP774" t="s">
        <v>74</v>
      </c>
      <c r="BQ774" t="s">
        <v>74</v>
      </c>
      <c r="BR774" t="s">
        <v>74</v>
      </c>
      <c r="BS774" t="s">
        <v>1748</v>
      </c>
      <c r="BT774" t="str">
        <f>HYPERLINK("https%3A%2F%2Fwww.webofscience.com%2Fwos%2Fwoscc%2Ffull-record%2FWOS:000256943500001","View Full Record in Web of Science")</f>
        <v>View Full Record in Web of Science</v>
      </c>
    </row>
    <row r="775" spans="1:72" x14ac:dyDescent="0.4">
      <c r="A775" t="s">
        <v>72</v>
      </c>
      <c r="B775" t="s">
        <v>6175</v>
      </c>
      <c r="C775" t="s">
        <v>74</v>
      </c>
      <c r="D775" t="s">
        <v>74</v>
      </c>
      <c r="E775" t="s">
        <v>74</v>
      </c>
      <c r="F775" t="s">
        <v>6176</v>
      </c>
      <c r="G775" t="s">
        <v>74</v>
      </c>
      <c r="H775" t="s">
        <v>74</v>
      </c>
      <c r="I775" t="s">
        <v>6177</v>
      </c>
      <c r="J775" t="s">
        <v>5577</v>
      </c>
      <c r="K775" t="s">
        <v>74</v>
      </c>
      <c r="L775" t="s">
        <v>74</v>
      </c>
      <c r="M775" t="s">
        <v>74</v>
      </c>
      <c r="N775" t="s">
        <v>74</v>
      </c>
      <c r="O775" t="s">
        <v>74</v>
      </c>
      <c r="P775" t="s">
        <v>74</v>
      </c>
      <c r="Q775" t="s">
        <v>74</v>
      </c>
      <c r="R775" t="s">
        <v>74</v>
      </c>
      <c r="S775" t="s">
        <v>74</v>
      </c>
      <c r="T775" t="s">
        <v>74</v>
      </c>
      <c r="U775" t="s">
        <v>74</v>
      </c>
      <c r="V775" s="3" t="s">
        <v>6178</v>
      </c>
      <c r="W775" t="s">
        <v>74</v>
      </c>
      <c r="X775" t="s">
        <v>74</v>
      </c>
      <c r="Y775" t="s">
        <v>74</v>
      </c>
      <c r="Z775" t="s">
        <v>74</v>
      </c>
      <c r="AA775" t="s">
        <v>6179</v>
      </c>
      <c r="AB775" t="s">
        <v>6180</v>
      </c>
      <c r="AC775" t="s">
        <v>74</v>
      </c>
      <c r="AD775" t="s">
        <v>74</v>
      </c>
      <c r="AE775" t="s">
        <v>74</v>
      </c>
      <c r="AF775" t="s">
        <v>74</v>
      </c>
      <c r="AG775" t="s">
        <v>74</v>
      </c>
      <c r="AH775" t="s">
        <v>74</v>
      </c>
      <c r="AI775" t="s">
        <v>74</v>
      </c>
      <c r="AJ775" t="s">
        <v>74</v>
      </c>
      <c r="AK775" t="s">
        <v>74</v>
      </c>
      <c r="AL775" t="s">
        <v>74</v>
      </c>
      <c r="AM775" t="s">
        <v>74</v>
      </c>
      <c r="AN775" t="s">
        <v>74</v>
      </c>
      <c r="AO775" t="s">
        <v>5579</v>
      </c>
      <c r="AP775" t="s">
        <v>74</v>
      </c>
      <c r="AQ775" t="s">
        <v>74</v>
      </c>
      <c r="AR775" t="s">
        <v>74</v>
      </c>
      <c r="AS775" t="s">
        <v>74</v>
      </c>
      <c r="AT775" t="s">
        <v>255</v>
      </c>
      <c r="AU775">
        <v>2018</v>
      </c>
      <c r="AV775">
        <v>97</v>
      </c>
      <c r="AW775">
        <v>1</v>
      </c>
      <c r="AX775" t="s">
        <v>74</v>
      </c>
      <c r="AY775" t="s">
        <v>74</v>
      </c>
      <c r="AZ775" t="s">
        <v>74</v>
      </c>
      <c r="BA775" t="s">
        <v>74</v>
      </c>
      <c r="BB775">
        <v>56</v>
      </c>
      <c r="BC775">
        <v>66</v>
      </c>
      <c r="BD775" t="s">
        <v>74</v>
      </c>
      <c r="BE775" t="s">
        <v>6181</v>
      </c>
      <c r="BF775" t="str">
        <f>HYPERLINK("http://dx.doi.org/10.7868/S0044513418010051","http://dx.doi.org/10.7868/S0044513418010051")</f>
        <v>http://dx.doi.org/10.7868/S0044513418010051</v>
      </c>
      <c r="BG775" t="s">
        <v>74</v>
      </c>
      <c r="BH775" t="s">
        <v>74</v>
      </c>
      <c r="BI775" t="s">
        <v>74</v>
      </c>
      <c r="BJ775" t="s">
        <v>74</v>
      </c>
      <c r="BK775" t="s">
        <v>74</v>
      </c>
      <c r="BL775" t="s">
        <v>74</v>
      </c>
      <c r="BM775" t="s">
        <v>74</v>
      </c>
      <c r="BN775" t="s">
        <v>74</v>
      </c>
      <c r="BO775" t="s">
        <v>74</v>
      </c>
      <c r="BP775" t="s">
        <v>74</v>
      </c>
      <c r="BQ775" t="s">
        <v>74</v>
      </c>
      <c r="BR775" t="s">
        <v>74</v>
      </c>
      <c r="BS775" t="s">
        <v>6182</v>
      </c>
      <c r="BT775" t="str">
        <f>HYPERLINK("https%3A%2F%2Fwww.webofscience.com%2Fwos%2Fwoscc%2Ffull-record%2FWOS:000429884500005","View Full Record in Web of Science")</f>
        <v>View Full Record in Web of Science</v>
      </c>
    </row>
    <row r="776" spans="1:72" x14ac:dyDescent="0.4">
      <c r="A776" t="s">
        <v>72</v>
      </c>
      <c r="B776" t="s">
        <v>3039</v>
      </c>
      <c r="C776" t="s">
        <v>74</v>
      </c>
      <c r="D776" t="s">
        <v>74</v>
      </c>
      <c r="E776" t="s">
        <v>74</v>
      </c>
      <c r="F776" t="s">
        <v>3040</v>
      </c>
      <c r="G776" t="s">
        <v>74</v>
      </c>
      <c r="H776" t="s">
        <v>74</v>
      </c>
      <c r="I776" t="s">
        <v>3041</v>
      </c>
      <c r="J776" t="s">
        <v>3042</v>
      </c>
      <c r="K776" t="s">
        <v>74</v>
      </c>
      <c r="L776" t="s">
        <v>74</v>
      </c>
      <c r="M776" t="s">
        <v>74</v>
      </c>
      <c r="N776" t="s">
        <v>74</v>
      </c>
      <c r="O776" t="s">
        <v>74</v>
      </c>
      <c r="P776" t="s">
        <v>74</v>
      </c>
      <c r="Q776" t="s">
        <v>74</v>
      </c>
      <c r="R776" t="s">
        <v>74</v>
      </c>
      <c r="S776" t="s">
        <v>74</v>
      </c>
      <c r="T776" t="s">
        <v>74</v>
      </c>
      <c r="U776" t="s">
        <v>74</v>
      </c>
      <c r="V776" s="3" t="s">
        <v>3043</v>
      </c>
      <c r="W776" t="s">
        <v>74</v>
      </c>
      <c r="X776" t="s">
        <v>74</v>
      </c>
      <c r="Y776" t="s">
        <v>74</v>
      </c>
      <c r="Z776" t="s">
        <v>74</v>
      </c>
      <c r="AA776" t="s">
        <v>74</v>
      </c>
      <c r="AB776" t="s">
        <v>3044</v>
      </c>
      <c r="AC776" t="s">
        <v>74</v>
      </c>
      <c r="AD776" t="s">
        <v>74</v>
      </c>
      <c r="AE776" t="s">
        <v>74</v>
      </c>
      <c r="AF776" t="s">
        <v>74</v>
      </c>
      <c r="AG776" t="s">
        <v>74</v>
      </c>
      <c r="AH776" t="s">
        <v>74</v>
      </c>
      <c r="AI776" t="s">
        <v>74</v>
      </c>
      <c r="AJ776" t="s">
        <v>74</v>
      </c>
      <c r="AK776" t="s">
        <v>74</v>
      </c>
      <c r="AL776" t="s">
        <v>74</v>
      </c>
      <c r="AM776" t="s">
        <v>74</v>
      </c>
      <c r="AN776" t="s">
        <v>74</v>
      </c>
      <c r="AO776" t="s">
        <v>1458</v>
      </c>
      <c r="AP776" t="s">
        <v>3045</v>
      </c>
      <c r="AQ776" t="s">
        <v>74</v>
      </c>
      <c r="AR776" t="s">
        <v>74</v>
      </c>
      <c r="AS776" t="s">
        <v>74</v>
      </c>
      <c r="AT776" t="s">
        <v>3046</v>
      </c>
      <c r="AU776">
        <v>2023</v>
      </c>
      <c r="AV776">
        <v>140</v>
      </c>
      <c r="AW776">
        <v>2</v>
      </c>
      <c r="AX776" t="s">
        <v>74</v>
      </c>
      <c r="AY776" t="s">
        <v>74</v>
      </c>
      <c r="AZ776" t="s">
        <v>74</v>
      </c>
      <c r="BA776" t="s">
        <v>74</v>
      </c>
      <c r="BB776" t="s">
        <v>74</v>
      </c>
      <c r="BC776" t="s">
        <v>74</v>
      </c>
      <c r="BD776" t="s">
        <v>74</v>
      </c>
      <c r="BE776" t="s">
        <v>3047</v>
      </c>
      <c r="BF776" t="str">
        <f>HYPERLINK("http://dx.doi.org/10.1093/ornithology/ukad002","http://dx.doi.org/10.1093/ornithology/ukad002")</f>
        <v>http://dx.doi.org/10.1093/ornithology/ukad002</v>
      </c>
      <c r="BG776" t="s">
        <v>74</v>
      </c>
      <c r="BH776" t="s">
        <v>3048</v>
      </c>
      <c r="BI776" t="s">
        <v>74</v>
      </c>
      <c r="BJ776" t="s">
        <v>74</v>
      </c>
      <c r="BK776" t="s">
        <v>74</v>
      </c>
      <c r="BL776" t="s">
        <v>74</v>
      </c>
      <c r="BM776" t="s">
        <v>74</v>
      </c>
      <c r="BN776" t="s">
        <v>74</v>
      </c>
      <c r="BO776" t="s">
        <v>74</v>
      </c>
      <c r="BP776" t="s">
        <v>74</v>
      </c>
      <c r="BQ776" t="s">
        <v>74</v>
      </c>
      <c r="BR776" t="s">
        <v>74</v>
      </c>
      <c r="BS776" t="s">
        <v>3049</v>
      </c>
      <c r="BT776" t="str">
        <f>HYPERLINK("https%3A%2F%2Fwww.webofscience.com%2Fwos%2Fwoscc%2Ffull-record%2FWOS:000959502700001","View Full Record in Web of Science")</f>
        <v>View Full Record in Web of Science</v>
      </c>
    </row>
    <row r="777" spans="1:72" x14ac:dyDescent="0.4">
      <c r="A777" t="s">
        <v>72</v>
      </c>
      <c r="B777" t="s">
        <v>73</v>
      </c>
      <c r="C777" t="s">
        <v>74</v>
      </c>
      <c r="D777" t="s">
        <v>74</v>
      </c>
      <c r="E777" t="s">
        <v>74</v>
      </c>
      <c r="F777" t="s">
        <v>75</v>
      </c>
      <c r="G777" t="s">
        <v>74</v>
      </c>
      <c r="H777" t="s">
        <v>74</v>
      </c>
      <c r="I777" t="s">
        <v>76</v>
      </c>
      <c r="J777" t="s">
        <v>77</v>
      </c>
      <c r="K777" t="s">
        <v>74</v>
      </c>
      <c r="L777" t="s">
        <v>74</v>
      </c>
      <c r="M777" t="s">
        <v>74</v>
      </c>
      <c r="N777" t="s">
        <v>74</v>
      </c>
      <c r="O777" t="s">
        <v>74</v>
      </c>
      <c r="P777" t="s">
        <v>74</v>
      </c>
      <c r="Q777" t="s">
        <v>74</v>
      </c>
      <c r="R777" t="s">
        <v>74</v>
      </c>
      <c r="S777" t="s">
        <v>74</v>
      </c>
      <c r="T777" t="s">
        <v>74</v>
      </c>
      <c r="U777" t="s">
        <v>74</v>
      </c>
      <c r="V777" s="3" t="s">
        <v>78</v>
      </c>
      <c r="W777" t="s">
        <v>74</v>
      </c>
      <c r="X777" t="s">
        <v>74</v>
      </c>
      <c r="Y777" t="s">
        <v>74</v>
      </c>
      <c r="Z777" t="s">
        <v>74</v>
      </c>
      <c r="AA777" t="s">
        <v>79</v>
      </c>
      <c r="AB777" t="s">
        <v>80</v>
      </c>
      <c r="AC777" t="s">
        <v>74</v>
      </c>
      <c r="AD777" t="s">
        <v>74</v>
      </c>
      <c r="AE777" t="s">
        <v>74</v>
      </c>
      <c r="AF777" t="s">
        <v>74</v>
      </c>
      <c r="AG777" t="s">
        <v>74</v>
      </c>
      <c r="AH777" t="s">
        <v>74</v>
      </c>
      <c r="AI777" t="s">
        <v>74</v>
      </c>
      <c r="AJ777" t="s">
        <v>74</v>
      </c>
      <c r="AK777" t="s">
        <v>74</v>
      </c>
      <c r="AL777" t="s">
        <v>74</v>
      </c>
      <c r="AM777" t="s">
        <v>74</v>
      </c>
      <c r="AN777" t="s">
        <v>74</v>
      </c>
      <c r="AO777" t="s">
        <v>81</v>
      </c>
      <c r="AP777" t="s">
        <v>82</v>
      </c>
      <c r="AQ777" t="s">
        <v>74</v>
      </c>
      <c r="AR777" t="s">
        <v>74</v>
      </c>
      <c r="AS777" t="s">
        <v>74</v>
      </c>
      <c r="AT777" t="s">
        <v>74</v>
      </c>
      <c r="AU777">
        <v>2009</v>
      </c>
      <c r="AV777">
        <v>146</v>
      </c>
      <c r="AW777" t="s">
        <v>74</v>
      </c>
      <c r="AX777">
        <v>6</v>
      </c>
      <c r="AY777" t="s">
        <v>74</v>
      </c>
      <c r="AZ777" t="s">
        <v>74</v>
      </c>
      <c r="BA777" t="s">
        <v>74</v>
      </c>
      <c r="BB777">
        <v>741</v>
      </c>
      <c r="BC777">
        <v>756</v>
      </c>
      <c r="BD777" t="s">
        <v>74</v>
      </c>
      <c r="BE777" t="s">
        <v>83</v>
      </c>
      <c r="BF777" t="str">
        <f>HYPERLINK("http://dx.doi.org/10.1163/156853909X446181","http://dx.doi.org/10.1163/156853909X446181")</f>
        <v>http://dx.doi.org/10.1163/156853909X446181</v>
      </c>
      <c r="BG777" t="s">
        <v>74</v>
      </c>
      <c r="BH777" t="s">
        <v>74</v>
      </c>
      <c r="BI777" t="s">
        <v>74</v>
      </c>
      <c r="BJ777" t="s">
        <v>74</v>
      </c>
      <c r="BK777" t="s">
        <v>74</v>
      </c>
      <c r="BL777" t="s">
        <v>74</v>
      </c>
      <c r="BM777" t="s">
        <v>74</v>
      </c>
      <c r="BN777" t="s">
        <v>74</v>
      </c>
      <c r="BO777" t="s">
        <v>74</v>
      </c>
      <c r="BP777" t="s">
        <v>74</v>
      </c>
      <c r="BQ777" t="s">
        <v>74</v>
      </c>
      <c r="BR777" t="s">
        <v>74</v>
      </c>
      <c r="BS777" t="s">
        <v>84</v>
      </c>
      <c r="BT777" t="str">
        <f>HYPERLINK("https%3A%2F%2Fwww.webofscience.com%2Fwos%2Fwoscc%2Ffull-record%2FWOS:000267018400002","View Full Record in Web of Science")</f>
        <v>View Full Record in Web of Science</v>
      </c>
    </row>
    <row r="778" spans="1:72" x14ac:dyDescent="0.4">
      <c r="A778" t="s">
        <v>72</v>
      </c>
      <c r="B778" t="s">
        <v>4710</v>
      </c>
      <c r="C778" t="s">
        <v>74</v>
      </c>
      <c r="D778" t="s">
        <v>74</v>
      </c>
      <c r="E778" t="s">
        <v>74</v>
      </c>
      <c r="F778" t="s">
        <v>4711</v>
      </c>
      <c r="G778" t="s">
        <v>74</v>
      </c>
      <c r="H778" t="s">
        <v>74</v>
      </c>
      <c r="I778" t="s">
        <v>4712</v>
      </c>
      <c r="J778" t="s">
        <v>1112</v>
      </c>
      <c r="K778" t="s">
        <v>74</v>
      </c>
      <c r="L778" t="s">
        <v>74</v>
      </c>
      <c r="M778" t="s">
        <v>74</v>
      </c>
      <c r="N778" t="s">
        <v>74</v>
      </c>
      <c r="O778" t="s">
        <v>74</v>
      </c>
      <c r="P778" t="s">
        <v>74</v>
      </c>
      <c r="Q778" t="s">
        <v>74</v>
      </c>
      <c r="R778" t="s">
        <v>74</v>
      </c>
      <c r="S778" t="s">
        <v>74</v>
      </c>
      <c r="T778" t="s">
        <v>74</v>
      </c>
      <c r="U778" t="s">
        <v>74</v>
      </c>
      <c r="V778" s="3" t="s">
        <v>4713</v>
      </c>
      <c r="W778" t="s">
        <v>74</v>
      </c>
      <c r="X778" t="s">
        <v>74</v>
      </c>
      <c r="Y778" t="s">
        <v>74</v>
      </c>
      <c r="Z778" t="s">
        <v>74</v>
      </c>
      <c r="AA778" t="s">
        <v>4714</v>
      </c>
      <c r="AB778" t="s">
        <v>4715</v>
      </c>
      <c r="AC778" t="s">
        <v>74</v>
      </c>
      <c r="AD778" t="s">
        <v>74</v>
      </c>
      <c r="AE778" t="s">
        <v>74</v>
      </c>
      <c r="AF778" t="s">
        <v>74</v>
      </c>
      <c r="AG778" t="s">
        <v>74</v>
      </c>
      <c r="AH778" t="s">
        <v>74</v>
      </c>
      <c r="AI778" t="s">
        <v>74</v>
      </c>
      <c r="AJ778" t="s">
        <v>74</v>
      </c>
      <c r="AK778" t="s">
        <v>74</v>
      </c>
      <c r="AL778" t="s">
        <v>74</v>
      </c>
      <c r="AM778" t="s">
        <v>74</v>
      </c>
      <c r="AN778" t="s">
        <v>74</v>
      </c>
      <c r="AO778" t="s">
        <v>1114</v>
      </c>
      <c r="AP778" t="s">
        <v>74</v>
      </c>
      <c r="AQ778" t="s">
        <v>74</v>
      </c>
      <c r="AR778" t="s">
        <v>74</v>
      </c>
      <c r="AS778" t="s">
        <v>74</v>
      </c>
      <c r="AT778" t="s">
        <v>4716</v>
      </c>
      <c r="AU778">
        <v>2011</v>
      </c>
      <c r="AV778">
        <v>135</v>
      </c>
      <c r="AW778">
        <v>4</v>
      </c>
      <c r="AX778" t="s">
        <v>74</v>
      </c>
      <c r="AY778" t="s">
        <v>74</v>
      </c>
      <c r="AZ778" t="s">
        <v>74</v>
      </c>
      <c r="BA778" t="s">
        <v>74</v>
      </c>
      <c r="BB778">
        <v>293</v>
      </c>
      <c r="BC778">
        <v>299</v>
      </c>
      <c r="BD778" t="s">
        <v>74</v>
      </c>
      <c r="BE778" t="s">
        <v>4717</v>
      </c>
      <c r="BF778" t="str">
        <f>HYPERLINK("http://dx.doi.org/10.1016/j.applanim.2011.09.011","http://dx.doi.org/10.1016/j.applanim.2011.09.011")</f>
        <v>http://dx.doi.org/10.1016/j.applanim.2011.09.011</v>
      </c>
      <c r="BG778" t="s">
        <v>74</v>
      </c>
      <c r="BH778" t="s">
        <v>74</v>
      </c>
      <c r="BI778" t="s">
        <v>74</v>
      </c>
      <c r="BJ778" t="s">
        <v>74</v>
      </c>
      <c r="BK778" t="s">
        <v>74</v>
      </c>
      <c r="BL778" t="s">
        <v>74</v>
      </c>
      <c r="BM778" t="s">
        <v>74</v>
      </c>
      <c r="BN778" t="s">
        <v>74</v>
      </c>
      <c r="BO778" t="s">
        <v>74</v>
      </c>
      <c r="BP778" t="s">
        <v>74</v>
      </c>
      <c r="BQ778" t="s">
        <v>74</v>
      </c>
      <c r="BR778" t="s">
        <v>74</v>
      </c>
      <c r="BS778" t="s">
        <v>4718</v>
      </c>
      <c r="BT778" t="str">
        <f>HYPERLINK("https%3A%2F%2Fwww.webofscience.com%2Fwos%2Fwoscc%2Ffull-record%2FWOS:000298775100005","View Full Record in Web of Science")</f>
        <v>View Full Record in Web of Science</v>
      </c>
    </row>
    <row r="779" spans="1:72" x14ac:dyDescent="0.4">
      <c r="A779" t="s">
        <v>72</v>
      </c>
      <c r="B779" t="s">
        <v>6919</v>
      </c>
      <c r="C779" t="s">
        <v>74</v>
      </c>
      <c r="D779" t="s">
        <v>74</v>
      </c>
      <c r="E779" t="s">
        <v>74</v>
      </c>
      <c r="F779" t="s">
        <v>6919</v>
      </c>
      <c r="G779" t="s">
        <v>74</v>
      </c>
      <c r="H779" t="s">
        <v>74</v>
      </c>
      <c r="I779" t="s">
        <v>6920</v>
      </c>
      <c r="J779" t="s">
        <v>140</v>
      </c>
      <c r="K779" t="s">
        <v>74</v>
      </c>
      <c r="L779" t="s">
        <v>74</v>
      </c>
      <c r="M779" t="s">
        <v>74</v>
      </c>
      <c r="N779" t="s">
        <v>74</v>
      </c>
      <c r="O779" t="s">
        <v>74</v>
      </c>
      <c r="P779" t="s">
        <v>74</v>
      </c>
      <c r="Q779" t="s">
        <v>74</v>
      </c>
      <c r="R779" t="s">
        <v>74</v>
      </c>
      <c r="S779" t="s">
        <v>74</v>
      </c>
      <c r="T779" t="s">
        <v>74</v>
      </c>
      <c r="U779" t="s">
        <v>74</v>
      </c>
      <c r="V779" s="3" t="s">
        <v>6921</v>
      </c>
      <c r="W779" t="s">
        <v>74</v>
      </c>
      <c r="X779" t="s">
        <v>74</v>
      </c>
      <c r="Y779" t="s">
        <v>74</v>
      </c>
      <c r="Z779" t="s">
        <v>74</v>
      </c>
      <c r="AA779" t="s">
        <v>1295</v>
      </c>
      <c r="AB779" t="s">
        <v>6922</v>
      </c>
      <c r="AC779" t="s">
        <v>74</v>
      </c>
      <c r="AD779" t="s">
        <v>74</v>
      </c>
      <c r="AE779" t="s">
        <v>74</v>
      </c>
      <c r="AF779" t="s">
        <v>74</v>
      </c>
      <c r="AG779" t="s">
        <v>74</v>
      </c>
      <c r="AH779" t="s">
        <v>74</v>
      </c>
      <c r="AI779" t="s">
        <v>74</v>
      </c>
      <c r="AJ779" t="s">
        <v>74</v>
      </c>
      <c r="AK779" t="s">
        <v>74</v>
      </c>
      <c r="AL779" t="s">
        <v>74</v>
      </c>
      <c r="AM779" t="s">
        <v>74</v>
      </c>
      <c r="AN779" t="s">
        <v>74</v>
      </c>
      <c r="AO779" t="s">
        <v>143</v>
      </c>
      <c r="AP779" t="s">
        <v>144</v>
      </c>
      <c r="AQ779" t="s">
        <v>74</v>
      </c>
      <c r="AR779" t="s">
        <v>74</v>
      </c>
      <c r="AS779" t="s">
        <v>74</v>
      </c>
      <c r="AT779" t="s">
        <v>305</v>
      </c>
      <c r="AU779">
        <v>1999</v>
      </c>
      <c r="AV779">
        <v>58</v>
      </c>
      <c r="AW779" t="s">
        <v>74</v>
      </c>
      <c r="AX779">
        <v>6</v>
      </c>
      <c r="AY779" t="s">
        <v>74</v>
      </c>
      <c r="AZ779" t="s">
        <v>74</v>
      </c>
      <c r="BA779" t="s">
        <v>74</v>
      </c>
      <c r="BB779">
        <v>1269</v>
      </c>
      <c r="BC779">
        <v>1276</v>
      </c>
      <c r="BD779" t="s">
        <v>74</v>
      </c>
      <c r="BE779" t="s">
        <v>6923</v>
      </c>
      <c r="BF779" t="str">
        <f>HYPERLINK("http://dx.doi.org/10.1006/anbe.1999.1260","http://dx.doi.org/10.1006/anbe.1999.1260")</f>
        <v>http://dx.doi.org/10.1006/anbe.1999.1260</v>
      </c>
      <c r="BG779" t="s">
        <v>74</v>
      </c>
      <c r="BH779" t="s">
        <v>74</v>
      </c>
      <c r="BI779" t="s">
        <v>74</v>
      </c>
      <c r="BJ779" t="s">
        <v>74</v>
      </c>
      <c r="BK779" t="s">
        <v>74</v>
      </c>
      <c r="BL779" t="s">
        <v>74</v>
      </c>
      <c r="BM779" t="s">
        <v>74</v>
      </c>
      <c r="BN779">
        <v>10600149</v>
      </c>
      <c r="BO779" t="s">
        <v>74</v>
      </c>
      <c r="BP779" t="s">
        <v>74</v>
      </c>
      <c r="BQ779" t="s">
        <v>74</v>
      </c>
      <c r="BR779" t="s">
        <v>74</v>
      </c>
      <c r="BS779" t="s">
        <v>6924</v>
      </c>
      <c r="BT779" t="str">
        <f>HYPERLINK("https%3A%2F%2Fwww.webofscience.com%2Fwos%2Fwoscc%2Ffull-record%2FWOS:000085094300014","View Full Record in Web of Science")</f>
        <v>View Full Record in Web of Science</v>
      </c>
    </row>
    <row r="780" spans="1:72" x14ac:dyDescent="0.4">
      <c r="A780" t="s">
        <v>72</v>
      </c>
      <c r="B780" t="s">
        <v>6919</v>
      </c>
      <c r="C780" t="s">
        <v>74</v>
      </c>
      <c r="D780" t="s">
        <v>74</v>
      </c>
      <c r="E780" t="s">
        <v>74</v>
      </c>
      <c r="F780" t="s">
        <v>6919</v>
      </c>
      <c r="G780" t="s">
        <v>74</v>
      </c>
      <c r="H780" t="s">
        <v>74</v>
      </c>
      <c r="I780" t="s">
        <v>7268</v>
      </c>
      <c r="J780" t="s">
        <v>140</v>
      </c>
      <c r="K780" t="s">
        <v>74</v>
      </c>
      <c r="L780" t="s">
        <v>74</v>
      </c>
      <c r="M780" t="s">
        <v>74</v>
      </c>
      <c r="N780" t="s">
        <v>74</v>
      </c>
      <c r="O780" t="s">
        <v>74</v>
      </c>
      <c r="P780" t="s">
        <v>74</v>
      </c>
      <c r="Q780" t="s">
        <v>74</v>
      </c>
      <c r="R780" t="s">
        <v>74</v>
      </c>
      <c r="S780" t="s">
        <v>74</v>
      </c>
      <c r="T780" t="s">
        <v>74</v>
      </c>
      <c r="U780" t="s">
        <v>74</v>
      </c>
      <c r="V780" s="3" t="s">
        <v>7269</v>
      </c>
      <c r="W780" t="s">
        <v>74</v>
      </c>
      <c r="X780" t="s">
        <v>74</v>
      </c>
      <c r="Y780" t="s">
        <v>74</v>
      </c>
      <c r="Z780" t="s">
        <v>74</v>
      </c>
      <c r="AA780" t="s">
        <v>1295</v>
      </c>
      <c r="AB780" t="s">
        <v>6922</v>
      </c>
      <c r="AC780" t="s">
        <v>74</v>
      </c>
      <c r="AD780" t="s">
        <v>74</v>
      </c>
      <c r="AE780" t="s">
        <v>74</v>
      </c>
      <c r="AF780" t="s">
        <v>74</v>
      </c>
      <c r="AG780" t="s">
        <v>74</v>
      </c>
      <c r="AH780" t="s">
        <v>74</v>
      </c>
      <c r="AI780" t="s">
        <v>74</v>
      </c>
      <c r="AJ780" t="s">
        <v>74</v>
      </c>
      <c r="AK780" t="s">
        <v>74</v>
      </c>
      <c r="AL780" t="s">
        <v>74</v>
      </c>
      <c r="AM780" t="s">
        <v>74</v>
      </c>
      <c r="AN780" t="s">
        <v>74</v>
      </c>
      <c r="AO780" t="s">
        <v>143</v>
      </c>
      <c r="AP780" t="s">
        <v>74</v>
      </c>
      <c r="AQ780" t="s">
        <v>74</v>
      </c>
      <c r="AR780" t="s">
        <v>74</v>
      </c>
      <c r="AS780" t="s">
        <v>74</v>
      </c>
      <c r="AT780" t="s">
        <v>102</v>
      </c>
      <c r="AU780">
        <v>2000</v>
      </c>
      <c r="AV780">
        <v>59</v>
      </c>
      <c r="AW780" t="s">
        <v>74</v>
      </c>
      <c r="AX780">
        <v>6</v>
      </c>
      <c r="AY780" t="s">
        <v>74</v>
      </c>
      <c r="AZ780" t="s">
        <v>74</v>
      </c>
      <c r="BA780" t="s">
        <v>74</v>
      </c>
      <c r="BB780">
        <v>1095</v>
      </c>
      <c r="BC780">
        <v>1101</v>
      </c>
      <c r="BD780" t="s">
        <v>74</v>
      </c>
      <c r="BE780" t="s">
        <v>7270</v>
      </c>
      <c r="BF780" t="str">
        <f>HYPERLINK("http://dx.doi.org/10.1006/anbe.2000.1401","http://dx.doi.org/10.1006/anbe.2000.1401")</f>
        <v>http://dx.doi.org/10.1006/anbe.2000.1401</v>
      </c>
      <c r="BG780" t="s">
        <v>74</v>
      </c>
      <c r="BH780" t="s">
        <v>74</v>
      </c>
      <c r="BI780" t="s">
        <v>74</v>
      </c>
      <c r="BJ780" t="s">
        <v>74</v>
      </c>
      <c r="BK780" t="s">
        <v>74</v>
      </c>
      <c r="BL780" t="s">
        <v>74</v>
      </c>
      <c r="BM780" t="s">
        <v>74</v>
      </c>
      <c r="BN780">
        <v>10877887</v>
      </c>
      <c r="BO780" t="s">
        <v>74</v>
      </c>
      <c r="BP780" t="s">
        <v>74</v>
      </c>
      <c r="BQ780" t="s">
        <v>74</v>
      </c>
      <c r="BR780" t="s">
        <v>74</v>
      </c>
      <c r="BS780" t="s">
        <v>7271</v>
      </c>
      <c r="BT780" t="str">
        <f>HYPERLINK("https%3A%2F%2Fwww.webofscience.com%2Fwos%2Fwoscc%2Ffull-record%2FWOS:000088220000003","View Full Record in Web of Science")</f>
        <v>View Full Record in Web of Science</v>
      </c>
    </row>
    <row r="781" spans="1:72" x14ac:dyDescent="0.4">
      <c r="A781" t="s">
        <v>72</v>
      </c>
      <c r="B781" t="s">
        <v>8584</v>
      </c>
      <c r="C781" t="s">
        <v>74</v>
      </c>
      <c r="D781" t="s">
        <v>74</v>
      </c>
      <c r="E781" t="s">
        <v>74</v>
      </c>
      <c r="F781" t="s">
        <v>8584</v>
      </c>
      <c r="G781" t="s">
        <v>74</v>
      </c>
      <c r="H781" t="s">
        <v>74</v>
      </c>
      <c r="I781" t="s">
        <v>8585</v>
      </c>
      <c r="J781" t="s">
        <v>1112</v>
      </c>
      <c r="K781" t="s">
        <v>74</v>
      </c>
      <c r="L781" t="s">
        <v>74</v>
      </c>
      <c r="M781" t="s">
        <v>74</v>
      </c>
      <c r="N781" t="s">
        <v>74</v>
      </c>
      <c r="O781" t="s">
        <v>74</v>
      </c>
      <c r="P781" t="s">
        <v>74</v>
      </c>
      <c r="Q781" t="s">
        <v>74</v>
      </c>
      <c r="R781" t="s">
        <v>74</v>
      </c>
      <c r="S781" t="s">
        <v>74</v>
      </c>
      <c r="T781" t="s">
        <v>74</v>
      </c>
      <c r="U781" t="s">
        <v>74</v>
      </c>
      <c r="V781" s="3" t="s">
        <v>8586</v>
      </c>
      <c r="W781" t="s">
        <v>74</v>
      </c>
      <c r="X781" t="s">
        <v>74</v>
      </c>
      <c r="Y781" t="s">
        <v>74</v>
      </c>
      <c r="Z781" t="s">
        <v>74</v>
      </c>
      <c r="AA781" t="s">
        <v>74</v>
      </c>
      <c r="AB781" t="s">
        <v>8587</v>
      </c>
      <c r="AC781" t="s">
        <v>74</v>
      </c>
      <c r="AD781" t="s">
        <v>74</v>
      </c>
      <c r="AE781" t="s">
        <v>74</v>
      </c>
      <c r="AF781" t="s">
        <v>74</v>
      </c>
      <c r="AG781" t="s">
        <v>74</v>
      </c>
      <c r="AH781" t="s">
        <v>74</v>
      </c>
      <c r="AI781" t="s">
        <v>74</v>
      </c>
      <c r="AJ781" t="s">
        <v>74</v>
      </c>
      <c r="AK781" t="s">
        <v>74</v>
      </c>
      <c r="AL781" t="s">
        <v>74</v>
      </c>
      <c r="AM781" t="s">
        <v>74</v>
      </c>
      <c r="AN781" t="s">
        <v>74</v>
      </c>
      <c r="AO781" t="s">
        <v>1114</v>
      </c>
      <c r="AP781" t="s">
        <v>74</v>
      </c>
      <c r="AQ781" t="s">
        <v>74</v>
      </c>
      <c r="AR781" t="s">
        <v>74</v>
      </c>
      <c r="AS781" t="s">
        <v>74</v>
      </c>
      <c r="AT781" t="s">
        <v>8588</v>
      </c>
      <c r="AU781">
        <v>2000</v>
      </c>
      <c r="AV781">
        <v>67</v>
      </c>
      <c r="AW781">
        <v>4</v>
      </c>
      <c r="AX781" t="s">
        <v>74</v>
      </c>
      <c r="AY781" t="s">
        <v>74</v>
      </c>
      <c r="AZ781" t="s">
        <v>74</v>
      </c>
      <c r="BA781" t="s">
        <v>74</v>
      </c>
      <c r="BB781">
        <v>307</v>
      </c>
      <c r="BC781">
        <v>320</v>
      </c>
      <c r="BD781" t="s">
        <v>74</v>
      </c>
      <c r="BE781" t="s">
        <v>8589</v>
      </c>
      <c r="BF781" t="str">
        <f>HYPERLINK("http://dx.doi.org/10.1016/S0168-1591(99)00123-9","http://dx.doi.org/10.1016/S0168-1591(99)00123-9")</f>
        <v>http://dx.doi.org/10.1016/S0168-1591(99)00123-9</v>
      </c>
      <c r="BG781" t="s">
        <v>74</v>
      </c>
      <c r="BH781" t="s">
        <v>74</v>
      </c>
      <c r="BI781" t="s">
        <v>74</v>
      </c>
      <c r="BJ781" t="s">
        <v>74</v>
      </c>
      <c r="BK781" t="s">
        <v>74</v>
      </c>
      <c r="BL781" t="s">
        <v>74</v>
      </c>
      <c r="BM781" t="s">
        <v>74</v>
      </c>
      <c r="BN781">
        <v>10760610</v>
      </c>
      <c r="BO781" t="s">
        <v>74</v>
      </c>
      <c r="BP781" t="s">
        <v>74</v>
      </c>
      <c r="BQ781" t="s">
        <v>74</v>
      </c>
      <c r="BR781" t="s">
        <v>74</v>
      </c>
      <c r="BS781" t="s">
        <v>8590</v>
      </c>
      <c r="BT781" t="str">
        <f>HYPERLINK("https%3A%2F%2Fwww.webofscience.com%2Fwos%2Fwoscc%2Ffull-record%2FWOS:000086528100004","View Full Record in Web of Science")</f>
        <v>View Full Record in Web of Science</v>
      </c>
    </row>
    <row r="782" spans="1:72" x14ac:dyDescent="0.4">
      <c r="A782" t="s">
        <v>72</v>
      </c>
      <c r="B782" t="s">
        <v>7784</v>
      </c>
      <c r="C782" t="s">
        <v>74</v>
      </c>
      <c r="D782" t="s">
        <v>74</v>
      </c>
      <c r="E782" t="s">
        <v>74</v>
      </c>
      <c r="F782" t="s">
        <v>7785</v>
      </c>
      <c r="G782" t="s">
        <v>74</v>
      </c>
      <c r="H782" t="s">
        <v>74</v>
      </c>
      <c r="I782" t="s">
        <v>7786</v>
      </c>
      <c r="J782" t="s">
        <v>5937</v>
      </c>
      <c r="K782" t="s">
        <v>74</v>
      </c>
      <c r="L782" t="s">
        <v>74</v>
      </c>
      <c r="M782" t="s">
        <v>74</v>
      </c>
      <c r="N782" t="s">
        <v>74</v>
      </c>
      <c r="O782" t="s">
        <v>74</v>
      </c>
      <c r="P782" t="s">
        <v>74</v>
      </c>
      <c r="Q782" t="s">
        <v>74</v>
      </c>
      <c r="R782" t="s">
        <v>74</v>
      </c>
      <c r="S782" t="s">
        <v>74</v>
      </c>
      <c r="T782" t="s">
        <v>74</v>
      </c>
      <c r="U782" t="s">
        <v>74</v>
      </c>
      <c r="V782" s="3" t="s">
        <v>7787</v>
      </c>
      <c r="W782" t="s">
        <v>74</v>
      </c>
      <c r="X782" t="s">
        <v>74</v>
      </c>
      <c r="Y782" t="s">
        <v>74</v>
      </c>
      <c r="Z782" t="s">
        <v>74</v>
      </c>
      <c r="AA782" t="s">
        <v>7788</v>
      </c>
      <c r="AB782" t="s">
        <v>7789</v>
      </c>
      <c r="AC782" t="s">
        <v>74</v>
      </c>
      <c r="AD782" t="s">
        <v>74</v>
      </c>
      <c r="AE782" t="s">
        <v>74</v>
      </c>
      <c r="AF782" t="s">
        <v>74</v>
      </c>
      <c r="AG782" t="s">
        <v>74</v>
      </c>
      <c r="AH782" t="s">
        <v>74</v>
      </c>
      <c r="AI782" t="s">
        <v>74</v>
      </c>
      <c r="AJ782" t="s">
        <v>74</v>
      </c>
      <c r="AK782" t="s">
        <v>74</v>
      </c>
      <c r="AL782" t="s">
        <v>74</v>
      </c>
      <c r="AM782" t="s">
        <v>74</v>
      </c>
      <c r="AN782" t="s">
        <v>74</v>
      </c>
      <c r="AO782" t="s">
        <v>5941</v>
      </c>
      <c r="AP782" t="s">
        <v>74</v>
      </c>
      <c r="AQ782" t="s">
        <v>74</v>
      </c>
      <c r="AR782" t="s">
        <v>74</v>
      </c>
      <c r="AS782" t="s">
        <v>74</v>
      </c>
      <c r="AT782" t="s">
        <v>134</v>
      </c>
      <c r="AU782">
        <v>2020</v>
      </c>
      <c r="AV782">
        <v>10</v>
      </c>
      <c r="AW782">
        <v>5</v>
      </c>
      <c r="AX782" t="s">
        <v>74</v>
      </c>
      <c r="AY782" t="s">
        <v>74</v>
      </c>
      <c r="AZ782" t="s">
        <v>74</v>
      </c>
      <c r="BA782" t="s">
        <v>74</v>
      </c>
      <c r="BB782" t="s">
        <v>74</v>
      </c>
      <c r="BC782" t="s">
        <v>74</v>
      </c>
      <c r="BD782">
        <v>755</v>
      </c>
      <c r="BE782" t="s">
        <v>7790</v>
      </c>
      <c r="BF782" t="str">
        <f>HYPERLINK("http://dx.doi.org/10.3390/ani10050755","http://dx.doi.org/10.3390/ani10050755")</f>
        <v>http://dx.doi.org/10.3390/ani10050755</v>
      </c>
      <c r="BG782" t="s">
        <v>74</v>
      </c>
      <c r="BH782" t="s">
        <v>74</v>
      </c>
      <c r="BI782" t="s">
        <v>74</v>
      </c>
      <c r="BJ782" t="s">
        <v>74</v>
      </c>
      <c r="BK782" t="s">
        <v>74</v>
      </c>
      <c r="BL782" t="s">
        <v>74</v>
      </c>
      <c r="BM782" t="s">
        <v>74</v>
      </c>
      <c r="BN782">
        <v>32357412</v>
      </c>
      <c r="BO782" t="s">
        <v>74</v>
      </c>
      <c r="BP782" t="s">
        <v>74</v>
      </c>
      <c r="BQ782" t="s">
        <v>74</v>
      </c>
      <c r="BR782" t="s">
        <v>74</v>
      </c>
      <c r="BS782" t="s">
        <v>7791</v>
      </c>
      <c r="BT782" t="str">
        <f>HYPERLINK("https%3A%2F%2Fwww.webofscience.com%2Fwos%2Fwoscc%2Ffull-record%2FWOS:000540228300006","View Full Record in Web of Science")</f>
        <v>View Full Record in Web of Science</v>
      </c>
    </row>
    <row r="783" spans="1:72" x14ac:dyDescent="0.4">
      <c r="A783" t="s">
        <v>72</v>
      </c>
      <c r="B783" t="s">
        <v>5177</v>
      </c>
      <c r="C783" t="s">
        <v>74</v>
      </c>
      <c r="D783" t="s">
        <v>74</v>
      </c>
      <c r="E783" t="s">
        <v>74</v>
      </c>
      <c r="F783" t="s">
        <v>5178</v>
      </c>
      <c r="G783" t="s">
        <v>74</v>
      </c>
      <c r="H783" t="s">
        <v>74</v>
      </c>
      <c r="I783" t="s">
        <v>5179</v>
      </c>
      <c r="J783" t="s">
        <v>5180</v>
      </c>
      <c r="K783" t="s">
        <v>74</v>
      </c>
      <c r="L783" t="s">
        <v>74</v>
      </c>
      <c r="M783" t="s">
        <v>74</v>
      </c>
      <c r="N783" t="s">
        <v>74</v>
      </c>
      <c r="O783" t="s">
        <v>74</v>
      </c>
      <c r="P783" t="s">
        <v>74</v>
      </c>
      <c r="Q783" t="s">
        <v>74</v>
      </c>
      <c r="R783" t="s">
        <v>74</v>
      </c>
      <c r="S783" t="s">
        <v>74</v>
      </c>
      <c r="T783" t="s">
        <v>74</v>
      </c>
      <c r="U783" t="s">
        <v>74</v>
      </c>
      <c r="V783" s="3" t="s">
        <v>5181</v>
      </c>
      <c r="W783" t="s">
        <v>74</v>
      </c>
      <c r="X783" t="s">
        <v>74</v>
      </c>
      <c r="Y783" t="s">
        <v>74</v>
      </c>
      <c r="Z783" t="s">
        <v>74</v>
      </c>
      <c r="AA783" t="s">
        <v>5182</v>
      </c>
      <c r="AB783" t="s">
        <v>5183</v>
      </c>
      <c r="AC783" t="s">
        <v>74</v>
      </c>
      <c r="AD783" t="s">
        <v>74</v>
      </c>
      <c r="AE783" t="s">
        <v>74</v>
      </c>
      <c r="AF783" t="s">
        <v>74</v>
      </c>
      <c r="AG783" t="s">
        <v>74</v>
      </c>
      <c r="AH783" t="s">
        <v>74</v>
      </c>
      <c r="AI783" t="s">
        <v>74</v>
      </c>
      <c r="AJ783" t="s">
        <v>74</v>
      </c>
      <c r="AK783" t="s">
        <v>74</v>
      </c>
      <c r="AL783" t="s">
        <v>74</v>
      </c>
      <c r="AM783" t="s">
        <v>74</v>
      </c>
      <c r="AN783" t="s">
        <v>74</v>
      </c>
      <c r="AO783" t="s">
        <v>5184</v>
      </c>
      <c r="AP783" t="s">
        <v>5185</v>
      </c>
      <c r="AQ783" t="s">
        <v>74</v>
      </c>
      <c r="AR783" t="s">
        <v>74</v>
      </c>
      <c r="AS783" t="s">
        <v>74</v>
      </c>
      <c r="AT783" t="s">
        <v>145</v>
      </c>
      <c r="AU783">
        <v>2021</v>
      </c>
      <c r="AV783">
        <v>40</v>
      </c>
      <c r="AW783">
        <v>2</v>
      </c>
      <c r="AX783" t="s">
        <v>74</v>
      </c>
      <c r="AY783" t="s">
        <v>74</v>
      </c>
      <c r="AZ783" t="s">
        <v>74</v>
      </c>
      <c r="BA783" t="s">
        <v>74</v>
      </c>
      <c r="BB783">
        <v>182</v>
      </c>
      <c r="BC783">
        <v>189</v>
      </c>
      <c r="BD783" t="s">
        <v>74</v>
      </c>
      <c r="BE783" t="s">
        <v>5186</v>
      </c>
      <c r="BF783" t="str">
        <f>HYPERLINK("http://dx.doi.org/10.5358/hsj.40.182","http://dx.doi.org/10.5358/hsj.40.182")</f>
        <v>http://dx.doi.org/10.5358/hsj.40.182</v>
      </c>
      <c r="BG783" t="s">
        <v>74</v>
      </c>
      <c r="BH783" t="s">
        <v>74</v>
      </c>
      <c r="BI783" t="s">
        <v>74</v>
      </c>
      <c r="BJ783" t="s">
        <v>74</v>
      </c>
      <c r="BK783" t="s">
        <v>74</v>
      </c>
      <c r="BL783" t="s">
        <v>74</v>
      </c>
      <c r="BM783" t="s">
        <v>74</v>
      </c>
      <c r="BN783" t="s">
        <v>74</v>
      </c>
      <c r="BO783" t="s">
        <v>74</v>
      </c>
      <c r="BP783" t="s">
        <v>74</v>
      </c>
      <c r="BQ783" t="s">
        <v>74</v>
      </c>
      <c r="BR783" t="s">
        <v>74</v>
      </c>
      <c r="BS783" t="s">
        <v>5187</v>
      </c>
      <c r="BT783" t="str">
        <f>HYPERLINK("https%3A%2F%2Fwww.webofscience.com%2Fwos%2Fwoscc%2Ffull-record%2FWOS:000697316900008","View Full Record in Web of Science")</f>
        <v>View Full Record in Web of Science</v>
      </c>
    </row>
    <row r="784" spans="1:72" x14ac:dyDescent="0.4">
      <c r="A784" t="s">
        <v>72</v>
      </c>
      <c r="B784" t="s">
        <v>2245</v>
      </c>
      <c r="C784" t="s">
        <v>74</v>
      </c>
      <c r="D784" t="s">
        <v>74</v>
      </c>
      <c r="E784" t="s">
        <v>74</v>
      </c>
      <c r="F784" t="s">
        <v>2246</v>
      </c>
      <c r="G784" t="s">
        <v>74</v>
      </c>
      <c r="H784" t="s">
        <v>74</v>
      </c>
      <c r="I784" t="s">
        <v>2247</v>
      </c>
      <c r="J784" t="s">
        <v>2248</v>
      </c>
      <c r="K784" t="s">
        <v>74</v>
      </c>
      <c r="L784" t="s">
        <v>74</v>
      </c>
      <c r="M784" t="s">
        <v>74</v>
      </c>
      <c r="N784" t="s">
        <v>74</v>
      </c>
      <c r="O784" t="s">
        <v>74</v>
      </c>
      <c r="P784" t="s">
        <v>74</v>
      </c>
      <c r="Q784" t="s">
        <v>74</v>
      </c>
      <c r="R784" t="s">
        <v>74</v>
      </c>
      <c r="S784" t="s">
        <v>74</v>
      </c>
      <c r="T784" t="s">
        <v>74</v>
      </c>
      <c r="U784" t="s">
        <v>74</v>
      </c>
      <c r="V784" s="3" t="s">
        <v>2249</v>
      </c>
      <c r="W784" t="s">
        <v>74</v>
      </c>
      <c r="X784" t="s">
        <v>74</v>
      </c>
      <c r="Y784" t="s">
        <v>74</v>
      </c>
      <c r="Z784" t="s">
        <v>74</v>
      </c>
      <c r="AA784" t="s">
        <v>74</v>
      </c>
      <c r="AB784" t="s">
        <v>2250</v>
      </c>
      <c r="AC784" t="s">
        <v>74</v>
      </c>
      <c r="AD784" t="s">
        <v>74</v>
      </c>
      <c r="AE784" t="s">
        <v>74</v>
      </c>
      <c r="AF784" t="s">
        <v>74</v>
      </c>
      <c r="AG784" t="s">
        <v>74</v>
      </c>
      <c r="AH784" t="s">
        <v>74</v>
      </c>
      <c r="AI784" t="s">
        <v>74</v>
      </c>
      <c r="AJ784" t="s">
        <v>74</v>
      </c>
      <c r="AK784" t="s">
        <v>74</v>
      </c>
      <c r="AL784" t="s">
        <v>74</v>
      </c>
      <c r="AM784" t="s">
        <v>74</v>
      </c>
      <c r="AN784" t="s">
        <v>74</v>
      </c>
      <c r="AO784" t="s">
        <v>2251</v>
      </c>
      <c r="AP784" t="s">
        <v>2252</v>
      </c>
      <c r="AQ784" t="s">
        <v>74</v>
      </c>
      <c r="AR784" t="s">
        <v>74</v>
      </c>
      <c r="AS784" t="s">
        <v>74</v>
      </c>
      <c r="AT784" t="s">
        <v>74</v>
      </c>
      <c r="AU784">
        <v>2011</v>
      </c>
      <c r="AV784">
        <v>14</v>
      </c>
      <c r="AW784">
        <v>4</v>
      </c>
      <c r="AX784" t="s">
        <v>74</v>
      </c>
      <c r="AY784" t="s">
        <v>74</v>
      </c>
      <c r="AZ784" t="s">
        <v>74</v>
      </c>
      <c r="BA784" t="s">
        <v>74</v>
      </c>
      <c r="BB784">
        <v>340</v>
      </c>
      <c r="BC784">
        <v>360</v>
      </c>
      <c r="BD784" t="s">
        <v>74</v>
      </c>
      <c r="BE784" t="s">
        <v>2253</v>
      </c>
      <c r="BF784" t="str">
        <f>HYPERLINK("http://dx.doi.org/10.1080/10888705.2011.600664","http://dx.doi.org/10.1080/10888705.2011.600664")</f>
        <v>http://dx.doi.org/10.1080/10888705.2011.600664</v>
      </c>
      <c r="BG784" t="s">
        <v>74</v>
      </c>
      <c r="BH784" t="s">
        <v>74</v>
      </c>
      <c r="BI784" t="s">
        <v>74</v>
      </c>
      <c r="BJ784" t="s">
        <v>74</v>
      </c>
      <c r="BK784" t="s">
        <v>74</v>
      </c>
      <c r="BL784" t="s">
        <v>74</v>
      </c>
      <c r="BM784" t="s">
        <v>74</v>
      </c>
      <c r="BN784">
        <v>21932947</v>
      </c>
      <c r="BO784" t="s">
        <v>74</v>
      </c>
      <c r="BP784" t="s">
        <v>74</v>
      </c>
      <c r="BQ784" t="s">
        <v>74</v>
      </c>
      <c r="BR784" t="s">
        <v>74</v>
      </c>
      <c r="BS784" t="s">
        <v>2254</v>
      </c>
      <c r="BT784" t="str">
        <f>HYPERLINK("https%3A%2F%2Fwww.webofscience.com%2Fwos%2Fwoscc%2Ffull-record%2FWOS:000296232000005","View Full Record in Web of Science")</f>
        <v>View Full Record in Web of Science</v>
      </c>
    </row>
    <row r="785" spans="1:72" x14ac:dyDescent="0.4">
      <c r="A785" t="s">
        <v>72</v>
      </c>
      <c r="B785" t="s">
        <v>5752</v>
      </c>
      <c r="C785" t="s">
        <v>74</v>
      </c>
      <c r="D785" t="s">
        <v>74</v>
      </c>
      <c r="E785" t="s">
        <v>74</v>
      </c>
      <c r="F785" t="s">
        <v>5753</v>
      </c>
      <c r="G785" t="s">
        <v>74</v>
      </c>
      <c r="H785" t="s">
        <v>74</v>
      </c>
      <c r="I785" t="s">
        <v>5754</v>
      </c>
      <c r="J785" t="s">
        <v>192</v>
      </c>
      <c r="K785" t="s">
        <v>74</v>
      </c>
      <c r="L785" t="s">
        <v>74</v>
      </c>
      <c r="M785" t="s">
        <v>74</v>
      </c>
      <c r="N785" t="s">
        <v>74</v>
      </c>
      <c r="O785" t="s">
        <v>74</v>
      </c>
      <c r="P785" t="s">
        <v>74</v>
      </c>
      <c r="Q785" t="s">
        <v>74</v>
      </c>
      <c r="R785" t="s">
        <v>74</v>
      </c>
      <c r="S785" t="s">
        <v>74</v>
      </c>
      <c r="T785" t="s">
        <v>74</v>
      </c>
      <c r="U785" t="s">
        <v>74</v>
      </c>
      <c r="V785" s="3" t="s">
        <v>5755</v>
      </c>
      <c r="W785" t="s">
        <v>74</v>
      </c>
      <c r="X785" t="s">
        <v>74</v>
      </c>
      <c r="Y785" t="s">
        <v>74</v>
      </c>
      <c r="Z785" t="s">
        <v>74</v>
      </c>
      <c r="AA785" t="s">
        <v>5756</v>
      </c>
      <c r="AB785" t="s">
        <v>5757</v>
      </c>
      <c r="AC785" t="s">
        <v>74</v>
      </c>
      <c r="AD785" t="s">
        <v>74</v>
      </c>
      <c r="AE785" t="s">
        <v>74</v>
      </c>
      <c r="AF785" t="s">
        <v>74</v>
      </c>
      <c r="AG785" t="s">
        <v>74</v>
      </c>
      <c r="AH785" t="s">
        <v>74</v>
      </c>
      <c r="AI785" t="s">
        <v>74</v>
      </c>
      <c r="AJ785" t="s">
        <v>74</v>
      </c>
      <c r="AK785" t="s">
        <v>74</v>
      </c>
      <c r="AL785" t="s">
        <v>74</v>
      </c>
      <c r="AM785" t="s">
        <v>74</v>
      </c>
      <c r="AN785" t="s">
        <v>74</v>
      </c>
      <c r="AO785" t="s">
        <v>195</v>
      </c>
      <c r="AP785" t="s">
        <v>196</v>
      </c>
      <c r="AQ785" t="s">
        <v>74</v>
      </c>
      <c r="AR785" t="s">
        <v>74</v>
      </c>
      <c r="AS785" t="s">
        <v>74</v>
      </c>
      <c r="AT785" t="s">
        <v>633</v>
      </c>
      <c r="AU785">
        <v>2015</v>
      </c>
      <c r="AV785">
        <v>748</v>
      </c>
      <c r="AW785">
        <v>1</v>
      </c>
      <c r="AX785" t="s">
        <v>74</v>
      </c>
      <c r="AY785" t="s">
        <v>74</v>
      </c>
      <c r="AZ785" t="s">
        <v>74</v>
      </c>
      <c r="BA785" t="s">
        <v>74</v>
      </c>
      <c r="BB785">
        <v>233</v>
      </c>
      <c r="BC785">
        <v>257</v>
      </c>
      <c r="BD785" t="s">
        <v>74</v>
      </c>
      <c r="BE785" t="s">
        <v>5758</v>
      </c>
      <c r="BF785" t="str">
        <f>HYPERLINK("http://dx.doi.org/10.1007/s10750-014-2081-4","http://dx.doi.org/10.1007/s10750-014-2081-4")</f>
        <v>http://dx.doi.org/10.1007/s10750-014-2081-4</v>
      </c>
      <c r="BG785" t="s">
        <v>74</v>
      </c>
      <c r="BH785" t="s">
        <v>74</v>
      </c>
      <c r="BI785" t="s">
        <v>74</v>
      </c>
      <c r="BJ785" t="s">
        <v>74</v>
      </c>
      <c r="BK785" t="s">
        <v>74</v>
      </c>
      <c r="BL785" t="s">
        <v>74</v>
      </c>
      <c r="BM785" t="s">
        <v>74</v>
      </c>
      <c r="BN785" t="s">
        <v>74</v>
      </c>
      <c r="BO785" t="s">
        <v>74</v>
      </c>
      <c r="BP785" t="s">
        <v>74</v>
      </c>
      <c r="BQ785" t="s">
        <v>74</v>
      </c>
      <c r="BR785" t="s">
        <v>74</v>
      </c>
      <c r="BS785" t="s">
        <v>5759</v>
      </c>
      <c r="BT785" t="str">
        <f>HYPERLINK("https%3A%2F%2Fwww.webofscience.com%2Fwos%2Fwoscc%2Ffull-record%2FWOS:000349968000016","View Full Record in Web of Science")</f>
        <v>View Full Record in Web of Science</v>
      </c>
    </row>
    <row r="786" spans="1:72" x14ac:dyDescent="0.4">
      <c r="A786" t="s">
        <v>72</v>
      </c>
      <c r="B786" t="s">
        <v>4686</v>
      </c>
      <c r="C786" t="s">
        <v>74</v>
      </c>
      <c r="D786" t="s">
        <v>74</v>
      </c>
      <c r="E786" t="s">
        <v>74</v>
      </c>
      <c r="F786" t="s">
        <v>4687</v>
      </c>
      <c r="G786" t="s">
        <v>74</v>
      </c>
      <c r="H786" t="s">
        <v>74</v>
      </c>
      <c r="I786" t="s">
        <v>4688</v>
      </c>
      <c r="J786" t="s">
        <v>576</v>
      </c>
      <c r="K786" t="s">
        <v>74</v>
      </c>
      <c r="L786" t="s">
        <v>74</v>
      </c>
      <c r="M786" t="s">
        <v>74</v>
      </c>
      <c r="N786" t="s">
        <v>74</v>
      </c>
      <c r="O786" t="s">
        <v>74</v>
      </c>
      <c r="P786" t="s">
        <v>74</v>
      </c>
      <c r="Q786" t="s">
        <v>74</v>
      </c>
      <c r="R786" t="s">
        <v>74</v>
      </c>
      <c r="S786" t="s">
        <v>74</v>
      </c>
      <c r="T786" t="s">
        <v>74</v>
      </c>
      <c r="U786" t="s">
        <v>74</v>
      </c>
      <c r="V786" s="3" t="s">
        <v>4689</v>
      </c>
      <c r="W786" t="s">
        <v>74</v>
      </c>
      <c r="X786" t="s">
        <v>74</v>
      </c>
      <c r="Y786" t="s">
        <v>74</v>
      </c>
      <c r="Z786" t="s">
        <v>74</v>
      </c>
      <c r="AA786" t="s">
        <v>74</v>
      </c>
      <c r="AB786" t="s">
        <v>4690</v>
      </c>
      <c r="AC786" t="s">
        <v>74</v>
      </c>
      <c r="AD786" t="s">
        <v>74</v>
      </c>
      <c r="AE786" t="s">
        <v>74</v>
      </c>
      <c r="AF786" t="s">
        <v>74</v>
      </c>
      <c r="AG786" t="s">
        <v>74</v>
      </c>
      <c r="AH786" t="s">
        <v>74</v>
      </c>
      <c r="AI786" t="s">
        <v>74</v>
      </c>
      <c r="AJ786" t="s">
        <v>74</v>
      </c>
      <c r="AK786" t="s">
        <v>74</v>
      </c>
      <c r="AL786" t="s">
        <v>74</v>
      </c>
      <c r="AM786" t="s">
        <v>74</v>
      </c>
      <c r="AN786" t="s">
        <v>74</v>
      </c>
      <c r="AO786" t="s">
        <v>579</v>
      </c>
      <c r="AP786" t="s">
        <v>580</v>
      </c>
      <c r="AQ786" t="s">
        <v>74</v>
      </c>
      <c r="AR786" t="s">
        <v>74</v>
      </c>
      <c r="AS786" t="s">
        <v>74</v>
      </c>
      <c r="AT786" t="s">
        <v>204</v>
      </c>
      <c r="AU786">
        <v>2010</v>
      </c>
      <c r="AV786">
        <v>24</v>
      </c>
      <c r="AW786">
        <v>4</v>
      </c>
      <c r="AX786" t="s">
        <v>74</v>
      </c>
      <c r="AY786" t="s">
        <v>74</v>
      </c>
      <c r="AZ786" t="s">
        <v>74</v>
      </c>
      <c r="BA786" t="s">
        <v>74</v>
      </c>
      <c r="BB786">
        <v>731</v>
      </c>
      <c r="BC786">
        <v>748</v>
      </c>
      <c r="BD786" t="s">
        <v>74</v>
      </c>
      <c r="BE786" t="s">
        <v>4691</v>
      </c>
      <c r="BF786" t="str">
        <f>HYPERLINK("http://dx.doi.org/10.1007/s10682-009-9330-4","http://dx.doi.org/10.1007/s10682-009-9330-4")</f>
        <v>http://dx.doi.org/10.1007/s10682-009-9330-4</v>
      </c>
      <c r="BG786" t="s">
        <v>74</v>
      </c>
      <c r="BH786" t="s">
        <v>74</v>
      </c>
      <c r="BI786" t="s">
        <v>74</v>
      </c>
      <c r="BJ786" t="s">
        <v>74</v>
      </c>
      <c r="BK786" t="s">
        <v>74</v>
      </c>
      <c r="BL786" t="s">
        <v>74</v>
      </c>
      <c r="BM786" t="s">
        <v>74</v>
      </c>
      <c r="BN786" t="s">
        <v>74</v>
      </c>
      <c r="BO786" t="s">
        <v>74</v>
      </c>
      <c r="BP786" t="s">
        <v>74</v>
      </c>
      <c r="BQ786" t="s">
        <v>74</v>
      </c>
      <c r="BR786" t="s">
        <v>74</v>
      </c>
      <c r="BS786" t="s">
        <v>4692</v>
      </c>
      <c r="BT786" t="str">
        <f>HYPERLINK("https%3A%2F%2Fwww.webofscience.com%2Fwos%2Fwoscc%2Ffull-record%2FWOS:000278833400007","View Full Record in Web of Science")</f>
        <v>View Full Record in Web of Science</v>
      </c>
    </row>
    <row r="787" spans="1:72" x14ac:dyDescent="0.4">
      <c r="A787" t="s">
        <v>72</v>
      </c>
      <c r="B787" t="s">
        <v>5490</v>
      </c>
      <c r="C787" t="s">
        <v>74</v>
      </c>
      <c r="D787" t="s">
        <v>74</v>
      </c>
      <c r="E787" t="s">
        <v>74</v>
      </c>
      <c r="F787" t="s">
        <v>5491</v>
      </c>
      <c r="G787" t="s">
        <v>74</v>
      </c>
      <c r="H787" t="s">
        <v>74</v>
      </c>
      <c r="I787" t="s">
        <v>5492</v>
      </c>
      <c r="J787" t="s">
        <v>408</v>
      </c>
      <c r="K787" t="s">
        <v>74</v>
      </c>
      <c r="L787" t="s">
        <v>74</v>
      </c>
      <c r="M787" t="s">
        <v>74</v>
      </c>
      <c r="N787" t="s">
        <v>74</v>
      </c>
      <c r="O787" t="s">
        <v>74</v>
      </c>
      <c r="P787" t="s">
        <v>74</v>
      </c>
      <c r="Q787" t="s">
        <v>74</v>
      </c>
      <c r="R787" t="s">
        <v>74</v>
      </c>
      <c r="S787" t="s">
        <v>74</v>
      </c>
      <c r="T787" t="s">
        <v>74</v>
      </c>
      <c r="U787" t="s">
        <v>74</v>
      </c>
      <c r="V787" s="3" t="s">
        <v>5493</v>
      </c>
      <c r="W787" t="s">
        <v>74</v>
      </c>
      <c r="X787" t="s">
        <v>74</v>
      </c>
      <c r="Y787" t="s">
        <v>74</v>
      </c>
      <c r="Z787" t="s">
        <v>74</v>
      </c>
      <c r="AA787" t="s">
        <v>74</v>
      </c>
      <c r="AB787" t="s">
        <v>5494</v>
      </c>
      <c r="AC787" t="s">
        <v>74</v>
      </c>
      <c r="AD787" t="s">
        <v>74</v>
      </c>
      <c r="AE787" t="s">
        <v>74</v>
      </c>
      <c r="AF787" t="s">
        <v>74</v>
      </c>
      <c r="AG787" t="s">
        <v>74</v>
      </c>
      <c r="AH787" t="s">
        <v>74</v>
      </c>
      <c r="AI787" t="s">
        <v>74</v>
      </c>
      <c r="AJ787" t="s">
        <v>74</v>
      </c>
      <c r="AK787" t="s">
        <v>74</v>
      </c>
      <c r="AL787" t="s">
        <v>74</v>
      </c>
      <c r="AM787" t="s">
        <v>74</v>
      </c>
      <c r="AN787" t="s">
        <v>74</v>
      </c>
      <c r="AO787" t="s">
        <v>412</v>
      </c>
      <c r="AP787" t="s">
        <v>413</v>
      </c>
      <c r="AQ787" t="s">
        <v>74</v>
      </c>
      <c r="AR787" t="s">
        <v>74</v>
      </c>
      <c r="AS787" t="s">
        <v>74</v>
      </c>
      <c r="AT787" t="s">
        <v>5495</v>
      </c>
      <c r="AU787">
        <v>2022</v>
      </c>
      <c r="AV787">
        <v>135</v>
      </c>
      <c r="AW787">
        <v>3</v>
      </c>
      <c r="AX787" t="s">
        <v>74</v>
      </c>
      <c r="AY787" t="s">
        <v>74</v>
      </c>
      <c r="AZ787" t="s">
        <v>74</v>
      </c>
      <c r="BA787" t="s">
        <v>74</v>
      </c>
      <c r="BB787">
        <v>447</v>
      </c>
      <c r="BC787">
        <v>461</v>
      </c>
      <c r="BD787" t="s">
        <v>74</v>
      </c>
      <c r="BE787" t="s">
        <v>5496</v>
      </c>
      <c r="BF787" t="str">
        <f>HYPERLINK("http://dx.doi.org/10.1093/biolinnean/blab166","http://dx.doi.org/10.1093/biolinnean/blab166")</f>
        <v>http://dx.doi.org/10.1093/biolinnean/blab166</v>
      </c>
      <c r="BG787" t="s">
        <v>74</v>
      </c>
      <c r="BH787" t="s">
        <v>5497</v>
      </c>
      <c r="BI787" t="s">
        <v>74</v>
      </c>
      <c r="BJ787" t="s">
        <v>74</v>
      </c>
      <c r="BK787" t="s">
        <v>74</v>
      </c>
      <c r="BL787" t="s">
        <v>74</v>
      </c>
      <c r="BM787" t="s">
        <v>74</v>
      </c>
      <c r="BN787" t="s">
        <v>74</v>
      </c>
      <c r="BO787" t="s">
        <v>74</v>
      </c>
      <c r="BP787" t="s">
        <v>74</v>
      </c>
      <c r="BQ787" t="s">
        <v>74</v>
      </c>
      <c r="BR787" t="s">
        <v>74</v>
      </c>
      <c r="BS787" t="s">
        <v>5498</v>
      </c>
      <c r="BT787" t="str">
        <f>HYPERLINK("https%3A%2F%2Fwww.webofscience.com%2Fwos%2Fwoscc%2Ffull-record%2FWOS:000754842400003","View Full Record in Web of Science")</f>
        <v>View Full Record in Web of Science</v>
      </c>
    </row>
    <row r="788" spans="1:72" x14ac:dyDescent="0.4">
      <c r="A788" t="s">
        <v>72</v>
      </c>
      <c r="B788" t="s">
        <v>8082</v>
      </c>
      <c r="C788" t="s">
        <v>74</v>
      </c>
      <c r="D788" t="s">
        <v>74</v>
      </c>
      <c r="E788" t="s">
        <v>74</v>
      </c>
      <c r="F788" t="s">
        <v>8083</v>
      </c>
      <c r="G788" t="s">
        <v>74</v>
      </c>
      <c r="H788" t="s">
        <v>74</v>
      </c>
      <c r="I788" t="s">
        <v>8084</v>
      </c>
      <c r="J788" t="s">
        <v>691</v>
      </c>
      <c r="K788" t="s">
        <v>74</v>
      </c>
      <c r="L788" t="s">
        <v>74</v>
      </c>
      <c r="M788" t="s">
        <v>74</v>
      </c>
      <c r="N788" t="s">
        <v>74</v>
      </c>
      <c r="O788" t="s">
        <v>74</v>
      </c>
      <c r="P788" t="s">
        <v>74</v>
      </c>
      <c r="Q788" t="s">
        <v>74</v>
      </c>
      <c r="R788" t="s">
        <v>74</v>
      </c>
      <c r="S788" t="s">
        <v>74</v>
      </c>
      <c r="T788" t="s">
        <v>74</v>
      </c>
      <c r="U788" t="s">
        <v>74</v>
      </c>
      <c r="V788" s="3" t="s">
        <v>8085</v>
      </c>
      <c r="W788" t="s">
        <v>74</v>
      </c>
      <c r="X788" t="s">
        <v>74</v>
      </c>
      <c r="Y788" t="s">
        <v>74</v>
      </c>
      <c r="Z788" t="s">
        <v>74</v>
      </c>
      <c r="AA788" t="s">
        <v>3355</v>
      </c>
      <c r="AB788" t="s">
        <v>3356</v>
      </c>
      <c r="AC788" t="s">
        <v>74</v>
      </c>
      <c r="AD788" t="s">
        <v>74</v>
      </c>
      <c r="AE788" t="s">
        <v>74</v>
      </c>
      <c r="AF788" t="s">
        <v>74</v>
      </c>
      <c r="AG788" t="s">
        <v>74</v>
      </c>
      <c r="AH788" t="s">
        <v>74</v>
      </c>
      <c r="AI788" t="s">
        <v>74</v>
      </c>
      <c r="AJ788" t="s">
        <v>74</v>
      </c>
      <c r="AK788" t="s">
        <v>74</v>
      </c>
      <c r="AL788" t="s">
        <v>74</v>
      </c>
      <c r="AM788" t="s">
        <v>74</v>
      </c>
      <c r="AN788" t="s">
        <v>74</v>
      </c>
      <c r="AO788" t="s">
        <v>695</v>
      </c>
      <c r="AP788" t="s">
        <v>74</v>
      </c>
      <c r="AQ788" t="s">
        <v>74</v>
      </c>
      <c r="AR788" t="s">
        <v>74</v>
      </c>
      <c r="AS788" t="s">
        <v>74</v>
      </c>
      <c r="AT788" t="s">
        <v>113</v>
      </c>
      <c r="AU788">
        <v>2007</v>
      </c>
      <c r="AV788">
        <v>91</v>
      </c>
      <c r="AW788">
        <v>5</v>
      </c>
      <c r="AX788" t="s">
        <v>74</v>
      </c>
      <c r="AY788" t="s">
        <v>74</v>
      </c>
      <c r="AZ788" t="s">
        <v>74</v>
      </c>
      <c r="BA788" t="s">
        <v>74</v>
      </c>
      <c r="BB788">
        <v>531</v>
      </c>
      <c r="BC788">
        <v>534</v>
      </c>
      <c r="BD788" t="s">
        <v>74</v>
      </c>
      <c r="BE788" t="s">
        <v>8086</v>
      </c>
      <c r="BF788" t="str">
        <f>HYPERLINK("http://dx.doi.org/10.1016/j.physbeh.2007.04.025","http://dx.doi.org/10.1016/j.physbeh.2007.04.025")</f>
        <v>http://dx.doi.org/10.1016/j.physbeh.2007.04.025</v>
      </c>
      <c r="BG788" t="s">
        <v>74</v>
      </c>
      <c r="BH788" t="s">
        <v>74</v>
      </c>
      <c r="BI788" t="s">
        <v>74</v>
      </c>
      <c r="BJ788" t="s">
        <v>74</v>
      </c>
      <c r="BK788" t="s">
        <v>74</v>
      </c>
      <c r="BL788" t="s">
        <v>74</v>
      </c>
      <c r="BM788" t="s">
        <v>74</v>
      </c>
      <c r="BN788">
        <v>17521685</v>
      </c>
      <c r="BO788" t="s">
        <v>74</v>
      </c>
      <c r="BP788" t="s">
        <v>74</v>
      </c>
      <c r="BQ788" t="s">
        <v>74</v>
      </c>
      <c r="BR788" t="s">
        <v>74</v>
      </c>
      <c r="BS788" t="s">
        <v>8087</v>
      </c>
      <c r="BT788" t="str">
        <f>HYPERLINK("https%3A%2F%2Fwww.webofscience.com%2Fwos%2Fwoscc%2Ffull-record%2FWOS:000249944700009","View Full Record in Web of Science")</f>
        <v>View Full Record in Web of Science</v>
      </c>
    </row>
    <row r="789" spans="1:72" x14ac:dyDescent="0.4">
      <c r="A789" t="s">
        <v>72</v>
      </c>
      <c r="B789" t="s">
        <v>1516</v>
      </c>
      <c r="C789" t="s">
        <v>74</v>
      </c>
      <c r="D789" t="s">
        <v>74</v>
      </c>
      <c r="E789" t="s">
        <v>74</v>
      </c>
      <c r="F789" t="s">
        <v>1517</v>
      </c>
      <c r="G789" t="s">
        <v>74</v>
      </c>
      <c r="H789" t="s">
        <v>74</v>
      </c>
      <c r="I789" t="s">
        <v>1518</v>
      </c>
      <c r="J789" t="s">
        <v>763</v>
      </c>
      <c r="K789" t="s">
        <v>74</v>
      </c>
      <c r="L789" t="s">
        <v>74</v>
      </c>
      <c r="M789" t="s">
        <v>74</v>
      </c>
      <c r="N789" t="s">
        <v>74</v>
      </c>
      <c r="O789" t="s">
        <v>74</v>
      </c>
      <c r="P789" t="s">
        <v>74</v>
      </c>
      <c r="Q789" t="s">
        <v>74</v>
      </c>
      <c r="R789" t="s">
        <v>74</v>
      </c>
      <c r="S789" t="s">
        <v>74</v>
      </c>
      <c r="T789" t="s">
        <v>74</v>
      </c>
      <c r="U789" t="s">
        <v>74</v>
      </c>
      <c r="V789" s="3" t="s">
        <v>1519</v>
      </c>
      <c r="W789" t="s">
        <v>74</v>
      </c>
      <c r="X789" t="s">
        <v>74</v>
      </c>
      <c r="Y789" t="s">
        <v>74</v>
      </c>
      <c r="Z789" t="s">
        <v>74</v>
      </c>
      <c r="AA789" t="s">
        <v>1520</v>
      </c>
      <c r="AB789" t="s">
        <v>1521</v>
      </c>
      <c r="AC789" t="s">
        <v>74</v>
      </c>
      <c r="AD789" t="s">
        <v>74</v>
      </c>
      <c r="AE789" t="s">
        <v>74</v>
      </c>
      <c r="AF789" t="s">
        <v>74</v>
      </c>
      <c r="AG789" t="s">
        <v>74</v>
      </c>
      <c r="AH789" t="s">
        <v>74</v>
      </c>
      <c r="AI789" t="s">
        <v>74</v>
      </c>
      <c r="AJ789" t="s">
        <v>74</v>
      </c>
      <c r="AK789" t="s">
        <v>74</v>
      </c>
      <c r="AL789" t="s">
        <v>74</v>
      </c>
      <c r="AM789" t="s">
        <v>74</v>
      </c>
      <c r="AN789" t="s">
        <v>74</v>
      </c>
      <c r="AO789" t="s">
        <v>767</v>
      </c>
      <c r="AP789" t="s">
        <v>74</v>
      </c>
      <c r="AQ789" t="s">
        <v>74</v>
      </c>
      <c r="AR789" t="s">
        <v>74</v>
      </c>
      <c r="AS789" t="s">
        <v>74</v>
      </c>
      <c r="AT789" t="s">
        <v>964</v>
      </c>
      <c r="AU789">
        <v>2012</v>
      </c>
      <c r="AV789">
        <v>215</v>
      </c>
      <c r="AW789">
        <v>4</v>
      </c>
      <c r="AX789" t="s">
        <v>74</v>
      </c>
      <c r="AY789" t="s">
        <v>74</v>
      </c>
      <c r="AZ789" t="s">
        <v>74</v>
      </c>
      <c r="BA789" t="s">
        <v>74</v>
      </c>
      <c r="BB789">
        <v>575</v>
      </c>
      <c r="BC789">
        <v>577</v>
      </c>
      <c r="BD789" t="s">
        <v>74</v>
      </c>
      <c r="BE789" t="s">
        <v>1522</v>
      </c>
      <c r="BF789" t="str">
        <f>HYPERLINK("http://dx.doi.org/10.1242/jeb.059352","http://dx.doi.org/10.1242/jeb.059352")</f>
        <v>http://dx.doi.org/10.1242/jeb.059352</v>
      </c>
      <c r="BG789" t="s">
        <v>74</v>
      </c>
      <c r="BH789" t="s">
        <v>74</v>
      </c>
      <c r="BI789" t="s">
        <v>74</v>
      </c>
      <c r="BJ789" t="s">
        <v>74</v>
      </c>
      <c r="BK789" t="s">
        <v>74</v>
      </c>
      <c r="BL789" t="s">
        <v>74</v>
      </c>
      <c r="BM789" t="s">
        <v>74</v>
      </c>
      <c r="BN789">
        <v>22279063</v>
      </c>
      <c r="BO789" t="s">
        <v>74</v>
      </c>
      <c r="BP789" t="s">
        <v>74</v>
      </c>
      <c r="BQ789" t="s">
        <v>74</v>
      </c>
      <c r="BR789" t="s">
        <v>74</v>
      </c>
      <c r="BS789" t="s">
        <v>1523</v>
      </c>
      <c r="BT789" t="str">
        <f>HYPERLINK("https%3A%2F%2Fwww.webofscience.com%2Fwos%2Fwoscc%2Ffull-record%2FWOS:000300185900006","View Full Record in Web of Science")</f>
        <v>View Full Record in Web of Science</v>
      </c>
    </row>
    <row r="790" spans="1:72" x14ac:dyDescent="0.4">
      <c r="A790" t="s">
        <v>72</v>
      </c>
      <c r="B790" t="s">
        <v>4121</v>
      </c>
      <c r="C790" t="s">
        <v>74</v>
      </c>
      <c r="D790" t="s">
        <v>74</v>
      </c>
      <c r="E790" t="s">
        <v>74</v>
      </c>
      <c r="F790" t="s">
        <v>4122</v>
      </c>
      <c r="G790" t="s">
        <v>74</v>
      </c>
      <c r="H790" t="s">
        <v>74</v>
      </c>
      <c r="I790" t="s">
        <v>4123</v>
      </c>
      <c r="J790" t="s">
        <v>140</v>
      </c>
      <c r="K790" t="s">
        <v>74</v>
      </c>
      <c r="L790" t="s">
        <v>74</v>
      </c>
      <c r="M790" t="s">
        <v>74</v>
      </c>
      <c r="N790" t="s">
        <v>74</v>
      </c>
      <c r="O790" t="s">
        <v>74</v>
      </c>
      <c r="P790" t="s">
        <v>74</v>
      </c>
      <c r="Q790" t="s">
        <v>74</v>
      </c>
      <c r="R790" t="s">
        <v>74</v>
      </c>
      <c r="S790" t="s">
        <v>74</v>
      </c>
      <c r="T790" t="s">
        <v>74</v>
      </c>
      <c r="U790" t="s">
        <v>74</v>
      </c>
      <c r="V790" s="3" t="s">
        <v>4124</v>
      </c>
      <c r="W790" t="s">
        <v>74</v>
      </c>
      <c r="X790" t="s">
        <v>74</v>
      </c>
      <c r="Y790" t="s">
        <v>74</v>
      </c>
      <c r="Z790" t="s">
        <v>74</v>
      </c>
      <c r="AA790" t="s">
        <v>4125</v>
      </c>
      <c r="AB790" t="s">
        <v>4126</v>
      </c>
      <c r="AC790" t="s">
        <v>74</v>
      </c>
      <c r="AD790" t="s">
        <v>74</v>
      </c>
      <c r="AE790" t="s">
        <v>74</v>
      </c>
      <c r="AF790" t="s">
        <v>74</v>
      </c>
      <c r="AG790" t="s">
        <v>74</v>
      </c>
      <c r="AH790" t="s">
        <v>74</v>
      </c>
      <c r="AI790" t="s">
        <v>74</v>
      </c>
      <c r="AJ790" t="s">
        <v>74</v>
      </c>
      <c r="AK790" t="s">
        <v>74</v>
      </c>
      <c r="AL790" t="s">
        <v>74</v>
      </c>
      <c r="AM790" t="s">
        <v>74</v>
      </c>
      <c r="AN790" t="s">
        <v>74</v>
      </c>
      <c r="AO790" t="s">
        <v>143</v>
      </c>
      <c r="AP790" t="s">
        <v>144</v>
      </c>
      <c r="AQ790" t="s">
        <v>74</v>
      </c>
      <c r="AR790" t="s">
        <v>74</v>
      </c>
      <c r="AS790" t="s">
        <v>74</v>
      </c>
      <c r="AT790" t="s">
        <v>964</v>
      </c>
      <c r="AU790">
        <v>2009</v>
      </c>
      <c r="AV790">
        <v>77</v>
      </c>
      <c r="AW790">
        <v>2</v>
      </c>
      <c r="AX790" t="s">
        <v>74</v>
      </c>
      <c r="AY790" t="s">
        <v>74</v>
      </c>
      <c r="AZ790" t="s">
        <v>74</v>
      </c>
      <c r="BA790" t="s">
        <v>74</v>
      </c>
      <c r="BB790">
        <v>419</v>
      </c>
      <c r="BC790">
        <v>424</v>
      </c>
      <c r="BD790" t="s">
        <v>74</v>
      </c>
      <c r="BE790" t="s">
        <v>4127</v>
      </c>
      <c r="BF790" t="str">
        <f>HYPERLINK("http://dx.doi.org/10.1016/j.anbehav.2008.10.017","http://dx.doi.org/10.1016/j.anbehav.2008.10.017")</f>
        <v>http://dx.doi.org/10.1016/j.anbehav.2008.10.017</v>
      </c>
      <c r="BG790" t="s">
        <v>74</v>
      </c>
      <c r="BH790" t="s">
        <v>74</v>
      </c>
      <c r="BI790" t="s">
        <v>74</v>
      </c>
      <c r="BJ790" t="s">
        <v>74</v>
      </c>
      <c r="BK790" t="s">
        <v>74</v>
      </c>
      <c r="BL790" t="s">
        <v>74</v>
      </c>
      <c r="BM790" t="s">
        <v>74</v>
      </c>
      <c r="BN790" t="s">
        <v>74</v>
      </c>
      <c r="BO790" t="s">
        <v>74</v>
      </c>
      <c r="BP790" t="s">
        <v>74</v>
      </c>
      <c r="BQ790" t="s">
        <v>74</v>
      </c>
      <c r="BR790" t="s">
        <v>74</v>
      </c>
      <c r="BS790" t="s">
        <v>4128</v>
      </c>
      <c r="BT790" t="str">
        <f>HYPERLINK("https%3A%2F%2Fwww.webofscience.com%2Fwos%2Fwoscc%2Ffull-record%2FWOS:000262709400018","View Full Record in Web of Science")</f>
        <v>View Full Record in Web of Science</v>
      </c>
    </row>
    <row r="791" spans="1:72" x14ac:dyDescent="0.4">
      <c r="A791" t="s">
        <v>72</v>
      </c>
      <c r="B791" t="s">
        <v>859</v>
      </c>
      <c r="C791" t="s">
        <v>74</v>
      </c>
      <c r="D791" t="s">
        <v>74</v>
      </c>
      <c r="E791" t="s">
        <v>74</v>
      </c>
      <c r="F791" t="s">
        <v>860</v>
      </c>
      <c r="G791" t="s">
        <v>74</v>
      </c>
      <c r="H791" t="s">
        <v>74</v>
      </c>
      <c r="I791" t="s">
        <v>861</v>
      </c>
      <c r="J791" t="s">
        <v>862</v>
      </c>
      <c r="K791" t="s">
        <v>74</v>
      </c>
      <c r="L791" t="s">
        <v>74</v>
      </c>
      <c r="M791" t="s">
        <v>74</v>
      </c>
      <c r="N791" t="s">
        <v>74</v>
      </c>
      <c r="O791" t="s">
        <v>74</v>
      </c>
      <c r="P791" t="s">
        <v>74</v>
      </c>
      <c r="Q791" t="s">
        <v>74</v>
      </c>
      <c r="R791" t="s">
        <v>74</v>
      </c>
      <c r="S791" t="s">
        <v>74</v>
      </c>
      <c r="T791" t="s">
        <v>74</v>
      </c>
      <c r="U791" t="s">
        <v>74</v>
      </c>
      <c r="V791" s="3" t="s">
        <v>863</v>
      </c>
      <c r="W791" t="s">
        <v>74</v>
      </c>
      <c r="X791" t="s">
        <v>74</v>
      </c>
      <c r="Y791" t="s">
        <v>74</v>
      </c>
      <c r="Z791" t="s">
        <v>74</v>
      </c>
      <c r="AA791" t="s">
        <v>74</v>
      </c>
      <c r="AB791" t="s">
        <v>864</v>
      </c>
      <c r="AC791" t="s">
        <v>74</v>
      </c>
      <c r="AD791" t="s">
        <v>74</v>
      </c>
      <c r="AE791" t="s">
        <v>74</v>
      </c>
      <c r="AF791" t="s">
        <v>74</v>
      </c>
      <c r="AG791" t="s">
        <v>74</v>
      </c>
      <c r="AH791" t="s">
        <v>74</v>
      </c>
      <c r="AI791" t="s">
        <v>74</v>
      </c>
      <c r="AJ791" t="s">
        <v>74</v>
      </c>
      <c r="AK791" t="s">
        <v>74</v>
      </c>
      <c r="AL791" t="s">
        <v>74</v>
      </c>
      <c r="AM791" t="s">
        <v>74</v>
      </c>
      <c r="AN791" t="s">
        <v>74</v>
      </c>
      <c r="AO791" t="s">
        <v>865</v>
      </c>
      <c r="AP791" t="s">
        <v>866</v>
      </c>
      <c r="AQ791" t="s">
        <v>74</v>
      </c>
      <c r="AR791" t="s">
        <v>74</v>
      </c>
      <c r="AS791" t="s">
        <v>74</v>
      </c>
      <c r="AT791" t="s">
        <v>867</v>
      </c>
      <c r="AU791">
        <v>2024</v>
      </c>
      <c r="AV791" t="s">
        <v>74</v>
      </c>
      <c r="AW791" t="s">
        <v>74</v>
      </c>
      <c r="AX791" t="s">
        <v>74</v>
      </c>
      <c r="AY791" t="s">
        <v>74</v>
      </c>
      <c r="AZ791" t="s">
        <v>74</v>
      </c>
      <c r="BA791" t="s">
        <v>74</v>
      </c>
      <c r="BB791" t="s">
        <v>74</v>
      </c>
      <c r="BC791" t="s">
        <v>74</v>
      </c>
      <c r="BD791" t="s">
        <v>74</v>
      </c>
      <c r="BE791" t="s">
        <v>868</v>
      </c>
      <c r="BF791" t="str">
        <f>HYPERLINK("http://dx.doi.org/10.1007/s10211-024-00444-w","http://dx.doi.org/10.1007/s10211-024-00444-w")</f>
        <v>http://dx.doi.org/10.1007/s10211-024-00444-w</v>
      </c>
      <c r="BG791" t="s">
        <v>74</v>
      </c>
      <c r="BH791" t="s">
        <v>869</v>
      </c>
      <c r="BI791" t="s">
        <v>74</v>
      </c>
      <c r="BJ791" t="s">
        <v>74</v>
      </c>
      <c r="BK791" t="s">
        <v>74</v>
      </c>
      <c r="BL791" t="s">
        <v>74</v>
      </c>
      <c r="BM791" t="s">
        <v>74</v>
      </c>
      <c r="BN791" t="s">
        <v>74</v>
      </c>
      <c r="BO791" t="s">
        <v>74</v>
      </c>
      <c r="BP791" t="s">
        <v>74</v>
      </c>
      <c r="BQ791" t="s">
        <v>74</v>
      </c>
      <c r="BR791" t="s">
        <v>74</v>
      </c>
      <c r="BS791" t="s">
        <v>870</v>
      </c>
      <c r="BT791" t="str">
        <f>HYPERLINK("https%3A%2F%2Fwww.webofscience.com%2Fwos%2Fwoscc%2Ffull-record%2FWOS:001274807200001","View Full Record in Web of Science")</f>
        <v>View Full Record in Web of Science</v>
      </c>
    </row>
    <row r="792" spans="1:72" x14ac:dyDescent="0.4">
      <c r="A792" t="s">
        <v>72</v>
      </c>
      <c r="B792" t="s">
        <v>7412</v>
      </c>
      <c r="C792" t="s">
        <v>74</v>
      </c>
      <c r="D792" t="s">
        <v>74</v>
      </c>
      <c r="E792" t="s">
        <v>74</v>
      </c>
      <c r="F792" t="s">
        <v>7413</v>
      </c>
      <c r="G792" t="s">
        <v>74</v>
      </c>
      <c r="H792" t="s">
        <v>74</v>
      </c>
      <c r="I792" t="s">
        <v>7414</v>
      </c>
      <c r="J792" t="s">
        <v>5454</v>
      </c>
      <c r="K792" t="s">
        <v>74</v>
      </c>
      <c r="L792" t="s">
        <v>74</v>
      </c>
      <c r="M792" t="s">
        <v>74</v>
      </c>
      <c r="N792" t="s">
        <v>74</v>
      </c>
      <c r="O792" t="s">
        <v>74</v>
      </c>
      <c r="P792" t="s">
        <v>74</v>
      </c>
      <c r="Q792" t="s">
        <v>74</v>
      </c>
      <c r="R792" t="s">
        <v>74</v>
      </c>
      <c r="S792" t="s">
        <v>74</v>
      </c>
      <c r="T792" t="s">
        <v>74</v>
      </c>
      <c r="U792" t="s">
        <v>74</v>
      </c>
      <c r="V792" s="3" t="s">
        <v>7415</v>
      </c>
      <c r="W792" t="s">
        <v>74</v>
      </c>
      <c r="X792" t="s">
        <v>74</v>
      </c>
      <c r="Y792" t="s">
        <v>74</v>
      </c>
      <c r="Z792" t="s">
        <v>74</v>
      </c>
      <c r="AA792" t="s">
        <v>74</v>
      </c>
      <c r="AB792" t="s">
        <v>74</v>
      </c>
      <c r="AC792" t="s">
        <v>74</v>
      </c>
      <c r="AD792" t="s">
        <v>74</v>
      </c>
      <c r="AE792" t="s">
        <v>74</v>
      </c>
      <c r="AF792" t="s">
        <v>74</v>
      </c>
      <c r="AG792" t="s">
        <v>74</v>
      </c>
      <c r="AH792" t="s">
        <v>74</v>
      </c>
      <c r="AI792" t="s">
        <v>74</v>
      </c>
      <c r="AJ792" t="s">
        <v>74</v>
      </c>
      <c r="AK792" t="s">
        <v>74</v>
      </c>
      <c r="AL792" t="s">
        <v>74</v>
      </c>
      <c r="AM792" t="s">
        <v>74</v>
      </c>
      <c r="AN792" t="s">
        <v>74</v>
      </c>
      <c r="AO792" t="s">
        <v>5458</v>
      </c>
      <c r="AP792" t="s">
        <v>7416</v>
      </c>
      <c r="AQ792" t="s">
        <v>74</v>
      </c>
      <c r="AR792" t="s">
        <v>74</v>
      </c>
      <c r="AS792" t="s">
        <v>74</v>
      </c>
      <c r="AT792" t="s">
        <v>102</v>
      </c>
      <c r="AU792">
        <v>2021</v>
      </c>
      <c r="AV792">
        <v>96</v>
      </c>
      <c r="AW792" t="s">
        <v>74</v>
      </c>
      <c r="AX792" t="s">
        <v>74</v>
      </c>
      <c r="AY792" t="s">
        <v>74</v>
      </c>
      <c r="AZ792" t="s">
        <v>74</v>
      </c>
      <c r="BA792" t="s">
        <v>74</v>
      </c>
      <c r="BB792" t="s">
        <v>74</v>
      </c>
      <c r="BC792" t="s">
        <v>74</v>
      </c>
      <c r="BD792">
        <v>104265</v>
      </c>
      <c r="BE792" t="s">
        <v>7417</v>
      </c>
      <c r="BF792" t="str">
        <f>HYPERLINK("http://dx.doi.org/10.1016/j.bse.2021.104265","http://dx.doi.org/10.1016/j.bse.2021.104265")</f>
        <v>http://dx.doi.org/10.1016/j.bse.2021.104265</v>
      </c>
      <c r="BG792" t="s">
        <v>74</v>
      </c>
      <c r="BH792" t="s">
        <v>236</v>
      </c>
      <c r="BI792" t="s">
        <v>74</v>
      </c>
      <c r="BJ792" t="s">
        <v>74</v>
      </c>
      <c r="BK792" t="s">
        <v>74</v>
      </c>
      <c r="BL792" t="s">
        <v>74</v>
      </c>
      <c r="BM792" t="s">
        <v>74</v>
      </c>
      <c r="BN792" t="s">
        <v>74</v>
      </c>
      <c r="BO792" t="s">
        <v>74</v>
      </c>
      <c r="BP792" t="s">
        <v>74</v>
      </c>
      <c r="BQ792" t="s">
        <v>74</v>
      </c>
      <c r="BR792" t="s">
        <v>74</v>
      </c>
      <c r="BS792" t="s">
        <v>7418</v>
      </c>
      <c r="BT792" t="str">
        <f>HYPERLINK("https%3A%2F%2Fwww.webofscience.com%2Fwos%2Fwoscc%2Ffull-record%2FWOS:000653443100011","View Full Record in Web of Science")</f>
        <v>View Full Record in Web of Science</v>
      </c>
    </row>
    <row r="793" spans="1:72" x14ac:dyDescent="0.4">
      <c r="A793" t="s">
        <v>72</v>
      </c>
      <c r="B793" t="s">
        <v>4014</v>
      </c>
      <c r="C793" t="s">
        <v>74</v>
      </c>
      <c r="D793" t="s">
        <v>74</v>
      </c>
      <c r="E793" t="s">
        <v>74</v>
      </c>
      <c r="F793" t="s">
        <v>4015</v>
      </c>
      <c r="G793" t="s">
        <v>74</v>
      </c>
      <c r="H793" t="s">
        <v>74</v>
      </c>
      <c r="I793" t="s">
        <v>4016</v>
      </c>
      <c r="J793" t="s">
        <v>610</v>
      </c>
      <c r="K793" t="s">
        <v>74</v>
      </c>
      <c r="L793" t="s">
        <v>74</v>
      </c>
      <c r="M793" t="s">
        <v>74</v>
      </c>
      <c r="N793" t="s">
        <v>74</v>
      </c>
      <c r="O793" t="s">
        <v>74</v>
      </c>
      <c r="P793" t="s">
        <v>74</v>
      </c>
      <c r="Q793" t="s">
        <v>74</v>
      </c>
      <c r="R793" t="s">
        <v>74</v>
      </c>
      <c r="S793" t="s">
        <v>74</v>
      </c>
      <c r="T793" t="s">
        <v>74</v>
      </c>
      <c r="U793" t="s">
        <v>74</v>
      </c>
      <c r="V793" s="3" t="s">
        <v>4017</v>
      </c>
      <c r="W793" t="s">
        <v>74</v>
      </c>
      <c r="X793" t="s">
        <v>74</v>
      </c>
      <c r="Y793" t="s">
        <v>74</v>
      </c>
      <c r="Z793" t="s">
        <v>74</v>
      </c>
      <c r="AA793" t="s">
        <v>74</v>
      </c>
      <c r="AB793" t="s">
        <v>4018</v>
      </c>
      <c r="AC793" t="s">
        <v>74</v>
      </c>
      <c r="AD793" t="s">
        <v>74</v>
      </c>
      <c r="AE793" t="s">
        <v>74</v>
      </c>
      <c r="AF793" t="s">
        <v>74</v>
      </c>
      <c r="AG793" t="s">
        <v>74</v>
      </c>
      <c r="AH793" t="s">
        <v>74</v>
      </c>
      <c r="AI793" t="s">
        <v>74</v>
      </c>
      <c r="AJ793" t="s">
        <v>74</v>
      </c>
      <c r="AK793" t="s">
        <v>74</v>
      </c>
      <c r="AL793" t="s">
        <v>74</v>
      </c>
      <c r="AM793" t="s">
        <v>74</v>
      </c>
      <c r="AN793" t="s">
        <v>74</v>
      </c>
      <c r="AO793" t="s">
        <v>614</v>
      </c>
      <c r="AP793" t="s">
        <v>615</v>
      </c>
      <c r="AQ793" t="s">
        <v>74</v>
      </c>
      <c r="AR793" t="s">
        <v>74</v>
      </c>
      <c r="AS793" t="s">
        <v>74</v>
      </c>
      <c r="AT793" t="s">
        <v>352</v>
      </c>
      <c r="AU793">
        <v>2018</v>
      </c>
      <c r="AV793">
        <v>124</v>
      </c>
      <c r="AW793">
        <v>9</v>
      </c>
      <c r="AX793" t="s">
        <v>74</v>
      </c>
      <c r="AY793" t="s">
        <v>74</v>
      </c>
      <c r="AZ793" t="s">
        <v>74</v>
      </c>
      <c r="BA793" t="s">
        <v>74</v>
      </c>
      <c r="BB793">
        <v>684</v>
      </c>
      <c r="BC793">
        <v>690</v>
      </c>
      <c r="BD793" t="s">
        <v>74</v>
      </c>
      <c r="BE793" t="s">
        <v>4019</v>
      </c>
      <c r="BF793" t="str">
        <f>HYPERLINK("http://dx.doi.org/10.1111/eth.12801","http://dx.doi.org/10.1111/eth.12801")</f>
        <v>http://dx.doi.org/10.1111/eth.12801</v>
      </c>
      <c r="BG793" t="s">
        <v>74</v>
      </c>
      <c r="BH793" t="s">
        <v>74</v>
      </c>
      <c r="BI793" t="s">
        <v>74</v>
      </c>
      <c r="BJ793" t="s">
        <v>74</v>
      </c>
      <c r="BK793" t="s">
        <v>74</v>
      </c>
      <c r="BL793" t="s">
        <v>74</v>
      </c>
      <c r="BM793" t="s">
        <v>74</v>
      </c>
      <c r="BN793" t="s">
        <v>74</v>
      </c>
      <c r="BO793" t="s">
        <v>74</v>
      </c>
      <c r="BP793" t="s">
        <v>74</v>
      </c>
      <c r="BQ793" t="s">
        <v>74</v>
      </c>
      <c r="BR793" t="s">
        <v>74</v>
      </c>
      <c r="BS793" t="s">
        <v>4020</v>
      </c>
      <c r="BT793" t="str">
        <f>HYPERLINK("https%3A%2F%2Fwww.webofscience.com%2Fwos%2Fwoscc%2Ffull-record%2FWOS:000440649700008","View Full Record in Web of Science")</f>
        <v>View Full Record in Web of Science</v>
      </c>
    </row>
    <row r="794" spans="1:72" x14ac:dyDescent="0.4">
      <c r="A794" t="s">
        <v>72</v>
      </c>
      <c r="B794" t="s">
        <v>4445</v>
      </c>
      <c r="C794" t="s">
        <v>74</v>
      </c>
      <c r="D794" t="s">
        <v>74</v>
      </c>
      <c r="E794" t="s">
        <v>74</v>
      </c>
      <c r="F794" t="s">
        <v>4446</v>
      </c>
      <c r="G794" t="s">
        <v>74</v>
      </c>
      <c r="H794" t="s">
        <v>74</v>
      </c>
      <c r="I794" t="s">
        <v>4447</v>
      </c>
      <c r="J794" t="s">
        <v>129</v>
      </c>
      <c r="K794" t="s">
        <v>74</v>
      </c>
      <c r="L794" t="s">
        <v>74</v>
      </c>
      <c r="M794" t="s">
        <v>74</v>
      </c>
      <c r="N794" t="s">
        <v>74</v>
      </c>
      <c r="O794" t="s">
        <v>74</v>
      </c>
      <c r="P794" t="s">
        <v>74</v>
      </c>
      <c r="Q794" t="s">
        <v>74</v>
      </c>
      <c r="R794" t="s">
        <v>74</v>
      </c>
      <c r="S794" t="s">
        <v>74</v>
      </c>
      <c r="T794" t="s">
        <v>74</v>
      </c>
      <c r="U794" t="s">
        <v>74</v>
      </c>
      <c r="V794" s="3" t="s">
        <v>4448</v>
      </c>
      <c r="W794" t="s">
        <v>74</v>
      </c>
      <c r="X794" t="s">
        <v>74</v>
      </c>
      <c r="Y794" t="s">
        <v>74</v>
      </c>
      <c r="Z794" t="s">
        <v>74</v>
      </c>
      <c r="AA794" t="s">
        <v>4449</v>
      </c>
      <c r="AB794" t="s">
        <v>4450</v>
      </c>
      <c r="AC794" t="s">
        <v>74</v>
      </c>
      <c r="AD794" t="s">
        <v>74</v>
      </c>
      <c r="AE794" t="s">
        <v>74</v>
      </c>
      <c r="AF794" t="s">
        <v>74</v>
      </c>
      <c r="AG794" t="s">
        <v>74</v>
      </c>
      <c r="AH794" t="s">
        <v>74</v>
      </c>
      <c r="AI794" t="s">
        <v>74</v>
      </c>
      <c r="AJ794" t="s">
        <v>74</v>
      </c>
      <c r="AK794" t="s">
        <v>74</v>
      </c>
      <c r="AL794" t="s">
        <v>74</v>
      </c>
      <c r="AM794" t="s">
        <v>74</v>
      </c>
      <c r="AN794" t="s">
        <v>74</v>
      </c>
      <c r="AO794" t="s">
        <v>132</v>
      </c>
      <c r="AP794" t="s">
        <v>133</v>
      </c>
      <c r="AQ794" t="s">
        <v>74</v>
      </c>
      <c r="AR794" t="s">
        <v>74</v>
      </c>
      <c r="AS794" t="s">
        <v>74</v>
      </c>
      <c r="AT794" t="s">
        <v>352</v>
      </c>
      <c r="AU794">
        <v>2013</v>
      </c>
      <c r="AV794">
        <v>67</v>
      </c>
      <c r="AW794">
        <v>9</v>
      </c>
      <c r="AX794" t="s">
        <v>74</v>
      </c>
      <c r="AY794" t="s">
        <v>74</v>
      </c>
      <c r="AZ794" t="s">
        <v>848</v>
      </c>
      <c r="BA794" t="s">
        <v>74</v>
      </c>
      <c r="BB794">
        <v>1513</v>
      </c>
      <c r="BC794">
        <v>1522</v>
      </c>
      <c r="BD794" t="s">
        <v>74</v>
      </c>
      <c r="BE794" t="s">
        <v>4451</v>
      </c>
      <c r="BF794" t="str">
        <f>HYPERLINK("http://dx.doi.org/10.1007/s00265-013-1535-4","http://dx.doi.org/10.1007/s00265-013-1535-4")</f>
        <v>http://dx.doi.org/10.1007/s00265-013-1535-4</v>
      </c>
      <c r="BG794" t="s">
        <v>74</v>
      </c>
      <c r="BH794" t="s">
        <v>74</v>
      </c>
      <c r="BI794" t="s">
        <v>74</v>
      </c>
      <c r="BJ794" t="s">
        <v>74</v>
      </c>
      <c r="BK794" t="s">
        <v>74</v>
      </c>
      <c r="BL794" t="s">
        <v>74</v>
      </c>
      <c r="BM794" t="s">
        <v>74</v>
      </c>
      <c r="BN794" t="s">
        <v>74</v>
      </c>
      <c r="BO794" t="s">
        <v>74</v>
      </c>
      <c r="BP794" t="s">
        <v>74</v>
      </c>
      <c r="BQ794" t="s">
        <v>74</v>
      </c>
      <c r="BR794" t="s">
        <v>74</v>
      </c>
      <c r="BS794" t="s">
        <v>4452</v>
      </c>
      <c r="BT794" t="str">
        <f>HYPERLINK("https%3A%2F%2Fwww.webofscience.com%2Fwos%2Fwoscc%2Ffull-record%2FWOS:000323103400013","View Full Record in Web of Science")</f>
        <v>View Full Record in Web of Science</v>
      </c>
    </row>
    <row r="795" spans="1:72" x14ac:dyDescent="0.4">
      <c r="A795" t="s">
        <v>72</v>
      </c>
      <c r="B795" t="s">
        <v>8459</v>
      </c>
      <c r="C795" t="s">
        <v>74</v>
      </c>
      <c r="D795" t="s">
        <v>74</v>
      </c>
      <c r="E795" t="s">
        <v>74</v>
      </c>
      <c r="F795" t="s">
        <v>8459</v>
      </c>
      <c r="G795" t="s">
        <v>74</v>
      </c>
      <c r="H795" t="s">
        <v>74</v>
      </c>
      <c r="I795" t="s">
        <v>8460</v>
      </c>
      <c r="J795" t="s">
        <v>8461</v>
      </c>
      <c r="K795" t="s">
        <v>74</v>
      </c>
      <c r="L795" t="s">
        <v>74</v>
      </c>
      <c r="M795" t="s">
        <v>74</v>
      </c>
      <c r="N795" t="s">
        <v>74</v>
      </c>
      <c r="O795" t="s">
        <v>74</v>
      </c>
      <c r="P795" t="s">
        <v>74</v>
      </c>
      <c r="Q795" t="s">
        <v>74</v>
      </c>
      <c r="R795" t="s">
        <v>74</v>
      </c>
      <c r="S795" t="s">
        <v>74</v>
      </c>
      <c r="T795" t="s">
        <v>74</v>
      </c>
      <c r="U795" t="s">
        <v>74</v>
      </c>
      <c r="V795" s="3" t="s">
        <v>8462</v>
      </c>
      <c r="W795" t="s">
        <v>74</v>
      </c>
      <c r="X795" t="s">
        <v>74</v>
      </c>
      <c r="Y795" t="s">
        <v>74</v>
      </c>
      <c r="Z795" t="s">
        <v>74</v>
      </c>
      <c r="AA795" t="s">
        <v>74</v>
      </c>
      <c r="AB795" t="s">
        <v>74</v>
      </c>
      <c r="AC795" t="s">
        <v>74</v>
      </c>
      <c r="AD795" t="s">
        <v>74</v>
      </c>
      <c r="AE795" t="s">
        <v>74</v>
      </c>
      <c r="AF795" t="s">
        <v>74</v>
      </c>
      <c r="AG795" t="s">
        <v>74</v>
      </c>
      <c r="AH795" t="s">
        <v>74</v>
      </c>
      <c r="AI795" t="s">
        <v>74</v>
      </c>
      <c r="AJ795" t="s">
        <v>74</v>
      </c>
      <c r="AK795" t="s">
        <v>74</v>
      </c>
      <c r="AL795" t="s">
        <v>74</v>
      </c>
      <c r="AM795" t="s">
        <v>74</v>
      </c>
      <c r="AN795" t="s">
        <v>74</v>
      </c>
      <c r="AO795" t="s">
        <v>8463</v>
      </c>
      <c r="AP795" t="s">
        <v>74</v>
      </c>
      <c r="AQ795" t="s">
        <v>74</v>
      </c>
      <c r="AR795" t="s">
        <v>74</v>
      </c>
      <c r="AS795" t="s">
        <v>74</v>
      </c>
      <c r="AT795" t="s">
        <v>74</v>
      </c>
      <c r="AU795">
        <v>1988</v>
      </c>
      <c r="AV795">
        <v>15</v>
      </c>
      <c r="AW795">
        <v>5</v>
      </c>
      <c r="AX795" t="s">
        <v>74</v>
      </c>
      <c r="AY795" t="s">
        <v>74</v>
      </c>
      <c r="AZ795" t="s">
        <v>74</v>
      </c>
      <c r="BA795" t="s">
        <v>74</v>
      </c>
      <c r="BB795">
        <v>541</v>
      </c>
      <c r="BC795">
        <v>560</v>
      </c>
      <c r="BD795" t="s">
        <v>74</v>
      </c>
      <c r="BE795" t="s">
        <v>74</v>
      </c>
      <c r="BF795" t="s">
        <v>74</v>
      </c>
      <c r="BG795" t="s">
        <v>74</v>
      </c>
      <c r="BH795" t="s">
        <v>74</v>
      </c>
      <c r="BI795" t="s">
        <v>74</v>
      </c>
      <c r="BJ795" t="s">
        <v>74</v>
      </c>
      <c r="BK795" t="s">
        <v>74</v>
      </c>
      <c r="BL795" t="s">
        <v>74</v>
      </c>
      <c r="BM795" t="s">
        <v>74</v>
      </c>
      <c r="BN795" t="s">
        <v>74</v>
      </c>
      <c r="BO795" t="s">
        <v>74</v>
      </c>
      <c r="BP795" t="s">
        <v>74</v>
      </c>
      <c r="BQ795" t="s">
        <v>74</v>
      </c>
      <c r="BR795" t="s">
        <v>74</v>
      </c>
      <c r="BS795" t="s">
        <v>8464</v>
      </c>
      <c r="BT795" t="str">
        <f>HYPERLINK("https%3A%2F%2Fwww.webofscience.com%2Fwos%2Fwoscc%2Ffull-record%2FWOS:A1988U589900008","View Full Record in Web of Science")</f>
        <v>View Full Record in Web of Science</v>
      </c>
    </row>
    <row r="796" spans="1:72" x14ac:dyDescent="0.4">
      <c r="A796" t="s">
        <v>72</v>
      </c>
      <c r="B796" t="s">
        <v>3050</v>
      </c>
      <c r="C796" t="s">
        <v>74</v>
      </c>
      <c r="D796" t="s">
        <v>74</v>
      </c>
      <c r="E796" t="s">
        <v>74</v>
      </c>
      <c r="F796" t="s">
        <v>3051</v>
      </c>
      <c r="G796" t="s">
        <v>74</v>
      </c>
      <c r="H796" t="s">
        <v>74</v>
      </c>
      <c r="I796" t="s">
        <v>3052</v>
      </c>
      <c r="J796" t="s">
        <v>775</v>
      </c>
      <c r="K796" t="s">
        <v>74</v>
      </c>
      <c r="L796" t="s">
        <v>74</v>
      </c>
      <c r="M796" t="s">
        <v>74</v>
      </c>
      <c r="N796" t="s">
        <v>74</v>
      </c>
      <c r="O796" t="s">
        <v>74</v>
      </c>
      <c r="P796" t="s">
        <v>74</v>
      </c>
      <c r="Q796" t="s">
        <v>74</v>
      </c>
      <c r="R796" t="s">
        <v>74</v>
      </c>
      <c r="S796" t="s">
        <v>74</v>
      </c>
      <c r="T796" t="s">
        <v>74</v>
      </c>
      <c r="U796" t="s">
        <v>74</v>
      </c>
      <c r="V796" s="3" t="s">
        <v>3053</v>
      </c>
      <c r="W796" t="s">
        <v>74</v>
      </c>
      <c r="X796" t="s">
        <v>74</v>
      </c>
      <c r="Y796" t="s">
        <v>74</v>
      </c>
      <c r="Z796" t="s">
        <v>74</v>
      </c>
      <c r="AA796" t="s">
        <v>74</v>
      </c>
      <c r="AB796" t="s">
        <v>3054</v>
      </c>
      <c r="AC796" t="s">
        <v>74</v>
      </c>
      <c r="AD796" t="s">
        <v>74</v>
      </c>
      <c r="AE796" t="s">
        <v>74</v>
      </c>
      <c r="AF796" t="s">
        <v>74</v>
      </c>
      <c r="AG796" t="s">
        <v>74</v>
      </c>
      <c r="AH796" t="s">
        <v>74</v>
      </c>
      <c r="AI796" t="s">
        <v>74</v>
      </c>
      <c r="AJ796" t="s">
        <v>74</v>
      </c>
      <c r="AK796" t="s">
        <v>74</v>
      </c>
      <c r="AL796" t="s">
        <v>74</v>
      </c>
      <c r="AM796" t="s">
        <v>74</v>
      </c>
      <c r="AN796" t="s">
        <v>74</v>
      </c>
      <c r="AO796" t="s">
        <v>778</v>
      </c>
      <c r="AP796" t="s">
        <v>779</v>
      </c>
      <c r="AQ796" t="s">
        <v>74</v>
      </c>
      <c r="AR796" t="s">
        <v>74</v>
      </c>
      <c r="AS796" t="s">
        <v>74</v>
      </c>
      <c r="AT796" t="s">
        <v>2296</v>
      </c>
      <c r="AU796">
        <v>2024</v>
      </c>
      <c r="AV796">
        <v>70</v>
      </c>
      <c r="AW796">
        <v>1</v>
      </c>
      <c r="AX796" t="s">
        <v>74</v>
      </c>
      <c r="AY796" t="s">
        <v>74</v>
      </c>
      <c r="AZ796" t="s">
        <v>74</v>
      </c>
      <c r="BA796" t="s">
        <v>74</v>
      </c>
      <c r="BB796">
        <v>79</v>
      </c>
      <c r="BC796">
        <v>86</v>
      </c>
      <c r="BD796" t="s">
        <v>74</v>
      </c>
      <c r="BE796" t="s">
        <v>3055</v>
      </c>
      <c r="BF796" t="str">
        <f>HYPERLINK("http://dx.doi.org/10.1093/cz/zoac099","http://dx.doi.org/10.1093/cz/zoac099")</f>
        <v>http://dx.doi.org/10.1093/cz/zoac099</v>
      </c>
      <c r="BG796" t="s">
        <v>74</v>
      </c>
      <c r="BH796" t="s">
        <v>3048</v>
      </c>
      <c r="BI796" t="s">
        <v>74</v>
      </c>
      <c r="BJ796" t="s">
        <v>74</v>
      </c>
      <c r="BK796" t="s">
        <v>74</v>
      </c>
      <c r="BL796" t="s">
        <v>74</v>
      </c>
      <c r="BM796" t="s">
        <v>74</v>
      </c>
      <c r="BN796">
        <v>38476140</v>
      </c>
      <c r="BO796" t="s">
        <v>74</v>
      </c>
      <c r="BP796" t="s">
        <v>74</v>
      </c>
      <c r="BQ796" t="s">
        <v>74</v>
      </c>
      <c r="BR796" t="s">
        <v>74</v>
      </c>
      <c r="BS796" t="s">
        <v>3056</v>
      </c>
      <c r="BT796" t="str">
        <f>HYPERLINK("https%3A%2F%2Fwww.webofscience.com%2Fwos%2Fwoscc%2Ffull-record%2FWOS:000941847900001","View Full Record in Web of Science")</f>
        <v>View Full Record in Web of Science</v>
      </c>
    </row>
    <row r="797" spans="1:72" x14ac:dyDescent="0.4">
      <c r="A797" t="s">
        <v>72</v>
      </c>
      <c r="B797" t="s">
        <v>1653</v>
      </c>
      <c r="C797" t="s">
        <v>74</v>
      </c>
      <c r="D797" t="s">
        <v>74</v>
      </c>
      <c r="E797" t="s">
        <v>74</v>
      </c>
      <c r="F797" t="s">
        <v>1654</v>
      </c>
      <c r="G797" t="s">
        <v>74</v>
      </c>
      <c r="H797" t="s">
        <v>74</v>
      </c>
      <c r="I797" t="s">
        <v>1655</v>
      </c>
      <c r="J797" t="s">
        <v>1656</v>
      </c>
      <c r="K797" t="s">
        <v>74</v>
      </c>
      <c r="L797" t="s">
        <v>74</v>
      </c>
      <c r="M797" t="s">
        <v>74</v>
      </c>
      <c r="N797" t="s">
        <v>74</v>
      </c>
      <c r="O797" t="s">
        <v>74</v>
      </c>
      <c r="P797" t="s">
        <v>74</v>
      </c>
      <c r="Q797" t="s">
        <v>74</v>
      </c>
      <c r="R797" t="s">
        <v>74</v>
      </c>
      <c r="S797" t="s">
        <v>74</v>
      </c>
      <c r="T797" t="s">
        <v>74</v>
      </c>
      <c r="U797" t="s">
        <v>74</v>
      </c>
      <c r="V797" s="3" t="s">
        <v>1657</v>
      </c>
      <c r="W797" t="s">
        <v>74</v>
      </c>
      <c r="X797" t="s">
        <v>74</v>
      </c>
      <c r="Y797" t="s">
        <v>74</v>
      </c>
      <c r="Z797" t="s">
        <v>74</v>
      </c>
      <c r="AA797" t="s">
        <v>74</v>
      </c>
      <c r="AB797" t="s">
        <v>74</v>
      </c>
      <c r="AC797" t="s">
        <v>74</v>
      </c>
      <c r="AD797" t="s">
        <v>74</v>
      </c>
      <c r="AE797" t="s">
        <v>74</v>
      </c>
      <c r="AF797" t="s">
        <v>74</v>
      </c>
      <c r="AG797" t="s">
        <v>74</v>
      </c>
      <c r="AH797" t="s">
        <v>74</v>
      </c>
      <c r="AI797" t="s">
        <v>74</v>
      </c>
      <c r="AJ797" t="s">
        <v>74</v>
      </c>
      <c r="AK797" t="s">
        <v>74</v>
      </c>
      <c r="AL797" t="s">
        <v>74</v>
      </c>
      <c r="AM797" t="s">
        <v>74</v>
      </c>
      <c r="AN797" t="s">
        <v>74</v>
      </c>
      <c r="AO797" t="s">
        <v>1658</v>
      </c>
      <c r="AP797" t="s">
        <v>1659</v>
      </c>
      <c r="AQ797" t="s">
        <v>74</v>
      </c>
      <c r="AR797" t="s">
        <v>74</v>
      </c>
      <c r="AS797" t="s">
        <v>74</v>
      </c>
      <c r="AT797" t="s">
        <v>1660</v>
      </c>
      <c r="AU797">
        <v>2013</v>
      </c>
      <c r="AV797">
        <v>3608</v>
      </c>
      <c r="AW797">
        <v>5</v>
      </c>
      <c r="AX797" t="s">
        <v>74</v>
      </c>
      <c r="AY797" t="s">
        <v>74</v>
      </c>
      <c r="AZ797" t="s">
        <v>74</v>
      </c>
      <c r="BA797" t="s">
        <v>74</v>
      </c>
      <c r="BB797">
        <v>328</v>
      </c>
      <c r="BC797">
        <v>344</v>
      </c>
      <c r="BD797" t="s">
        <v>74</v>
      </c>
      <c r="BE797" t="s">
        <v>1661</v>
      </c>
      <c r="BF797" t="str">
        <f>HYPERLINK("http://dx.doi.org/10.11646/zootaxa.3608.5.2","http://dx.doi.org/10.11646/zootaxa.3608.5.2")</f>
        <v>http://dx.doi.org/10.11646/zootaxa.3608.5.2</v>
      </c>
      <c r="BG797" t="s">
        <v>74</v>
      </c>
      <c r="BH797" t="s">
        <v>74</v>
      </c>
      <c r="BI797" t="s">
        <v>74</v>
      </c>
      <c r="BJ797" t="s">
        <v>74</v>
      </c>
      <c r="BK797" t="s">
        <v>74</v>
      </c>
      <c r="BL797" t="s">
        <v>74</v>
      </c>
      <c r="BM797" t="s">
        <v>74</v>
      </c>
      <c r="BN797">
        <v>24614474</v>
      </c>
      <c r="BO797" t="s">
        <v>74</v>
      </c>
      <c r="BP797" t="s">
        <v>74</v>
      </c>
      <c r="BQ797" t="s">
        <v>74</v>
      </c>
      <c r="BR797" t="s">
        <v>74</v>
      </c>
      <c r="BS797" t="s">
        <v>1662</v>
      </c>
      <c r="BT797" t="str">
        <f>HYPERLINK("https%3A%2F%2Fwww.webofscience.com%2Fwos%2Fwoscc%2Ffull-record%2FWOS:000313804500002","View Full Record in Web of Science")</f>
        <v>View Full Record in Web of Science</v>
      </c>
    </row>
    <row r="798" spans="1:72" x14ac:dyDescent="0.4">
      <c r="A798" t="s">
        <v>72</v>
      </c>
      <c r="B798" t="s">
        <v>782</v>
      </c>
      <c r="C798" t="s">
        <v>74</v>
      </c>
      <c r="D798" t="s">
        <v>74</v>
      </c>
      <c r="E798" t="s">
        <v>74</v>
      </c>
      <c r="F798" t="s">
        <v>783</v>
      </c>
      <c r="G798" t="s">
        <v>74</v>
      </c>
      <c r="H798" t="s">
        <v>74</v>
      </c>
      <c r="I798" t="s">
        <v>784</v>
      </c>
      <c r="J798" t="s">
        <v>785</v>
      </c>
      <c r="K798" t="s">
        <v>74</v>
      </c>
      <c r="L798" t="s">
        <v>74</v>
      </c>
      <c r="M798" t="s">
        <v>74</v>
      </c>
      <c r="N798" t="s">
        <v>74</v>
      </c>
      <c r="O798" t="s">
        <v>74</v>
      </c>
      <c r="P798" t="s">
        <v>74</v>
      </c>
      <c r="Q798" t="s">
        <v>74</v>
      </c>
      <c r="R798" t="s">
        <v>74</v>
      </c>
      <c r="S798" t="s">
        <v>74</v>
      </c>
      <c r="T798" t="s">
        <v>74</v>
      </c>
      <c r="U798" t="s">
        <v>74</v>
      </c>
      <c r="V798" s="3" t="s">
        <v>786</v>
      </c>
      <c r="W798" t="s">
        <v>74</v>
      </c>
      <c r="X798" t="s">
        <v>74</v>
      </c>
      <c r="Y798" t="s">
        <v>74</v>
      </c>
      <c r="Z798" t="s">
        <v>74</v>
      </c>
      <c r="AA798" t="s">
        <v>74</v>
      </c>
      <c r="AB798" t="s">
        <v>74</v>
      </c>
      <c r="AC798" t="s">
        <v>74</v>
      </c>
      <c r="AD798" t="s">
        <v>74</v>
      </c>
      <c r="AE798" t="s">
        <v>74</v>
      </c>
      <c r="AF798" t="s">
        <v>74</v>
      </c>
      <c r="AG798" t="s">
        <v>74</v>
      </c>
      <c r="AH798" t="s">
        <v>74</v>
      </c>
      <c r="AI798" t="s">
        <v>74</v>
      </c>
      <c r="AJ798" t="s">
        <v>74</v>
      </c>
      <c r="AK798" t="s">
        <v>74</v>
      </c>
      <c r="AL798" t="s">
        <v>74</v>
      </c>
      <c r="AM798" t="s">
        <v>74</v>
      </c>
      <c r="AN798" t="s">
        <v>74</v>
      </c>
      <c r="AO798" t="s">
        <v>74</v>
      </c>
      <c r="AP798" t="s">
        <v>787</v>
      </c>
      <c r="AQ798" t="s">
        <v>74</v>
      </c>
      <c r="AR798" t="s">
        <v>74</v>
      </c>
      <c r="AS798" t="s">
        <v>74</v>
      </c>
      <c r="AT798" t="s">
        <v>788</v>
      </c>
      <c r="AU798">
        <v>2010</v>
      </c>
      <c r="AV798">
        <v>10</v>
      </c>
      <c r="AW798" t="s">
        <v>74</v>
      </c>
      <c r="AX798" t="s">
        <v>74</v>
      </c>
      <c r="AY798" t="s">
        <v>74</v>
      </c>
      <c r="AZ798" t="s">
        <v>74</v>
      </c>
      <c r="BA798" t="s">
        <v>74</v>
      </c>
      <c r="BB798" t="s">
        <v>74</v>
      </c>
      <c r="BC798" t="s">
        <v>74</v>
      </c>
      <c r="BD798">
        <v>109</v>
      </c>
      <c r="BE798" t="s">
        <v>789</v>
      </c>
      <c r="BF798" t="str">
        <f>HYPERLINK("http://dx.doi.org/10.1673/031.010.10901","http://dx.doi.org/10.1673/031.010.10901")</f>
        <v>http://dx.doi.org/10.1673/031.010.10901</v>
      </c>
      <c r="BG798" t="s">
        <v>74</v>
      </c>
      <c r="BH798" t="s">
        <v>74</v>
      </c>
      <c r="BI798" t="s">
        <v>74</v>
      </c>
      <c r="BJ798" t="s">
        <v>74</v>
      </c>
      <c r="BK798" t="s">
        <v>74</v>
      </c>
      <c r="BL798" t="s">
        <v>74</v>
      </c>
      <c r="BM798" t="s">
        <v>74</v>
      </c>
      <c r="BN798">
        <v>20874396</v>
      </c>
      <c r="BO798" t="s">
        <v>74</v>
      </c>
      <c r="BP798" t="s">
        <v>74</v>
      </c>
      <c r="BQ798" t="s">
        <v>74</v>
      </c>
      <c r="BR798" t="s">
        <v>74</v>
      </c>
      <c r="BS798" t="s">
        <v>790</v>
      </c>
      <c r="BT798" t="str">
        <f>HYPERLINK("https%3A%2F%2Fwww.webofscience.com%2Fwos%2Fwoscc%2Ffull-record%2FWOS:000280095500007","View Full Record in Web of Science")</f>
        <v>View Full Record in Web of Science</v>
      </c>
    </row>
    <row r="799" spans="1:72" x14ac:dyDescent="0.4">
      <c r="A799" t="s">
        <v>72</v>
      </c>
      <c r="B799" t="s">
        <v>6032</v>
      </c>
      <c r="C799" t="s">
        <v>74</v>
      </c>
      <c r="D799" t="s">
        <v>74</v>
      </c>
      <c r="E799" t="s">
        <v>74</v>
      </c>
      <c r="F799" t="s">
        <v>6032</v>
      </c>
      <c r="G799" t="s">
        <v>74</v>
      </c>
      <c r="H799" t="s">
        <v>74</v>
      </c>
      <c r="I799" t="s">
        <v>6033</v>
      </c>
      <c r="J799" t="s">
        <v>3238</v>
      </c>
      <c r="K799" t="s">
        <v>74</v>
      </c>
      <c r="L799" t="s">
        <v>74</v>
      </c>
      <c r="M799" t="s">
        <v>74</v>
      </c>
      <c r="N799" t="s">
        <v>74</v>
      </c>
      <c r="O799" t="s">
        <v>74</v>
      </c>
      <c r="P799" t="s">
        <v>74</v>
      </c>
      <c r="Q799" t="s">
        <v>74</v>
      </c>
      <c r="R799" t="s">
        <v>74</v>
      </c>
      <c r="S799" t="s">
        <v>74</v>
      </c>
      <c r="T799" t="s">
        <v>74</v>
      </c>
      <c r="U799" t="s">
        <v>74</v>
      </c>
      <c r="V799" s="3" t="s">
        <v>6034</v>
      </c>
      <c r="W799" t="s">
        <v>74</v>
      </c>
      <c r="X799" t="s">
        <v>74</v>
      </c>
      <c r="Y799" t="s">
        <v>74</v>
      </c>
      <c r="Z799" t="s">
        <v>74</v>
      </c>
      <c r="AA799" t="s">
        <v>6035</v>
      </c>
      <c r="AB799" t="s">
        <v>6036</v>
      </c>
      <c r="AC799" t="s">
        <v>74</v>
      </c>
      <c r="AD799" t="s">
        <v>74</v>
      </c>
      <c r="AE799" t="s">
        <v>74</v>
      </c>
      <c r="AF799" t="s">
        <v>74</v>
      </c>
      <c r="AG799" t="s">
        <v>74</v>
      </c>
      <c r="AH799" t="s">
        <v>74</v>
      </c>
      <c r="AI799" t="s">
        <v>74</v>
      </c>
      <c r="AJ799" t="s">
        <v>74</v>
      </c>
      <c r="AK799" t="s">
        <v>74</v>
      </c>
      <c r="AL799" t="s">
        <v>74</v>
      </c>
      <c r="AM799" t="s">
        <v>74</v>
      </c>
      <c r="AN799" t="s">
        <v>74</v>
      </c>
      <c r="AO799" t="s">
        <v>3240</v>
      </c>
      <c r="AP799" t="s">
        <v>3241</v>
      </c>
      <c r="AQ799" t="s">
        <v>74</v>
      </c>
      <c r="AR799" t="s">
        <v>74</v>
      </c>
      <c r="AS799" t="s">
        <v>74</v>
      </c>
      <c r="AT799" t="s">
        <v>123</v>
      </c>
      <c r="AU799">
        <v>1990</v>
      </c>
      <c r="AV799">
        <v>83</v>
      </c>
      <c r="AW799">
        <v>2</v>
      </c>
      <c r="AX799" t="s">
        <v>74</v>
      </c>
      <c r="AY799" t="s">
        <v>74</v>
      </c>
      <c r="AZ799" t="s">
        <v>74</v>
      </c>
      <c r="BA799" t="s">
        <v>74</v>
      </c>
      <c r="BB799">
        <v>171</v>
      </c>
      <c r="BC799">
        <v>188</v>
      </c>
      <c r="BD799" t="s">
        <v>74</v>
      </c>
      <c r="BE799" t="s">
        <v>6037</v>
      </c>
      <c r="BF799" t="str">
        <f>HYPERLINK("http://dx.doi.org/10.1093/aesa/83.2.171","http://dx.doi.org/10.1093/aesa/83.2.171")</f>
        <v>http://dx.doi.org/10.1093/aesa/83.2.171</v>
      </c>
      <c r="BG799" t="s">
        <v>74</v>
      </c>
      <c r="BH799" t="s">
        <v>74</v>
      </c>
      <c r="BI799" t="s">
        <v>74</v>
      </c>
      <c r="BJ799" t="s">
        <v>74</v>
      </c>
      <c r="BK799" t="s">
        <v>74</v>
      </c>
      <c r="BL799" t="s">
        <v>74</v>
      </c>
      <c r="BM799" t="s">
        <v>74</v>
      </c>
      <c r="BN799" t="s">
        <v>74</v>
      </c>
      <c r="BO799" t="s">
        <v>74</v>
      </c>
      <c r="BP799" t="s">
        <v>74</v>
      </c>
      <c r="BQ799" t="s">
        <v>74</v>
      </c>
      <c r="BR799" t="s">
        <v>74</v>
      </c>
      <c r="BS799" t="s">
        <v>6038</v>
      </c>
      <c r="BT799" t="str">
        <f>HYPERLINK("https%3A%2F%2Fwww.webofscience.com%2Fwos%2Fwoscc%2Ffull-record%2FWOS:A1990CQ89800007","View Full Record in Web of Science")</f>
        <v>View Full Record in Web of Science</v>
      </c>
    </row>
    <row r="800" spans="1:72" x14ac:dyDescent="0.4">
      <c r="A800" t="s">
        <v>72</v>
      </c>
      <c r="B800" t="s">
        <v>4854</v>
      </c>
      <c r="C800" t="s">
        <v>74</v>
      </c>
      <c r="D800" t="s">
        <v>74</v>
      </c>
      <c r="E800" t="s">
        <v>74</v>
      </c>
      <c r="F800" t="s">
        <v>4855</v>
      </c>
      <c r="G800" t="s">
        <v>74</v>
      </c>
      <c r="H800" t="s">
        <v>74</v>
      </c>
      <c r="I800" t="s">
        <v>4856</v>
      </c>
      <c r="J800" t="s">
        <v>299</v>
      </c>
      <c r="K800" t="s">
        <v>74</v>
      </c>
      <c r="L800" t="s">
        <v>74</v>
      </c>
      <c r="M800" t="s">
        <v>74</v>
      </c>
      <c r="N800" t="s">
        <v>74</v>
      </c>
      <c r="O800" t="s">
        <v>74</v>
      </c>
      <c r="P800" t="s">
        <v>74</v>
      </c>
      <c r="Q800" t="s">
        <v>74</v>
      </c>
      <c r="R800" t="s">
        <v>74</v>
      </c>
      <c r="S800" t="s">
        <v>74</v>
      </c>
      <c r="T800" t="s">
        <v>74</v>
      </c>
      <c r="U800" t="s">
        <v>74</v>
      </c>
      <c r="V800" s="3" t="s">
        <v>4857</v>
      </c>
      <c r="W800" t="s">
        <v>74</v>
      </c>
      <c r="X800" t="s">
        <v>74</v>
      </c>
      <c r="Y800" t="s">
        <v>74</v>
      </c>
      <c r="Z800" t="s">
        <v>74</v>
      </c>
      <c r="AA800" t="s">
        <v>4858</v>
      </c>
      <c r="AB800" t="s">
        <v>4859</v>
      </c>
      <c r="AC800" t="s">
        <v>74</v>
      </c>
      <c r="AD800" t="s">
        <v>74</v>
      </c>
      <c r="AE800" t="s">
        <v>74</v>
      </c>
      <c r="AF800" t="s">
        <v>74</v>
      </c>
      <c r="AG800" t="s">
        <v>74</v>
      </c>
      <c r="AH800" t="s">
        <v>74</v>
      </c>
      <c r="AI800" t="s">
        <v>74</v>
      </c>
      <c r="AJ800" t="s">
        <v>74</v>
      </c>
      <c r="AK800" t="s">
        <v>74</v>
      </c>
      <c r="AL800" t="s">
        <v>74</v>
      </c>
      <c r="AM800" t="s">
        <v>74</v>
      </c>
      <c r="AN800" t="s">
        <v>74</v>
      </c>
      <c r="AO800" t="s">
        <v>303</v>
      </c>
      <c r="AP800" t="s">
        <v>304</v>
      </c>
      <c r="AQ800" t="s">
        <v>74</v>
      </c>
      <c r="AR800" t="s">
        <v>74</v>
      </c>
      <c r="AS800" t="s">
        <v>74</v>
      </c>
      <c r="AT800" t="s">
        <v>305</v>
      </c>
      <c r="AU800">
        <v>2016</v>
      </c>
      <c r="AV800">
        <v>47</v>
      </c>
      <c r="AW800">
        <v>12</v>
      </c>
      <c r="AX800" t="s">
        <v>74</v>
      </c>
      <c r="AY800" t="s">
        <v>74</v>
      </c>
      <c r="AZ800" t="s">
        <v>74</v>
      </c>
      <c r="BA800" t="s">
        <v>74</v>
      </c>
      <c r="BB800">
        <v>4015</v>
      </c>
      <c r="BC800">
        <v>4023</v>
      </c>
      <c r="BD800" t="s">
        <v>74</v>
      </c>
      <c r="BE800" t="s">
        <v>4860</v>
      </c>
      <c r="BF800" t="str">
        <f>HYPERLINK("http://dx.doi.org/10.1111/are.12854","http://dx.doi.org/10.1111/are.12854")</f>
        <v>http://dx.doi.org/10.1111/are.12854</v>
      </c>
      <c r="BG800" t="s">
        <v>74</v>
      </c>
      <c r="BH800" t="s">
        <v>74</v>
      </c>
      <c r="BI800" t="s">
        <v>74</v>
      </c>
      <c r="BJ800" t="s">
        <v>74</v>
      </c>
      <c r="BK800" t="s">
        <v>74</v>
      </c>
      <c r="BL800" t="s">
        <v>74</v>
      </c>
      <c r="BM800" t="s">
        <v>74</v>
      </c>
      <c r="BN800" t="s">
        <v>74</v>
      </c>
      <c r="BO800" t="s">
        <v>74</v>
      </c>
      <c r="BP800" t="s">
        <v>74</v>
      </c>
      <c r="BQ800" t="s">
        <v>74</v>
      </c>
      <c r="BR800" t="s">
        <v>74</v>
      </c>
      <c r="BS800" t="s">
        <v>4861</v>
      </c>
      <c r="BT800" t="str">
        <f>HYPERLINK("https%3A%2F%2Fwww.webofscience.com%2Fwos%2Fwoscc%2Ffull-record%2FWOS:000387663000031","View Full Record in Web of Science")</f>
        <v>View Full Record in Web of Science</v>
      </c>
    </row>
    <row r="801" spans="1:72" x14ac:dyDescent="0.4">
      <c r="A801" t="s">
        <v>72</v>
      </c>
      <c r="B801" t="s">
        <v>3900</v>
      </c>
      <c r="C801" t="s">
        <v>74</v>
      </c>
      <c r="D801" t="s">
        <v>74</v>
      </c>
      <c r="E801" t="s">
        <v>74</v>
      </c>
      <c r="F801" t="s">
        <v>3900</v>
      </c>
      <c r="G801" t="s">
        <v>74</v>
      </c>
      <c r="H801" t="s">
        <v>74</v>
      </c>
      <c r="I801" t="s">
        <v>3901</v>
      </c>
      <c r="J801" t="s">
        <v>108</v>
      </c>
      <c r="K801" t="s">
        <v>74</v>
      </c>
      <c r="L801" t="s">
        <v>74</v>
      </c>
      <c r="M801" t="s">
        <v>74</v>
      </c>
      <c r="N801" t="s">
        <v>74</v>
      </c>
      <c r="O801" t="s">
        <v>74</v>
      </c>
      <c r="P801" t="s">
        <v>74</v>
      </c>
      <c r="Q801" t="s">
        <v>74</v>
      </c>
      <c r="R801" t="s">
        <v>74</v>
      </c>
      <c r="S801" t="s">
        <v>74</v>
      </c>
      <c r="T801" t="s">
        <v>74</v>
      </c>
      <c r="U801" t="s">
        <v>74</v>
      </c>
      <c r="V801" s="3" t="s">
        <v>3902</v>
      </c>
      <c r="W801" t="s">
        <v>74</v>
      </c>
      <c r="X801" t="s">
        <v>74</v>
      </c>
      <c r="Y801" t="s">
        <v>74</v>
      </c>
      <c r="Z801" t="s">
        <v>74</v>
      </c>
      <c r="AA801" t="s">
        <v>74</v>
      </c>
      <c r="AB801" t="s">
        <v>74</v>
      </c>
      <c r="AC801" t="s">
        <v>74</v>
      </c>
      <c r="AD801" t="s">
        <v>74</v>
      </c>
      <c r="AE801" t="s">
        <v>74</v>
      </c>
      <c r="AF801" t="s">
        <v>74</v>
      </c>
      <c r="AG801" t="s">
        <v>74</v>
      </c>
      <c r="AH801" t="s">
        <v>74</v>
      </c>
      <c r="AI801" t="s">
        <v>74</v>
      </c>
      <c r="AJ801" t="s">
        <v>74</v>
      </c>
      <c r="AK801" t="s">
        <v>74</v>
      </c>
      <c r="AL801" t="s">
        <v>74</v>
      </c>
      <c r="AM801" t="s">
        <v>74</v>
      </c>
      <c r="AN801" t="s">
        <v>74</v>
      </c>
      <c r="AO801" t="s">
        <v>111</v>
      </c>
      <c r="AP801" t="s">
        <v>74</v>
      </c>
      <c r="AQ801" t="s">
        <v>74</v>
      </c>
      <c r="AR801" t="s">
        <v>74</v>
      </c>
      <c r="AS801" t="s">
        <v>74</v>
      </c>
      <c r="AT801" t="s">
        <v>939</v>
      </c>
      <c r="AU801">
        <v>2005</v>
      </c>
      <c r="AV801">
        <v>272</v>
      </c>
      <c r="AW801">
        <v>1580</v>
      </c>
      <c r="AX801" t="s">
        <v>74</v>
      </c>
      <c r="AY801" t="s">
        <v>74</v>
      </c>
      <c r="AZ801" t="s">
        <v>74</v>
      </c>
      <c r="BA801" t="s">
        <v>74</v>
      </c>
      <c r="BB801">
        <v>2519</v>
      </c>
      <c r="BC801">
        <v>2523</v>
      </c>
      <c r="BD801" t="s">
        <v>74</v>
      </c>
      <c r="BE801" t="s">
        <v>3903</v>
      </c>
      <c r="BF801" t="str">
        <f>HYPERLINK("http://dx.doi.org/10.1098/rspb.2005.3186","http://dx.doi.org/10.1098/rspb.2005.3186")</f>
        <v>http://dx.doi.org/10.1098/rspb.2005.3186</v>
      </c>
      <c r="BG801" t="s">
        <v>74</v>
      </c>
      <c r="BH801" t="s">
        <v>74</v>
      </c>
      <c r="BI801" t="s">
        <v>74</v>
      </c>
      <c r="BJ801" t="s">
        <v>74</v>
      </c>
      <c r="BK801" t="s">
        <v>74</v>
      </c>
      <c r="BL801" t="s">
        <v>74</v>
      </c>
      <c r="BM801" t="s">
        <v>74</v>
      </c>
      <c r="BN801">
        <v>16271978</v>
      </c>
      <c r="BO801" t="s">
        <v>74</v>
      </c>
      <c r="BP801" t="s">
        <v>74</v>
      </c>
      <c r="BQ801" t="s">
        <v>74</v>
      </c>
      <c r="BR801" t="s">
        <v>74</v>
      </c>
      <c r="BS801" t="s">
        <v>3904</v>
      </c>
      <c r="BT801" t="str">
        <f>HYPERLINK("https%3A%2F%2Fwww.webofscience.com%2Fwos%2Fwoscc%2Ffull-record%2FWOS:000233751700011","View Full Record in Web of Science")</f>
        <v>View Full Record in Web of Science</v>
      </c>
    </row>
    <row r="802" spans="1:72" x14ac:dyDescent="0.4">
      <c r="A802" t="s">
        <v>72</v>
      </c>
      <c r="B802" t="s">
        <v>2935</v>
      </c>
      <c r="C802" t="s">
        <v>74</v>
      </c>
      <c r="D802" t="s">
        <v>74</v>
      </c>
      <c r="E802" t="s">
        <v>74</v>
      </c>
      <c r="F802" t="s">
        <v>2935</v>
      </c>
      <c r="G802" t="s">
        <v>74</v>
      </c>
      <c r="H802" t="s">
        <v>74</v>
      </c>
      <c r="I802" t="s">
        <v>2936</v>
      </c>
      <c r="J802" t="s">
        <v>2191</v>
      </c>
      <c r="K802" t="s">
        <v>74</v>
      </c>
      <c r="L802" t="s">
        <v>74</v>
      </c>
      <c r="M802" t="s">
        <v>74</v>
      </c>
      <c r="N802" t="s">
        <v>74</v>
      </c>
      <c r="O802" t="s">
        <v>74</v>
      </c>
      <c r="P802" t="s">
        <v>74</v>
      </c>
      <c r="Q802" t="s">
        <v>74</v>
      </c>
      <c r="R802" t="s">
        <v>74</v>
      </c>
      <c r="S802" t="s">
        <v>74</v>
      </c>
      <c r="T802" t="s">
        <v>74</v>
      </c>
      <c r="U802" t="s">
        <v>74</v>
      </c>
      <c r="V802" s="3" t="s">
        <v>2937</v>
      </c>
      <c r="W802" t="s">
        <v>74</v>
      </c>
      <c r="X802" t="s">
        <v>74</v>
      </c>
      <c r="Y802" t="s">
        <v>74</v>
      </c>
      <c r="Z802" t="s">
        <v>74</v>
      </c>
      <c r="AA802" t="s">
        <v>74</v>
      </c>
      <c r="AB802" t="s">
        <v>74</v>
      </c>
      <c r="AC802" t="s">
        <v>74</v>
      </c>
      <c r="AD802" t="s">
        <v>74</v>
      </c>
      <c r="AE802" t="s">
        <v>74</v>
      </c>
      <c r="AF802" t="s">
        <v>74</v>
      </c>
      <c r="AG802" t="s">
        <v>74</v>
      </c>
      <c r="AH802" t="s">
        <v>74</v>
      </c>
      <c r="AI802" t="s">
        <v>74</v>
      </c>
      <c r="AJ802" t="s">
        <v>74</v>
      </c>
      <c r="AK802" t="s">
        <v>74</v>
      </c>
      <c r="AL802" t="s">
        <v>74</v>
      </c>
      <c r="AM802" t="s">
        <v>74</v>
      </c>
      <c r="AN802" t="s">
        <v>74</v>
      </c>
      <c r="AO802" t="s">
        <v>2193</v>
      </c>
      <c r="AP802" t="s">
        <v>2194</v>
      </c>
      <c r="AQ802" t="s">
        <v>74</v>
      </c>
      <c r="AR802" t="s">
        <v>74</v>
      </c>
      <c r="AS802" t="s">
        <v>74</v>
      </c>
      <c r="AT802" t="s">
        <v>255</v>
      </c>
      <c r="AU802">
        <v>2005</v>
      </c>
      <c r="AV802">
        <v>32</v>
      </c>
      <c r="AW802">
        <v>2</v>
      </c>
      <c r="AX802" t="s">
        <v>74</v>
      </c>
      <c r="AY802" t="s">
        <v>74</v>
      </c>
      <c r="AZ802" t="s">
        <v>74</v>
      </c>
      <c r="BA802" t="s">
        <v>74</v>
      </c>
      <c r="BB802">
        <v>277</v>
      </c>
      <c r="BC802">
        <v>284</v>
      </c>
      <c r="BD802" t="s">
        <v>74</v>
      </c>
      <c r="BE802" t="s">
        <v>2938</v>
      </c>
      <c r="BF802" t="str">
        <f>HYPERLINK("http://dx.doi.org/10.1016/j.aquaeng.2004.04.004","http://dx.doi.org/10.1016/j.aquaeng.2004.04.004")</f>
        <v>http://dx.doi.org/10.1016/j.aquaeng.2004.04.004</v>
      </c>
      <c r="BG802" t="s">
        <v>74</v>
      </c>
      <c r="BH802" t="s">
        <v>74</v>
      </c>
      <c r="BI802" t="s">
        <v>74</v>
      </c>
      <c r="BJ802" t="s">
        <v>74</v>
      </c>
      <c r="BK802" t="s">
        <v>74</v>
      </c>
      <c r="BL802" t="s">
        <v>74</v>
      </c>
      <c r="BM802" t="s">
        <v>74</v>
      </c>
      <c r="BN802" t="s">
        <v>74</v>
      </c>
      <c r="BO802" t="s">
        <v>74</v>
      </c>
      <c r="BP802" t="s">
        <v>74</v>
      </c>
      <c r="BQ802" t="s">
        <v>74</v>
      </c>
      <c r="BR802" t="s">
        <v>74</v>
      </c>
      <c r="BS802" t="s">
        <v>2939</v>
      </c>
      <c r="BT802" t="str">
        <f>HYPERLINK("https%3A%2F%2Fwww.webofscience.com%2Fwos%2Fwoscc%2Ffull-record%2FWOS:000226462600001","View Full Record in Web of Science")</f>
        <v>View Full Record in Web of Science</v>
      </c>
    </row>
    <row r="803" spans="1:72" x14ac:dyDescent="0.4">
      <c r="A803" t="s">
        <v>72</v>
      </c>
      <c r="B803" t="s">
        <v>7701</v>
      </c>
      <c r="C803" t="s">
        <v>74</v>
      </c>
      <c r="D803" t="s">
        <v>74</v>
      </c>
      <c r="E803" t="s">
        <v>74</v>
      </c>
      <c r="F803" t="s">
        <v>7701</v>
      </c>
      <c r="G803" t="s">
        <v>74</v>
      </c>
      <c r="H803" t="s">
        <v>74</v>
      </c>
      <c r="I803" t="s">
        <v>7702</v>
      </c>
      <c r="J803" t="s">
        <v>108</v>
      </c>
      <c r="K803" t="s">
        <v>74</v>
      </c>
      <c r="L803" t="s">
        <v>74</v>
      </c>
      <c r="M803" t="s">
        <v>74</v>
      </c>
      <c r="N803" t="s">
        <v>74</v>
      </c>
      <c r="O803" t="s">
        <v>74</v>
      </c>
      <c r="P803" t="s">
        <v>74</v>
      </c>
      <c r="Q803" t="s">
        <v>74</v>
      </c>
      <c r="R803" t="s">
        <v>74</v>
      </c>
      <c r="S803" t="s">
        <v>74</v>
      </c>
      <c r="T803" t="s">
        <v>74</v>
      </c>
      <c r="U803" t="s">
        <v>74</v>
      </c>
      <c r="V803" s="3" t="s">
        <v>7703</v>
      </c>
      <c r="W803" t="s">
        <v>74</v>
      </c>
      <c r="X803" t="s">
        <v>74</v>
      </c>
      <c r="Y803" t="s">
        <v>74</v>
      </c>
      <c r="Z803" t="s">
        <v>74</v>
      </c>
      <c r="AA803" t="s">
        <v>74</v>
      </c>
      <c r="AB803" t="s">
        <v>74</v>
      </c>
      <c r="AC803" t="s">
        <v>74</v>
      </c>
      <c r="AD803" t="s">
        <v>74</v>
      </c>
      <c r="AE803" t="s">
        <v>74</v>
      </c>
      <c r="AF803" t="s">
        <v>74</v>
      </c>
      <c r="AG803" t="s">
        <v>74</v>
      </c>
      <c r="AH803" t="s">
        <v>74</v>
      </c>
      <c r="AI803" t="s">
        <v>74</v>
      </c>
      <c r="AJ803" t="s">
        <v>74</v>
      </c>
      <c r="AK803" t="s">
        <v>74</v>
      </c>
      <c r="AL803" t="s">
        <v>74</v>
      </c>
      <c r="AM803" t="s">
        <v>74</v>
      </c>
      <c r="AN803" t="s">
        <v>74</v>
      </c>
      <c r="AO803" t="s">
        <v>111</v>
      </c>
      <c r="AP803" t="s">
        <v>74</v>
      </c>
      <c r="AQ803" t="s">
        <v>74</v>
      </c>
      <c r="AR803" t="s">
        <v>74</v>
      </c>
      <c r="AS803" t="s">
        <v>74</v>
      </c>
      <c r="AT803" t="s">
        <v>2345</v>
      </c>
      <c r="AU803">
        <v>1998</v>
      </c>
      <c r="AV803">
        <v>265</v>
      </c>
      <c r="AW803">
        <v>1399</v>
      </c>
      <c r="AX803" t="s">
        <v>74</v>
      </c>
      <c r="AY803" t="s">
        <v>74</v>
      </c>
      <c r="AZ803" t="s">
        <v>74</v>
      </c>
      <c r="BA803" t="s">
        <v>74</v>
      </c>
      <c r="BB803">
        <v>861</v>
      </c>
      <c r="BC803">
        <v>867</v>
      </c>
      <c r="BD803" t="s">
        <v>74</v>
      </c>
      <c r="BE803" t="s">
        <v>7704</v>
      </c>
      <c r="BF803" t="str">
        <f>HYPERLINK("http://dx.doi.org/10.1098/rspb.1998.0371","http://dx.doi.org/10.1098/rspb.1998.0371")</f>
        <v>http://dx.doi.org/10.1098/rspb.1998.0371</v>
      </c>
      <c r="BG803" t="s">
        <v>74</v>
      </c>
      <c r="BH803" t="s">
        <v>74</v>
      </c>
      <c r="BI803" t="s">
        <v>74</v>
      </c>
      <c r="BJ803" t="s">
        <v>74</v>
      </c>
      <c r="BK803" t="s">
        <v>74</v>
      </c>
      <c r="BL803" t="s">
        <v>74</v>
      </c>
      <c r="BM803" t="s">
        <v>74</v>
      </c>
      <c r="BN803" t="s">
        <v>74</v>
      </c>
      <c r="BO803" t="s">
        <v>74</v>
      </c>
      <c r="BP803" t="s">
        <v>74</v>
      </c>
      <c r="BQ803" t="s">
        <v>74</v>
      </c>
      <c r="BR803" t="s">
        <v>74</v>
      </c>
      <c r="BS803" t="s">
        <v>7705</v>
      </c>
      <c r="BT803" t="str">
        <f>HYPERLINK("https%3A%2F%2Fwww.webofscience.com%2Fwos%2Fwoscc%2Ffull-record%2FWOS:000073948500004","View Full Record in Web of Science")</f>
        <v>View Full Record in Web of Science</v>
      </c>
    </row>
    <row r="804" spans="1:72" x14ac:dyDescent="0.4">
      <c r="A804" t="s">
        <v>72</v>
      </c>
      <c r="B804" t="s">
        <v>960</v>
      </c>
      <c r="C804" t="s">
        <v>74</v>
      </c>
      <c r="D804" t="s">
        <v>74</v>
      </c>
      <c r="E804" t="s">
        <v>74</v>
      </c>
      <c r="F804" t="s">
        <v>961</v>
      </c>
      <c r="G804" t="s">
        <v>74</v>
      </c>
      <c r="H804" t="s">
        <v>74</v>
      </c>
      <c r="I804" t="s">
        <v>962</v>
      </c>
      <c r="J804" t="s">
        <v>171</v>
      </c>
      <c r="K804" t="s">
        <v>74</v>
      </c>
      <c r="L804" t="s">
        <v>74</v>
      </c>
      <c r="M804" t="s">
        <v>74</v>
      </c>
      <c r="N804" t="s">
        <v>74</v>
      </c>
      <c r="O804" t="s">
        <v>74</v>
      </c>
      <c r="P804" t="s">
        <v>74</v>
      </c>
      <c r="Q804" t="s">
        <v>74</v>
      </c>
      <c r="R804" t="s">
        <v>74</v>
      </c>
      <c r="S804" t="s">
        <v>74</v>
      </c>
      <c r="T804" t="s">
        <v>74</v>
      </c>
      <c r="U804" t="s">
        <v>74</v>
      </c>
      <c r="V804" s="3" t="s">
        <v>963</v>
      </c>
      <c r="W804" t="s">
        <v>74</v>
      </c>
      <c r="X804" t="s">
        <v>74</v>
      </c>
      <c r="Y804" t="s">
        <v>74</v>
      </c>
      <c r="Z804" t="s">
        <v>74</v>
      </c>
      <c r="AA804" t="s">
        <v>74</v>
      </c>
      <c r="AB804" t="s">
        <v>74</v>
      </c>
      <c r="AC804" t="s">
        <v>74</v>
      </c>
      <c r="AD804" t="s">
        <v>74</v>
      </c>
      <c r="AE804" t="s">
        <v>74</v>
      </c>
      <c r="AF804" t="s">
        <v>74</v>
      </c>
      <c r="AG804" t="s">
        <v>74</v>
      </c>
      <c r="AH804" t="s">
        <v>74</v>
      </c>
      <c r="AI804" t="s">
        <v>74</v>
      </c>
      <c r="AJ804" t="s">
        <v>74</v>
      </c>
      <c r="AK804" t="s">
        <v>74</v>
      </c>
      <c r="AL804" t="s">
        <v>74</v>
      </c>
      <c r="AM804" t="s">
        <v>74</v>
      </c>
      <c r="AN804" t="s">
        <v>74</v>
      </c>
      <c r="AO804" t="s">
        <v>173</v>
      </c>
      <c r="AP804" t="s">
        <v>174</v>
      </c>
      <c r="AQ804" t="s">
        <v>74</v>
      </c>
      <c r="AR804" t="s">
        <v>74</v>
      </c>
      <c r="AS804" t="s">
        <v>74</v>
      </c>
      <c r="AT804" t="s">
        <v>964</v>
      </c>
      <c r="AU804">
        <v>2010</v>
      </c>
      <c r="AV804">
        <v>64</v>
      </c>
      <c r="AW804">
        <v>2</v>
      </c>
      <c r="AX804" t="s">
        <v>74</v>
      </c>
      <c r="AY804" t="s">
        <v>74</v>
      </c>
      <c r="AZ804" t="s">
        <v>74</v>
      </c>
      <c r="BA804" t="s">
        <v>74</v>
      </c>
      <c r="BB804">
        <v>324</v>
      </c>
      <c r="BC804">
        <v>335</v>
      </c>
      <c r="BD804" t="s">
        <v>74</v>
      </c>
      <c r="BE804" t="s">
        <v>965</v>
      </c>
      <c r="BF804" t="str">
        <f>HYPERLINK("http://dx.doi.org/10.1111/j.1558-5646.2009.00827.x","http://dx.doi.org/10.1111/j.1558-5646.2009.00827.x")</f>
        <v>http://dx.doi.org/10.1111/j.1558-5646.2009.00827.x</v>
      </c>
      <c r="BG804" t="s">
        <v>74</v>
      </c>
      <c r="BH804" t="s">
        <v>74</v>
      </c>
      <c r="BI804" t="s">
        <v>74</v>
      </c>
      <c r="BJ804" t="s">
        <v>74</v>
      </c>
      <c r="BK804" t="s">
        <v>74</v>
      </c>
      <c r="BL804" t="s">
        <v>74</v>
      </c>
      <c r="BM804" t="s">
        <v>74</v>
      </c>
      <c r="BN804">
        <v>19703221</v>
      </c>
      <c r="BO804" t="s">
        <v>74</v>
      </c>
      <c r="BP804" t="s">
        <v>74</v>
      </c>
      <c r="BQ804" t="s">
        <v>74</v>
      </c>
      <c r="BR804" t="s">
        <v>74</v>
      </c>
      <c r="BS804" t="s">
        <v>966</v>
      </c>
      <c r="BT804" t="str">
        <f>HYPERLINK("https%3A%2F%2Fwww.webofscience.com%2Fwos%2Fwoscc%2Ffull-record%2FWOS:000273821700003","View Full Record in Web of Science")</f>
        <v>View Full Record in Web of Science</v>
      </c>
    </row>
    <row r="805" spans="1:72" x14ac:dyDescent="0.4">
      <c r="A805" t="s">
        <v>72</v>
      </c>
      <c r="B805" t="s">
        <v>8297</v>
      </c>
      <c r="C805" t="s">
        <v>74</v>
      </c>
      <c r="D805" t="s">
        <v>74</v>
      </c>
      <c r="E805" t="s">
        <v>74</v>
      </c>
      <c r="F805" t="s">
        <v>8298</v>
      </c>
      <c r="G805" t="s">
        <v>74</v>
      </c>
      <c r="H805" t="s">
        <v>74</v>
      </c>
      <c r="I805" t="s">
        <v>8299</v>
      </c>
      <c r="J805" t="s">
        <v>7393</v>
      </c>
      <c r="K805" t="s">
        <v>74</v>
      </c>
      <c r="L805" t="s">
        <v>74</v>
      </c>
      <c r="M805" t="s">
        <v>74</v>
      </c>
      <c r="N805" t="s">
        <v>74</v>
      </c>
      <c r="O805" t="s">
        <v>74</v>
      </c>
      <c r="P805" t="s">
        <v>74</v>
      </c>
      <c r="Q805" t="s">
        <v>74</v>
      </c>
      <c r="R805" t="s">
        <v>74</v>
      </c>
      <c r="S805" t="s">
        <v>74</v>
      </c>
      <c r="T805" t="s">
        <v>74</v>
      </c>
      <c r="U805" t="s">
        <v>74</v>
      </c>
      <c r="V805" s="3" t="s">
        <v>8300</v>
      </c>
      <c r="W805" t="s">
        <v>74</v>
      </c>
      <c r="X805" t="s">
        <v>74</v>
      </c>
      <c r="Y805" t="s">
        <v>74</v>
      </c>
      <c r="Z805" t="s">
        <v>74</v>
      </c>
      <c r="AA805" t="s">
        <v>8301</v>
      </c>
      <c r="AB805" t="s">
        <v>8302</v>
      </c>
      <c r="AC805" t="s">
        <v>74</v>
      </c>
      <c r="AD805" t="s">
        <v>74</v>
      </c>
      <c r="AE805" t="s">
        <v>74</v>
      </c>
      <c r="AF805" t="s">
        <v>74</v>
      </c>
      <c r="AG805" t="s">
        <v>74</v>
      </c>
      <c r="AH805" t="s">
        <v>74</v>
      </c>
      <c r="AI805" t="s">
        <v>74</v>
      </c>
      <c r="AJ805" t="s">
        <v>74</v>
      </c>
      <c r="AK805" t="s">
        <v>74</v>
      </c>
      <c r="AL805" t="s">
        <v>74</v>
      </c>
      <c r="AM805" t="s">
        <v>74</v>
      </c>
      <c r="AN805" t="s">
        <v>74</v>
      </c>
      <c r="AO805" t="s">
        <v>7397</v>
      </c>
      <c r="AP805" t="s">
        <v>7398</v>
      </c>
      <c r="AQ805" t="s">
        <v>74</v>
      </c>
      <c r="AR805" t="s">
        <v>74</v>
      </c>
      <c r="AS805" t="s">
        <v>74</v>
      </c>
      <c r="AT805" t="s">
        <v>964</v>
      </c>
      <c r="AU805">
        <v>2021</v>
      </c>
      <c r="AV805">
        <v>109</v>
      </c>
      <c r="AW805">
        <v>2</v>
      </c>
      <c r="AX805" t="s">
        <v>74</v>
      </c>
      <c r="AY805" t="s">
        <v>74</v>
      </c>
      <c r="AZ805" t="s">
        <v>74</v>
      </c>
      <c r="BA805" t="s">
        <v>74</v>
      </c>
      <c r="BB805">
        <v>939</v>
      </c>
      <c r="BC805">
        <v>951</v>
      </c>
      <c r="BD805" t="s">
        <v>74</v>
      </c>
      <c r="BE805" t="s">
        <v>8303</v>
      </c>
      <c r="BF805" t="str">
        <f>HYPERLINK("http://dx.doi.org/10.1111/1365-2745.13520","http://dx.doi.org/10.1111/1365-2745.13520")</f>
        <v>http://dx.doi.org/10.1111/1365-2745.13520</v>
      </c>
      <c r="BG805" t="s">
        <v>74</v>
      </c>
      <c r="BH805" t="s">
        <v>8304</v>
      </c>
      <c r="BI805" t="s">
        <v>74</v>
      </c>
      <c r="BJ805" t="s">
        <v>74</v>
      </c>
      <c r="BK805" t="s">
        <v>74</v>
      </c>
      <c r="BL805" t="s">
        <v>74</v>
      </c>
      <c r="BM805" t="s">
        <v>74</v>
      </c>
      <c r="BN805" t="s">
        <v>74</v>
      </c>
      <c r="BO805" t="s">
        <v>74</v>
      </c>
      <c r="BP805" t="s">
        <v>74</v>
      </c>
      <c r="BQ805" t="s">
        <v>74</v>
      </c>
      <c r="BR805" t="s">
        <v>74</v>
      </c>
      <c r="BS805" t="s">
        <v>8305</v>
      </c>
      <c r="BT805" t="str">
        <f>HYPERLINK("https%3A%2F%2Fwww.webofscience.com%2Fwos%2Fwoscc%2Ffull-record%2FWOS:000583496000001","View Full Record in Web of Science")</f>
        <v>View Full Record in Web of Science</v>
      </c>
    </row>
    <row r="806" spans="1:72" x14ac:dyDescent="0.4">
      <c r="A806" t="s">
        <v>72</v>
      </c>
      <c r="B806" t="s">
        <v>8512</v>
      </c>
      <c r="C806" t="s">
        <v>74</v>
      </c>
      <c r="D806" t="s">
        <v>74</v>
      </c>
      <c r="E806" t="s">
        <v>74</v>
      </c>
      <c r="F806" t="s">
        <v>8512</v>
      </c>
      <c r="G806" t="s">
        <v>74</v>
      </c>
      <c r="H806" t="s">
        <v>74</v>
      </c>
      <c r="I806" t="s">
        <v>8513</v>
      </c>
      <c r="J806" t="s">
        <v>140</v>
      </c>
      <c r="K806" t="s">
        <v>74</v>
      </c>
      <c r="L806" t="s">
        <v>74</v>
      </c>
      <c r="M806" t="s">
        <v>74</v>
      </c>
      <c r="N806" t="s">
        <v>74</v>
      </c>
      <c r="O806" t="s">
        <v>74</v>
      </c>
      <c r="P806" t="s">
        <v>74</v>
      </c>
      <c r="Q806" t="s">
        <v>74</v>
      </c>
      <c r="R806" t="s">
        <v>74</v>
      </c>
      <c r="S806" t="s">
        <v>74</v>
      </c>
      <c r="T806" t="s">
        <v>74</v>
      </c>
      <c r="U806" t="s">
        <v>74</v>
      </c>
      <c r="V806" s="3" t="s">
        <v>8514</v>
      </c>
      <c r="W806" t="s">
        <v>74</v>
      </c>
      <c r="X806" t="s">
        <v>74</v>
      </c>
      <c r="Y806" t="s">
        <v>74</v>
      </c>
      <c r="Z806" t="s">
        <v>74</v>
      </c>
      <c r="AA806" t="s">
        <v>74</v>
      </c>
      <c r="AB806" t="s">
        <v>8515</v>
      </c>
      <c r="AC806" t="s">
        <v>74</v>
      </c>
      <c r="AD806" t="s">
        <v>74</v>
      </c>
      <c r="AE806" t="s">
        <v>74</v>
      </c>
      <c r="AF806" t="s">
        <v>74</v>
      </c>
      <c r="AG806" t="s">
        <v>74</v>
      </c>
      <c r="AH806" t="s">
        <v>74</v>
      </c>
      <c r="AI806" t="s">
        <v>74</v>
      </c>
      <c r="AJ806" t="s">
        <v>74</v>
      </c>
      <c r="AK806" t="s">
        <v>74</v>
      </c>
      <c r="AL806" t="s">
        <v>74</v>
      </c>
      <c r="AM806" t="s">
        <v>74</v>
      </c>
      <c r="AN806" t="s">
        <v>74</v>
      </c>
      <c r="AO806" t="s">
        <v>143</v>
      </c>
      <c r="AP806" t="s">
        <v>144</v>
      </c>
      <c r="AQ806" t="s">
        <v>74</v>
      </c>
      <c r="AR806" t="s">
        <v>74</v>
      </c>
      <c r="AS806" t="s">
        <v>74</v>
      </c>
      <c r="AT806" t="s">
        <v>175</v>
      </c>
      <c r="AU806">
        <v>1997</v>
      </c>
      <c r="AV806">
        <v>54</v>
      </c>
      <c r="AW806" t="s">
        <v>74</v>
      </c>
      <c r="AX806">
        <v>4</v>
      </c>
      <c r="AY806" t="s">
        <v>74</v>
      </c>
      <c r="AZ806" t="s">
        <v>74</v>
      </c>
      <c r="BA806" t="s">
        <v>74</v>
      </c>
      <c r="BB806">
        <v>893</v>
      </c>
      <c r="BC806">
        <v>899</v>
      </c>
      <c r="BD806" t="s">
        <v>74</v>
      </c>
      <c r="BE806" t="s">
        <v>8516</v>
      </c>
      <c r="BF806" t="str">
        <f>HYPERLINK("http://dx.doi.org/10.1006/anbe.1997.0514","http://dx.doi.org/10.1006/anbe.1997.0514")</f>
        <v>http://dx.doi.org/10.1006/anbe.1997.0514</v>
      </c>
      <c r="BG806" t="s">
        <v>74</v>
      </c>
      <c r="BH806" t="s">
        <v>74</v>
      </c>
      <c r="BI806" t="s">
        <v>74</v>
      </c>
      <c r="BJ806" t="s">
        <v>74</v>
      </c>
      <c r="BK806" t="s">
        <v>74</v>
      </c>
      <c r="BL806" t="s">
        <v>74</v>
      </c>
      <c r="BM806" t="s">
        <v>74</v>
      </c>
      <c r="BN806">
        <v>9344442</v>
      </c>
      <c r="BO806" t="s">
        <v>74</v>
      </c>
      <c r="BP806" t="s">
        <v>74</v>
      </c>
      <c r="BQ806" t="s">
        <v>74</v>
      </c>
      <c r="BR806" t="s">
        <v>74</v>
      </c>
      <c r="BS806" t="s">
        <v>8517</v>
      </c>
      <c r="BT806" t="str">
        <f>HYPERLINK("https%3A%2F%2Fwww.webofscience.com%2Fwos%2Fwoscc%2Ffull-record%2FWOS:A1997YE30600013","View Full Record in Web of Science")</f>
        <v>View Full Record in Web of Science</v>
      </c>
    </row>
    <row r="807" spans="1:72" x14ac:dyDescent="0.4">
      <c r="A807" t="s">
        <v>72</v>
      </c>
      <c r="B807" t="s">
        <v>4053</v>
      </c>
      <c r="C807" t="s">
        <v>74</v>
      </c>
      <c r="D807" t="s">
        <v>74</v>
      </c>
      <c r="E807" t="s">
        <v>74</v>
      </c>
      <c r="F807" t="s">
        <v>4054</v>
      </c>
      <c r="G807" t="s">
        <v>74</v>
      </c>
      <c r="H807" t="s">
        <v>74</v>
      </c>
      <c r="I807" t="s">
        <v>4055</v>
      </c>
      <c r="J807" t="s">
        <v>3190</v>
      </c>
      <c r="K807" t="s">
        <v>74</v>
      </c>
      <c r="L807" t="s">
        <v>74</v>
      </c>
      <c r="M807" t="s">
        <v>74</v>
      </c>
      <c r="N807" t="s">
        <v>74</v>
      </c>
      <c r="O807" t="s">
        <v>74</v>
      </c>
      <c r="P807" t="s">
        <v>74</v>
      </c>
      <c r="Q807" t="s">
        <v>74</v>
      </c>
      <c r="R807" t="s">
        <v>74</v>
      </c>
      <c r="S807" t="s">
        <v>74</v>
      </c>
      <c r="T807" t="s">
        <v>74</v>
      </c>
      <c r="U807" t="s">
        <v>74</v>
      </c>
      <c r="V807" s="3" t="s">
        <v>4056</v>
      </c>
      <c r="W807" t="s">
        <v>74</v>
      </c>
      <c r="X807" t="s">
        <v>74</v>
      </c>
      <c r="Y807" t="s">
        <v>74</v>
      </c>
      <c r="Z807" t="s">
        <v>74</v>
      </c>
      <c r="AA807" t="s">
        <v>4057</v>
      </c>
      <c r="AB807" t="s">
        <v>4058</v>
      </c>
      <c r="AC807" t="s">
        <v>74</v>
      </c>
      <c r="AD807" t="s">
        <v>74</v>
      </c>
      <c r="AE807" t="s">
        <v>74</v>
      </c>
      <c r="AF807" t="s">
        <v>74</v>
      </c>
      <c r="AG807" t="s">
        <v>74</v>
      </c>
      <c r="AH807" t="s">
        <v>74</v>
      </c>
      <c r="AI807" t="s">
        <v>74</v>
      </c>
      <c r="AJ807" t="s">
        <v>74</v>
      </c>
      <c r="AK807" t="s">
        <v>74</v>
      </c>
      <c r="AL807" t="s">
        <v>74</v>
      </c>
      <c r="AM807" t="s">
        <v>74</v>
      </c>
      <c r="AN807" t="s">
        <v>74</v>
      </c>
      <c r="AO807" t="s">
        <v>3193</v>
      </c>
      <c r="AP807" t="s">
        <v>3194</v>
      </c>
      <c r="AQ807" t="s">
        <v>74</v>
      </c>
      <c r="AR807" t="s">
        <v>74</v>
      </c>
      <c r="AS807" t="s">
        <v>74</v>
      </c>
      <c r="AT807" t="s">
        <v>213</v>
      </c>
      <c r="AU807">
        <v>2016</v>
      </c>
      <c r="AV807">
        <v>45</v>
      </c>
      <c r="AW807">
        <v>6</v>
      </c>
      <c r="AX807" t="s">
        <v>74</v>
      </c>
      <c r="AY807" t="s">
        <v>74</v>
      </c>
      <c r="AZ807" t="s">
        <v>74</v>
      </c>
      <c r="BA807" t="s">
        <v>74</v>
      </c>
      <c r="BB807">
        <v>509</v>
      </c>
      <c r="BC807">
        <v>518</v>
      </c>
      <c r="BD807" t="s">
        <v>74</v>
      </c>
      <c r="BE807" t="s">
        <v>4059</v>
      </c>
      <c r="BF807" t="str">
        <f>HYPERLINK("http://dx.doi.org/10.1016/j.asd.2016.10.008","http://dx.doi.org/10.1016/j.asd.2016.10.008")</f>
        <v>http://dx.doi.org/10.1016/j.asd.2016.10.008</v>
      </c>
      <c r="BG807" t="s">
        <v>74</v>
      </c>
      <c r="BH807" t="s">
        <v>74</v>
      </c>
      <c r="BI807" t="s">
        <v>74</v>
      </c>
      <c r="BJ807" t="s">
        <v>74</v>
      </c>
      <c r="BK807" t="s">
        <v>74</v>
      </c>
      <c r="BL807" t="s">
        <v>74</v>
      </c>
      <c r="BM807" t="s">
        <v>74</v>
      </c>
      <c r="BN807">
        <v>27725254</v>
      </c>
      <c r="BO807" t="s">
        <v>74</v>
      </c>
      <c r="BP807" t="s">
        <v>74</v>
      </c>
      <c r="BQ807" t="s">
        <v>74</v>
      </c>
      <c r="BR807" t="s">
        <v>74</v>
      </c>
      <c r="BS807" t="s">
        <v>4060</v>
      </c>
      <c r="BT807" t="str">
        <f>HYPERLINK("https%3A%2F%2Fwww.webofscience.com%2Fwos%2Fwoscc%2Ffull-record%2FWOS:000389092000001","View Full Record in Web of Science")</f>
        <v>View Full Record in Web of Science</v>
      </c>
    </row>
    <row r="808" spans="1:72" x14ac:dyDescent="0.4">
      <c r="A808" t="s">
        <v>72</v>
      </c>
      <c r="B808" t="s">
        <v>2001</v>
      </c>
      <c r="C808" t="s">
        <v>74</v>
      </c>
      <c r="D808" t="s">
        <v>74</v>
      </c>
      <c r="E808" t="s">
        <v>74</v>
      </c>
      <c r="F808" t="s">
        <v>2002</v>
      </c>
      <c r="G808" t="s">
        <v>74</v>
      </c>
      <c r="H808" t="s">
        <v>74</v>
      </c>
      <c r="I808" t="s">
        <v>2003</v>
      </c>
      <c r="J808" t="s">
        <v>610</v>
      </c>
      <c r="K808" t="s">
        <v>74</v>
      </c>
      <c r="L808" t="s">
        <v>74</v>
      </c>
      <c r="M808" t="s">
        <v>74</v>
      </c>
      <c r="N808" t="s">
        <v>74</v>
      </c>
      <c r="O808" t="s">
        <v>74</v>
      </c>
      <c r="P808" t="s">
        <v>74</v>
      </c>
      <c r="Q808" t="s">
        <v>74</v>
      </c>
      <c r="R808" t="s">
        <v>74</v>
      </c>
      <c r="S808" t="s">
        <v>74</v>
      </c>
      <c r="T808" t="s">
        <v>74</v>
      </c>
      <c r="U808" t="s">
        <v>74</v>
      </c>
      <c r="V808" s="3" t="s">
        <v>2004</v>
      </c>
      <c r="W808" t="s">
        <v>74</v>
      </c>
      <c r="X808" t="s">
        <v>74</v>
      </c>
      <c r="Y808" t="s">
        <v>74</v>
      </c>
      <c r="Z808" t="s">
        <v>74</v>
      </c>
      <c r="AA808" t="s">
        <v>74</v>
      </c>
      <c r="AB808" t="s">
        <v>90</v>
      </c>
      <c r="AC808" t="s">
        <v>74</v>
      </c>
      <c r="AD808" t="s">
        <v>74</v>
      </c>
      <c r="AE808" t="s">
        <v>74</v>
      </c>
      <c r="AF808" t="s">
        <v>74</v>
      </c>
      <c r="AG808" t="s">
        <v>74</v>
      </c>
      <c r="AH808" t="s">
        <v>74</v>
      </c>
      <c r="AI808" t="s">
        <v>74</v>
      </c>
      <c r="AJ808" t="s">
        <v>74</v>
      </c>
      <c r="AK808" t="s">
        <v>74</v>
      </c>
      <c r="AL808" t="s">
        <v>74</v>
      </c>
      <c r="AM808" t="s">
        <v>74</v>
      </c>
      <c r="AN808" t="s">
        <v>74</v>
      </c>
      <c r="AO808" t="s">
        <v>614</v>
      </c>
      <c r="AP808" t="s">
        <v>615</v>
      </c>
      <c r="AQ808" t="s">
        <v>74</v>
      </c>
      <c r="AR808" t="s">
        <v>74</v>
      </c>
      <c r="AS808" t="s">
        <v>74</v>
      </c>
      <c r="AT808" t="s">
        <v>102</v>
      </c>
      <c r="AU808">
        <v>2022</v>
      </c>
      <c r="AV808">
        <v>128</v>
      </c>
      <c r="AW808">
        <v>6</v>
      </c>
      <c r="AX808" t="s">
        <v>74</v>
      </c>
      <c r="AY808" t="s">
        <v>74</v>
      </c>
      <c r="AZ808" t="s">
        <v>74</v>
      </c>
      <c r="BA808" t="s">
        <v>74</v>
      </c>
      <c r="BB808">
        <v>482</v>
      </c>
      <c r="BC808">
        <v>488</v>
      </c>
      <c r="BD808" t="s">
        <v>74</v>
      </c>
      <c r="BE808" t="s">
        <v>2005</v>
      </c>
      <c r="BF808" t="str">
        <f>HYPERLINK("http://dx.doi.org/10.1111/eth.13282","http://dx.doi.org/10.1111/eth.13282")</f>
        <v>http://dx.doi.org/10.1111/eth.13282</v>
      </c>
      <c r="BG808" t="s">
        <v>74</v>
      </c>
      <c r="BH808" t="s">
        <v>2006</v>
      </c>
      <c r="BI808" t="s">
        <v>74</v>
      </c>
      <c r="BJ808" t="s">
        <v>74</v>
      </c>
      <c r="BK808" t="s">
        <v>74</v>
      </c>
      <c r="BL808" t="s">
        <v>74</v>
      </c>
      <c r="BM808" t="s">
        <v>74</v>
      </c>
      <c r="BN808" t="s">
        <v>74</v>
      </c>
      <c r="BO808" t="s">
        <v>74</v>
      </c>
      <c r="BP808" t="s">
        <v>74</v>
      </c>
      <c r="BQ808" t="s">
        <v>74</v>
      </c>
      <c r="BR808" t="s">
        <v>74</v>
      </c>
      <c r="BS808" t="s">
        <v>2007</v>
      </c>
      <c r="BT808" t="str">
        <f>HYPERLINK("https%3A%2F%2Fwww.webofscience.com%2Fwos%2Fwoscc%2Ffull-record%2FWOS:000781080500001","View Full Record in Web of Science")</f>
        <v>View Full Record in Web of Science</v>
      </c>
    </row>
    <row r="809" spans="1:72" x14ac:dyDescent="0.4">
      <c r="A809" t="s">
        <v>72</v>
      </c>
      <c r="B809" t="s">
        <v>1093</v>
      </c>
      <c r="C809" t="s">
        <v>74</v>
      </c>
      <c r="D809" t="s">
        <v>74</v>
      </c>
      <c r="E809" t="s">
        <v>74</v>
      </c>
      <c r="F809" t="s">
        <v>1094</v>
      </c>
      <c r="G809" t="s">
        <v>74</v>
      </c>
      <c r="H809" t="s">
        <v>74</v>
      </c>
      <c r="I809" t="s">
        <v>1095</v>
      </c>
      <c r="J809" t="s">
        <v>1096</v>
      </c>
      <c r="K809" t="s">
        <v>74</v>
      </c>
      <c r="L809" t="s">
        <v>74</v>
      </c>
      <c r="M809" t="s">
        <v>74</v>
      </c>
      <c r="N809" t="s">
        <v>74</v>
      </c>
      <c r="O809" t="s">
        <v>74</v>
      </c>
      <c r="P809" t="s">
        <v>74</v>
      </c>
      <c r="Q809" t="s">
        <v>74</v>
      </c>
      <c r="R809" t="s">
        <v>74</v>
      </c>
      <c r="S809" t="s">
        <v>74</v>
      </c>
      <c r="T809" t="s">
        <v>74</v>
      </c>
      <c r="U809" t="s">
        <v>74</v>
      </c>
      <c r="V809" s="3" t="s">
        <v>1097</v>
      </c>
      <c r="W809" t="s">
        <v>74</v>
      </c>
      <c r="X809" t="s">
        <v>74</v>
      </c>
      <c r="Y809" t="s">
        <v>74</v>
      </c>
      <c r="Z809" t="s">
        <v>74</v>
      </c>
      <c r="AA809" t="s">
        <v>74</v>
      </c>
      <c r="AB809" t="s">
        <v>90</v>
      </c>
      <c r="AC809" t="s">
        <v>74</v>
      </c>
      <c r="AD809" t="s">
        <v>74</v>
      </c>
      <c r="AE809" t="s">
        <v>74</v>
      </c>
      <c r="AF809" t="s">
        <v>74</v>
      </c>
      <c r="AG809" t="s">
        <v>74</v>
      </c>
      <c r="AH809" t="s">
        <v>74</v>
      </c>
      <c r="AI809" t="s">
        <v>74</v>
      </c>
      <c r="AJ809" t="s">
        <v>74</v>
      </c>
      <c r="AK809" t="s">
        <v>74</v>
      </c>
      <c r="AL809" t="s">
        <v>74</v>
      </c>
      <c r="AM809" t="s">
        <v>74</v>
      </c>
      <c r="AN809" t="s">
        <v>74</v>
      </c>
      <c r="AO809" t="s">
        <v>1098</v>
      </c>
      <c r="AP809" t="s">
        <v>1099</v>
      </c>
      <c r="AQ809" t="s">
        <v>74</v>
      </c>
      <c r="AR809" t="s">
        <v>74</v>
      </c>
      <c r="AS809" t="s">
        <v>74</v>
      </c>
      <c r="AT809" t="s">
        <v>255</v>
      </c>
      <c r="AU809">
        <v>2012</v>
      </c>
      <c r="AV809">
        <v>21</v>
      </c>
      <c r="AW809">
        <v>1</v>
      </c>
      <c r="AX809" t="s">
        <v>74</v>
      </c>
      <c r="AY809" t="s">
        <v>74</v>
      </c>
      <c r="AZ809" t="s">
        <v>74</v>
      </c>
      <c r="BA809" t="s">
        <v>74</v>
      </c>
      <c r="BB809">
        <v>34</v>
      </c>
      <c r="BC809">
        <v>41</v>
      </c>
      <c r="BD809" t="s">
        <v>74</v>
      </c>
      <c r="BE809" t="s">
        <v>1100</v>
      </c>
      <c r="BF809" t="str">
        <f>HYPERLINK("http://dx.doi.org/10.1111/j.1600-0633.2011.00520.x","http://dx.doi.org/10.1111/j.1600-0633.2011.00520.x")</f>
        <v>http://dx.doi.org/10.1111/j.1600-0633.2011.00520.x</v>
      </c>
      <c r="BG809" t="s">
        <v>74</v>
      </c>
      <c r="BH809" t="s">
        <v>74</v>
      </c>
      <c r="BI809" t="s">
        <v>74</v>
      </c>
      <c r="BJ809" t="s">
        <v>74</v>
      </c>
      <c r="BK809" t="s">
        <v>74</v>
      </c>
      <c r="BL809" t="s">
        <v>74</v>
      </c>
      <c r="BM809" t="s">
        <v>74</v>
      </c>
      <c r="BN809" t="s">
        <v>74</v>
      </c>
      <c r="BO809" t="s">
        <v>74</v>
      </c>
      <c r="BP809" t="s">
        <v>74</v>
      </c>
      <c r="BQ809" t="s">
        <v>74</v>
      </c>
      <c r="BR809" t="s">
        <v>74</v>
      </c>
      <c r="BS809" t="s">
        <v>1101</v>
      </c>
      <c r="BT809" t="str">
        <f>HYPERLINK("https%3A%2F%2Fwww.webofscience.com%2Fwos%2Fwoscc%2Ffull-record%2FWOS:000297634700004","View Full Record in Web of Science")</f>
        <v>View Full Record in Web of Science</v>
      </c>
    </row>
    <row r="810" spans="1:72" x14ac:dyDescent="0.4">
      <c r="A810" t="s">
        <v>72</v>
      </c>
      <c r="B810" t="s">
        <v>85</v>
      </c>
      <c r="C810" t="s">
        <v>74</v>
      </c>
      <c r="D810" t="s">
        <v>74</v>
      </c>
      <c r="E810" t="s">
        <v>74</v>
      </c>
      <c r="F810" t="s">
        <v>86</v>
      </c>
      <c r="G810" t="s">
        <v>74</v>
      </c>
      <c r="H810" t="s">
        <v>74</v>
      </c>
      <c r="I810" t="s">
        <v>87</v>
      </c>
      <c r="J810" t="s">
        <v>88</v>
      </c>
      <c r="K810" t="s">
        <v>74</v>
      </c>
      <c r="L810" t="s">
        <v>74</v>
      </c>
      <c r="M810" t="s">
        <v>74</v>
      </c>
      <c r="N810" t="s">
        <v>74</v>
      </c>
      <c r="O810" t="s">
        <v>74</v>
      </c>
      <c r="P810" t="s">
        <v>74</v>
      </c>
      <c r="Q810" t="s">
        <v>74</v>
      </c>
      <c r="R810" t="s">
        <v>74</v>
      </c>
      <c r="S810" t="s">
        <v>74</v>
      </c>
      <c r="T810" t="s">
        <v>74</v>
      </c>
      <c r="U810" t="s">
        <v>74</v>
      </c>
      <c r="V810" s="3" t="s">
        <v>89</v>
      </c>
      <c r="W810" t="s">
        <v>74</v>
      </c>
      <c r="X810" t="s">
        <v>74</v>
      </c>
      <c r="Y810" t="s">
        <v>74</v>
      </c>
      <c r="Z810" t="s">
        <v>74</v>
      </c>
      <c r="AA810" t="s">
        <v>74</v>
      </c>
      <c r="AB810" t="s">
        <v>90</v>
      </c>
      <c r="AC810" t="s">
        <v>74</v>
      </c>
      <c r="AD810" t="s">
        <v>74</v>
      </c>
      <c r="AE810" t="s">
        <v>74</v>
      </c>
      <c r="AF810" t="s">
        <v>74</v>
      </c>
      <c r="AG810" t="s">
        <v>74</v>
      </c>
      <c r="AH810" t="s">
        <v>74</v>
      </c>
      <c r="AI810" t="s">
        <v>74</v>
      </c>
      <c r="AJ810" t="s">
        <v>74</v>
      </c>
      <c r="AK810" t="s">
        <v>74</v>
      </c>
      <c r="AL810" t="s">
        <v>74</v>
      </c>
      <c r="AM810" t="s">
        <v>74</v>
      </c>
      <c r="AN810" t="s">
        <v>74</v>
      </c>
      <c r="AO810" t="s">
        <v>91</v>
      </c>
      <c r="AP810" t="s">
        <v>92</v>
      </c>
      <c r="AQ810" t="s">
        <v>74</v>
      </c>
      <c r="AR810" t="s">
        <v>74</v>
      </c>
      <c r="AS810" t="s">
        <v>74</v>
      </c>
      <c r="AT810" t="s">
        <v>93</v>
      </c>
      <c r="AU810">
        <v>2008</v>
      </c>
      <c r="AV810">
        <v>4</v>
      </c>
      <c r="AW810">
        <v>2</v>
      </c>
      <c r="AX810" t="s">
        <v>74</v>
      </c>
      <c r="AY810" t="s">
        <v>74</v>
      </c>
      <c r="AZ810" t="s">
        <v>74</v>
      </c>
      <c r="BA810" t="s">
        <v>74</v>
      </c>
      <c r="BB810">
        <v>156</v>
      </c>
      <c r="BC810">
        <v>159</v>
      </c>
      <c r="BD810" t="s">
        <v>74</v>
      </c>
      <c r="BE810" t="s">
        <v>94</v>
      </c>
      <c r="BF810" t="str">
        <f>HYPERLINK("http://dx.doi.org/10.1098/rsbl.2007.0581","http://dx.doi.org/10.1098/rsbl.2007.0581")</f>
        <v>http://dx.doi.org/10.1098/rsbl.2007.0581</v>
      </c>
      <c r="BG810" t="s">
        <v>74</v>
      </c>
      <c r="BH810" t="s">
        <v>74</v>
      </c>
      <c r="BI810" t="s">
        <v>74</v>
      </c>
      <c r="BJ810" t="s">
        <v>74</v>
      </c>
      <c r="BK810" t="s">
        <v>74</v>
      </c>
      <c r="BL810" t="s">
        <v>74</v>
      </c>
      <c r="BM810" t="s">
        <v>74</v>
      </c>
      <c r="BN810">
        <v>18230585</v>
      </c>
      <c r="BO810" t="s">
        <v>74</v>
      </c>
      <c r="BP810" t="s">
        <v>74</v>
      </c>
      <c r="BQ810" t="s">
        <v>74</v>
      </c>
      <c r="BR810" t="s">
        <v>74</v>
      </c>
      <c r="BS810" t="s">
        <v>95</v>
      </c>
      <c r="BT810" t="str">
        <f>HYPERLINK("https%3A%2F%2Fwww.webofscience.com%2Fwos%2Fwoscc%2Ffull-record%2FWOS:000254353200005","View Full Record in Web of Science")</f>
        <v>View Full Record in Web of Science</v>
      </c>
    </row>
    <row r="811" spans="1:72" x14ac:dyDescent="0.4">
      <c r="A811" t="s">
        <v>72</v>
      </c>
      <c r="B811" t="s">
        <v>428</v>
      </c>
      <c r="C811" t="s">
        <v>74</v>
      </c>
      <c r="D811" t="s">
        <v>74</v>
      </c>
      <c r="E811" t="s">
        <v>74</v>
      </c>
      <c r="F811" t="s">
        <v>429</v>
      </c>
      <c r="G811" t="s">
        <v>74</v>
      </c>
      <c r="H811" t="s">
        <v>74</v>
      </c>
      <c r="I811" t="s">
        <v>430</v>
      </c>
      <c r="J811" t="s">
        <v>431</v>
      </c>
      <c r="K811" t="s">
        <v>74</v>
      </c>
      <c r="L811" t="s">
        <v>74</v>
      </c>
      <c r="M811" t="s">
        <v>74</v>
      </c>
      <c r="N811" t="s">
        <v>74</v>
      </c>
      <c r="O811" t="s">
        <v>74</v>
      </c>
      <c r="P811" t="s">
        <v>74</v>
      </c>
      <c r="Q811" t="s">
        <v>74</v>
      </c>
      <c r="R811" t="s">
        <v>74</v>
      </c>
      <c r="S811" t="s">
        <v>74</v>
      </c>
      <c r="T811" t="s">
        <v>74</v>
      </c>
      <c r="U811" t="s">
        <v>74</v>
      </c>
      <c r="V811" s="3" t="s">
        <v>432</v>
      </c>
      <c r="W811" t="s">
        <v>74</v>
      </c>
      <c r="X811" t="s">
        <v>74</v>
      </c>
      <c r="Y811" t="s">
        <v>74</v>
      </c>
      <c r="Z811" t="s">
        <v>74</v>
      </c>
      <c r="AA811" t="s">
        <v>433</v>
      </c>
      <c r="AB811" t="s">
        <v>434</v>
      </c>
      <c r="AC811" t="s">
        <v>74</v>
      </c>
      <c r="AD811" t="s">
        <v>74</v>
      </c>
      <c r="AE811" t="s">
        <v>74</v>
      </c>
      <c r="AF811" t="s">
        <v>74</v>
      </c>
      <c r="AG811" t="s">
        <v>74</v>
      </c>
      <c r="AH811" t="s">
        <v>74</v>
      </c>
      <c r="AI811" t="s">
        <v>74</v>
      </c>
      <c r="AJ811" t="s">
        <v>74</v>
      </c>
      <c r="AK811" t="s">
        <v>74</v>
      </c>
      <c r="AL811" t="s">
        <v>74</v>
      </c>
      <c r="AM811" t="s">
        <v>74</v>
      </c>
      <c r="AN811" t="s">
        <v>74</v>
      </c>
      <c r="AO811" t="s">
        <v>74</v>
      </c>
      <c r="AP811" t="s">
        <v>435</v>
      </c>
      <c r="AQ811" t="s">
        <v>74</v>
      </c>
      <c r="AR811" t="s">
        <v>74</v>
      </c>
      <c r="AS811" t="s">
        <v>74</v>
      </c>
      <c r="AT811" t="s">
        <v>204</v>
      </c>
      <c r="AU811">
        <v>2011</v>
      </c>
      <c r="AV811">
        <v>128</v>
      </c>
      <c r="AW811">
        <v>3</v>
      </c>
      <c r="AX811" t="s">
        <v>74</v>
      </c>
      <c r="AY811" t="s">
        <v>74</v>
      </c>
      <c r="AZ811" t="s">
        <v>74</v>
      </c>
      <c r="BA811" t="s">
        <v>74</v>
      </c>
      <c r="BB811">
        <v>497</v>
      </c>
      <c r="BC811">
        <v>505</v>
      </c>
      <c r="BD811" t="s">
        <v>74</v>
      </c>
      <c r="BE811" t="s">
        <v>436</v>
      </c>
      <c r="BF811" t="str">
        <f>HYPERLINK("http://dx.doi.org/10.1525/auk.2011.11085","http://dx.doi.org/10.1525/auk.2011.11085")</f>
        <v>http://dx.doi.org/10.1525/auk.2011.11085</v>
      </c>
      <c r="BG811" t="s">
        <v>74</v>
      </c>
      <c r="BH811" t="s">
        <v>74</v>
      </c>
      <c r="BI811" t="s">
        <v>74</v>
      </c>
      <c r="BJ811" t="s">
        <v>74</v>
      </c>
      <c r="BK811" t="s">
        <v>74</v>
      </c>
      <c r="BL811" t="s">
        <v>74</v>
      </c>
      <c r="BM811" t="s">
        <v>74</v>
      </c>
      <c r="BN811" t="s">
        <v>74</v>
      </c>
      <c r="BO811" t="s">
        <v>74</v>
      </c>
      <c r="BP811" t="s">
        <v>74</v>
      </c>
      <c r="BQ811" t="s">
        <v>74</v>
      </c>
      <c r="BR811" t="s">
        <v>74</v>
      </c>
      <c r="BS811" t="s">
        <v>437</v>
      </c>
      <c r="BT811" t="str">
        <f>HYPERLINK("https%3A%2F%2Fwww.webofscience.com%2Fwos%2Fwoscc%2Ffull-record%2FWOS:000293307300007","View Full Record in Web of Science")</f>
        <v>View Full Record in Web of Science</v>
      </c>
    </row>
    <row r="812" spans="1:72" x14ac:dyDescent="0.4">
      <c r="A812" t="s">
        <v>72</v>
      </c>
      <c r="B812" t="s">
        <v>7093</v>
      </c>
      <c r="C812" t="s">
        <v>74</v>
      </c>
      <c r="D812" t="s">
        <v>74</v>
      </c>
      <c r="E812" t="s">
        <v>74</v>
      </c>
      <c r="F812" t="s">
        <v>7093</v>
      </c>
      <c r="G812" t="s">
        <v>74</v>
      </c>
      <c r="H812" t="s">
        <v>74</v>
      </c>
      <c r="I812" t="s">
        <v>7094</v>
      </c>
      <c r="J812" t="s">
        <v>1526</v>
      </c>
      <c r="K812" t="s">
        <v>74</v>
      </c>
      <c r="L812" t="s">
        <v>74</v>
      </c>
      <c r="M812" t="s">
        <v>74</v>
      </c>
      <c r="N812" t="s">
        <v>74</v>
      </c>
      <c r="O812" t="s">
        <v>74</v>
      </c>
      <c r="P812" t="s">
        <v>74</v>
      </c>
      <c r="Q812" t="s">
        <v>74</v>
      </c>
      <c r="R812" t="s">
        <v>74</v>
      </c>
      <c r="S812" t="s">
        <v>74</v>
      </c>
      <c r="T812" t="s">
        <v>74</v>
      </c>
      <c r="U812" t="s">
        <v>74</v>
      </c>
      <c r="V812" s="3" t="s">
        <v>7095</v>
      </c>
      <c r="W812" t="s">
        <v>74</v>
      </c>
      <c r="X812" t="s">
        <v>74</v>
      </c>
      <c r="Y812" t="s">
        <v>74</v>
      </c>
      <c r="Z812" t="s">
        <v>74</v>
      </c>
      <c r="AA812" t="s">
        <v>74</v>
      </c>
      <c r="AB812" t="s">
        <v>74</v>
      </c>
      <c r="AC812" t="s">
        <v>74</v>
      </c>
      <c r="AD812" t="s">
        <v>74</v>
      </c>
      <c r="AE812" t="s">
        <v>74</v>
      </c>
      <c r="AF812" t="s">
        <v>74</v>
      </c>
      <c r="AG812" t="s">
        <v>74</v>
      </c>
      <c r="AH812" t="s">
        <v>74</v>
      </c>
      <c r="AI812" t="s">
        <v>74</v>
      </c>
      <c r="AJ812" t="s">
        <v>74</v>
      </c>
      <c r="AK812" t="s">
        <v>74</v>
      </c>
      <c r="AL812" t="s">
        <v>74</v>
      </c>
      <c r="AM812" t="s">
        <v>74</v>
      </c>
      <c r="AN812" t="s">
        <v>74</v>
      </c>
      <c r="AO812" t="s">
        <v>74</v>
      </c>
      <c r="AP812" t="s">
        <v>2131</v>
      </c>
      <c r="AQ812" t="s">
        <v>74</v>
      </c>
      <c r="AR812" t="s">
        <v>74</v>
      </c>
      <c r="AS812" t="s">
        <v>74</v>
      </c>
      <c r="AT812" t="s">
        <v>74</v>
      </c>
      <c r="AU812">
        <v>1979</v>
      </c>
      <c r="AV812">
        <v>81</v>
      </c>
      <c r="AW812">
        <v>3</v>
      </c>
      <c r="AX812" t="s">
        <v>74</v>
      </c>
      <c r="AY812" t="s">
        <v>74</v>
      </c>
      <c r="AZ812" t="s">
        <v>74</v>
      </c>
      <c r="BA812" t="s">
        <v>74</v>
      </c>
      <c r="BB812">
        <v>278</v>
      </c>
      <c r="BC812">
        <v>285</v>
      </c>
      <c r="BD812" t="s">
        <v>74</v>
      </c>
      <c r="BE812" t="s">
        <v>7096</v>
      </c>
      <c r="BF812" t="str">
        <f>HYPERLINK("http://dx.doi.org/10.2307/1367633","http://dx.doi.org/10.2307/1367633")</f>
        <v>http://dx.doi.org/10.2307/1367633</v>
      </c>
      <c r="BG812" t="s">
        <v>74</v>
      </c>
      <c r="BH812" t="s">
        <v>74</v>
      </c>
      <c r="BI812" t="s">
        <v>74</v>
      </c>
      <c r="BJ812" t="s">
        <v>74</v>
      </c>
      <c r="BK812" t="s">
        <v>74</v>
      </c>
      <c r="BL812" t="s">
        <v>74</v>
      </c>
      <c r="BM812" t="s">
        <v>74</v>
      </c>
      <c r="BN812" t="s">
        <v>74</v>
      </c>
      <c r="BO812" t="s">
        <v>74</v>
      </c>
      <c r="BP812" t="s">
        <v>74</v>
      </c>
      <c r="BQ812" t="s">
        <v>74</v>
      </c>
      <c r="BR812" t="s">
        <v>74</v>
      </c>
      <c r="BS812" t="s">
        <v>7097</v>
      </c>
      <c r="BT812" t="str">
        <f>HYPERLINK("https%3A%2F%2Fwww.webofscience.com%2Fwos%2Fwoscc%2Ffull-record%2FWOS:A1979HS58400009","View Full Record in Web of Science")</f>
        <v>View Full Record in Web of Science</v>
      </c>
    </row>
    <row r="813" spans="1:72" x14ac:dyDescent="0.4">
      <c r="A813" t="s">
        <v>72</v>
      </c>
      <c r="B813" t="s">
        <v>7353</v>
      </c>
      <c r="C813" t="s">
        <v>74</v>
      </c>
      <c r="D813" t="s">
        <v>74</v>
      </c>
      <c r="E813" t="s">
        <v>74</v>
      </c>
      <c r="F813" t="s">
        <v>7354</v>
      </c>
      <c r="G813" t="s">
        <v>74</v>
      </c>
      <c r="H813" t="s">
        <v>74</v>
      </c>
      <c r="I813" t="s">
        <v>7355</v>
      </c>
      <c r="J813" t="s">
        <v>140</v>
      </c>
      <c r="K813" t="s">
        <v>74</v>
      </c>
      <c r="L813" t="s">
        <v>74</v>
      </c>
      <c r="M813" t="s">
        <v>74</v>
      </c>
      <c r="N813" t="s">
        <v>74</v>
      </c>
      <c r="O813" t="s">
        <v>74</v>
      </c>
      <c r="P813" t="s">
        <v>74</v>
      </c>
      <c r="Q813" t="s">
        <v>74</v>
      </c>
      <c r="R813" t="s">
        <v>74</v>
      </c>
      <c r="S813" t="s">
        <v>74</v>
      </c>
      <c r="T813" t="s">
        <v>74</v>
      </c>
      <c r="U813" t="s">
        <v>74</v>
      </c>
      <c r="V813" s="3" t="s">
        <v>7356</v>
      </c>
      <c r="W813" t="s">
        <v>74</v>
      </c>
      <c r="X813" t="s">
        <v>74</v>
      </c>
      <c r="Y813" t="s">
        <v>74</v>
      </c>
      <c r="Z813" t="s">
        <v>74</v>
      </c>
      <c r="AA813" t="s">
        <v>74</v>
      </c>
      <c r="AB813" t="s">
        <v>74</v>
      </c>
      <c r="AC813" t="s">
        <v>74</v>
      </c>
      <c r="AD813" t="s">
        <v>74</v>
      </c>
      <c r="AE813" t="s">
        <v>74</v>
      </c>
      <c r="AF813" t="s">
        <v>74</v>
      </c>
      <c r="AG813" t="s">
        <v>74</v>
      </c>
      <c r="AH813" t="s">
        <v>74</v>
      </c>
      <c r="AI813" t="s">
        <v>74</v>
      </c>
      <c r="AJ813" t="s">
        <v>74</v>
      </c>
      <c r="AK813" t="s">
        <v>74</v>
      </c>
      <c r="AL813" t="s">
        <v>74</v>
      </c>
      <c r="AM813" t="s">
        <v>74</v>
      </c>
      <c r="AN813" t="s">
        <v>74</v>
      </c>
      <c r="AO813" t="s">
        <v>143</v>
      </c>
      <c r="AP813" t="s">
        <v>144</v>
      </c>
      <c r="AQ813" t="s">
        <v>74</v>
      </c>
      <c r="AR813" t="s">
        <v>74</v>
      </c>
      <c r="AS813" t="s">
        <v>74</v>
      </c>
      <c r="AT813" t="s">
        <v>255</v>
      </c>
      <c r="AU813">
        <v>2007</v>
      </c>
      <c r="AV813">
        <v>73</v>
      </c>
      <c r="AW813" t="s">
        <v>74</v>
      </c>
      <c r="AX813">
        <v>1</v>
      </c>
      <c r="AY813" t="s">
        <v>74</v>
      </c>
      <c r="AZ813" t="s">
        <v>74</v>
      </c>
      <c r="BA813" t="s">
        <v>74</v>
      </c>
      <c r="BB813">
        <v>55</v>
      </c>
      <c r="BC813">
        <v>63</v>
      </c>
      <c r="BD813" t="s">
        <v>74</v>
      </c>
      <c r="BE813" t="s">
        <v>7357</v>
      </c>
      <c r="BF813" t="str">
        <f>HYPERLINK("http://dx.doi.org/10.1016/j.anbehav.2006.06.005","http://dx.doi.org/10.1016/j.anbehav.2006.06.005")</f>
        <v>http://dx.doi.org/10.1016/j.anbehav.2006.06.005</v>
      </c>
      <c r="BG813" t="s">
        <v>74</v>
      </c>
      <c r="BH813" t="s">
        <v>74</v>
      </c>
      <c r="BI813" t="s">
        <v>74</v>
      </c>
      <c r="BJ813" t="s">
        <v>74</v>
      </c>
      <c r="BK813" t="s">
        <v>74</v>
      </c>
      <c r="BL813" t="s">
        <v>74</v>
      </c>
      <c r="BM813" t="s">
        <v>74</v>
      </c>
      <c r="BN813" t="s">
        <v>74</v>
      </c>
      <c r="BO813" t="s">
        <v>74</v>
      </c>
      <c r="BP813" t="s">
        <v>74</v>
      </c>
      <c r="BQ813" t="s">
        <v>74</v>
      </c>
      <c r="BR813" t="s">
        <v>74</v>
      </c>
      <c r="BS813" t="s">
        <v>7358</v>
      </c>
      <c r="BT813" t="str">
        <f>HYPERLINK("https%3A%2F%2Fwww.webofscience.com%2Fwos%2Fwoscc%2Ffull-record%2FWOS:000243735000006","View Full Record in Web of Science")</f>
        <v>View Full Record in Web of Science</v>
      </c>
    </row>
    <row r="814" spans="1:72" x14ac:dyDescent="0.4">
      <c r="A814" t="s">
        <v>72</v>
      </c>
      <c r="B814" t="s">
        <v>7367</v>
      </c>
      <c r="C814" t="s">
        <v>74</v>
      </c>
      <c r="D814" t="s">
        <v>74</v>
      </c>
      <c r="E814" t="s">
        <v>74</v>
      </c>
      <c r="F814" t="s">
        <v>7368</v>
      </c>
      <c r="G814" t="s">
        <v>74</v>
      </c>
      <c r="H814" t="s">
        <v>74</v>
      </c>
      <c r="I814" t="s">
        <v>7369</v>
      </c>
      <c r="J814" t="s">
        <v>344</v>
      </c>
      <c r="K814" t="s">
        <v>74</v>
      </c>
      <c r="L814" t="s">
        <v>74</v>
      </c>
      <c r="M814" t="s">
        <v>74</v>
      </c>
      <c r="N814" t="s">
        <v>74</v>
      </c>
      <c r="O814" t="s">
        <v>74</v>
      </c>
      <c r="P814" t="s">
        <v>74</v>
      </c>
      <c r="Q814" t="s">
        <v>74</v>
      </c>
      <c r="R814" t="s">
        <v>74</v>
      </c>
      <c r="S814" t="s">
        <v>74</v>
      </c>
      <c r="T814" t="s">
        <v>74</v>
      </c>
      <c r="U814" t="s">
        <v>74</v>
      </c>
      <c r="V814" s="3" t="s">
        <v>7370</v>
      </c>
      <c r="W814" t="s">
        <v>74</v>
      </c>
      <c r="X814" t="s">
        <v>74</v>
      </c>
      <c r="Y814" t="s">
        <v>74</v>
      </c>
      <c r="Z814" t="s">
        <v>74</v>
      </c>
      <c r="AA814" t="s">
        <v>74</v>
      </c>
      <c r="AB814" t="s">
        <v>74</v>
      </c>
      <c r="AC814" t="s">
        <v>74</v>
      </c>
      <c r="AD814" t="s">
        <v>74</v>
      </c>
      <c r="AE814" t="s">
        <v>74</v>
      </c>
      <c r="AF814" t="s">
        <v>74</v>
      </c>
      <c r="AG814" t="s">
        <v>74</v>
      </c>
      <c r="AH814" t="s">
        <v>74</v>
      </c>
      <c r="AI814" t="s">
        <v>74</v>
      </c>
      <c r="AJ814" t="s">
        <v>74</v>
      </c>
      <c r="AK814" t="s">
        <v>74</v>
      </c>
      <c r="AL814" t="s">
        <v>74</v>
      </c>
      <c r="AM814" t="s">
        <v>74</v>
      </c>
      <c r="AN814" t="s">
        <v>74</v>
      </c>
      <c r="AO814" t="s">
        <v>346</v>
      </c>
      <c r="AP814" t="s">
        <v>6569</v>
      </c>
      <c r="AQ814" t="s">
        <v>74</v>
      </c>
      <c r="AR814" t="s">
        <v>74</v>
      </c>
      <c r="AS814" t="s">
        <v>74</v>
      </c>
      <c r="AT814" t="s">
        <v>145</v>
      </c>
      <c r="AU814">
        <v>2022</v>
      </c>
      <c r="AV814">
        <v>105</v>
      </c>
      <c r="AW814">
        <v>8</v>
      </c>
      <c r="AX814" t="s">
        <v>74</v>
      </c>
      <c r="AY814" t="s">
        <v>74</v>
      </c>
      <c r="AZ814" t="s">
        <v>74</v>
      </c>
      <c r="BA814" t="s">
        <v>74</v>
      </c>
      <c r="BB814">
        <v>1129</v>
      </c>
      <c r="BC814">
        <v>1137</v>
      </c>
      <c r="BD814" t="s">
        <v>74</v>
      </c>
      <c r="BE814" t="s">
        <v>7371</v>
      </c>
      <c r="BF814" t="str">
        <f>HYPERLINK("http://dx.doi.org/10.1007/s10641-022-01313-w","http://dx.doi.org/10.1007/s10641-022-01313-w")</f>
        <v>http://dx.doi.org/10.1007/s10641-022-01313-w</v>
      </c>
      <c r="BG814" t="s">
        <v>74</v>
      </c>
      <c r="BH814" t="s">
        <v>307</v>
      </c>
      <c r="BI814" t="s">
        <v>74</v>
      </c>
      <c r="BJ814" t="s">
        <v>74</v>
      </c>
      <c r="BK814" t="s">
        <v>74</v>
      </c>
      <c r="BL814" t="s">
        <v>74</v>
      </c>
      <c r="BM814" t="s">
        <v>74</v>
      </c>
      <c r="BN814" t="s">
        <v>74</v>
      </c>
      <c r="BO814" t="s">
        <v>74</v>
      </c>
      <c r="BP814" t="s">
        <v>74</v>
      </c>
      <c r="BQ814" t="s">
        <v>74</v>
      </c>
      <c r="BR814" t="s">
        <v>74</v>
      </c>
      <c r="BS814" t="s">
        <v>7372</v>
      </c>
      <c r="BT814" t="str">
        <f>HYPERLINK("https%3A%2F%2Fwww.webofscience.com%2Fwos%2Fwoscc%2Ffull-record%2FWOS:000836521600001","View Full Record in Web of Science")</f>
        <v>View Full Record in Web of Science</v>
      </c>
    </row>
    <row r="815" spans="1:72" x14ac:dyDescent="0.4">
      <c r="A815" t="s">
        <v>72</v>
      </c>
      <c r="B815" t="s">
        <v>8674</v>
      </c>
      <c r="C815" t="s">
        <v>74</v>
      </c>
      <c r="D815" t="s">
        <v>74</v>
      </c>
      <c r="E815" t="s">
        <v>74</v>
      </c>
      <c r="F815" t="s">
        <v>8675</v>
      </c>
      <c r="G815" t="s">
        <v>74</v>
      </c>
      <c r="H815" t="s">
        <v>74</v>
      </c>
      <c r="I815" t="s">
        <v>8676</v>
      </c>
      <c r="J815" t="s">
        <v>5881</v>
      </c>
      <c r="K815" t="s">
        <v>74</v>
      </c>
      <c r="L815" t="s">
        <v>74</v>
      </c>
      <c r="M815" t="s">
        <v>74</v>
      </c>
      <c r="N815" t="s">
        <v>74</v>
      </c>
      <c r="O815" t="s">
        <v>74</v>
      </c>
      <c r="P815" t="s">
        <v>74</v>
      </c>
      <c r="Q815" t="s">
        <v>74</v>
      </c>
      <c r="R815" t="s">
        <v>74</v>
      </c>
      <c r="S815" t="s">
        <v>74</v>
      </c>
      <c r="T815" t="s">
        <v>74</v>
      </c>
      <c r="U815" t="s">
        <v>74</v>
      </c>
      <c r="V815" s="3" t="s">
        <v>8677</v>
      </c>
      <c r="W815" t="s">
        <v>74</v>
      </c>
      <c r="X815" t="s">
        <v>74</v>
      </c>
      <c r="Y815" t="s">
        <v>74</v>
      </c>
      <c r="Z815" t="s">
        <v>74</v>
      </c>
      <c r="AA815" t="s">
        <v>8678</v>
      </c>
      <c r="AB815" t="s">
        <v>8679</v>
      </c>
      <c r="AC815" t="s">
        <v>74</v>
      </c>
      <c r="AD815" t="s">
        <v>74</v>
      </c>
      <c r="AE815" t="s">
        <v>74</v>
      </c>
      <c r="AF815" t="s">
        <v>74</v>
      </c>
      <c r="AG815" t="s">
        <v>74</v>
      </c>
      <c r="AH815" t="s">
        <v>74</v>
      </c>
      <c r="AI815" t="s">
        <v>74</v>
      </c>
      <c r="AJ815" t="s">
        <v>74</v>
      </c>
      <c r="AK815" t="s">
        <v>74</v>
      </c>
      <c r="AL815" t="s">
        <v>74</v>
      </c>
      <c r="AM815" t="s">
        <v>74</v>
      </c>
      <c r="AN815" t="s">
        <v>74</v>
      </c>
      <c r="AO815" t="s">
        <v>5885</v>
      </c>
      <c r="AP815" t="s">
        <v>5886</v>
      </c>
      <c r="AQ815" t="s">
        <v>74</v>
      </c>
      <c r="AR815" t="s">
        <v>74</v>
      </c>
      <c r="AS815" t="s">
        <v>74</v>
      </c>
      <c r="AT815" t="s">
        <v>4817</v>
      </c>
      <c r="AU815">
        <v>2015</v>
      </c>
      <c r="AV815">
        <v>82</v>
      </c>
      <c r="AW815">
        <v>2</v>
      </c>
      <c r="AX815" t="s">
        <v>74</v>
      </c>
      <c r="AY815" t="s">
        <v>74</v>
      </c>
      <c r="AZ815" t="s">
        <v>74</v>
      </c>
      <c r="BA815" t="s">
        <v>74</v>
      </c>
      <c r="BB815">
        <v>202</v>
      </c>
      <c r="BC815">
        <v>211</v>
      </c>
      <c r="BD815" t="s">
        <v>74</v>
      </c>
      <c r="BE815" t="s">
        <v>8680</v>
      </c>
      <c r="BF815" t="str">
        <f>HYPERLINK("http://dx.doi.org/10.1080/11250003.2015.1018852","http://dx.doi.org/10.1080/11250003.2015.1018852")</f>
        <v>http://dx.doi.org/10.1080/11250003.2015.1018852</v>
      </c>
      <c r="BG815" t="s">
        <v>74</v>
      </c>
      <c r="BH815" t="s">
        <v>74</v>
      </c>
      <c r="BI815" t="s">
        <v>74</v>
      </c>
      <c r="BJ815" t="s">
        <v>74</v>
      </c>
      <c r="BK815" t="s">
        <v>74</v>
      </c>
      <c r="BL815" t="s">
        <v>74</v>
      </c>
      <c r="BM815" t="s">
        <v>74</v>
      </c>
      <c r="BN815" t="s">
        <v>74</v>
      </c>
      <c r="BO815" t="s">
        <v>74</v>
      </c>
      <c r="BP815" t="s">
        <v>74</v>
      </c>
      <c r="BQ815" t="s">
        <v>74</v>
      </c>
      <c r="BR815" t="s">
        <v>74</v>
      </c>
      <c r="BS815" t="s">
        <v>8681</v>
      </c>
      <c r="BT815" t="str">
        <f>HYPERLINK("https%3A%2F%2Fwww.webofscience.com%2Fwos%2Fwoscc%2Ffull-record%2FWOS:000353501900009","View Full Record in Web of Science")</f>
        <v>View Full Record in Web of Science</v>
      </c>
    </row>
    <row r="816" spans="1:72" x14ac:dyDescent="0.4">
      <c r="A816" t="s">
        <v>72</v>
      </c>
      <c r="B816" t="s">
        <v>7419</v>
      </c>
      <c r="C816" t="s">
        <v>74</v>
      </c>
      <c r="D816" t="s">
        <v>74</v>
      </c>
      <c r="E816" t="s">
        <v>74</v>
      </c>
      <c r="F816" t="s">
        <v>7420</v>
      </c>
      <c r="G816" t="s">
        <v>74</v>
      </c>
      <c r="H816" t="s">
        <v>74</v>
      </c>
      <c r="I816" t="s">
        <v>7421</v>
      </c>
      <c r="J816" t="s">
        <v>7422</v>
      </c>
      <c r="K816" t="s">
        <v>74</v>
      </c>
      <c r="L816" t="s">
        <v>74</v>
      </c>
      <c r="M816" t="s">
        <v>74</v>
      </c>
      <c r="N816" t="s">
        <v>74</v>
      </c>
      <c r="O816" t="s">
        <v>74</v>
      </c>
      <c r="P816" t="s">
        <v>74</v>
      </c>
      <c r="Q816" t="s">
        <v>74</v>
      </c>
      <c r="R816" t="s">
        <v>74</v>
      </c>
      <c r="S816" t="s">
        <v>74</v>
      </c>
      <c r="T816" t="s">
        <v>74</v>
      </c>
      <c r="U816" t="s">
        <v>74</v>
      </c>
      <c r="V816" s="3" t="s">
        <v>7423</v>
      </c>
      <c r="W816" t="s">
        <v>74</v>
      </c>
      <c r="X816" t="s">
        <v>74</v>
      </c>
      <c r="Y816" t="s">
        <v>74</v>
      </c>
      <c r="Z816" t="s">
        <v>74</v>
      </c>
      <c r="AA816" t="s">
        <v>7424</v>
      </c>
      <c r="AB816" t="s">
        <v>7425</v>
      </c>
      <c r="AC816" t="s">
        <v>74</v>
      </c>
      <c r="AD816" t="s">
        <v>74</v>
      </c>
      <c r="AE816" t="s">
        <v>74</v>
      </c>
      <c r="AF816" t="s">
        <v>74</v>
      </c>
      <c r="AG816" t="s">
        <v>74</v>
      </c>
      <c r="AH816" t="s">
        <v>74</v>
      </c>
      <c r="AI816" t="s">
        <v>74</v>
      </c>
      <c r="AJ816" t="s">
        <v>74</v>
      </c>
      <c r="AK816" t="s">
        <v>74</v>
      </c>
      <c r="AL816" t="s">
        <v>74</v>
      </c>
      <c r="AM816" t="s">
        <v>74</v>
      </c>
      <c r="AN816" t="s">
        <v>74</v>
      </c>
      <c r="AO816" t="s">
        <v>7426</v>
      </c>
      <c r="AP816" t="s">
        <v>7427</v>
      </c>
      <c r="AQ816" t="s">
        <v>74</v>
      </c>
      <c r="AR816" t="s">
        <v>74</v>
      </c>
      <c r="AS816" t="s">
        <v>74</v>
      </c>
      <c r="AT816" t="s">
        <v>255</v>
      </c>
      <c r="AU816">
        <v>2020</v>
      </c>
      <c r="AV816">
        <v>31</v>
      </c>
      <c r="AW816" t="s">
        <v>7428</v>
      </c>
      <c r="AX816" t="s">
        <v>74</v>
      </c>
      <c r="AY816" t="s">
        <v>74</v>
      </c>
      <c r="AZ816" t="s">
        <v>74</v>
      </c>
      <c r="BA816" t="s">
        <v>74</v>
      </c>
      <c r="BB816" t="s">
        <v>74</v>
      </c>
      <c r="BC816" t="s">
        <v>74</v>
      </c>
      <c r="BD816" t="s">
        <v>7429</v>
      </c>
      <c r="BE816" t="s">
        <v>7430</v>
      </c>
      <c r="BF816" t="str">
        <f>HYPERLINK("http://dx.doi.org/10.2192/URSUS-D-19-00027.1","http://dx.doi.org/10.2192/URSUS-D-19-00027.1")</f>
        <v>http://dx.doi.org/10.2192/URSUS-D-19-00027.1</v>
      </c>
      <c r="BG816" t="s">
        <v>74</v>
      </c>
      <c r="BH816" t="s">
        <v>74</v>
      </c>
      <c r="BI816" t="s">
        <v>74</v>
      </c>
      <c r="BJ816" t="s">
        <v>74</v>
      </c>
      <c r="BK816" t="s">
        <v>74</v>
      </c>
      <c r="BL816" t="s">
        <v>74</v>
      </c>
      <c r="BM816" t="s">
        <v>74</v>
      </c>
      <c r="BN816" t="s">
        <v>74</v>
      </c>
      <c r="BO816" t="s">
        <v>74</v>
      </c>
      <c r="BP816" t="s">
        <v>74</v>
      </c>
      <c r="BQ816" t="s">
        <v>74</v>
      </c>
      <c r="BR816" t="s">
        <v>74</v>
      </c>
      <c r="BS816" t="s">
        <v>7431</v>
      </c>
      <c r="BT816" t="str">
        <f>HYPERLINK("https%3A%2F%2Fwww.webofscience.com%2Fwos%2Fwoscc%2Ffull-record%2FWOS:000610555300001","View Full Record in Web of Science")</f>
        <v>View Full Record in Web of Science</v>
      </c>
    </row>
    <row r="817" spans="1:72" x14ac:dyDescent="0.4">
      <c r="A817" t="s">
        <v>72</v>
      </c>
      <c r="B817" t="s">
        <v>8285</v>
      </c>
      <c r="C817" t="s">
        <v>74</v>
      </c>
      <c r="D817" t="s">
        <v>74</v>
      </c>
      <c r="E817" t="s">
        <v>74</v>
      </c>
      <c r="F817" t="s">
        <v>8286</v>
      </c>
      <c r="G817" t="s">
        <v>74</v>
      </c>
      <c r="H817" t="s">
        <v>74</v>
      </c>
      <c r="I817" t="s">
        <v>8287</v>
      </c>
      <c r="J817" t="s">
        <v>129</v>
      </c>
      <c r="K817" t="s">
        <v>74</v>
      </c>
      <c r="L817" t="s">
        <v>74</v>
      </c>
      <c r="M817" t="s">
        <v>74</v>
      </c>
      <c r="N817" t="s">
        <v>74</v>
      </c>
      <c r="O817" t="s">
        <v>74</v>
      </c>
      <c r="P817" t="s">
        <v>74</v>
      </c>
      <c r="Q817" t="s">
        <v>74</v>
      </c>
      <c r="R817" t="s">
        <v>74</v>
      </c>
      <c r="S817" t="s">
        <v>74</v>
      </c>
      <c r="T817" t="s">
        <v>74</v>
      </c>
      <c r="U817" t="s">
        <v>74</v>
      </c>
      <c r="V817" s="3" t="s">
        <v>8288</v>
      </c>
      <c r="W817" t="s">
        <v>74</v>
      </c>
      <c r="X817" t="s">
        <v>74</v>
      </c>
      <c r="Y817" t="s">
        <v>74</v>
      </c>
      <c r="Z817" t="s">
        <v>74</v>
      </c>
      <c r="AA817" t="s">
        <v>74</v>
      </c>
      <c r="AB817" t="s">
        <v>8289</v>
      </c>
      <c r="AC817" t="s">
        <v>74</v>
      </c>
      <c r="AD817" t="s">
        <v>74</v>
      </c>
      <c r="AE817" t="s">
        <v>74</v>
      </c>
      <c r="AF817" t="s">
        <v>74</v>
      </c>
      <c r="AG817" t="s">
        <v>74</v>
      </c>
      <c r="AH817" t="s">
        <v>74</v>
      </c>
      <c r="AI817" t="s">
        <v>74</v>
      </c>
      <c r="AJ817" t="s">
        <v>74</v>
      </c>
      <c r="AK817" t="s">
        <v>74</v>
      </c>
      <c r="AL817" t="s">
        <v>74</v>
      </c>
      <c r="AM817" t="s">
        <v>74</v>
      </c>
      <c r="AN817" t="s">
        <v>74</v>
      </c>
      <c r="AO817" t="s">
        <v>132</v>
      </c>
      <c r="AP817" t="s">
        <v>133</v>
      </c>
      <c r="AQ817" t="s">
        <v>74</v>
      </c>
      <c r="AR817" t="s">
        <v>74</v>
      </c>
      <c r="AS817" t="s">
        <v>74</v>
      </c>
      <c r="AT817" t="s">
        <v>134</v>
      </c>
      <c r="AU817">
        <v>2019</v>
      </c>
      <c r="AV817">
        <v>73</v>
      </c>
      <c r="AW817">
        <v>5</v>
      </c>
      <c r="AX817" t="s">
        <v>74</v>
      </c>
      <c r="AY817" t="s">
        <v>74</v>
      </c>
      <c r="AZ817" t="s">
        <v>74</v>
      </c>
      <c r="BA817" t="s">
        <v>74</v>
      </c>
      <c r="BB817" t="s">
        <v>74</v>
      </c>
      <c r="BC817" t="s">
        <v>74</v>
      </c>
      <c r="BD817">
        <v>61</v>
      </c>
      <c r="BE817" t="s">
        <v>8290</v>
      </c>
      <c r="BF817" t="str">
        <f>HYPERLINK("http://dx.doi.org/10.1007/s00265-019-2670-3","http://dx.doi.org/10.1007/s00265-019-2670-3")</f>
        <v>http://dx.doi.org/10.1007/s00265-019-2670-3</v>
      </c>
      <c r="BG817" t="s">
        <v>74</v>
      </c>
      <c r="BH817" t="s">
        <v>74</v>
      </c>
      <c r="BI817" t="s">
        <v>74</v>
      </c>
      <c r="BJ817" t="s">
        <v>74</v>
      </c>
      <c r="BK817" t="s">
        <v>74</v>
      </c>
      <c r="BL817" t="s">
        <v>74</v>
      </c>
      <c r="BM817" t="s">
        <v>74</v>
      </c>
      <c r="BN817" t="s">
        <v>74</v>
      </c>
      <c r="BO817" t="s">
        <v>74</v>
      </c>
      <c r="BP817" t="s">
        <v>74</v>
      </c>
      <c r="BQ817" t="s">
        <v>74</v>
      </c>
      <c r="BR817" t="s">
        <v>74</v>
      </c>
      <c r="BS817" t="s">
        <v>8291</v>
      </c>
      <c r="BT817" t="str">
        <f>HYPERLINK("https%3A%2F%2Fwww.webofscience.com%2Fwos%2Fwoscc%2Ffull-record%2FWOS:000465553400001","View Full Record in Web of Science")</f>
        <v>View Full Record in Web of Science</v>
      </c>
    </row>
    <row r="818" spans="1:72" x14ac:dyDescent="0.4">
      <c r="A818" t="s">
        <v>72</v>
      </c>
      <c r="B818" t="s">
        <v>536</v>
      </c>
      <c r="C818" t="s">
        <v>74</v>
      </c>
      <c r="D818" t="s">
        <v>74</v>
      </c>
      <c r="E818" t="s">
        <v>74</v>
      </c>
      <c r="F818" t="s">
        <v>537</v>
      </c>
      <c r="G818" t="s">
        <v>74</v>
      </c>
      <c r="H818" t="s">
        <v>74</v>
      </c>
      <c r="I818" t="s">
        <v>538</v>
      </c>
      <c r="J818" t="s">
        <v>539</v>
      </c>
      <c r="K818" t="s">
        <v>74</v>
      </c>
      <c r="L818" t="s">
        <v>74</v>
      </c>
      <c r="M818" t="s">
        <v>74</v>
      </c>
      <c r="N818" t="s">
        <v>74</v>
      </c>
      <c r="O818" t="s">
        <v>74</v>
      </c>
      <c r="P818" t="s">
        <v>74</v>
      </c>
      <c r="Q818" t="s">
        <v>74</v>
      </c>
      <c r="R818" t="s">
        <v>74</v>
      </c>
      <c r="S818" t="s">
        <v>74</v>
      </c>
      <c r="T818" t="s">
        <v>74</v>
      </c>
      <c r="U818" t="s">
        <v>74</v>
      </c>
      <c r="V818" s="3" t="s">
        <v>540</v>
      </c>
      <c r="W818" t="s">
        <v>74</v>
      </c>
      <c r="X818" t="s">
        <v>74</v>
      </c>
      <c r="Y818" t="s">
        <v>74</v>
      </c>
      <c r="Z818" t="s">
        <v>74</v>
      </c>
      <c r="AA818" t="s">
        <v>74</v>
      </c>
      <c r="AB818" t="s">
        <v>74</v>
      </c>
      <c r="AC818" t="s">
        <v>74</v>
      </c>
      <c r="AD818" t="s">
        <v>74</v>
      </c>
      <c r="AE818" t="s">
        <v>74</v>
      </c>
      <c r="AF818" t="s">
        <v>74</v>
      </c>
      <c r="AG818" t="s">
        <v>74</v>
      </c>
      <c r="AH818" t="s">
        <v>74</v>
      </c>
      <c r="AI818" t="s">
        <v>74</v>
      </c>
      <c r="AJ818" t="s">
        <v>74</v>
      </c>
      <c r="AK818" t="s">
        <v>74</v>
      </c>
      <c r="AL818" t="s">
        <v>74</v>
      </c>
      <c r="AM818" t="s">
        <v>74</v>
      </c>
      <c r="AN818" t="s">
        <v>74</v>
      </c>
      <c r="AO818" t="s">
        <v>541</v>
      </c>
      <c r="AP818" t="s">
        <v>74</v>
      </c>
      <c r="AQ818" t="s">
        <v>74</v>
      </c>
      <c r="AR818" t="s">
        <v>74</v>
      </c>
      <c r="AS818" t="s">
        <v>74</v>
      </c>
      <c r="AT818" t="s">
        <v>74</v>
      </c>
      <c r="AU818">
        <v>2009</v>
      </c>
      <c r="AV818">
        <v>8</v>
      </c>
      <c r="AW818">
        <v>2</v>
      </c>
      <c r="AX818" t="s">
        <v>74</v>
      </c>
      <c r="AY818" t="s">
        <v>74</v>
      </c>
      <c r="AZ818" t="s">
        <v>74</v>
      </c>
      <c r="BA818" t="s">
        <v>74</v>
      </c>
      <c r="BB818">
        <v>336</v>
      </c>
      <c r="BC818">
        <v>342</v>
      </c>
      <c r="BD818" t="s">
        <v>74</v>
      </c>
      <c r="BE818" t="s">
        <v>74</v>
      </c>
      <c r="BF818" t="s">
        <v>74</v>
      </c>
      <c r="BG818" t="s">
        <v>74</v>
      </c>
      <c r="BH818" t="s">
        <v>74</v>
      </c>
      <c r="BI818" t="s">
        <v>74</v>
      </c>
      <c r="BJ818" t="s">
        <v>74</v>
      </c>
      <c r="BK818" t="s">
        <v>74</v>
      </c>
      <c r="BL818" t="s">
        <v>74</v>
      </c>
      <c r="BM818" t="s">
        <v>74</v>
      </c>
      <c r="BN818" t="s">
        <v>74</v>
      </c>
      <c r="BO818" t="s">
        <v>74</v>
      </c>
      <c r="BP818" t="s">
        <v>74</v>
      </c>
      <c r="BQ818" t="s">
        <v>74</v>
      </c>
      <c r="BR818" t="s">
        <v>74</v>
      </c>
      <c r="BS818" t="s">
        <v>542</v>
      </c>
      <c r="BT818" t="str">
        <f>HYPERLINK("https%3A%2F%2Fwww.webofscience.com%2Fwos%2Fwoscc%2Ffull-record%2FWOS:000264104700027","View Full Record in Web of Science")</f>
        <v>View Full Record in Web of Science</v>
      </c>
    </row>
    <row r="819" spans="1:72" x14ac:dyDescent="0.4">
      <c r="A819" t="s">
        <v>72</v>
      </c>
      <c r="B819" t="s">
        <v>7162</v>
      </c>
      <c r="C819" t="s">
        <v>74</v>
      </c>
      <c r="D819" t="s">
        <v>74</v>
      </c>
      <c r="E819" t="s">
        <v>74</v>
      </c>
      <c r="F819" t="s">
        <v>7163</v>
      </c>
      <c r="G819" t="s">
        <v>74</v>
      </c>
      <c r="H819" t="s">
        <v>74</v>
      </c>
      <c r="I819" t="s">
        <v>7164</v>
      </c>
      <c r="J819" t="s">
        <v>281</v>
      </c>
      <c r="K819" t="s">
        <v>74</v>
      </c>
      <c r="L819" t="s">
        <v>74</v>
      </c>
      <c r="M819" t="s">
        <v>74</v>
      </c>
      <c r="N819" t="s">
        <v>74</v>
      </c>
      <c r="O819" t="s">
        <v>74</v>
      </c>
      <c r="P819" t="s">
        <v>74</v>
      </c>
      <c r="Q819" t="s">
        <v>74</v>
      </c>
      <c r="R819" t="s">
        <v>74</v>
      </c>
      <c r="S819" t="s">
        <v>74</v>
      </c>
      <c r="T819" t="s">
        <v>74</v>
      </c>
      <c r="U819" t="s">
        <v>74</v>
      </c>
      <c r="V819" s="3" t="s">
        <v>7165</v>
      </c>
      <c r="W819" t="s">
        <v>74</v>
      </c>
      <c r="X819" t="s">
        <v>74</v>
      </c>
      <c r="Y819" t="s">
        <v>74</v>
      </c>
      <c r="Z819" t="s">
        <v>74</v>
      </c>
      <c r="AA819" t="s">
        <v>74</v>
      </c>
      <c r="AB819" t="s">
        <v>7166</v>
      </c>
      <c r="AC819" t="s">
        <v>74</v>
      </c>
      <c r="AD819" t="s">
        <v>74</v>
      </c>
      <c r="AE819" t="s">
        <v>74</v>
      </c>
      <c r="AF819" t="s">
        <v>74</v>
      </c>
      <c r="AG819" t="s">
        <v>74</v>
      </c>
      <c r="AH819" t="s">
        <v>74</v>
      </c>
      <c r="AI819" t="s">
        <v>74</v>
      </c>
      <c r="AJ819" t="s">
        <v>74</v>
      </c>
      <c r="AK819" t="s">
        <v>74</v>
      </c>
      <c r="AL819" t="s">
        <v>74</v>
      </c>
      <c r="AM819" t="s">
        <v>74</v>
      </c>
      <c r="AN819" t="s">
        <v>74</v>
      </c>
      <c r="AO819" t="s">
        <v>285</v>
      </c>
      <c r="AP819" t="s">
        <v>286</v>
      </c>
      <c r="AQ819" t="s">
        <v>74</v>
      </c>
      <c r="AR819" t="s">
        <v>74</v>
      </c>
      <c r="AS819" t="s">
        <v>74</v>
      </c>
      <c r="AT819" t="s">
        <v>123</v>
      </c>
      <c r="AU819">
        <v>2013</v>
      </c>
      <c r="AV819">
        <v>16</v>
      </c>
      <c r="AW819">
        <v>2</v>
      </c>
      <c r="AX819" t="s">
        <v>74</v>
      </c>
      <c r="AY819" t="s">
        <v>74</v>
      </c>
      <c r="AZ819" t="s">
        <v>74</v>
      </c>
      <c r="BA819" t="s">
        <v>74</v>
      </c>
      <c r="BB819">
        <v>197</v>
      </c>
      <c r="BC819">
        <v>210</v>
      </c>
      <c r="BD819" t="s">
        <v>74</v>
      </c>
      <c r="BE819" t="s">
        <v>7167</v>
      </c>
      <c r="BF819" t="str">
        <f>HYPERLINK("http://dx.doi.org/10.1007/s10071-012-0564-0","http://dx.doi.org/10.1007/s10071-012-0564-0")</f>
        <v>http://dx.doi.org/10.1007/s10071-012-0564-0</v>
      </c>
      <c r="BG819" t="s">
        <v>74</v>
      </c>
      <c r="BH819" t="s">
        <v>74</v>
      </c>
      <c r="BI819" t="s">
        <v>74</v>
      </c>
      <c r="BJ819" t="s">
        <v>74</v>
      </c>
      <c r="BK819" t="s">
        <v>74</v>
      </c>
      <c r="BL819" t="s">
        <v>74</v>
      </c>
      <c r="BM819" t="s">
        <v>74</v>
      </c>
      <c r="BN819">
        <v>23065183</v>
      </c>
      <c r="BO819" t="s">
        <v>74</v>
      </c>
      <c r="BP819" t="s">
        <v>74</v>
      </c>
      <c r="BQ819" t="s">
        <v>74</v>
      </c>
      <c r="BR819" t="s">
        <v>74</v>
      </c>
      <c r="BS819" t="s">
        <v>7168</v>
      </c>
      <c r="BT819" t="str">
        <f>HYPERLINK("https%3A%2F%2Fwww.webofscience.com%2Fwos%2Fwoscc%2Ffull-record%2FWOS:000315035100005","View Full Record in Web of Science")</f>
        <v>View Full Record in Web of Science</v>
      </c>
    </row>
    <row r="820" spans="1:72" x14ac:dyDescent="0.4">
      <c r="A820" t="s">
        <v>6684</v>
      </c>
      <c r="B820" t="s">
        <v>8237</v>
      </c>
      <c r="C820" t="s">
        <v>74</v>
      </c>
      <c r="D820" t="s">
        <v>8238</v>
      </c>
      <c r="E820" t="s">
        <v>74</v>
      </c>
      <c r="F820" t="s">
        <v>8237</v>
      </c>
      <c r="G820" t="s">
        <v>74</v>
      </c>
      <c r="H820" t="s">
        <v>74</v>
      </c>
      <c r="I820" t="s">
        <v>8239</v>
      </c>
      <c r="J820" t="s">
        <v>8240</v>
      </c>
      <c r="K820" t="s">
        <v>8241</v>
      </c>
      <c r="L820" t="s">
        <v>74</v>
      </c>
      <c r="M820" t="s">
        <v>74</v>
      </c>
      <c r="N820" t="s">
        <v>74</v>
      </c>
      <c r="O820" t="s">
        <v>74</v>
      </c>
      <c r="P820" t="s">
        <v>74</v>
      </c>
      <c r="Q820" t="s">
        <v>74</v>
      </c>
      <c r="R820" t="s">
        <v>74</v>
      </c>
      <c r="S820" t="s">
        <v>74</v>
      </c>
      <c r="T820" t="s">
        <v>74</v>
      </c>
      <c r="U820" t="s">
        <v>74</v>
      </c>
      <c r="V820" s="3" t="s">
        <v>8242</v>
      </c>
      <c r="W820" t="s">
        <v>74</v>
      </c>
      <c r="X820" t="s">
        <v>74</v>
      </c>
      <c r="Y820" t="s">
        <v>74</v>
      </c>
      <c r="Z820" t="s">
        <v>74</v>
      </c>
      <c r="AA820" t="s">
        <v>8243</v>
      </c>
      <c r="AB820" t="s">
        <v>74</v>
      </c>
      <c r="AC820" t="s">
        <v>74</v>
      </c>
      <c r="AD820" t="s">
        <v>74</v>
      </c>
      <c r="AE820" t="s">
        <v>74</v>
      </c>
      <c r="AF820" t="s">
        <v>74</v>
      </c>
      <c r="AG820" t="s">
        <v>74</v>
      </c>
      <c r="AH820" t="s">
        <v>74</v>
      </c>
      <c r="AI820" t="s">
        <v>74</v>
      </c>
      <c r="AJ820" t="s">
        <v>74</v>
      </c>
      <c r="AK820" t="s">
        <v>74</v>
      </c>
      <c r="AL820" t="s">
        <v>74</v>
      </c>
      <c r="AM820" t="s">
        <v>74</v>
      </c>
      <c r="AN820" t="s">
        <v>74</v>
      </c>
      <c r="AO820" t="s">
        <v>8244</v>
      </c>
      <c r="AP820" t="s">
        <v>74</v>
      </c>
      <c r="AQ820" t="s">
        <v>8245</v>
      </c>
      <c r="AR820" t="s">
        <v>74</v>
      </c>
      <c r="AS820" t="s">
        <v>74</v>
      </c>
      <c r="AT820" t="s">
        <v>74</v>
      </c>
      <c r="AU820">
        <v>1999</v>
      </c>
      <c r="AV820">
        <v>37</v>
      </c>
      <c r="AW820" t="s">
        <v>74</v>
      </c>
      <c r="AX820" t="s">
        <v>74</v>
      </c>
      <c r="AY820" t="s">
        <v>74</v>
      </c>
      <c r="AZ820" t="s">
        <v>74</v>
      </c>
      <c r="BA820" t="s">
        <v>74</v>
      </c>
      <c r="BB820">
        <v>129</v>
      </c>
      <c r="BC820">
        <v>152</v>
      </c>
      <c r="BD820" t="s">
        <v>74</v>
      </c>
      <c r="BE820" t="s">
        <v>74</v>
      </c>
      <c r="BF820" t="s">
        <v>74</v>
      </c>
      <c r="BG820" t="s">
        <v>74</v>
      </c>
      <c r="BH820" t="s">
        <v>74</v>
      </c>
      <c r="BI820" t="s">
        <v>74</v>
      </c>
      <c r="BJ820" t="s">
        <v>74</v>
      </c>
      <c r="BK820" t="s">
        <v>74</v>
      </c>
      <c r="BL820" t="s">
        <v>74</v>
      </c>
      <c r="BM820" t="s">
        <v>74</v>
      </c>
      <c r="BN820" t="s">
        <v>74</v>
      </c>
      <c r="BO820" t="s">
        <v>74</v>
      </c>
      <c r="BP820" t="s">
        <v>74</v>
      </c>
      <c r="BQ820" t="s">
        <v>74</v>
      </c>
      <c r="BR820" t="s">
        <v>74</v>
      </c>
      <c r="BS820" t="s">
        <v>8246</v>
      </c>
      <c r="BT820" t="str">
        <f>HYPERLINK("https%3A%2F%2Fwww.webofscience.com%2Fwos%2Fwoscc%2Ffull-record%2FWOS:000089737800004","View Full Record in Web of Science")</f>
        <v>View Full Record in Web of Science</v>
      </c>
    </row>
    <row r="821" spans="1:72" x14ac:dyDescent="0.4">
      <c r="A821" t="s">
        <v>72</v>
      </c>
      <c r="B821" t="s">
        <v>8332</v>
      </c>
      <c r="C821" t="s">
        <v>74</v>
      </c>
      <c r="D821" t="s">
        <v>74</v>
      </c>
      <c r="E821" t="s">
        <v>74</v>
      </c>
      <c r="F821" t="s">
        <v>8333</v>
      </c>
      <c r="G821" t="s">
        <v>74</v>
      </c>
      <c r="H821" t="s">
        <v>74</v>
      </c>
      <c r="I821" t="s">
        <v>8334</v>
      </c>
      <c r="J821" t="s">
        <v>129</v>
      </c>
      <c r="K821" t="s">
        <v>74</v>
      </c>
      <c r="L821" t="s">
        <v>74</v>
      </c>
      <c r="M821" t="s">
        <v>74</v>
      </c>
      <c r="N821" t="s">
        <v>74</v>
      </c>
      <c r="O821" t="s">
        <v>74</v>
      </c>
      <c r="P821" t="s">
        <v>74</v>
      </c>
      <c r="Q821" t="s">
        <v>74</v>
      </c>
      <c r="R821" t="s">
        <v>74</v>
      </c>
      <c r="S821" t="s">
        <v>74</v>
      </c>
      <c r="T821" t="s">
        <v>74</v>
      </c>
      <c r="U821" t="s">
        <v>74</v>
      </c>
      <c r="V821" s="3" t="s">
        <v>8335</v>
      </c>
      <c r="W821" t="s">
        <v>74</v>
      </c>
      <c r="X821" t="s">
        <v>74</v>
      </c>
      <c r="Y821" t="s">
        <v>74</v>
      </c>
      <c r="Z821" t="s">
        <v>74</v>
      </c>
      <c r="AA821" t="s">
        <v>8336</v>
      </c>
      <c r="AB821" t="s">
        <v>8337</v>
      </c>
      <c r="AC821" t="s">
        <v>74</v>
      </c>
      <c r="AD821" t="s">
        <v>74</v>
      </c>
      <c r="AE821" t="s">
        <v>74</v>
      </c>
      <c r="AF821" t="s">
        <v>74</v>
      </c>
      <c r="AG821" t="s">
        <v>74</v>
      </c>
      <c r="AH821" t="s">
        <v>74</v>
      </c>
      <c r="AI821" t="s">
        <v>74</v>
      </c>
      <c r="AJ821" t="s">
        <v>74</v>
      </c>
      <c r="AK821" t="s">
        <v>74</v>
      </c>
      <c r="AL821" t="s">
        <v>74</v>
      </c>
      <c r="AM821" t="s">
        <v>74</v>
      </c>
      <c r="AN821" t="s">
        <v>74</v>
      </c>
      <c r="AO821" t="s">
        <v>132</v>
      </c>
      <c r="AP821" t="s">
        <v>133</v>
      </c>
      <c r="AQ821" t="s">
        <v>74</v>
      </c>
      <c r="AR821" t="s">
        <v>74</v>
      </c>
      <c r="AS821" t="s">
        <v>74</v>
      </c>
      <c r="AT821" t="s">
        <v>4913</v>
      </c>
      <c r="AU821">
        <v>2021</v>
      </c>
      <c r="AV821">
        <v>75</v>
      </c>
      <c r="AW821">
        <v>3</v>
      </c>
      <c r="AX821" t="s">
        <v>74</v>
      </c>
      <c r="AY821" t="s">
        <v>74</v>
      </c>
      <c r="AZ821" t="s">
        <v>74</v>
      </c>
      <c r="BA821" t="s">
        <v>74</v>
      </c>
      <c r="BB821" t="s">
        <v>74</v>
      </c>
      <c r="BC821" t="s">
        <v>74</v>
      </c>
      <c r="BD821">
        <v>51</v>
      </c>
      <c r="BE821" t="s">
        <v>8338</v>
      </c>
      <c r="BF821" t="str">
        <f>HYPERLINK("http://dx.doi.org/10.1007/s00265-021-02973-x","http://dx.doi.org/10.1007/s00265-021-02973-x")</f>
        <v>http://dx.doi.org/10.1007/s00265-021-02973-x</v>
      </c>
      <c r="BG821" t="s">
        <v>74</v>
      </c>
      <c r="BH821" t="s">
        <v>74</v>
      </c>
      <c r="BI821" t="s">
        <v>74</v>
      </c>
      <c r="BJ821" t="s">
        <v>74</v>
      </c>
      <c r="BK821" t="s">
        <v>74</v>
      </c>
      <c r="BL821" t="s">
        <v>74</v>
      </c>
      <c r="BM821" t="s">
        <v>74</v>
      </c>
      <c r="BN821" t="s">
        <v>74</v>
      </c>
      <c r="BO821" t="s">
        <v>74</v>
      </c>
      <c r="BP821" t="s">
        <v>74</v>
      </c>
      <c r="BQ821" t="s">
        <v>74</v>
      </c>
      <c r="BR821" t="s">
        <v>74</v>
      </c>
      <c r="BS821" t="s">
        <v>8339</v>
      </c>
      <c r="BT821" t="str">
        <f>HYPERLINK("https%3A%2F%2Fwww.webofscience.com%2Fwos%2Fwoscc%2Ffull-record%2FWOS:000620172500001","View Full Record in Web of Science")</f>
        <v>View Full Record in Web of Science</v>
      </c>
    </row>
    <row r="822" spans="1:72" x14ac:dyDescent="0.4">
      <c r="A822" t="s">
        <v>72</v>
      </c>
      <c r="B822" t="s">
        <v>6699</v>
      </c>
      <c r="C822" t="s">
        <v>74</v>
      </c>
      <c r="D822" t="s">
        <v>74</v>
      </c>
      <c r="E822" t="s">
        <v>74</v>
      </c>
      <c r="F822" t="s">
        <v>6700</v>
      </c>
      <c r="G822" t="s">
        <v>74</v>
      </c>
      <c r="H822" t="s">
        <v>74</v>
      </c>
      <c r="I822" t="s">
        <v>6701</v>
      </c>
      <c r="J822" t="s">
        <v>824</v>
      </c>
      <c r="K822" t="s">
        <v>74</v>
      </c>
      <c r="L822" t="s">
        <v>74</v>
      </c>
      <c r="M822" t="s">
        <v>74</v>
      </c>
      <c r="N822" t="s">
        <v>74</v>
      </c>
      <c r="O822" t="s">
        <v>74</v>
      </c>
      <c r="P822" t="s">
        <v>74</v>
      </c>
      <c r="Q822" t="s">
        <v>74</v>
      </c>
      <c r="R822" t="s">
        <v>74</v>
      </c>
      <c r="S822" t="s">
        <v>74</v>
      </c>
      <c r="T822" t="s">
        <v>74</v>
      </c>
      <c r="U822" t="s">
        <v>74</v>
      </c>
      <c r="V822" s="3" t="s">
        <v>6702</v>
      </c>
      <c r="W822" t="s">
        <v>74</v>
      </c>
      <c r="X822" t="s">
        <v>74</v>
      </c>
      <c r="Y822" t="s">
        <v>74</v>
      </c>
      <c r="Z822" t="s">
        <v>74</v>
      </c>
      <c r="AA822" t="s">
        <v>6703</v>
      </c>
      <c r="AB822" t="s">
        <v>6704</v>
      </c>
      <c r="AC822" t="s">
        <v>74</v>
      </c>
      <c r="AD822" t="s">
        <v>74</v>
      </c>
      <c r="AE822" t="s">
        <v>74</v>
      </c>
      <c r="AF822" t="s">
        <v>74</v>
      </c>
      <c r="AG822" t="s">
        <v>74</v>
      </c>
      <c r="AH822" t="s">
        <v>74</v>
      </c>
      <c r="AI822" t="s">
        <v>74</v>
      </c>
      <c r="AJ822" t="s">
        <v>74</v>
      </c>
      <c r="AK822" t="s">
        <v>74</v>
      </c>
      <c r="AL822" t="s">
        <v>74</v>
      </c>
      <c r="AM822" t="s">
        <v>74</v>
      </c>
      <c r="AN822" t="s">
        <v>74</v>
      </c>
      <c r="AO822" t="s">
        <v>828</v>
      </c>
      <c r="AP822" t="s">
        <v>829</v>
      </c>
      <c r="AQ822" t="s">
        <v>74</v>
      </c>
      <c r="AR822" t="s">
        <v>74</v>
      </c>
      <c r="AS822" t="s">
        <v>74</v>
      </c>
      <c r="AT822" t="s">
        <v>134</v>
      </c>
      <c r="AU822">
        <v>2016</v>
      </c>
      <c r="AV822">
        <v>85</v>
      </c>
      <c r="AW822">
        <v>3</v>
      </c>
      <c r="AX822" t="s">
        <v>74</v>
      </c>
      <c r="AY822" t="s">
        <v>74</v>
      </c>
      <c r="AZ822" t="s">
        <v>74</v>
      </c>
      <c r="BA822" t="s">
        <v>74</v>
      </c>
      <c r="BB822">
        <v>798</v>
      </c>
      <c r="BC822">
        <v>805</v>
      </c>
      <c r="BD822" t="s">
        <v>74</v>
      </c>
      <c r="BE822" t="s">
        <v>6705</v>
      </c>
      <c r="BF822" t="str">
        <f>HYPERLINK("http://dx.doi.org/10.1111/1365-2656.12501","http://dx.doi.org/10.1111/1365-2656.12501")</f>
        <v>http://dx.doi.org/10.1111/1365-2656.12501</v>
      </c>
      <c r="BG822" t="s">
        <v>74</v>
      </c>
      <c r="BH822" t="s">
        <v>74</v>
      </c>
      <c r="BI822" t="s">
        <v>74</v>
      </c>
      <c r="BJ822" t="s">
        <v>74</v>
      </c>
      <c r="BK822" t="s">
        <v>74</v>
      </c>
      <c r="BL822" t="s">
        <v>74</v>
      </c>
      <c r="BM822" t="s">
        <v>74</v>
      </c>
      <c r="BN822">
        <v>26876417</v>
      </c>
      <c r="BO822" t="s">
        <v>74</v>
      </c>
      <c r="BP822" t="s">
        <v>74</v>
      </c>
      <c r="BQ822" t="s">
        <v>74</v>
      </c>
      <c r="BR822" t="s">
        <v>74</v>
      </c>
      <c r="BS822" t="s">
        <v>6706</v>
      </c>
      <c r="BT822" t="str">
        <f>HYPERLINK("https%3A%2F%2Fwww.webofscience.com%2Fwos%2Fwoscc%2Ffull-record%2FWOS:000375121400020","View Full Record in Web of Science")</f>
        <v>View Full Record in Web of Science</v>
      </c>
    </row>
    <row r="823" spans="1:72" x14ac:dyDescent="0.4">
      <c r="A823" t="s">
        <v>72</v>
      </c>
      <c r="B823" t="s">
        <v>3008</v>
      </c>
      <c r="C823" t="s">
        <v>74</v>
      </c>
      <c r="D823" t="s">
        <v>74</v>
      </c>
      <c r="E823" t="s">
        <v>74</v>
      </c>
      <c r="F823" t="s">
        <v>3009</v>
      </c>
      <c r="G823" t="s">
        <v>74</v>
      </c>
      <c r="H823" t="s">
        <v>74</v>
      </c>
      <c r="I823" t="s">
        <v>3010</v>
      </c>
      <c r="J823" t="s">
        <v>610</v>
      </c>
      <c r="K823" t="s">
        <v>74</v>
      </c>
      <c r="L823" t="s">
        <v>74</v>
      </c>
      <c r="M823" t="s">
        <v>74</v>
      </c>
      <c r="N823" t="s">
        <v>74</v>
      </c>
      <c r="O823" t="s">
        <v>74</v>
      </c>
      <c r="P823" t="s">
        <v>74</v>
      </c>
      <c r="Q823" t="s">
        <v>74</v>
      </c>
      <c r="R823" t="s">
        <v>74</v>
      </c>
      <c r="S823" t="s">
        <v>74</v>
      </c>
      <c r="T823" t="s">
        <v>74</v>
      </c>
      <c r="U823" t="s">
        <v>74</v>
      </c>
      <c r="V823" s="3" t="s">
        <v>3011</v>
      </c>
      <c r="W823" t="s">
        <v>74</v>
      </c>
      <c r="X823" t="s">
        <v>74</v>
      </c>
      <c r="Y823" t="s">
        <v>74</v>
      </c>
      <c r="Z823" t="s">
        <v>74</v>
      </c>
      <c r="AA823" t="s">
        <v>3012</v>
      </c>
      <c r="AB823" t="s">
        <v>3013</v>
      </c>
      <c r="AC823" t="s">
        <v>74</v>
      </c>
      <c r="AD823" t="s">
        <v>74</v>
      </c>
      <c r="AE823" t="s">
        <v>74</v>
      </c>
      <c r="AF823" t="s">
        <v>74</v>
      </c>
      <c r="AG823" t="s">
        <v>74</v>
      </c>
      <c r="AH823" t="s">
        <v>74</v>
      </c>
      <c r="AI823" t="s">
        <v>74</v>
      </c>
      <c r="AJ823" t="s">
        <v>74</v>
      </c>
      <c r="AK823" t="s">
        <v>74</v>
      </c>
      <c r="AL823" t="s">
        <v>74</v>
      </c>
      <c r="AM823" t="s">
        <v>74</v>
      </c>
      <c r="AN823" t="s">
        <v>74</v>
      </c>
      <c r="AO823" t="s">
        <v>614</v>
      </c>
      <c r="AP823" t="s">
        <v>615</v>
      </c>
      <c r="AQ823" t="s">
        <v>74</v>
      </c>
      <c r="AR823" t="s">
        <v>74</v>
      </c>
      <c r="AS823" t="s">
        <v>74</v>
      </c>
      <c r="AT823" t="s">
        <v>123</v>
      </c>
      <c r="AU823">
        <v>2015</v>
      </c>
      <c r="AV823">
        <v>121</v>
      </c>
      <c r="AW823">
        <v>3</v>
      </c>
      <c r="AX823" t="s">
        <v>74</v>
      </c>
      <c r="AY823" t="s">
        <v>74</v>
      </c>
      <c r="AZ823" t="s">
        <v>74</v>
      </c>
      <c r="BA823" t="s">
        <v>74</v>
      </c>
      <c r="BB823">
        <v>300</v>
      </c>
      <c r="BC823">
        <v>307</v>
      </c>
      <c r="BD823" t="s">
        <v>74</v>
      </c>
      <c r="BE823" t="s">
        <v>3014</v>
      </c>
      <c r="BF823" t="str">
        <f>HYPERLINK("http://dx.doi.org/10.1111/eth.12339","http://dx.doi.org/10.1111/eth.12339")</f>
        <v>http://dx.doi.org/10.1111/eth.12339</v>
      </c>
      <c r="BG823" t="s">
        <v>74</v>
      </c>
      <c r="BH823" t="s">
        <v>74</v>
      </c>
      <c r="BI823" t="s">
        <v>74</v>
      </c>
      <c r="BJ823" t="s">
        <v>74</v>
      </c>
      <c r="BK823" t="s">
        <v>74</v>
      </c>
      <c r="BL823" t="s">
        <v>74</v>
      </c>
      <c r="BM823" t="s">
        <v>74</v>
      </c>
      <c r="BN823" t="s">
        <v>74</v>
      </c>
      <c r="BO823" t="s">
        <v>74</v>
      </c>
      <c r="BP823" t="s">
        <v>74</v>
      </c>
      <c r="BQ823" t="s">
        <v>74</v>
      </c>
      <c r="BR823" t="s">
        <v>74</v>
      </c>
      <c r="BS823" t="s">
        <v>3015</v>
      </c>
      <c r="BT823" t="str">
        <f>HYPERLINK("https%3A%2F%2Fwww.webofscience.com%2Fwos%2Fwoscc%2Ffull-record%2FWOS:000348908100009","View Full Record in Web of Science")</f>
        <v>View Full Record in Web of Science</v>
      </c>
    </row>
    <row r="824" spans="1:72" x14ac:dyDescent="0.4">
      <c r="A824" t="s">
        <v>72</v>
      </c>
      <c r="B824" t="s">
        <v>2455</v>
      </c>
      <c r="C824" t="s">
        <v>74</v>
      </c>
      <c r="D824" t="s">
        <v>74</v>
      </c>
      <c r="E824" t="s">
        <v>74</v>
      </c>
      <c r="F824" t="s">
        <v>2456</v>
      </c>
      <c r="G824" t="s">
        <v>74</v>
      </c>
      <c r="H824" t="s">
        <v>74</v>
      </c>
      <c r="I824" t="s">
        <v>2457</v>
      </c>
      <c r="J824" t="s">
        <v>2207</v>
      </c>
      <c r="K824" t="s">
        <v>74</v>
      </c>
      <c r="L824" t="s">
        <v>74</v>
      </c>
      <c r="M824" t="s">
        <v>74</v>
      </c>
      <c r="N824" t="s">
        <v>74</v>
      </c>
      <c r="O824" t="s">
        <v>74</v>
      </c>
      <c r="P824" t="s">
        <v>74</v>
      </c>
      <c r="Q824" t="s">
        <v>74</v>
      </c>
      <c r="R824" t="s">
        <v>74</v>
      </c>
      <c r="S824" t="s">
        <v>74</v>
      </c>
      <c r="T824" t="s">
        <v>74</v>
      </c>
      <c r="U824" t="s">
        <v>74</v>
      </c>
      <c r="V824" s="3" t="s">
        <v>2458</v>
      </c>
      <c r="W824" t="s">
        <v>74</v>
      </c>
      <c r="X824" t="s">
        <v>74</v>
      </c>
      <c r="Y824" t="s">
        <v>74</v>
      </c>
      <c r="Z824" t="s">
        <v>74</v>
      </c>
      <c r="AA824" t="s">
        <v>2459</v>
      </c>
      <c r="AB824" t="s">
        <v>2460</v>
      </c>
      <c r="AC824" t="s">
        <v>74</v>
      </c>
      <c r="AD824" t="s">
        <v>74</v>
      </c>
      <c r="AE824" t="s">
        <v>74</v>
      </c>
      <c r="AF824" t="s">
        <v>74</v>
      </c>
      <c r="AG824" t="s">
        <v>74</v>
      </c>
      <c r="AH824" t="s">
        <v>74</v>
      </c>
      <c r="AI824" t="s">
        <v>74</v>
      </c>
      <c r="AJ824" t="s">
        <v>74</v>
      </c>
      <c r="AK824" t="s">
        <v>74</v>
      </c>
      <c r="AL824" t="s">
        <v>74</v>
      </c>
      <c r="AM824" t="s">
        <v>74</v>
      </c>
      <c r="AN824" t="s">
        <v>74</v>
      </c>
      <c r="AO824" t="s">
        <v>2211</v>
      </c>
      <c r="AP824" t="s">
        <v>2461</v>
      </c>
      <c r="AQ824" t="s">
        <v>74</v>
      </c>
      <c r="AR824" t="s">
        <v>74</v>
      </c>
      <c r="AS824" t="s">
        <v>74</v>
      </c>
      <c r="AT824" t="s">
        <v>255</v>
      </c>
      <c r="AU824">
        <v>2014</v>
      </c>
      <c r="AV824">
        <v>45</v>
      </c>
      <c r="AW824">
        <v>1</v>
      </c>
      <c r="AX824" t="s">
        <v>74</v>
      </c>
      <c r="AY824" t="s">
        <v>74</v>
      </c>
      <c r="AZ824" t="s">
        <v>74</v>
      </c>
      <c r="BA824" t="s">
        <v>74</v>
      </c>
      <c r="BB824">
        <v>22</v>
      </c>
      <c r="BC824">
        <v>28</v>
      </c>
      <c r="BD824" t="s">
        <v>74</v>
      </c>
      <c r="BE824" t="s">
        <v>2462</v>
      </c>
      <c r="BF824" t="str">
        <f>HYPERLINK("http://dx.doi.org/10.1111/j.1600-048X.2013.00286.x","http://dx.doi.org/10.1111/j.1600-048X.2013.00286.x")</f>
        <v>http://dx.doi.org/10.1111/j.1600-048X.2013.00286.x</v>
      </c>
      <c r="BG824" t="s">
        <v>74</v>
      </c>
      <c r="BH824" t="s">
        <v>74</v>
      </c>
      <c r="BI824" t="s">
        <v>74</v>
      </c>
      <c r="BJ824" t="s">
        <v>74</v>
      </c>
      <c r="BK824" t="s">
        <v>74</v>
      </c>
      <c r="BL824" t="s">
        <v>74</v>
      </c>
      <c r="BM824" t="s">
        <v>74</v>
      </c>
      <c r="BN824" t="s">
        <v>74</v>
      </c>
      <c r="BO824" t="s">
        <v>74</v>
      </c>
      <c r="BP824" t="s">
        <v>74</v>
      </c>
      <c r="BQ824" t="s">
        <v>74</v>
      </c>
      <c r="BR824" t="s">
        <v>74</v>
      </c>
      <c r="BS824" t="s">
        <v>2463</v>
      </c>
      <c r="BT824" t="str">
        <f>HYPERLINK("https%3A%2F%2Fwww.webofscience.com%2Fwos%2Fwoscc%2Ffull-record%2FWOS:000329866900004","View Full Record in Web of Science")</f>
        <v>View Full Record in Web of Science</v>
      </c>
    </row>
    <row r="825" spans="1:72" x14ac:dyDescent="0.4">
      <c r="A825" t="s">
        <v>72</v>
      </c>
      <c r="B825" t="s">
        <v>6304</v>
      </c>
      <c r="C825" t="s">
        <v>74</v>
      </c>
      <c r="D825" t="s">
        <v>74</v>
      </c>
      <c r="E825" t="s">
        <v>74</v>
      </c>
      <c r="F825" t="s">
        <v>6305</v>
      </c>
      <c r="G825" t="s">
        <v>74</v>
      </c>
      <c r="H825" t="s">
        <v>74</v>
      </c>
      <c r="I825" t="s">
        <v>6306</v>
      </c>
      <c r="J825" t="s">
        <v>654</v>
      </c>
      <c r="K825" t="s">
        <v>74</v>
      </c>
      <c r="L825" t="s">
        <v>74</v>
      </c>
      <c r="M825" t="s">
        <v>74</v>
      </c>
      <c r="N825" t="s">
        <v>74</v>
      </c>
      <c r="O825" t="s">
        <v>74</v>
      </c>
      <c r="P825" t="s">
        <v>74</v>
      </c>
      <c r="Q825" t="s">
        <v>74</v>
      </c>
      <c r="R825" t="s">
        <v>74</v>
      </c>
      <c r="S825" t="s">
        <v>74</v>
      </c>
      <c r="T825" t="s">
        <v>74</v>
      </c>
      <c r="U825" t="s">
        <v>74</v>
      </c>
      <c r="V825" s="3" t="s">
        <v>6307</v>
      </c>
      <c r="W825" t="s">
        <v>74</v>
      </c>
      <c r="X825" t="s">
        <v>74</v>
      </c>
      <c r="Y825" t="s">
        <v>74</v>
      </c>
      <c r="Z825" t="s">
        <v>74</v>
      </c>
      <c r="AA825" t="s">
        <v>6308</v>
      </c>
      <c r="AB825" t="s">
        <v>6309</v>
      </c>
      <c r="AC825" t="s">
        <v>74</v>
      </c>
      <c r="AD825" t="s">
        <v>74</v>
      </c>
      <c r="AE825" t="s">
        <v>74</v>
      </c>
      <c r="AF825" t="s">
        <v>74</v>
      </c>
      <c r="AG825" t="s">
        <v>74</v>
      </c>
      <c r="AH825" t="s">
        <v>74</v>
      </c>
      <c r="AI825" t="s">
        <v>74</v>
      </c>
      <c r="AJ825" t="s">
        <v>74</v>
      </c>
      <c r="AK825" t="s">
        <v>74</v>
      </c>
      <c r="AL825" t="s">
        <v>74</v>
      </c>
      <c r="AM825" t="s">
        <v>74</v>
      </c>
      <c r="AN825" t="s">
        <v>74</v>
      </c>
      <c r="AO825" t="s">
        <v>658</v>
      </c>
      <c r="AP825" t="s">
        <v>74</v>
      </c>
      <c r="AQ825" t="s">
        <v>74</v>
      </c>
      <c r="AR825" t="s">
        <v>74</v>
      </c>
      <c r="AS825" t="s">
        <v>74</v>
      </c>
      <c r="AT825" t="s">
        <v>134</v>
      </c>
      <c r="AU825">
        <v>2021</v>
      </c>
      <c r="AV825">
        <v>11</v>
      </c>
      <c r="AW825">
        <v>9</v>
      </c>
      <c r="AX825" t="s">
        <v>74</v>
      </c>
      <c r="AY825" t="s">
        <v>74</v>
      </c>
      <c r="AZ825" t="s">
        <v>74</v>
      </c>
      <c r="BA825" t="s">
        <v>74</v>
      </c>
      <c r="BB825">
        <v>4399</v>
      </c>
      <c r="BC825">
        <v>4412</v>
      </c>
      <c r="BD825" t="s">
        <v>74</v>
      </c>
      <c r="BE825" t="s">
        <v>6310</v>
      </c>
      <c r="BF825" t="str">
        <f>HYPERLINK("http://dx.doi.org/10.1002/ece3.7335","http://dx.doi.org/10.1002/ece3.7335")</f>
        <v>http://dx.doi.org/10.1002/ece3.7335</v>
      </c>
      <c r="BG825" t="s">
        <v>74</v>
      </c>
      <c r="BH825" t="s">
        <v>236</v>
      </c>
      <c r="BI825" t="s">
        <v>74</v>
      </c>
      <c r="BJ825" t="s">
        <v>74</v>
      </c>
      <c r="BK825" t="s">
        <v>74</v>
      </c>
      <c r="BL825" t="s">
        <v>74</v>
      </c>
      <c r="BM825" t="s">
        <v>74</v>
      </c>
      <c r="BN825">
        <v>33976818</v>
      </c>
      <c r="BO825" t="s">
        <v>74</v>
      </c>
      <c r="BP825" t="s">
        <v>74</v>
      </c>
      <c r="BQ825" t="s">
        <v>74</v>
      </c>
      <c r="BR825" t="s">
        <v>74</v>
      </c>
      <c r="BS825" t="s">
        <v>6311</v>
      </c>
      <c r="BT825" t="str">
        <f>HYPERLINK("https%3A%2F%2Fwww.webofscience.com%2Fwos%2Fwoscc%2Ffull-record%2FWOS:000629779400001","View Full Record in Web of Science")</f>
        <v>View Full Record in Web of Science</v>
      </c>
    </row>
    <row r="826" spans="1:72" x14ac:dyDescent="0.4">
      <c r="A826" t="s">
        <v>72</v>
      </c>
      <c r="B826" t="s">
        <v>5581</v>
      </c>
      <c r="C826" t="s">
        <v>74</v>
      </c>
      <c r="D826" t="s">
        <v>74</v>
      </c>
      <c r="E826" t="s">
        <v>74</v>
      </c>
      <c r="F826" t="s">
        <v>5582</v>
      </c>
      <c r="G826" t="s">
        <v>74</v>
      </c>
      <c r="H826" t="s">
        <v>74</v>
      </c>
      <c r="I826" t="s">
        <v>5583</v>
      </c>
      <c r="J826" t="s">
        <v>2677</v>
      </c>
      <c r="K826" t="s">
        <v>74</v>
      </c>
      <c r="L826" t="s">
        <v>74</v>
      </c>
      <c r="M826" t="s">
        <v>74</v>
      </c>
      <c r="N826" t="s">
        <v>74</v>
      </c>
      <c r="O826" t="s">
        <v>74</v>
      </c>
      <c r="P826" t="s">
        <v>74</v>
      </c>
      <c r="Q826" t="s">
        <v>74</v>
      </c>
      <c r="R826" t="s">
        <v>74</v>
      </c>
      <c r="S826" t="s">
        <v>74</v>
      </c>
      <c r="T826" t="s">
        <v>74</v>
      </c>
      <c r="U826" t="s">
        <v>74</v>
      </c>
      <c r="V826" s="3" t="s">
        <v>5584</v>
      </c>
      <c r="W826" t="s">
        <v>74</v>
      </c>
      <c r="X826" t="s">
        <v>74</v>
      </c>
      <c r="Y826" t="s">
        <v>74</v>
      </c>
      <c r="Z826" t="s">
        <v>74</v>
      </c>
      <c r="AA826" t="s">
        <v>74</v>
      </c>
      <c r="AB826" t="s">
        <v>74</v>
      </c>
      <c r="AC826" t="s">
        <v>74</v>
      </c>
      <c r="AD826" t="s">
        <v>74</v>
      </c>
      <c r="AE826" t="s">
        <v>74</v>
      </c>
      <c r="AF826" t="s">
        <v>74</v>
      </c>
      <c r="AG826" t="s">
        <v>74</v>
      </c>
      <c r="AH826" t="s">
        <v>74</v>
      </c>
      <c r="AI826" t="s">
        <v>74</v>
      </c>
      <c r="AJ826" t="s">
        <v>74</v>
      </c>
      <c r="AK826" t="s">
        <v>74</v>
      </c>
      <c r="AL826" t="s">
        <v>74</v>
      </c>
      <c r="AM826" t="s">
        <v>74</v>
      </c>
      <c r="AN826" t="s">
        <v>74</v>
      </c>
      <c r="AO826" t="s">
        <v>2681</v>
      </c>
      <c r="AP826" t="s">
        <v>2682</v>
      </c>
      <c r="AQ826" t="s">
        <v>74</v>
      </c>
      <c r="AR826" t="s">
        <v>74</v>
      </c>
      <c r="AS826" t="s">
        <v>74</v>
      </c>
      <c r="AT826" t="s">
        <v>74</v>
      </c>
      <c r="AU826">
        <v>2011</v>
      </c>
      <c r="AV826">
        <v>4</v>
      </c>
      <c r="AW826">
        <v>4</v>
      </c>
      <c r="AX826" t="s">
        <v>74</v>
      </c>
      <c r="AY826" t="s">
        <v>74</v>
      </c>
      <c r="AZ826" t="s">
        <v>74</v>
      </c>
      <c r="BA826" t="s">
        <v>74</v>
      </c>
      <c r="BB826">
        <v>231</v>
      </c>
      <c r="BC826">
        <v>236</v>
      </c>
      <c r="BD826" t="s">
        <v>74</v>
      </c>
      <c r="BE826" t="s">
        <v>5585</v>
      </c>
      <c r="BF826" t="str">
        <f>HYPERLINK("http://dx.doi.org/10.3184/175815511X13228268534598","http://dx.doi.org/10.3184/175815511X13228268534598")</f>
        <v>http://dx.doi.org/10.3184/175815511X13228268534598</v>
      </c>
      <c r="BG826" t="s">
        <v>74</v>
      </c>
      <c r="BH826" t="s">
        <v>74</v>
      </c>
      <c r="BI826" t="s">
        <v>74</v>
      </c>
      <c r="BJ826" t="s">
        <v>74</v>
      </c>
      <c r="BK826" t="s">
        <v>74</v>
      </c>
      <c r="BL826" t="s">
        <v>74</v>
      </c>
      <c r="BM826" t="s">
        <v>74</v>
      </c>
      <c r="BN826" t="s">
        <v>74</v>
      </c>
      <c r="BO826" t="s">
        <v>74</v>
      </c>
      <c r="BP826" t="s">
        <v>74</v>
      </c>
      <c r="BQ826" t="s">
        <v>74</v>
      </c>
      <c r="BR826" t="s">
        <v>74</v>
      </c>
      <c r="BS826" t="s">
        <v>5586</v>
      </c>
      <c r="BT826" t="str">
        <f>HYPERLINK("https%3A%2F%2Fwww.webofscience.com%2Fwos%2Fwoscc%2Ffull-record%2FWOS:000299488300008","View Full Record in Web of Science")</f>
        <v>View Full Record in Web of Science</v>
      </c>
    </row>
    <row r="827" spans="1:72" x14ac:dyDescent="0.4">
      <c r="A827" t="s">
        <v>72</v>
      </c>
      <c r="B827" t="s">
        <v>904</v>
      </c>
      <c r="C827" t="s">
        <v>74</v>
      </c>
      <c r="D827" t="s">
        <v>74</v>
      </c>
      <c r="E827" t="s">
        <v>74</v>
      </c>
      <c r="F827" t="s">
        <v>905</v>
      </c>
      <c r="G827" t="s">
        <v>74</v>
      </c>
      <c r="H827" t="s">
        <v>74</v>
      </c>
      <c r="I827" t="s">
        <v>906</v>
      </c>
      <c r="J827" t="s">
        <v>119</v>
      </c>
      <c r="K827" t="s">
        <v>74</v>
      </c>
      <c r="L827" t="s">
        <v>74</v>
      </c>
      <c r="M827" t="s">
        <v>74</v>
      </c>
      <c r="N827" t="s">
        <v>74</v>
      </c>
      <c r="O827" t="s">
        <v>74</v>
      </c>
      <c r="P827" t="s">
        <v>74</v>
      </c>
      <c r="Q827" t="s">
        <v>74</v>
      </c>
      <c r="R827" t="s">
        <v>74</v>
      </c>
      <c r="S827" t="s">
        <v>74</v>
      </c>
      <c r="T827" t="s">
        <v>74</v>
      </c>
      <c r="U827" t="s">
        <v>74</v>
      </c>
      <c r="V827" s="3" t="s">
        <v>907</v>
      </c>
      <c r="W827" t="s">
        <v>74</v>
      </c>
      <c r="X827" t="s">
        <v>74</v>
      </c>
      <c r="Y827" t="s">
        <v>74</v>
      </c>
      <c r="Z827" t="s">
        <v>74</v>
      </c>
      <c r="AA827" t="s">
        <v>908</v>
      </c>
      <c r="AB827" t="s">
        <v>909</v>
      </c>
      <c r="AC827" t="s">
        <v>74</v>
      </c>
      <c r="AD827" t="s">
        <v>74</v>
      </c>
      <c r="AE827" t="s">
        <v>74</v>
      </c>
      <c r="AF827" t="s">
        <v>74</v>
      </c>
      <c r="AG827" t="s">
        <v>74</v>
      </c>
      <c r="AH827" t="s">
        <v>74</v>
      </c>
      <c r="AI827" t="s">
        <v>74</v>
      </c>
      <c r="AJ827" t="s">
        <v>74</v>
      </c>
      <c r="AK827" t="s">
        <v>74</v>
      </c>
      <c r="AL827" t="s">
        <v>74</v>
      </c>
      <c r="AM827" t="s">
        <v>74</v>
      </c>
      <c r="AN827" t="s">
        <v>74</v>
      </c>
      <c r="AO827" t="s">
        <v>121</v>
      </c>
      <c r="AP827" t="s">
        <v>122</v>
      </c>
      <c r="AQ827" t="s">
        <v>74</v>
      </c>
      <c r="AR827" t="s">
        <v>74</v>
      </c>
      <c r="AS827" t="s">
        <v>74</v>
      </c>
      <c r="AT827" t="s">
        <v>102</v>
      </c>
      <c r="AU827">
        <v>2014</v>
      </c>
      <c r="AV827">
        <v>105</v>
      </c>
      <c r="AW827" t="s">
        <v>74</v>
      </c>
      <c r="AX827" t="s">
        <v>74</v>
      </c>
      <c r="AY827" t="s">
        <v>74</v>
      </c>
      <c r="AZ827" t="s">
        <v>74</v>
      </c>
      <c r="BA827" t="s">
        <v>74</v>
      </c>
      <c r="BB827">
        <v>15</v>
      </c>
      <c r="BC827">
        <v>18</v>
      </c>
      <c r="BD827" t="s">
        <v>74</v>
      </c>
      <c r="BE827" t="s">
        <v>910</v>
      </c>
      <c r="BF827" t="str">
        <f>HYPERLINK("http://dx.doi.org/10.1016/j.beproc.2014.02.003","http://dx.doi.org/10.1016/j.beproc.2014.02.003")</f>
        <v>http://dx.doi.org/10.1016/j.beproc.2014.02.003</v>
      </c>
      <c r="BG827" t="s">
        <v>74</v>
      </c>
      <c r="BH827" t="s">
        <v>74</v>
      </c>
      <c r="BI827" t="s">
        <v>74</v>
      </c>
      <c r="BJ827" t="s">
        <v>74</v>
      </c>
      <c r="BK827" t="s">
        <v>74</v>
      </c>
      <c r="BL827" t="s">
        <v>74</v>
      </c>
      <c r="BM827" t="s">
        <v>74</v>
      </c>
      <c r="BN827">
        <v>24525358</v>
      </c>
      <c r="BO827" t="s">
        <v>74</v>
      </c>
      <c r="BP827" t="s">
        <v>74</v>
      </c>
      <c r="BQ827" t="s">
        <v>74</v>
      </c>
      <c r="BR827" t="s">
        <v>74</v>
      </c>
      <c r="BS827" t="s">
        <v>911</v>
      </c>
      <c r="BT827" t="str">
        <f>HYPERLINK("https%3A%2F%2Fwww.webofscience.com%2Fwos%2Fwoscc%2Ffull-record%2FWOS:000336827500003","View Full Record in Web of Science")</f>
        <v>View Full Record in Web of Science</v>
      </c>
    </row>
    <row r="828" spans="1:72" x14ac:dyDescent="0.4">
      <c r="A828" t="s">
        <v>72</v>
      </c>
      <c r="B828" t="s">
        <v>7054</v>
      </c>
      <c r="C828" t="s">
        <v>74</v>
      </c>
      <c r="D828" t="s">
        <v>74</v>
      </c>
      <c r="E828" t="s">
        <v>74</v>
      </c>
      <c r="F828" t="s">
        <v>7055</v>
      </c>
      <c r="G828" t="s">
        <v>74</v>
      </c>
      <c r="H828" t="s">
        <v>74</v>
      </c>
      <c r="I828" t="s">
        <v>7056</v>
      </c>
      <c r="J828" t="s">
        <v>1656</v>
      </c>
      <c r="K828" t="s">
        <v>74</v>
      </c>
      <c r="L828" t="s">
        <v>74</v>
      </c>
      <c r="M828" t="s">
        <v>74</v>
      </c>
      <c r="N828" t="s">
        <v>74</v>
      </c>
      <c r="O828" t="s">
        <v>74</v>
      </c>
      <c r="P828" t="s">
        <v>74</v>
      </c>
      <c r="Q828" t="s">
        <v>74</v>
      </c>
      <c r="R828" t="s">
        <v>74</v>
      </c>
      <c r="S828" t="s">
        <v>74</v>
      </c>
      <c r="T828" t="s">
        <v>74</v>
      </c>
      <c r="U828" t="s">
        <v>74</v>
      </c>
      <c r="V828" s="3" t="s">
        <v>7057</v>
      </c>
      <c r="W828" t="s">
        <v>74</v>
      </c>
      <c r="X828" t="s">
        <v>74</v>
      </c>
      <c r="Y828" t="s">
        <v>74</v>
      </c>
      <c r="Z828" t="s">
        <v>74</v>
      </c>
      <c r="AA828" t="s">
        <v>74</v>
      </c>
      <c r="AB828" t="s">
        <v>74</v>
      </c>
      <c r="AC828" t="s">
        <v>74</v>
      </c>
      <c r="AD828" t="s">
        <v>74</v>
      </c>
      <c r="AE828" t="s">
        <v>74</v>
      </c>
      <c r="AF828" t="s">
        <v>74</v>
      </c>
      <c r="AG828" t="s">
        <v>74</v>
      </c>
      <c r="AH828" t="s">
        <v>74</v>
      </c>
      <c r="AI828" t="s">
        <v>74</v>
      </c>
      <c r="AJ828" t="s">
        <v>74</v>
      </c>
      <c r="AK828" t="s">
        <v>74</v>
      </c>
      <c r="AL828" t="s">
        <v>74</v>
      </c>
      <c r="AM828" t="s">
        <v>74</v>
      </c>
      <c r="AN828" t="s">
        <v>74</v>
      </c>
      <c r="AO828" t="s">
        <v>1658</v>
      </c>
      <c r="AP828" t="s">
        <v>1659</v>
      </c>
      <c r="AQ828" t="s">
        <v>74</v>
      </c>
      <c r="AR828" t="s">
        <v>74</v>
      </c>
      <c r="AS828" t="s">
        <v>74</v>
      </c>
      <c r="AT828" t="s">
        <v>7058</v>
      </c>
      <c r="AU828">
        <v>2019</v>
      </c>
      <c r="AV828">
        <v>4695</v>
      </c>
      <c r="AW828">
        <v>6</v>
      </c>
      <c r="AX828" t="s">
        <v>74</v>
      </c>
      <c r="AY828" t="s">
        <v>74</v>
      </c>
      <c r="AZ828" t="s">
        <v>74</v>
      </c>
      <c r="BA828" t="s">
        <v>74</v>
      </c>
      <c r="BB828">
        <v>501</v>
      </c>
      <c r="BC828">
        <v>515</v>
      </c>
      <c r="BD828" t="s">
        <v>74</v>
      </c>
      <c r="BE828" t="s">
        <v>7059</v>
      </c>
      <c r="BF828" t="str">
        <f>HYPERLINK("http://dx.doi.org/10.11646/zootaxa.4695.6.1","http://dx.doi.org/10.11646/zootaxa.4695.6.1")</f>
        <v>http://dx.doi.org/10.11646/zootaxa.4695.6.1</v>
      </c>
      <c r="BG828" t="s">
        <v>74</v>
      </c>
      <c r="BH828" t="s">
        <v>74</v>
      </c>
      <c r="BI828" t="s">
        <v>74</v>
      </c>
      <c r="BJ828" t="s">
        <v>74</v>
      </c>
      <c r="BK828" t="s">
        <v>74</v>
      </c>
      <c r="BL828" t="s">
        <v>74</v>
      </c>
      <c r="BM828" t="s">
        <v>74</v>
      </c>
      <c r="BN828">
        <v>31719322</v>
      </c>
      <c r="BO828" t="s">
        <v>74</v>
      </c>
      <c r="BP828" t="s">
        <v>74</v>
      </c>
      <c r="BQ828" t="s">
        <v>74</v>
      </c>
      <c r="BR828" t="s">
        <v>74</v>
      </c>
      <c r="BS828" t="s">
        <v>7060</v>
      </c>
      <c r="BT828" t="str">
        <f>HYPERLINK("https%3A%2F%2Fwww.webofscience.com%2Fwos%2Fwoscc%2Ffull-record%2FWOS:000497817600001","View Full Record in Web of Science")</f>
        <v>View Full Record in Web of Science</v>
      </c>
    </row>
    <row r="829" spans="1:72" x14ac:dyDescent="0.4">
      <c r="A829" t="s">
        <v>72</v>
      </c>
      <c r="B829" t="s">
        <v>1205</v>
      </c>
      <c r="C829" t="s">
        <v>74</v>
      </c>
      <c r="D829" t="s">
        <v>74</v>
      </c>
      <c r="E829" t="s">
        <v>74</v>
      </c>
      <c r="F829" t="s">
        <v>1205</v>
      </c>
      <c r="G829" t="s">
        <v>74</v>
      </c>
      <c r="H829" t="s">
        <v>74</v>
      </c>
      <c r="I829" t="s">
        <v>1206</v>
      </c>
      <c r="J829" t="s">
        <v>88</v>
      </c>
      <c r="K829" t="s">
        <v>74</v>
      </c>
      <c r="L829" t="s">
        <v>74</v>
      </c>
      <c r="M829" t="s">
        <v>74</v>
      </c>
      <c r="N829" t="s">
        <v>74</v>
      </c>
      <c r="O829" t="s">
        <v>74</v>
      </c>
      <c r="P829" t="s">
        <v>74</v>
      </c>
      <c r="Q829" t="s">
        <v>74</v>
      </c>
      <c r="R829" t="s">
        <v>74</v>
      </c>
      <c r="S829" t="s">
        <v>74</v>
      </c>
      <c r="T829" t="s">
        <v>74</v>
      </c>
      <c r="U829" t="s">
        <v>74</v>
      </c>
      <c r="V829" s="3" t="s">
        <v>1207</v>
      </c>
      <c r="W829" t="s">
        <v>74</v>
      </c>
      <c r="X829" t="s">
        <v>74</v>
      </c>
      <c r="Y829" t="s">
        <v>74</v>
      </c>
      <c r="Z829" t="s">
        <v>74</v>
      </c>
      <c r="AA829" t="s">
        <v>1208</v>
      </c>
      <c r="AB829" t="s">
        <v>1209</v>
      </c>
      <c r="AC829" t="s">
        <v>74</v>
      </c>
      <c r="AD829" t="s">
        <v>74</v>
      </c>
      <c r="AE829" t="s">
        <v>74</v>
      </c>
      <c r="AF829" t="s">
        <v>74</v>
      </c>
      <c r="AG829" t="s">
        <v>74</v>
      </c>
      <c r="AH829" t="s">
        <v>74</v>
      </c>
      <c r="AI829" t="s">
        <v>74</v>
      </c>
      <c r="AJ829" t="s">
        <v>74</v>
      </c>
      <c r="AK829" t="s">
        <v>74</v>
      </c>
      <c r="AL829" t="s">
        <v>74</v>
      </c>
      <c r="AM829" t="s">
        <v>74</v>
      </c>
      <c r="AN829" t="s">
        <v>74</v>
      </c>
      <c r="AO829" t="s">
        <v>91</v>
      </c>
      <c r="AP829" t="s">
        <v>74</v>
      </c>
      <c r="AQ829" t="s">
        <v>74</v>
      </c>
      <c r="AR829" t="s">
        <v>74</v>
      </c>
      <c r="AS829" t="s">
        <v>74</v>
      </c>
      <c r="AT829" t="s">
        <v>1210</v>
      </c>
      <c r="AU829">
        <v>2005</v>
      </c>
      <c r="AV829">
        <v>1</v>
      </c>
      <c r="AW829">
        <v>4</v>
      </c>
      <c r="AX829" t="s">
        <v>74</v>
      </c>
      <c r="AY829" t="s">
        <v>74</v>
      </c>
      <c r="AZ829" t="s">
        <v>74</v>
      </c>
      <c r="BA829" t="s">
        <v>74</v>
      </c>
      <c r="BB829">
        <v>411</v>
      </c>
      <c r="BC829">
        <v>414</v>
      </c>
      <c r="BD829" t="s">
        <v>74</v>
      </c>
      <c r="BE829" t="s">
        <v>1211</v>
      </c>
      <c r="BF829" t="str">
        <f>HYPERLINK("http://dx.doi.org/10.1098/rsbl.2005.0355","http://dx.doi.org/10.1098/rsbl.2005.0355")</f>
        <v>http://dx.doi.org/10.1098/rsbl.2005.0355</v>
      </c>
      <c r="BG829" t="s">
        <v>74</v>
      </c>
      <c r="BH829" t="s">
        <v>74</v>
      </c>
      <c r="BI829" t="s">
        <v>74</v>
      </c>
      <c r="BJ829" t="s">
        <v>74</v>
      </c>
      <c r="BK829" t="s">
        <v>74</v>
      </c>
      <c r="BL829" t="s">
        <v>74</v>
      </c>
      <c r="BM829" t="s">
        <v>74</v>
      </c>
      <c r="BN829">
        <v>17148220</v>
      </c>
      <c r="BO829" t="s">
        <v>74</v>
      </c>
      <c r="BP829" t="s">
        <v>74</v>
      </c>
      <c r="BQ829" t="s">
        <v>74</v>
      </c>
      <c r="BR829" t="s">
        <v>74</v>
      </c>
      <c r="BS829" t="s">
        <v>1212</v>
      </c>
      <c r="BT829" t="str">
        <f>HYPERLINK("https%3A%2F%2Fwww.webofscience.com%2Fwos%2Fwoscc%2Ffull-record%2FWOS:000233911600009","View Full Record in Web of Science")</f>
        <v>View Full Record in Web of Science</v>
      </c>
    </row>
    <row r="830" spans="1:72" x14ac:dyDescent="0.4">
      <c r="A830" t="s">
        <v>72</v>
      </c>
      <c r="B830" t="s">
        <v>2429</v>
      </c>
      <c r="C830" t="s">
        <v>74</v>
      </c>
      <c r="D830" t="s">
        <v>74</v>
      </c>
      <c r="E830" t="s">
        <v>74</v>
      </c>
      <c r="F830" t="s">
        <v>2429</v>
      </c>
      <c r="G830" t="s">
        <v>74</v>
      </c>
      <c r="H830" t="s">
        <v>74</v>
      </c>
      <c r="I830" t="s">
        <v>2430</v>
      </c>
      <c r="J830" t="s">
        <v>1112</v>
      </c>
      <c r="K830" t="s">
        <v>74</v>
      </c>
      <c r="L830" t="s">
        <v>74</v>
      </c>
      <c r="M830" t="s">
        <v>74</v>
      </c>
      <c r="N830" t="s">
        <v>74</v>
      </c>
      <c r="O830" t="s">
        <v>74</v>
      </c>
      <c r="P830" t="s">
        <v>74</v>
      </c>
      <c r="Q830" t="s">
        <v>74</v>
      </c>
      <c r="R830" t="s">
        <v>74</v>
      </c>
      <c r="S830" t="s">
        <v>74</v>
      </c>
      <c r="T830" t="s">
        <v>74</v>
      </c>
      <c r="U830" t="s">
        <v>74</v>
      </c>
      <c r="V830" s="3" t="s">
        <v>2431</v>
      </c>
      <c r="W830" t="s">
        <v>74</v>
      </c>
      <c r="X830" t="s">
        <v>74</v>
      </c>
      <c r="Y830" t="s">
        <v>74</v>
      </c>
      <c r="Z830" t="s">
        <v>74</v>
      </c>
      <c r="AA830" t="s">
        <v>805</v>
      </c>
      <c r="AB830" t="s">
        <v>2432</v>
      </c>
      <c r="AC830" t="s">
        <v>74</v>
      </c>
      <c r="AD830" t="s">
        <v>74</v>
      </c>
      <c r="AE830" t="s">
        <v>74</v>
      </c>
      <c r="AF830" t="s">
        <v>74</v>
      </c>
      <c r="AG830" t="s">
        <v>74</v>
      </c>
      <c r="AH830" t="s">
        <v>74</v>
      </c>
      <c r="AI830" t="s">
        <v>74</v>
      </c>
      <c r="AJ830" t="s">
        <v>74</v>
      </c>
      <c r="AK830" t="s">
        <v>74</v>
      </c>
      <c r="AL830" t="s">
        <v>74</v>
      </c>
      <c r="AM830" t="s">
        <v>74</v>
      </c>
      <c r="AN830" t="s">
        <v>74</v>
      </c>
      <c r="AO830" t="s">
        <v>1114</v>
      </c>
      <c r="AP830" t="s">
        <v>74</v>
      </c>
      <c r="AQ830" t="s">
        <v>74</v>
      </c>
      <c r="AR830" t="s">
        <v>74</v>
      </c>
      <c r="AS830" t="s">
        <v>74</v>
      </c>
      <c r="AT830" t="s">
        <v>633</v>
      </c>
      <c r="AU830">
        <v>1997</v>
      </c>
      <c r="AV830">
        <v>52</v>
      </c>
      <c r="AW830" t="s">
        <v>1276</v>
      </c>
      <c r="AX830" t="s">
        <v>74</v>
      </c>
      <c r="AY830" t="s">
        <v>74</v>
      </c>
      <c r="AZ830" t="s">
        <v>74</v>
      </c>
      <c r="BA830" t="s">
        <v>74</v>
      </c>
      <c r="BB830">
        <v>215</v>
      </c>
      <c r="BC830">
        <v>227</v>
      </c>
      <c r="BD830" t="s">
        <v>74</v>
      </c>
      <c r="BE830" t="s">
        <v>2433</v>
      </c>
      <c r="BF830" t="str">
        <f>HYPERLINK("http://dx.doi.org/10.1016/S0168-1591(96)01124-0","http://dx.doi.org/10.1016/S0168-1591(96)01124-0")</f>
        <v>http://dx.doi.org/10.1016/S0168-1591(96)01124-0</v>
      </c>
      <c r="BG830" t="s">
        <v>74</v>
      </c>
      <c r="BH830" t="s">
        <v>74</v>
      </c>
      <c r="BI830" t="s">
        <v>74</v>
      </c>
      <c r="BJ830" t="s">
        <v>74</v>
      </c>
      <c r="BK830" t="s">
        <v>74</v>
      </c>
      <c r="BL830" t="s">
        <v>74</v>
      </c>
      <c r="BM830" t="s">
        <v>74</v>
      </c>
      <c r="BN830" t="s">
        <v>74</v>
      </c>
      <c r="BO830" t="s">
        <v>74</v>
      </c>
      <c r="BP830" t="s">
        <v>74</v>
      </c>
      <c r="BQ830" t="s">
        <v>74</v>
      </c>
      <c r="BR830" t="s">
        <v>74</v>
      </c>
      <c r="BS830" t="s">
        <v>2434</v>
      </c>
      <c r="BT830" t="str">
        <f>HYPERLINK("https%3A%2F%2Fwww.webofscience.com%2Fwos%2Fwoscc%2Ffull-record%2FWOS:A1997XA61600004","View Full Record in Web of Science")</f>
        <v>View Full Record in Web of Science</v>
      </c>
    </row>
    <row r="831" spans="1:72" x14ac:dyDescent="0.4">
      <c r="A831" t="s">
        <v>72</v>
      </c>
      <c r="B831" t="s">
        <v>2429</v>
      </c>
      <c r="C831" t="s">
        <v>74</v>
      </c>
      <c r="D831" t="s">
        <v>74</v>
      </c>
      <c r="E831" t="s">
        <v>74</v>
      </c>
      <c r="F831" t="s">
        <v>2429</v>
      </c>
      <c r="G831" t="s">
        <v>74</v>
      </c>
      <c r="H831" t="s">
        <v>74</v>
      </c>
      <c r="I831" t="s">
        <v>3771</v>
      </c>
      <c r="J831" t="s">
        <v>1112</v>
      </c>
      <c r="K831" t="s">
        <v>74</v>
      </c>
      <c r="L831" t="s">
        <v>74</v>
      </c>
      <c r="M831" t="s">
        <v>74</v>
      </c>
      <c r="N831" t="s">
        <v>74</v>
      </c>
      <c r="O831" t="s">
        <v>74</v>
      </c>
      <c r="P831" t="s">
        <v>74</v>
      </c>
      <c r="Q831" t="s">
        <v>74</v>
      </c>
      <c r="R831" t="s">
        <v>74</v>
      </c>
      <c r="S831" t="s">
        <v>74</v>
      </c>
      <c r="T831" t="s">
        <v>74</v>
      </c>
      <c r="U831" t="s">
        <v>74</v>
      </c>
      <c r="V831" s="3" t="s">
        <v>3772</v>
      </c>
      <c r="W831" t="s">
        <v>74</v>
      </c>
      <c r="X831" t="s">
        <v>74</v>
      </c>
      <c r="Y831" t="s">
        <v>74</v>
      </c>
      <c r="Z831" t="s">
        <v>74</v>
      </c>
      <c r="AA831" t="s">
        <v>805</v>
      </c>
      <c r="AB831" t="s">
        <v>2432</v>
      </c>
      <c r="AC831" t="s">
        <v>74</v>
      </c>
      <c r="AD831" t="s">
        <v>74</v>
      </c>
      <c r="AE831" t="s">
        <v>74</v>
      </c>
      <c r="AF831" t="s">
        <v>74</v>
      </c>
      <c r="AG831" t="s">
        <v>74</v>
      </c>
      <c r="AH831" t="s">
        <v>74</v>
      </c>
      <c r="AI831" t="s">
        <v>74</v>
      </c>
      <c r="AJ831" t="s">
        <v>74</v>
      </c>
      <c r="AK831" t="s">
        <v>74</v>
      </c>
      <c r="AL831" t="s">
        <v>74</v>
      </c>
      <c r="AM831" t="s">
        <v>74</v>
      </c>
      <c r="AN831" t="s">
        <v>74</v>
      </c>
      <c r="AO831" t="s">
        <v>1114</v>
      </c>
      <c r="AP831" t="s">
        <v>74</v>
      </c>
      <c r="AQ831" t="s">
        <v>74</v>
      </c>
      <c r="AR831" t="s">
        <v>74</v>
      </c>
      <c r="AS831" t="s">
        <v>74</v>
      </c>
      <c r="AT831" t="s">
        <v>633</v>
      </c>
      <c r="AU831">
        <v>1996</v>
      </c>
      <c r="AV831">
        <v>47</v>
      </c>
      <c r="AW831" t="s">
        <v>548</v>
      </c>
      <c r="AX831" t="s">
        <v>74</v>
      </c>
      <c r="AY831" t="s">
        <v>74</v>
      </c>
      <c r="AZ831" t="s">
        <v>74</v>
      </c>
      <c r="BA831" t="s">
        <v>74</v>
      </c>
      <c r="BB831">
        <v>75</v>
      </c>
      <c r="BC831">
        <v>89</v>
      </c>
      <c r="BD831" t="s">
        <v>74</v>
      </c>
      <c r="BE831" t="s">
        <v>3773</v>
      </c>
      <c r="BF831" t="str">
        <f>HYPERLINK("http://dx.doi.org/10.1016/0168-1591(95)01012-2","http://dx.doi.org/10.1016/0168-1591(95)01012-2")</f>
        <v>http://dx.doi.org/10.1016/0168-1591(95)01012-2</v>
      </c>
      <c r="BG831" t="s">
        <v>74</v>
      </c>
      <c r="BH831" t="s">
        <v>74</v>
      </c>
      <c r="BI831" t="s">
        <v>74</v>
      </c>
      <c r="BJ831" t="s">
        <v>74</v>
      </c>
      <c r="BK831" t="s">
        <v>74</v>
      </c>
      <c r="BL831" t="s">
        <v>74</v>
      </c>
      <c r="BM831" t="s">
        <v>74</v>
      </c>
      <c r="BN831" t="s">
        <v>74</v>
      </c>
      <c r="BO831" t="s">
        <v>74</v>
      </c>
      <c r="BP831" t="s">
        <v>74</v>
      </c>
      <c r="BQ831" t="s">
        <v>74</v>
      </c>
      <c r="BR831" t="s">
        <v>74</v>
      </c>
      <c r="BS831" t="s">
        <v>3774</v>
      </c>
      <c r="BT831" t="str">
        <f>HYPERLINK("https%3A%2F%2Fwww.webofscience.com%2Fwos%2Fwoscc%2Ffull-record%2FWOS:A1996UR65000008","View Full Record in Web of Science")</f>
        <v>View Full Record in Web of Science</v>
      </c>
    </row>
    <row r="832" spans="1:72" x14ac:dyDescent="0.4">
      <c r="A832" t="s">
        <v>72</v>
      </c>
      <c r="B832" t="s">
        <v>3733</v>
      </c>
      <c r="C832" t="s">
        <v>74</v>
      </c>
      <c r="D832" t="s">
        <v>74</v>
      </c>
      <c r="E832" t="s">
        <v>74</v>
      </c>
      <c r="F832" t="s">
        <v>3734</v>
      </c>
      <c r="G832" t="s">
        <v>74</v>
      </c>
      <c r="H832" t="s">
        <v>74</v>
      </c>
      <c r="I832" t="s">
        <v>3735</v>
      </c>
      <c r="J832" t="s">
        <v>140</v>
      </c>
      <c r="K832" t="s">
        <v>74</v>
      </c>
      <c r="L832" t="s">
        <v>74</v>
      </c>
      <c r="M832" t="s">
        <v>74</v>
      </c>
      <c r="N832" t="s">
        <v>74</v>
      </c>
      <c r="O832" t="s">
        <v>74</v>
      </c>
      <c r="P832" t="s">
        <v>74</v>
      </c>
      <c r="Q832" t="s">
        <v>74</v>
      </c>
      <c r="R832" t="s">
        <v>74</v>
      </c>
      <c r="S832" t="s">
        <v>74</v>
      </c>
      <c r="T832" t="s">
        <v>74</v>
      </c>
      <c r="U832" t="s">
        <v>74</v>
      </c>
      <c r="V832" s="3" t="s">
        <v>3736</v>
      </c>
      <c r="W832" t="s">
        <v>74</v>
      </c>
      <c r="X832" t="s">
        <v>74</v>
      </c>
      <c r="Y832" t="s">
        <v>74</v>
      </c>
      <c r="Z832" t="s">
        <v>74</v>
      </c>
      <c r="AA832" t="s">
        <v>3737</v>
      </c>
      <c r="AB832" t="s">
        <v>1976</v>
      </c>
      <c r="AC832" t="s">
        <v>74</v>
      </c>
      <c r="AD832" t="s">
        <v>74</v>
      </c>
      <c r="AE832" t="s">
        <v>74</v>
      </c>
      <c r="AF832" t="s">
        <v>74</v>
      </c>
      <c r="AG832" t="s">
        <v>74</v>
      </c>
      <c r="AH832" t="s">
        <v>74</v>
      </c>
      <c r="AI832" t="s">
        <v>74</v>
      </c>
      <c r="AJ832" t="s">
        <v>74</v>
      </c>
      <c r="AK832" t="s">
        <v>74</v>
      </c>
      <c r="AL832" t="s">
        <v>74</v>
      </c>
      <c r="AM832" t="s">
        <v>74</v>
      </c>
      <c r="AN832" t="s">
        <v>74</v>
      </c>
      <c r="AO832" t="s">
        <v>143</v>
      </c>
      <c r="AP832" t="s">
        <v>144</v>
      </c>
      <c r="AQ832" t="s">
        <v>74</v>
      </c>
      <c r="AR832" t="s">
        <v>74</v>
      </c>
      <c r="AS832" t="s">
        <v>74</v>
      </c>
      <c r="AT832" t="s">
        <v>352</v>
      </c>
      <c r="AU832">
        <v>2007</v>
      </c>
      <c r="AV832">
        <v>74</v>
      </c>
      <c r="AW832" t="s">
        <v>74</v>
      </c>
      <c r="AX832">
        <v>3</v>
      </c>
      <c r="AY832" t="s">
        <v>74</v>
      </c>
      <c r="AZ832" t="s">
        <v>74</v>
      </c>
      <c r="BA832" t="s">
        <v>74</v>
      </c>
      <c r="BB832">
        <v>419</v>
      </c>
      <c r="BC832">
        <v>427</v>
      </c>
      <c r="BD832" t="s">
        <v>74</v>
      </c>
      <c r="BE832" t="s">
        <v>3738</v>
      </c>
      <c r="BF832" t="str">
        <f>HYPERLINK("http://dx.doi.org/10.1016/j.anbehav.2006.10.023","http://dx.doi.org/10.1016/j.anbehav.2006.10.023")</f>
        <v>http://dx.doi.org/10.1016/j.anbehav.2006.10.023</v>
      </c>
      <c r="BG832" t="s">
        <v>74</v>
      </c>
      <c r="BH832" t="s">
        <v>74</v>
      </c>
      <c r="BI832" t="s">
        <v>74</v>
      </c>
      <c r="BJ832" t="s">
        <v>74</v>
      </c>
      <c r="BK832" t="s">
        <v>74</v>
      </c>
      <c r="BL832" t="s">
        <v>74</v>
      </c>
      <c r="BM832" t="s">
        <v>74</v>
      </c>
      <c r="BN832" t="s">
        <v>74</v>
      </c>
      <c r="BO832" t="s">
        <v>74</v>
      </c>
      <c r="BP832" t="s">
        <v>74</v>
      </c>
      <c r="BQ832" t="s">
        <v>74</v>
      </c>
      <c r="BR832" t="s">
        <v>74</v>
      </c>
      <c r="BS832" t="s">
        <v>3739</v>
      </c>
      <c r="BT832" t="str">
        <f>HYPERLINK("https%3A%2F%2Fwww.webofscience.com%2Fwos%2Fwoscc%2Ffull-record%2FWOS:000250180700008","View Full Record in Web of Science")</f>
        <v>View Full Record in Web of Science</v>
      </c>
    </row>
    <row r="833" spans="1:72" x14ac:dyDescent="0.4">
      <c r="A833" t="s">
        <v>72</v>
      </c>
      <c r="B833" t="s">
        <v>4150</v>
      </c>
      <c r="C833" t="s">
        <v>74</v>
      </c>
      <c r="D833" t="s">
        <v>74</v>
      </c>
      <c r="E833" t="s">
        <v>74</v>
      </c>
      <c r="F833" t="s">
        <v>4151</v>
      </c>
      <c r="G833" t="s">
        <v>74</v>
      </c>
      <c r="H833" t="s">
        <v>74</v>
      </c>
      <c r="I833" t="s">
        <v>4152</v>
      </c>
      <c r="J833" t="s">
        <v>77</v>
      </c>
      <c r="K833" t="s">
        <v>74</v>
      </c>
      <c r="L833" t="s">
        <v>74</v>
      </c>
      <c r="M833" t="s">
        <v>74</v>
      </c>
      <c r="N833" t="s">
        <v>74</v>
      </c>
      <c r="O833" t="s">
        <v>74</v>
      </c>
      <c r="P833" t="s">
        <v>74</v>
      </c>
      <c r="Q833" t="s">
        <v>74</v>
      </c>
      <c r="R833" t="s">
        <v>74</v>
      </c>
      <c r="S833" t="s">
        <v>74</v>
      </c>
      <c r="T833" t="s">
        <v>74</v>
      </c>
      <c r="U833" t="s">
        <v>74</v>
      </c>
      <c r="V833" s="3" t="s">
        <v>4153</v>
      </c>
      <c r="W833" t="s">
        <v>74</v>
      </c>
      <c r="X833" t="s">
        <v>74</v>
      </c>
      <c r="Y833" t="s">
        <v>74</v>
      </c>
      <c r="Z833" t="s">
        <v>74</v>
      </c>
      <c r="AA833" t="s">
        <v>4154</v>
      </c>
      <c r="AB833" t="s">
        <v>4155</v>
      </c>
      <c r="AC833" t="s">
        <v>74</v>
      </c>
      <c r="AD833" t="s">
        <v>74</v>
      </c>
      <c r="AE833" t="s">
        <v>74</v>
      </c>
      <c r="AF833" t="s">
        <v>74</v>
      </c>
      <c r="AG833" t="s">
        <v>74</v>
      </c>
      <c r="AH833" t="s">
        <v>74</v>
      </c>
      <c r="AI833" t="s">
        <v>74</v>
      </c>
      <c r="AJ833" t="s">
        <v>74</v>
      </c>
      <c r="AK833" t="s">
        <v>74</v>
      </c>
      <c r="AL833" t="s">
        <v>74</v>
      </c>
      <c r="AM833" t="s">
        <v>74</v>
      </c>
      <c r="AN833" t="s">
        <v>74</v>
      </c>
      <c r="AO833" t="s">
        <v>81</v>
      </c>
      <c r="AP833" t="s">
        <v>82</v>
      </c>
      <c r="AQ833" t="s">
        <v>74</v>
      </c>
      <c r="AR833" t="s">
        <v>74</v>
      </c>
      <c r="AS833" t="s">
        <v>74</v>
      </c>
      <c r="AT833" t="s">
        <v>74</v>
      </c>
      <c r="AU833">
        <v>2010</v>
      </c>
      <c r="AV833">
        <v>147</v>
      </c>
      <c r="AW833">
        <v>4</v>
      </c>
      <c r="AX833" t="s">
        <v>74</v>
      </c>
      <c r="AY833" t="s">
        <v>74</v>
      </c>
      <c r="AZ833" t="s">
        <v>74</v>
      </c>
      <c r="BA833" t="s">
        <v>74</v>
      </c>
      <c r="BB833">
        <v>465</v>
      </c>
      <c r="BC833">
        <v>478</v>
      </c>
      <c r="BD833" t="s">
        <v>74</v>
      </c>
      <c r="BE833" t="s">
        <v>4156</v>
      </c>
      <c r="BF833" t="str">
        <f>HYPERLINK("http://dx.doi.org/10.1163/000579509X12584427339575","http://dx.doi.org/10.1163/000579509X12584427339575")</f>
        <v>http://dx.doi.org/10.1163/000579509X12584427339575</v>
      </c>
      <c r="BG833" t="s">
        <v>74</v>
      </c>
      <c r="BH833" t="s">
        <v>74</v>
      </c>
      <c r="BI833" t="s">
        <v>74</v>
      </c>
      <c r="BJ833" t="s">
        <v>74</v>
      </c>
      <c r="BK833" t="s">
        <v>74</v>
      </c>
      <c r="BL833" t="s">
        <v>74</v>
      </c>
      <c r="BM833" t="s">
        <v>74</v>
      </c>
      <c r="BN833" t="s">
        <v>74</v>
      </c>
      <c r="BO833" t="s">
        <v>74</v>
      </c>
      <c r="BP833" t="s">
        <v>74</v>
      </c>
      <c r="BQ833" t="s">
        <v>74</v>
      </c>
      <c r="BR833" t="s">
        <v>74</v>
      </c>
      <c r="BS833" t="s">
        <v>4157</v>
      </c>
      <c r="BT833" t="str">
        <f>HYPERLINK("https%3A%2F%2Fwww.webofscience.com%2Fwos%2Fwoscc%2Ffull-record%2FWOS:000277127600003","View Full Record in Web of Science")</f>
        <v>View Full Record in Web of Science</v>
      </c>
    </row>
    <row r="834" spans="1:72" x14ac:dyDescent="0.4">
      <c r="A834" t="s">
        <v>72</v>
      </c>
      <c r="B834" t="s">
        <v>5934</v>
      </c>
      <c r="C834" t="s">
        <v>74</v>
      </c>
      <c r="D834" t="s">
        <v>74</v>
      </c>
      <c r="E834" t="s">
        <v>74</v>
      </c>
      <c r="F834" t="s">
        <v>5935</v>
      </c>
      <c r="G834" t="s">
        <v>74</v>
      </c>
      <c r="H834" t="s">
        <v>74</v>
      </c>
      <c r="I834" t="s">
        <v>5936</v>
      </c>
      <c r="J834" t="s">
        <v>5937</v>
      </c>
      <c r="K834" t="s">
        <v>74</v>
      </c>
      <c r="L834" t="s">
        <v>74</v>
      </c>
      <c r="M834" t="s">
        <v>74</v>
      </c>
      <c r="N834" t="s">
        <v>74</v>
      </c>
      <c r="O834" t="s">
        <v>74</v>
      </c>
      <c r="P834" t="s">
        <v>74</v>
      </c>
      <c r="Q834" t="s">
        <v>74</v>
      </c>
      <c r="R834" t="s">
        <v>74</v>
      </c>
      <c r="S834" t="s">
        <v>74</v>
      </c>
      <c r="T834" t="s">
        <v>74</v>
      </c>
      <c r="U834" t="s">
        <v>74</v>
      </c>
      <c r="V834" s="3" t="s">
        <v>5938</v>
      </c>
      <c r="W834" t="s">
        <v>74</v>
      </c>
      <c r="X834" t="s">
        <v>74</v>
      </c>
      <c r="Y834" t="s">
        <v>74</v>
      </c>
      <c r="Z834" t="s">
        <v>74</v>
      </c>
      <c r="AA834" t="s">
        <v>5939</v>
      </c>
      <c r="AB834" t="s">
        <v>5940</v>
      </c>
      <c r="AC834" t="s">
        <v>74</v>
      </c>
      <c r="AD834" t="s">
        <v>74</v>
      </c>
      <c r="AE834" t="s">
        <v>74</v>
      </c>
      <c r="AF834" t="s">
        <v>74</v>
      </c>
      <c r="AG834" t="s">
        <v>74</v>
      </c>
      <c r="AH834" t="s">
        <v>74</v>
      </c>
      <c r="AI834" t="s">
        <v>74</v>
      </c>
      <c r="AJ834" t="s">
        <v>74</v>
      </c>
      <c r="AK834" t="s">
        <v>74</v>
      </c>
      <c r="AL834" t="s">
        <v>74</v>
      </c>
      <c r="AM834" t="s">
        <v>74</v>
      </c>
      <c r="AN834" t="s">
        <v>74</v>
      </c>
      <c r="AO834" t="s">
        <v>5941</v>
      </c>
      <c r="AP834" t="s">
        <v>74</v>
      </c>
      <c r="AQ834" t="s">
        <v>74</v>
      </c>
      <c r="AR834" t="s">
        <v>74</v>
      </c>
      <c r="AS834" t="s">
        <v>74</v>
      </c>
      <c r="AT834" t="s">
        <v>213</v>
      </c>
      <c r="AU834">
        <v>2021</v>
      </c>
      <c r="AV834">
        <v>11</v>
      </c>
      <c r="AW834">
        <v>11</v>
      </c>
      <c r="AX834" t="s">
        <v>74</v>
      </c>
      <c r="AY834" t="s">
        <v>74</v>
      </c>
      <c r="AZ834" t="s">
        <v>74</v>
      </c>
      <c r="BA834" t="s">
        <v>74</v>
      </c>
      <c r="BB834" t="s">
        <v>74</v>
      </c>
      <c r="BC834" t="s">
        <v>74</v>
      </c>
      <c r="BD834">
        <v>3022</v>
      </c>
      <c r="BE834" t="s">
        <v>5942</v>
      </c>
      <c r="BF834" t="str">
        <f>HYPERLINK("http://dx.doi.org/10.3390/ani11113022","http://dx.doi.org/10.3390/ani11113022")</f>
        <v>http://dx.doi.org/10.3390/ani11113022</v>
      </c>
      <c r="BG834" t="s">
        <v>74</v>
      </c>
      <c r="BH834" t="s">
        <v>74</v>
      </c>
      <c r="BI834" t="s">
        <v>74</v>
      </c>
      <c r="BJ834" t="s">
        <v>74</v>
      </c>
      <c r="BK834" t="s">
        <v>74</v>
      </c>
      <c r="BL834" t="s">
        <v>74</v>
      </c>
      <c r="BM834" t="s">
        <v>74</v>
      </c>
      <c r="BN834">
        <v>34827756</v>
      </c>
      <c r="BO834" t="s">
        <v>74</v>
      </c>
      <c r="BP834" t="s">
        <v>74</v>
      </c>
      <c r="BQ834" t="s">
        <v>74</v>
      </c>
      <c r="BR834" t="s">
        <v>74</v>
      </c>
      <c r="BS834" t="s">
        <v>5943</v>
      </c>
      <c r="BT834" t="str">
        <f>HYPERLINK("https%3A%2F%2Fwww.webofscience.com%2Fwos%2Fwoscc%2Ffull-record%2FWOS:000758187200001","View Full Record in Web of Science")</f>
        <v>View Full Record in Web of Science</v>
      </c>
    </row>
    <row r="835" spans="1:72" x14ac:dyDescent="0.4">
      <c r="A835" t="s">
        <v>72</v>
      </c>
      <c r="B835" t="s">
        <v>4232</v>
      </c>
      <c r="C835" t="s">
        <v>74</v>
      </c>
      <c r="D835" t="s">
        <v>74</v>
      </c>
      <c r="E835" t="s">
        <v>74</v>
      </c>
      <c r="F835" t="s">
        <v>4233</v>
      </c>
      <c r="G835" t="s">
        <v>74</v>
      </c>
      <c r="H835" t="s">
        <v>74</v>
      </c>
      <c r="I835" t="s">
        <v>4234</v>
      </c>
      <c r="J835" t="s">
        <v>4235</v>
      </c>
      <c r="K835" t="s">
        <v>74</v>
      </c>
      <c r="L835" t="s">
        <v>74</v>
      </c>
      <c r="M835" t="s">
        <v>74</v>
      </c>
      <c r="N835" t="s">
        <v>74</v>
      </c>
      <c r="O835" t="s">
        <v>74</v>
      </c>
      <c r="P835" t="s">
        <v>74</v>
      </c>
      <c r="Q835" t="s">
        <v>74</v>
      </c>
      <c r="R835" t="s">
        <v>74</v>
      </c>
      <c r="S835" t="s">
        <v>74</v>
      </c>
      <c r="T835" t="s">
        <v>74</v>
      </c>
      <c r="U835" t="s">
        <v>74</v>
      </c>
      <c r="V835" s="3" t="s">
        <v>4236</v>
      </c>
      <c r="W835" t="s">
        <v>74</v>
      </c>
      <c r="X835" t="s">
        <v>74</v>
      </c>
      <c r="Y835" t="s">
        <v>74</v>
      </c>
      <c r="Z835" t="s">
        <v>74</v>
      </c>
      <c r="AA835" t="s">
        <v>4237</v>
      </c>
      <c r="AB835" t="s">
        <v>4238</v>
      </c>
      <c r="AC835" t="s">
        <v>74</v>
      </c>
      <c r="AD835" t="s">
        <v>74</v>
      </c>
      <c r="AE835" t="s">
        <v>74</v>
      </c>
      <c r="AF835" t="s">
        <v>74</v>
      </c>
      <c r="AG835" t="s">
        <v>74</v>
      </c>
      <c r="AH835" t="s">
        <v>74</v>
      </c>
      <c r="AI835" t="s">
        <v>74</v>
      </c>
      <c r="AJ835" t="s">
        <v>74</v>
      </c>
      <c r="AK835" t="s">
        <v>74</v>
      </c>
      <c r="AL835" t="s">
        <v>74</v>
      </c>
      <c r="AM835" t="s">
        <v>74</v>
      </c>
      <c r="AN835" t="s">
        <v>74</v>
      </c>
      <c r="AO835" t="s">
        <v>4239</v>
      </c>
      <c r="AP835" t="s">
        <v>4240</v>
      </c>
      <c r="AQ835" t="s">
        <v>74</v>
      </c>
      <c r="AR835" t="s">
        <v>74</v>
      </c>
      <c r="AS835" t="s">
        <v>74</v>
      </c>
      <c r="AT835" t="s">
        <v>175</v>
      </c>
      <c r="AU835">
        <v>2014</v>
      </c>
      <c r="AV835">
        <v>79</v>
      </c>
      <c r="AW835" t="s">
        <v>74</v>
      </c>
      <c r="AX835" t="s">
        <v>74</v>
      </c>
      <c r="AY835" t="s">
        <v>74</v>
      </c>
      <c r="AZ835" t="s">
        <v>74</v>
      </c>
      <c r="BA835" t="s">
        <v>74</v>
      </c>
      <c r="BB835">
        <v>404</v>
      </c>
      <c r="BC835">
        <v>414</v>
      </c>
      <c r="BD835" t="s">
        <v>74</v>
      </c>
      <c r="BE835" t="s">
        <v>4241</v>
      </c>
      <c r="BF835" t="str">
        <f>HYPERLINK("http://dx.doi.org/10.1016/j.ympev.2014.07.007","http://dx.doi.org/10.1016/j.ympev.2014.07.007")</f>
        <v>http://dx.doi.org/10.1016/j.ympev.2014.07.007</v>
      </c>
      <c r="BG835" t="s">
        <v>74</v>
      </c>
      <c r="BH835" t="s">
        <v>74</v>
      </c>
      <c r="BI835" t="s">
        <v>74</v>
      </c>
      <c r="BJ835" t="s">
        <v>74</v>
      </c>
      <c r="BK835" t="s">
        <v>74</v>
      </c>
      <c r="BL835" t="s">
        <v>74</v>
      </c>
      <c r="BM835" t="s">
        <v>74</v>
      </c>
      <c r="BN835">
        <v>25050928</v>
      </c>
      <c r="BO835" t="s">
        <v>74</v>
      </c>
      <c r="BP835" t="s">
        <v>74</v>
      </c>
      <c r="BQ835" t="s">
        <v>74</v>
      </c>
      <c r="BR835" t="s">
        <v>74</v>
      </c>
      <c r="BS835" t="s">
        <v>4242</v>
      </c>
      <c r="BT835" t="str">
        <f>HYPERLINK("https%3A%2F%2Fwww.webofscience.com%2Fwos%2Fwoscc%2Ffull-record%2FWOS:000342884800034","View Full Record in Web of Science")</f>
        <v>View Full Record in Web of Science</v>
      </c>
    </row>
    <row r="836" spans="1:72" x14ac:dyDescent="0.4">
      <c r="A836" t="s">
        <v>72</v>
      </c>
      <c r="B836" t="s">
        <v>6974</v>
      </c>
      <c r="C836" t="s">
        <v>74</v>
      </c>
      <c r="D836" t="s">
        <v>74</v>
      </c>
      <c r="E836" t="s">
        <v>74</v>
      </c>
      <c r="F836" t="s">
        <v>6975</v>
      </c>
      <c r="G836" t="s">
        <v>74</v>
      </c>
      <c r="H836" t="s">
        <v>74</v>
      </c>
      <c r="I836" t="s">
        <v>6976</v>
      </c>
      <c r="J836" t="s">
        <v>1949</v>
      </c>
      <c r="K836" t="s">
        <v>74</v>
      </c>
      <c r="L836" t="s">
        <v>74</v>
      </c>
      <c r="M836" t="s">
        <v>74</v>
      </c>
      <c r="N836" t="s">
        <v>74</v>
      </c>
      <c r="O836" t="s">
        <v>74</v>
      </c>
      <c r="P836" t="s">
        <v>74</v>
      </c>
      <c r="Q836" t="s">
        <v>74</v>
      </c>
      <c r="R836" t="s">
        <v>74</v>
      </c>
      <c r="S836" t="s">
        <v>74</v>
      </c>
      <c r="T836" t="s">
        <v>74</v>
      </c>
      <c r="U836" t="s">
        <v>74</v>
      </c>
      <c r="V836" s="3" t="s">
        <v>6977</v>
      </c>
      <c r="W836" t="s">
        <v>74</v>
      </c>
      <c r="X836" t="s">
        <v>74</v>
      </c>
      <c r="Y836" t="s">
        <v>74</v>
      </c>
      <c r="Z836" t="s">
        <v>74</v>
      </c>
      <c r="AA836" t="s">
        <v>6978</v>
      </c>
      <c r="AB836" t="s">
        <v>6979</v>
      </c>
      <c r="AC836" t="s">
        <v>74</v>
      </c>
      <c r="AD836" t="s">
        <v>74</v>
      </c>
      <c r="AE836" t="s">
        <v>74</v>
      </c>
      <c r="AF836" t="s">
        <v>74</v>
      </c>
      <c r="AG836" t="s">
        <v>74</v>
      </c>
      <c r="AH836" t="s">
        <v>74</v>
      </c>
      <c r="AI836" t="s">
        <v>74</v>
      </c>
      <c r="AJ836" t="s">
        <v>74</v>
      </c>
      <c r="AK836" t="s">
        <v>74</v>
      </c>
      <c r="AL836" t="s">
        <v>74</v>
      </c>
      <c r="AM836" t="s">
        <v>74</v>
      </c>
      <c r="AN836" t="s">
        <v>74</v>
      </c>
      <c r="AO836" t="s">
        <v>74</v>
      </c>
      <c r="AP836" t="s">
        <v>1953</v>
      </c>
      <c r="AQ836" t="s">
        <v>74</v>
      </c>
      <c r="AR836" t="s">
        <v>74</v>
      </c>
      <c r="AS836" t="s">
        <v>74</v>
      </c>
      <c r="AT836" t="s">
        <v>123</v>
      </c>
      <c r="AU836">
        <v>2022</v>
      </c>
      <c r="AV836">
        <v>13</v>
      </c>
      <c r="AW836">
        <v>3</v>
      </c>
      <c r="AX836" t="s">
        <v>74</v>
      </c>
      <c r="AY836" t="s">
        <v>74</v>
      </c>
      <c r="AZ836" t="s">
        <v>74</v>
      </c>
      <c r="BA836" t="s">
        <v>74</v>
      </c>
      <c r="BB836" t="s">
        <v>74</v>
      </c>
      <c r="BC836" t="s">
        <v>74</v>
      </c>
      <c r="BD836">
        <v>262</v>
      </c>
      <c r="BE836" t="s">
        <v>6980</v>
      </c>
      <c r="BF836" t="str">
        <f>HYPERLINK("http://dx.doi.org/10.3390/insects13030262","http://dx.doi.org/10.3390/insects13030262")</f>
        <v>http://dx.doi.org/10.3390/insects13030262</v>
      </c>
      <c r="BG836" t="s">
        <v>74</v>
      </c>
      <c r="BH836" t="s">
        <v>74</v>
      </c>
      <c r="BI836" t="s">
        <v>74</v>
      </c>
      <c r="BJ836" t="s">
        <v>74</v>
      </c>
      <c r="BK836" t="s">
        <v>74</v>
      </c>
      <c r="BL836" t="s">
        <v>74</v>
      </c>
      <c r="BM836" t="s">
        <v>74</v>
      </c>
      <c r="BN836">
        <v>35323560</v>
      </c>
      <c r="BO836" t="s">
        <v>74</v>
      </c>
      <c r="BP836" t="s">
        <v>74</v>
      </c>
      <c r="BQ836" t="s">
        <v>74</v>
      </c>
      <c r="BR836" t="s">
        <v>74</v>
      </c>
      <c r="BS836" t="s">
        <v>6981</v>
      </c>
      <c r="BT836" t="str">
        <f>HYPERLINK("https%3A%2F%2Fwww.webofscience.com%2Fwos%2Fwoscc%2Ffull-record%2FWOS:000775202600001","View Full Record in Web of Science")</f>
        <v>View Full Record in Web of Science</v>
      </c>
    </row>
    <row r="837" spans="1:72" x14ac:dyDescent="0.4">
      <c r="A837" t="s">
        <v>72</v>
      </c>
      <c r="B837" t="s">
        <v>7537</v>
      </c>
      <c r="C837" t="s">
        <v>74</v>
      </c>
      <c r="D837" t="s">
        <v>74</v>
      </c>
      <c r="E837" t="s">
        <v>74</v>
      </c>
      <c r="F837" t="s">
        <v>7537</v>
      </c>
      <c r="G837" t="s">
        <v>74</v>
      </c>
      <c r="H837" t="s">
        <v>74</v>
      </c>
      <c r="I837" t="s">
        <v>7538</v>
      </c>
      <c r="J837" t="s">
        <v>7539</v>
      </c>
      <c r="K837" t="s">
        <v>74</v>
      </c>
      <c r="L837" t="s">
        <v>74</v>
      </c>
      <c r="M837" t="s">
        <v>74</v>
      </c>
      <c r="N837" t="s">
        <v>74</v>
      </c>
      <c r="O837" t="s">
        <v>74</v>
      </c>
      <c r="P837" t="s">
        <v>74</v>
      </c>
      <c r="Q837" t="s">
        <v>74</v>
      </c>
      <c r="R837" t="s">
        <v>74</v>
      </c>
      <c r="S837" t="s">
        <v>74</v>
      </c>
      <c r="T837" t="s">
        <v>74</v>
      </c>
      <c r="U837" t="s">
        <v>74</v>
      </c>
      <c r="V837" s="3" t="s">
        <v>7540</v>
      </c>
      <c r="W837" t="s">
        <v>74</v>
      </c>
      <c r="X837" t="s">
        <v>74</v>
      </c>
      <c r="Y837" t="s">
        <v>74</v>
      </c>
      <c r="Z837" t="s">
        <v>74</v>
      </c>
      <c r="AA837" t="s">
        <v>7541</v>
      </c>
      <c r="AB837" t="s">
        <v>7542</v>
      </c>
      <c r="AC837" t="s">
        <v>74</v>
      </c>
      <c r="AD837" t="s">
        <v>74</v>
      </c>
      <c r="AE837" t="s">
        <v>74</v>
      </c>
      <c r="AF837" t="s">
        <v>74</v>
      </c>
      <c r="AG837" t="s">
        <v>74</v>
      </c>
      <c r="AH837" t="s">
        <v>74</v>
      </c>
      <c r="AI837" t="s">
        <v>74</v>
      </c>
      <c r="AJ837" t="s">
        <v>74</v>
      </c>
      <c r="AK837" t="s">
        <v>74</v>
      </c>
      <c r="AL837" t="s">
        <v>74</v>
      </c>
      <c r="AM837" t="s">
        <v>74</v>
      </c>
      <c r="AN837" t="s">
        <v>74</v>
      </c>
      <c r="AO837" t="s">
        <v>7543</v>
      </c>
      <c r="AP837" t="s">
        <v>7544</v>
      </c>
      <c r="AQ837" t="s">
        <v>74</v>
      </c>
      <c r="AR837" t="s">
        <v>74</v>
      </c>
      <c r="AS837" t="s">
        <v>74</v>
      </c>
      <c r="AT837" t="s">
        <v>123</v>
      </c>
      <c r="AU837">
        <v>1993</v>
      </c>
      <c r="AV837">
        <v>40</v>
      </c>
      <c r="AW837" t="s">
        <v>74</v>
      </c>
      <c r="AX837">
        <v>1</v>
      </c>
      <c r="AY837" t="s">
        <v>74</v>
      </c>
      <c r="AZ837" t="s">
        <v>74</v>
      </c>
      <c r="BA837" t="s">
        <v>74</v>
      </c>
      <c r="BB837">
        <v>31</v>
      </c>
      <c r="BC837">
        <v>37</v>
      </c>
      <c r="BD837" t="s">
        <v>74</v>
      </c>
      <c r="BE837" t="s">
        <v>7545</v>
      </c>
      <c r="BF837" t="str">
        <f>HYPERLINK("http://dx.doi.org/10.1080/00063659309477126","http://dx.doi.org/10.1080/00063659309477126")</f>
        <v>http://dx.doi.org/10.1080/00063659309477126</v>
      </c>
      <c r="BG837" t="s">
        <v>74</v>
      </c>
      <c r="BH837" t="s">
        <v>74</v>
      </c>
      <c r="BI837" t="s">
        <v>74</v>
      </c>
      <c r="BJ837" t="s">
        <v>74</v>
      </c>
      <c r="BK837" t="s">
        <v>74</v>
      </c>
      <c r="BL837" t="s">
        <v>74</v>
      </c>
      <c r="BM837" t="s">
        <v>74</v>
      </c>
      <c r="BN837" t="s">
        <v>74</v>
      </c>
      <c r="BO837" t="s">
        <v>74</v>
      </c>
      <c r="BP837" t="s">
        <v>74</v>
      </c>
      <c r="BQ837" t="s">
        <v>74</v>
      </c>
      <c r="BR837" t="s">
        <v>74</v>
      </c>
      <c r="BS837" t="s">
        <v>7546</v>
      </c>
      <c r="BT837" t="str">
        <f>HYPERLINK("https%3A%2F%2Fwww.webofscience.com%2Fwos%2Fwoscc%2Ffull-record%2FWOS:A1993KU44300004","View Full Record in Web of Science")</f>
        <v>View Full Record in Web of Science</v>
      </c>
    </row>
    <row r="838" spans="1:72" x14ac:dyDescent="0.4">
      <c r="A838" t="s">
        <v>72</v>
      </c>
      <c r="B838" t="s">
        <v>318</v>
      </c>
      <c r="C838" t="s">
        <v>74</v>
      </c>
      <c r="D838" t="s">
        <v>74</v>
      </c>
      <c r="E838" t="s">
        <v>74</v>
      </c>
      <c r="F838" t="s">
        <v>319</v>
      </c>
      <c r="G838" t="s">
        <v>74</v>
      </c>
      <c r="H838" t="s">
        <v>74</v>
      </c>
      <c r="I838" t="s">
        <v>320</v>
      </c>
      <c r="J838" t="s">
        <v>129</v>
      </c>
      <c r="K838" t="s">
        <v>74</v>
      </c>
      <c r="L838" t="s">
        <v>74</v>
      </c>
      <c r="M838" t="s">
        <v>74</v>
      </c>
      <c r="N838" t="s">
        <v>74</v>
      </c>
      <c r="O838" t="s">
        <v>74</v>
      </c>
      <c r="P838" t="s">
        <v>74</v>
      </c>
      <c r="Q838" t="s">
        <v>74</v>
      </c>
      <c r="R838" t="s">
        <v>74</v>
      </c>
      <c r="S838" t="s">
        <v>74</v>
      </c>
      <c r="T838" t="s">
        <v>74</v>
      </c>
      <c r="U838" t="s">
        <v>74</v>
      </c>
      <c r="V838" s="3" t="s">
        <v>321</v>
      </c>
      <c r="W838" t="s">
        <v>74</v>
      </c>
      <c r="X838" t="s">
        <v>74</v>
      </c>
      <c r="Y838" t="s">
        <v>74</v>
      </c>
      <c r="Z838" t="s">
        <v>74</v>
      </c>
      <c r="AA838" t="s">
        <v>74</v>
      </c>
      <c r="AB838" t="s">
        <v>322</v>
      </c>
      <c r="AC838" t="s">
        <v>74</v>
      </c>
      <c r="AD838" t="s">
        <v>74</v>
      </c>
      <c r="AE838" t="s">
        <v>74</v>
      </c>
      <c r="AF838" t="s">
        <v>74</v>
      </c>
      <c r="AG838" t="s">
        <v>74</v>
      </c>
      <c r="AH838" t="s">
        <v>74</v>
      </c>
      <c r="AI838" t="s">
        <v>74</v>
      </c>
      <c r="AJ838" t="s">
        <v>74</v>
      </c>
      <c r="AK838" t="s">
        <v>74</v>
      </c>
      <c r="AL838" t="s">
        <v>74</v>
      </c>
      <c r="AM838" t="s">
        <v>74</v>
      </c>
      <c r="AN838" t="s">
        <v>74</v>
      </c>
      <c r="AO838" t="s">
        <v>132</v>
      </c>
      <c r="AP838" t="s">
        <v>133</v>
      </c>
      <c r="AQ838" t="s">
        <v>74</v>
      </c>
      <c r="AR838" t="s">
        <v>74</v>
      </c>
      <c r="AS838" t="s">
        <v>74</v>
      </c>
      <c r="AT838" t="s">
        <v>255</v>
      </c>
      <c r="AU838">
        <v>2023</v>
      </c>
      <c r="AV838">
        <v>77</v>
      </c>
      <c r="AW838">
        <v>1</v>
      </c>
      <c r="AX838" t="s">
        <v>74</v>
      </c>
      <c r="AY838" t="s">
        <v>74</v>
      </c>
      <c r="AZ838" t="s">
        <v>74</v>
      </c>
      <c r="BA838" t="s">
        <v>74</v>
      </c>
      <c r="BB838" t="s">
        <v>74</v>
      </c>
      <c r="BC838" t="s">
        <v>74</v>
      </c>
      <c r="BD838">
        <v>2</v>
      </c>
      <c r="BE838" t="s">
        <v>323</v>
      </c>
      <c r="BF838" t="str">
        <f>HYPERLINK("http://dx.doi.org/10.1007/s00265-022-03272-9","http://dx.doi.org/10.1007/s00265-022-03272-9")</f>
        <v>http://dx.doi.org/10.1007/s00265-022-03272-9</v>
      </c>
      <c r="BG838" t="s">
        <v>74</v>
      </c>
      <c r="BH838" t="s">
        <v>74</v>
      </c>
      <c r="BI838" t="s">
        <v>74</v>
      </c>
      <c r="BJ838" t="s">
        <v>74</v>
      </c>
      <c r="BK838" t="s">
        <v>74</v>
      </c>
      <c r="BL838" t="s">
        <v>74</v>
      </c>
      <c r="BM838" t="s">
        <v>74</v>
      </c>
      <c r="BN838" t="s">
        <v>74</v>
      </c>
      <c r="BO838" t="s">
        <v>74</v>
      </c>
      <c r="BP838" t="s">
        <v>74</v>
      </c>
      <c r="BQ838" t="s">
        <v>74</v>
      </c>
      <c r="BR838" t="s">
        <v>74</v>
      </c>
      <c r="BS838" t="s">
        <v>324</v>
      </c>
      <c r="BT838" t="str">
        <f>HYPERLINK("https%3A%2F%2Fwww.webofscience.com%2Fwos%2Fwoscc%2Ffull-record%2FWOS:000914603000002","View Full Record in Web of Science")</f>
        <v>View Full Record in Web of Science</v>
      </c>
    </row>
    <row r="839" spans="1:72" x14ac:dyDescent="0.4">
      <c r="A839" t="s">
        <v>72</v>
      </c>
      <c r="B839" t="s">
        <v>4964</v>
      </c>
      <c r="C839" t="s">
        <v>74</v>
      </c>
      <c r="D839" t="s">
        <v>74</v>
      </c>
      <c r="E839" t="s">
        <v>74</v>
      </c>
      <c r="F839" t="s">
        <v>4964</v>
      </c>
      <c r="G839" t="s">
        <v>74</v>
      </c>
      <c r="H839" t="s">
        <v>74</v>
      </c>
      <c r="I839" t="s">
        <v>4965</v>
      </c>
      <c r="J839" t="s">
        <v>1673</v>
      </c>
      <c r="K839" t="s">
        <v>74</v>
      </c>
      <c r="L839" t="s">
        <v>74</v>
      </c>
      <c r="M839" t="s">
        <v>74</v>
      </c>
      <c r="N839" t="s">
        <v>74</v>
      </c>
      <c r="O839" t="s">
        <v>74</v>
      </c>
      <c r="P839" t="s">
        <v>74</v>
      </c>
      <c r="Q839" t="s">
        <v>74</v>
      </c>
      <c r="R839" t="s">
        <v>74</v>
      </c>
      <c r="S839" t="s">
        <v>74</v>
      </c>
      <c r="T839" t="s">
        <v>74</v>
      </c>
      <c r="U839" t="s">
        <v>74</v>
      </c>
      <c r="V839" s="3" t="s">
        <v>4966</v>
      </c>
      <c r="W839" t="s">
        <v>74</v>
      </c>
      <c r="X839" t="s">
        <v>74</v>
      </c>
      <c r="Y839" t="s">
        <v>74</v>
      </c>
      <c r="Z839" t="s">
        <v>74</v>
      </c>
      <c r="AA839" t="s">
        <v>4967</v>
      </c>
      <c r="AB839" t="s">
        <v>74</v>
      </c>
      <c r="AC839" t="s">
        <v>74</v>
      </c>
      <c r="AD839" t="s">
        <v>74</v>
      </c>
      <c r="AE839" t="s">
        <v>74</v>
      </c>
      <c r="AF839" t="s">
        <v>74</v>
      </c>
      <c r="AG839" t="s">
        <v>74</v>
      </c>
      <c r="AH839" t="s">
        <v>74</v>
      </c>
      <c r="AI839" t="s">
        <v>74</v>
      </c>
      <c r="AJ839" t="s">
        <v>74</v>
      </c>
      <c r="AK839" t="s">
        <v>74</v>
      </c>
      <c r="AL839" t="s">
        <v>74</v>
      </c>
      <c r="AM839" t="s">
        <v>74</v>
      </c>
      <c r="AN839" t="s">
        <v>74</v>
      </c>
      <c r="AO839" t="s">
        <v>1239</v>
      </c>
      <c r="AP839" t="s">
        <v>1675</v>
      </c>
      <c r="AQ839" t="s">
        <v>74</v>
      </c>
      <c r="AR839" t="s">
        <v>74</v>
      </c>
      <c r="AS839" t="s">
        <v>74</v>
      </c>
      <c r="AT839" t="s">
        <v>352</v>
      </c>
      <c r="AU839">
        <v>2003</v>
      </c>
      <c r="AV839">
        <v>81</v>
      </c>
      <c r="AW839">
        <v>9</v>
      </c>
      <c r="AX839" t="s">
        <v>74</v>
      </c>
      <c r="AY839" t="s">
        <v>74</v>
      </c>
      <c r="AZ839" t="s">
        <v>74</v>
      </c>
      <c r="BA839" t="s">
        <v>74</v>
      </c>
      <c r="BB839">
        <v>1561</v>
      </c>
      <c r="BC839">
        <v>1565</v>
      </c>
      <c r="BD839" t="s">
        <v>74</v>
      </c>
      <c r="BE839" t="s">
        <v>4968</v>
      </c>
      <c r="BF839" t="str">
        <f>HYPERLINK("http://dx.doi.org/10.1139/Z03-147","http://dx.doi.org/10.1139/Z03-147")</f>
        <v>http://dx.doi.org/10.1139/Z03-147</v>
      </c>
      <c r="BG839" t="s">
        <v>74</v>
      </c>
      <c r="BH839" t="s">
        <v>74</v>
      </c>
      <c r="BI839" t="s">
        <v>74</v>
      </c>
      <c r="BJ839" t="s">
        <v>74</v>
      </c>
      <c r="BK839" t="s">
        <v>74</v>
      </c>
      <c r="BL839" t="s">
        <v>74</v>
      </c>
      <c r="BM839" t="s">
        <v>74</v>
      </c>
      <c r="BN839" t="s">
        <v>74</v>
      </c>
      <c r="BO839" t="s">
        <v>74</v>
      </c>
      <c r="BP839" t="s">
        <v>74</v>
      </c>
      <c r="BQ839" t="s">
        <v>74</v>
      </c>
      <c r="BR839" t="s">
        <v>74</v>
      </c>
      <c r="BS839" t="s">
        <v>4969</v>
      </c>
      <c r="BT839" t="str">
        <f>HYPERLINK("https%3A%2F%2Fwww.webofscience.com%2Fwos%2Fwoscc%2Ffull-record%2FWOS:000186325200009","View Full Record in Web of Science")</f>
        <v>View Full Record in Web of Science</v>
      </c>
    </row>
    <row r="840" spans="1:72" x14ac:dyDescent="0.4">
      <c r="A840" t="s">
        <v>72</v>
      </c>
      <c r="B840" t="s">
        <v>1478</v>
      </c>
      <c r="C840" t="s">
        <v>74</v>
      </c>
      <c r="D840" t="s">
        <v>74</v>
      </c>
      <c r="E840" t="s">
        <v>74</v>
      </c>
      <c r="F840" t="s">
        <v>1478</v>
      </c>
      <c r="G840" t="s">
        <v>74</v>
      </c>
      <c r="H840" t="s">
        <v>74</v>
      </c>
      <c r="I840" t="s">
        <v>1479</v>
      </c>
      <c r="J840" t="s">
        <v>1480</v>
      </c>
      <c r="K840" t="s">
        <v>74</v>
      </c>
      <c r="L840" t="s">
        <v>74</v>
      </c>
      <c r="M840" t="s">
        <v>74</v>
      </c>
      <c r="N840" t="s">
        <v>74</v>
      </c>
      <c r="O840" t="s">
        <v>74</v>
      </c>
      <c r="P840" t="s">
        <v>74</v>
      </c>
      <c r="Q840" t="s">
        <v>74</v>
      </c>
      <c r="R840" t="s">
        <v>74</v>
      </c>
      <c r="S840" t="s">
        <v>74</v>
      </c>
      <c r="T840" t="s">
        <v>74</v>
      </c>
      <c r="U840" t="s">
        <v>74</v>
      </c>
      <c r="V840" s="3" t="s">
        <v>1481</v>
      </c>
      <c r="W840" t="s">
        <v>74</v>
      </c>
      <c r="X840" t="s">
        <v>74</v>
      </c>
      <c r="Y840" t="s">
        <v>74</v>
      </c>
      <c r="Z840" t="s">
        <v>74</v>
      </c>
      <c r="AA840" t="s">
        <v>74</v>
      </c>
      <c r="AB840" t="s">
        <v>74</v>
      </c>
      <c r="AC840" t="s">
        <v>74</v>
      </c>
      <c r="AD840" t="s">
        <v>74</v>
      </c>
      <c r="AE840" t="s">
        <v>74</v>
      </c>
      <c r="AF840" t="s">
        <v>74</v>
      </c>
      <c r="AG840" t="s">
        <v>74</v>
      </c>
      <c r="AH840" t="s">
        <v>74</v>
      </c>
      <c r="AI840" t="s">
        <v>74</v>
      </c>
      <c r="AJ840" t="s">
        <v>74</v>
      </c>
      <c r="AK840" t="s">
        <v>74</v>
      </c>
      <c r="AL840" t="s">
        <v>74</v>
      </c>
      <c r="AM840" t="s">
        <v>74</v>
      </c>
      <c r="AN840" t="s">
        <v>74</v>
      </c>
      <c r="AO840" t="s">
        <v>1482</v>
      </c>
      <c r="AP840" t="s">
        <v>74</v>
      </c>
      <c r="AQ840" t="s">
        <v>74</v>
      </c>
      <c r="AR840" t="s">
        <v>74</v>
      </c>
      <c r="AS840" t="s">
        <v>74</v>
      </c>
      <c r="AT840" t="s">
        <v>123</v>
      </c>
      <c r="AU840">
        <v>1997</v>
      </c>
      <c r="AV840">
        <v>76</v>
      </c>
      <c r="AW840">
        <v>3</v>
      </c>
      <c r="AX840" t="s">
        <v>74</v>
      </c>
      <c r="AY840" t="s">
        <v>74</v>
      </c>
      <c r="AZ840" t="s">
        <v>74</v>
      </c>
      <c r="BA840" t="s">
        <v>74</v>
      </c>
      <c r="BB840">
        <v>452</v>
      </c>
      <c r="BC840">
        <v>457</v>
      </c>
      <c r="BD840" t="s">
        <v>74</v>
      </c>
      <c r="BE840" t="s">
        <v>1483</v>
      </c>
      <c r="BF840" t="str">
        <f>HYPERLINK("http://dx.doi.org/10.1093/ps/76.3.452","http://dx.doi.org/10.1093/ps/76.3.452")</f>
        <v>http://dx.doi.org/10.1093/ps/76.3.452</v>
      </c>
      <c r="BG840" t="s">
        <v>74</v>
      </c>
      <c r="BH840" t="s">
        <v>74</v>
      </c>
      <c r="BI840" t="s">
        <v>74</v>
      </c>
      <c r="BJ840" t="s">
        <v>74</v>
      </c>
      <c r="BK840" t="s">
        <v>74</v>
      </c>
      <c r="BL840" t="s">
        <v>74</v>
      </c>
      <c r="BM840" t="s">
        <v>74</v>
      </c>
      <c r="BN840">
        <v>9068043</v>
      </c>
      <c r="BO840" t="s">
        <v>74</v>
      </c>
      <c r="BP840" t="s">
        <v>74</v>
      </c>
      <c r="BQ840" t="s">
        <v>74</v>
      </c>
      <c r="BR840" t="s">
        <v>74</v>
      </c>
      <c r="BS840" t="s">
        <v>1484</v>
      </c>
      <c r="BT840" t="str">
        <f>HYPERLINK("https%3A%2F%2Fwww.webofscience.com%2Fwos%2Fwoscc%2Ffull-record%2FWOS:A1997WM41000005","View Full Record in Web of Science")</f>
        <v>View Full Record in Web of Science</v>
      </c>
    </row>
    <row r="841" spans="1:72" x14ac:dyDescent="0.4">
      <c r="A841" t="s">
        <v>72</v>
      </c>
      <c r="B841" t="s">
        <v>4488</v>
      </c>
      <c r="C841" t="s">
        <v>74</v>
      </c>
      <c r="D841" t="s">
        <v>74</v>
      </c>
      <c r="E841" t="s">
        <v>74</v>
      </c>
      <c r="F841" t="s">
        <v>4488</v>
      </c>
      <c r="G841" t="s">
        <v>74</v>
      </c>
      <c r="H841" t="s">
        <v>74</v>
      </c>
      <c r="I841" t="s">
        <v>4489</v>
      </c>
      <c r="J841" t="s">
        <v>1480</v>
      </c>
      <c r="K841" t="s">
        <v>74</v>
      </c>
      <c r="L841" t="s">
        <v>74</v>
      </c>
      <c r="M841" t="s">
        <v>74</v>
      </c>
      <c r="N841" t="s">
        <v>74</v>
      </c>
      <c r="O841" t="s">
        <v>74</v>
      </c>
      <c r="P841" t="s">
        <v>74</v>
      </c>
      <c r="Q841" t="s">
        <v>74</v>
      </c>
      <c r="R841" t="s">
        <v>74</v>
      </c>
      <c r="S841" t="s">
        <v>74</v>
      </c>
      <c r="T841" t="s">
        <v>74</v>
      </c>
      <c r="U841" t="s">
        <v>74</v>
      </c>
      <c r="V841" s="3" t="s">
        <v>4490</v>
      </c>
      <c r="W841" t="s">
        <v>74</v>
      </c>
      <c r="X841" t="s">
        <v>74</v>
      </c>
      <c r="Y841" t="s">
        <v>74</v>
      </c>
      <c r="Z841" t="s">
        <v>74</v>
      </c>
      <c r="AA841" t="s">
        <v>74</v>
      </c>
      <c r="AB841" t="s">
        <v>74</v>
      </c>
      <c r="AC841" t="s">
        <v>74</v>
      </c>
      <c r="AD841" t="s">
        <v>74</v>
      </c>
      <c r="AE841" t="s">
        <v>74</v>
      </c>
      <c r="AF841" t="s">
        <v>74</v>
      </c>
      <c r="AG841" t="s">
        <v>74</v>
      </c>
      <c r="AH841" t="s">
        <v>74</v>
      </c>
      <c r="AI841" t="s">
        <v>74</v>
      </c>
      <c r="AJ841" t="s">
        <v>74</v>
      </c>
      <c r="AK841" t="s">
        <v>74</v>
      </c>
      <c r="AL841" t="s">
        <v>74</v>
      </c>
      <c r="AM841" t="s">
        <v>74</v>
      </c>
      <c r="AN841" t="s">
        <v>74</v>
      </c>
      <c r="AO841" t="s">
        <v>1482</v>
      </c>
      <c r="AP841" t="s">
        <v>74</v>
      </c>
      <c r="AQ841" t="s">
        <v>74</v>
      </c>
      <c r="AR841" t="s">
        <v>74</v>
      </c>
      <c r="AS841" t="s">
        <v>74</v>
      </c>
      <c r="AT841" t="s">
        <v>305</v>
      </c>
      <c r="AU841">
        <v>1997</v>
      </c>
      <c r="AV841">
        <v>76</v>
      </c>
      <c r="AW841">
        <v>12</v>
      </c>
      <c r="AX841" t="s">
        <v>74</v>
      </c>
      <c r="AY841" t="s">
        <v>74</v>
      </c>
      <c r="AZ841" t="s">
        <v>74</v>
      </c>
      <c r="BA841" t="s">
        <v>74</v>
      </c>
      <c r="BB841">
        <v>1674</v>
      </c>
      <c r="BC841">
        <v>1681</v>
      </c>
      <c r="BD841" t="s">
        <v>74</v>
      </c>
      <c r="BE841" t="s">
        <v>4491</v>
      </c>
      <c r="BF841" t="str">
        <f>HYPERLINK("http://dx.doi.org/10.1093/ps/76.12.1674","http://dx.doi.org/10.1093/ps/76.12.1674")</f>
        <v>http://dx.doi.org/10.1093/ps/76.12.1674</v>
      </c>
      <c r="BG841" t="s">
        <v>74</v>
      </c>
      <c r="BH841" t="s">
        <v>74</v>
      </c>
      <c r="BI841" t="s">
        <v>74</v>
      </c>
      <c r="BJ841" t="s">
        <v>74</v>
      </c>
      <c r="BK841" t="s">
        <v>74</v>
      </c>
      <c r="BL841" t="s">
        <v>74</v>
      </c>
      <c r="BM841" t="s">
        <v>74</v>
      </c>
      <c r="BN841">
        <v>9438281</v>
      </c>
      <c r="BO841" t="s">
        <v>74</v>
      </c>
      <c r="BP841" t="s">
        <v>74</v>
      </c>
      <c r="BQ841" t="s">
        <v>74</v>
      </c>
      <c r="BR841" t="s">
        <v>74</v>
      </c>
      <c r="BS841" t="s">
        <v>4492</v>
      </c>
      <c r="BT841" t="str">
        <f>HYPERLINK("https%3A%2F%2Fwww.webofscience.com%2Fwos%2Fwoscc%2Ffull-record%2FWOS:000071132300009","View Full Record in Web of Science")</f>
        <v>View Full Record in Web of Science</v>
      </c>
    </row>
    <row r="842" spans="1:72" x14ac:dyDescent="0.4">
      <c r="A842" t="s">
        <v>72</v>
      </c>
      <c r="B842" t="s">
        <v>8209</v>
      </c>
      <c r="C842" t="s">
        <v>74</v>
      </c>
      <c r="D842" t="s">
        <v>74</v>
      </c>
      <c r="E842" t="s">
        <v>74</v>
      </c>
      <c r="F842" t="s">
        <v>8209</v>
      </c>
      <c r="G842" t="s">
        <v>74</v>
      </c>
      <c r="H842" t="s">
        <v>74</v>
      </c>
      <c r="I842" t="s">
        <v>8210</v>
      </c>
      <c r="J842" t="s">
        <v>842</v>
      </c>
      <c r="K842" t="s">
        <v>74</v>
      </c>
      <c r="L842" t="s">
        <v>74</v>
      </c>
      <c r="M842" t="s">
        <v>74</v>
      </c>
      <c r="N842" t="s">
        <v>74</v>
      </c>
      <c r="O842" t="s">
        <v>74</v>
      </c>
      <c r="P842" t="s">
        <v>74</v>
      </c>
      <c r="Q842" t="s">
        <v>74</v>
      </c>
      <c r="R842" t="s">
        <v>74</v>
      </c>
      <c r="S842" t="s">
        <v>74</v>
      </c>
      <c r="T842" t="s">
        <v>74</v>
      </c>
      <c r="U842" t="s">
        <v>74</v>
      </c>
      <c r="V842" s="3" t="s">
        <v>8211</v>
      </c>
      <c r="W842" t="s">
        <v>74</v>
      </c>
      <c r="X842" t="s">
        <v>74</v>
      </c>
      <c r="Y842" t="s">
        <v>74</v>
      </c>
      <c r="Z842" t="s">
        <v>74</v>
      </c>
      <c r="AA842" t="s">
        <v>8212</v>
      </c>
      <c r="AB842" t="s">
        <v>8213</v>
      </c>
      <c r="AC842" t="s">
        <v>74</v>
      </c>
      <c r="AD842" t="s">
        <v>74</v>
      </c>
      <c r="AE842" t="s">
        <v>74</v>
      </c>
      <c r="AF842" t="s">
        <v>74</v>
      </c>
      <c r="AG842" t="s">
        <v>74</v>
      </c>
      <c r="AH842" t="s">
        <v>74</v>
      </c>
      <c r="AI842" t="s">
        <v>74</v>
      </c>
      <c r="AJ842" t="s">
        <v>74</v>
      </c>
      <c r="AK842" t="s">
        <v>74</v>
      </c>
      <c r="AL842" t="s">
        <v>74</v>
      </c>
      <c r="AM842" t="s">
        <v>74</v>
      </c>
      <c r="AN842" t="s">
        <v>74</v>
      </c>
      <c r="AO842" t="s">
        <v>846</v>
      </c>
      <c r="AP842" t="s">
        <v>74</v>
      </c>
      <c r="AQ842" t="s">
        <v>74</v>
      </c>
      <c r="AR842" t="s">
        <v>74</v>
      </c>
      <c r="AS842" t="s">
        <v>74</v>
      </c>
      <c r="AT842" t="s">
        <v>633</v>
      </c>
      <c r="AU842">
        <v>2005</v>
      </c>
      <c r="AV842">
        <v>65</v>
      </c>
      <c r="AW842">
        <v>4</v>
      </c>
      <c r="AX842" t="s">
        <v>74</v>
      </c>
      <c r="AY842" t="s">
        <v>74</v>
      </c>
      <c r="AZ842" t="s">
        <v>74</v>
      </c>
      <c r="BA842" t="s">
        <v>74</v>
      </c>
      <c r="BB842">
        <v>313</v>
      </c>
      <c r="BC842">
        <v>326</v>
      </c>
      <c r="BD842" t="s">
        <v>74</v>
      </c>
      <c r="BE842" t="s">
        <v>8214</v>
      </c>
      <c r="BF842" t="str">
        <f>HYPERLINK("http://dx.doi.org/10.1002/ajp.20118","http://dx.doi.org/10.1002/ajp.20118")</f>
        <v>http://dx.doi.org/10.1002/ajp.20118</v>
      </c>
      <c r="BG842" t="s">
        <v>74</v>
      </c>
      <c r="BH842" t="s">
        <v>74</v>
      </c>
      <c r="BI842" t="s">
        <v>74</v>
      </c>
      <c r="BJ842" t="s">
        <v>74</v>
      </c>
      <c r="BK842" t="s">
        <v>74</v>
      </c>
      <c r="BL842" t="s">
        <v>74</v>
      </c>
      <c r="BM842" t="s">
        <v>74</v>
      </c>
      <c r="BN842">
        <v>15834888</v>
      </c>
      <c r="BO842" t="s">
        <v>74</v>
      </c>
      <c r="BP842" t="s">
        <v>74</v>
      </c>
      <c r="BQ842" t="s">
        <v>74</v>
      </c>
      <c r="BR842" t="s">
        <v>74</v>
      </c>
      <c r="BS842" t="s">
        <v>8215</v>
      </c>
      <c r="BT842" t="str">
        <f>HYPERLINK("https%3A%2F%2Fwww.webofscience.com%2Fwos%2Fwoscc%2Ffull-record%2FWOS:000228842400002","View Full Record in Web of Science")</f>
        <v>View Full Record in Web of Science</v>
      </c>
    </row>
    <row r="843" spans="1:72" x14ac:dyDescent="0.4">
      <c r="A843" t="s">
        <v>72</v>
      </c>
      <c r="B843" t="s">
        <v>5567</v>
      </c>
      <c r="C843" t="s">
        <v>74</v>
      </c>
      <c r="D843" t="s">
        <v>74</v>
      </c>
      <c r="E843" t="s">
        <v>74</v>
      </c>
      <c r="F843" t="s">
        <v>5568</v>
      </c>
      <c r="G843" t="s">
        <v>74</v>
      </c>
      <c r="H843" t="s">
        <v>74</v>
      </c>
      <c r="I843" t="s">
        <v>5569</v>
      </c>
      <c r="J843" t="s">
        <v>201</v>
      </c>
      <c r="K843" t="s">
        <v>74</v>
      </c>
      <c r="L843" t="s">
        <v>74</v>
      </c>
      <c r="M843" t="s">
        <v>74</v>
      </c>
      <c r="N843" t="s">
        <v>74</v>
      </c>
      <c r="O843" t="s">
        <v>74</v>
      </c>
      <c r="P843" t="s">
        <v>74</v>
      </c>
      <c r="Q843" t="s">
        <v>74</v>
      </c>
      <c r="R843" t="s">
        <v>74</v>
      </c>
      <c r="S843" t="s">
        <v>74</v>
      </c>
      <c r="T843" t="s">
        <v>74</v>
      </c>
      <c r="U843" t="s">
        <v>74</v>
      </c>
      <c r="V843" s="3" t="s">
        <v>5570</v>
      </c>
      <c r="W843" t="s">
        <v>74</v>
      </c>
      <c r="X843" t="s">
        <v>74</v>
      </c>
      <c r="Y843" t="s">
        <v>74</v>
      </c>
      <c r="Z843" t="s">
        <v>74</v>
      </c>
      <c r="AA843" t="s">
        <v>5571</v>
      </c>
      <c r="AB843" t="s">
        <v>5572</v>
      </c>
      <c r="AC843" t="s">
        <v>74</v>
      </c>
      <c r="AD843" t="s">
        <v>74</v>
      </c>
      <c r="AE843" t="s">
        <v>74</v>
      </c>
      <c r="AF843" t="s">
        <v>74</v>
      </c>
      <c r="AG843" t="s">
        <v>74</v>
      </c>
      <c r="AH843" t="s">
        <v>74</v>
      </c>
      <c r="AI843" t="s">
        <v>74</v>
      </c>
      <c r="AJ843" t="s">
        <v>74</v>
      </c>
      <c r="AK843" t="s">
        <v>74</v>
      </c>
      <c r="AL843" t="s">
        <v>74</v>
      </c>
      <c r="AM843" t="s">
        <v>74</v>
      </c>
      <c r="AN843" t="s">
        <v>74</v>
      </c>
      <c r="AO843" t="s">
        <v>203</v>
      </c>
      <c r="AP843" t="s">
        <v>1192</v>
      </c>
      <c r="AQ843" t="s">
        <v>74</v>
      </c>
      <c r="AR843" t="s">
        <v>74</v>
      </c>
      <c r="AS843" t="s">
        <v>74</v>
      </c>
      <c r="AT843" t="s">
        <v>352</v>
      </c>
      <c r="AU843">
        <v>2014</v>
      </c>
      <c r="AV843">
        <v>85</v>
      </c>
      <c r="AW843">
        <v>3</v>
      </c>
      <c r="AX843" t="s">
        <v>74</v>
      </c>
      <c r="AY843" t="s">
        <v>74</v>
      </c>
      <c r="AZ843" t="s">
        <v>74</v>
      </c>
      <c r="BA843" t="s">
        <v>74</v>
      </c>
      <c r="BB843">
        <v>882</v>
      </c>
      <c r="BC843">
        <v>900</v>
      </c>
      <c r="BD843" t="s">
        <v>74</v>
      </c>
      <c r="BE843" t="s">
        <v>5573</v>
      </c>
      <c r="BF843" t="str">
        <f>HYPERLINK("http://dx.doi.org/10.1111/jfb.12478","http://dx.doi.org/10.1111/jfb.12478")</f>
        <v>http://dx.doi.org/10.1111/jfb.12478</v>
      </c>
      <c r="BG843" t="s">
        <v>74</v>
      </c>
      <c r="BH843" t="s">
        <v>74</v>
      </c>
      <c r="BI843" t="s">
        <v>74</v>
      </c>
      <c r="BJ843" t="s">
        <v>74</v>
      </c>
      <c r="BK843" t="s">
        <v>74</v>
      </c>
      <c r="BL843" t="s">
        <v>74</v>
      </c>
      <c r="BM843" t="s">
        <v>74</v>
      </c>
      <c r="BN843">
        <v>25082262</v>
      </c>
      <c r="BO843" t="s">
        <v>74</v>
      </c>
      <c r="BP843" t="s">
        <v>74</v>
      </c>
      <c r="BQ843" t="s">
        <v>74</v>
      </c>
      <c r="BR843" t="s">
        <v>74</v>
      </c>
      <c r="BS843" t="s">
        <v>5574</v>
      </c>
      <c r="BT843" t="str">
        <f>HYPERLINK("https%3A%2F%2Fwww.webofscience.com%2Fwos%2Fwoscc%2Ffull-record%2FWOS:000340845500018","View Full Record in Web of Science")</f>
        <v>View Full Record in Web of Science</v>
      </c>
    </row>
    <row r="844" spans="1:72" x14ac:dyDescent="0.4">
      <c r="A844" t="s">
        <v>72</v>
      </c>
      <c r="B844" t="s">
        <v>309</v>
      </c>
      <c r="C844" t="s">
        <v>74</v>
      </c>
      <c r="D844" t="s">
        <v>74</v>
      </c>
      <c r="E844" t="s">
        <v>74</v>
      </c>
      <c r="F844" t="s">
        <v>310</v>
      </c>
      <c r="G844" t="s">
        <v>74</v>
      </c>
      <c r="H844" t="s">
        <v>74</v>
      </c>
      <c r="I844" t="s">
        <v>311</v>
      </c>
      <c r="J844" t="s">
        <v>312</v>
      </c>
      <c r="K844" t="s">
        <v>74</v>
      </c>
      <c r="L844" t="s">
        <v>74</v>
      </c>
      <c r="M844" t="s">
        <v>74</v>
      </c>
      <c r="N844" t="s">
        <v>74</v>
      </c>
      <c r="O844" t="s">
        <v>74</v>
      </c>
      <c r="P844" t="s">
        <v>74</v>
      </c>
      <c r="Q844" t="s">
        <v>74</v>
      </c>
      <c r="R844" t="s">
        <v>74</v>
      </c>
      <c r="S844" t="s">
        <v>74</v>
      </c>
      <c r="T844" t="s">
        <v>74</v>
      </c>
      <c r="U844" t="s">
        <v>74</v>
      </c>
      <c r="V844" s="3" t="s">
        <v>313</v>
      </c>
      <c r="W844" t="s">
        <v>74</v>
      </c>
      <c r="X844" t="s">
        <v>74</v>
      </c>
      <c r="Y844" t="s">
        <v>74</v>
      </c>
      <c r="Z844" t="s">
        <v>74</v>
      </c>
      <c r="AA844" t="s">
        <v>74</v>
      </c>
      <c r="AB844" t="s">
        <v>74</v>
      </c>
      <c r="AC844" t="s">
        <v>74</v>
      </c>
      <c r="AD844" t="s">
        <v>74</v>
      </c>
      <c r="AE844" t="s">
        <v>74</v>
      </c>
      <c r="AF844" t="s">
        <v>74</v>
      </c>
      <c r="AG844" t="s">
        <v>74</v>
      </c>
      <c r="AH844" t="s">
        <v>74</v>
      </c>
      <c r="AI844" t="s">
        <v>74</v>
      </c>
      <c r="AJ844" t="s">
        <v>74</v>
      </c>
      <c r="AK844" t="s">
        <v>74</v>
      </c>
      <c r="AL844" t="s">
        <v>74</v>
      </c>
      <c r="AM844" t="s">
        <v>74</v>
      </c>
      <c r="AN844" t="s">
        <v>74</v>
      </c>
      <c r="AO844" t="s">
        <v>314</v>
      </c>
      <c r="AP844" t="s">
        <v>315</v>
      </c>
      <c r="AQ844" t="s">
        <v>74</v>
      </c>
      <c r="AR844" t="s">
        <v>74</v>
      </c>
      <c r="AS844" t="s">
        <v>74</v>
      </c>
      <c r="AT844" t="s">
        <v>145</v>
      </c>
      <c r="AU844">
        <v>2017</v>
      </c>
      <c r="AV844">
        <v>190</v>
      </c>
      <c r="AW844">
        <v>2</v>
      </c>
      <c r="AX844" t="s">
        <v>74</v>
      </c>
      <c r="AY844" t="s">
        <v>74</v>
      </c>
      <c r="AZ844" t="s">
        <v>74</v>
      </c>
      <c r="BA844" t="s">
        <v>74</v>
      </c>
      <c r="BB844">
        <v>157</v>
      </c>
      <c r="BC844">
        <v>170</v>
      </c>
      <c r="BD844" t="s">
        <v>74</v>
      </c>
      <c r="BE844" t="s">
        <v>316</v>
      </c>
      <c r="BF844" t="str">
        <f>HYPERLINK("http://dx.doi.org/10.1086/692535","http://dx.doi.org/10.1086/692535")</f>
        <v>http://dx.doi.org/10.1086/692535</v>
      </c>
      <c r="BG844" t="s">
        <v>74</v>
      </c>
      <c r="BH844" t="s">
        <v>74</v>
      </c>
      <c r="BI844" t="s">
        <v>74</v>
      </c>
      <c r="BJ844" t="s">
        <v>74</v>
      </c>
      <c r="BK844" t="s">
        <v>74</v>
      </c>
      <c r="BL844" t="s">
        <v>74</v>
      </c>
      <c r="BM844" t="s">
        <v>74</v>
      </c>
      <c r="BN844">
        <v>28731791</v>
      </c>
      <c r="BO844" t="s">
        <v>74</v>
      </c>
      <c r="BP844" t="s">
        <v>74</v>
      </c>
      <c r="BQ844" t="s">
        <v>74</v>
      </c>
      <c r="BR844" t="s">
        <v>74</v>
      </c>
      <c r="BS844" t="s">
        <v>317</v>
      </c>
      <c r="BT844" t="str">
        <f>HYPERLINK("https%3A%2F%2Fwww.webofscience.com%2Fwos%2Fwoscc%2Ffull-record%2FWOS:000406102400003","View Full Record in Web of Science")</f>
        <v>View Full Record in Web of Science</v>
      </c>
    </row>
    <row r="845" spans="1:72" x14ac:dyDescent="0.4">
      <c r="A845" t="s">
        <v>72</v>
      </c>
      <c r="B845" t="s">
        <v>5113</v>
      </c>
      <c r="C845" t="s">
        <v>74</v>
      </c>
      <c r="D845" t="s">
        <v>74</v>
      </c>
      <c r="E845" t="s">
        <v>74</v>
      </c>
      <c r="F845" t="s">
        <v>5114</v>
      </c>
      <c r="G845" t="s">
        <v>74</v>
      </c>
      <c r="H845" t="s">
        <v>74</v>
      </c>
      <c r="I845" t="s">
        <v>5115</v>
      </c>
      <c r="J845" t="s">
        <v>367</v>
      </c>
      <c r="K845" t="s">
        <v>74</v>
      </c>
      <c r="L845" t="s">
        <v>74</v>
      </c>
      <c r="M845" t="s">
        <v>74</v>
      </c>
      <c r="N845" t="s">
        <v>74</v>
      </c>
      <c r="O845" t="s">
        <v>74</v>
      </c>
      <c r="P845" t="s">
        <v>74</v>
      </c>
      <c r="Q845" t="s">
        <v>74</v>
      </c>
      <c r="R845" t="s">
        <v>74</v>
      </c>
      <c r="S845" t="s">
        <v>74</v>
      </c>
      <c r="T845" t="s">
        <v>74</v>
      </c>
      <c r="U845" t="s">
        <v>74</v>
      </c>
      <c r="V845" s="3" t="s">
        <v>5116</v>
      </c>
      <c r="W845" t="s">
        <v>74</v>
      </c>
      <c r="X845" t="s">
        <v>74</v>
      </c>
      <c r="Y845" t="s">
        <v>74</v>
      </c>
      <c r="Z845" t="s">
        <v>74</v>
      </c>
      <c r="AA845" t="s">
        <v>5117</v>
      </c>
      <c r="AB845" t="s">
        <v>5118</v>
      </c>
      <c r="AC845" t="s">
        <v>74</v>
      </c>
      <c r="AD845" t="s">
        <v>74</v>
      </c>
      <c r="AE845" t="s">
        <v>74</v>
      </c>
      <c r="AF845" t="s">
        <v>74</v>
      </c>
      <c r="AG845" t="s">
        <v>74</v>
      </c>
      <c r="AH845" t="s">
        <v>74</v>
      </c>
      <c r="AI845" t="s">
        <v>74</v>
      </c>
      <c r="AJ845" t="s">
        <v>74</v>
      </c>
      <c r="AK845" t="s">
        <v>74</v>
      </c>
      <c r="AL845" t="s">
        <v>74</v>
      </c>
      <c r="AM845" t="s">
        <v>74</v>
      </c>
      <c r="AN845" t="s">
        <v>74</v>
      </c>
      <c r="AO845" t="s">
        <v>371</v>
      </c>
      <c r="AP845" t="s">
        <v>372</v>
      </c>
      <c r="AQ845" t="s">
        <v>74</v>
      </c>
      <c r="AR845" t="s">
        <v>74</v>
      </c>
      <c r="AS845" t="s">
        <v>74</v>
      </c>
      <c r="AT845" t="s">
        <v>213</v>
      </c>
      <c r="AU845">
        <v>2023</v>
      </c>
      <c r="AV845">
        <v>137</v>
      </c>
      <c r="AW845">
        <v>4</v>
      </c>
      <c r="AX845" t="s">
        <v>74</v>
      </c>
      <c r="AY845" t="s">
        <v>74</v>
      </c>
      <c r="AZ845" t="s">
        <v>74</v>
      </c>
      <c r="BA845" t="s">
        <v>74</v>
      </c>
      <c r="BB845">
        <v>212</v>
      </c>
      <c r="BC845">
        <v>222</v>
      </c>
      <c r="BD845" t="s">
        <v>74</v>
      </c>
      <c r="BE845" t="s">
        <v>5119</v>
      </c>
      <c r="BF845" t="str">
        <f>HYPERLINK("http://dx.doi.org/10.1037/com0000347","http://dx.doi.org/10.1037/com0000347")</f>
        <v>http://dx.doi.org/10.1037/com0000347</v>
      </c>
      <c r="BG845" t="s">
        <v>74</v>
      </c>
      <c r="BH845" t="s">
        <v>5120</v>
      </c>
      <c r="BI845" t="s">
        <v>74</v>
      </c>
      <c r="BJ845" t="s">
        <v>74</v>
      </c>
      <c r="BK845" t="s">
        <v>74</v>
      </c>
      <c r="BL845" t="s">
        <v>74</v>
      </c>
      <c r="BM845" t="s">
        <v>74</v>
      </c>
      <c r="BN845">
        <v>37307354</v>
      </c>
      <c r="BO845" t="s">
        <v>74</v>
      </c>
      <c r="BP845" t="s">
        <v>74</v>
      </c>
      <c r="BQ845" t="s">
        <v>74</v>
      </c>
      <c r="BR845" t="s">
        <v>74</v>
      </c>
      <c r="BS845" t="s">
        <v>5121</v>
      </c>
      <c r="BT845" t="str">
        <f>HYPERLINK("https%3A%2F%2Fwww.webofscience.com%2Fwos%2Fwoscc%2Ffull-record%2FWOS:001005612800001","View Full Record in Web of Science")</f>
        <v>View Full Record in Web of Science</v>
      </c>
    </row>
    <row r="846" spans="1:72" x14ac:dyDescent="0.4">
      <c r="A846" t="s">
        <v>72</v>
      </c>
      <c r="B846" t="s">
        <v>6857</v>
      </c>
      <c r="C846" t="s">
        <v>74</v>
      </c>
      <c r="D846" t="s">
        <v>74</v>
      </c>
      <c r="E846" t="s">
        <v>74</v>
      </c>
      <c r="F846" t="s">
        <v>6857</v>
      </c>
      <c r="G846" t="s">
        <v>74</v>
      </c>
      <c r="H846" t="s">
        <v>74</v>
      </c>
      <c r="I846" t="s">
        <v>6858</v>
      </c>
      <c r="J846" t="s">
        <v>171</v>
      </c>
      <c r="K846" t="s">
        <v>74</v>
      </c>
      <c r="L846" t="s">
        <v>74</v>
      </c>
      <c r="M846" t="s">
        <v>74</v>
      </c>
      <c r="N846" t="s">
        <v>74</v>
      </c>
      <c r="O846" t="s">
        <v>74</v>
      </c>
      <c r="P846" t="s">
        <v>74</v>
      </c>
      <c r="Q846" t="s">
        <v>74</v>
      </c>
      <c r="R846" t="s">
        <v>74</v>
      </c>
      <c r="S846" t="s">
        <v>74</v>
      </c>
      <c r="T846" t="s">
        <v>74</v>
      </c>
      <c r="U846" t="s">
        <v>74</v>
      </c>
      <c r="V846" s="3" t="s">
        <v>6859</v>
      </c>
      <c r="W846" t="s">
        <v>74</v>
      </c>
      <c r="X846" t="s">
        <v>74</v>
      </c>
      <c r="Y846" t="s">
        <v>74</v>
      </c>
      <c r="Z846" t="s">
        <v>74</v>
      </c>
      <c r="AA846" t="s">
        <v>6860</v>
      </c>
      <c r="AB846" t="s">
        <v>6861</v>
      </c>
      <c r="AC846" t="s">
        <v>74</v>
      </c>
      <c r="AD846" t="s">
        <v>74</v>
      </c>
      <c r="AE846" t="s">
        <v>74</v>
      </c>
      <c r="AF846" t="s">
        <v>74</v>
      </c>
      <c r="AG846" t="s">
        <v>74</v>
      </c>
      <c r="AH846" t="s">
        <v>74</v>
      </c>
      <c r="AI846" t="s">
        <v>74</v>
      </c>
      <c r="AJ846" t="s">
        <v>74</v>
      </c>
      <c r="AK846" t="s">
        <v>74</v>
      </c>
      <c r="AL846" t="s">
        <v>74</v>
      </c>
      <c r="AM846" t="s">
        <v>74</v>
      </c>
      <c r="AN846" t="s">
        <v>74</v>
      </c>
      <c r="AO846" t="s">
        <v>173</v>
      </c>
      <c r="AP846" t="s">
        <v>174</v>
      </c>
      <c r="AQ846" t="s">
        <v>74</v>
      </c>
      <c r="AR846" t="s">
        <v>74</v>
      </c>
      <c r="AS846" t="s">
        <v>74</v>
      </c>
      <c r="AT846" t="s">
        <v>74</v>
      </c>
      <c r="AU846">
        <v>1981</v>
      </c>
      <c r="AV846">
        <v>35</v>
      </c>
      <c r="AW846">
        <v>4</v>
      </c>
      <c r="AX846" t="s">
        <v>74</v>
      </c>
      <c r="AY846" t="s">
        <v>74</v>
      </c>
      <c r="AZ846" t="s">
        <v>74</v>
      </c>
      <c r="BA846" t="s">
        <v>74</v>
      </c>
      <c r="BB846">
        <v>742</v>
      </c>
      <c r="BC846">
        <v>751</v>
      </c>
      <c r="BD846" t="s">
        <v>74</v>
      </c>
      <c r="BE846" t="s">
        <v>6862</v>
      </c>
      <c r="BF846" t="str">
        <f>HYPERLINK("http://dx.doi.org/10.2307/2408244","http://dx.doi.org/10.2307/2408244")</f>
        <v>http://dx.doi.org/10.2307/2408244</v>
      </c>
      <c r="BG846" t="s">
        <v>74</v>
      </c>
      <c r="BH846" t="s">
        <v>74</v>
      </c>
      <c r="BI846" t="s">
        <v>74</v>
      </c>
      <c r="BJ846" t="s">
        <v>74</v>
      </c>
      <c r="BK846" t="s">
        <v>74</v>
      </c>
      <c r="BL846" t="s">
        <v>74</v>
      </c>
      <c r="BM846" t="s">
        <v>74</v>
      </c>
      <c r="BN846">
        <v>28563145</v>
      </c>
      <c r="BO846" t="s">
        <v>74</v>
      </c>
      <c r="BP846" t="s">
        <v>74</v>
      </c>
      <c r="BQ846" t="s">
        <v>74</v>
      </c>
      <c r="BR846" t="s">
        <v>74</v>
      </c>
      <c r="BS846" t="s">
        <v>6863</v>
      </c>
      <c r="BT846" t="str">
        <f>HYPERLINK("https%3A%2F%2Fwww.webofscience.com%2Fwos%2Fwoscc%2Ffull-record%2FWOS:A1981LZ39300011","View Full Record in Web of Science")</f>
        <v>View Full Record in Web of Science</v>
      </c>
    </row>
    <row r="847" spans="1:72" x14ac:dyDescent="0.4">
      <c r="A847" t="s">
        <v>72</v>
      </c>
      <c r="B847" t="s">
        <v>1366</v>
      </c>
      <c r="C847" t="s">
        <v>74</v>
      </c>
      <c r="D847" t="s">
        <v>74</v>
      </c>
      <c r="E847" t="s">
        <v>74</v>
      </c>
      <c r="F847" t="s">
        <v>1367</v>
      </c>
      <c r="G847" t="s">
        <v>74</v>
      </c>
      <c r="H847" t="s">
        <v>74</v>
      </c>
      <c r="I847" t="s">
        <v>1368</v>
      </c>
      <c r="J847" t="s">
        <v>576</v>
      </c>
      <c r="K847" t="s">
        <v>74</v>
      </c>
      <c r="L847" t="s">
        <v>74</v>
      </c>
      <c r="M847" t="s">
        <v>74</v>
      </c>
      <c r="N847" t="s">
        <v>74</v>
      </c>
      <c r="O847" t="s">
        <v>74</v>
      </c>
      <c r="P847" t="s">
        <v>74</v>
      </c>
      <c r="Q847" t="s">
        <v>74</v>
      </c>
      <c r="R847" t="s">
        <v>74</v>
      </c>
      <c r="S847" t="s">
        <v>74</v>
      </c>
      <c r="T847" t="s">
        <v>74</v>
      </c>
      <c r="U847" t="s">
        <v>74</v>
      </c>
      <c r="V847" s="3" t="s">
        <v>1369</v>
      </c>
      <c r="W847" t="s">
        <v>74</v>
      </c>
      <c r="X847" t="s">
        <v>74</v>
      </c>
      <c r="Y847" t="s">
        <v>74</v>
      </c>
      <c r="Z847" t="s">
        <v>74</v>
      </c>
      <c r="AA847" t="s">
        <v>74</v>
      </c>
      <c r="AB847" t="s">
        <v>74</v>
      </c>
      <c r="AC847" t="s">
        <v>74</v>
      </c>
      <c r="AD847" t="s">
        <v>74</v>
      </c>
      <c r="AE847" t="s">
        <v>74</v>
      </c>
      <c r="AF847" t="s">
        <v>74</v>
      </c>
      <c r="AG847" t="s">
        <v>74</v>
      </c>
      <c r="AH847" t="s">
        <v>74</v>
      </c>
      <c r="AI847" t="s">
        <v>74</v>
      </c>
      <c r="AJ847" t="s">
        <v>74</v>
      </c>
      <c r="AK847" t="s">
        <v>74</v>
      </c>
      <c r="AL847" t="s">
        <v>74</v>
      </c>
      <c r="AM847" t="s">
        <v>74</v>
      </c>
      <c r="AN847" t="s">
        <v>74</v>
      </c>
      <c r="AO847" t="s">
        <v>579</v>
      </c>
      <c r="AP847" t="s">
        <v>580</v>
      </c>
      <c r="AQ847" t="s">
        <v>74</v>
      </c>
      <c r="AR847" t="s">
        <v>74</v>
      </c>
      <c r="AS847" t="s">
        <v>74</v>
      </c>
      <c r="AT847" t="s">
        <v>352</v>
      </c>
      <c r="AU847">
        <v>2011</v>
      </c>
      <c r="AV847">
        <v>25</v>
      </c>
      <c r="AW847">
        <v>5</v>
      </c>
      <c r="AX847" t="s">
        <v>74</v>
      </c>
      <c r="AY847" t="s">
        <v>74</v>
      </c>
      <c r="AZ847" t="s">
        <v>74</v>
      </c>
      <c r="BA847" t="s">
        <v>74</v>
      </c>
      <c r="BB847">
        <v>993</v>
      </c>
      <c r="BC847">
        <v>1015</v>
      </c>
      <c r="BD847" t="s">
        <v>74</v>
      </c>
      <c r="BE847" t="s">
        <v>1370</v>
      </c>
      <c r="BF847" t="str">
        <f>HYPERLINK("http://dx.doi.org/10.1007/s10682-010-9455-5","http://dx.doi.org/10.1007/s10682-010-9455-5")</f>
        <v>http://dx.doi.org/10.1007/s10682-010-9455-5</v>
      </c>
      <c r="BG847" t="s">
        <v>74</v>
      </c>
      <c r="BH847" t="s">
        <v>74</v>
      </c>
      <c r="BI847" t="s">
        <v>74</v>
      </c>
      <c r="BJ847" t="s">
        <v>74</v>
      </c>
      <c r="BK847" t="s">
        <v>74</v>
      </c>
      <c r="BL847" t="s">
        <v>74</v>
      </c>
      <c r="BM847" t="s">
        <v>74</v>
      </c>
      <c r="BN847" t="s">
        <v>74</v>
      </c>
      <c r="BO847" t="s">
        <v>74</v>
      </c>
      <c r="BP847" t="s">
        <v>74</v>
      </c>
      <c r="BQ847" t="s">
        <v>74</v>
      </c>
      <c r="BR847" t="s">
        <v>74</v>
      </c>
      <c r="BS847" t="s">
        <v>1371</v>
      </c>
      <c r="BT847" t="str">
        <f>HYPERLINK("https%3A%2F%2Fwww.webofscience.com%2Fwos%2Fwoscc%2Ffull-record%2FWOS:000294499800003","View Full Record in Web of Science")</f>
        <v>View Full Record in Web of Science</v>
      </c>
    </row>
    <row r="848" spans="1:72" x14ac:dyDescent="0.4">
      <c r="A848" t="s">
        <v>72</v>
      </c>
      <c r="B848" t="s">
        <v>4275</v>
      </c>
      <c r="C848" t="s">
        <v>74</v>
      </c>
      <c r="D848" t="s">
        <v>74</v>
      </c>
      <c r="E848" t="s">
        <v>74</v>
      </c>
      <c r="F848" t="s">
        <v>4276</v>
      </c>
      <c r="G848" t="s">
        <v>74</v>
      </c>
      <c r="H848" t="s">
        <v>74</v>
      </c>
      <c r="I848" t="s">
        <v>4277</v>
      </c>
      <c r="J848" t="s">
        <v>4278</v>
      </c>
      <c r="K848" t="s">
        <v>74</v>
      </c>
      <c r="L848" t="s">
        <v>74</v>
      </c>
      <c r="M848" t="s">
        <v>74</v>
      </c>
      <c r="N848" t="s">
        <v>74</v>
      </c>
      <c r="O848" t="s">
        <v>74</v>
      </c>
      <c r="P848" t="s">
        <v>74</v>
      </c>
      <c r="Q848" t="s">
        <v>74</v>
      </c>
      <c r="R848" t="s">
        <v>74</v>
      </c>
      <c r="S848" t="s">
        <v>74</v>
      </c>
      <c r="T848" t="s">
        <v>74</v>
      </c>
      <c r="U848" t="s">
        <v>74</v>
      </c>
      <c r="V848" s="3" t="s">
        <v>4279</v>
      </c>
      <c r="W848" t="s">
        <v>74</v>
      </c>
      <c r="X848" t="s">
        <v>74</v>
      </c>
      <c r="Y848" t="s">
        <v>74</v>
      </c>
      <c r="Z848" t="s">
        <v>74</v>
      </c>
      <c r="AA848" t="s">
        <v>4280</v>
      </c>
      <c r="AB848" t="s">
        <v>4281</v>
      </c>
      <c r="AC848" t="s">
        <v>74</v>
      </c>
      <c r="AD848" t="s">
        <v>74</v>
      </c>
      <c r="AE848" t="s">
        <v>74</v>
      </c>
      <c r="AF848" t="s">
        <v>74</v>
      </c>
      <c r="AG848" t="s">
        <v>74</v>
      </c>
      <c r="AH848" t="s">
        <v>74</v>
      </c>
      <c r="AI848" t="s">
        <v>74</v>
      </c>
      <c r="AJ848" t="s">
        <v>74</v>
      </c>
      <c r="AK848" t="s">
        <v>74</v>
      </c>
      <c r="AL848" t="s">
        <v>74</v>
      </c>
      <c r="AM848" t="s">
        <v>74</v>
      </c>
      <c r="AN848" t="s">
        <v>74</v>
      </c>
      <c r="AO848" t="s">
        <v>4282</v>
      </c>
      <c r="AP848" t="s">
        <v>4283</v>
      </c>
      <c r="AQ848" t="s">
        <v>74</v>
      </c>
      <c r="AR848" t="s">
        <v>74</v>
      </c>
      <c r="AS848" t="s">
        <v>74</v>
      </c>
      <c r="AT848" t="s">
        <v>213</v>
      </c>
      <c r="AU848">
        <v>2016</v>
      </c>
      <c r="AV848">
        <v>42</v>
      </c>
      <c r="AW848">
        <v>11</v>
      </c>
      <c r="AX848" t="s">
        <v>74</v>
      </c>
      <c r="AY848" t="s">
        <v>74</v>
      </c>
      <c r="AZ848" t="s">
        <v>74</v>
      </c>
      <c r="BA848" t="s">
        <v>74</v>
      </c>
      <c r="BB848">
        <v>1164</v>
      </c>
      <c r="BC848">
        <v>1174</v>
      </c>
      <c r="BD848" t="s">
        <v>74</v>
      </c>
      <c r="BE848" t="s">
        <v>4284</v>
      </c>
      <c r="BF848" t="str">
        <f>HYPERLINK("http://dx.doi.org/10.1007/s10886-016-0778-8","http://dx.doi.org/10.1007/s10886-016-0778-8")</f>
        <v>http://dx.doi.org/10.1007/s10886-016-0778-8</v>
      </c>
      <c r="BG848" t="s">
        <v>74</v>
      </c>
      <c r="BH848" t="s">
        <v>74</v>
      </c>
      <c r="BI848" t="s">
        <v>74</v>
      </c>
      <c r="BJ848" t="s">
        <v>74</v>
      </c>
      <c r="BK848" t="s">
        <v>74</v>
      </c>
      <c r="BL848" t="s">
        <v>74</v>
      </c>
      <c r="BM848" t="s">
        <v>74</v>
      </c>
      <c r="BN848">
        <v>27722876</v>
      </c>
      <c r="BO848" t="s">
        <v>74</v>
      </c>
      <c r="BP848" t="s">
        <v>74</v>
      </c>
      <c r="BQ848" t="s">
        <v>74</v>
      </c>
      <c r="BR848" t="s">
        <v>74</v>
      </c>
      <c r="BS848" t="s">
        <v>4285</v>
      </c>
      <c r="BT848" t="str">
        <f>HYPERLINK("https%3A%2F%2Fwww.webofscience.com%2Fwos%2Fwoscc%2Ffull-record%2FWOS:000388808300007","View Full Record in Web of Science")</f>
        <v>View Full Record in Web of Science</v>
      </c>
    </row>
    <row r="849" spans="1:72" x14ac:dyDescent="0.4">
      <c r="A849" t="s">
        <v>72</v>
      </c>
      <c r="B849" t="s">
        <v>382</v>
      </c>
      <c r="C849" t="s">
        <v>74</v>
      </c>
      <c r="D849" t="s">
        <v>74</v>
      </c>
      <c r="E849" t="s">
        <v>74</v>
      </c>
      <c r="F849" t="s">
        <v>383</v>
      </c>
      <c r="G849" t="s">
        <v>74</v>
      </c>
      <c r="H849" t="s">
        <v>74</v>
      </c>
      <c r="I849" t="s">
        <v>384</v>
      </c>
      <c r="J849" t="s">
        <v>140</v>
      </c>
      <c r="K849" t="s">
        <v>74</v>
      </c>
      <c r="L849" t="s">
        <v>74</v>
      </c>
      <c r="M849" t="s">
        <v>74</v>
      </c>
      <c r="N849" t="s">
        <v>74</v>
      </c>
      <c r="O849" t="s">
        <v>74</v>
      </c>
      <c r="P849" t="s">
        <v>74</v>
      </c>
      <c r="Q849" t="s">
        <v>74</v>
      </c>
      <c r="R849" t="s">
        <v>74</v>
      </c>
      <c r="S849" t="s">
        <v>74</v>
      </c>
      <c r="T849" t="s">
        <v>74</v>
      </c>
      <c r="U849" t="s">
        <v>74</v>
      </c>
      <c r="V849" s="3" t="s">
        <v>385</v>
      </c>
      <c r="W849" t="s">
        <v>74</v>
      </c>
      <c r="X849" t="s">
        <v>74</v>
      </c>
      <c r="Y849" t="s">
        <v>74</v>
      </c>
      <c r="Z849" t="s">
        <v>74</v>
      </c>
      <c r="AA849" t="s">
        <v>386</v>
      </c>
      <c r="AB849" t="s">
        <v>74</v>
      </c>
      <c r="AC849" t="s">
        <v>74</v>
      </c>
      <c r="AD849" t="s">
        <v>74</v>
      </c>
      <c r="AE849" t="s">
        <v>74</v>
      </c>
      <c r="AF849" t="s">
        <v>74</v>
      </c>
      <c r="AG849" t="s">
        <v>74</v>
      </c>
      <c r="AH849" t="s">
        <v>74</v>
      </c>
      <c r="AI849" t="s">
        <v>74</v>
      </c>
      <c r="AJ849" t="s">
        <v>74</v>
      </c>
      <c r="AK849" t="s">
        <v>74</v>
      </c>
      <c r="AL849" t="s">
        <v>74</v>
      </c>
      <c r="AM849" t="s">
        <v>74</v>
      </c>
      <c r="AN849" t="s">
        <v>74</v>
      </c>
      <c r="AO849" t="s">
        <v>143</v>
      </c>
      <c r="AP849" t="s">
        <v>74</v>
      </c>
      <c r="AQ849" t="s">
        <v>74</v>
      </c>
      <c r="AR849" t="s">
        <v>74</v>
      </c>
      <c r="AS849" t="s">
        <v>74</v>
      </c>
      <c r="AT849" t="s">
        <v>145</v>
      </c>
      <c r="AU849">
        <v>2009</v>
      </c>
      <c r="AV849">
        <v>78</v>
      </c>
      <c r="AW849">
        <v>2</v>
      </c>
      <c r="AX849" t="s">
        <v>74</v>
      </c>
      <c r="AY849" t="s">
        <v>74</v>
      </c>
      <c r="AZ849" t="s">
        <v>74</v>
      </c>
      <c r="BA849" t="s">
        <v>74</v>
      </c>
      <c r="BB849">
        <v>393</v>
      </c>
      <c r="BC849">
        <v>398</v>
      </c>
      <c r="BD849" t="s">
        <v>74</v>
      </c>
      <c r="BE849" t="s">
        <v>387</v>
      </c>
      <c r="BF849" t="str">
        <f>HYPERLINK("http://dx.doi.org/10.1016/j.anbehav.2009.05.013","http://dx.doi.org/10.1016/j.anbehav.2009.05.013")</f>
        <v>http://dx.doi.org/10.1016/j.anbehav.2009.05.013</v>
      </c>
      <c r="BG849" t="s">
        <v>74</v>
      </c>
      <c r="BH849" t="s">
        <v>74</v>
      </c>
      <c r="BI849" t="s">
        <v>74</v>
      </c>
      <c r="BJ849" t="s">
        <v>74</v>
      </c>
      <c r="BK849" t="s">
        <v>74</v>
      </c>
      <c r="BL849" t="s">
        <v>74</v>
      </c>
      <c r="BM849" t="s">
        <v>74</v>
      </c>
      <c r="BN849" t="s">
        <v>74</v>
      </c>
      <c r="BO849" t="s">
        <v>74</v>
      </c>
      <c r="BP849" t="s">
        <v>74</v>
      </c>
      <c r="BQ849" t="s">
        <v>74</v>
      </c>
      <c r="BR849" t="s">
        <v>74</v>
      </c>
      <c r="BS849" t="s">
        <v>388</v>
      </c>
      <c r="BT849" t="str">
        <f>HYPERLINK("https%3A%2F%2Fwww.webofscience.com%2Fwos%2Fwoscc%2Ffull-record%2FWOS:000268902900021","View Full Record in Web of Science")</f>
        <v>View Full Record in Web of Science</v>
      </c>
    </row>
    <row r="850" spans="1:72" x14ac:dyDescent="0.4">
      <c r="A850" t="s">
        <v>72</v>
      </c>
      <c r="B850" t="s">
        <v>382</v>
      </c>
      <c r="C850" t="s">
        <v>74</v>
      </c>
      <c r="D850" t="s">
        <v>74</v>
      </c>
      <c r="E850" t="s">
        <v>74</v>
      </c>
      <c r="F850" t="s">
        <v>383</v>
      </c>
      <c r="G850" t="s">
        <v>74</v>
      </c>
      <c r="H850" t="s">
        <v>74</v>
      </c>
      <c r="I850" t="s">
        <v>2748</v>
      </c>
      <c r="J850" t="s">
        <v>171</v>
      </c>
      <c r="K850" t="s">
        <v>74</v>
      </c>
      <c r="L850" t="s">
        <v>74</v>
      </c>
      <c r="M850" t="s">
        <v>74</v>
      </c>
      <c r="N850" t="s">
        <v>74</v>
      </c>
      <c r="O850" t="s">
        <v>74</v>
      </c>
      <c r="P850" t="s">
        <v>74</v>
      </c>
      <c r="Q850" t="s">
        <v>74</v>
      </c>
      <c r="R850" t="s">
        <v>74</v>
      </c>
      <c r="S850" t="s">
        <v>74</v>
      </c>
      <c r="T850" t="s">
        <v>74</v>
      </c>
      <c r="U850" t="s">
        <v>74</v>
      </c>
      <c r="V850" s="3" t="s">
        <v>2749</v>
      </c>
      <c r="W850" t="s">
        <v>74</v>
      </c>
      <c r="X850" t="s">
        <v>74</v>
      </c>
      <c r="Y850" t="s">
        <v>74</v>
      </c>
      <c r="Z850" t="s">
        <v>74</v>
      </c>
      <c r="AA850" t="s">
        <v>386</v>
      </c>
      <c r="AB850" t="s">
        <v>74</v>
      </c>
      <c r="AC850" t="s">
        <v>74</v>
      </c>
      <c r="AD850" t="s">
        <v>74</v>
      </c>
      <c r="AE850" t="s">
        <v>74</v>
      </c>
      <c r="AF850" t="s">
        <v>74</v>
      </c>
      <c r="AG850" t="s">
        <v>74</v>
      </c>
      <c r="AH850" t="s">
        <v>74</v>
      </c>
      <c r="AI850" t="s">
        <v>74</v>
      </c>
      <c r="AJ850" t="s">
        <v>74</v>
      </c>
      <c r="AK850" t="s">
        <v>74</v>
      </c>
      <c r="AL850" t="s">
        <v>74</v>
      </c>
      <c r="AM850" t="s">
        <v>74</v>
      </c>
      <c r="AN850" t="s">
        <v>74</v>
      </c>
      <c r="AO850" t="s">
        <v>173</v>
      </c>
      <c r="AP850" t="s">
        <v>174</v>
      </c>
      <c r="AQ850" t="s">
        <v>74</v>
      </c>
      <c r="AR850" t="s">
        <v>74</v>
      </c>
      <c r="AS850" t="s">
        <v>74</v>
      </c>
      <c r="AT850" t="s">
        <v>134</v>
      </c>
      <c r="AU850">
        <v>2010</v>
      </c>
      <c r="AV850">
        <v>64</v>
      </c>
      <c r="AW850">
        <v>5</v>
      </c>
      <c r="AX850" t="s">
        <v>74</v>
      </c>
      <c r="AY850" t="s">
        <v>74</v>
      </c>
      <c r="AZ850" t="s">
        <v>74</v>
      </c>
      <c r="BA850" t="s">
        <v>74</v>
      </c>
      <c r="BB850">
        <v>1301</v>
      </c>
      <c r="BC850">
        <v>1310</v>
      </c>
      <c r="BD850" t="s">
        <v>74</v>
      </c>
      <c r="BE850" t="s">
        <v>2750</v>
      </c>
      <c r="BF850" t="str">
        <f>HYPERLINK("http://dx.doi.org/10.1111/j.1558-5646.2009.00897.x","http://dx.doi.org/10.1111/j.1558-5646.2009.00897.x")</f>
        <v>http://dx.doi.org/10.1111/j.1558-5646.2009.00897.x</v>
      </c>
      <c r="BG850" t="s">
        <v>74</v>
      </c>
      <c r="BH850" t="s">
        <v>74</v>
      </c>
      <c r="BI850" t="s">
        <v>74</v>
      </c>
      <c r="BJ850" t="s">
        <v>74</v>
      </c>
      <c r="BK850" t="s">
        <v>74</v>
      </c>
      <c r="BL850" t="s">
        <v>74</v>
      </c>
      <c r="BM850" t="s">
        <v>74</v>
      </c>
      <c r="BN850">
        <v>19922444</v>
      </c>
      <c r="BO850" t="s">
        <v>74</v>
      </c>
      <c r="BP850" t="s">
        <v>74</v>
      </c>
      <c r="BQ850" t="s">
        <v>74</v>
      </c>
      <c r="BR850" t="s">
        <v>74</v>
      </c>
      <c r="BS850" t="s">
        <v>2751</v>
      </c>
      <c r="BT850" t="str">
        <f>HYPERLINK("https%3A%2F%2Fwww.webofscience.com%2Fwos%2Fwoscc%2Ffull-record%2FWOS:000277096400011","View Full Record in Web of Science")</f>
        <v>View Full Record in Web of Science</v>
      </c>
    </row>
    <row r="851" spans="1:72" x14ac:dyDescent="0.4">
      <c r="A851" t="s">
        <v>72</v>
      </c>
      <c r="B851" t="s">
        <v>1153</v>
      </c>
      <c r="C851" t="s">
        <v>74</v>
      </c>
      <c r="D851" t="s">
        <v>74</v>
      </c>
      <c r="E851" t="s">
        <v>74</v>
      </c>
      <c r="F851" t="s">
        <v>1154</v>
      </c>
      <c r="G851" t="s">
        <v>74</v>
      </c>
      <c r="H851" t="s">
        <v>74</v>
      </c>
      <c r="I851" t="s">
        <v>1155</v>
      </c>
      <c r="J851" t="s">
        <v>312</v>
      </c>
      <c r="K851" t="s">
        <v>74</v>
      </c>
      <c r="L851" t="s">
        <v>74</v>
      </c>
      <c r="M851" t="s">
        <v>74</v>
      </c>
      <c r="N851" t="s">
        <v>74</v>
      </c>
      <c r="O851" t="s">
        <v>74</v>
      </c>
      <c r="P851" t="s">
        <v>74</v>
      </c>
      <c r="Q851" t="s">
        <v>74</v>
      </c>
      <c r="R851" t="s">
        <v>74</v>
      </c>
      <c r="S851" t="s">
        <v>74</v>
      </c>
      <c r="T851" t="s">
        <v>74</v>
      </c>
      <c r="U851" t="s">
        <v>74</v>
      </c>
      <c r="V851" s="3" t="s">
        <v>1156</v>
      </c>
      <c r="W851" t="s">
        <v>74</v>
      </c>
      <c r="X851" t="s">
        <v>74</v>
      </c>
      <c r="Y851" t="s">
        <v>74</v>
      </c>
      <c r="Z851" t="s">
        <v>74</v>
      </c>
      <c r="AA851" t="s">
        <v>433</v>
      </c>
      <c r="AB851" t="s">
        <v>434</v>
      </c>
      <c r="AC851" t="s">
        <v>74</v>
      </c>
      <c r="AD851" t="s">
        <v>74</v>
      </c>
      <c r="AE851" t="s">
        <v>74</v>
      </c>
      <c r="AF851" t="s">
        <v>74</v>
      </c>
      <c r="AG851" t="s">
        <v>74</v>
      </c>
      <c r="AH851" t="s">
        <v>74</v>
      </c>
      <c r="AI851" t="s">
        <v>74</v>
      </c>
      <c r="AJ851" t="s">
        <v>74</v>
      </c>
      <c r="AK851" t="s">
        <v>74</v>
      </c>
      <c r="AL851" t="s">
        <v>74</v>
      </c>
      <c r="AM851" t="s">
        <v>74</v>
      </c>
      <c r="AN851" t="s">
        <v>74</v>
      </c>
      <c r="AO851" t="s">
        <v>314</v>
      </c>
      <c r="AP851" t="s">
        <v>315</v>
      </c>
      <c r="AQ851" t="s">
        <v>74</v>
      </c>
      <c r="AR851" t="s">
        <v>74</v>
      </c>
      <c r="AS851" t="s">
        <v>74</v>
      </c>
      <c r="AT851" t="s">
        <v>175</v>
      </c>
      <c r="AU851">
        <v>2009</v>
      </c>
      <c r="AV851">
        <v>174</v>
      </c>
      <c r="AW851">
        <v>4</v>
      </c>
      <c r="AX851" t="s">
        <v>74</v>
      </c>
      <c r="AY851" t="s">
        <v>74</v>
      </c>
      <c r="AZ851" t="s">
        <v>74</v>
      </c>
      <c r="BA851" t="s">
        <v>74</v>
      </c>
      <c r="BB851">
        <v>455</v>
      </c>
      <c r="BC851">
        <v>464</v>
      </c>
      <c r="BD851" t="s">
        <v>74</v>
      </c>
      <c r="BE851" t="s">
        <v>1157</v>
      </c>
      <c r="BF851" t="str">
        <f>HYPERLINK("http://dx.doi.org/10.1086/605376","http://dx.doi.org/10.1086/605376")</f>
        <v>http://dx.doi.org/10.1086/605376</v>
      </c>
      <c r="BG851" t="s">
        <v>74</v>
      </c>
      <c r="BH851" t="s">
        <v>74</v>
      </c>
      <c r="BI851" t="s">
        <v>74</v>
      </c>
      <c r="BJ851" t="s">
        <v>74</v>
      </c>
      <c r="BK851" t="s">
        <v>74</v>
      </c>
      <c r="BL851" t="s">
        <v>74</v>
      </c>
      <c r="BM851" t="s">
        <v>74</v>
      </c>
      <c r="BN851">
        <v>19689213</v>
      </c>
      <c r="BO851" t="s">
        <v>74</v>
      </c>
      <c r="BP851" t="s">
        <v>74</v>
      </c>
      <c r="BQ851" t="s">
        <v>74</v>
      </c>
      <c r="BR851" t="s">
        <v>74</v>
      </c>
      <c r="BS851" t="s">
        <v>1158</v>
      </c>
      <c r="BT851" t="str">
        <f>HYPERLINK("https%3A%2F%2Fwww.webofscience.com%2Fwos%2Fwoscc%2Ffull-record%2FWOS:000269824800004","View Full Record in Web of Science")</f>
        <v>View Full Record in Web of Science</v>
      </c>
    </row>
    <row r="852" spans="1:72" x14ac:dyDescent="0.4">
      <c r="A852" t="s">
        <v>72</v>
      </c>
      <c r="B852" t="s">
        <v>1836</v>
      </c>
      <c r="C852" t="s">
        <v>74</v>
      </c>
      <c r="D852" t="s">
        <v>74</v>
      </c>
      <c r="E852" t="s">
        <v>74</v>
      </c>
      <c r="F852" t="s">
        <v>1836</v>
      </c>
      <c r="G852" t="s">
        <v>74</v>
      </c>
      <c r="H852" t="s">
        <v>74</v>
      </c>
      <c r="I852" t="s">
        <v>1837</v>
      </c>
      <c r="J852" t="s">
        <v>140</v>
      </c>
      <c r="K852" t="s">
        <v>74</v>
      </c>
      <c r="L852" t="s">
        <v>74</v>
      </c>
      <c r="M852" t="s">
        <v>74</v>
      </c>
      <c r="N852" t="s">
        <v>74</v>
      </c>
      <c r="O852" t="s">
        <v>74</v>
      </c>
      <c r="P852" t="s">
        <v>74</v>
      </c>
      <c r="Q852" t="s">
        <v>74</v>
      </c>
      <c r="R852" t="s">
        <v>74</v>
      </c>
      <c r="S852" t="s">
        <v>74</v>
      </c>
      <c r="T852" t="s">
        <v>74</v>
      </c>
      <c r="U852" t="s">
        <v>74</v>
      </c>
      <c r="V852" s="3" t="s">
        <v>1838</v>
      </c>
      <c r="W852" t="s">
        <v>74</v>
      </c>
      <c r="X852" t="s">
        <v>74</v>
      </c>
      <c r="Y852" t="s">
        <v>74</v>
      </c>
      <c r="Z852" t="s">
        <v>74</v>
      </c>
      <c r="AA852" t="s">
        <v>1839</v>
      </c>
      <c r="AB852" t="s">
        <v>1840</v>
      </c>
      <c r="AC852" t="s">
        <v>74</v>
      </c>
      <c r="AD852" t="s">
        <v>74</v>
      </c>
      <c r="AE852" t="s">
        <v>74</v>
      </c>
      <c r="AF852" t="s">
        <v>74</v>
      </c>
      <c r="AG852" t="s">
        <v>74</v>
      </c>
      <c r="AH852" t="s">
        <v>74</v>
      </c>
      <c r="AI852" t="s">
        <v>74</v>
      </c>
      <c r="AJ852" t="s">
        <v>74</v>
      </c>
      <c r="AK852" t="s">
        <v>74</v>
      </c>
      <c r="AL852" t="s">
        <v>74</v>
      </c>
      <c r="AM852" t="s">
        <v>74</v>
      </c>
      <c r="AN852" t="s">
        <v>74</v>
      </c>
      <c r="AO852" t="s">
        <v>143</v>
      </c>
      <c r="AP852" t="s">
        <v>144</v>
      </c>
      <c r="AQ852" t="s">
        <v>74</v>
      </c>
      <c r="AR852" t="s">
        <v>74</v>
      </c>
      <c r="AS852" t="s">
        <v>74</v>
      </c>
      <c r="AT852" t="s">
        <v>175</v>
      </c>
      <c r="AU852">
        <v>2001</v>
      </c>
      <c r="AV852">
        <v>62</v>
      </c>
      <c r="AW852" t="s">
        <v>74</v>
      </c>
      <c r="AX852">
        <v>4</v>
      </c>
      <c r="AY852" t="s">
        <v>74</v>
      </c>
      <c r="AZ852" t="s">
        <v>74</v>
      </c>
      <c r="BA852" t="s">
        <v>74</v>
      </c>
      <c r="BB852">
        <v>695</v>
      </c>
      <c r="BC852">
        <v>704</v>
      </c>
      <c r="BD852" t="s">
        <v>74</v>
      </c>
      <c r="BE852" t="s">
        <v>1841</v>
      </c>
      <c r="BF852" t="str">
        <f>HYPERLINK("http://dx.doi.org/10.1006/anbe.2001.1804","http://dx.doi.org/10.1006/anbe.2001.1804")</f>
        <v>http://dx.doi.org/10.1006/anbe.2001.1804</v>
      </c>
      <c r="BG852" t="s">
        <v>74</v>
      </c>
      <c r="BH852" t="s">
        <v>74</v>
      </c>
      <c r="BI852" t="s">
        <v>74</v>
      </c>
      <c r="BJ852" t="s">
        <v>74</v>
      </c>
      <c r="BK852" t="s">
        <v>74</v>
      </c>
      <c r="BL852" t="s">
        <v>74</v>
      </c>
      <c r="BM852" t="s">
        <v>74</v>
      </c>
      <c r="BN852" t="s">
        <v>74</v>
      </c>
      <c r="BO852" t="s">
        <v>74</v>
      </c>
      <c r="BP852" t="s">
        <v>74</v>
      </c>
      <c r="BQ852" t="s">
        <v>74</v>
      </c>
      <c r="BR852" t="s">
        <v>74</v>
      </c>
      <c r="BS852" t="s">
        <v>1842</v>
      </c>
      <c r="BT852" t="str">
        <f>HYPERLINK("https%3A%2F%2Fwww.webofscience.com%2Fwos%2Fwoscc%2Ffull-record%2FWOS:000172189400010","View Full Record in Web of Science")</f>
        <v>View Full Record in Web of Science</v>
      </c>
    </row>
    <row r="853" spans="1:72" x14ac:dyDescent="0.4">
      <c r="A853" t="s">
        <v>72</v>
      </c>
      <c r="B853" t="s">
        <v>6925</v>
      </c>
      <c r="C853" t="s">
        <v>74</v>
      </c>
      <c r="D853" t="s">
        <v>74</v>
      </c>
      <c r="E853" t="s">
        <v>74</v>
      </c>
      <c r="F853" t="s">
        <v>6926</v>
      </c>
      <c r="G853" t="s">
        <v>74</v>
      </c>
      <c r="H853" t="s">
        <v>74</v>
      </c>
      <c r="I853" t="s">
        <v>6927</v>
      </c>
      <c r="J853" t="s">
        <v>140</v>
      </c>
      <c r="K853" t="s">
        <v>74</v>
      </c>
      <c r="L853" t="s">
        <v>74</v>
      </c>
      <c r="M853" t="s">
        <v>74</v>
      </c>
      <c r="N853" t="s">
        <v>74</v>
      </c>
      <c r="O853" t="s">
        <v>74</v>
      </c>
      <c r="P853" t="s">
        <v>74</v>
      </c>
      <c r="Q853" t="s">
        <v>74</v>
      </c>
      <c r="R853" t="s">
        <v>74</v>
      </c>
      <c r="S853" t="s">
        <v>74</v>
      </c>
      <c r="T853" t="s">
        <v>74</v>
      </c>
      <c r="U853" t="s">
        <v>74</v>
      </c>
      <c r="V853" s="3" t="s">
        <v>6928</v>
      </c>
      <c r="W853" t="s">
        <v>74</v>
      </c>
      <c r="X853" t="s">
        <v>74</v>
      </c>
      <c r="Y853" t="s">
        <v>74</v>
      </c>
      <c r="Z853" t="s">
        <v>74</v>
      </c>
      <c r="AA853" t="s">
        <v>74</v>
      </c>
      <c r="AB853" t="s">
        <v>6929</v>
      </c>
      <c r="AC853" t="s">
        <v>74</v>
      </c>
      <c r="AD853" t="s">
        <v>74</v>
      </c>
      <c r="AE853" t="s">
        <v>74</v>
      </c>
      <c r="AF853" t="s">
        <v>74</v>
      </c>
      <c r="AG853" t="s">
        <v>74</v>
      </c>
      <c r="AH853" t="s">
        <v>74</v>
      </c>
      <c r="AI853" t="s">
        <v>74</v>
      </c>
      <c r="AJ853" t="s">
        <v>74</v>
      </c>
      <c r="AK853" t="s">
        <v>74</v>
      </c>
      <c r="AL853" t="s">
        <v>74</v>
      </c>
      <c r="AM853" t="s">
        <v>74</v>
      </c>
      <c r="AN853" t="s">
        <v>74</v>
      </c>
      <c r="AO853" t="s">
        <v>143</v>
      </c>
      <c r="AP853" t="s">
        <v>144</v>
      </c>
      <c r="AQ853" t="s">
        <v>74</v>
      </c>
      <c r="AR853" t="s">
        <v>74</v>
      </c>
      <c r="AS853" t="s">
        <v>74</v>
      </c>
      <c r="AT853" t="s">
        <v>633</v>
      </c>
      <c r="AU853">
        <v>2020</v>
      </c>
      <c r="AV853">
        <v>162</v>
      </c>
      <c r="AW853" t="s">
        <v>74</v>
      </c>
      <c r="AX853" t="s">
        <v>74</v>
      </c>
      <c r="AY853" t="s">
        <v>74</v>
      </c>
      <c r="AZ853" t="s">
        <v>74</v>
      </c>
      <c r="BA853" t="s">
        <v>74</v>
      </c>
      <c r="BB853">
        <v>123</v>
      </c>
      <c r="BC853">
        <v>133</v>
      </c>
      <c r="BD853" t="s">
        <v>74</v>
      </c>
      <c r="BE853" t="s">
        <v>6930</v>
      </c>
      <c r="BF853" t="str">
        <f>HYPERLINK("http://dx.doi.org/10.1016/j.anbehav.2020.02.008","http://dx.doi.org/10.1016/j.anbehav.2020.02.008")</f>
        <v>http://dx.doi.org/10.1016/j.anbehav.2020.02.008</v>
      </c>
      <c r="BG853" t="s">
        <v>74</v>
      </c>
      <c r="BH853" t="s">
        <v>74</v>
      </c>
      <c r="BI853" t="s">
        <v>74</v>
      </c>
      <c r="BJ853" t="s">
        <v>74</v>
      </c>
      <c r="BK853" t="s">
        <v>74</v>
      </c>
      <c r="BL853" t="s">
        <v>74</v>
      </c>
      <c r="BM853" t="s">
        <v>74</v>
      </c>
      <c r="BN853" t="s">
        <v>74</v>
      </c>
      <c r="BO853" t="s">
        <v>74</v>
      </c>
      <c r="BP853" t="s">
        <v>74</v>
      </c>
      <c r="BQ853" t="s">
        <v>74</v>
      </c>
      <c r="BR853" t="s">
        <v>74</v>
      </c>
      <c r="BS853" t="s">
        <v>6931</v>
      </c>
      <c r="BT853" t="str">
        <f>HYPERLINK("https%3A%2F%2Fwww.webofscience.com%2Fwos%2Fwoscc%2Ffull-record%2FWOS:000522974300013","View Full Record in Web of Science")</f>
        <v>View Full Record in Web of Science</v>
      </c>
    </row>
    <row r="854" spans="1:72" x14ac:dyDescent="0.4">
      <c r="A854" t="s">
        <v>72</v>
      </c>
      <c r="B854" t="s">
        <v>3938</v>
      </c>
      <c r="C854" t="s">
        <v>74</v>
      </c>
      <c r="D854" t="s">
        <v>74</v>
      </c>
      <c r="E854" t="s">
        <v>74</v>
      </c>
      <c r="F854" t="s">
        <v>3939</v>
      </c>
      <c r="G854" t="s">
        <v>74</v>
      </c>
      <c r="H854" t="s">
        <v>74</v>
      </c>
      <c r="I854" t="s">
        <v>3940</v>
      </c>
      <c r="J854" t="s">
        <v>1526</v>
      </c>
      <c r="K854" t="s">
        <v>74</v>
      </c>
      <c r="L854" t="s">
        <v>74</v>
      </c>
      <c r="M854" t="s">
        <v>74</v>
      </c>
      <c r="N854" t="s">
        <v>74</v>
      </c>
      <c r="O854" t="s">
        <v>74</v>
      </c>
      <c r="P854" t="s">
        <v>74</v>
      </c>
      <c r="Q854" t="s">
        <v>74</v>
      </c>
      <c r="R854" t="s">
        <v>74</v>
      </c>
      <c r="S854" t="s">
        <v>74</v>
      </c>
      <c r="T854" t="s">
        <v>74</v>
      </c>
      <c r="U854" t="s">
        <v>74</v>
      </c>
      <c r="V854" s="3" t="s">
        <v>3941</v>
      </c>
      <c r="W854" t="s">
        <v>74</v>
      </c>
      <c r="X854" t="s">
        <v>74</v>
      </c>
      <c r="Y854" t="s">
        <v>74</v>
      </c>
      <c r="Z854" t="s">
        <v>74</v>
      </c>
      <c r="AA854" t="s">
        <v>3942</v>
      </c>
      <c r="AB854" t="s">
        <v>3943</v>
      </c>
      <c r="AC854" t="s">
        <v>74</v>
      </c>
      <c r="AD854" t="s">
        <v>74</v>
      </c>
      <c r="AE854" t="s">
        <v>74</v>
      </c>
      <c r="AF854" t="s">
        <v>74</v>
      </c>
      <c r="AG854" t="s">
        <v>74</v>
      </c>
      <c r="AH854" t="s">
        <v>74</v>
      </c>
      <c r="AI854" t="s">
        <v>74</v>
      </c>
      <c r="AJ854" t="s">
        <v>74</v>
      </c>
      <c r="AK854" t="s">
        <v>74</v>
      </c>
      <c r="AL854" t="s">
        <v>74</v>
      </c>
      <c r="AM854" t="s">
        <v>74</v>
      </c>
      <c r="AN854" t="s">
        <v>74</v>
      </c>
      <c r="AO854" t="s">
        <v>1528</v>
      </c>
      <c r="AP854" t="s">
        <v>2131</v>
      </c>
      <c r="AQ854" t="s">
        <v>74</v>
      </c>
      <c r="AR854" t="s">
        <v>74</v>
      </c>
      <c r="AS854" t="s">
        <v>74</v>
      </c>
      <c r="AT854" t="s">
        <v>213</v>
      </c>
      <c r="AU854">
        <v>2013</v>
      </c>
      <c r="AV854">
        <v>115</v>
      </c>
      <c r="AW854">
        <v>4</v>
      </c>
      <c r="AX854" t="s">
        <v>74</v>
      </c>
      <c r="AY854" t="s">
        <v>74</v>
      </c>
      <c r="AZ854" t="s">
        <v>74</v>
      </c>
      <c r="BA854" t="s">
        <v>74</v>
      </c>
      <c r="BB854">
        <v>902</v>
      </c>
      <c r="BC854">
        <v>909</v>
      </c>
      <c r="BD854" t="s">
        <v>74</v>
      </c>
      <c r="BE854" t="s">
        <v>3944</v>
      </c>
      <c r="BF854" t="str">
        <f>HYPERLINK("http://dx.doi.org/10.1525/cond.2013.120009","http://dx.doi.org/10.1525/cond.2013.120009")</f>
        <v>http://dx.doi.org/10.1525/cond.2013.120009</v>
      </c>
      <c r="BG854" t="s">
        <v>74</v>
      </c>
      <c r="BH854" t="s">
        <v>74</v>
      </c>
      <c r="BI854" t="s">
        <v>74</v>
      </c>
      <c r="BJ854" t="s">
        <v>74</v>
      </c>
      <c r="BK854" t="s">
        <v>74</v>
      </c>
      <c r="BL854" t="s">
        <v>74</v>
      </c>
      <c r="BM854" t="s">
        <v>74</v>
      </c>
      <c r="BN854" t="s">
        <v>74</v>
      </c>
      <c r="BO854" t="s">
        <v>74</v>
      </c>
      <c r="BP854" t="s">
        <v>74</v>
      </c>
      <c r="BQ854" t="s">
        <v>74</v>
      </c>
      <c r="BR854" t="s">
        <v>74</v>
      </c>
      <c r="BS854" t="s">
        <v>3945</v>
      </c>
      <c r="BT854" t="str">
        <f>HYPERLINK("https%3A%2F%2Fwww.webofscience.com%2Fwos%2Fwoscc%2Ffull-record%2FWOS:000328295800022","View Full Record in Web of Science")</f>
        <v>View Full Record in Web of Science</v>
      </c>
    </row>
    <row r="855" spans="1:72" x14ac:dyDescent="0.4">
      <c r="A855" t="s">
        <v>72</v>
      </c>
      <c r="B855" t="s">
        <v>271</v>
      </c>
      <c r="C855" t="s">
        <v>74</v>
      </c>
      <c r="D855" t="s">
        <v>74</v>
      </c>
      <c r="E855" t="s">
        <v>74</v>
      </c>
      <c r="F855" t="s">
        <v>2636</v>
      </c>
      <c r="G855" t="s">
        <v>74</v>
      </c>
      <c r="H855" t="s">
        <v>74</v>
      </c>
      <c r="I855" t="s">
        <v>2637</v>
      </c>
      <c r="J855" t="s">
        <v>610</v>
      </c>
      <c r="K855" t="s">
        <v>74</v>
      </c>
      <c r="L855" t="s">
        <v>74</v>
      </c>
      <c r="M855" t="s">
        <v>74</v>
      </c>
      <c r="N855" t="s">
        <v>74</v>
      </c>
      <c r="O855" t="s">
        <v>74</v>
      </c>
      <c r="P855" t="s">
        <v>74</v>
      </c>
      <c r="Q855" t="s">
        <v>74</v>
      </c>
      <c r="R855" t="s">
        <v>74</v>
      </c>
      <c r="S855" t="s">
        <v>74</v>
      </c>
      <c r="T855" t="s">
        <v>74</v>
      </c>
      <c r="U855" t="s">
        <v>74</v>
      </c>
      <c r="V855" s="3" t="s">
        <v>2638</v>
      </c>
      <c r="W855" t="s">
        <v>74</v>
      </c>
      <c r="X855" t="s">
        <v>74</v>
      </c>
      <c r="Y855" t="s">
        <v>74</v>
      </c>
      <c r="Z855" t="s">
        <v>74</v>
      </c>
      <c r="AA855" t="s">
        <v>74</v>
      </c>
      <c r="AB855" t="s">
        <v>274</v>
      </c>
      <c r="AC855" t="s">
        <v>74</v>
      </c>
      <c r="AD855" t="s">
        <v>74</v>
      </c>
      <c r="AE855" t="s">
        <v>74</v>
      </c>
      <c r="AF855" t="s">
        <v>74</v>
      </c>
      <c r="AG855" t="s">
        <v>74</v>
      </c>
      <c r="AH855" t="s">
        <v>74</v>
      </c>
      <c r="AI855" t="s">
        <v>74</v>
      </c>
      <c r="AJ855" t="s">
        <v>74</v>
      </c>
      <c r="AK855" t="s">
        <v>74</v>
      </c>
      <c r="AL855" t="s">
        <v>74</v>
      </c>
      <c r="AM855" t="s">
        <v>74</v>
      </c>
      <c r="AN855" t="s">
        <v>74</v>
      </c>
      <c r="AO855" t="s">
        <v>614</v>
      </c>
      <c r="AP855" t="s">
        <v>615</v>
      </c>
      <c r="AQ855" t="s">
        <v>74</v>
      </c>
      <c r="AR855" t="s">
        <v>74</v>
      </c>
      <c r="AS855" t="s">
        <v>74</v>
      </c>
      <c r="AT855" t="s">
        <v>102</v>
      </c>
      <c r="AU855">
        <v>2010</v>
      </c>
      <c r="AV855">
        <v>116</v>
      </c>
      <c r="AW855">
        <v>6</v>
      </c>
      <c r="AX855" t="s">
        <v>74</v>
      </c>
      <c r="AY855" t="s">
        <v>74</v>
      </c>
      <c r="AZ855" t="s">
        <v>74</v>
      </c>
      <c r="BA855" t="s">
        <v>74</v>
      </c>
      <c r="BB855">
        <v>509</v>
      </c>
      <c r="BC855">
        <v>516</v>
      </c>
      <c r="BD855" t="s">
        <v>74</v>
      </c>
      <c r="BE855" t="s">
        <v>2639</v>
      </c>
      <c r="BF855" t="str">
        <f>HYPERLINK("http://dx.doi.org/10.1111/j.1439-0310.2010.01765.x","http://dx.doi.org/10.1111/j.1439-0310.2010.01765.x")</f>
        <v>http://dx.doi.org/10.1111/j.1439-0310.2010.01765.x</v>
      </c>
      <c r="BG855" t="s">
        <v>74</v>
      </c>
      <c r="BH855" t="s">
        <v>74</v>
      </c>
      <c r="BI855" t="s">
        <v>74</v>
      </c>
      <c r="BJ855" t="s">
        <v>74</v>
      </c>
      <c r="BK855" t="s">
        <v>74</v>
      </c>
      <c r="BL855" t="s">
        <v>74</v>
      </c>
      <c r="BM855" t="s">
        <v>74</v>
      </c>
      <c r="BN855" t="s">
        <v>74</v>
      </c>
      <c r="BO855" t="s">
        <v>74</v>
      </c>
      <c r="BP855" t="s">
        <v>74</v>
      </c>
      <c r="BQ855" t="s">
        <v>74</v>
      </c>
      <c r="BR855" t="s">
        <v>74</v>
      </c>
      <c r="BS855" t="s">
        <v>2640</v>
      </c>
      <c r="BT855" t="str">
        <f>HYPERLINK("https%3A%2F%2Fwww.webofscience.com%2Fwos%2Fwoscc%2Ffull-record%2FWOS:000277405700004","View Full Record in Web of Science")</f>
        <v>View Full Record in Web of Science</v>
      </c>
    </row>
    <row r="856" spans="1:72" x14ac:dyDescent="0.4">
      <c r="A856" t="s">
        <v>72</v>
      </c>
      <c r="B856" t="s">
        <v>271</v>
      </c>
      <c r="C856" t="s">
        <v>74</v>
      </c>
      <c r="D856" t="s">
        <v>74</v>
      </c>
      <c r="E856" t="s">
        <v>74</v>
      </c>
      <c r="F856" t="s">
        <v>271</v>
      </c>
      <c r="G856" t="s">
        <v>74</v>
      </c>
      <c r="H856" t="s">
        <v>74</v>
      </c>
      <c r="I856" t="s">
        <v>272</v>
      </c>
      <c r="J856" t="s">
        <v>108</v>
      </c>
      <c r="K856" t="s">
        <v>74</v>
      </c>
      <c r="L856" t="s">
        <v>74</v>
      </c>
      <c r="M856" t="s">
        <v>74</v>
      </c>
      <c r="N856" t="s">
        <v>74</v>
      </c>
      <c r="O856" t="s">
        <v>74</v>
      </c>
      <c r="P856" t="s">
        <v>74</v>
      </c>
      <c r="Q856" t="s">
        <v>74</v>
      </c>
      <c r="R856" t="s">
        <v>74</v>
      </c>
      <c r="S856" t="s">
        <v>74</v>
      </c>
      <c r="T856" t="s">
        <v>74</v>
      </c>
      <c r="U856" t="s">
        <v>74</v>
      </c>
      <c r="V856" s="3" t="s">
        <v>273</v>
      </c>
      <c r="W856" t="s">
        <v>74</v>
      </c>
      <c r="X856" t="s">
        <v>74</v>
      </c>
      <c r="Y856" t="s">
        <v>74</v>
      </c>
      <c r="Z856" t="s">
        <v>74</v>
      </c>
      <c r="AA856" t="s">
        <v>74</v>
      </c>
      <c r="AB856" t="s">
        <v>274</v>
      </c>
      <c r="AC856" t="s">
        <v>74</v>
      </c>
      <c r="AD856" t="s">
        <v>74</v>
      </c>
      <c r="AE856" t="s">
        <v>74</v>
      </c>
      <c r="AF856" t="s">
        <v>74</v>
      </c>
      <c r="AG856" t="s">
        <v>74</v>
      </c>
      <c r="AH856" t="s">
        <v>74</v>
      </c>
      <c r="AI856" t="s">
        <v>74</v>
      </c>
      <c r="AJ856" t="s">
        <v>74</v>
      </c>
      <c r="AK856" t="s">
        <v>74</v>
      </c>
      <c r="AL856" t="s">
        <v>74</v>
      </c>
      <c r="AM856" t="s">
        <v>74</v>
      </c>
      <c r="AN856" t="s">
        <v>74</v>
      </c>
      <c r="AO856" t="s">
        <v>111</v>
      </c>
      <c r="AP856" t="s">
        <v>112</v>
      </c>
      <c r="AQ856" t="s">
        <v>74</v>
      </c>
      <c r="AR856" t="s">
        <v>74</v>
      </c>
      <c r="AS856" t="s">
        <v>74</v>
      </c>
      <c r="AT856" t="s">
        <v>275</v>
      </c>
      <c r="AU856">
        <v>2000</v>
      </c>
      <c r="AV856">
        <v>267</v>
      </c>
      <c r="AW856">
        <v>1445</v>
      </c>
      <c r="AX856" t="s">
        <v>74</v>
      </c>
      <c r="AY856" t="s">
        <v>74</v>
      </c>
      <c r="AZ856" t="s">
        <v>74</v>
      </c>
      <c r="BA856" t="s">
        <v>74</v>
      </c>
      <c r="BB856">
        <v>755</v>
      </c>
      <c r="BC856">
        <v>758</v>
      </c>
      <c r="BD856" t="s">
        <v>74</v>
      </c>
      <c r="BE856" t="s">
        <v>276</v>
      </c>
      <c r="BF856" t="str">
        <f>HYPERLINK("http://dx.doi.org/10.1098/rspb.2000.1067","http://dx.doi.org/10.1098/rspb.2000.1067")</f>
        <v>http://dx.doi.org/10.1098/rspb.2000.1067</v>
      </c>
      <c r="BG856" t="s">
        <v>74</v>
      </c>
      <c r="BH856" t="s">
        <v>74</v>
      </c>
      <c r="BI856" t="s">
        <v>74</v>
      </c>
      <c r="BJ856" t="s">
        <v>74</v>
      </c>
      <c r="BK856" t="s">
        <v>74</v>
      </c>
      <c r="BL856" t="s">
        <v>74</v>
      </c>
      <c r="BM856" t="s">
        <v>74</v>
      </c>
      <c r="BN856">
        <v>10819143</v>
      </c>
      <c r="BO856" t="s">
        <v>74</v>
      </c>
      <c r="BP856" t="s">
        <v>74</v>
      </c>
      <c r="BQ856" t="s">
        <v>74</v>
      </c>
      <c r="BR856" t="s">
        <v>74</v>
      </c>
      <c r="BS856" t="s">
        <v>277</v>
      </c>
      <c r="BT856" t="str">
        <f>HYPERLINK("https%3A%2F%2Fwww.webofscience.com%2Fwos%2Fwoscc%2Ffull-record%2FWOS:000086850600003","View Full Record in Web of Science")</f>
        <v>View Full Record in Web of Science</v>
      </c>
    </row>
    <row r="857" spans="1:72" x14ac:dyDescent="0.4">
      <c r="A857" t="s">
        <v>72</v>
      </c>
      <c r="B857" t="s">
        <v>271</v>
      </c>
      <c r="C857" t="s">
        <v>74</v>
      </c>
      <c r="D857" t="s">
        <v>74</v>
      </c>
      <c r="E857" t="s">
        <v>74</v>
      </c>
      <c r="F857" t="s">
        <v>271</v>
      </c>
      <c r="G857" t="s">
        <v>74</v>
      </c>
      <c r="H857" t="s">
        <v>74</v>
      </c>
      <c r="I857" t="s">
        <v>1811</v>
      </c>
      <c r="J857" t="s">
        <v>1812</v>
      </c>
      <c r="K857" t="s">
        <v>74</v>
      </c>
      <c r="L857" t="s">
        <v>74</v>
      </c>
      <c r="M857" t="s">
        <v>74</v>
      </c>
      <c r="N857" t="s">
        <v>74</v>
      </c>
      <c r="O857" t="s">
        <v>74</v>
      </c>
      <c r="P857" t="s">
        <v>74</v>
      </c>
      <c r="Q857" t="s">
        <v>74</v>
      </c>
      <c r="R857" t="s">
        <v>74</v>
      </c>
      <c r="S857" t="s">
        <v>74</v>
      </c>
      <c r="T857" t="s">
        <v>74</v>
      </c>
      <c r="U857" t="s">
        <v>74</v>
      </c>
      <c r="V857" s="3" t="s">
        <v>1813</v>
      </c>
      <c r="W857" t="s">
        <v>74</v>
      </c>
      <c r="X857" t="s">
        <v>74</v>
      </c>
      <c r="Y857" t="s">
        <v>74</v>
      </c>
      <c r="Z857" t="s">
        <v>74</v>
      </c>
      <c r="AA857" t="s">
        <v>74</v>
      </c>
      <c r="AB857" t="s">
        <v>274</v>
      </c>
      <c r="AC857" t="s">
        <v>74</v>
      </c>
      <c r="AD857" t="s">
        <v>74</v>
      </c>
      <c r="AE857" t="s">
        <v>74</v>
      </c>
      <c r="AF857" t="s">
        <v>74</v>
      </c>
      <c r="AG857" t="s">
        <v>74</v>
      </c>
      <c r="AH857" t="s">
        <v>74</v>
      </c>
      <c r="AI857" t="s">
        <v>74</v>
      </c>
      <c r="AJ857" t="s">
        <v>74</v>
      </c>
      <c r="AK857" t="s">
        <v>74</v>
      </c>
      <c r="AL857" t="s">
        <v>74</v>
      </c>
      <c r="AM857" t="s">
        <v>74</v>
      </c>
      <c r="AN857" t="s">
        <v>74</v>
      </c>
      <c r="AO857" t="s">
        <v>1814</v>
      </c>
      <c r="AP857" t="s">
        <v>1815</v>
      </c>
      <c r="AQ857" t="s">
        <v>74</v>
      </c>
      <c r="AR857" t="s">
        <v>74</v>
      </c>
      <c r="AS857" t="s">
        <v>74</v>
      </c>
      <c r="AT857" t="s">
        <v>352</v>
      </c>
      <c r="AU857">
        <v>2005</v>
      </c>
      <c r="AV857">
        <v>39</v>
      </c>
      <c r="AW857">
        <v>3</v>
      </c>
      <c r="AX857" t="s">
        <v>74</v>
      </c>
      <c r="AY857" t="s">
        <v>74</v>
      </c>
      <c r="AZ857" t="s">
        <v>74</v>
      </c>
      <c r="BA857" t="s">
        <v>74</v>
      </c>
      <c r="BB857">
        <v>496</v>
      </c>
      <c r="BC857">
        <v>499</v>
      </c>
      <c r="BD857" t="s">
        <v>74</v>
      </c>
      <c r="BE857" t="s">
        <v>1816</v>
      </c>
      <c r="BF857" t="str">
        <f>HYPERLINK("http://dx.doi.org/10.1670/207-04N.1","http://dx.doi.org/10.1670/207-04N.1")</f>
        <v>http://dx.doi.org/10.1670/207-04N.1</v>
      </c>
      <c r="BG857" t="s">
        <v>74</v>
      </c>
      <c r="BH857" t="s">
        <v>74</v>
      </c>
      <c r="BI857" t="s">
        <v>74</v>
      </c>
      <c r="BJ857" t="s">
        <v>74</v>
      </c>
      <c r="BK857" t="s">
        <v>74</v>
      </c>
      <c r="BL857" t="s">
        <v>74</v>
      </c>
      <c r="BM857" t="s">
        <v>74</v>
      </c>
      <c r="BN857" t="s">
        <v>74</v>
      </c>
      <c r="BO857" t="s">
        <v>74</v>
      </c>
      <c r="BP857" t="s">
        <v>74</v>
      </c>
      <c r="BQ857" t="s">
        <v>74</v>
      </c>
      <c r="BR857" t="s">
        <v>74</v>
      </c>
      <c r="BS857" t="s">
        <v>1817</v>
      </c>
      <c r="BT857" t="str">
        <f>HYPERLINK("https%3A%2F%2Fwww.webofscience.com%2Fwos%2Fwoscc%2Ffull-record%2FWOS:000232114800022","View Full Record in Web of Science")</f>
        <v>View Full Record in Web of Science</v>
      </c>
    </row>
    <row r="858" spans="1:72" x14ac:dyDescent="0.4">
      <c r="A858" t="s">
        <v>72</v>
      </c>
      <c r="B858" t="s">
        <v>6380</v>
      </c>
      <c r="C858" t="s">
        <v>74</v>
      </c>
      <c r="D858" t="s">
        <v>74</v>
      </c>
      <c r="E858" t="s">
        <v>74</v>
      </c>
      <c r="F858" t="s">
        <v>6381</v>
      </c>
      <c r="G858" t="s">
        <v>74</v>
      </c>
      <c r="H858" t="s">
        <v>74</v>
      </c>
      <c r="I858" t="s">
        <v>6382</v>
      </c>
      <c r="J858" t="s">
        <v>6240</v>
      </c>
      <c r="K858" t="s">
        <v>74</v>
      </c>
      <c r="L858" t="s">
        <v>74</v>
      </c>
      <c r="M858" t="s">
        <v>74</v>
      </c>
      <c r="N858" t="s">
        <v>74</v>
      </c>
      <c r="O858" t="s">
        <v>74</v>
      </c>
      <c r="P858" t="s">
        <v>74</v>
      </c>
      <c r="Q858" t="s">
        <v>74</v>
      </c>
      <c r="R858" t="s">
        <v>74</v>
      </c>
      <c r="S858" t="s">
        <v>74</v>
      </c>
      <c r="T858" t="s">
        <v>74</v>
      </c>
      <c r="U858" t="s">
        <v>74</v>
      </c>
      <c r="V858" s="3" t="s">
        <v>6383</v>
      </c>
      <c r="W858" t="s">
        <v>74</v>
      </c>
      <c r="X858" t="s">
        <v>74</v>
      </c>
      <c r="Y858" t="s">
        <v>74</v>
      </c>
      <c r="Z858" t="s">
        <v>74</v>
      </c>
      <c r="AA858" t="s">
        <v>6384</v>
      </c>
      <c r="AB858" t="s">
        <v>6385</v>
      </c>
      <c r="AC858" t="s">
        <v>74</v>
      </c>
      <c r="AD858" t="s">
        <v>74</v>
      </c>
      <c r="AE858" t="s">
        <v>74</v>
      </c>
      <c r="AF858" t="s">
        <v>74</v>
      </c>
      <c r="AG858" t="s">
        <v>74</v>
      </c>
      <c r="AH858" t="s">
        <v>74</v>
      </c>
      <c r="AI858" t="s">
        <v>74</v>
      </c>
      <c r="AJ858" t="s">
        <v>74</v>
      </c>
      <c r="AK858" t="s">
        <v>74</v>
      </c>
      <c r="AL858" t="s">
        <v>74</v>
      </c>
      <c r="AM858" t="s">
        <v>74</v>
      </c>
      <c r="AN858" t="s">
        <v>74</v>
      </c>
      <c r="AO858" t="s">
        <v>6242</v>
      </c>
      <c r="AP858" t="s">
        <v>6243</v>
      </c>
      <c r="AQ858" t="s">
        <v>74</v>
      </c>
      <c r="AR858" t="s">
        <v>74</v>
      </c>
      <c r="AS858" t="s">
        <v>74</v>
      </c>
      <c r="AT858" t="s">
        <v>175</v>
      </c>
      <c r="AU858">
        <v>2018</v>
      </c>
      <c r="AV858">
        <v>94</v>
      </c>
      <c r="AW858">
        <v>4</v>
      </c>
      <c r="AX858" t="s">
        <v>74</v>
      </c>
      <c r="AY858" t="s">
        <v>74</v>
      </c>
      <c r="AZ858" t="s">
        <v>74</v>
      </c>
      <c r="BA858" t="s">
        <v>74</v>
      </c>
      <c r="BB858">
        <v>1313</v>
      </c>
      <c r="BC858">
        <v>1332</v>
      </c>
      <c r="BD858" t="s">
        <v>74</v>
      </c>
      <c r="BE858" t="s">
        <v>6386</v>
      </c>
      <c r="BF858" t="str">
        <f>HYPERLINK("http://dx.doi.org/10.5343/bms.2017.1054","http://dx.doi.org/10.5343/bms.2017.1054")</f>
        <v>http://dx.doi.org/10.5343/bms.2017.1054</v>
      </c>
      <c r="BG858" t="s">
        <v>74</v>
      </c>
      <c r="BH858" t="s">
        <v>74</v>
      </c>
      <c r="BI858" t="s">
        <v>74</v>
      </c>
      <c r="BJ858" t="s">
        <v>74</v>
      </c>
      <c r="BK858" t="s">
        <v>74</v>
      </c>
      <c r="BL858" t="s">
        <v>74</v>
      </c>
      <c r="BM858" t="s">
        <v>74</v>
      </c>
      <c r="BN858" t="s">
        <v>74</v>
      </c>
      <c r="BO858" t="s">
        <v>74</v>
      </c>
      <c r="BP858" t="s">
        <v>74</v>
      </c>
      <c r="BQ858" t="s">
        <v>74</v>
      </c>
      <c r="BR858" t="s">
        <v>74</v>
      </c>
      <c r="BS858" t="s">
        <v>6387</v>
      </c>
      <c r="BT858" t="str">
        <f>HYPERLINK("https%3A%2F%2Fwww.webofscience.com%2Fwos%2Fwoscc%2Ffull-record%2FWOS:000456290000004","View Full Record in Web of Science")</f>
        <v>View Full Record in Web of Science</v>
      </c>
    </row>
    <row r="859" spans="1:72" x14ac:dyDescent="0.4">
      <c r="A859" t="s">
        <v>72</v>
      </c>
      <c r="B859" t="s">
        <v>7989</v>
      </c>
      <c r="C859" t="s">
        <v>74</v>
      </c>
      <c r="D859" t="s">
        <v>74</v>
      </c>
      <c r="E859" t="s">
        <v>74</v>
      </c>
      <c r="F859" t="s">
        <v>7989</v>
      </c>
      <c r="G859" t="s">
        <v>74</v>
      </c>
      <c r="H859" t="s">
        <v>74</v>
      </c>
      <c r="I859" t="s">
        <v>7990</v>
      </c>
      <c r="J859" t="s">
        <v>6226</v>
      </c>
      <c r="K859" t="s">
        <v>74</v>
      </c>
      <c r="L859" t="s">
        <v>74</v>
      </c>
      <c r="M859" t="s">
        <v>74</v>
      </c>
      <c r="N859" t="s">
        <v>74</v>
      </c>
      <c r="O859" t="s">
        <v>74</v>
      </c>
      <c r="P859" t="s">
        <v>74</v>
      </c>
      <c r="Q859" t="s">
        <v>74</v>
      </c>
      <c r="R859" t="s">
        <v>74</v>
      </c>
      <c r="S859" t="s">
        <v>74</v>
      </c>
      <c r="T859" t="s">
        <v>74</v>
      </c>
      <c r="U859" t="s">
        <v>74</v>
      </c>
      <c r="V859" s="3" t="s">
        <v>7991</v>
      </c>
      <c r="W859" t="s">
        <v>74</v>
      </c>
      <c r="X859" t="s">
        <v>74</v>
      </c>
      <c r="Y859" t="s">
        <v>74</v>
      </c>
      <c r="Z859" t="s">
        <v>74</v>
      </c>
      <c r="AA859" t="s">
        <v>74</v>
      </c>
      <c r="AB859" t="s">
        <v>74</v>
      </c>
      <c r="AC859" t="s">
        <v>74</v>
      </c>
      <c r="AD859" t="s">
        <v>74</v>
      </c>
      <c r="AE859" t="s">
        <v>74</v>
      </c>
      <c r="AF859" t="s">
        <v>74</v>
      </c>
      <c r="AG859" t="s">
        <v>74</v>
      </c>
      <c r="AH859" t="s">
        <v>74</v>
      </c>
      <c r="AI859" t="s">
        <v>74</v>
      </c>
      <c r="AJ859" t="s">
        <v>74</v>
      </c>
      <c r="AK859" t="s">
        <v>74</v>
      </c>
      <c r="AL859" t="s">
        <v>74</v>
      </c>
      <c r="AM859" t="s">
        <v>74</v>
      </c>
      <c r="AN859" t="s">
        <v>74</v>
      </c>
      <c r="AO859" t="s">
        <v>6228</v>
      </c>
      <c r="AP859" t="s">
        <v>6229</v>
      </c>
      <c r="AQ859" t="s">
        <v>74</v>
      </c>
      <c r="AR859" t="s">
        <v>74</v>
      </c>
      <c r="AS859" t="s">
        <v>74</v>
      </c>
      <c r="AT859" t="s">
        <v>255</v>
      </c>
      <c r="AU859">
        <v>2004</v>
      </c>
      <c r="AV859">
        <v>43</v>
      </c>
      <c r="AW859">
        <v>1</v>
      </c>
      <c r="AX859" t="s">
        <v>74</v>
      </c>
      <c r="AY859" t="s">
        <v>74</v>
      </c>
      <c r="AZ859" t="s">
        <v>74</v>
      </c>
      <c r="BA859" t="s">
        <v>74</v>
      </c>
      <c r="BB859">
        <v>93</v>
      </c>
      <c r="BC859">
        <v>111</v>
      </c>
      <c r="BD859" t="s">
        <v>74</v>
      </c>
      <c r="BE859" t="s">
        <v>74</v>
      </c>
      <c r="BF859" t="s">
        <v>74</v>
      </c>
      <c r="BG859" t="s">
        <v>74</v>
      </c>
      <c r="BH859" t="s">
        <v>74</v>
      </c>
      <c r="BI859" t="s">
        <v>74</v>
      </c>
      <c r="BJ859" t="s">
        <v>74</v>
      </c>
      <c r="BK859" t="s">
        <v>74</v>
      </c>
      <c r="BL859" t="s">
        <v>74</v>
      </c>
      <c r="BM859" t="s">
        <v>74</v>
      </c>
      <c r="BN859" t="s">
        <v>74</v>
      </c>
      <c r="BO859" t="s">
        <v>74</v>
      </c>
      <c r="BP859" t="s">
        <v>74</v>
      </c>
      <c r="BQ859" t="s">
        <v>74</v>
      </c>
      <c r="BR859" t="s">
        <v>74</v>
      </c>
      <c r="BS859" t="s">
        <v>7992</v>
      </c>
      <c r="BT859" t="str">
        <f>HYPERLINK("https%3A%2F%2Fwww.webofscience.com%2Fwos%2Fwoscc%2Ffull-record%2FWOS:000189267400008","View Full Record in Web of Science")</f>
        <v>View Full Record in Web of Science</v>
      </c>
    </row>
    <row r="860" spans="1:72" x14ac:dyDescent="0.4">
      <c r="A860" t="s">
        <v>72</v>
      </c>
      <c r="B860" t="s">
        <v>7792</v>
      </c>
      <c r="C860" t="s">
        <v>74</v>
      </c>
      <c r="D860" t="s">
        <v>74</v>
      </c>
      <c r="E860" t="s">
        <v>74</v>
      </c>
      <c r="F860" t="s">
        <v>7792</v>
      </c>
      <c r="G860" t="s">
        <v>74</v>
      </c>
      <c r="H860" t="s">
        <v>74</v>
      </c>
      <c r="I860" t="s">
        <v>7793</v>
      </c>
      <c r="J860" t="s">
        <v>7794</v>
      </c>
      <c r="K860" t="s">
        <v>74</v>
      </c>
      <c r="L860" t="s">
        <v>74</v>
      </c>
      <c r="M860" t="s">
        <v>74</v>
      </c>
      <c r="N860" t="s">
        <v>74</v>
      </c>
      <c r="O860" t="s">
        <v>7795</v>
      </c>
      <c r="P860" t="s">
        <v>7796</v>
      </c>
      <c r="Q860" t="s">
        <v>7797</v>
      </c>
      <c r="R860" t="s">
        <v>74</v>
      </c>
      <c r="S860" t="s">
        <v>7798</v>
      </c>
      <c r="T860" t="s">
        <v>74</v>
      </c>
      <c r="U860" t="s">
        <v>74</v>
      </c>
      <c r="V860" s="3" t="s">
        <v>7799</v>
      </c>
      <c r="W860" t="s">
        <v>74</v>
      </c>
      <c r="X860" t="s">
        <v>74</v>
      </c>
      <c r="Y860" t="s">
        <v>74</v>
      </c>
      <c r="Z860" t="s">
        <v>74</v>
      </c>
      <c r="AA860" t="s">
        <v>74</v>
      </c>
      <c r="AB860" t="s">
        <v>74</v>
      </c>
      <c r="AC860" t="s">
        <v>74</v>
      </c>
      <c r="AD860" t="s">
        <v>74</v>
      </c>
      <c r="AE860" t="s">
        <v>74</v>
      </c>
      <c r="AF860" t="s">
        <v>74</v>
      </c>
      <c r="AG860" t="s">
        <v>74</v>
      </c>
      <c r="AH860" t="s">
        <v>74</v>
      </c>
      <c r="AI860" t="s">
        <v>74</v>
      </c>
      <c r="AJ860" t="s">
        <v>74</v>
      </c>
      <c r="AK860" t="s">
        <v>74</v>
      </c>
      <c r="AL860" t="s">
        <v>74</v>
      </c>
      <c r="AM860" t="s">
        <v>74</v>
      </c>
      <c r="AN860" t="s">
        <v>74</v>
      </c>
      <c r="AO860" t="s">
        <v>7800</v>
      </c>
      <c r="AP860" t="s">
        <v>7801</v>
      </c>
      <c r="AQ860" t="s">
        <v>74</v>
      </c>
      <c r="AR860" t="s">
        <v>74</v>
      </c>
      <c r="AS860" t="s">
        <v>74</v>
      </c>
      <c r="AT860" t="s">
        <v>123</v>
      </c>
      <c r="AU860">
        <v>2004</v>
      </c>
      <c r="AV860">
        <v>45</v>
      </c>
      <c r="AW860">
        <v>1</v>
      </c>
      <c r="AX860" t="s">
        <v>74</v>
      </c>
      <c r="AY860" t="s">
        <v>74</v>
      </c>
      <c r="AZ860" t="s">
        <v>74</v>
      </c>
      <c r="BA860" t="s">
        <v>74</v>
      </c>
      <c r="BB860">
        <v>1</v>
      </c>
      <c r="BC860">
        <v>14</v>
      </c>
      <c r="BD860" t="s">
        <v>74</v>
      </c>
      <c r="BE860" t="s">
        <v>7802</v>
      </c>
      <c r="BF860" t="str">
        <f>HYPERLINK("http://dx.doi.org/10.1080/07924259.2004.9652569","http://dx.doi.org/10.1080/07924259.2004.9652569")</f>
        <v>http://dx.doi.org/10.1080/07924259.2004.9652569</v>
      </c>
      <c r="BG860" t="s">
        <v>74</v>
      </c>
      <c r="BH860" t="s">
        <v>74</v>
      </c>
      <c r="BI860" t="s">
        <v>74</v>
      </c>
      <c r="BJ860" t="s">
        <v>74</v>
      </c>
      <c r="BK860" t="s">
        <v>74</v>
      </c>
      <c r="BL860" t="s">
        <v>74</v>
      </c>
      <c r="BM860" t="s">
        <v>74</v>
      </c>
      <c r="BN860" t="s">
        <v>74</v>
      </c>
      <c r="BO860" t="s">
        <v>74</v>
      </c>
      <c r="BP860" t="s">
        <v>74</v>
      </c>
      <c r="BQ860" t="s">
        <v>74</v>
      </c>
      <c r="BR860" t="s">
        <v>74</v>
      </c>
      <c r="BS860" t="s">
        <v>7803</v>
      </c>
      <c r="BT860" t="str">
        <f>HYPERLINK("https%3A%2F%2Fwww.webofscience.com%2Fwos%2Fwoscc%2Ffull-record%2FWOS:000221012500001","View Full Record in Web of Science")</f>
        <v>View Full Record in Web of Science</v>
      </c>
    </row>
    <row r="861" spans="1:72" x14ac:dyDescent="0.4">
      <c r="A861" t="s">
        <v>72</v>
      </c>
      <c r="B861" t="s">
        <v>6254</v>
      </c>
      <c r="C861" t="s">
        <v>74</v>
      </c>
      <c r="D861" t="s">
        <v>74</v>
      </c>
      <c r="E861" t="s">
        <v>74</v>
      </c>
      <c r="F861" t="s">
        <v>6254</v>
      </c>
      <c r="G861" t="s">
        <v>74</v>
      </c>
      <c r="H861" t="s">
        <v>74</v>
      </c>
      <c r="I861" t="s">
        <v>6255</v>
      </c>
      <c r="J861" t="s">
        <v>431</v>
      </c>
      <c r="K861" t="s">
        <v>74</v>
      </c>
      <c r="L861" t="s">
        <v>74</v>
      </c>
      <c r="M861" t="s">
        <v>74</v>
      </c>
      <c r="N861" t="s">
        <v>74</v>
      </c>
      <c r="O861" t="s">
        <v>74</v>
      </c>
      <c r="P861" t="s">
        <v>74</v>
      </c>
      <c r="Q861" t="s">
        <v>74</v>
      </c>
      <c r="R861" t="s">
        <v>74</v>
      </c>
      <c r="S861" t="s">
        <v>74</v>
      </c>
      <c r="T861" t="s">
        <v>74</v>
      </c>
      <c r="U861" t="s">
        <v>74</v>
      </c>
      <c r="V861" s="3" t="s">
        <v>6256</v>
      </c>
      <c r="W861" t="s">
        <v>74</v>
      </c>
      <c r="X861" t="s">
        <v>74</v>
      </c>
      <c r="Y861" t="s">
        <v>74</v>
      </c>
      <c r="Z861" t="s">
        <v>74</v>
      </c>
      <c r="AA861" t="s">
        <v>74</v>
      </c>
      <c r="AB861" t="s">
        <v>74</v>
      </c>
      <c r="AC861" t="s">
        <v>74</v>
      </c>
      <c r="AD861" t="s">
        <v>74</v>
      </c>
      <c r="AE861" t="s">
        <v>74</v>
      </c>
      <c r="AF861" t="s">
        <v>74</v>
      </c>
      <c r="AG861" t="s">
        <v>74</v>
      </c>
      <c r="AH861" t="s">
        <v>74</v>
      </c>
      <c r="AI861" t="s">
        <v>74</v>
      </c>
      <c r="AJ861" t="s">
        <v>74</v>
      </c>
      <c r="AK861" t="s">
        <v>74</v>
      </c>
      <c r="AL861" t="s">
        <v>74</v>
      </c>
      <c r="AM861" t="s">
        <v>74</v>
      </c>
      <c r="AN861" t="s">
        <v>74</v>
      </c>
      <c r="AO861" t="s">
        <v>74</v>
      </c>
      <c r="AP861" t="s">
        <v>435</v>
      </c>
      <c r="AQ861" t="s">
        <v>74</v>
      </c>
      <c r="AR861" t="s">
        <v>74</v>
      </c>
      <c r="AS861" t="s">
        <v>74</v>
      </c>
      <c r="AT861" t="s">
        <v>74</v>
      </c>
      <c r="AU861">
        <v>1967</v>
      </c>
      <c r="AV861">
        <v>84</v>
      </c>
      <c r="AW861">
        <v>4</v>
      </c>
      <c r="AX861" t="s">
        <v>74</v>
      </c>
      <c r="AY861" t="s">
        <v>74</v>
      </c>
      <c r="AZ861" t="s">
        <v>74</v>
      </c>
      <c r="BA861" t="s">
        <v>74</v>
      </c>
      <c r="BB861">
        <v>503</v>
      </c>
      <c r="BC861" t="s">
        <v>726</v>
      </c>
      <c r="BD861" t="s">
        <v>74</v>
      </c>
      <c r="BE861" t="s">
        <v>6257</v>
      </c>
      <c r="BF861" t="str">
        <f>HYPERLINK("http://dx.doi.org/10.2307/4083332","http://dx.doi.org/10.2307/4083332")</f>
        <v>http://dx.doi.org/10.2307/4083332</v>
      </c>
      <c r="BG861" t="s">
        <v>74</v>
      </c>
      <c r="BH861" t="s">
        <v>74</v>
      </c>
      <c r="BI861" t="s">
        <v>74</v>
      </c>
      <c r="BJ861" t="s">
        <v>74</v>
      </c>
      <c r="BK861" t="s">
        <v>74</v>
      </c>
      <c r="BL861" t="s">
        <v>74</v>
      </c>
      <c r="BM861" t="s">
        <v>74</v>
      </c>
      <c r="BN861" t="s">
        <v>74</v>
      </c>
      <c r="BO861" t="s">
        <v>74</v>
      </c>
      <c r="BP861" t="s">
        <v>74</v>
      </c>
      <c r="BQ861" t="s">
        <v>74</v>
      </c>
      <c r="BR861" t="s">
        <v>74</v>
      </c>
      <c r="BS861" t="s">
        <v>6258</v>
      </c>
      <c r="BT861" t="str">
        <f>HYPERLINK("https%3A%2F%2Fwww.webofscience.com%2Fwos%2Fwoscc%2Ffull-record%2FWOS:A1967A201400003","View Full Record in Web of Science")</f>
        <v>View Full Record in Web of Science</v>
      </c>
    </row>
    <row r="862" spans="1:72" x14ac:dyDescent="0.4">
      <c r="A862" t="s">
        <v>72</v>
      </c>
      <c r="B862" t="s">
        <v>7243</v>
      </c>
      <c r="C862" t="s">
        <v>74</v>
      </c>
      <c r="D862" t="s">
        <v>74</v>
      </c>
      <c r="E862" t="s">
        <v>74</v>
      </c>
      <c r="F862" t="s">
        <v>7244</v>
      </c>
      <c r="G862" t="s">
        <v>74</v>
      </c>
      <c r="H862" t="s">
        <v>74</v>
      </c>
      <c r="I862" t="s">
        <v>7245</v>
      </c>
      <c r="J862" t="s">
        <v>420</v>
      </c>
      <c r="K862" t="s">
        <v>74</v>
      </c>
      <c r="L862" t="s">
        <v>74</v>
      </c>
      <c r="M862" t="s">
        <v>74</v>
      </c>
      <c r="N862" t="s">
        <v>74</v>
      </c>
      <c r="O862" t="s">
        <v>74</v>
      </c>
      <c r="P862" t="s">
        <v>74</v>
      </c>
      <c r="Q862" t="s">
        <v>74</v>
      </c>
      <c r="R862" t="s">
        <v>74</v>
      </c>
      <c r="S862" t="s">
        <v>74</v>
      </c>
      <c r="T862" t="s">
        <v>74</v>
      </c>
      <c r="U862" t="s">
        <v>74</v>
      </c>
      <c r="V862" s="3" t="s">
        <v>7246</v>
      </c>
      <c r="W862" t="s">
        <v>74</v>
      </c>
      <c r="X862" t="s">
        <v>74</v>
      </c>
      <c r="Y862" t="s">
        <v>74</v>
      </c>
      <c r="Z862" t="s">
        <v>74</v>
      </c>
      <c r="AA862" t="s">
        <v>3597</v>
      </c>
      <c r="AB862" t="s">
        <v>74</v>
      </c>
      <c r="AC862" t="s">
        <v>74</v>
      </c>
      <c r="AD862" t="s">
        <v>74</v>
      </c>
      <c r="AE862" t="s">
        <v>74</v>
      </c>
      <c r="AF862" t="s">
        <v>74</v>
      </c>
      <c r="AG862" t="s">
        <v>74</v>
      </c>
      <c r="AH862" t="s">
        <v>74</v>
      </c>
      <c r="AI862" t="s">
        <v>74</v>
      </c>
      <c r="AJ862" t="s">
        <v>74</v>
      </c>
      <c r="AK862" t="s">
        <v>74</v>
      </c>
      <c r="AL862" t="s">
        <v>74</v>
      </c>
      <c r="AM862" t="s">
        <v>74</v>
      </c>
      <c r="AN862" t="s">
        <v>74</v>
      </c>
      <c r="AO862" t="s">
        <v>424</v>
      </c>
      <c r="AP862" t="s">
        <v>74</v>
      </c>
      <c r="AQ862" t="s">
        <v>74</v>
      </c>
      <c r="AR862" t="s">
        <v>74</v>
      </c>
      <c r="AS862" t="s">
        <v>74</v>
      </c>
      <c r="AT862" t="s">
        <v>4913</v>
      </c>
      <c r="AU862">
        <v>2018</v>
      </c>
      <c r="AV862">
        <v>18</v>
      </c>
      <c r="AW862" t="s">
        <v>74</v>
      </c>
      <c r="AX862" t="s">
        <v>74</v>
      </c>
      <c r="AY862" t="s">
        <v>74</v>
      </c>
      <c r="AZ862" t="s">
        <v>74</v>
      </c>
      <c r="BA862" t="s">
        <v>74</v>
      </c>
      <c r="BB862" t="s">
        <v>74</v>
      </c>
      <c r="BC862" t="s">
        <v>74</v>
      </c>
      <c r="BD862">
        <v>19</v>
      </c>
      <c r="BE862" t="s">
        <v>7247</v>
      </c>
      <c r="BF862" t="str">
        <f>HYPERLINK("http://dx.doi.org/10.1186/s12862-018-1126-0","http://dx.doi.org/10.1186/s12862-018-1126-0")</f>
        <v>http://dx.doi.org/10.1186/s12862-018-1126-0</v>
      </c>
      <c r="BG862" t="s">
        <v>74</v>
      </c>
      <c r="BH862" t="s">
        <v>74</v>
      </c>
      <c r="BI862" t="s">
        <v>74</v>
      </c>
      <c r="BJ862" t="s">
        <v>74</v>
      </c>
      <c r="BK862" t="s">
        <v>74</v>
      </c>
      <c r="BL862" t="s">
        <v>74</v>
      </c>
      <c r="BM862" t="s">
        <v>74</v>
      </c>
      <c r="BN862">
        <v>29433448</v>
      </c>
      <c r="BO862" t="s">
        <v>74</v>
      </c>
      <c r="BP862" t="s">
        <v>74</v>
      </c>
      <c r="BQ862" t="s">
        <v>74</v>
      </c>
      <c r="BR862" t="s">
        <v>74</v>
      </c>
      <c r="BS862" t="s">
        <v>7248</v>
      </c>
      <c r="BT862" t="str">
        <f>HYPERLINK("https%3A%2F%2Fwww.webofscience.com%2Fwos%2Fwoscc%2Ffull-record%2FWOS:000425179400001","View Full Record in Web of Science")</f>
        <v>View Full Record in Web of Science</v>
      </c>
    </row>
    <row r="863" spans="1:72" x14ac:dyDescent="0.4">
      <c r="A863" t="s">
        <v>72</v>
      </c>
      <c r="B863" t="s">
        <v>5692</v>
      </c>
      <c r="C863" t="s">
        <v>74</v>
      </c>
      <c r="D863" t="s">
        <v>74</v>
      </c>
      <c r="E863" t="s">
        <v>74</v>
      </c>
      <c r="F863" t="s">
        <v>5693</v>
      </c>
      <c r="G863" t="s">
        <v>74</v>
      </c>
      <c r="H863" t="s">
        <v>74</v>
      </c>
      <c r="I863" t="s">
        <v>5694</v>
      </c>
      <c r="J863" t="s">
        <v>691</v>
      </c>
      <c r="K863" t="s">
        <v>74</v>
      </c>
      <c r="L863" t="s">
        <v>74</v>
      </c>
      <c r="M863" t="s">
        <v>74</v>
      </c>
      <c r="N863" t="s">
        <v>74</v>
      </c>
      <c r="O863" t="s">
        <v>74</v>
      </c>
      <c r="P863" t="s">
        <v>74</v>
      </c>
      <c r="Q863" t="s">
        <v>74</v>
      </c>
      <c r="R863" t="s">
        <v>74</v>
      </c>
      <c r="S863" t="s">
        <v>74</v>
      </c>
      <c r="T863" t="s">
        <v>74</v>
      </c>
      <c r="U863" t="s">
        <v>74</v>
      </c>
      <c r="V863" s="3" t="s">
        <v>5695</v>
      </c>
      <c r="W863" t="s">
        <v>74</v>
      </c>
      <c r="X863" t="s">
        <v>74</v>
      </c>
      <c r="Y863" t="s">
        <v>74</v>
      </c>
      <c r="Z863" t="s">
        <v>74</v>
      </c>
      <c r="AA863" t="s">
        <v>5696</v>
      </c>
      <c r="AB863" t="s">
        <v>5697</v>
      </c>
      <c r="AC863" t="s">
        <v>74</v>
      </c>
      <c r="AD863" t="s">
        <v>74</v>
      </c>
      <c r="AE863" t="s">
        <v>74</v>
      </c>
      <c r="AF863" t="s">
        <v>74</v>
      </c>
      <c r="AG863" t="s">
        <v>74</v>
      </c>
      <c r="AH863" t="s">
        <v>74</v>
      </c>
      <c r="AI863" t="s">
        <v>74</v>
      </c>
      <c r="AJ863" t="s">
        <v>74</v>
      </c>
      <c r="AK863" t="s">
        <v>74</v>
      </c>
      <c r="AL863" t="s">
        <v>74</v>
      </c>
      <c r="AM863" t="s">
        <v>74</v>
      </c>
      <c r="AN863" t="s">
        <v>74</v>
      </c>
      <c r="AO863" t="s">
        <v>695</v>
      </c>
      <c r="AP863" t="s">
        <v>74</v>
      </c>
      <c r="AQ863" t="s">
        <v>74</v>
      </c>
      <c r="AR863" t="s">
        <v>74</v>
      </c>
      <c r="AS863" t="s">
        <v>74</v>
      </c>
      <c r="AT863" t="s">
        <v>1090</v>
      </c>
      <c r="AU863">
        <v>2018</v>
      </c>
      <c r="AV863">
        <v>183</v>
      </c>
      <c r="AW863" t="s">
        <v>74</v>
      </c>
      <c r="AX863" t="s">
        <v>74</v>
      </c>
      <c r="AY863" t="s">
        <v>74</v>
      </c>
      <c r="AZ863" t="s">
        <v>74</v>
      </c>
      <c r="BA863" t="s">
        <v>74</v>
      </c>
      <c r="BB863">
        <v>33</v>
      </c>
      <c r="BC863">
        <v>38</v>
      </c>
      <c r="BD863" t="s">
        <v>74</v>
      </c>
      <c r="BE863" t="s">
        <v>5698</v>
      </c>
      <c r="BF863" t="str">
        <f>HYPERLINK("http://dx.doi.org/10.1016/j.physbeh.2017.10.016","http://dx.doi.org/10.1016/j.physbeh.2017.10.016")</f>
        <v>http://dx.doi.org/10.1016/j.physbeh.2017.10.016</v>
      </c>
      <c r="BG863" t="s">
        <v>74</v>
      </c>
      <c r="BH863" t="s">
        <v>74</v>
      </c>
      <c r="BI863" t="s">
        <v>74</v>
      </c>
      <c r="BJ863" t="s">
        <v>74</v>
      </c>
      <c r="BK863" t="s">
        <v>74</v>
      </c>
      <c r="BL863" t="s">
        <v>74</v>
      </c>
      <c r="BM863" t="s">
        <v>74</v>
      </c>
      <c r="BN863">
        <v>29056352</v>
      </c>
      <c r="BO863" t="s">
        <v>74</v>
      </c>
      <c r="BP863" t="s">
        <v>74</v>
      </c>
      <c r="BQ863" t="s">
        <v>74</v>
      </c>
      <c r="BR863" t="s">
        <v>74</v>
      </c>
      <c r="BS863" t="s">
        <v>5699</v>
      </c>
      <c r="BT863" t="str">
        <f>HYPERLINK("https%3A%2F%2Fwww.webofscience.com%2Fwos%2Fwoscc%2Ffull-record%2FWOS:000417009800005","View Full Record in Web of Science")</f>
        <v>View Full Record in Web of Science</v>
      </c>
    </row>
    <row r="864" spans="1:72" x14ac:dyDescent="0.4">
      <c r="A864" t="s">
        <v>72</v>
      </c>
      <c r="B864" t="s">
        <v>7679</v>
      </c>
      <c r="C864" t="s">
        <v>74</v>
      </c>
      <c r="D864" t="s">
        <v>74</v>
      </c>
      <c r="E864" t="s">
        <v>74</v>
      </c>
      <c r="F864" t="s">
        <v>7680</v>
      </c>
      <c r="G864" t="s">
        <v>74</v>
      </c>
      <c r="H864" t="s">
        <v>74</v>
      </c>
      <c r="I864" t="s">
        <v>7681</v>
      </c>
      <c r="J864" t="s">
        <v>610</v>
      </c>
      <c r="K864" t="s">
        <v>74</v>
      </c>
      <c r="L864" t="s">
        <v>74</v>
      </c>
      <c r="M864" t="s">
        <v>74</v>
      </c>
      <c r="N864" t="s">
        <v>74</v>
      </c>
      <c r="O864" t="s">
        <v>74</v>
      </c>
      <c r="P864" t="s">
        <v>74</v>
      </c>
      <c r="Q864" t="s">
        <v>74</v>
      </c>
      <c r="R864" t="s">
        <v>74</v>
      </c>
      <c r="S864" t="s">
        <v>74</v>
      </c>
      <c r="T864" t="s">
        <v>74</v>
      </c>
      <c r="U864" t="s">
        <v>74</v>
      </c>
      <c r="V864" s="3" t="s">
        <v>7682</v>
      </c>
      <c r="W864" t="s">
        <v>74</v>
      </c>
      <c r="X864" t="s">
        <v>74</v>
      </c>
      <c r="Y864" t="s">
        <v>74</v>
      </c>
      <c r="Z864" t="s">
        <v>74</v>
      </c>
      <c r="AA864" t="s">
        <v>74</v>
      </c>
      <c r="AB864" t="s">
        <v>7683</v>
      </c>
      <c r="AC864" t="s">
        <v>74</v>
      </c>
      <c r="AD864" t="s">
        <v>74</v>
      </c>
      <c r="AE864" t="s">
        <v>74</v>
      </c>
      <c r="AF864" t="s">
        <v>74</v>
      </c>
      <c r="AG864" t="s">
        <v>74</v>
      </c>
      <c r="AH864" t="s">
        <v>74</v>
      </c>
      <c r="AI864" t="s">
        <v>74</v>
      </c>
      <c r="AJ864" t="s">
        <v>74</v>
      </c>
      <c r="AK864" t="s">
        <v>74</v>
      </c>
      <c r="AL864" t="s">
        <v>74</v>
      </c>
      <c r="AM864" t="s">
        <v>74</v>
      </c>
      <c r="AN864" t="s">
        <v>74</v>
      </c>
      <c r="AO864" t="s">
        <v>614</v>
      </c>
      <c r="AP864" t="s">
        <v>615</v>
      </c>
      <c r="AQ864" t="s">
        <v>74</v>
      </c>
      <c r="AR864" t="s">
        <v>74</v>
      </c>
      <c r="AS864" t="s">
        <v>74</v>
      </c>
      <c r="AT864" t="s">
        <v>204</v>
      </c>
      <c r="AU864">
        <v>2010</v>
      </c>
      <c r="AV864">
        <v>116</v>
      </c>
      <c r="AW864">
        <v>7</v>
      </c>
      <c r="AX864" t="s">
        <v>74</v>
      </c>
      <c r="AY864" t="s">
        <v>74</v>
      </c>
      <c r="AZ864" t="s">
        <v>74</v>
      </c>
      <c r="BA864" t="s">
        <v>74</v>
      </c>
      <c r="BB864">
        <v>608</v>
      </c>
      <c r="BC864">
        <v>618</v>
      </c>
      <c r="BD864" t="s">
        <v>74</v>
      </c>
      <c r="BE864" t="s">
        <v>7684</v>
      </c>
      <c r="BF864" t="str">
        <f>HYPERLINK("http://dx.doi.org/10.1111/j.1439-0310.2010.01777.x","http://dx.doi.org/10.1111/j.1439-0310.2010.01777.x")</f>
        <v>http://dx.doi.org/10.1111/j.1439-0310.2010.01777.x</v>
      </c>
      <c r="BG864" t="s">
        <v>74</v>
      </c>
      <c r="BH864" t="s">
        <v>74</v>
      </c>
      <c r="BI864" t="s">
        <v>74</v>
      </c>
      <c r="BJ864" t="s">
        <v>74</v>
      </c>
      <c r="BK864" t="s">
        <v>74</v>
      </c>
      <c r="BL864" t="s">
        <v>74</v>
      </c>
      <c r="BM864" t="s">
        <v>74</v>
      </c>
      <c r="BN864" t="s">
        <v>74</v>
      </c>
      <c r="BO864" t="s">
        <v>74</v>
      </c>
      <c r="BP864" t="s">
        <v>74</v>
      </c>
      <c r="BQ864" t="s">
        <v>74</v>
      </c>
      <c r="BR864" t="s">
        <v>74</v>
      </c>
      <c r="BS864" t="s">
        <v>7685</v>
      </c>
      <c r="BT864" t="str">
        <f>HYPERLINK("https%3A%2F%2Fwww.webofscience.com%2Fwos%2Fwoscc%2Ffull-record%2FWOS:000278520600004","View Full Record in Web of Science")</f>
        <v>View Full Record in Web of Science</v>
      </c>
    </row>
    <row r="865" spans="1:72" x14ac:dyDescent="0.4">
      <c r="A865" t="s">
        <v>72</v>
      </c>
      <c r="B865" t="s">
        <v>5948</v>
      </c>
      <c r="C865" t="s">
        <v>74</v>
      </c>
      <c r="D865" t="s">
        <v>74</v>
      </c>
      <c r="E865" t="s">
        <v>74</v>
      </c>
      <c r="F865" t="s">
        <v>5949</v>
      </c>
      <c r="G865" t="s">
        <v>74</v>
      </c>
      <c r="H865" t="s">
        <v>74</v>
      </c>
      <c r="I865" t="s">
        <v>5950</v>
      </c>
      <c r="J865" t="s">
        <v>5951</v>
      </c>
      <c r="K865" t="s">
        <v>74</v>
      </c>
      <c r="L865" t="s">
        <v>74</v>
      </c>
      <c r="M865" t="s">
        <v>74</v>
      </c>
      <c r="N865" t="s">
        <v>74</v>
      </c>
      <c r="O865" t="s">
        <v>74</v>
      </c>
      <c r="P865" t="s">
        <v>74</v>
      </c>
      <c r="Q865" t="s">
        <v>74</v>
      </c>
      <c r="R865" t="s">
        <v>74</v>
      </c>
      <c r="S865" t="s">
        <v>74</v>
      </c>
      <c r="T865" t="s">
        <v>74</v>
      </c>
      <c r="U865" t="s">
        <v>74</v>
      </c>
      <c r="V865" s="3" t="s">
        <v>5952</v>
      </c>
      <c r="W865" t="s">
        <v>74</v>
      </c>
      <c r="X865" t="s">
        <v>74</v>
      </c>
      <c r="Y865" t="s">
        <v>74</v>
      </c>
      <c r="Z865" t="s">
        <v>74</v>
      </c>
      <c r="AA865" t="s">
        <v>5953</v>
      </c>
      <c r="AB865" t="s">
        <v>5954</v>
      </c>
      <c r="AC865" t="s">
        <v>74</v>
      </c>
      <c r="AD865" t="s">
        <v>74</v>
      </c>
      <c r="AE865" t="s">
        <v>74</v>
      </c>
      <c r="AF865" t="s">
        <v>74</v>
      </c>
      <c r="AG865" t="s">
        <v>74</v>
      </c>
      <c r="AH865" t="s">
        <v>74</v>
      </c>
      <c r="AI865" t="s">
        <v>74</v>
      </c>
      <c r="AJ865" t="s">
        <v>74</v>
      </c>
      <c r="AK865" t="s">
        <v>74</v>
      </c>
      <c r="AL865" t="s">
        <v>74</v>
      </c>
      <c r="AM865" t="s">
        <v>74</v>
      </c>
      <c r="AN865" t="s">
        <v>74</v>
      </c>
      <c r="AO865" t="s">
        <v>5955</v>
      </c>
      <c r="AP865" t="s">
        <v>74</v>
      </c>
      <c r="AQ865" t="s">
        <v>74</v>
      </c>
      <c r="AR865" t="s">
        <v>74</v>
      </c>
      <c r="AS865" t="s">
        <v>74</v>
      </c>
      <c r="AT865" t="s">
        <v>175</v>
      </c>
      <c r="AU865">
        <v>2009</v>
      </c>
      <c r="AV865">
        <v>30</v>
      </c>
      <c r="AW865" t="s">
        <v>74</v>
      </c>
      <c r="AX865" t="s">
        <v>74</v>
      </c>
      <c r="AY865" t="s">
        <v>74</v>
      </c>
      <c r="AZ865" t="s">
        <v>74</v>
      </c>
      <c r="BA865" t="s">
        <v>74</v>
      </c>
      <c r="BB865">
        <v>175</v>
      </c>
      <c r="BC865">
        <v>180</v>
      </c>
      <c r="BD865" t="s">
        <v>74</v>
      </c>
      <c r="BE865" t="s">
        <v>5956</v>
      </c>
      <c r="BF865" t="str">
        <f>HYPERLINK("http://dx.doi.org/10.1111/j.1439-0485.2009.00309.x","http://dx.doi.org/10.1111/j.1439-0485.2009.00309.x")</f>
        <v>http://dx.doi.org/10.1111/j.1439-0485.2009.00309.x</v>
      </c>
      <c r="BG865" t="s">
        <v>74</v>
      </c>
      <c r="BH865" t="s">
        <v>74</v>
      </c>
      <c r="BI865" t="s">
        <v>74</v>
      </c>
      <c r="BJ865" t="s">
        <v>74</v>
      </c>
      <c r="BK865" t="s">
        <v>74</v>
      </c>
      <c r="BL865" t="s">
        <v>74</v>
      </c>
      <c r="BM865" t="s">
        <v>74</v>
      </c>
      <c r="BN865" t="s">
        <v>74</v>
      </c>
      <c r="BO865" t="s">
        <v>74</v>
      </c>
      <c r="BP865" t="s">
        <v>74</v>
      </c>
      <c r="BQ865" t="s">
        <v>74</v>
      </c>
      <c r="BR865" t="s">
        <v>74</v>
      </c>
      <c r="BS865" t="s">
        <v>5957</v>
      </c>
      <c r="BT865" t="str">
        <f>HYPERLINK("https%3A%2F%2Fwww.webofscience.com%2Fwos%2Fwoscc%2Ffull-record%2FWOS:000270237100018","View Full Record in Web of Science")</f>
        <v>View Full Record in Web of Science</v>
      </c>
    </row>
    <row r="866" spans="1:72" x14ac:dyDescent="0.4">
      <c r="A866" t="s">
        <v>72</v>
      </c>
      <c r="B866" t="s">
        <v>3372</v>
      </c>
      <c r="C866" t="s">
        <v>74</v>
      </c>
      <c r="D866" t="s">
        <v>74</v>
      </c>
      <c r="E866" t="s">
        <v>74</v>
      </c>
      <c r="F866" t="s">
        <v>3372</v>
      </c>
      <c r="G866" t="s">
        <v>74</v>
      </c>
      <c r="H866" t="s">
        <v>74</v>
      </c>
      <c r="I866" t="s">
        <v>3373</v>
      </c>
      <c r="J866" t="s">
        <v>3374</v>
      </c>
      <c r="K866" t="s">
        <v>74</v>
      </c>
      <c r="L866" t="s">
        <v>74</v>
      </c>
      <c r="M866" t="s">
        <v>74</v>
      </c>
      <c r="N866" t="s">
        <v>74</v>
      </c>
      <c r="O866" t="s">
        <v>74</v>
      </c>
      <c r="P866" t="s">
        <v>74</v>
      </c>
      <c r="Q866" t="s">
        <v>74</v>
      </c>
      <c r="R866" t="s">
        <v>74</v>
      </c>
      <c r="S866" t="s">
        <v>74</v>
      </c>
      <c r="T866" t="s">
        <v>74</v>
      </c>
      <c r="U866" t="s">
        <v>74</v>
      </c>
      <c r="V866" s="3" t="s">
        <v>3375</v>
      </c>
      <c r="W866" t="s">
        <v>74</v>
      </c>
      <c r="X866" t="s">
        <v>74</v>
      </c>
      <c r="Y866" t="s">
        <v>74</v>
      </c>
      <c r="Z866" t="s">
        <v>74</v>
      </c>
      <c r="AA866" t="s">
        <v>3376</v>
      </c>
      <c r="AB866" t="s">
        <v>3377</v>
      </c>
      <c r="AC866" t="s">
        <v>74</v>
      </c>
      <c r="AD866" t="s">
        <v>74</v>
      </c>
      <c r="AE866" t="s">
        <v>74</v>
      </c>
      <c r="AF866" t="s">
        <v>74</v>
      </c>
      <c r="AG866" t="s">
        <v>74</v>
      </c>
      <c r="AH866" t="s">
        <v>74</v>
      </c>
      <c r="AI866" t="s">
        <v>74</v>
      </c>
      <c r="AJ866" t="s">
        <v>74</v>
      </c>
      <c r="AK866" t="s">
        <v>74</v>
      </c>
      <c r="AL866" t="s">
        <v>74</v>
      </c>
      <c r="AM866" t="s">
        <v>74</v>
      </c>
      <c r="AN866" t="s">
        <v>74</v>
      </c>
      <c r="AO866" t="s">
        <v>3378</v>
      </c>
      <c r="AP866" t="s">
        <v>3379</v>
      </c>
      <c r="AQ866" t="s">
        <v>74</v>
      </c>
      <c r="AR866" t="s">
        <v>74</v>
      </c>
      <c r="AS866" t="s">
        <v>74</v>
      </c>
      <c r="AT866" t="s">
        <v>3380</v>
      </c>
      <c r="AU866">
        <v>2005</v>
      </c>
      <c r="AV866">
        <v>36</v>
      </c>
      <c r="AW866">
        <v>4</v>
      </c>
      <c r="AX866" t="s">
        <v>74</v>
      </c>
      <c r="AY866" t="s">
        <v>74</v>
      </c>
      <c r="AZ866" t="s">
        <v>74</v>
      </c>
      <c r="BA866" t="s">
        <v>74</v>
      </c>
      <c r="BB866">
        <v>571</v>
      </c>
      <c r="BC866">
        <v>584</v>
      </c>
      <c r="BD866" t="s">
        <v>74</v>
      </c>
      <c r="BE866" t="s">
        <v>3381</v>
      </c>
      <c r="BF866" t="str">
        <f>HYPERLINK("http://dx.doi.org/10.1051/apido:2005047","http://dx.doi.org/10.1051/apido:2005047")</f>
        <v>http://dx.doi.org/10.1051/apido:2005047</v>
      </c>
      <c r="BG866" t="s">
        <v>74</v>
      </c>
      <c r="BH866" t="s">
        <v>74</v>
      </c>
      <c r="BI866" t="s">
        <v>74</v>
      </c>
      <c r="BJ866" t="s">
        <v>74</v>
      </c>
      <c r="BK866" t="s">
        <v>74</v>
      </c>
      <c r="BL866" t="s">
        <v>74</v>
      </c>
      <c r="BM866" t="s">
        <v>74</v>
      </c>
      <c r="BN866" t="s">
        <v>74</v>
      </c>
      <c r="BO866" t="s">
        <v>74</v>
      </c>
      <c r="BP866" t="s">
        <v>74</v>
      </c>
      <c r="BQ866" t="s">
        <v>74</v>
      </c>
      <c r="BR866" t="s">
        <v>74</v>
      </c>
      <c r="BS866" t="s">
        <v>3382</v>
      </c>
      <c r="BT866" t="str">
        <f>HYPERLINK("https%3A%2F%2Fwww.webofscience.com%2Fwos%2Fwoscc%2Ffull-record%2FWOS:000235837400004","View Full Record in Web of Science")</f>
        <v>View Full Record in Web of Science</v>
      </c>
    </row>
    <row r="867" spans="1:72" x14ac:dyDescent="0.4">
      <c r="A867" t="s">
        <v>72</v>
      </c>
      <c r="B867" t="s">
        <v>5159</v>
      </c>
      <c r="C867" t="s">
        <v>74</v>
      </c>
      <c r="D867" t="s">
        <v>74</v>
      </c>
      <c r="E867" t="s">
        <v>74</v>
      </c>
      <c r="F867" t="s">
        <v>5159</v>
      </c>
      <c r="G867" t="s">
        <v>74</v>
      </c>
      <c r="H867" t="s">
        <v>74</v>
      </c>
      <c r="I867" t="s">
        <v>5160</v>
      </c>
      <c r="J867" t="s">
        <v>1526</v>
      </c>
      <c r="K867" t="s">
        <v>74</v>
      </c>
      <c r="L867" t="s">
        <v>74</v>
      </c>
      <c r="M867" t="s">
        <v>74</v>
      </c>
      <c r="N867" t="s">
        <v>74</v>
      </c>
      <c r="O867" t="s">
        <v>74</v>
      </c>
      <c r="P867" t="s">
        <v>74</v>
      </c>
      <c r="Q867" t="s">
        <v>74</v>
      </c>
      <c r="R867" t="s">
        <v>74</v>
      </c>
      <c r="S867" t="s">
        <v>74</v>
      </c>
      <c r="T867" t="s">
        <v>74</v>
      </c>
      <c r="U867" t="s">
        <v>74</v>
      </c>
      <c r="V867" s="3" t="s">
        <v>5161</v>
      </c>
      <c r="W867" t="s">
        <v>74</v>
      </c>
      <c r="X867" t="s">
        <v>74</v>
      </c>
      <c r="Y867" t="s">
        <v>74</v>
      </c>
      <c r="Z867" t="s">
        <v>74</v>
      </c>
      <c r="AA867" t="s">
        <v>74</v>
      </c>
      <c r="AB867" t="s">
        <v>74</v>
      </c>
      <c r="AC867" t="s">
        <v>74</v>
      </c>
      <c r="AD867" t="s">
        <v>74</v>
      </c>
      <c r="AE867" t="s">
        <v>74</v>
      </c>
      <c r="AF867" t="s">
        <v>74</v>
      </c>
      <c r="AG867" t="s">
        <v>74</v>
      </c>
      <c r="AH867" t="s">
        <v>74</v>
      </c>
      <c r="AI867" t="s">
        <v>74</v>
      </c>
      <c r="AJ867" t="s">
        <v>74</v>
      </c>
      <c r="AK867" t="s">
        <v>74</v>
      </c>
      <c r="AL867" t="s">
        <v>74</v>
      </c>
      <c r="AM867" t="s">
        <v>74</v>
      </c>
      <c r="AN867" t="s">
        <v>74</v>
      </c>
      <c r="AO867" t="s">
        <v>1528</v>
      </c>
      <c r="AP867" t="s">
        <v>74</v>
      </c>
      <c r="AQ867" t="s">
        <v>74</v>
      </c>
      <c r="AR867" t="s">
        <v>74</v>
      </c>
      <c r="AS867" t="s">
        <v>74</v>
      </c>
      <c r="AT867" t="s">
        <v>213</v>
      </c>
      <c r="AU867">
        <v>1991</v>
      </c>
      <c r="AV867">
        <v>93</v>
      </c>
      <c r="AW867">
        <v>4</v>
      </c>
      <c r="AX867" t="s">
        <v>74</v>
      </c>
      <c r="AY867" t="s">
        <v>74</v>
      </c>
      <c r="AZ867" t="s">
        <v>74</v>
      </c>
      <c r="BA867" t="s">
        <v>74</v>
      </c>
      <c r="BB867">
        <v>825</v>
      </c>
      <c r="BC867">
        <v>839</v>
      </c>
      <c r="BD867" t="s">
        <v>74</v>
      </c>
      <c r="BE867" t="s">
        <v>5162</v>
      </c>
      <c r="BF867" t="str">
        <f>HYPERLINK("http://dx.doi.org/10.2307/3247717","http://dx.doi.org/10.2307/3247717")</f>
        <v>http://dx.doi.org/10.2307/3247717</v>
      </c>
      <c r="BG867" t="s">
        <v>74</v>
      </c>
      <c r="BH867" t="s">
        <v>74</v>
      </c>
      <c r="BI867" t="s">
        <v>74</v>
      </c>
      <c r="BJ867" t="s">
        <v>74</v>
      </c>
      <c r="BK867" t="s">
        <v>74</v>
      </c>
      <c r="BL867" t="s">
        <v>74</v>
      </c>
      <c r="BM867" t="s">
        <v>74</v>
      </c>
      <c r="BN867" t="s">
        <v>74</v>
      </c>
      <c r="BO867" t="s">
        <v>74</v>
      </c>
      <c r="BP867" t="s">
        <v>74</v>
      </c>
      <c r="BQ867" t="s">
        <v>74</v>
      </c>
      <c r="BR867" t="s">
        <v>74</v>
      </c>
      <c r="BS867" t="s">
        <v>5163</v>
      </c>
      <c r="BT867" t="str">
        <f>HYPERLINK("https%3A%2F%2Fwww.webofscience.com%2Fwos%2Fwoscc%2Ffull-record%2FWOS:A1991GW79100005","View Full Record in Web of Science")</f>
        <v>View Full Record in Web of Science</v>
      </c>
    </row>
    <row r="868" spans="1:72" x14ac:dyDescent="0.4">
      <c r="A868" t="s">
        <v>72</v>
      </c>
      <c r="B868" t="s">
        <v>1452</v>
      </c>
      <c r="C868" t="s">
        <v>74</v>
      </c>
      <c r="D868" t="s">
        <v>74</v>
      </c>
      <c r="E868" t="s">
        <v>74</v>
      </c>
      <c r="F868" t="s">
        <v>1453</v>
      </c>
      <c r="G868" t="s">
        <v>74</v>
      </c>
      <c r="H868" t="s">
        <v>74</v>
      </c>
      <c r="I868" t="s">
        <v>1454</v>
      </c>
      <c r="J868" t="s">
        <v>431</v>
      </c>
      <c r="K868" t="s">
        <v>74</v>
      </c>
      <c r="L868" t="s">
        <v>74</v>
      </c>
      <c r="M868" t="s">
        <v>74</v>
      </c>
      <c r="N868" t="s">
        <v>74</v>
      </c>
      <c r="O868" t="s">
        <v>74</v>
      </c>
      <c r="P868" t="s">
        <v>74</v>
      </c>
      <c r="Q868" t="s">
        <v>74</v>
      </c>
      <c r="R868" t="s">
        <v>74</v>
      </c>
      <c r="S868" t="s">
        <v>74</v>
      </c>
      <c r="T868" t="s">
        <v>74</v>
      </c>
      <c r="U868" t="s">
        <v>74</v>
      </c>
      <c r="V868" s="3" t="s">
        <v>1455</v>
      </c>
      <c r="W868" t="s">
        <v>74</v>
      </c>
      <c r="X868" t="s">
        <v>74</v>
      </c>
      <c r="Y868" t="s">
        <v>74</v>
      </c>
      <c r="Z868" t="s">
        <v>74</v>
      </c>
      <c r="AA868" t="s">
        <v>1456</v>
      </c>
      <c r="AB868" t="s">
        <v>1457</v>
      </c>
      <c r="AC868" t="s">
        <v>74</v>
      </c>
      <c r="AD868" t="s">
        <v>74</v>
      </c>
      <c r="AE868" t="s">
        <v>74</v>
      </c>
      <c r="AF868" t="s">
        <v>74</v>
      </c>
      <c r="AG868" t="s">
        <v>74</v>
      </c>
      <c r="AH868" t="s">
        <v>74</v>
      </c>
      <c r="AI868" t="s">
        <v>74</v>
      </c>
      <c r="AJ868" t="s">
        <v>74</v>
      </c>
      <c r="AK868" t="s">
        <v>74</v>
      </c>
      <c r="AL868" t="s">
        <v>74</v>
      </c>
      <c r="AM868" t="s">
        <v>74</v>
      </c>
      <c r="AN868" t="s">
        <v>74</v>
      </c>
      <c r="AO868" t="s">
        <v>1458</v>
      </c>
      <c r="AP868" t="s">
        <v>435</v>
      </c>
      <c r="AQ868" t="s">
        <v>74</v>
      </c>
      <c r="AR868" t="s">
        <v>74</v>
      </c>
      <c r="AS868" t="s">
        <v>74</v>
      </c>
      <c r="AT868" t="s">
        <v>255</v>
      </c>
      <c r="AU868">
        <v>2015</v>
      </c>
      <c r="AV868">
        <v>132</v>
      </c>
      <c r="AW868">
        <v>1</v>
      </c>
      <c r="AX868" t="s">
        <v>74</v>
      </c>
      <c r="AY868" t="s">
        <v>74</v>
      </c>
      <c r="AZ868" t="s">
        <v>74</v>
      </c>
      <c r="BA868" t="s">
        <v>74</v>
      </c>
      <c r="BB868">
        <v>92</v>
      </c>
      <c r="BC868">
        <v>104</v>
      </c>
      <c r="BD868" t="s">
        <v>74</v>
      </c>
      <c r="BE868" t="s">
        <v>1459</v>
      </c>
      <c r="BF868" t="str">
        <f>HYPERLINK("http://dx.doi.org/10.1642/AUK-14-103.1","http://dx.doi.org/10.1642/AUK-14-103.1")</f>
        <v>http://dx.doi.org/10.1642/AUK-14-103.1</v>
      </c>
      <c r="BG868" t="s">
        <v>74</v>
      </c>
      <c r="BH868" t="s">
        <v>74</v>
      </c>
      <c r="BI868" t="s">
        <v>74</v>
      </c>
      <c r="BJ868" t="s">
        <v>74</v>
      </c>
      <c r="BK868" t="s">
        <v>74</v>
      </c>
      <c r="BL868" t="s">
        <v>74</v>
      </c>
      <c r="BM868" t="s">
        <v>74</v>
      </c>
      <c r="BN868" t="s">
        <v>74</v>
      </c>
      <c r="BO868" t="s">
        <v>74</v>
      </c>
      <c r="BP868" t="s">
        <v>74</v>
      </c>
      <c r="BQ868" t="s">
        <v>74</v>
      </c>
      <c r="BR868" t="s">
        <v>74</v>
      </c>
      <c r="BS868" t="s">
        <v>1460</v>
      </c>
      <c r="BT868" t="str">
        <f>HYPERLINK("https%3A%2F%2Fwww.webofscience.com%2Fwos%2Fwoscc%2Ffull-record%2FWOS:000347799300010","View Full Record in Web of Science")</f>
        <v>View Full Record in Web of Science</v>
      </c>
    </row>
    <row r="869" spans="1:72" x14ac:dyDescent="0.4">
      <c r="A869" t="s">
        <v>72</v>
      </c>
      <c r="B869" t="s">
        <v>2255</v>
      </c>
      <c r="C869" t="s">
        <v>74</v>
      </c>
      <c r="D869" t="s">
        <v>74</v>
      </c>
      <c r="E869" t="s">
        <v>74</v>
      </c>
      <c r="F869" t="s">
        <v>2255</v>
      </c>
      <c r="G869" t="s">
        <v>74</v>
      </c>
      <c r="H869" t="s">
        <v>74</v>
      </c>
      <c r="I869" t="s">
        <v>2256</v>
      </c>
      <c r="J869" t="s">
        <v>2257</v>
      </c>
      <c r="K869" t="s">
        <v>74</v>
      </c>
      <c r="L869" t="s">
        <v>74</v>
      </c>
      <c r="M869" t="s">
        <v>74</v>
      </c>
      <c r="N869" t="s">
        <v>74</v>
      </c>
      <c r="O869" t="s">
        <v>74</v>
      </c>
      <c r="P869" t="s">
        <v>74</v>
      </c>
      <c r="Q869" t="s">
        <v>74</v>
      </c>
      <c r="R869" t="s">
        <v>74</v>
      </c>
      <c r="S869" t="s">
        <v>74</v>
      </c>
      <c r="T869" t="s">
        <v>74</v>
      </c>
      <c r="U869" t="s">
        <v>74</v>
      </c>
      <c r="V869" s="3" t="s">
        <v>2258</v>
      </c>
      <c r="W869" t="s">
        <v>74</v>
      </c>
      <c r="X869" t="s">
        <v>74</v>
      </c>
      <c r="Y869" t="s">
        <v>74</v>
      </c>
      <c r="Z869" t="s">
        <v>74</v>
      </c>
      <c r="AA869" t="s">
        <v>2259</v>
      </c>
      <c r="AB869" t="s">
        <v>2260</v>
      </c>
      <c r="AC869" t="s">
        <v>74</v>
      </c>
      <c r="AD869" t="s">
        <v>74</v>
      </c>
      <c r="AE869" t="s">
        <v>74</v>
      </c>
      <c r="AF869" t="s">
        <v>74</v>
      </c>
      <c r="AG869" t="s">
        <v>74</v>
      </c>
      <c r="AH869" t="s">
        <v>74</v>
      </c>
      <c r="AI869" t="s">
        <v>74</v>
      </c>
      <c r="AJ869" t="s">
        <v>74</v>
      </c>
      <c r="AK869" t="s">
        <v>74</v>
      </c>
      <c r="AL869" t="s">
        <v>74</v>
      </c>
      <c r="AM869" t="s">
        <v>74</v>
      </c>
      <c r="AN869" t="s">
        <v>74</v>
      </c>
      <c r="AO869" t="s">
        <v>2261</v>
      </c>
      <c r="AP869" t="s">
        <v>74</v>
      </c>
      <c r="AQ869" t="s">
        <v>74</v>
      </c>
      <c r="AR869" t="s">
        <v>74</v>
      </c>
      <c r="AS869" t="s">
        <v>74</v>
      </c>
      <c r="AT869" t="s">
        <v>74</v>
      </c>
      <c r="AU869">
        <v>2000</v>
      </c>
      <c r="AV869">
        <v>77</v>
      </c>
      <c r="AW869">
        <v>1</v>
      </c>
      <c r="AX869" t="s">
        <v>74</v>
      </c>
      <c r="AY869" t="s">
        <v>74</v>
      </c>
      <c r="AZ869" t="s">
        <v>74</v>
      </c>
      <c r="BA869" t="s">
        <v>74</v>
      </c>
      <c r="BB869">
        <v>11</v>
      </c>
      <c r="BC869">
        <v>16</v>
      </c>
      <c r="BD869" t="s">
        <v>74</v>
      </c>
      <c r="BE869" t="s">
        <v>74</v>
      </c>
      <c r="BF869" t="s">
        <v>74</v>
      </c>
      <c r="BG869" t="s">
        <v>74</v>
      </c>
      <c r="BH869" t="s">
        <v>74</v>
      </c>
      <c r="BI869" t="s">
        <v>74</v>
      </c>
      <c r="BJ869" t="s">
        <v>74</v>
      </c>
      <c r="BK869" t="s">
        <v>74</v>
      </c>
      <c r="BL869" t="s">
        <v>74</v>
      </c>
      <c r="BM869" t="s">
        <v>74</v>
      </c>
      <c r="BN869" t="s">
        <v>74</v>
      </c>
      <c r="BO869" t="s">
        <v>74</v>
      </c>
      <c r="BP869" t="s">
        <v>74</v>
      </c>
      <c r="BQ869" t="s">
        <v>74</v>
      </c>
      <c r="BR869" t="s">
        <v>74</v>
      </c>
      <c r="BS869" t="s">
        <v>2262</v>
      </c>
      <c r="BT869" t="str">
        <f>HYPERLINK("https%3A%2F%2Fwww.webofscience.com%2Fwos%2Fwoscc%2Ffull-record%2FWOS:000086364000002","View Full Record in Web of Science")</f>
        <v>View Full Record in Web of Science</v>
      </c>
    </row>
    <row r="870" spans="1:72" x14ac:dyDescent="0.4">
      <c r="A870" t="s">
        <v>72</v>
      </c>
      <c r="B870" t="s">
        <v>6073</v>
      </c>
      <c r="C870" t="s">
        <v>74</v>
      </c>
      <c r="D870" t="s">
        <v>74</v>
      </c>
      <c r="E870" t="s">
        <v>74</v>
      </c>
      <c r="F870" t="s">
        <v>6074</v>
      </c>
      <c r="G870" t="s">
        <v>74</v>
      </c>
      <c r="H870" t="s">
        <v>74</v>
      </c>
      <c r="I870" t="s">
        <v>6075</v>
      </c>
      <c r="J870" t="s">
        <v>610</v>
      </c>
      <c r="K870" t="s">
        <v>74</v>
      </c>
      <c r="L870" t="s">
        <v>74</v>
      </c>
      <c r="M870" t="s">
        <v>74</v>
      </c>
      <c r="N870" t="s">
        <v>74</v>
      </c>
      <c r="O870" t="s">
        <v>74</v>
      </c>
      <c r="P870" t="s">
        <v>74</v>
      </c>
      <c r="Q870" t="s">
        <v>74</v>
      </c>
      <c r="R870" t="s">
        <v>74</v>
      </c>
      <c r="S870" t="s">
        <v>74</v>
      </c>
      <c r="T870" t="s">
        <v>74</v>
      </c>
      <c r="U870" t="s">
        <v>74</v>
      </c>
      <c r="V870" s="3" t="s">
        <v>6076</v>
      </c>
      <c r="W870" t="s">
        <v>74</v>
      </c>
      <c r="X870" t="s">
        <v>74</v>
      </c>
      <c r="Y870" t="s">
        <v>74</v>
      </c>
      <c r="Z870" t="s">
        <v>74</v>
      </c>
      <c r="AA870" t="s">
        <v>6077</v>
      </c>
      <c r="AB870" t="s">
        <v>6078</v>
      </c>
      <c r="AC870" t="s">
        <v>74</v>
      </c>
      <c r="AD870" t="s">
        <v>74</v>
      </c>
      <c r="AE870" t="s">
        <v>74</v>
      </c>
      <c r="AF870" t="s">
        <v>74</v>
      </c>
      <c r="AG870" t="s">
        <v>74</v>
      </c>
      <c r="AH870" t="s">
        <v>74</v>
      </c>
      <c r="AI870" t="s">
        <v>74</v>
      </c>
      <c r="AJ870" t="s">
        <v>74</v>
      </c>
      <c r="AK870" t="s">
        <v>74</v>
      </c>
      <c r="AL870" t="s">
        <v>74</v>
      </c>
      <c r="AM870" t="s">
        <v>74</v>
      </c>
      <c r="AN870" t="s">
        <v>74</v>
      </c>
      <c r="AO870" t="s">
        <v>614</v>
      </c>
      <c r="AP870" t="s">
        <v>615</v>
      </c>
      <c r="AQ870" t="s">
        <v>74</v>
      </c>
      <c r="AR870" t="s">
        <v>74</v>
      </c>
      <c r="AS870" t="s">
        <v>74</v>
      </c>
      <c r="AT870" t="s">
        <v>964</v>
      </c>
      <c r="AU870">
        <v>2019</v>
      </c>
      <c r="AV870">
        <v>125</v>
      </c>
      <c r="AW870">
        <v>2</v>
      </c>
      <c r="AX870" t="s">
        <v>74</v>
      </c>
      <c r="AY870" t="s">
        <v>74</v>
      </c>
      <c r="AZ870" t="s">
        <v>74</v>
      </c>
      <c r="BA870" t="s">
        <v>74</v>
      </c>
      <c r="BB870">
        <v>106</v>
      </c>
      <c r="BC870">
        <v>113</v>
      </c>
      <c r="BD870" t="s">
        <v>74</v>
      </c>
      <c r="BE870" t="s">
        <v>6079</v>
      </c>
      <c r="BF870" t="str">
        <f>HYPERLINK("http://dx.doi.org/10.1111/eth.12835","http://dx.doi.org/10.1111/eth.12835")</f>
        <v>http://dx.doi.org/10.1111/eth.12835</v>
      </c>
      <c r="BG870" t="s">
        <v>74</v>
      </c>
      <c r="BH870" t="s">
        <v>74</v>
      </c>
      <c r="BI870" t="s">
        <v>74</v>
      </c>
      <c r="BJ870" t="s">
        <v>74</v>
      </c>
      <c r="BK870" t="s">
        <v>74</v>
      </c>
      <c r="BL870" t="s">
        <v>74</v>
      </c>
      <c r="BM870" t="s">
        <v>74</v>
      </c>
      <c r="BN870" t="s">
        <v>74</v>
      </c>
      <c r="BO870" t="s">
        <v>74</v>
      </c>
      <c r="BP870" t="s">
        <v>74</v>
      </c>
      <c r="BQ870" t="s">
        <v>74</v>
      </c>
      <c r="BR870" t="s">
        <v>74</v>
      </c>
      <c r="BS870" t="s">
        <v>6080</v>
      </c>
      <c r="BT870" t="str">
        <f>HYPERLINK("https%3A%2F%2Fwww.webofscience.com%2Fwos%2Fwoscc%2Ffull-record%2FWOS:000455963400005","View Full Record in Web of Science")</f>
        <v>View Full Record in Web of Science</v>
      </c>
    </row>
    <row r="871" spans="1:72" x14ac:dyDescent="0.4">
      <c r="A871" t="s">
        <v>72</v>
      </c>
      <c r="B871" t="s">
        <v>8760</v>
      </c>
      <c r="C871" t="s">
        <v>74</v>
      </c>
      <c r="D871" t="s">
        <v>74</v>
      </c>
      <c r="E871" t="s">
        <v>74</v>
      </c>
      <c r="F871" t="s">
        <v>8761</v>
      </c>
      <c r="G871" t="s">
        <v>74</v>
      </c>
      <c r="H871" t="s">
        <v>74</v>
      </c>
      <c r="I871" t="s">
        <v>8762</v>
      </c>
      <c r="J871" t="s">
        <v>119</v>
      </c>
      <c r="K871" t="s">
        <v>74</v>
      </c>
      <c r="L871" t="s">
        <v>74</v>
      </c>
      <c r="M871" t="s">
        <v>74</v>
      </c>
      <c r="N871" t="s">
        <v>74</v>
      </c>
      <c r="O871" t="s">
        <v>74</v>
      </c>
      <c r="P871" t="s">
        <v>74</v>
      </c>
      <c r="Q871" t="s">
        <v>74</v>
      </c>
      <c r="R871" t="s">
        <v>74</v>
      </c>
      <c r="S871" t="s">
        <v>74</v>
      </c>
      <c r="T871" t="s">
        <v>74</v>
      </c>
      <c r="U871" t="s">
        <v>74</v>
      </c>
      <c r="V871" s="3" t="s">
        <v>8763</v>
      </c>
      <c r="W871" t="s">
        <v>74</v>
      </c>
      <c r="X871" t="s">
        <v>74</v>
      </c>
      <c r="Y871" t="s">
        <v>74</v>
      </c>
      <c r="Z871" t="s">
        <v>74</v>
      </c>
      <c r="AA871" t="s">
        <v>8764</v>
      </c>
      <c r="AB871" t="s">
        <v>8765</v>
      </c>
      <c r="AC871" t="s">
        <v>74</v>
      </c>
      <c r="AD871" t="s">
        <v>74</v>
      </c>
      <c r="AE871" t="s">
        <v>74</v>
      </c>
      <c r="AF871" t="s">
        <v>74</v>
      </c>
      <c r="AG871" t="s">
        <v>74</v>
      </c>
      <c r="AH871" t="s">
        <v>74</v>
      </c>
      <c r="AI871" t="s">
        <v>74</v>
      </c>
      <c r="AJ871" t="s">
        <v>74</v>
      </c>
      <c r="AK871" t="s">
        <v>74</v>
      </c>
      <c r="AL871" t="s">
        <v>74</v>
      </c>
      <c r="AM871" t="s">
        <v>74</v>
      </c>
      <c r="AN871" t="s">
        <v>74</v>
      </c>
      <c r="AO871" t="s">
        <v>121</v>
      </c>
      <c r="AP871" t="s">
        <v>122</v>
      </c>
      <c r="AQ871" t="s">
        <v>74</v>
      </c>
      <c r="AR871" t="s">
        <v>74</v>
      </c>
      <c r="AS871" t="s">
        <v>74</v>
      </c>
      <c r="AT871" t="s">
        <v>352</v>
      </c>
      <c r="AU871">
        <v>2009</v>
      </c>
      <c r="AV871">
        <v>82</v>
      </c>
      <c r="AW871">
        <v>1</v>
      </c>
      <c r="AX871" t="s">
        <v>74</v>
      </c>
      <c r="AY871" t="s">
        <v>74</v>
      </c>
      <c r="AZ871" t="s">
        <v>74</v>
      </c>
      <c r="BA871" t="s">
        <v>74</v>
      </c>
      <c r="BB871">
        <v>25</v>
      </c>
      <c r="BC871">
        <v>29</v>
      </c>
      <c r="BD871" t="s">
        <v>74</v>
      </c>
      <c r="BE871" t="s">
        <v>8766</v>
      </c>
      <c r="BF871" t="str">
        <f>HYPERLINK("http://dx.doi.org/10.1016/j.beproc.2009.03.005","http://dx.doi.org/10.1016/j.beproc.2009.03.005")</f>
        <v>http://dx.doi.org/10.1016/j.beproc.2009.03.005</v>
      </c>
      <c r="BG871" t="s">
        <v>74</v>
      </c>
      <c r="BH871" t="s">
        <v>74</v>
      </c>
      <c r="BI871" t="s">
        <v>74</v>
      </c>
      <c r="BJ871" t="s">
        <v>74</v>
      </c>
      <c r="BK871" t="s">
        <v>74</v>
      </c>
      <c r="BL871" t="s">
        <v>74</v>
      </c>
      <c r="BM871" t="s">
        <v>74</v>
      </c>
      <c r="BN871">
        <v>19615612</v>
      </c>
      <c r="BO871" t="s">
        <v>74</v>
      </c>
      <c r="BP871" t="s">
        <v>74</v>
      </c>
      <c r="BQ871" t="s">
        <v>74</v>
      </c>
      <c r="BR871" t="s">
        <v>74</v>
      </c>
      <c r="BS871" t="s">
        <v>8767</v>
      </c>
      <c r="BT871" t="str">
        <f>HYPERLINK("https%3A%2F%2Fwww.webofscience.com%2Fwos%2Fwoscc%2Ffull-record%2FWOS:000268954900005","View Full Record in Web of Science")</f>
        <v>View Full Record in Web of Science</v>
      </c>
    </row>
    <row r="872" spans="1:72" x14ac:dyDescent="0.4">
      <c r="A872" t="s">
        <v>72</v>
      </c>
      <c r="B872" t="s">
        <v>8107</v>
      </c>
      <c r="C872" t="s">
        <v>74</v>
      </c>
      <c r="D872" t="s">
        <v>74</v>
      </c>
      <c r="E872" t="s">
        <v>74</v>
      </c>
      <c r="F872" t="s">
        <v>8108</v>
      </c>
      <c r="G872" t="s">
        <v>74</v>
      </c>
      <c r="H872" t="s">
        <v>74</v>
      </c>
      <c r="I872" t="s">
        <v>8109</v>
      </c>
      <c r="J872" t="s">
        <v>763</v>
      </c>
      <c r="K872" t="s">
        <v>74</v>
      </c>
      <c r="L872" t="s">
        <v>74</v>
      </c>
      <c r="M872" t="s">
        <v>74</v>
      </c>
      <c r="N872" t="s">
        <v>74</v>
      </c>
      <c r="O872" t="s">
        <v>74</v>
      </c>
      <c r="P872" t="s">
        <v>74</v>
      </c>
      <c r="Q872" t="s">
        <v>74</v>
      </c>
      <c r="R872" t="s">
        <v>74</v>
      </c>
      <c r="S872" t="s">
        <v>74</v>
      </c>
      <c r="T872" t="s">
        <v>74</v>
      </c>
      <c r="U872" t="s">
        <v>74</v>
      </c>
      <c r="V872" s="3" t="s">
        <v>8110</v>
      </c>
      <c r="W872" t="s">
        <v>74</v>
      </c>
      <c r="X872" t="s">
        <v>74</v>
      </c>
      <c r="Y872" t="s">
        <v>74</v>
      </c>
      <c r="Z872" t="s">
        <v>74</v>
      </c>
      <c r="AA872" t="s">
        <v>8111</v>
      </c>
      <c r="AB872" t="s">
        <v>3649</v>
      </c>
      <c r="AC872" t="s">
        <v>74</v>
      </c>
      <c r="AD872" t="s">
        <v>74</v>
      </c>
      <c r="AE872" t="s">
        <v>74</v>
      </c>
      <c r="AF872" t="s">
        <v>74</v>
      </c>
      <c r="AG872" t="s">
        <v>74</v>
      </c>
      <c r="AH872" t="s">
        <v>74</v>
      </c>
      <c r="AI872" t="s">
        <v>74</v>
      </c>
      <c r="AJ872" t="s">
        <v>74</v>
      </c>
      <c r="AK872" t="s">
        <v>74</v>
      </c>
      <c r="AL872" t="s">
        <v>74</v>
      </c>
      <c r="AM872" t="s">
        <v>74</v>
      </c>
      <c r="AN872" t="s">
        <v>74</v>
      </c>
      <c r="AO872" t="s">
        <v>767</v>
      </c>
      <c r="AP872" t="s">
        <v>768</v>
      </c>
      <c r="AQ872" t="s">
        <v>74</v>
      </c>
      <c r="AR872" t="s">
        <v>74</v>
      </c>
      <c r="AS872" t="s">
        <v>74</v>
      </c>
      <c r="AT872" t="s">
        <v>352</v>
      </c>
      <c r="AU872">
        <v>2014</v>
      </c>
      <c r="AV872">
        <v>217</v>
      </c>
      <c r="AW872">
        <v>18</v>
      </c>
      <c r="AX872" t="s">
        <v>74</v>
      </c>
      <c r="AY872" t="s">
        <v>74</v>
      </c>
      <c r="AZ872" t="s">
        <v>74</v>
      </c>
      <c r="BA872" t="s">
        <v>74</v>
      </c>
      <c r="BB872">
        <v>3254</v>
      </c>
      <c r="BC872">
        <v>3262</v>
      </c>
      <c r="BD872" t="s">
        <v>74</v>
      </c>
      <c r="BE872" t="s">
        <v>8112</v>
      </c>
      <c r="BF872" t="str">
        <f>HYPERLINK("http://dx.doi.org/10.1242/jeb.106666","http://dx.doi.org/10.1242/jeb.106666")</f>
        <v>http://dx.doi.org/10.1242/jeb.106666</v>
      </c>
      <c r="BG872" t="s">
        <v>74</v>
      </c>
      <c r="BH872" t="s">
        <v>74</v>
      </c>
      <c r="BI872" t="s">
        <v>74</v>
      </c>
      <c r="BJ872" t="s">
        <v>74</v>
      </c>
      <c r="BK872" t="s">
        <v>74</v>
      </c>
      <c r="BL872" t="s">
        <v>74</v>
      </c>
      <c r="BM872" t="s">
        <v>74</v>
      </c>
      <c r="BN872">
        <v>25013111</v>
      </c>
      <c r="BO872" t="s">
        <v>74</v>
      </c>
      <c r="BP872" t="s">
        <v>74</v>
      </c>
      <c r="BQ872" t="s">
        <v>74</v>
      </c>
      <c r="BR872" t="s">
        <v>74</v>
      </c>
      <c r="BS872" t="s">
        <v>8113</v>
      </c>
      <c r="BT872" t="str">
        <f>HYPERLINK("https%3A%2F%2Fwww.webofscience.com%2Fwos%2Fwoscc%2Ffull-record%2FWOS:000342506100016","View Full Record in Web of Science")</f>
        <v>View Full Record in Web of Science</v>
      </c>
    </row>
    <row r="873" spans="1:72" x14ac:dyDescent="0.4">
      <c r="A873" t="s">
        <v>72</v>
      </c>
      <c r="B873" t="s">
        <v>6804</v>
      </c>
      <c r="C873" t="s">
        <v>74</v>
      </c>
      <c r="D873" t="s">
        <v>74</v>
      </c>
      <c r="E873" t="s">
        <v>74</v>
      </c>
      <c r="F873" t="s">
        <v>6805</v>
      </c>
      <c r="G873" t="s">
        <v>74</v>
      </c>
      <c r="H873" t="s">
        <v>74</v>
      </c>
      <c r="I873" t="s">
        <v>6806</v>
      </c>
      <c r="J873" t="s">
        <v>1743</v>
      </c>
      <c r="K873" t="s">
        <v>74</v>
      </c>
      <c r="L873" t="s">
        <v>74</v>
      </c>
      <c r="M873" t="s">
        <v>74</v>
      </c>
      <c r="N873" t="s">
        <v>74</v>
      </c>
      <c r="O873" t="s">
        <v>74</v>
      </c>
      <c r="P873" t="s">
        <v>74</v>
      </c>
      <c r="Q873" t="s">
        <v>74</v>
      </c>
      <c r="R873" t="s">
        <v>74</v>
      </c>
      <c r="S873" t="s">
        <v>74</v>
      </c>
      <c r="T873" t="s">
        <v>74</v>
      </c>
      <c r="U873" t="s">
        <v>74</v>
      </c>
      <c r="V873" s="3" t="s">
        <v>6807</v>
      </c>
      <c r="W873" t="s">
        <v>74</v>
      </c>
      <c r="X873" t="s">
        <v>74</v>
      </c>
      <c r="Y873" t="s">
        <v>74</v>
      </c>
      <c r="Z873" t="s">
        <v>74</v>
      </c>
      <c r="AA873" t="s">
        <v>6808</v>
      </c>
      <c r="AB873" t="s">
        <v>74</v>
      </c>
      <c r="AC873" t="s">
        <v>74</v>
      </c>
      <c r="AD873" t="s">
        <v>74</v>
      </c>
      <c r="AE873" t="s">
        <v>74</v>
      </c>
      <c r="AF873" t="s">
        <v>74</v>
      </c>
      <c r="AG873" t="s">
        <v>74</v>
      </c>
      <c r="AH873" t="s">
        <v>74</v>
      </c>
      <c r="AI873" t="s">
        <v>74</v>
      </c>
      <c r="AJ873" t="s">
        <v>74</v>
      </c>
      <c r="AK873" t="s">
        <v>74</v>
      </c>
      <c r="AL873" t="s">
        <v>74</v>
      </c>
      <c r="AM873" t="s">
        <v>74</v>
      </c>
      <c r="AN873" t="s">
        <v>74</v>
      </c>
      <c r="AO873" t="s">
        <v>1746</v>
      </c>
      <c r="AP873" t="s">
        <v>74</v>
      </c>
      <c r="AQ873" t="s">
        <v>74</v>
      </c>
      <c r="AR873" t="s">
        <v>74</v>
      </c>
      <c r="AS873" t="s">
        <v>74</v>
      </c>
      <c r="AT873" t="s">
        <v>352</v>
      </c>
      <c r="AU873">
        <v>2006</v>
      </c>
      <c r="AV873">
        <v>23</v>
      </c>
      <c r="AW873">
        <v>9</v>
      </c>
      <c r="AX873" t="s">
        <v>74</v>
      </c>
      <c r="AY873" t="s">
        <v>74</v>
      </c>
      <c r="AZ873" t="s">
        <v>74</v>
      </c>
      <c r="BA873" t="s">
        <v>74</v>
      </c>
      <c r="BB873">
        <v>755</v>
      </c>
      <c r="BC873">
        <v>761</v>
      </c>
      <c r="BD873" t="s">
        <v>74</v>
      </c>
      <c r="BE873" t="s">
        <v>6809</v>
      </c>
      <c r="BF873" t="str">
        <f>HYPERLINK("http://dx.doi.org/10.2108/zsj.23.755","http://dx.doi.org/10.2108/zsj.23.755")</f>
        <v>http://dx.doi.org/10.2108/zsj.23.755</v>
      </c>
      <c r="BG873" t="s">
        <v>74</v>
      </c>
      <c r="BH873" t="s">
        <v>74</v>
      </c>
      <c r="BI873" t="s">
        <v>74</v>
      </c>
      <c r="BJ873" t="s">
        <v>74</v>
      </c>
      <c r="BK873" t="s">
        <v>74</v>
      </c>
      <c r="BL873" t="s">
        <v>74</v>
      </c>
      <c r="BM873" t="s">
        <v>74</v>
      </c>
      <c r="BN873">
        <v>17043397</v>
      </c>
      <c r="BO873" t="s">
        <v>74</v>
      </c>
      <c r="BP873" t="s">
        <v>74</v>
      </c>
      <c r="BQ873" t="s">
        <v>74</v>
      </c>
      <c r="BR873" t="s">
        <v>74</v>
      </c>
      <c r="BS873" t="s">
        <v>6810</v>
      </c>
      <c r="BT873" t="str">
        <f>HYPERLINK("https%3A%2F%2Fwww.webofscience.com%2Fwos%2Fwoscc%2Ffull-record%2FWOS:000243556800002","View Full Record in Web of Science")</f>
        <v>View Full Record in Web of Science</v>
      </c>
    </row>
    <row r="874" spans="1:72" x14ac:dyDescent="0.4">
      <c r="A874" t="s">
        <v>72</v>
      </c>
      <c r="B874" t="s">
        <v>5549</v>
      </c>
      <c r="C874" t="s">
        <v>74</v>
      </c>
      <c r="D874" t="s">
        <v>74</v>
      </c>
      <c r="E874" t="s">
        <v>74</v>
      </c>
      <c r="F874" t="s">
        <v>5550</v>
      </c>
      <c r="G874" t="s">
        <v>74</v>
      </c>
      <c r="H874" t="s">
        <v>74</v>
      </c>
      <c r="I874" t="s">
        <v>5551</v>
      </c>
      <c r="J874" t="s">
        <v>1126</v>
      </c>
      <c r="K874" t="s">
        <v>74</v>
      </c>
      <c r="L874" t="s">
        <v>74</v>
      </c>
      <c r="M874" t="s">
        <v>74</v>
      </c>
      <c r="N874" t="s">
        <v>74</v>
      </c>
      <c r="O874" t="s">
        <v>74</v>
      </c>
      <c r="P874" t="s">
        <v>74</v>
      </c>
      <c r="Q874" t="s">
        <v>74</v>
      </c>
      <c r="R874" t="s">
        <v>74</v>
      </c>
      <c r="S874" t="s">
        <v>74</v>
      </c>
      <c r="T874" t="s">
        <v>74</v>
      </c>
      <c r="U874" t="s">
        <v>74</v>
      </c>
      <c r="V874" s="3" t="s">
        <v>5552</v>
      </c>
      <c r="W874" t="s">
        <v>74</v>
      </c>
      <c r="X874" t="s">
        <v>74</v>
      </c>
      <c r="Y874" t="s">
        <v>74</v>
      </c>
      <c r="Z874" t="s">
        <v>74</v>
      </c>
      <c r="AA874" t="s">
        <v>74</v>
      </c>
      <c r="AB874" t="s">
        <v>74</v>
      </c>
      <c r="AC874" t="s">
        <v>74</v>
      </c>
      <c r="AD874" t="s">
        <v>74</v>
      </c>
      <c r="AE874" t="s">
        <v>74</v>
      </c>
      <c r="AF874" t="s">
        <v>74</v>
      </c>
      <c r="AG874" t="s">
        <v>74</v>
      </c>
      <c r="AH874" t="s">
        <v>74</v>
      </c>
      <c r="AI874" t="s">
        <v>74</v>
      </c>
      <c r="AJ874" t="s">
        <v>74</v>
      </c>
      <c r="AK874" t="s">
        <v>74</v>
      </c>
      <c r="AL874" t="s">
        <v>74</v>
      </c>
      <c r="AM874" t="s">
        <v>74</v>
      </c>
      <c r="AN874" t="s">
        <v>74</v>
      </c>
      <c r="AO874" t="s">
        <v>1128</v>
      </c>
      <c r="AP874" t="s">
        <v>1129</v>
      </c>
      <c r="AQ874" t="s">
        <v>74</v>
      </c>
      <c r="AR874" t="s">
        <v>74</v>
      </c>
      <c r="AS874" t="s">
        <v>74</v>
      </c>
      <c r="AT874" t="s">
        <v>305</v>
      </c>
      <c r="AU874">
        <v>2014</v>
      </c>
      <c r="AV874" t="s">
        <v>74</v>
      </c>
      <c r="AW874">
        <v>3</v>
      </c>
      <c r="AX874" t="s">
        <v>74</v>
      </c>
      <c r="AY874" t="s">
        <v>74</v>
      </c>
      <c r="AZ874" t="s">
        <v>74</v>
      </c>
      <c r="BA874" t="s">
        <v>74</v>
      </c>
      <c r="BB874">
        <v>481</v>
      </c>
      <c r="BC874">
        <v>488</v>
      </c>
      <c r="BD874" t="s">
        <v>74</v>
      </c>
      <c r="BE874" t="s">
        <v>5553</v>
      </c>
      <c r="BF874" t="str">
        <f>HYPERLINK("http://dx.doi.org/10.1643/CE-13-154","http://dx.doi.org/10.1643/CE-13-154")</f>
        <v>http://dx.doi.org/10.1643/CE-13-154</v>
      </c>
      <c r="BG874" t="s">
        <v>74</v>
      </c>
      <c r="BH874" t="s">
        <v>74</v>
      </c>
      <c r="BI874" t="s">
        <v>74</v>
      </c>
      <c r="BJ874" t="s">
        <v>74</v>
      </c>
      <c r="BK874" t="s">
        <v>74</v>
      </c>
      <c r="BL874" t="s">
        <v>74</v>
      </c>
      <c r="BM874" t="s">
        <v>74</v>
      </c>
      <c r="BN874" t="s">
        <v>74</v>
      </c>
      <c r="BO874" t="s">
        <v>74</v>
      </c>
      <c r="BP874" t="s">
        <v>74</v>
      </c>
      <c r="BQ874" t="s">
        <v>74</v>
      </c>
      <c r="BR874" t="s">
        <v>74</v>
      </c>
      <c r="BS874" t="s">
        <v>5554</v>
      </c>
      <c r="BT874" t="str">
        <f>HYPERLINK("https%3A%2F%2Fwww.webofscience.com%2Fwos%2Fwoscc%2Ffull-record%2FWOS:000348516300003","View Full Record in Web of Science")</f>
        <v>View Full Record in Web of Science</v>
      </c>
    </row>
    <row r="875" spans="1:72" x14ac:dyDescent="0.4">
      <c r="A875" t="s">
        <v>72</v>
      </c>
      <c r="B875" t="s">
        <v>8526</v>
      </c>
      <c r="C875" t="s">
        <v>74</v>
      </c>
      <c r="D875" t="s">
        <v>74</v>
      </c>
      <c r="E875" t="s">
        <v>74</v>
      </c>
      <c r="F875" t="s">
        <v>8527</v>
      </c>
      <c r="G875" t="s">
        <v>74</v>
      </c>
      <c r="H875" t="s">
        <v>74</v>
      </c>
      <c r="I875" t="s">
        <v>8528</v>
      </c>
      <c r="J875" t="s">
        <v>129</v>
      </c>
      <c r="K875" t="s">
        <v>74</v>
      </c>
      <c r="L875" t="s">
        <v>74</v>
      </c>
      <c r="M875" t="s">
        <v>74</v>
      </c>
      <c r="N875" t="s">
        <v>74</v>
      </c>
      <c r="O875" t="s">
        <v>74</v>
      </c>
      <c r="P875" t="s">
        <v>74</v>
      </c>
      <c r="Q875" t="s">
        <v>74</v>
      </c>
      <c r="R875" t="s">
        <v>74</v>
      </c>
      <c r="S875" t="s">
        <v>74</v>
      </c>
      <c r="T875" t="s">
        <v>74</v>
      </c>
      <c r="U875" t="s">
        <v>74</v>
      </c>
      <c r="V875" s="3" t="s">
        <v>8529</v>
      </c>
      <c r="W875" t="s">
        <v>74</v>
      </c>
      <c r="X875" t="s">
        <v>74</v>
      </c>
      <c r="Y875" t="s">
        <v>74</v>
      </c>
      <c r="Z875" t="s">
        <v>74</v>
      </c>
      <c r="AA875" t="s">
        <v>8530</v>
      </c>
      <c r="AB875" t="s">
        <v>8531</v>
      </c>
      <c r="AC875" t="s">
        <v>74</v>
      </c>
      <c r="AD875" t="s">
        <v>74</v>
      </c>
      <c r="AE875" t="s">
        <v>74</v>
      </c>
      <c r="AF875" t="s">
        <v>74</v>
      </c>
      <c r="AG875" t="s">
        <v>74</v>
      </c>
      <c r="AH875" t="s">
        <v>74</v>
      </c>
      <c r="AI875" t="s">
        <v>74</v>
      </c>
      <c r="AJ875" t="s">
        <v>74</v>
      </c>
      <c r="AK875" t="s">
        <v>74</v>
      </c>
      <c r="AL875" t="s">
        <v>74</v>
      </c>
      <c r="AM875" t="s">
        <v>74</v>
      </c>
      <c r="AN875" t="s">
        <v>74</v>
      </c>
      <c r="AO875" t="s">
        <v>132</v>
      </c>
      <c r="AP875" t="s">
        <v>133</v>
      </c>
      <c r="AQ875" t="s">
        <v>74</v>
      </c>
      <c r="AR875" t="s">
        <v>74</v>
      </c>
      <c r="AS875" t="s">
        <v>74</v>
      </c>
      <c r="AT875" t="s">
        <v>213</v>
      </c>
      <c r="AU875">
        <v>2010</v>
      </c>
      <c r="AV875">
        <v>64</v>
      </c>
      <c r="AW875">
        <v>11</v>
      </c>
      <c r="AX875" t="s">
        <v>74</v>
      </c>
      <c r="AY875" t="s">
        <v>74</v>
      </c>
      <c r="AZ875" t="s">
        <v>74</v>
      </c>
      <c r="BA875" t="s">
        <v>74</v>
      </c>
      <c r="BB875">
        <v>1839</v>
      </c>
      <c r="BC875">
        <v>1847</v>
      </c>
      <c r="BD875" t="s">
        <v>74</v>
      </c>
      <c r="BE875" t="s">
        <v>8532</v>
      </c>
      <c r="BF875" t="str">
        <f>HYPERLINK("http://dx.doi.org/10.1007/s00265-010-0995-z","http://dx.doi.org/10.1007/s00265-010-0995-z")</f>
        <v>http://dx.doi.org/10.1007/s00265-010-0995-z</v>
      </c>
      <c r="BG875" t="s">
        <v>74</v>
      </c>
      <c r="BH875" t="s">
        <v>74</v>
      </c>
      <c r="BI875" t="s">
        <v>74</v>
      </c>
      <c r="BJ875" t="s">
        <v>74</v>
      </c>
      <c r="BK875" t="s">
        <v>74</v>
      </c>
      <c r="BL875" t="s">
        <v>74</v>
      </c>
      <c r="BM875" t="s">
        <v>74</v>
      </c>
      <c r="BN875" t="s">
        <v>74</v>
      </c>
      <c r="BO875" t="s">
        <v>74</v>
      </c>
      <c r="BP875" t="s">
        <v>74</v>
      </c>
      <c r="BQ875" t="s">
        <v>74</v>
      </c>
      <c r="BR875" t="s">
        <v>74</v>
      </c>
      <c r="BS875" t="s">
        <v>8533</v>
      </c>
      <c r="BT875" t="str">
        <f>HYPERLINK("https%3A%2F%2Fwww.webofscience.com%2Fwos%2Fwoscc%2Ffull-record%2FWOS:000282823800011","View Full Record in Web of Science")</f>
        <v>View Full Record in Web of Science</v>
      </c>
    </row>
    <row r="876" spans="1:72" x14ac:dyDescent="0.4">
      <c r="A876" t="s">
        <v>72</v>
      </c>
      <c r="B876" t="s">
        <v>4949</v>
      </c>
      <c r="C876" t="s">
        <v>74</v>
      </c>
      <c r="D876" t="s">
        <v>74</v>
      </c>
      <c r="E876" t="s">
        <v>74</v>
      </c>
      <c r="F876" t="s">
        <v>4950</v>
      </c>
      <c r="G876" t="s">
        <v>74</v>
      </c>
      <c r="H876" t="s">
        <v>74</v>
      </c>
      <c r="I876" t="s">
        <v>4951</v>
      </c>
      <c r="J876" t="s">
        <v>509</v>
      </c>
      <c r="K876" t="s">
        <v>74</v>
      </c>
      <c r="L876" t="s">
        <v>74</v>
      </c>
      <c r="M876" t="s">
        <v>74</v>
      </c>
      <c r="N876" t="s">
        <v>74</v>
      </c>
      <c r="O876" t="s">
        <v>74</v>
      </c>
      <c r="P876" t="s">
        <v>74</v>
      </c>
      <c r="Q876" t="s">
        <v>74</v>
      </c>
      <c r="R876" t="s">
        <v>74</v>
      </c>
      <c r="S876" t="s">
        <v>74</v>
      </c>
      <c r="T876" t="s">
        <v>74</v>
      </c>
      <c r="U876" t="s">
        <v>74</v>
      </c>
      <c r="V876" s="3" t="s">
        <v>4952</v>
      </c>
      <c r="W876" t="s">
        <v>74</v>
      </c>
      <c r="X876" t="s">
        <v>74</v>
      </c>
      <c r="Y876" t="s">
        <v>74</v>
      </c>
      <c r="Z876" t="s">
        <v>74</v>
      </c>
      <c r="AA876" t="s">
        <v>4953</v>
      </c>
      <c r="AB876" t="s">
        <v>4954</v>
      </c>
      <c r="AC876" t="s">
        <v>74</v>
      </c>
      <c r="AD876" t="s">
        <v>74</v>
      </c>
      <c r="AE876" t="s">
        <v>74</v>
      </c>
      <c r="AF876" t="s">
        <v>74</v>
      </c>
      <c r="AG876" t="s">
        <v>74</v>
      </c>
      <c r="AH876" t="s">
        <v>74</v>
      </c>
      <c r="AI876" t="s">
        <v>74</v>
      </c>
      <c r="AJ876" t="s">
        <v>74</v>
      </c>
      <c r="AK876" t="s">
        <v>74</v>
      </c>
      <c r="AL876" t="s">
        <v>74</v>
      </c>
      <c r="AM876" t="s">
        <v>74</v>
      </c>
      <c r="AN876" t="s">
        <v>74</v>
      </c>
      <c r="AO876" t="s">
        <v>511</v>
      </c>
      <c r="AP876" t="s">
        <v>74</v>
      </c>
      <c r="AQ876" t="s">
        <v>74</v>
      </c>
      <c r="AR876" t="s">
        <v>74</v>
      </c>
      <c r="AS876" t="s">
        <v>74</v>
      </c>
      <c r="AT876" t="s">
        <v>633</v>
      </c>
      <c r="AU876">
        <v>2012</v>
      </c>
      <c r="AV876">
        <v>61</v>
      </c>
      <c r="AW876">
        <v>4</v>
      </c>
      <c r="AX876" t="s">
        <v>74</v>
      </c>
      <c r="AY876" t="s">
        <v>74</v>
      </c>
      <c r="AZ876" t="s">
        <v>74</v>
      </c>
      <c r="BA876" t="s">
        <v>74</v>
      </c>
      <c r="BB876">
        <v>496</v>
      </c>
      <c r="BC876">
        <v>503</v>
      </c>
      <c r="BD876" t="s">
        <v>74</v>
      </c>
      <c r="BE876" t="s">
        <v>4955</v>
      </c>
      <c r="BF876" t="str">
        <f>HYPERLINK("http://dx.doi.org/10.1016/j.yhbeh.2012.01.006","http://dx.doi.org/10.1016/j.yhbeh.2012.01.006")</f>
        <v>http://dx.doi.org/10.1016/j.yhbeh.2012.01.006</v>
      </c>
      <c r="BG876" t="s">
        <v>74</v>
      </c>
      <c r="BH876" t="s">
        <v>74</v>
      </c>
      <c r="BI876" t="s">
        <v>74</v>
      </c>
      <c r="BJ876" t="s">
        <v>74</v>
      </c>
      <c r="BK876" t="s">
        <v>74</v>
      </c>
      <c r="BL876" t="s">
        <v>74</v>
      </c>
      <c r="BM876" t="s">
        <v>74</v>
      </c>
      <c r="BN876">
        <v>22285646</v>
      </c>
      <c r="BO876" t="s">
        <v>74</v>
      </c>
      <c r="BP876" t="s">
        <v>74</v>
      </c>
      <c r="BQ876" t="s">
        <v>74</v>
      </c>
      <c r="BR876" t="s">
        <v>74</v>
      </c>
      <c r="BS876" t="s">
        <v>4956</v>
      </c>
      <c r="BT876" t="str">
        <f>HYPERLINK("https%3A%2F%2Fwww.webofscience.com%2Fwos%2Fwoscc%2Ffull-record%2FWOS:000302763700005","View Full Record in Web of Science")</f>
        <v>View Full Record in Web of Science</v>
      </c>
    </row>
    <row r="877" spans="1:72" x14ac:dyDescent="0.4">
      <c r="A877" t="s">
        <v>72</v>
      </c>
      <c r="B877" t="s">
        <v>3267</v>
      </c>
      <c r="C877" t="s">
        <v>74</v>
      </c>
      <c r="D877" t="s">
        <v>74</v>
      </c>
      <c r="E877" t="s">
        <v>74</v>
      </c>
      <c r="F877" t="s">
        <v>3268</v>
      </c>
      <c r="G877" t="s">
        <v>74</v>
      </c>
      <c r="H877" t="s">
        <v>74</v>
      </c>
      <c r="I877" t="s">
        <v>3269</v>
      </c>
      <c r="J877" t="s">
        <v>201</v>
      </c>
      <c r="K877" t="s">
        <v>74</v>
      </c>
      <c r="L877" t="s">
        <v>74</v>
      </c>
      <c r="M877" t="s">
        <v>74</v>
      </c>
      <c r="N877" t="s">
        <v>74</v>
      </c>
      <c r="O877" t="s">
        <v>74</v>
      </c>
      <c r="P877" t="s">
        <v>74</v>
      </c>
      <c r="Q877" t="s">
        <v>74</v>
      </c>
      <c r="R877" t="s">
        <v>74</v>
      </c>
      <c r="S877" t="s">
        <v>74</v>
      </c>
      <c r="T877" t="s">
        <v>74</v>
      </c>
      <c r="U877" t="s">
        <v>74</v>
      </c>
      <c r="V877" s="3" t="s">
        <v>3270</v>
      </c>
      <c r="W877" t="s">
        <v>74</v>
      </c>
      <c r="X877" t="s">
        <v>74</v>
      </c>
      <c r="Y877" t="s">
        <v>74</v>
      </c>
      <c r="Z877" t="s">
        <v>74</v>
      </c>
      <c r="AA877" t="s">
        <v>3271</v>
      </c>
      <c r="AB877" t="s">
        <v>3272</v>
      </c>
      <c r="AC877" t="s">
        <v>74</v>
      </c>
      <c r="AD877" t="s">
        <v>74</v>
      </c>
      <c r="AE877" t="s">
        <v>74</v>
      </c>
      <c r="AF877" t="s">
        <v>74</v>
      </c>
      <c r="AG877" t="s">
        <v>74</v>
      </c>
      <c r="AH877" t="s">
        <v>74</v>
      </c>
      <c r="AI877" t="s">
        <v>74</v>
      </c>
      <c r="AJ877" t="s">
        <v>74</v>
      </c>
      <c r="AK877" t="s">
        <v>74</v>
      </c>
      <c r="AL877" t="s">
        <v>74</v>
      </c>
      <c r="AM877" t="s">
        <v>74</v>
      </c>
      <c r="AN877" t="s">
        <v>74</v>
      </c>
      <c r="AO877" t="s">
        <v>203</v>
      </c>
      <c r="AP877" t="s">
        <v>1192</v>
      </c>
      <c r="AQ877" t="s">
        <v>74</v>
      </c>
      <c r="AR877" t="s">
        <v>74</v>
      </c>
      <c r="AS877" t="s">
        <v>74</v>
      </c>
      <c r="AT877" t="s">
        <v>123</v>
      </c>
      <c r="AU877">
        <v>2012</v>
      </c>
      <c r="AV877">
        <v>80</v>
      </c>
      <c r="AW877">
        <v>3</v>
      </c>
      <c r="AX877" t="s">
        <v>74</v>
      </c>
      <c r="AY877" t="s">
        <v>74</v>
      </c>
      <c r="AZ877" t="s">
        <v>74</v>
      </c>
      <c r="BA877" t="s">
        <v>74</v>
      </c>
      <c r="BB877">
        <v>722</v>
      </c>
      <c r="BC877">
        <v>727</v>
      </c>
      <c r="BD877" t="s">
        <v>74</v>
      </c>
      <c r="BE877" t="s">
        <v>3273</v>
      </c>
      <c r="BF877" t="str">
        <f>HYPERLINK("http://dx.doi.org/10.1111/j.1095-8649.2011.03212.x","http://dx.doi.org/10.1111/j.1095-8649.2011.03212.x")</f>
        <v>http://dx.doi.org/10.1111/j.1095-8649.2011.03212.x</v>
      </c>
      <c r="BG877" t="s">
        <v>74</v>
      </c>
      <c r="BH877" t="s">
        <v>74</v>
      </c>
      <c r="BI877" t="s">
        <v>74</v>
      </c>
      <c r="BJ877" t="s">
        <v>74</v>
      </c>
      <c r="BK877" t="s">
        <v>74</v>
      </c>
      <c r="BL877" t="s">
        <v>74</v>
      </c>
      <c r="BM877" t="s">
        <v>74</v>
      </c>
      <c r="BN877">
        <v>22380566</v>
      </c>
      <c r="BO877" t="s">
        <v>74</v>
      </c>
      <c r="BP877" t="s">
        <v>74</v>
      </c>
      <c r="BQ877" t="s">
        <v>74</v>
      </c>
      <c r="BR877" t="s">
        <v>74</v>
      </c>
      <c r="BS877" t="s">
        <v>3274</v>
      </c>
      <c r="BT877" t="str">
        <f>HYPERLINK("https%3A%2F%2Fwww.webofscience.com%2Fwos%2Fwoscc%2Ffull-record%2FWOS:000300933900019","View Full Record in Web of Science")</f>
        <v>View Full Record in Web of Science</v>
      </c>
    </row>
    <row r="878" spans="1:72" x14ac:dyDescent="0.4">
      <c r="A878" t="s">
        <v>72</v>
      </c>
      <c r="B878" t="s">
        <v>8318</v>
      </c>
      <c r="C878" t="s">
        <v>74</v>
      </c>
      <c r="D878" t="s">
        <v>74</v>
      </c>
      <c r="E878" t="s">
        <v>74</v>
      </c>
      <c r="F878" t="s">
        <v>8318</v>
      </c>
      <c r="G878" t="s">
        <v>74</v>
      </c>
      <c r="H878" t="s">
        <v>74</v>
      </c>
      <c r="I878" t="s">
        <v>8319</v>
      </c>
      <c r="J878" t="s">
        <v>4473</v>
      </c>
      <c r="K878" t="s">
        <v>74</v>
      </c>
      <c r="L878" t="s">
        <v>74</v>
      </c>
      <c r="M878" t="s">
        <v>74</v>
      </c>
      <c r="N878" t="s">
        <v>74</v>
      </c>
      <c r="O878" t="s">
        <v>74</v>
      </c>
      <c r="P878" t="s">
        <v>74</v>
      </c>
      <c r="Q878" t="s">
        <v>74</v>
      </c>
      <c r="R878" t="s">
        <v>74</v>
      </c>
      <c r="S878" t="s">
        <v>74</v>
      </c>
      <c r="T878" t="s">
        <v>74</v>
      </c>
      <c r="U878" t="s">
        <v>74</v>
      </c>
      <c r="V878" s="3" t="s">
        <v>8320</v>
      </c>
      <c r="W878" t="s">
        <v>74</v>
      </c>
      <c r="X878" t="s">
        <v>74</v>
      </c>
      <c r="Y878" t="s">
        <v>74</v>
      </c>
      <c r="Z878" t="s">
        <v>74</v>
      </c>
      <c r="AA878" t="s">
        <v>74</v>
      </c>
      <c r="AB878" t="s">
        <v>8321</v>
      </c>
      <c r="AC878" t="s">
        <v>74</v>
      </c>
      <c r="AD878" t="s">
        <v>74</v>
      </c>
      <c r="AE878" t="s">
        <v>74</v>
      </c>
      <c r="AF878" t="s">
        <v>74</v>
      </c>
      <c r="AG878" t="s">
        <v>74</v>
      </c>
      <c r="AH878" t="s">
        <v>74</v>
      </c>
      <c r="AI878" t="s">
        <v>74</v>
      </c>
      <c r="AJ878" t="s">
        <v>74</v>
      </c>
      <c r="AK878" t="s">
        <v>74</v>
      </c>
      <c r="AL878" t="s">
        <v>74</v>
      </c>
      <c r="AM878" t="s">
        <v>74</v>
      </c>
      <c r="AN878" t="s">
        <v>74</v>
      </c>
      <c r="AO878" t="s">
        <v>818</v>
      </c>
      <c r="AP878" t="s">
        <v>74</v>
      </c>
      <c r="AQ878" t="s">
        <v>74</v>
      </c>
      <c r="AR878" t="s">
        <v>74</v>
      </c>
      <c r="AS878" t="s">
        <v>74</v>
      </c>
      <c r="AT878" t="s">
        <v>74</v>
      </c>
      <c r="AU878">
        <v>2001</v>
      </c>
      <c r="AV878">
        <v>104</v>
      </c>
      <c r="AW878">
        <v>2</v>
      </c>
      <c r="AX878" t="s">
        <v>74</v>
      </c>
      <c r="AY878" t="s">
        <v>74</v>
      </c>
      <c r="AZ878" t="s">
        <v>74</v>
      </c>
      <c r="BA878" t="s">
        <v>74</v>
      </c>
      <c r="BB878">
        <v>91</v>
      </c>
      <c r="BC878">
        <v>97</v>
      </c>
      <c r="BD878" t="s">
        <v>74</v>
      </c>
      <c r="BE878" t="s">
        <v>8322</v>
      </c>
      <c r="BF878" t="str">
        <f>HYPERLINK("http://dx.doi.org/10.1078/0944-2006-00014","http://dx.doi.org/10.1078/0944-2006-00014")</f>
        <v>http://dx.doi.org/10.1078/0944-2006-00014</v>
      </c>
      <c r="BG878" t="s">
        <v>74</v>
      </c>
      <c r="BH878" t="s">
        <v>74</v>
      </c>
      <c r="BI878" t="s">
        <v>74</v>
      </c>
      <c r="BJ878" t="s">
        <v>74</v>
      </c>
      <c r="BK878" t="s">
        <v>74</v>
      </c>
      <c r="BL878" t="s">
        <v>74</v>
      </c>
      <c r="BM878" t="s">
        <v>74</v>
      </c>
      <c r="BN878">
        <v>16351822</v>
      </c>
      <c r="BO878" t="s">
        <v>74</v>
      </c>
      <c r="BP878" t="s">
        <v>74</v>
      </c>
      <c r="BQ878" t="s">
        <v>74</v>
      </c>
      <c r="BR878" t="s">
        <v>74</v>
      </c>
      <c r="BS878" t="s">
        <v>8323</v>
      </c>
      <c r="BT878" t="str">
        <f>HYPERLINK("https%3A%2F%2Fwww.webofscience.com%2Fwos%2Fwoscc%2Ffull-record%2FWOS:000172786700002","View Full Record in Web of Science")</f>
        <v>View Full Record in Web of Science</v>
      </c>
    </row>
    <row r="879" spans="1:72" x14ac:dyDescent="0.4">
      <c r="A879" t="s">
        <v>72</v>
      </c>
      <c r="B879" t="s">
        <v>5134</v>
      </c>
      <c r="C879" t="s">
        <v>74</v>
      </c>
      <c r="D879" t="s">
        <v>74</v>
      </c>
      <c r="E879" t="s">
        <v>74</v>
      </c>
      <c r="F879" t="s">
        <v>5135</v>
      </c>
      <c r="G879" t="s">
        <v>74</v>
      </c>
      <c r="H879" t="s">
        <v>74</v>
      </c>
      <c r="I879" t="s">
        <v>5136</v>
      </c>
      <c r="J879" t="s">
        <v>2275</v>
      </c>
      <c r="K879" t="s">
        <v>74</v>
      </c>
      <c r="L879" t="s">
        <v>74</v>
      </c>
      <c r="M879" t="s">
        <v>74</v>
      </c>
      <c r="N879" t="s">
        <v>74</v>
      </c>
      <c r="O879" t="s">
        <v>74</v>
      </c>
      <c r="P879" t="s">
        <v>74</v>
      </c>
      <c r="Q879" t="s">
        <v>74</v>
      </c>
      <c r="R879" t="s">
        <v>74</v>
      </c>
      <c r="S879" t="s">
        <v>74</v>
      </c>
      <c r="T879" t="s">
        <v>74</v>
      </c>
      <c r="U879" t="s">
        <v>74</v>
      </c>
      <c r="V879" s="3" t="s">
        <v>5137</v>
      </c>
      <c r="W879" t="s">
        <v>74</v>
      </c>
      <c r="X879" t="s">
        <v>74</v>
      </c>
      <c r="Y879" t="s">
        <v>74</v>
      </c>
      <c r="Z879" t="s">
        <v>74</v>
      </c>
      <c r="AA879" t="s">
        <v>74</v>
      </c>
      <c r="AB879" t="s">
        <v>74</v>
      </c>
      <c r="AC879" t="s">
        <v>74</v>
      </c>
      <c r="AD879" t="s">
        <v>74</v>
      </c>
      <c r="AE879" t="s">
        <v>74</v>
      </c>
      <c r="AF879" t="s">
        <v>74</v>
      </c>
      <c r="AG879" t="s">
        <v>74</v>
      </c>
      <c r="AH879" t="s">
        <v>74</v>
      </c>
      <c r="AI879" t="s">
        <v>74</v>
      </c>
      <c r="AJ879" t="s">
        <v>74</v>
      </c>
      <c r="AK879" t="s">
        <v>74</v>
      </c>
      <c r="AL879" t="s">
        <v>74</v>
      </c>
      <c r="AM879" t="s">
        <v>74</v>
      </c>
      <c r="AN879" t="s">
        <v>74</v>
      </c>
      <c r="AO879" t="s">
        <v>2279</v>
      </c>
      <c r="AP879" t="s">
        <v>2280</v>
      </c>
      <c r="AQ879" t="s">
        <v>74</v>
      </c>
      <c r="AR879" t="s">
        <v>74</v>
      </c>
      <c r="AS879" t="s">
        <v>74</v>
      </c>
      <c r="AT879" t="s">
        <v>5138</v>
      </c>
      <c r="AU879">
        <v>2015</v>
      </c>
      <c r="AV879">
        <v>13</v>
      </c>
      <c r="AW879">
        <v>1</v>
      </c>
      <c r="AX879" t="s">
        <v>74</v>
      </c>
      <c r="AY879" t="s">
        <v>74</v>
      </c>
      <c r="AZ879" t="s">
        <v>74</v>
      </c>
      <c r="BA879" t="s">
        <v>74</v>
      </c>
      <c r="BB879">
        <v>93</v>
      </c>
      <c r="BC879">
        <v>103</v>
      </c>
      <c r="BD879" t="s">
        <v>74</v>
      </c>
      <c r="BE879" t="s">
        <v>5139</v>
      </c>
      <c r="BF879" t="str">
        <f>HYPERLINK("http://dx.doi.org/10.1080/14772000.2014.968233","http://dx.doi.org/10.1080/14772000.2014.968233")</f>
        <v>http://dx.doi.org/10.1080/14772000.2014.968233</v>
      </c>
      <c r="BG879" t="s">
        <v>74</v>
      </c>
      <c r="BH879" t="s">
        <v>74</v>
      </c>
      <c r="BI879" t="s">
        <v>74</v>
      </c>
      <c r="BJ879" t="s">
        <v>74</v>
      </c>
      <c r="BK879" t="s">
        <v>74</v>
      </c>
      <c r="BL879" t="s">
        <v>74</v>
      </c>
      <c r="BM879" t="s">
        <v>74</v>
      </c>
      <c r="BN879" t="s">
        <v>74</v>
      </c>
      <c r="BO879" t="s">
        <v>74</v>
      </c>
      <c r="BP879" t="s">
        <v>74</v>
      </c>
      <c r="BQ879" t="s">
        <v>74</v>
      </c>
      <c r="BR879" t="s">
        <v>74</v>
      </c>
      <c r="BS879" t="s">
        <v>5140</v>
      </c>
      <c r="BT879" t="str">
        <f>HYPERLINK("https%3A%2F%2Fwww.webofscience.com%2Fwos%2Fwoscc%2Ffull-record%2FWOS:000345618000007","View Full Record in Web of Science")</f>
        <v>View Full Record in Web of Science</v>
      </c>
    </row>
    <row r="880" spans="1:72" ht="14.25" customHeight="1" x14ac:dyDescent="0.4">
      <c r="A880" t="s">
        <v>72</v>
      </c>
      <c r="B880" t="s">
        <v>2893</v>
      </c>
      <c r="C880" t="s">
        <v>74</v>
      </c>
      <c r="D880" t="s">
        <v>74</v>
      </c>
      <c r="E880" t="s">
        <v>74</v>
      </c>
      <c r="F880" t="s">
        <v>2894</v>
      </c>
      <c r="G880" t="s">
        <v>74</v>
      </c>
      <c r="H880" t="s">
        <v>74</v>
      </c>
      <c r="I880" t="s">
        <v>2895</v>
      </c>
      <c r="J880" t="s">
        <v>140</v>
      </c>
      <c r="K880" t="s">
        <v>74</v>
      </c>
      <c r="L880" t="s">
        <v>74</v>
      </c>
      <c r="M880" t="s">
        <v>74</v>
      </c>
      <c r="N880" t="s">
        <v>74</v>
      </c>
      <c r="O880" t="s">
        <v>74</v>
      </c>
      <c r="P880" t="s">
        <v>74</v>
      </c>
      <c r="Q880" t="s">
        <v>74</v>
      </c>
      <c r="R880" t="s">
        <v>74</v>
      </c>
      <c r="S880" t="s">
        <v>74</v>
      </c>
      <c r="T880" t="s">
        <v>74</v>
      </c>
      <c r="U880" t="s">
        <v>74</v>
      </c>
      <c r="V880" s="3" t="s">
        <v>2896</v>
      </c>
      <c r="W880" t="s">
        <v>74</v>
      </c>
      <c r="X880" t="s">
        <v>74</v>
      </c>
      <c r="Y880" t="s">
        <v>74</v>
      </c>
      <c r="Z880" t="s">
        <v>74</v>
      </c>
      <c r="AA880" t="s">
        <v>379</v>
      </c>
      <c r="AB880" t="s">
        <v>74</v>
      </c>
      <c r="AC880" t="s">
        <v>74</v>
      </c>
      <c r="AD880" t="s">
        <v>74</v>
      </c>
      <c r="AE880" t="s">
        <v>74</v>
      </c>
      <c r="AF880" t="s">
        <v>74</v>
      </c>
      <c r="AG880" t="s">
        <v>74</v>
      </c>
      <c r="AH880" t="s">
        <v>74</v>
      </c>
      <c r="AI880" t="s">
        <v>74</v>
      </c>
      <c r="AJ880" t="s">
        <v>74</v>
      </c>
      <c r="AK880" t="s">
        <v>74</v>
      </c>
      <c r="AL880" t="s">
        <v>74</v>
      </c>
      <c r="AM880" t="s">
        <v>74</v>
      </c>
      <c r="AN880" t="s">
        <v>74</v>
      </c>
      <c r="AO880" t="s">
        <v>143</v>
      </c>
      <c r="AP880" t="s">
        <v>144</v>
      </c>
      <c r="AQ880" t="s">
        <v>74</v>
      </c>
      <c r="AR880" t="s">
        <v>74</v>
      </c>
      <c r="AS880" t="s">
        <v>74</v>
      </c>
      <c r="AT880" t="s">
        <v>352</v>
      </c>
      <c r="AU880">
        <v>2017</v>
      </c>
      <c r="AV880">
        <v>131</v>
      </c>
      <c r="AW880" t="s">
        <v>74</v>
      </c>
      <c r="AX880" t="s">
        <v>74</v>
      </c>
      <c r="AY880" t="s">
        <v>74</v>
      </c>
      <c r="AZ880" t="s">
        <v>74</v>
      </c>
      <c r="BA880" t="s">
        <v>74</v>
      </c>
      <c r="BB880">
        <v>107</v>
      </c>
      <c r="BC880">
        <v>114</v>
      </c>
      <c r="BD880" t="s">
        <v>74</v>
      </c>
      <c r="BE880" t="s">
        <v>2897</v>
      </c>
      <c r="BF880" t="str">
        <f>HYPERLINK("http://dx.doi.org/10.1016/j.anbehav.2017.07.013","http://dx.doi.org/10.1016/j.anbehav.2017.07.013")</f>
        <v>http://dx.doi.org/10.1016/j.anbehav.2017.07.013</v>
      </c>
      <c r="BG880" t="s">
        <v>74</v>
      </c>
      <c r="BH880" t="s">
        <v>74</v>
      </c>
      <c r="BI880" t="s">
        <v>74</v>
      </c>
      <c r="BJ880" t="s">
        <v>74</v>
      </c>
      <c r="BK880" t="s">
        <v>74</v>
      </c>
      <c r="BL880" t="s">
        <v>74</v>
      </c>
      <c r="BM880" t="s">
        <v>74</v>
      </c>
      <c r="BN880" t="s">
        <v>74</v>
      </c>
      <c r="BO880" t="s">
        <v>74</v>
      </c>
      <c r="BP880" t="s">
        <v>74</v>
      </c>
      <c r="BQ880" t="s">
        <v>74</v>
      </c>
      <c r="BR880" t="s">
        <v>74</v>
      </c>
      <c r="BS880" t="s">
        <v>2898</v>
      </c>
      <c r="BT880" t="str">
        <f>HYPERLINK("https%3A%2F%2Fwww.webofscience.com%2Fwos%2Fwoscc%2Ffull-record%2FWOS:000410035100014","View Full Record in Web of Science")</f>
        <v>View Full Record in Web of Science</v>
      </c>
    </row>
    <row r="881" spans="1:72" x14ac:dyDescent="0.4">
      <c r="A881" t="s">
        <v>72</v>
      </c>
      <c r="B881" t="s">
        <v>1831</v>
      </c>
      <c r="C881" t="s">
        <v>74</v>
      </c>
      <c r="D881" t="s">
        <v>74</v>
      </c>
      <c r="E881" t="s">
        <v>74</v>
      </c>
      <c r="F881" t="s">
        <v>1831</v>
      </c>
      <c r="G881" t="s">
        <v>74</v>
      </c>
      <c r="H881" t="s">
        <v>74</v>
      </c>
      <c r="I881" t="s">
        <v>1832</v>
      </c>
      <c r="J881" t="s">
        <v>77</v>
      </c>
      <c r="K881" t="s">
        <v>74</v>
      </c>
      <c r="L881" t="s">
        <v>74</v>
      </c>
      <c r="M881" t="s">
        <v>74</v>
      </c>
      <c r="N881" t="s">
        <v>74</v>
      </c>
      <c r="O881" t="s">
        <v>74</v>
      </c>
      <c r="P881" t="s">
        <v>74</v>
      </c>
      <c r="Q881" t="s">
        <v>74</v>
      </c>
      <c r="R881" t="s">
        <v>74</v>
      </c>
      <c r="S881" t="s">
        <v>74</v>
      </c>
      <c r="T881" t="s">
        <v>74</v>
      </c>
      <c r="U881" t="s">
        <v>74</v>
      </c>
      <c r="V881" s="3" t="s">
        <v>1833</v>
      </c>
      <c r="W881" t="s">
        <v>74</v>
      </c>
      <c r="X881" t="s">
        <v>74</v>
      </c>
      <c r="Y881" t="s">
        <v>74</v>
      </c>
      <c r="Z881" t="s">
        <v>74</v>
      </c>
      <c r="AA881" t="s">
        <v>74</v>
      </c>
      <c r="AB881" t="s">
        <v>74</v>
      </c>
      <c r="AC881" t="s">
        <v>74</v>
      </c>
      <c r="AD881" t="s">
        <v>74</v>
      </c>
      <c r="AE881" t="s">
        <v>74</v>
      </c>
      <c r="AF881" t="s">
        <v>74</v>
      </c>
      <c r="AG881" t="s">
        <v>74</v>
      </c>
      <c r="AH881" t="s">
        <v>74</v>
      </c>
      <c r="AI881" t="s">
        <v>74</v>
      </c>
      <c r="AJ881" t="s">
        <v>74</v>
      </c>
      <c r="AK881" t="s">
        <v>74</v>
      </c>
      <c r="AL881" t="s">
        <v>74</v>
      </c>
      <c r="AM881" t="s">
        <v>74</v>
      </c>
      <c r="AN881" t="s">
        <v>74</v>
      </c>
      <c r="AO881" t="s">
        <v>81</v>
      </c>
      <c r="AP881" t="s">
        <v>82</v>
      </c>
      <c r="AQ881" t="s">
        <v>74</v>
      </c>
      <c r="AR881" t="s">
        <v>74</v>
      </c>
      <c r="AS881" t="s">
        <v>74</v>
      </c>
      <c r="AT881" t="s">
        <v>74</v>
      </c>
      <c r="AU881">
        <v>1979</v>
      </c>
      <c r="AV881">
        <v>70</v>
      </c>
      <c r="AW881" t="s">
        <v>74</v>
      </c>
      <c r="AX881" t="s">
        <v>1276</v>
      </c>
      <c r="AY881" t="s">
        <v>74</v>
      </c>
      <c r="AZ881" t="s">
        <v>74</v>
      </c>
      <c r="BA881" t="s">
        <v>74</v>
      </c>
      <c r="BB881">
        <v>323</v>
      </c>
      <c r="BC881">
        <v>336</v>
      </c>
      <c r="BD881" t="s">
        <v>74</v>
      </c>
      <c r="BE881" t="s">
        <v>1834</v>
      </c>
      <c r="BF881" t="str">
        <f>HYPERLINK("http://dx.doi.org/10.1163/156853979X00115","http://dx.doi.org/10.1163/156853979X00115")</f>
        <v>http://dx.doi.org/10.1163/156853979X00115</v>
      </c>
      <c r="BG881" t="s">
        <v>74</v>
      </c>
      <c r="BH881" t="s">
        <v>74</v>
      </c>
      <c r="BI881" t="s">
        <v>74</v>
      </c>
      <c r="BJ881" t="s">
        <v>74</v>
      </c>
      <c r="BK881" t="s">
        <v>74</v>
      </c>
      <c r="BL881" t="s">
        <v>74</v>
      </c>
      <c r="BM881" t="s">
        <v>74</v>
      </c>
      <c r="BN881" t="s">
        <v>74</v>
      </c>
      <c r="BO881" t="s">
        <v>74</v>
      </c>
      <c r="BP881" t="s">
        <v>74</v>
      </c>
      <c r="BQ881" t="s">
        <v>74</v>
      </c>
      <c r="BR881" t="s">
        <v>74</v>
      </c>
      <c r="BS881" t="s">
        <v>1835</v>
      </c>
      <c r="BT881" t="str">
        <f>HYPERLINK("https%3A%2F%2Fwww.webofscience.com%2Fwos%2Fwoscc%2Ffull-record%2FWOS:A1979HU60900006","View Full Record in Web of Science")</f>
        <v>View Full Record in Web of Science</v>
      </c>
    </row>
    <row r="882" spans="1:72" x14ac:dyDescent="0.4">
      <c r="A882" t="s">
        <v>72</v>
      </c>
      <c r="B882" t="s">
        <v>3119</v>
      </c>
      <c r="C882" t="s">
        <v>74</v>
      </c>
      <c r="D882" t="s">
        <v>74</v>
      </c>
      <c r="E882" t="s">
        <v>74</v>
      </c>
      <c r="F882" t="s">
        <v>3120</v>
      </c>
      <c r="G882" t="s">
        <v>74</v>
      </c>
      <c r="H882" t="s">
        <v>74</v>
      </c>
      <c r="I882" t="s">
        <v>3121</v>
      </c>
      <c r="J882" t="s">
        <v>218</v>
      </c>
      <c r="K882" t="s">
        <v>74</v>
      </c>
      <c r="L882" t="s">
        <v>74</v>
      </c>
      <c r="M882" t="s">
        <v>74</v>
      </c>
      <c r="N882" t="s">
        <v>74</v>
      </c>
      <c r="O882" t="s">
        <v>74</v>
      </c>
      <c r="P882" t="s">
        <v>74</v>
      </c>
      <c r="Q882" t="s">
        <v>74</v>
      </c>
      <c r="R882" t="s">
        <v>74</v>
      </c>
      <c r="S882" t="s">
        <v>74</v>
      </c>
      <c r="T882" t="s">
        <v>74</v>
      </c>
      <c r="U882" t="s">
        <v>74</v>
      </c>
      <c r="V882" s="3" t="s">
        <v>3122</v>
      </c>
      <c r="W882" t="s">
        <v>74</v>
      </c>
      <c r="X882" t="s">
        <v>74</v>
      </c>
      <c r="Y882" t="s">
        <v>74</v>
      </c>
      <c r="Z882" t="s">
        <v>74</v>
      </c>
      <c r="AA882" t="s">
        <v>74</v>
      </c>
      <c r="AB882" t="s">
        <v>74</v>
      </c>
      <c r="AC882" t="s">
        <v>74</v>
      </c>
      <c r="AD882" t="s">
        <v>74</v>
      </c>
      <c r="AE882" t="s">
        <v>74</v>
      </c>
      <c r="AF882" t="s">
        <v>74</v>
      </c>
      <c r="AG882" t="s">
        <v>74</v>
      </c>
      <c r="AH882" t="s">
        <v>74</v>
      </c>
      <c r="AI882" t="s">
        <v>74</v>
      </c>
      <c r="AJ882" t="s">
        <v>74</v>
      </c>
      <c r="AK882" t="s">
        <v>74</v>
      </c>
      <c r="AL882" t="s">
        <v>74</v>
      </c>
      <c r="AM882" t="s">
        <v>74</v>
      </c>
      <c r="AN882" t="s">
        <v>74</v>
      </c>
      <c r="AO882" t="s">
        <v>221</v>
      </c>
      <c r="AP882" t="s">
        <v>74</v>
      </c>
      <c r="AQ882" t="s">
        <v>74</v>
      </c>
      <c r="AR882" t="s">
        <v>74</v>
      </c>
      <c r="AS882" t="s">
        <v>74</v>
      </c>
      <c r="AT882" t="s">
        <v>352</v>
      </c>
      <c r="AU882">
        <v>2010</v>
      </c>
      <c r="AV882">
        <v>23</v>
      </c>
      <c r="AW882">
        <v>9</v>
      </c>
      <c r="AX882" t="s">
        <v>74</v>
      </c>
      <c r="AY882" t="s">
        <v>74</v>
      </c>
      <c r="AZ882" t="s">
        <v>74</v>
      </c>
      <c r="BA882" t="s">
        <v>74</v>
      </c>
      <c r="BB882">
        <v>1928</v>
      </c>
      <c r="BC882">
        <v>1936</v>
      </c>
      <c r="BD882" t="s">
        <v>74</v>
      </c>
      <c r="BE882" t="s">
        <v>3123</v>
      </c>
      <c r="BF882" t="str">
        <f>HYPERLINK("http://dx.doi.org/10.1111/j.1420-9101.2010.02063.x","http://dx.doi.org/10.1111/j.1420-9101.2010.02063.x")</f>
        <v>http://dx.doi.org/10.1111/j.1420-9101.2010.02063.x</v>
      </c>
      <c r="BG882" t="s">
        <v>74</v>
      </c>
      <c r="BH882" t="s">
        <v>74</v>
      </c>
      <c r="BI882" t="s">
        <v>74</v>
      </c>
      <c r="BJ882" t="s">
        <v>74</v>
      </c>
      <c r="BK882" t="s">
        <v>74</v>
      </c>
      <c r="BL882" t="s">
        <v>74</v>
      </c>
      <c r="BM882" t="s">
        <v>74</v>
      </c>
      <c r="BN882">
        <v>20695966</v>
      </c>
      <c r="BO882" t="s">
        <v>74</v>
      </c>
      <c r="BP882" t="s">
        <v>74</v>
      </c>
      <c r="BQ882" t="s">
        <v>74</v>
      </c>
      <c r="BR882" t="s">
        <v>74</v>
      </c>
      <c r="BS882" t="s">
        <v>3124</v>
      </c>
      <c r="BT882" t="str">
        <f>HYPERLINK("https%3A%2F%2Fwww.webofscience.com%2Fwos%2Fwoscc%2Ffull-record%2FWOS:000281141800011","View Full Record in Web of Science")</f>
        <v>View Full Record in Web of Science</v>
      </c>
    </row>
    <row r="883" spans="1:72" x14ac:dyDescent="0.4">
      <c r="A883" t="s">
        <v>72</v>
      </c>
      <c r="B883" t="s">
        <v>1299</v>
      </c>
      <c r="C883" t="s">
        <v>74</v>
      </c>
      <c r="D883" t="s">
        <v>74</v>
      </c>
      <c r="E883" t="s">
        <v>74</v>
      </c>
      <c r="F883" t="s">
        <v>1300</v>
      </c>
      <c r="G883" t="s">
        <v>74</v>
      </c>
      <c r="H883" t="s">
        <v>74</v>
      </c>
      <c r="I883" t="s">
        <v>1301</v>
      </c>
      <c r="J883" t="s">
        <v>1302</v>
      </c>
      <c r="K883" t="s">
        <v>74</v>
      </c>
      <c r="L883" t="s">
        <v>74</v>
      </c>
      <c r="M883" t="s">
        <v>74</v>
      </c>
      <c r="N883" t="s">
        <v>74</v>
      </c>
      <c r="O883" t="s">
        <v>74</v>
      </c>
      <c r="P883" t="s">
        <v>74</v>
      </c>
      <c r="Q883" t="s">
        <v>74</v>
      </c>
      <c r="R883" t="s">
        <v>74</v>
      </c>
      <c r="S883" t="s">
        <v>74</v>
      </c>
      <c r="T883" t="s">
        <v>74</v>
      </c>
      <c r="U883" t="s">
        <v>74</v>
      </c>
      <c r="V883" s="3" t="s">
        <v>1303</v>
      </c>
      <c r="W883" t="s">
        <v>74</v>
      </c>
      <c r="X883" t="s">
        <v>74</v>
      </c>
      <c r="Y883" t="s">
        <v>74</v>
      </c>
      <c r="Z883" t="s">
        <v>74</v>
      </c>
      <c r="AA883" t="s">
        <v>1304</v>
      </c>
      <c r="AB883" t="s">
        <v>1305</v>
      </c>
      <c r="AC883" t="s">
        <v>74</v>
      </c>
      <c r="AD883" t="s">
        <v>74</v>
      </c>
      <c r="AE883" t="s">
        <v>74</v>
      </c>
      <c r="AF883" t="s">
        <v>74</v>
      </c>
      <c r="AG883" t="s">
        <v>74</v>
      </c>
      <c r="AH883" t="s">
        <v>74</v>
      </c>
      <c r="AI883" t="s">
        <v>74</v>
      </c>
      <c r="AJ883" t="s">
        <v>74</v>
      </c>
      <c r="AK883" t="s">
        <v>74</v>
      </c>
      <c r="AL883" t="s">
        <v>74</v>
      </c>
      <c r="AM883" t="s">
        <v>74</v>
      </c>
      <c r="AN883" t="s">
        <v>74</v>
      </c>
      <c r="AO883" t="s">
        <v>1306</v>
      </c>
      <c r="AP883" t="s">
        <v>74</v>
      </c>
      <c r="AQ883" t="s">
        <v>74</v>
      </c>
      <c r="AR883" t="s">
        <v>74</v>
      </c>
      <c r="AS883" t="s">
        <v>74</v>
      </c>
      <c r="AT883" t="s">
        <v>1307</v>
      </c>
      <c r="AU883">
        <v>2009</v>
      </c>
      <c r="AV883">
        <v>7</v>
      </c>
      <c r="AW883">
        <v>4</v>
      </c>
      <c r="AX883" t="s">
        <v>74</v>
      </c>
      <c r="AY883" t="s">
        <v>74</v>
      </c>
      <c r="AZ883" t="s">
        <v>74</v>
      </c>
      <c r="BA883" t="s">
        <v>74</v>
      </c>
      <c r="BB883">
        <v>641</v>
      </c>
      <c r="BC883">
        <v>646</v>
      </c>
      <c r="BD883" t="s">
        <v>74</v>
      </c>
      <c r="BE883" t="s">
        <v>1308</v>
      </c>
      <c r="BF883" t="str">
        <f>HYPERLINK("http://dx.doi.org/10.1590/S1679-62252009000400013","http://dx.doi.org/10.1590/S1679-62252009000400013")</f>
        <v>http://dx.doi.org/10.1590/S1679-62252009000400013</v>
      </c>
      <c r="BG883" t="s">
        <v>74</v>
      </c>
      <c r="BH883" t="s">
        <v>74</v>
      </c>
      <c r="BI883" t="s">
        <v>74</v>
      </c>
      <c r="BJ883" t="s">
        <v>74</v>
      </c>
      <c r="BK883" t="s">
        <v>74</v>
      </c>
      <c r="BL883" t="s">
        <v>74</v>
      </c>
      <c r="BM883" t="s">
        <v>74</v>
      </c>
      <c r="BN883" t="s">
        <v>74</v>
      </c>
      <c r="BO883" t="s">
        <v>74</v>
      </c>
      <c r="BP883" t="s">
        <v>74</v>
      </c>
      <c r="BQ883" t="s">
        <v>74</v>
      </c>
      <c r="BR883" t="s">
        <v>74</v>
      </c>
      <c r="BS883" t="s">
        <v>1309</v>
      </c>
      <c r="BT883" t="str">
        <f>HYPERLINK("https%3A%2F%2Fwww.webofscience.com%2Fwos%2Fwoscc%2Ffull-record%2FWOS:000273613900013","View Full Record in Web of Science")</f>
        <v>View Full Record in Web of Science</v>
      </c>
    </row>
    <row r="884" spans="1:72" x14ac:dyDescent="0.4">
      <c r="A884" t="s">
        <v>72</v>
      </c>
      <c r="B884" t="s">
        <v>3753</v>
      </c>
      <c r="C884" t="s">
        <v>74</v>
      </c>
      <c r="D884" t="s">
        <v>74</v>
      </c>
      <c r="E884" t="s">
        <v>74</v>
      </c>
      <c r="F884" t="s">
        <v>3754</v>
      </c>
      <c r="G884" t="s">
        <v>74</v>
      </c>
      <c r="H884" t="s">
        <v>74</v>
      </c>
      <c r="I884" t="s">
        <v>3755</v>
      </c>
      <c r="J884" t="s">
        <v>3756</v>
      </c>
      <c r="K884" t="s">
        <v>74</v>
      </c>
      <c r="L884" t="s">
        <v>74</v>
      </c>
      <c r="M884" t="s">
        <v>74</v>
      </c>
      <c r="N884" t="s">
        <v>74</v>
      </c>
      <c r="O884" t="s">
        <v>74</v>
      </c>
      <c r="P884" t="s">
        <v>74</v>
      </c>
      <c r="Q884" t="s">
        <v>74</v>
      </c>
      <c r="R884" t="s">
        <v>74</v>
      </c>
      <c r="S884" t="s">
        <v>74</v>
      </c>
      <c r="T884" t="s">
        <v>74</v>
      </c>
      <c r="U884" t="s">
        <v>74</v>
      </c>
      <c r="V884" s="3" t="s">
        <v>3757</v>
      </c>
      <c r="W884" t="s">
        <v>74</v>
      </c>
      <c r="X884" t="s">
        <v>74</v>
      </c>
      <c r="Y884" t="s">
        <v>74</v>
      </c>
      <c r="Z884" t="s">
        <v>74</v>
      </c>
      <c r="AA884" t="s">
        <v>3758</v>
      </c>
      <c r="AB884" t="s">
        <v>3759</v>
      </c>
      <c r="AC884" t="s">
        <v>74</v>
      </c>
      <c r="AD884" t="s">
        <v>74</v>
      </c>
      <c r="AE884" t="s">
        <v>74</v>
      </c>
      <c r="AF884" t="s">
        <v>74</v>
      </c>
      <c r="AG884" t="s">
        <v>74</v>
      </c>
      <c r="AH884" t="s">
        <v>74</v>
      </c>
      <c r="AI884" t="s">
        <v>74</v>
      </c>
      <c r="AJ884" t="s">
        <v>74</v>
      </c>
      <c r="AK884" t="s">
        <v>74</v>
      </c>
      <c r="AL884" t="s">
        <v>74</v>
      </c>
      <c r="AM884" t="s">
        <v>74</v>
      </c>
      <c r="AN884" t="s">
        <v>74</v>
      </c>
      <c r="AO884" t="s">
        <v>3760</v>
      </c>
      <c r="AP884" t="s">
        <v>74</v>
      </c>
      <c r="AQ884" t="s">
        <v>74</v>
      </c>
      <c r="AR884" t="s">
        <v>74</v>
      </c>
      <c r="AS884" t="s">
        <v>74</v>
      </c>
      <c r="AT884" t="s">
        <v>175</v>
      </c>
      <c r="AU884">
        <v>2019</v>
      </c>
      <c r="AV884">
        <v>12</v>
      </c>
      <c r="AW884">
        <v>9</v>
      </c>
      <c r="AX884" t="s">
        <v>74</v>
      </c>
      <c r="AY884" t="s">
        <v>74</v>
      </c>
      <c r="AZ884" t="s">
        <v>74</v>
      </c>
      <c r="BA884" t="s">
        <v>74</v>
      </c>
      <c r="BB884">
        <v>1757</v>
      </c>
      <c r="BC884">
        <v>1771</v>
      </c>
      <c r="BD884" t="s">
        <v>74</v>
      </c>
      <c r="BE884" t="s">
        <v>3761</v>
      </c>
      <c r="BF884" t="str">
        <f>HYPERLINK("http://dx.doi.org/10.1111/eva.12830","http://dx.doi.org/10.1111/eva.12830")</f>
        <v>http://dx.doi.org/10.1111/eva.12830</v>
      </c>
      <c r="BG884" t="s">
        <v>74</v>
      </c>
      <c r="BH884" t="s">
        <v>3762</v>
      </c>
      <c r="BI884" t="s">
        <v>74</v>
      </c>
      <c r="BJ884" t="s">
        <v>74</v>
      </c>
      <c r="BK884" t="s">
        <v>74</v>
      </c>
      <c r="BL884" t="s">
        <v>74</v>
      </c>
      <c r="BM884" t="s">
        <v>74</v>
      </c>
      <c r="BN884">
        <v>31548855</v>
      </c>
      <c r="BO884" t="s">
        <v>74</v>
      </c>
      <c r="BP884" t="s">
        <v>74</v>
      </c>
      <c r="BQ884" t="s">
        <v>74</v>
      </c>
      <c r="BR884" t="s">
        <v>74</v>
      </c>
      <c r="BS884" t="s">
        <v>3763</v>
      </c>
      <c r="BT884" t="str">
        <f>HYPERLINK("https%3A%2F%2Fwww.webofscience.com%2Fwos%2Fwoscc%2Ffull-record%2FWOS:000476434800001","View Full Record in Web of Science")</f>
        <v>View Full Record in Web of Science</v>
      </c>
    </row>
    <row r="885" spans="1:72" x14ac:dyDescent="0.4">
      <c r="A885" t="s">
        <v>72</v>
      </c>
      <c r="B885" t="s">
        <v>7910</v>
      </c>
      <c r="C885" t="s">
        <v>74</v>
      </c>
      <c r="D885" t="s">
        <v>74</v>
      </c>
      <c r="E885" t="s">
        <v>74</v>
      </c>
      <c r="F885" t="s">
        <v>7911</v>
      </c>
      <c r="G885" t="s">
        <v>74</v>
      </c>
      <c r="H885" t="s">
        <v>74</v>
      </c>
      <c r="I885" t="s">
        <v>7912</v>
      </c>
      <c r="J885" t="s">
        <v>1656</v>
      </c>
      <c r="K885" t="s">
        <v>74</v>
      </c>
      <c r="L885" t="s">
        <v>74</v>
      </c>
      <c r="M885" t="s">
        <v>74</v>
      </c>
      <c r="N885" t="s">
        <v>74</v>
      </c>
      <c r="O885" t="s">
        <v>74</v>
      </c>
      <c r="P885" t="s">
        <v>74</v>
      </c>
      <c r="Q885" t="s">
        <v>74</v>
      </c>
      <c r="R885" t="s">
        <v>74</v>
      </c>
      <c r="S885" t="s">
        <v>74</v>
      </c>
      <c r="T885" t="s">
        <v>74</v>
      </c>
      <c r="U885" t="s">
        <v>74</v>
      </c>
      <c r="V885" s="3" t="s">
        <v>7913</v>
      </c>
      <c r="W885" t="s">
        <v>74</v>
      </c>
      <c r="X885" t="s">
        <v>74</v>
      </c>
      <c r="Y885" t="s">
        <v>74</v>
      </c>
      <c r="Z885" t="s">
        <v>74</v>
      </c>
      <c r="AA885" t="s">
        <v>7914</v>
      </c>
      <c r="AB885" t="s">
        <v>7915</v>
      </c>
      <c r="AC885" t="s">
        <v>74</v>
      </c>
      <c r="AD885" t="s">
        <v>74</v>
      </c>
      <c r="AE885" t="s">
        <v>74</v>
      </c>
      <c r="AF885" t="s">
        <v>74</v>
      </c>
      <c r="AG885" t="s">
        <v>74</v>
      </c>
      <c r="AH885" t="s">
        <v>74</v>
      </c>
      <c r="AI885" t="s">
        <v>74</v>
      </c>
      <c r="AJ885" t="s">
        <v>74</v>
      </c>
      <c r="AK885" t="s">
        <v>74</v>
      </c>
      <c r="AL885" t="s">
        <v>74</v>
      </c>
      <c r="AM885" t="s">
        <v>74</v>
      </c>
      <c r="AN885" t="s">
        <v>74</v>
      </c>
      <c r="AO885" t="s">
        <v>1658</v>
      </c>
      <c r="AP885" t="s">
        <v>1659</v>
      </c>
      <c r="AQ885" t="s">
        <v>74</v>
      </c>
      <c r="AR885" t="s">
        <v>74</v>
      </c>
      <c r="AS885" t="s">
        <v>74</v>
      </c>
      <c r="AT885" t="s">
        <v>7916</v>
      </c>
      <c r="AU885">
        <v>2023</v>
      </c>
      <c r="AV885">
        <v>5311</v>
      </c>
      <c r="AW885">
        <v>2</v>
      </c>
      <c r="AX885" t="s">
        <v>74</v>
      </c>
      <c r="AY885" t="s">
        <v>74</v>
      </c>
      <c r="AZ885" t="s">
        <v>74</v>
      </c>
      <c r="BA885" t="s">
        <v>74</v>
      </c>
      <c r="BB885">
        <v>232</v>
      </c>
      <c r="BC885">
        <v>250</v>
      </c>
      <c r="BD885" t="s">
        <v>74</v>
      </c>
      <c r="BE885" t="s">
        <v>7917</v>
      </c>
      <c r="BF885" t="str">
        <f>HYPERLINK("http://dx.doi.org/10.11646/zootaxa.5311.2.4","http://dx.doi.org/10.11646/zootaxa.5311.2.4")</f>
        <v>http://dx.doi.org/10.11646/zootaxa.5311.2.4</v>
      </c>
      <c r="BG885" t="s">
        <v>74</v>
      </c>
      <c r="BH885" t="s">
        <v>74</v>
      </c>
      <c r="BI885" t="s">
        <v>74</v>
      </c>
      <c r="BJ885" t="s">
        <v>74</v>
      </c>
      <c r="BK885" t="s">
        <v>74</v>
      </c>
      <c r="BL885" t="s">
        <v>74</v>
      </c>
      <c r="BM885" t="s">
        <v>74</v>
      </c>
      <c r="BN885">
        <v>37518646</v>
      </c>
      <c r="BO885" t="s">
        <v>74</v>
      </c>
      <c r="BP885" t="s">
        <v>74</v>
      </c>
      <c r="BQ885" t="s">
        <v>74</v>
      </c>
      <c r="BR885" t="s">
        <v>74</v>
      </c>
      <c r="BS885" t="s">
        <v>7918</v>
      </c>
      <c r="BT885" t="str">
        <f>HYPERLINK("https%3A%2F%2Fwww.webofscience.com%2Fwos%2Fwoscc%2Ffull-record%2FWOS:001030714500003","View Full Record in Web of Science")</f>
        <v>View Full Record in Web of Science</v>
      </c>
    </row>
    <row r="886" spans="1:72" x14ac:dyDescent="0.4">
      <c r="A886" t="s">
        <v>72</v>
      </c>
      <c r="B886" t="s">
        <v>4033</v>
      </c>
      <c r="C886" t="s">
        <v>74</v>
      </c>
      <c r="D886" t="s">
        <v>74</v>
      </c>
      <c r="E886" t="s">
        <v>74</v>
      </c>
      <c r="F886" t="s">
        <v>4034</v>
      </c>
      <c r="G886" t="s">
        <v>74</v>
      </c>
      <c r="H886" t="s">
        <v>74</v>
      </c>
      <c r="I886" t="s">
        <v>4035</v>
      </c>
      <c r="J886" t="s">
        <v>1949</v>
      </c>
      <c r="K886" t="s">
        <v>74</v>
      </c>
      <c r="L886" t="s">
        <v>74</v>
      </c>
      <c r="M886" t="s">
        <v>74</v>
      </c>
      <c r="N886" t="s">
        <v>74</v>
      </c>
      <c r="O886" t="s">
        <v>74</v>
      </c>
      <c r="P886" t="s">
        <v>74</v>
      </c>
      <c r="Q886" t="s">
        <v>74</v>
      </c>
      <c r="R886" t="s">
        <v>74</v>
      </c>
      <c r="S886" t="s">
        <v>74</v>
      </c>
      <c r="T886" t="s">
        <v>74</v>
      </c>
      <c r="U886" t="s">
        <v>74</v>
      </c>
      <c r="V886" s="3" t="s">
        <v>4036</v>
      </c>
      <c r="W886" t="s">
        <v>74</v>
      </c>
      <c r="X886" t="s">
        <v>74</v>
      </c>
      <c r="Y886" t="s">
        <v>74</v>
      </c>
      <c r="Z886" t="s">
        <v>74</v>
      </c>
      <c r="AA886" t="s">
        <v>4037</v>
      </c>
      <c r="AB886" t="s">
        <v>4038</v>
      </c>
      <c r="AC886" t="s">
        <v>74</v>
      </c>
      <c r="AD886" t="s">
        <v>74</v>
      </c>
      <c r="AE886" t="s">
        <v>74</v>
      </c>
      <c r="AF886" t="s">
        <v>74</v>
      </c>
      <c r="AG886" t="s">
        <v>74</v>
      </c>
      <c r="AH886" t="s">
        <v>74</v>
      </c>
      <c r="AI886" t="s">
        <v>74</v>
      </c>
      <c r="AJ886" t="s">
        <v>74</v>
      </c>
      <c r="AK886" t="s">
        <v>74</v>
      </c>
      <c r="AL886" t="s">
        <v>74</v>
      </c>
      <c r="AM886" t="s">
        <v>74</v>
      </c>
      <c r="AN886" t="s">
        <v>74</v>
      </c>
      <c r="AO886" t="s">
        <v>74</v>
      </c>
      <c r="AP886" t="s">
        <v>1953</v>
      </c>
      <c r="AQ886" t="s">
        <v>74</v>
      </c>
      <c r="AR886" t="s">
        <v>74</v>
      </c>
      <c r="AS886" t="s">
        <v>74</v>
      </c>
      <c r="AT886" t="s">
        <v>213</v>
      </c>
      <c r="AU886">
        <v>2020</v>
      </c>
      <c r="AV886">
        <v>11</v>
      </c>
      <c r="AW886">
        <v>11</v>
      </c>
      <c r="AX886" t="s">
        <v>74</v>
      </c>
      <c r="AY886" t="s">
        <v>74</v>
      </c>
      <c r="AZ886" t="s">
        <v>74</v>
      </c>
      <c r="BA886" t="s">
        <v>74</v>
      </c>
      <c r="BB886" t="s">
        <v>74</v>
      </c>
      <c r="BC886" t="s">
        <v>74</v>
      </c>
      <c r="BD886">
        <v>727</v>
      </c>
      <c r="BE886" t="s">
        <v>4039</v>
      </c>
      <c r="BF886" t="str">
        <f>HYPERLINK("http://dx.doi.org/10.3390/insects11110727","http://dx.doi.org/10.3390/insects11110727")</f>
        <v>http://dx.doi.org/10.3390/insects11110727</v>
      </c>
      <c r="BG886" t="s">
        <v>74</v>
      </c>
      <c r="BH886" t="s">
        <v>74</v>
      </c>
      <c r="BI886" t="s">
        <v>74</v>
      </c>
      <c r="BJ886" t="s">
        <v>74</v>
      </c>
      <c r="BK886" t="s">
        <v>74</v>
      </c>
      <c r="BL886" t="s">
        <v>74</v>
      </c>
      <c r="BM886" t="s">
        <v>74</v>
      </c>
      <c r="BN886">
        <v>33114300</v>
      </c>
      <c r="BO886" t="s">
        <v>74</v>
      </c>
      <c r="BP886" t="s">
        <v>74</v>
      </c>
      <c r="BQ886" t="s">
        <v>74</v>
      </c>
      <c r="BR886" t="s">
        <v>74</v>
      </c>
      <c r="BS886" t="s">
        <v>4040</v>
      </c>
      <c r="BT886" t="str">
        <f>HYPERLINK("https%3A%2F%2Fwww.webofscience.com%2Fwos%2Fwoscc%2Ffull-record%2FWOS:000593343100001","View Full Record in Web of Science")</f>
        <v>View Full Record in Web of Science</v>
      </c>
    </row>
    <row r="887" spans="1:72" x14ac:dyDescent="0.4">
      <c r="A887" t="s">
        <v>72</v>
      </c>
      <c r="B887" t="s">
        <v>2061</v>
      </c>
      <c r="C887" t="s">
        <v>74</v>
      </c>
      <c r="D887" t="s">
        <v>74</v>
      </c>
      <c r="E887" t="s">
        <v>74</v>
      </c>
      <c r="F887" t="s">
        <v>2062</v>
      </c>
      <c r="G887" t="s">
        <v>74</v>
      </c>
      <c r="H887" t="s">
        <v>74</v>
      </c>
      <c r="I887" t="s">
        <v>2063</v>
      </c>
      <c r="J887" t="s">
        <v>129</v>
      </c>
      <c r="K887" t="s">
        <v>74</v>
      </c>
      <c r="L887" t="s">
        <v>74</v>
      </c>
      <c r="M887" t="s">
        <v>74</v>
      </c>
      <c r="N887" t="s">
        <v>74</v>
      </c>
      <c r="O887" t="s">
        <v>74</v>
      </c>
      <c r="P887" t="s">
        <v>74</v>
      </c>
      <c r="Q887" t="s">
        <v>74</v>
      </c>
      <c r="R887" t="s">
        <v>74</v>
      </c>
      <c r="S887" t="s">
        <v>74</v>
      </c>
      <c r="T887" t="s">
        <v>74</v>
      </c>
      <c r="U887" t="s">
        <v>74</v>
      </c>
      <c r="V887" s="3" t="s">
        <v>2064</v>
      </c>
      <c r="W887" t="s">
        <v>74</v>
      </c>
      <c r="X887" t="s">
        <v>74</v>
      </c>
      <c r="Y887" t="s">
        <v>74</v>
      </c>
      <c r="Z887" t="s">
        <v>74</v>
      </c>
      <c r="AA887" t="s">
        <v>74</v>
      </c>
      <c r="AB887" t="s">
        <v>74</v>
      </c>
      <c r="AC887" t="s">
        <v>74</v>
      </c>
      <c r="AD887" t="s">
        <v>74</v>
      </c>
      <c r="AE887" t="s">
        <v>74</v>
      </c>
      <c r="AF887" t="s">
        <v>74</v>
      </c>
      <c r="AG887" t="s">
        <v>74</v>
      </c>
      <c r="AH887" t="s">
        <v>74</v>
      </c>
      <c r="AI887" t="s">
        <v>74</v>
      </c>
      <c r="AJ887" t="s">
        <v>74</v>
      </c>
      <c r="AK887" t="s">
        <v>74</v>
      </c>
      <c r="AL887" t="s">
        <v>74</v>
      </c>
      <c r="AM887" t="s">
        <v>74</v>
      </c>
      <c r="AN887" t="s">
        <v>74</v>
      </c>
      <c r="AO887" t="s">
        <v>132</v>
      </c>
      <c r="AP887" t="s">
        <v>133</v>
      </c>
      <c r="AQ887" t="s">
        <v>74</v>
      </c>
      <c r="AR887" t="s">
        <v>74</v>
      </c>
      <c r="AS887" t="s">
        <v>74</v>
      </c>
      <c r="AT887" t="s">
        <v>204</v>
      </c>
      <c r="AU887">
        <v>2024</v>
      </c>
      <c r="AV887">
        <v>78</v>
      </c>
      <c r="AW887">
        <v>7</v>
      </c>
      <c r="AX887" t="s">
        <v>74</v>
      </c>
      <c r="AY887" t="s">
        <v>74</v>
      </c>
      <c r="AZ887" t="s">
        <v>74</v>
      </c>
      <c r="BA887" t="s">
        <v>74</v>
      </c>
      <c r="BB887" t="s">
        <v>74</v>
      </c>
      <c r="BC887" t="s">
        <v>74</v>
      </c>
      <c r="BD887">
        <v>78</v>
      </c>
      <c r="BE887" t="s">
        <v>2065</v>
      </c>
      <c r="BF887" t="str">
        <f>HYPERLINK("http://dx.doi.org/10.1007/s00265-024-03493-0","http://dx.doi.org/10.1007/s00265-024-03493-0")</f>
        <v>http://dx.doi.org/10.1007/s00265-024-03493-0</v>
      </c>
      <c r="BG887" t="s">
        <v>74</v>
      </c>
      <c r="BH887" t="s">
        <v>74</v>
      </c>
      <c r="BI887" t="s">
        <v>74</v>
      </c>
      <c r="BJ887" t="s">
        <v>74</v>
      </c>
      <c r="BK887" t="s">
        <v>74</v>
      </c>
      <c r="BL887" t="s">
        <v>74</v>
      </c>
      <c r="BM887" t="s">
        <v>74</v>
      </c>
      <c r="BN887" t="s">
        <v>74</v>
      </c>
      <c r="BO887" t="s">
        <v>74</v>
      </c>
      <c r="BP887" t="s">
        <v>74</v>
      </c>
      <c r="BQ887" t="s">
        <v>74</v>
      </c>
      <c r="BR887" t="s">
        <v>74</v>
      </c>
      <c r="BS887" t="s">
        <v>2066</v>
      </c>
      <c r="BT887" t="str">
        <f>HYPERLINK("https%3A%2F%2Fwww.webofscience.com%2Fwos%2Fwoscc%2Ffull-record%2FWOS:001262286100002","View Full Record in Web of Science")</f>
        <v>View Full Record in Web of Science</v>
      </c>
    </row>
    <row r="888" spans="1:72" x14ac:dyDescent="0.4">
      <c r="A888" t="s">
        <v>72</v>
      </c>
      <c r="B888" t="s">
        <v>2214</v>
      </c>
      <c r="C888" t="s">
        <v>74</v>
      </c>
      <c r="D888" t="s">
        <v>74</v>
      </c>
      <c r="E888" t="s">
        <v>74</v>
      </c>
      <c r="F888" t="s">
        <v>2215</v>
      </c>
      <c r="G888" t="s">
        <v>74</v>
      </c>
      <c r="H888" t="s">
        <v>74</v>
      </c>
      <c r="I888" t="s">
        <v>2216</v>
      </c>
      <c r="J888" t="s">
        <v>192</v>
      </c>
      <c r="K888" t="s">
        <v>74</v>
      </c>
      <c r="L888" t="s">
        <v>74</v>
      </c>
      <c r="M888" t="s">
        <v>74</v>
      </c>
      <c r="N888" t="s">
        <v>74</v>
      </c>
      <c r="O888" t="s">
        <v>74</v>
      </c>
      <c r="P888" t="s">
        <v>74</v>
      </c>
      <c r="Q888" t="s">
        <v>74</v>
      </c>
      <c r="R888" t="s">
        <v>74</v>
      </c>
      <c r="S888" t="s">
        <v>74</v>
      </c>
      <c r="T888" t="s">
        <v>74</v>
      </c>
      <c r="U888" t="s">
        <v>74</v>
      </c>
      <c r="V888" s="3" t="s">
        <v>2217</v>
      </c>
      <c r="W888" t="s">
        <v>74</v>
      </c>
      <c r="X888" t="s">
        <v>74</v>
      </c>
      <c r="Y888" t="s">
        <v>74</v>
      </c>
      <c r="Z888" t="s">
        <v>74</v>
      </c>
      <c r="AA888" t="s">
        <v>2218</v>
      </c>
      <c r="AB888" t="s">
        <v>2219</v>
      </c>
      <c r="AC888" t="s">
        <v>74</v>
      </c>
      <c r="AD888" t="s">
        <v>74</v>
      </c>
      <c r="AE888" t="s">
        <v>74</v>
      </c>
      <c r="AF888" t="s">
        <v>74</v>
      </c>
      <c r="AG888" t="s">
        <v>74</v>
      </c>
      <c r="AH888" t="s">
        <v>74</v>
      </c>
      <c r="AI888" t="s">
        <v>74</v>
      </c>
      <c r="AJ888" t="s">
        <v>74</v>
      </c>
      <c r="AK888" t="s">
        <v>74</v>
      </c>
      <c r="AL888" t="s">
        <v>74</v>
      </c>
      <c r="AM888" t="s">
        <v>74</v>
      </c>
      <c r="AN888" t="s">
        <v>74</v>
      </c>
      <c r="AO888" t="s">
        <v>195</v>
      </c>
      <c r="AP888" t="s">
        <v>196</v>
      </c>
      <c r="AQ888" t="s">
        <v>74</v>
      </c>
      <c r="AR888" t="s">
        <v>74</v>
      </c>
      <c r="AS888" t="s">
        <v>74</v>
      </c>
      <c r="AT888" t="s">
        <v>134</v>
      </c>
      <c r="AU888">
        <v>2019</v>
      </c>
      <c r="AV888">
        <v>833</v>
      </c>
      <c r="AW888">
        <v>1</v>
      </c>
      <c r="AX888" t="s">
        <v>74</v>
      </c>
      <c r="AY888" t="s">
        <v>74</v>
      </c>
      <c r="AZ888" t="s">
        <v>74</v>
      </c>
      <c r="BA888" t="s">
        <v>74</v>
      </c>
      <c r="BB888">
        <v>185</v>
      </c>
      <c r="BC888">
        <v>196</v>
      </c>
      <c r="BD888" t="s">
        <v>74</v>
      </c>
      <c r="BE888" t="s">
        <v>2220</v>
      </c>
      <c r="BF888" t="str">
        <f>HYPERLINK("http://dx.doi.org/10.1007/s10750-019-3899-6","http://dx.doi.org/10.1007/s10750-019-3899-6")</f>
        <v>http://dx.doi.org/10.1007/s10750-019-3899-6</v>
      </c>
      <c r="BG888" t="s">
        <v>74</v>
      </c>
      <c r="BH888" t="s">
        <v>74</v>
      </c>
      <c r="BI888" t="s">
        <v>74</v>
      </c>
      <c r="BJ888" t="s">
        <v>74</v>
      </c>
      <c r="BK888" t="s">
        <v>74</v>
      </c>
      <c r="BL888" t="s">
        <v>74</v>
      </c>
      <c r="BM888" t="s">
        <v>74</v>
      </c>
      <c r="BN888" t="s">
        <v>74</v>
      </c>
      <c r="BO888" t="s">
        <v>74</v>
      </c>
      <c r="BP888" t="s">
        <v>74</v>
      </c>
      <c r="BQ888" t="s">
        <v>74</v>
      </c>
      <c r="BR888" t="s">
        <v>74</v>
      </c>
      <c r="BS888" t="s">
        <v>2221</v>
      </c>
      <c r="BT888" t="str">
        <f>HYPERLINK("https%3A%2F%2Fwww.webofscience.com%2Fwos%2Fwoscc%2Ffull-record%2FWOS:000460694400013","View Full Record in Web of Science")</f>
        <v>View Full Record in Web of Science</v>
      </c>
    </row>
    <row r="889" spans="1:72" x14ac:dyDescent="0.4">
      <c r="A889" t="s">
        <v>72</v>
      </c>
      <c r="B889" t="s">
        <v>6497</v>
      </c>
      <c r="C889" t="s">
        <v>74</v>
      </c>
      <c r="D889" t="s">
        <v>74</v>
      </c>
      <c r="E889" t="s">
        <v>74</v>
      </c>
      <c r="F889" t="s">
        <v>6498</v>
      </c>
      <c r="G889" t="s">
        <v>74</v>
      </c>
      <c r="H889" t="s">
        <v>74</v>
      </c>
      <c r="I889" t="s">
        <v>6499</v>
      </c>
      <c r="J889" t="s">
        <v>5577</v>
      </c>
      <c r="K889" t="s">
        <v>74</v>
      </c>
      <c r="L889" t="s">
        <v>74</v>
      </c>
      <c r="M889" t="s">
        <v>74</v>
      </c>
      <c r="N889" t="s">
        <v>74</v>
      </c>
      <c r="O889" t="s">
        <v>74</v>
      </c>
      <c r="P889" t="s">
        <v>74</v>
      </c>
      <c r="Q889" t="s">
        <v>74</v>
      </c>
      <c r="R889" t="s">
        <v>74</v>
      </c>
      <c r="S889" t="s">
        <v>74</v>
      </c>
      <c r="T889" t="s">
        <v>74</v>
      </c>
      <c r="U889" t="s">
        <v>74</v>
      </c>
      <c r="V889" s="3" t="s">
        <v>6500</v>
      </c>
      <c r="W889" t="s">
        <v>74</v>
      </c>
      <c r="X889" t="s">
        <v>74</v>
      </c>
      <c r="Y889" t="s">
        <v>74</v>
      </c>
      <c r="Z889" t="s">
        <v>74</v>
      </c>
      <c r="AA889" t="s">
        <v>74</v>
      </c>
      <c r="AB889" t="s">
        <v>74</v>
      </c>
      <c r="AC889" t="s">
        <v>74</v>
      </c>
      <c r="AD889" t="s">
        <v>74</v>
      </c>
      <c r="AE889" t="s">
        <v>74</v>
      </c>
      <c r="AF889" t="s">
        <v>74</v>
      </c>
      <c r="AG889" t="s">
        <v>74</v>
      </c>
      <c r="AH889" t="s">
        <v>74</v>
      </c>
      <c r="AI889" t="s">
        <v>74</v>
      </c>
      <c r="AJ889" t="s">
        <v>74</v>
      </c>
      <c r="AK889" t="s">
        <v>74</v>
      </c>
      <c r="AL889" t="s">
        <v>74</v>
      </c>
      <c r="AM889" t="s">
        <v>74</v>
      </c>
      <c r="AN889" t="s">
        <v>74</v>
      </c>
      <c r="AO889" t="s">
        <v>5579</v>
      </c>
      <c r="AP889" t="s">
        <v>74</v>
      </c>
      <c r="AQ889" t="s">
        <v>74</v>
      </c>
      <c r="AR889" t="s">
        <v>74</v>
      </c>
      <c r="AS889" t="s">
        <v>74</v>
      </c>
      <c r="AT889" t="s">
        <v>102</v>
      </c>
      <c r="AU889">
        <v>2023</v>
      </c>
      <c r="AV889">
        <v>102</v>
      </c>
      <c r="AW889">
        <v>6</v>
      </c>
      <c r="AX889" t="s">
        <v>74</v>
      </c>
      <c r="AY889" t="s">
        <v>74</v>
      </c>
      <c r="AZ889" t="s">
        <v>74</v>
      </c>
      <c r="BA889" t="s">
        <v>74</v>
      </c>
      <c r="BB889">
        <v>657</v>
      </c>
      <c r="BC889">
        <v>674</v>
      </c>
      <c r="BD889" t="s">
        <v>74</v>
      </c>
      <c r="BE889" t="s">
        <v>6501</v>
      </c>
      <c r="BF889" t="str">
        <f>HYPERLINK("http://dx.doi.org/10.31857/S0044513423060120","http://dx.doi.org/10.31857/S0044513423060120")</f>
        <v>http://dx.doi.org/10.31857/S0044513423060120</v>
      </c>
      <c r="BG889" t="s">
        <v>74</v>
      </c>
      <c r="BH889" t="s">
        <v>74</v>
      </c>
      <c r="BI889" t="s">
        <v>74</v>
      </c>
      <c r="BJ889" t="s">
        <v>74</v>
      </c>
      <c r="BK889" t="s">
        <v>74</v>
      </c>
      <c r="BL889" t="s">
        <v>74</v>
      </c>
      <c r="BM889" t="s">
        <v>74</v>
      </c>
      <c r="BN889" t="s">
        <v>74</v>
      </c>
      <c r="BO889" t="s">
        <v>74</v>
      </c>
      <c r="BP889" t="s">
        <v>74</v>
      </c>
      <c r="BQ889" t="s">
        <v>74</v>
      </c>
      <c r="BR889" t="s">
        <v>74</v>
      </c>
      <c r="BS889" t="s">
        <v>6502</v>
      </c>
      <c r="BT889" t="str">
        <f>HYPERLINK("https%3A%2F%2Fwww.webofscience.com%2Fwos%2Fwoscc%2Ffull-record%2FWOS:001044376400004","View Full Record in Web of Science")</f>
        <v>View Full Record in Web of Science</v>
      </c>
    </row>
    <row r="890" spans="1:72" x14ac:dyDescent="0.4">
      <c r="A890" t="s">
        <v>72</v>
      </c>
      <c r="B890" t="s">
        <v>5295</v>
      </c>
      <c r="C890" t="s">
        <v>74</v>
      </c>
      <c r="D890" t="s">
        <v>74</v>
      </c>
      <c r="E890" t="s">
        <v>74</v>
      </c>
      <c r="F890" t="s">
        <v>5295</v>
      </c>
      <c r="G890" t="s">
        <v>74</v>
      </c>
      <c r="H890" t="s">
        <v>74</v>
      </c>
      <c r="I890" t="s">
        <v>5296</v>
      </c>
      <c r="J890" t="s">
        <v>77</v>
      </c>
      <c r="K890" t="s">
        <v>74</v>
      </c>
      <c r="L890" t="s">
        <v>74</v>
      </c>
      <c r="M890" t="s">
        <v>74</v>
      </c>
      <c r="N890" t="s">
        <v>74</v>
      </c>
      <c r="O890" t="s">
        <v>74</v>
      </c>
      <c r="P890" t="s">
        <v>74</v>
      </c>
      <c r="Q890" t="s">
        <v>74</v>
      </c>
      <c r="R890" t="s">
        <v>74</v>
      </c>
      <c r="S890" t="s">
        <v>74</v>
      </c>
      <c r="T890" t="s">
        <v>74</v>
      </c>
      <c r="U890" t="s">
        <v>74</v>
      </c>
      <c r="V890" s="3" t="s">
        <v>5297</v>
      </c>
      <c r="W890" t="s">
        <v>74</v>
      </c>
      <c r="X890" t="s">
        <v>74</v>
      </c>
      <c r="Y890" t="s">
        <v>74</v>
      </c>
      <c r="Z890" t="s">
        <v>74</v>
      </c>
      <c r="AA890" t="s">
        <v>5298</v>
      </c>
      <c r="AB890" t="s">
        <v>5299</v>
      </c>
      <c r="AC890" t="s">
        <v>74</v>
      </c>
      <c r="AD890" t="s">
        <v>74</v>
      </c>
      <c r="AE890" t="s">
        <v>74</v>
      </c>
      <c r="AF890" t="s">
        <v>74</v>
      </c>
      <c r="AG890" t="s">
        <v>74</v>
      </c>
      <c r="AH890" t="s">
        <v>74</v>
      </c>
      <c r="AI890" t="s">
        <v>74</v>
      </c>
      <c r="AJ890" t="s">
        <v>74</v>
      </c>
      <c r="AK890" t="s">
        <v>74</v>
      </c>
      <c r="AL890" t="s">
        <v>74</v>
      </c>
      <c r="AM890" t="s">
        <v>74</v>
      </c>
      <c r="AN890" t="s">
        <v>74</v>
      </c>
      <c r="AO890" t="s">
        <v>81</v>
      </c>
      <c r="AP890" t="s">
        <v>74</v>
      </c>
      <c r="AQ890" t="s">
        <v>74</v>
      </c>
      <c r="AR890" t="s">
        <v>74</v>
      </c>
      <c r="AS890" t="s">
        <v>74</v>
      </c>
      <c r="AT890" t="s">
        <v>145</v>
      </c>
      <c r="AU890">
        <v>1997</v>
      </c>
      <c r="AV890">
        <v>134</v>
      </c>
      <c r="AW890" t="s">
        <v>74</v>
      </c>
      <c r="AX890" t="s">
        <v>5300</v>
      </c>
      <c r="AY890" t="s">
        <v>74</v>
      </c>
      <c r="AZ890" t="s">
        <v>74</v>
      </c>
      <c r="BA890" t="s">
        <v>74</v>
      </c>
      <c r="BB890">
        <v>727</v>
      </c>
      <c r="BC890">
        <v>747</v>
      </c>
      <c r="BD890" t="s">
        <v>74</v>
      </c>
      <c r="BE890" t="s">
        <v>5301</v>
      </c>
      <c r="BF890" t="str">
        <f>HYPERLINK("http://dx.doi.org/10.1163/156853997X00043","http://dx.doi.org/10.1163/156853997X00043")</f>
        <v>http://dx.doi.org/10.1163/156853997X00043</v>
      </c>
      <c r="BG890" t="s">
        <v>74</v>
      </c>
      <c r="BH890" t="s">
        <v>74</v>
      </c>
      <c r="BI890" t="s">
        <v>74</v>
      </c>
      <c r="BJ890" t="s">
        <v>74</v>
      </c>
      <c r="BK890" t="s">
        <v>74</v>
      </c>
      <c r="BL890" t="s">
        <v>74</v>
      </c>
      <c r="BM890" t="s">
        <v>74</v>
      </c>
      <c r="BN890" t="s">
        <v>74</v>
      </c>
      <c r="BO890" t="s">
        <v>74</v>
      </c>
      <c r="BP890" t="s">
        <v>74</v>
      </c>
      <c r="BQ890" t="s">
        <v>74</v>
      </c>
      <c r="BR890" t="s">
        <v>74</v>
      </c>
      <c r="BS890" t="s">
        <v>5302</v>
      </c>
      <c r="BT890" t="str">
        <f>HYPERLINK("https%3A%2F%2Fwww.webofscience.com%2Fwos%2Fwoscc%2Ffull-record%2FWOS:A1997XY18500004","View Full Record in Web of Science")</f>
        <v>View Full Record in Web of Science</v>
      </c>
    </row>
    <row r="891" spans="1:72" x14ac:dyDescent="0.4">
      <c r="A891" t="s">
        <v>72</v>
      </c>
      <c r="B891" t="s">
        <v>444</v>
      </c>
      <c r="C891" t="s">
        <v>74</v>
      </c>
      <c r="D891" t="s">
        <v>74</v>
      </c>
      <c r="E891" t="s">
        <v>74</v>
      </c>
      <c r="F891" t="s">
        <v>445</v>
      </c>
      <c r="G891" t="s">
        <v>74</v>
      </c>
      <c r="H891" t="s">
        <v>74</v>
      </c>
      <c r="I891" t="s">
        <v>446</v>
      </c>
      <c r="J891" t="s">
        <v>108</v>
      </c>
      <c r="K891" t="s">
        <v>74</v>
      </c>
      <c r="L891" t="s">
        <v>74</v>
      </c>
      <c r="M891" t="s">
        <v>74</v>
      </c>
      <c r="N891" t="s">
        <v>74</v>
      </c>
      <c r="O891" t="s">
        <v>74</v>
      </c>
      <c r="P891" t="s">
        <v>74</v>
      </c>
      <c r="Q891" t="s">
        <v>74</v>
      </c>
      <c r="R891" t="s">
        <v>74</v>
      </c>
      <c r="S891" t="s">
        <v>74</v>
      </c>
      <c r="T891" t="s">
        <v>74</v>
      </c>
      <c r="U891" t="s">
        <v>74</v>
      </c>
      <c r="V891" s="3" t="s">
        <v>447</v>
      </c>
      <c r="W891" t="s">
        <v>74</v>
      </c>
      <c r="X891" t="s">
        <v>74</v>
      </c>
      <c r="Y891" t="s">
        <v>74</v>
      </c>
      <c r="Z891" t="s">
        <v>74</v>
      </c>
      <c r="AA891" t="s">
        <v>448</v>
      </c>
      <c r="AB891" t="s">
        <v>449</v>
      </c>
      <c r="AC891" t="s">
        <v>74</v>
      </c>
      <c r="AD891" t="s">
        <v>74</v>
      </c>
      <c r="AE891" t="s">
        <v>74</v>
      </c>
      <c r="AF891" t="s">
        <v>74</v>
      </c>
      <c r="AG891" t="s">
        <v>74</v>
      </c>
      <c r="AH891" t="s">
        <v>74</v>
      </c>
      <c r="AI891" t="s">
        <v>74</v>
      </c>
      <c r="AJ891" t="s">
        <v>74</v>
      </c>
      <c r="AK891" t="s">
        <v>74</v>
      </c>
      <c r="AL891" t="s">
        <v>74</v>
      </c>
      <c r="AM891" t="s">
        <v>74</v>
      </c>
      <c r="AN891" t="s">
        <v>74</v>
      </c>
      <c r="AO891" t="s">
        <v>111</v>
      </c>
      <c r="AP891" t="s">
        <v>112</v>
      </c>
      <c r="AQ891" t="s">
        <v>74</v>
      </c>
      <c r="AR891" t="s">
        <v>74</v>
      </c>
      <c r="AS891" t="s">
        <v>74</v>
      </c>
      <c r="AT891" t="s">
        <v>450</v>
      </c>
      <c r="AU891">
        <v>2021</v>
      </c>
      <c r="AV891">
        <v>288</v>
      </c>
      <c r="AW891">
        <v>1947</v>
      </c>
      <c r="AX891" t="s">
        <v>74</v>
      </c>
      <c r="AY891" t="s">
        <v>74</v>
      </c>
      <c r="AZ891" t="s">
        <v>74</v>
      </c>
      <c r="BA891" t="s">
        <v>74</v>
      </c>
      <c r="BB891" t="s">
        <v>74</v>
      </c>
      <c r="BC891" t="s">
        <v>74</v>
      </c>
      <c r="BD891">
        <v>20210256</v>
      </c>
      <c r="BE891" t="s">
        <v>451</v>
      </c>
      <c r="BF891" t="str">
        <f>HYPERLINK("http://dx.doi.org/10.1098/rspb.2021.0256","http://dx.doi.org/10.1098/rspb.2021.0256")</f>
        <v>http://dx.doi.org/10.1098/rspb.2021.0256</v>
      </c>
      <c r="BG891" t="s">
        <v>74</v>
      </c>
      <c r="BH891" t="s">
        <v>74</v>
      </c>
      <c r="BI891" t="s">
        <v>74</v>
      </c>
      <c r="BJ891" t="s">
        <v>74</v>
      </c>
      <c r="BK891" t="s">
        <v>74</v>
      </c>
      <c r="BL891" t="s">
        <v>74</v>
      </c>
      <c r="BM891" t="s">
        <v>74</v>
      </c>
      <c r="BN891">
        <v>33784866</v>
      </c>
      <c r="BO891" t="s">
        <v>74</v>
      </c>
      <c r="BP891" t="s">
        <v>74</v>
      </c>
      <c r="BQ891" t="s">
        <v>74</v>
      </c>
      <c r="BR891" t="s">
        <v>74</v>
      </c>
      <c r="BS891" t="s">
        <v>452</v>
      </c>
      <c r="BT891" t="str">
        <f>HYPERLINK("https%3A%2F%2Fwww.webofscience.com%2Fwos%2Fwoscc%2Ffull-record%2FWOS:000636370000005","View Full Record in Web of Science")</f>
        <v>View Full Record in Web of Science</v>
      </c>
    </row>
    <row r="892" spans="1:72" x14ac:dyDescent="0.4">
      <c r="A892" t="s">
        <v>72</v>
      </c>
      <c r="B892" t="s">
        <v>7999</v>
      </c>
      <c r="C892" t="s">
        <v>74</v>
      </c>
      <c r="D892" t="s">
        <v>74</v>
      </c>
      <c r="E892" t="s">
        <v>74</v>
      </c>
      <c r="F892" t="s">
        <v>8000</v>
      </c>
      <c r="G892" t="s">
        <v>74</v>
      </c>
      <c r="H892" t="s">
        <v>74</v>
      </c>
      <c r="I892" t="s">
        <v>8001</v>
      </c>
      <c r="J892" t="s">
        <v>1949</v>
      </c>
      <c r="K892" t="s">
        <v>74</v>
      </c>
      <c r="L892" t="s">
        <v>74</v>
      </c>
      <c r="M892" t="s">
        <v>74</v>
      </c>
      <c r="N892" t="s">
        <v>74</v>
      </c>
      <c r="O892" t="s">
        <v>74</v>
      </c>
      <c r="P892" t="s">
        <v>74</v>
      </c>
      <c r="Q892" t="s">
        <v>74</v>
      </c>
      <c r="R892" t="s">
        <v>74</v>
      </c>
      <c r="S892" t="s">
        <v>74</v>
      </c>
      <c r="T892" t="s">
        <v>74</v>
      </c>
      <c r="U892" t="s">
        <v>74</v>
      </c>
      <c r="V892" s="3" t="s">
        <v>8002</v>
      </c>
      <c r="W892" t="s">
        <v>74</v>
      </c>
      <c r="X892" t="s">
        <v>74</v>
      </c>
      <c r="Y892" t="s">
        <v>74</v>
      </c>
      <c r="Z892" t="s">
        <v>74</v>
      </c>
      <c r="AA892" t="s">
        <v>8003</v>
      </c>
      <c r="AB892" t="s">
        <v>8004</v>
      </c>
      <c r="AC892" t="s">
        <v>74</v>
      </c>
      <c r="AD892" t="s">
        <v>74</v>
      </c>
      <c r="AE892" t="s">
        <v>74</v>
      </c>
      <c r="AF892" t="s">
        <v>74</v>
      </c>
      <c r="AG892" t="s">
        <v>74</v>
      </c>
      <c r="AH892" t="s">
        <v>74</v>
      </c>
      <c r="AI892" t="s">
        <v>74</v>
      </c>
      <c r="AJ892" t="s">
        <v>74</v>
      </c>
      <c r="AK892" t="s">
        <v>74</v>
      </c>
      <c r="AL892" t="s">
        <v>74</v>
      </c>
      <c r="AM892" t="s">
        <v>74</v>
      </c>
      <c r="AN892" t="s">
        <v>74</v>
      </c>
      <c r="AO892" t="s">
        <v>74</v>
      </c>
      <c r="AP892" t="s">
        <v>1953</v>
      </c>
      <c r="AQ892" t="s">
        <v>74</v>
      </c>
      <c r="AR892" t="s">
        <v>74</v>
      </c>
      <c r="AS892" t="s">
        <v>74</v>
      </c>
      <c r="AT892" t="s">
        <v>213</v>
      </c>
      <c r="AU892">
        <v>2020</v>
      </c>
      <c r="AV892">
        <v>11</v>
      </c>
      <c r="AW892">
        <v>11</v>
      </c>
      <c r="AX892" t="s">
        <v>74</v>
      </c>
      <c r="AY892" t="s">
        <v>74</v>
      </c>
      <c r="AZ892" t="s">
        <v>74</v>
      </c>
      <c r="BA892" t="s">
        <v>74</v>
      </c>
      <c r="BB892" t="s">
        <v>74</v>
      </c>
      <c r="BC892" t="s">
        <v>74</v>
      </c>
      <c r="BD892">
        <v>800</v>
      </c>
      <c r="BE892" t="s">
        <v>8005</v>
      </c>
      <c r="BF892" t="str">
        <f>HYPERLINK("http://dx.doi.org/10.3390/insects11110800","http://dx.doi.org/10.3390/insects11110800")</f>
        <v>http://dx.doi.org/10.3390/insects11110800</v>
      </c>
      <c r="BG892" t="s">
        <v>74</v>
      </c>
      <c r="BH892" t="s">
        <v>74</v>
      </c>
      <c r="BI892" t="s">
        <v>74</v>
      </c>
      <c r="BJ892" t="s">
        <v>74</v>
      </c>
      <c r="BK892" t="s">
        <v>74</v>
      </c>
      <c r="BL892" t="s">
        <v>74</v>
      </c>
      <c r="BM892" t="s">
        <v>74</v>
      </c>
      <c r="BN892">
        <v>33202846</v>
      </c>
      <c r="BO892" t="s">
        <v>74</v>
      </c>
      <c r="BP892" t="s">
        <v>74</v>
      </c>
      <c r="BQ892" t="s">
        <v>74</v>
      </c>
      <c r="BR892" t="s">
        <v>74</v>
      </c>
      <c r="BS892" t="s">
        <v>8006</v>
      </c>
      <c r="BT892" t="str">
        <f>HYPERLINK("https%3A%2F%2Fwww.webofscience.com%2Fwos%2Fwoscc%2Ffull-record%2FWOS:000593180700001","View Full Record in Web of Science")</f>
        <v>View Full Record in Web of Science</v>
      </c>
    </row>
    <row r="893" spans="1:72" x14ac:dyDescent="0.4">
      <c r="A893" t="s">
        <v>72</v>
      </c>
      <c r="B893" t="s">
        <v>942</v>
      </c>
      <c r="C893" t="s">
        <v>74</v>
      </c>
      <c r="D893" t="s">
        <v>74</v>
      </c>
      <c r="E893" t="s">
        <v>74</v>
      </c>
      <c r="F893" t="s">
        <v>943</v>
      </c>
      <c r="G893" t="s">
        <v>74</v>
      </c>
      <c r="H893" t="s">
        <v>74</v>
      </c>
      <c r="I893" t="s">
        <v>944</v>
      </c>
      <c r="J893" t="s">
        <v>140</v>
      </c>
      <c r="K893" t="s">
        <v>74</v>
      </c>
      <c r="L893" t="s">
        <v>74</v>
      </c>
      <c r="M893" t="s">
        <v>74</v>
      </c>
      <c r="N893" t="s">
        <v>74</v>
      </c>
      <c r="O893" t="s">
        <v>74</v>
      </c>
      <c r="P893" t="s">
        <v>74</v>
      </c>
      <c r="Q893" t="s">
        <v>74</v>
      </c>
      <c r="R893" t="s">
        <v>74</v>
      </c>
      <c r="S893" t="s">
        <v>74</v>
      </c>
      <c r="T893" t="s">
        <v>74</v>
      </c>
      <c r="U893" t="s">
        <v>74</v>
      </c>
      <c r="V893" s="3" t="s">
        <v>945</v>
      </c>
      <c r="W893" t="s">
        <v>74</v>
      </c>
      <c r="X893" t="s">
        <v>74</v>
      </c>
      <c r="Y893" t="s">
        <v>74</v>
      </c>
      <c r="Z893" t="s">
        <v>74</v>
      </c>
      <c r="AA893" t="s">
        <v>946</v>
      </c>
      <c r="AB893" t="s">
        <v>947</v>
      </c>
      <c r="AC893" t="s">
        <v>74</v>
      </c>
      <c r="AD893" t="s">
        <v>74</v>
      </c>
      <c r="AE893" t="s">
        <v>74</v>
      </c>
      <c r="AF893" t="s">
        <v>74</v>
      </c>
      <c r="AG893" t="s">
        <v>74</v>
      </c>
      <c r="AH893" t="s">
        <v>74</v>
      </c>
      <c r="AI893" t="s">
        <v>74</v>
      </c>
      <c r="AJ893" t="s">
        <v>74</v>
      </c>
      <c r="AK893" t="s">
        <v>74</v>
      </c>
      <c r="AL893" t="s">
        <v>74</v>
      </c>
      <c r="AM893" t="s">
        <v>74</v>
      </c>
      <c r="AN893" t="s">
        <v>74</v>
      </c>
      <c r="AO893" t="s">
        <v>143</v>
      </c>
      <c r="AP893" t="s">
        <v>144</v>
      </c>
      <c r="AQ893" t="s">
        <v>74</v>
      </c>
      <c r="AR893" t="s">
        <v>74</v>
      </c>
      <c r="AS893" t="s">
        <v>74</v>
      </c>
      <c r="AT893" t="s">
        <v>305</v>
      </c>
      <c r="AU893">
        <v>2020</v>
      </c>
      <c r="AV893">
        <v>170</v>
      </c>
      <c r="AW893" t="s">
        <v>74</v>
      </c>
      <c r="AX893" t="s">
        <v>74</v>
      </c>
      <c r="AY893" t="s">
        <v>74</v>
      </c>
      <c r="AZ893" t="s">
        <v>74</v>
      </c>
      <c r="BA893" t="s">
        <v>74</v>
      </c>
      <c r="BB893">
        <v>219</v>
      </c>
      <c r="BC893">
        <v>228</v>
      </c>
      <c r="BD893" t="s">
        <v>74</v>
      </c>
      <c r="BE893" t="s">
        <v>948</v>
      </c>
      <c r="BF893" t="str">
        <f>HYPERLINK("http://dx.doi.org/10.1016/j.anbehav.2020.10.008","http://dx.doi.org/10.1016/j.anbehav.2020.10.008")</f>
        <v>http://dx.doi.org/10.1016/j.anbehav.2020.10.008</v>
      </c>
      <c r="BG893" t="s">
        <v>74</v>
      </c>
      <c r="BH893" t="s">
        <v>74</v>
      </c>
      <c r="BI893" t="s">
        <v>74</v>
      </c>
      <c r="BJ893" t="s">
        <v>74</v>
      </c>
      <c r="BK893" t="s">
        <v>74</v>
      </c>
      <c r="BL893" t="s">
        <v>74</v>
      </c>
      <c r="BM893" t="s">
        <v>74</v>
      </c>
      <c r="BN893" t="s">
        <v>74</v>
      </c>
      <c r="BO893" t="s">
        <v>74</v>
      </c>
      <c r="BP893" t="s">
        <v>74</v>
      </c>
      <c r="BQ893" t="s">
        <v>74</v>
      </c>
      <c r="BR893" t="s">
        <v>74</v>
      </c>
      <c r="BS893" t="s">
        <v>949</v>
      </c>
      <c r="BT893" t="str">
        <f>HYPERLINK("https%3A%2F%2Fwww.webofscience.com%2Fwos%2Fwoscc%2Ffull-record%2FWOS:000598905300020","View Full Record in Web of Science")</f>
        <v>View Full Record in Web of Science</v>
      </c>
    </row>
    <row r="894" spans="1:72" x14ac:dyDescent="0.4">
      <c r="A894" t="s">
        <v>72</v>
      </c>
      <c r="B894" t="s">
        <v>6503</v>
      </c>
      <c r="C894" t="s">
        <v>74</v>
      </c>
      <c r="D894" t="s">
        <v>74</v>
      </c>
      <c r="E894" t="s">
        <v>74</v>
      </c>
      <c r="F894" t="s">
        <v>6503</v>
      </c>
      <c r="G894" t="s">
        <v>74</v>
      </c>
      <c r="H894" t="s">
        <v>74</v>
      </c>
      <c r="I894" t="s">
        <v>6504</v>
      </c>
      <c r="J894" t="s">
        <v>1198</v>
      </c>
      <c r="K894" t="s">
        <v>74</v>
      </c>
      <c r="L894" t="s">
        <v>74</v>
      </c>
      <c r="M894" t="s">
        <v>74</v>
      </c>
      <c r="N894" t="s">
        <v>74</v>
      </c>
      <c r="O894" t="s">
        <v>74</v>
      </c>
      <c r="P894" t="s">
        <v>74</v>
      </c>
      <c r="Q894" t="s">
        <v>74</v>
      </c>
      <c r="R894" t="s">
        <v>74</v>
      </c>
      <c r="S894" t="s">
        <v>74</v>
      </c>
      <c r="T894" t="s">
        <v>74</v>
      </c>
      <c r="U894" t="s">
        <v>74</v>
      </c>
      <c r="V894" s="3" t="s">
        <v>6505</v>
      </c>
      <c r="W894" t="s">
        <v>74</v>
      </c>
      <c r="X894" t="s">
        <v>74</v>
      </c>
      <c r="Y894" t="s">
        <v>74</v>
      </c>
      <c r="Z894" t="s">
        <v>74</v>
      </c>
      <c r="AA894" t="s">
        <v>6506</v>
      </c>
      <c r="AB894" t="s">
        <v>6507</v>
      </c>
      <c r="AC894" t="s">
        <v>74</v>
      </c>
      <c r="AD894" t="s">
        <v>74</v>
      </c>
      <c r="AE894" t="s">
        <v>74</v>
      </c>
      <c r="AF894" t="s">
        <v>74</v>
      </c>
      <c r="AG894" t="s">
        <v>74</v>
      </c>
      <c r="AH894" t="s">
        <v>74</v>
      </c>
      <c r="AI894" t="s">
        <v>74</v>
      </c>
      <c r="AJ894" t="s">
        <v>74</v>
      </c>
      <c r="AK894" t="s">
        <v>74</v>
      </c>
      <c r="AL894" t="s">
        <v>74</v>
      </c>
      <c r="AM894" t="s">
        <v>74</v>
      </c>
      <c r="AN894" t="s">
        <v>74</v>
      </c>
      <c r="AO894" t="s">
        <v>1202</v>
      </c>
      <c r="AP894" t="s">
        <v>1203</v>
      </c>
      <c r="AQ894" t="s">
        <v>74</v>
      </c>
      <c r="AR894" t="s">
        <v>74</v>
      </c>
      <c r="AS894" t="s">
        <v>74</v>
      </c>
      <c r="AT894" t="s">
        <v>102</v>
      </c>
      <c r="AU894">
        <v>2005</v>
      </c>
      <c r="AV894">
        <v>61</v>
      </c>
      <c r="AW894">
        <v>2</v>
      </c>
      <c r="AX894" t="s">
        <v>74</v>
      </c>
      <c r="AY894" t="s">
        <v>74</v>
      </c>
      <c r="AZ894" t="s">
        <v>74</v>
      </c>
      <c r="BA894" t="s">
        <v>74</v>
      </c>
      <c r="BB894">
        <v>178</v>
      </c>
      <c r="BC894">
        <v>198</v>
      </c>
      <c r="BD894" t="s">
        <v>74</v>
      </c>
      <c r="BE894" t="s">
        <v>6508</v>
      </c>
      <c r="BF894" t="str">
        <f>HYPERLINK("http://dx.doi.org/10.1655/04-38","http://dx.doi.org/10.1655/04-38")</f>
        <v>http://dx.doi.org/10.1655/04-38</v>
      </c>
      <c r="BG894" t="s">
        <v>74</v>
      </c>
      <c r="BH894" t="s">
        <v>74</v>
      </c>
      <c r="BI894" t="s">
        <v>74</v>
      </c>
      <c r="BJ894" t="s">
        <v>74</v>
      </c>
      <c r="BK894" t="s">
        <v>74</v>
      </c>
      <c r="BL894" t="s">
        <v>74</v>
      </c>
      <c r="BM894" t="s">
        <v>74</v>
      </c>
      <c r="BN894" t="s">
        <v>74</v>
      </c>
      <c r="BO894" t="s">
        <v>74</v>
      </c>
      <c r="BP894" t="s">
        <v>74</v>
      </c>
      <c r="BQ894" t="s">
        <v>74</v>
      </c>
      <c r="BR894" t="s">
        <v>74</v>
      </c>
      <c r="BS894" t="s">
        <v>6509</v>
      </c>
      <c r="BT894" t="str">
        <f>HYPERLINK("https%3A%2F%2Fwww.webofscience.com%2Fwos%2Fwoscc%2Ffull-record%2FWOS:000229100000010","View Full Record in Web of Science")</f>
        <v>View Full Record in Web of Science</v>
      </c>
    </row>
    <row r="895" spans="1:72" x14ac:dyDescent="0.4">
      <c r="A895" t="s">
        <v>72</v>
      </c>
      <c r="B895" t="s">
        <v>607</v>
      </c>
      <c r="C895" t="s">
        <v>74</v>
      </c>
      <c r="D895" t="s">
        <v>74</v>
      </c>
      <c r="E895" t="s">
        <v>74</v>
      </c>
      <c r="F895" t="s">
        <v>608</v>
      </c>
      <c r="G895" t="s">
        <v>74</v>
      </c>
      <c r="H895" t="s">
        <v>74</v>
      </c>
      <c r="I895" t="s">
        <v>609</v>
      </c>
      <c r="J895" t="s">
        <v>610</v>
      </c>
      <c r="K895" t="s">
        <v>74</v>
      </c>
      <c r="L895" t="s">
        <v>74</v>
      </c>
      <c r="M895" t="s">
        <v>74</v>
      </c>
      <c r="N895" t="s">
        <v>74</v>
      </c>
      <c r="O895" t="s">
        <v>74</v>
      </c>
      <c r="P895" t="s">
        <v>74</v>
      </c>
      <c r="Q895" t="s">
        <v>74</v>
      </c>
      <c r="R895" t="s">
        <v>74</v>
      </c>
      <c r="S895" t="s">
        <v>74</v>
      </c>
      <c r="T895" t="s">
        <v>74</v>
      </c>
      <c r="U895" t="s">
        <v>74</v>
      </c>
      <c r="V895" s="3" t="s">
        <v>611</v>
      </c>
      <c r="W895" t="s">
        <v>74</v>
      </c>
      <c r="X895" t="s">
        <v>74</v>
      </c>
      <c r="Y895" t="s">
        <v>74</v>
      </c>
      <c r="Z895" t="s">
        <v>74</v>
      </c>
      <c r="AA895" t="s">
        <v>612</v>
      </c>
      <c r="AB895" t="s">
        <v>613</v>
      </c>
      <c r="AC895" t="s">
        <v>74</v>
      </c>
      <c r="AD895" t="s">
        <v>74</v>
      </c>
      <c r="AE895" t="s">
        <v>74</v>
      </c>
      <c r="AF895" t="s">
        <v>74</v>
      </c>
      <c r="AG895" t="s">
        <v>74</v>
      </c>
      <c r="AH895" t="s">
        <v>74</v>
      </c>
      <c r="AI895" t="s">
        <v>74</v>
      </c>
      <c r="AJ895" t="s">
        <v>74</v>
      </c>
      <c r="AK895" t="s">
        <v>74</v>
      </c>
      <c r="AL895" t="s">
        <v>74</v>
      </c>
      <c r="AM895" t="s">
        <v>74</v>
      </c>
      <c r="AN895" t="s">
        <v>74</v>
      </c>
      <c r="AO895" t="s">
        <v>614</v>
      </c>
      <c r="AP895" t="s">
        <v>615</v>
      </c>
      <c r="AQ895" t="s">
        <v>74</v>
      </c>
      <c r="AR895" t="s">
        <v>74</v>
      </c>
      <c r="AS895" t="s">
        <v>74</v>
      </c>
      <c r="AT895" t="s">
        <v>352</v>
      </c>
      <c r="AU895">
        <v>2020</v>
      </c>
      <c r="AV895">
        <v>126</v>
      </c>
      <c r="AW895">
        <v>9</v>
      </c>
      <c r="AX895" t="s">
        <v>74</v>
      </c>
      <c r="AY895" t="s">
        <v>74</v>
      </c>
      <c r="AZ895" t="s">
        <v>74</v>
      </c>
      <c r="BA895" t="s">
        <v>74</v>
      </c>
      <c r="BB895">
        <v>900</v>
      </c>
      <c r="BC895">
        <v>913</v>
      </c>
      <c r="BD895" t="s">
        <v>74</v>
      </c>
      <c r="BE895" t="s">
        <v>616</v>
      </c>
      <c r="BF895" t="str">
        <f>HYPERLINK("http://dx.doi.org/10.1111/eth.13067","http://dx.doi.org/10.1111/eth.13067")</f>
        <v>http://dx.doi.org/10.1111/eth.13067</v>
      </c>
      <c r="BG895" t="s">
        <v>74</v>
      </c>
      <c r="BH895" t="s">
        <v>617</v>
      </c>
      <c r="BI895" t="s">
        <v>74</v>
      </c>
      <c r="BJ895" t="s">
        <v>74</v>
      </c>
      <c r="BK895" t="s">
        <v>74</v>
      </c>
      <c r="BL895" t="s">
        <v>74</v>
      </c>
      <c r="BM895" t="s">
        <v>74</v>
      </c>
      <c r="BN895" t="s">
        <v>74</v>
      </c>
      <c r="BO895" t="s">
        <v>74</v>
      </c>
      <c r="BP895" t="s">
        <v>74</v>
      </c>
      <c r="BQ895" t="s">
        <v>74</v>
      </c>
      <c r="BR895" t="s">
        <v>74</v>
      </c>
      <c r="BS895" t="s">
        <v>618</v>
      </c>
      <c r="BT895" t="str">
        <f>HYPERLINK("https%3A%2F%2Fwww.webofscience.com%2Fwos%2Fwoscc%2Ffull-record%2FWOS:000538660200001","View Full Record in Web of Science")</f>
        <v>View Full Record in Web of Science</v>
      </c>
    </row>
    <row r="896" spans="1:72" x14ac:dyDescent="0.4">
      <c r="A896" t="s">
        <v>72</v>
      </c>
      <c r="B896" t="s">
        <v>4315</v>
      </c>
      <c r="C896" t="s">
        <v>74</v>
      </c>
      <c r="D896" t="s">
        <v>74</v>
      </c>
      <c r="E896" t="s">
        <v>74</v>
      </c>
      <c r="F896" t="s">
        <v>4316</v>
      </c>
      <c r="G896" t="s">
        <v>74</v>
      </c>
      <c r="H896" t="s">
        <v>74</v>
      </c>
      <c r="I896" t="s">
        <v>4317</v>
      </c>
      <c r="J896" t="s">
        <v>4318</v>
      </c>
      <c r="K896" t="s">
        <v>74</v>
      </c>
      <c r="L896" t="s">
        <v>74</v>
      </c>
      <c r="M896" t="s">
        <v>74</v>
      </c>
      <c r="N896" t="s">
        <v>74</v>
      </c>
      <c r="O896" t="s">
        <v>74</v>
      </c>
      <c r="P896" t="s">
        <v>74</v>
      </c>
      <c r="Q896" t="s">
        <v>74</v>
      </c>
      <c r="R896" t="s">
        <v>74</v>
      </c>
      <c r="S896" t="s">
        <v>74</v>
      </c>
      <c r="T896" t="s">
        <v>74</v>
      </c>
      <c r="U896" t="s">
        <v>74</v>
      </c>
      <c r="V896" s="3" t="s">
        <v>4319</v>
      </c>
      <c r="W896" t="s">
        <v>74</v>
      </c>
      <c r="X896" t="s">
        <v>74</v>
      </c>
      <c r="Y896" t="s">
        <v>74</v>
      </c>
      <c r="Z896" t="s">
        <v>74</v>
      </c>
      <c r="AA896" t="s">
        <v>74</v>
      </c>
      <c r="AB896" t="s">
        <v>4320</v>
      </c>
      <c r="AC896" t="s">
        <v>74</v>
      </c>
      <c r="AD896" t="s">
        <v>74</v>
      </c>
      <c r="AE896" t="s">
        <v>74</v>
      </c>
      <c r="AF896" t="s">
        <v>74</v>
      </c>
      <c r="AG896" t="s">
        <v>74</v>
      </c>
      <c r="AH896" t="s">
        <v>74</v>
      </c>
      <c r="AI896" t="s">
        <v>74</v>
      </c>
      <c r="AJ896" t="s">
        <v>74</v>
      </c>
      <c r="AK896" t="s">
        <v>74</v>
      </c>
      <c r="AL896" t="s">
        <v>74</v>
      </c>
      <c r="AM896" t="s">
        <v>74</v>
      </c>
      <c r="AN896" t="s">
        <v>74</v>
      </c>
      <c r="AO896" t="s">
        <v>4321</v>
      </c>
      <c r="AP896" t="s">
        <v>4322</v>
      </c>
      <c r="AQ896" t="s">
        <v>74</v>
      </c>
      <c r="AR896" t="s">
        <v>74</v>
      </c>
      <c r="AS896" t="s">
        <v>74</v>
      </c>
      <c r="AT896" t="s">
        <v>204</v>
      </c>
      <c r="AU896">
        <v>2022</v>
      </c>
      <c r="AV896">
        <v>110</v>
      </c>
      <c r="AW896">
        <v>2</v>
      </c>
      <c r="AX896" t="s">
        <v>74</v>
      </c>
      <c r="AY896" t="s">
        <v>74</v>
      </c>
      <c r="AZ896" t="s">
        <v>74</v>
      </c>
      <c r="BA896" t="s">
        <v>74</v>
      </c>
      <c r="BB896">
        <v>340</v>
      </c>
      <c r="BC896">
        <v>349</v>
      </c>
      <c r="BD896" t="s">
        <v>74</v>
      </c>
      <c r="BE896" t="s">
        <v>4323</v>
      </c>
      <c r="BF896" t="str">
        <f>HYPERLINK("http://dx.doi.org/10.1643/h2021025","http://dx.doi.org/10.1643/h2021025")</f>
        <v>http://dx.doi.org/10.1643/h2021025</v>
      </c>
      <c r="BG896" t="s">
        <v>74</v>
      </c>
      <c r="BH896" t="s">
        <v>74</v>
      </c>
      <c r="BI896" t="s">
        <v>74</v>
      </c>
      <c r="BJ896" t="s">
        <v>74</v>
      </c>
      <c r="BK896" t="s">
        <v>74</v>
      </c>
      <c r="BL896" t="s">
        <v>74</v>
      </c>
      <c r="BM896" t="s">
        <v>74</v>
      </c>
      <c r="BN896" t="s">
        <v>74</v>
      </c>
      <c r="BO896" t="s">
        <v>74</v>
      </c>
      <c r="BP896" t="s">
        <v>74</v>
      </c>
      <c r="BQ896" t="s">
        <v>74</v>
      </c>
      <c r="BR896" t="s">
        <v>74</v>
      </c>
      <c r="BS896" t="s">
        <v>4324</v>
      </c>
      <c r="BT896" t="str">
        <f>HYPERLINK("https%3A%2F%2Fwww.webofscience.com%2Fwos%2Fwoscc%2Ffull-record%2FWOS:000836735000011","View Full Record in Web of Science")</f>
        <v>View Full Record in Web of Science</v>
      </c>
    </row>
    <row r="897" spans="1:72" x14ac:dyDescent="0.4">
      <c r="A897" t="s">
        <v>72</v>
      </c>
      <c r="B897" t="s">
        <v>2886</v>
      </c>
      <c r="C897" t="s">
        <v>74</v>
      </c>
      <c r="D897" t="s">
        <v>74</v>
      </c>
      <c r="E897" t="s">
        <v>74</v>
      </c>
      <c r="F897" t="s">
        <v>2887</v>
      </c>
      <c r="G897" t="s">
        <v>74</v>
      </c>
      <c r="H897" t="s">
        <v>74</v>
      </c>
      <c r="I897" t="s">
        <v>2888</v>
      </c>
      <c r="J897" t="s">
        <v>218</v>
      </c>
      <c r="K897" t="s">
        <v>74</v>
      </c>
      <c r="L897" t="s">
        <v>74</v>
      </c>
      <c r="M897" t="s">
        <v>74</v>
      </c>
      <c r="N897" t="s">
        <v>74</v>
      </c>
      <c r="O897" t="s">
        <v>74</v>
      </c>
      <c r="P897" t="s">
        <v>74</v>
      </c>
      <c r="Q897" t="s">
        <v>74</v>
      </c>
      <c r="R897" t="s">
        <v>74</v>
      </c>
      <c r="S897" t="s">
        <v>74</v>
      </c>
      <c r="T897" t="s">
        <v>74</v>
      </c>
      <c r="U897" t="s">
        <v>74</v>
      </c>
      <c r="V897" s="3" t="s">
        <v>2889</v>
      </c>
      <c r="W897" t="s">
        <v>74</v>
      </c>
      <c r="X897" t="s">
        <v>74</v>
      </c>
      <c r="Y897" t="s">
        <v>74</v>
      </c>
      <c r="Z897" t="s">
        <v>74</v>
      </c>
      <c r="AA897" t="s">
        <v>74</v>
      </c>
      <c r="AB897" t="s">
        <v>2890</v>
      </c>
      <c r="AC897" t="s">
        <v>74</v>
      </c>
      <c r="AD897" t="s">
        <v>74</v>
      </c>
      <c r="AE897" t="s">
        <v>74</v>
      </c>
      <c r="AF897" t="s">
        <v>74</v>
      </c>
      <c r="AG897" t="s">
        <v>74</v>
      </c>
      <c r="AH897" t="s">
        <v>74</v>
      </c>
      <c r="AI897" t="s">
        <v>74</v>
      </c>
      <c r="AJ897" t="s">
        <v>74</v>
      </c>
      <c r="AK897" t="s">
        <v>74</v>
      </c>
      <c r="AL897" t="s">
        <v>74</v>
      </c>
      <c r="AM897" t="s">
        <v>74</v>
      </c>
      <c r="AN897" t="s">
        <v>74</v>
      </c>
      <c r="AO897" t="s">
        <v>221</v>
      </c>
      <c r="AP897" t="s">
        <v>222</v>
      </c>
      <c r="AQ897" t="s">
        <v>74</v>
      </c>
      <c r="AR897" t="s">
        <v>74</v>
      </c>
      <c r="AS897" t="s">
        <v>74</v>
      </c>
      <c r="AT897" t="s">
        <v>964</v>
      </c>
      <c r="AU897">
        <v>2016</v>
      </c>
      <c r="AV897">
        <v>29</v>
      </c>
      <c r="AW897">
        <v>2</v>
      </c>
      <c r="AX897" t="s">
        <v>74</v>
      </c>
      <c r="AY897" t="s">
        <v>74</v>
      </c>
      <c r="AZ897" t="s">
        <v>74</v>
      </c>
      <c r="BA897" t="s">
        <v>74</v>
      </c>
      <c r="BB897">
        <v>380</v>
      </c>
      <c r="BC897">
        <v>394</v>
      </c>
      <c r="BD897" t="s">
        <v>74</v>
      </c>
      <c r="BE897" t="s">
        <v>2891</v>
      </c>
      <c r="BF897" t="str">
        <f>HYPERLINK("http://dx.doi.org/10.1111/jeb.12793","http://dx.doi.org/10.1111/jeb.12793")</f>
        <v>http://dx.doi.org/10.1111/jeb.12793</v>
      </c>
      <c r="BG897" t="s">
        <v>74</v>
      </c>
      <c r="BH897" t="s">
        <v>74</v>
      </c>
      <c r="BI897" t="s">
        <v>74</v>
      </c>
      <c r="BJ897" t="s">
        <v>74</v>
      </c>
      <c r="BK897" t="s">
        <v>74</v>
      </c>
      <c r="BL897" t="s">
        <v>74</v>
      </c>
      <c r="BM897" t="s">
        <v>74</v>
      </c>
      <c r="BN897">
        <v>26563617</v>
      </c>
      <c r="BO897" t="s">
        <v>74</v>
      </c>
      <c r="BP897" t="s">
        <v>74</v>
      </c>
      <c r="BQ897" t="s">
        <v>74</v>
      </c>
      <c r="BR897" t="s">
        <v>74</v>
      </c>
      <c r="BS897" t="s">
        <v>2892</v>
      </c>
      <c r="BT897" t="str">
        <f>HYPERLINK("https%3A%2F%2Fwww.webofscience.com%2Fwos%2Fwoscc%2Ffull-record%2FWOS:000370070500014","View Full Record in Web of Science")</f>
        <v>View Full Record in Web of Science</v>
      </c>
    </row>
    <row r="898" spans="1:72" x14ac:dyDescent="0.4">
      <c r="A898" t="s">
        <v>72</v>
      </c>
      <c r="B898" t="s">
        <v>3764</v>
      </c>
      <c r="C898" t="s">
        <v>74</v>
      </c>
      <c r="D898" t="s">
        <v>74</v>
      </c>
      <c r="E898" t="s">
        <v>74</v>
      </c>
      <c r="F898" t="s">
        <v>3764</v>
      </c>
      <c r="G898" t="s">
        <v>74</v>
      </c>
      <c r="H898" t="s">
        <v>74</v>
      </c>
      <c r="I898" t="s">
        <v>3765</v>
      </c>
      <c r="J898" t="s">
        <v>2207</v>
      </c>
      <c r="K898" t="s">
        <v>74</v>
      </c>
      <c r="L898" t="s">
        <v>74</v>
      </c>
      <c r="M898" t="s">
        <v>74</v>
      </c>
      <c r="N898" t="s">
        <v>74</v>
      </c>
      <c r="O898" t="s">
        <v>74</v>
      </c>
      <c r="P898" t="s">
        <v>74</v>
      </c>
      <c r="Q898" t="s">
        <v>74</v>
      </c>
      <c r="R898" t="s">
        <v>74</v>
      </c>
      <c r="S898" t="s">
        <v>74</v>
      </c>
      <c r="T898" t="s">
        <v>74</v>
      </c>
      <c r="U898" t="s">
        <v>74</v>
      </c>
      <c r="V898" s="3" t="s">
        <v>3766</v>
      </c>
      <c r="W898" t="s">
        <v>74</v>
      </c>
      <c r="X898" t="s">
        <v>74</v>
      </c>
      <c r="Y898" t="s">
        <v>74</v>
      </c>
      <c r="Z898" t="s">
        <v>74</v>
      </c>
      <c r="AA898" t="s">
        <v>3767</v>
      </c>
      <c r="AB898" t="s">
        <v>3768</v>
      </c>
      <c r="AC898" t="s">
        <v>74</v>
      </c>
      <c r="AD898" t="s">
        <v>74</v>
      </c>
      <c r="AE898" t="s">
        <v>74</v>
      </c>
      <c r="AF898" t="s">
        <v>74</v>
      </c>
      <c r="AG898" t="s">
        <v>74</v>
      </c>
      <c r="AH898" t="s">
        <v>74</v>
      </c>
      <c r="AI898" t="s">
        <v>74</v>
      </c>
      <c r="AJ898" t="s">
        <v>74</v>
      </c>
      <c r="AK898" t="s">
        <v>74</v>
      </c>
      <c r="AL898" t="s">
        <v>74</v>
      </c>
      <c r="AM898" t="s">
        <v>74</v>
      </c>
      <c r="AN898" t="s">
        <v>74</v>
      </c>
      <c r="AO898" t="s">
        <v>2211</v>
      </c>
      <c r="AP898" t="s">
        <v>2461</v>
      </c>
      <c r="AQ898" t="s">
        <v>74</v>
      </c>
      <c r="AR898" t="s">
        <v>74</v>
      </c>
      <c r="AS898" t="s">
        <v>74</v>
      </c>
      <c r="AT898" t="s">
        <v>213</v>
      </c>
      <c r="AU898">
        <v>2004</v>
      </c>
      <c r="AV898">
        <v>35</v>
      </c>
      <c r="AW898">
        <v>6</v>
      </c>
      <c r="AX898" t="s">
        <v>74</v>
      </c>
      <c r="AY898" t="s">
        <v>74</v>
      </c>
      <c r="AZ898" t="s">
        <v>74</v>
      </c>
      <c r="BA898" t="s">
        <v>74</v>
      </c>
      <c r="BB898">
        <v>492</v>
      </c>
      <c r="BC898">
        <v>500</v>
      </c>
      <c r="BD898" t="s">
        <v>74</v>
      </c>
      <c r="BE898" t="s">
        <v>3769</v>
      </c>
      <c r="BF898" t="str">
        <f>HYPERLINK("http://dx.doi.org/10.1111/j.0908-8857.2004.03294.x","http://dx.doi.org/10.1111/j.0908-8857.2004.03294.x")</f>
        <v>http://dx.doi.org/10.1111/j.0908-8857.2004.03294.x</v>
      </c>
      <c r="BG898" t="s">
        <v>74</v>
      </c>
      <c r="BH898" t="s">
        <v>74</v>
      </c>
      <c r="BI898" t="s">
        <v>74</v>
      </c>
      <c r="BJ898" t="s">
        <v>74</v>
      </c>
      <c r="BK898" t="s">
        <v>74</v>
      </c>
      <c r="BL898" t="s">
        <v>74</v>
      </c>
      <c r="BM898" t="s">
        <v>74</v>
      </c>
      <c r="BN898" t="s">
        <v>74</v>
      </c>
      <c r="BO898" t="s">
        <v>74</v>
      </c>
      <c r="BP898" t="s">
        <v>74</v>
      </c>
      <c r="BQ898" t="s">
        <v>74</v>
      </c>
      <c r="BR898" t="s">
        <v>74</v>
      </c>
      <c r="BS898" t="s">
        <v>3770</v>
      </c>
      <c r="BT898" t="str">
        <f>HYPERLINK("https%3A%2F%2Fwww.webofscience.com%2Fwos%2Fwoscc%2Ffull-record%2FWOS:000225224600007","View Full Record in Web of Science")</f>
        <v>View Full Record in Web of Science</v>
      </c>
    </row>
    <row r="899" spans="1:72" x14ac:dyDescent="0.4">
      <c r="A899" t="s">
        <v>72</v>
      </c>
      <c r="B899" t="s">
        <v>1671</v>
      </c>
      <c r="C899" t="s">
        <v>74</v>
      </c>
      <c r="D899" t="s">
        <v>74</v>
      </c>
      <c r="E899" t="s">
        <v>74</v>
      </c>
      <c r="F899" t="s">
        <v>1671</v>
      </c>
      <c r="G899" t="s">
        <v>74</v>
      </c>
      <c r="H899" t="s">
        <v>74</v>
      </c>
      <c r="I899" t="s">
        <v>1672</v>
      </c>
      <c r="J899" t="s">
        <v>1673</v>
      </c>
      <c r="K899" t="s">
        <v>74</v>
      </c>
      <c r="L899" t="s">
        <v>74</v>
      </c>
      <c r="M899" t="s">
        <v>74</v>
      </c>
      <c r="N899" t="s">
        <v>74</v>
      </c>
      <c r="O899" t="s">
        <v>74</v>
      </c>
      <c r="P899" t="s">
        <v>74</v>
      </c>
      <c r="Q899" t="s">
        <v>74</v>
      </c>
      <c r="R899" t="s">
        <v>74</v>
      </c>
      <c r="S899" t="s">
        <v>74</v>
      </c>
      <c r="T899" t="s">
        <v>74</v>
      </c>
      <c r="U899" t="s">
        <v>74</v>
      </c>
      <c r="V899" s="3" t="s">
        <v>1674</v>
      </c>
      <c r="W899" t="s">
        <v>74</v>
      </c>
      <c r="X899" t="s">
        <v>74</v>
      </c>
      <c r="Y899" t="s">
        <v>74</v>
      </c>
      <c r="Z899" t="s">
        <v>74</v>
      </c>
      <c r="AA899" t="s">
        <v>74</v>
      </c>
      <c r="AB899" t="s">
        <v>74</v>
      </c>
      <c r="AC899" t="s">
        <v>74</v>
      </c>
      <c r="AD899" t="s">
        <v>74</v>
      </c>
      <c r="AE899" t="s">
        <v>74</v>
      </c>
      <c r="AF899" t="s">
        <v>74</v>
      </c>
      <c r="AG899" t="s">
        <v>74</v>
      </c>
      <c r="AH899" t="s">
        <v>74</v>
      </c>
      <c r="AI899" t="s">
        <v>74</v>
      </c>
      <c r="AJ899" t="s">
        <v>74</v>
      </c>
      <c r="AK899" t="s">
        <v>74</v>
      </c>
      <c r="AL899" t="s">
        <v>74</v>
      </c>
      <c r="AM899" t="s">
        <v>74</v>
      </c>
      <c r="AN899" t="s">
        <v>74</v>
      </c>
      <c r="AO899" t="s">
        <v>1239</v>
      </c>
      <c r="AP899" t="s">
        <v>1675</v>
      </c>
      <c r="AQ899" t="s">
        <v>74</v>
      </c>
      <c r="AR899" t="s">
        <v>74</v>
      </c>
      <c r="AS899" t="s">
        <v>74</v>
      </c>
      <c r="AT899" t="s">
        <v>74</v>
      </c>
      <c r="AU899">
        <v>1984</v>
      </c>
      <c r="AV899">
        <v>62</v>
      </c>
      <c r="AW899">
        <v>6</v>
      </c>
      <c r="AX899" t="s">
        <v>74</v>
      </c>
      <c r="AY899" t="s">
        <v>74</v>
      </c>
      <c r="AZ899" t="s">
        <v>74</v>
      </c>
      <c r="BA899" t="s">
        <v>74</v>
      </c>
      <c r="BB899">
        <v>999</v>
      </c>
      <c r="BC899">
        <v>1004</v>
      </c>
      <c r="BD899" t="s">
        <v>74</v>
      </c>
      <c r="BE899" t="s">
        <v>1676</v>
      </c>
      <c r="BF899" t="str">
        <f>HYPERLINK("http://dx.doi.org/10.1139/z84-141","http://dx.doi.org/10.1139/z84-141")</f>
        <v>http://dx.doi.org/10.1139/z84-141</v>
      </c>
      <c r="BG899" t="s">
        <v>74</v>
      </c>
      <c r="BH899" t="s">
        <v>74</v>
      </c>
      <c r="BI899" t="s">
        <v>74</v>
      </c>
      <c r="BJ899" t="s">
        <v>74</v>
      </c>
      <c r="BK899" t="s">
        <v>74</v>
      </c>
      <c r="BL899" t="s">
        <v>74</v>
      </c>
      <c r="BM899" t="s">
        <v>74</v>
      </c>
      <c r="BN899" t="s">
        <v>74</v>
      </c>
      <c r="BO899" t="s">
        <v>74</v>
      </c>
      <c r="BP899" t="s">
        <v>74</v>
      </c>
      <c r="BQ899" t="s">
        <v>74</v>
      </c>
      <c r="BR899" t="s">
        <v>74</v>
      </c>
      <c r="BS899" t="s">
        <v>1677</v>
      </c>
      <c r="BT899" t="str">
        <f>HYPERLINK("https%3A%2F%2Fwww.webofscience.com%2Fwos%2Fwoscc%2Ffull-record%2FWOS:A1984TE15700001","View Full Record in Web of Science")</f>
        <v>View Full Record in Web of Science</v>
      </c>
    </row>
    <row r="900" spans="1:72" x14ac:dyDescent="0.4">
      <c r="A900" t="s">
        <v>72</v>
      </c>
      <c r="B900" t="s">
        <v>6564</v>
      </c>
      <c r="C900" t="s">
        <v>74</v>
      </c>
      <c r="D900" t="s">
        <v>74</v>
      </c>
      <c r="E900" t="s">
        <v>74</v>
      </c>
      <c r="F900" t="s">
        <v>6564</v>
      </c>
      <c r="G900" t="s">
        <v>74</v>
      </c>
      <c r="H900" t="s">
        <v>74</v>
      </c>
      <c r="I900" t="s">
        <v>6565</v>
      </c>
      <c r="J900" t="s">
        <v>344</v>
      </c>
      <c r="K900" t="s">
        <v>74</v>
      </c>
      <c r="L900" t="s">
        <v>74</v>
      </c>
      <c r="M900" t="s">
        <v>74</v>
      </c>
      <c r="N900" t="s">
        <v>74</v>
      </c>
      <c r="O900" t="s">
        <v>6566</v>
      </c>
      <c r="P900">
        <v>1996</v>
      </c>
      <c r="Q900" t="s">
        <v>6567</v>
      </c>
      <c r="R900" t="s">
        <v>74</v>
      </c>
      <c r="S900" t="s">
        <v>74</v>
      </c>
      <c r="T900" t="s">
        <v>74</v>
      </c>
      <c r="U900" t="s">
        <v>74</v>
      </c>
      <c r="V900" s="3" t="s">
        <v>6568</v>
      </c>
      <c r="W900" t="s">
        <v>74</v>
      </c>
      <c r="X900" t="s">
        <v>74</v>
      </c>
      <c r="Y900" t="s">
        <v>74</v>
      </c>
      <c r="Z900" t="s">
        <v>74</v>
      </c>
      <c r="AA900" t="s">
        <v>74</v>
      </c>
      <c r="AB900" t="s">
        <v>74</v>
      </c>
      <c r="AC900" t="s">
        <v>74</v>
      </c>
      <c r="AD900" t="s">
        <v>74</v>
      </c>
      <c r="AE900" t="s">
        <v>74</v>
      </c>
      <c r="AF900" t="s">
        <v>74</v>
      </c>
      <c r="AG900" t="s">
        <v>74</v>
      </c>
      <c r="AH900" t="s">
        <v>74</v>
      </c>
      <c r="AI900" t="s">
        <v>74</v>
      </c>
      <c r="AJ900" t="s">
        <v>74</v>
      </c>
      <c r="AK900" t="s">
        <v>74</v>
      </c>
      <c r="AL900" t="s">
        <v>74</v>
      </c>
      <c r="AM900" t="s">
        <v>74</v>
      </c>
      <c r="AN900" t="s">
        <v>74</v>
      </c>
      <c r="AO900" t="s">
        <v>346</v>
      </c>
      <c r="AP900" t="s">
        <v>6569</v>
      </c>
      <c r="AQ900" t="s">
        <v>74</v>
      </c>
      <c r="AR900" t="s">
        <v>74</v>
      </c>
      <c r="AS900" t="s">
        <v>74</v>
      </c>
      <c r="AT900" t="s">
        <v>213</v>
      </c>
      <c r="AU900">
        <v>1999</v>
      </c>
      <c r="AV900">
        <v>56</v>
      </c>
      <c r="AW900">
        <v>3</v>
      </c>
      <c r="AX900" t="s">
        <v>74</v>
      </c>
      <c r="AY900" t="s">
        <v>74</v>
      </c>
      <c r="AZ900" t="s">
        <v>74</v>
      </c>
      <c r="BA900" t="s">
        <v>74</v>
      </c>
      <c r="BB900">
        <v>285</v>
      </c>
      <c r="BC900">
        <v>305</v>
      </c>
      <c r="BD900" t="s">
        <v>74</v>
      </c>
      <c r="BE900" t="s">
        <v>6570</v>
      </c>
      <c r="BF900" t="str">
        <f>HYPERLINK("http://dx.doi.org/10.1023/A:1007517720723","http://dx.doi.org/10.1023/A:1007517720723")</f>
        <v>http://dx.doi.org/10.1023/A:1007517720723</v>
      </c>
      <c r="BG900" t="s">
        <v>74</v>
      </c>
      <c r="BH900" t="s">
        <v>74</v>
      </c>
      <c r="BI900" t="s">
        <v>74</v>
      </c>
      <c r="BJ900" t="s">
        <v>74</v>
      </c>
      <c r="BK900" t="s">
        <v>74</v>
      </c>
      <c r="BL900" t="s">
        <v>74</v>
      </c>
      <c r="BM900" t="s">
        <v>74</v>
      </c>
      <c r="BN900" t="s">
        <v>74</v>
      </c>
      <c r="BO900" t="s">
        <v>74</v>
      </c>
      <c r="BP900" t="s">
        <v>74</v>
      </c>
      <c r="BQ900" t="s">
        <v>74</v>
      </c>
      <c r="BR900" t="s">
        <v>74</v>
      </c>
      <c r="BS900" t="s">
        <v>6571</v>
      </c>
      <c r="BT900" t="str">
        <f>HYPERLINK("https%3A%2F%2Fwww.webofscience.com%2Fwos%2Fwoscc%2Ffull-record%2FWOS:000083273300002","View Full Record in Web of Science")</f>
        <v>View Full Record in Web of Science</v>
      </c>
    </row>
    <row r="901" spans="1:72" x14ac:dyDescent="0.4">
      <c r="A901" t="s">
        <v>72</v>
      </c>
      <c r="B901" t="s">
        <v>3491</v>
      </c>
      <c r="C901" t="s">
        <v>74</v>
      </c>
      <c r="D901" t="s">
        <v>74</v>
      </c>
      <c r="E901" t="s">
        <v>74</v>
      </c>
      <c r="F901" t="s">
        <v>3491</v>
      </c>
      <c r="G901" t="s">
        <v>74</v>
      </c>
      <c r="H901" t="s">
        <v>74</v>
      </c>
      <c r="I901" t="s">
        <v>3492</v>
      </c>
      <c r="J901" t="s">
        <v>140</v>
      </c>
      <c r="K901" t="s">
        <v>74</v>
      </c>
      <c r="L901" t="s">
        <v>74</v>
      </c>
      <c r="M901" t="s">
        <v>74</v>
      </c>
      <c r="N901" t="s">
        <v>74</v>
      </c>
      <c r="O901" t="s">
        <v>74</v>
      </c>
      <c r="P901" t="s">
        <v>74</v>
      </c>
      <c r="Q901" t="s">
        <v>74</v>
      </c>
      <c r="R901" t="s">
        <v>74</v>
      </c>
      <c r="S901" t="s">
        <v>74</v>
      </c>
      <c r="T901" t="s">
        <v>74</v>
      </c>
      <c r="U901" t="s">
        <v>74</v>
      </c>
      <c r="V901" s="3" t="s">
        <v>3493</v>
      </c>
      <c r="W901" t="s">
        <v>74</v>
      </c>
      <c r="X901" t="s">
        <v>74</v>
      </c>
      <c r="Y901" t="s">
        <v>74</v>
      </c>
      <c r="Z901" t="s">
        <v>74</v>
      </c>
      <c r="AA901" t="s">
        <v>74</v>
      </c>
      <c r="AB901" t="s">
        <v>74</v>
      </c>
      <c r="AC901" t="s">
        <v>74</v>
      </c>
      <c r="AD901" t="s">
        <v>74</v>
      </c>
      <c r="AE901" t="s">
        <v>74</v>
      </c>
      <c r="AF901" t="s">
        <v>74</v>
      </c>
      <c r="AG901" t="s">
        <v>74</v>
      </c>
      <c r="AH901" t="s">
        <v>74</v>
      </c>
      <c r="AI901" t="s">
        <v>74</v>
      </c>
      <c r="AJ901" t="s">
        <v>74</v>
      </c>
      <c r="AK901" t="s">
        <v>74</v>
      </c>
      <c r="AL901" t="s">
        <v>74</v>
      </c>
      <c r="AM901" t="s">
        <v>74</v>
      </c>
      <c r="AN901" t="s">
        <v>74</v>
      </c>
      <c r="AO901" t="s">
        <v>143</v>
      </c>
      <c r="AP901" t="s">
        <v>144</v>
      </c>
      <c r="AQ901" t="s">
        <v>74</v>
      </c>
      <c r="AR901" t="s">
        <v>74</v>
      </c>
      <c r="AS901" t="s">
        <v>74</v>
      </c>
      <c r="AT901" t="s">
        <v>204</v>
      </c>
      <c r="AU901">
        <v>1995</v>
      </c>
      <c r="AV901">
        <v>50</v>
      </c>
      <c r="AW901" t="s">
        <v>74</v>
      </c>
      <c r="AX901">
        <v>1</v>
      </c>
      <c r="AY901" t="s">
        <v>74</v>
      </c>
      <c r="AZ901" t="s">
        <v>74</v>
      </c>
      <c r="BA901" t="s">
        <v>74</v>
      </c>
      <c r="BB901">
        <v>267</v>
      </c>
      <c r="BC901">
        <v>272</v>
      </c>
      <c r="BD901" t="s">
        <v>74</v>
      </c>
      <c r="BE901" t="s">
        <v>3494</v>
      </c>
      <c r="BF901" t="str">
        <f>HYPERLINK("http://dx.doi.org/10.1006/anbe.1995.0239","http://dx.doi.org/10.1006/anbe.1995.0239")</f>
        <v>http://dx.doi.org/10.1006/anbe.1995.0239</v>
      </c>
      <c r="BG901" t="s">
        <v>74</v>
      </c>
      <c r="BH901" t="s">
        <v>74</v>
      </c>
      <c r="BI901" t="s">
        <v>74</v>
      </c>
      <c r="BJ901" t="s">
        <v>74</v>
      </c>
      <c r="BK901" t="s">
        <v>74</v>
      </c>
      <c r="BL901" t="s">
        <v>74</v>
      </c>
      <c r="BM901" t="s">
        <v>74</v>
      </c>
      <c r="BN901" t="s">
        <v>74</v>
      </c>
      <c r="BO901" t="s">
        <v>74</v>
      </c>
      <c r="BP901" t="s">
        <v>74</v>
      </c>
      <c r="BQ901" t="s">
        <v>74</v>
      </c>
      <c r="BR901" t="s">
        <v>74</v>
      </c>
      <c r="BS901" t="s">
        <v>3495</v>
      </c>
      <c r="BT901" t="str">
        <f>HYPERLINK("https%3A%2F%2Fwww.webofscience.com%2Fwos%2Fwoscc%2Ffull-record%2FWOS:A1995RM19000026","View Full Record in Web of Science")</f>
        <v>View Full Record in Web of Science</v>
      </c>
    </row>
    <row r="902" spans="1:72" x14ac:dyDescent="0.4">
      <c r="A902" t="s">
        <v>72</v>
      </c>
      <c r="B902" t="s">
        <v>3426</v>
      </c>
      <c r="C902" t="s">
        <v>74</v>
      </c>
      <c r="D902" t="s">
        <v>74</v>
      </c>
      <c r="E902" t="s">
        <v>74</v>
      </c>
      <c r="F902" t="s">
        <v>3426</v>
      </c>
      <c r="G902" t="s">
        <v>74</v>
      </c>
      <c r="H902" t="s">
        <v>74</v>
      </c>
      <c r="I902" t="s">
        <v>3427</v>
      </c>
      <c r="J902" t="s">
        <v>140</v>
      </c>
      <c r="K902" t="s">
        <v>74</v>
      </c>
      <c r="L902" t="s">
        <v>74</v>
      </c>
      <c r="M902" t="s">
        <v>74</v>
      </c>
      <c r="N902" t="s">
        <v>74</v>
      </c>
      <c r="O902" t="s">
        <v>74</v>
      </c>
      <c r="P902" t="s">
        <v>74</v>
      </c>
      <c r="Q902" t="s">
        <v>74</v>
      </c>
      <c r="R902" t="s">
        <v>74</v>
      </c>
      <c r="S902" t="s">
        <v>74</v>
      </c>
      <c r="T902" t="s">
        <v>74</v>
      </c>
      <c r="U902" t="s">
        <v>74</v>
      </c>
      <c r="V902" s="3" t="s">
        <v>3428</v>
      </c>
      <c r="W902" t="s">
        <v>74</v>
      </c>
      <c r="X902" t="s">
        <v>74</v>
      </c>
      <c r="Y902" t="s">
        <v>74</v>
      </c>
      <c r="Z902" t="s">
        <v>74</v>
      </c>
      <c r="AA902" t="s">
        <v>74</v>
      </c>
      <c r="AB902" t="s">
        <v>74</v>
      </c>
      <c r="AC902" t="s">
        <v>74</v>
      </c>
      <c r="AD902" t="s">
        <v>74</v>
      </c>
      <c r="AE902" t="s">
        <v>74</v>
      </c>
      <c r="AF902" t="s">
        <v>74</v>
      </c>
      <c r="AG902" t="s">
        <v>74</v>
      </c>
      <c r="AH902" t="s">
        <v>74</v>
      </c>
      <c r="AI902" t="s">
        <v>74</v>
      </c>
      <c r="AJ902" t="s">
        <v>74</v>
      </c>
      <c r="AK902" t="s">
        <v>74</v>
      </c>
      <c r="AL902" t="s">
        <v>74</v>
      </c>
      <c r="AM902" t="s">
        <v>74</v>
      </c>
      <c r="AN902" t="s">
        <v>74</v>
      </c>
      <c r="AO902" t="s">
        <v>143</v>
      </c>
      <c r="AP902" t="s">
        <v>74</v>
      </c>
      <c r="AQ902" t="s">
        <v>74</v>
      </c>
      <c r="AR902" t="s">
        <v>74</v>
      </c>
      <c r="AS902" t="s">
        <v>74</v>
      </c>
      <c r="AT902" t="s">
        <v>102</v>
      </c>
      <c r="AU902">
        <v>1995</v>
      </c>
      <c r="AV902">
        <v>49</v>
      </c>
      <c r="AW902">
        <v>6</v>
      </c>
      <c r="AX902" t="s">
        <v>74</v>
      </c>
      <c r="AY902" t="s">
        <v>74</v>
      </c>
      <c r="AZ902" t="s">
        <v>74</v>
      </c>
      <c r="BA902" t="s">
        <v>74</v>
      </c>
      <c r="BB902">
        <v>1559</v>
      </c>
      <c r="BC902">
        <v>1567</v>
      </c>
      <c r="BD902" t="s">
        <v>74</v>
      </c>
      <c r="BE902" t="s">
        <v>3429</v>
      </c>
      <c r="BF902" t="str">
        <f>HYPERLINK("http://dx.doi.org/10.1016/0003-3472(95)90077-2","http://dx.doi.org/10.1016/0003-3472(95)90077-2")</f>
        <v>http://dx.doi.org/10.1016/0003-3472(95)90077-2</v>
      </c>
      <c r="BG902" t="s">
        <v>74</v>
      </c>
      <c r="BH902" t="s">
        <v>74</v>
      </c>
      <c r="BI902" t="s">
        <v>74</v>
      </c>
      <c r="BJ902" t="s">
        <v>74</v>
      </c>
      <c r="BK902" t="s">
        <v>74</v>
      </c>
      <c r="BL902" t="s">
        <v>74</v>
      </c>
      <c r="BM902" t="s">
        <v>74</v>
      </c>
      <c r="BN902" t="s">
        <v>74</v>
      </c>
      <c r="BO902" t="s">
        <v>74</v>
      </c>
      <c r="BP902" t="s">
        <v>74</v>
      </c>
      <c r="BQ902" t="s">
        <v>74</v>
      </c>
      <c r="BR902" t="s">
        <v>74</v>
      </c>
      <c r="BS902" t="s">
        <v>3430</v>
      </c>
      <c r="BT902" t="str">
        <f>HYPERLINK("https%3A%2F%2Fwww.webofscience.com%2Fwos%2Fwoscc%2Ffull-record%2FWOS:A1995RE98700015","View Full Record in Web of Science")</f>
        <v>View Full Record in Web of Science</v>
      </c>
    </row>
    <row r="903" spans="1:72" x14ac:dyDescent="0.4">
      <c r="A903" t="s">
        <v>72</v>
      </c>
      <c r="B903" t="s">
        <v>2197</v>
      </c>
      <c r="C903" t="s">
        <v>74</v>
      </c>
      <c r="D903" t="s">
        <v>74</v>
      </c>
      <c r="E903" t="s">
        <v>74</v>
      </c>
      <c r="F903" t="s">
        <v>2198</v>
      </c>
      <c r="G903" t="s">
        <v>74</v>
      </c>
      <c r="H903" t="s">
        <v>74</v>
      </c>
      <c r="I903" t="s">
        <v>2199</v>
      </c>
      <c r="J903" t="s">
        <v>408</v>
      </c>
      <c r="K903" t="s">
        <v>74</v>
      </c>
      <c r="L903" t="s">
        <v>74</v>
      </c>
      <c r="M903" t="s">
        <v>74</v>
      </c>
      <c r="N903" t="s">
        <v>74</v>
      </c>
      <c r="O903" t="s">
        <v>74</v>
      </c>
      <c r="P903" t="s">
        <v>74</v>
      </c>
      <c r="Q903" t="s">
        <v>74</v>
      </c>
      <c r="R903" t="s">
        <v>74</v>
      </c>
      <c r="S903" t="s">
        <v>74</v>
      </c>
      <c r="T903" t="s">
        <v>74</v>
      </c>
      <c r="U903" t="s">
        <v>74</v>
      </c>
      <c r="V903" s="3" t="s">
        <v>2200</v>
      </c>
      <c r="W903" t="s">
        <v>74</v>
      </c>
      <c r="X903" t="s">
        <v>74</v>
      </c>
      <c r="Y903" t="s">
        <v>74</v>
      </c>
      <c r="Z903" t="s">
        <v>74</v>
      </c>
      <c r="AA903" t="s">
        <v>2201</v>
      </c>
      <c r="AB903" t="s">
        <v>2202</v>
      </c>
      <c r="AC903" t="s">
        <v>74</v>
      </c>
      <c r="AD903" t="s">
        <v>74</v>
      </c>
      <c r="AE903" t="s">
        <v>74</v>
      </c>
      <c r="AF903" t="s">
        <v>74</v>
      </c>
      <c r="AG903" t="s">
        <v>74</v>
      </c>
      <c r="AH903" t="s">
        <v>74</v>
      </c>
      <c r="AI903" t="s">
        <v>74</v>
      </c>
      <c r="AJ903" t="s">
        <v>74</v>
      </c>
      <c r="AK903" t="s">
        <v>74</v>
      </c>
      <c r="AL903" t="s">
        <v>74</v>
      </c>
      <c r="AM903" t="s">
        <v>74</v>
      </c>
      <c r="AN903" t="s">
        <v>74</v>
      </c>
      <c r="AO903" t="s">
        <v>412</v>
      </c>
      <c r="AP903" t="s">
        <v>413</v>
      </c>
      <c r="AQ903" t="s">
        <v>74</v>
      </c>
      <c r="AR903" t="s">
        <v>74</v>
      </c>
      <c r="AS903" t="s">
        <v>74</v>
      </c>
      <c r="AT903" t="s">
        <v>255</v>
      </c>
      <c r="AU903">
        <v>2013</v>
      </c>
      <c r="AV903">
        <v>108</v>
      </c>
      <c r="AW903">
        <v>1</v>
      </c>
      <c r="AX903" t="s">
        <v>74</v>
      </c>
      <c r="AY903" t="s">
        <v>74</v>
      </c>
      <c r="AZ903" t="s">
        <v>74</v>
      </c>
      <c r="BA903" t="s">
        <v>74</v>
      </c>
      <c r="BB903">
        <v>116</v>
      </c>
      <c r="BC903">
        <v>126</v>
      </c>
      <c r="BD903" t="s">
        <v>74</v>
      </c>
      <c r="BE903" t="s">
        <v>2203</v>
      </c>
      <c r="BF903" t="str">
        <f>HYPERLINK("http://dx.doi.org/10.1111/j.1095-8312.2012.02006.x","http://dx.doi.org/10.1111/j.1095-8312.2012.02006.x")</f>
        <v>http://dx.doi.org/10.1111/j.1095-8312.2012.02006.x</v>
      </c>
      <c r="BG903" t="s">
        <v>74</v>
      </c>
      <c r="BH903" t="s">
        <v>74</v>
      </c>
      <c r="BI903" t="s">
        <v>74</v>
      </c>
      <c r="BJ903" t="s">
        <v>74</v>
      </c>
      <c r="BK903" t="s">
        <v>74</v>
      </c>
      <c r="BL903" t="s">
        <v>74</v>
      </c>
      <c r="BM903" t="s">
        <v>74</v>
      </c>
      <c r="BN903" t="s">
        <v>74</v>
      </c>
      <c r="BO903" t="s">
        <v>74</v>
      </c>
      <c r="BP903" t="s">
        <v>74</v>
      </c>
      <c r="BQ903" t="s">
        <v>74</v>
      </c>
      <c r="BR903" t="s">
        <v>74</v>
      </c>
      <c r="BS903" t="s">
        <v>2204</v>
      </c>
      <c r="BT903" t="str">
        <f>HYPERLINK("https%3A%2F%2Fwww.webofscience.com%2Fwos%2Fwoscc%2Ffull-record%2FWOS:000312543100011","View Full Record in Web of Science")</f>
        <v>View Full Record in Web of Science</v>
      </c>
    </row>
    <row r="904" spans="1:72" x14ac:dyDescent="0.4">
      <c r="A904" t="s">
        <v>72</v>
      </c>
      <c r="B904" t="s">
        <v>7833</v>
      </c>
      <c r="C904" t="s">
        <v>74</v>
      </c>
      <c r="D904" t="s">
        <v>74</v>
      </c>
      <c r="E904" t="s">
        <v>74</v>
      </c>
      <c r="F904" t="s">
        <v>7834</v>
      </c>
      <c r="G904" t="s">
        <v>74</v>
      </c>
      <c r="H904" t="s">
        <v>74</v>
      </c>
      <c r="I904" t="s">
        <v>7835</v>
      </c>
      <c r="J904" t="s">
        <v>2207</v>
      </c>
      <c r="K904" t="s">
        <v>74</v>
      </c>
      <c r="L904" t="s">
        <v>74</v>
      </c>
      <c r="M904" t="s">
        <v>74</v>
      </c>
      <c r="N904" t="s">
        <v>74</v>
      </c>
      <c r="O904" t="s">
        <v>74</v>
      </c>
      <c r="P904" t="s">
        <v>74</v>
      </c>
      <c r="Q904" t="s">
        <v>74</v>
      </c>
      <c r="R904" t="s">
        <v>74</v>
      </c>
      <c r="S904" t="s">
        <v>74</v>
      </c>
      <c r="T904" t="s">
        <v>74</v>
      </c>
      <c r="U904" t="s">
        <v>74</v>
      </c>
      <c r="V904" s="3" t="s">
        <v>7836</v>
      </c>
      <c r="W904" t="s">
        <v>74</v>
      </c>
      <c r="X904" t="s">
        <v>74</v>
      </c>
      <c r="Y904" t="s">
        <v>74</v>
      </c>
      <c r="Z904" t="s">
        <v>74</v>
      </c>
      <c r="AA904" t="s">
        <v>7837</v>
      </c>
      <c r="AB904" t="s">
        <v>7838</v>
      </c>
      <c r="AC904" t="s">
        <v>74</v>
      </c>
      <c r="AD904" t="s">
        <v>74</v>
      </c>
      <c r="AE904" t="s">
        <v>74</v>
      </c>
      <c r="AF904" t="s">
        <v>74</v>
      </c>
      <c r="AG904" t="s">
        <v>74</v>
      </c>
      <c r="AH904" t="s">
        <v>74</v>
      </c>
      <c r="AI904" t="s">
        <v>74</v>
      </c>
      <c r="AJ904" t="s">
        <v>74</v>
      </c>
      <c r="AK904" t="s">
        <v>74</v>
      </c>
      <c r="AL904" t="s">
        <v>74</v>
      </c>
      <c r="AM904" t="s">
        <v>74</v>
      </c>
      <c r="AN904" t="s">
        <v>74</v>
      </c>
      <c r="AO904" t="s">
        <v>2211</v>
      </c>
      <c r="AP904" t="s">
        <v>2461</v>
      </c>
      <c r="AQ904" t="s">
        <v>74</v>
      </c>
      <c r="AR904" t="s">
        <v>74</v>
      </c>
      <c r="AS904" t="s">
        <v>74</v>
      </c>
      <c r="AT904" t="s">
        <v>213</v>
      </c>
      <c r="AU904">
        <v>2017</v>
      </c>
      <c r="AV904">
        <v>48</v>
      </c>
      <c r="AW904">
        <v>11</v>
      </c>
      <c r="AX904" t="s">
        <v>74</v>
      </c>
      <c r="AY904" t="s">
        <v>74</v>
      </c>
      <c r="AZ904" t="s">
        <v>74</v>
      </c>
      <c r="BA904" t="s">
        <v>74</v>
      </c>
      <c r="BB904">
        <v>1425</v>
      </c>
      <c r="BC904">
        <v>1431</v>
      </c>
      <c r="BD904" t="s">
        <v>74</v>
      </c>
      <c r="BE904" t="s">
        <v>7839</v>
      </c>
      <c r="BF904" t="str">
        <f>HYPERLINK("http://dx.doi.org/10.1111/jav.01402","http://dx.doi.org/10.1111/jav.01402")</f>
        <v>http://dx.doi.org/10.1111/jav.01402</v>
      </c>
      <c r="BG904" t="s">
        <v>74</v>
      </c>
      <c r="BH904" t="s">
        <v>74</v>
      </c>
      <c r="BI904" t="s">
        <v>74</v>
      </c>
      <c r="BJ904" t="s">
        <v>74</v>
      </c>
      <c r="BK904" t="s">
        <v>74</v>
      </c>
      <c r="BL904" t="s">
        <v>74</v>
      </c>
      <c r="BM904" t="s">
        <v>74</v>
      </c>
      <c r="BN904" t="s">
        <v>74</v>
      </c>
      <c r="BO904" t="s">
        <v>74</v>
      </c>
      <c r="BP904" t="s">
        <v>74</v>
      </c>
      <c r="BQ904" t="s">
        <v>74</v>
      </c>
      <c r="BR904" t="s">
        <v>74</v>
      </c>
      <c r="BS904" t="s">
        <v>7840</v>
      </c>
      <c r="BT904" t="str">
        <f>HYPERLINK("https%3A%2F%2Fwww.webofscience.com%2Fwos%2Fwoscc%2Ffull-record%2FWOS:000416331100009","View Full Record in Web of Science")</f>
        <v>View Full Record in Web of Science</v>
      </c>
    </row>
    <row r="905" spans="1:72" x14ac:dyDescent="0.4">
      <c r="A905" t="s">
        <v>72</v>
      </c>
      <c r="B905" t="s">
        <v>4396</v>
      </c>
      <c r="C905" t="s">
        <v>74</v>
      </c>
      <c r="D905" t="s">
        <v>74</v>
      </c>
      <c r="E905" t="s">
        <v>74</v>
      </c>
      <c r="F905" t="s">
        <v>4396</v>
      </c>
      <c r="G905" t="s">
        <v>74</v>
      </c>
      <c r="H905" t="s">
        <v>74</v>
      </c>
      <c r="I905" t="s">
        <v>4397</v>
      </c>
      <c r="J905" t="s">
        <v>77</v>
      </c>
      <c r="K905" t="s">
        <v>74</v>
      </c>
      <c r="L905" t="s">
        <v>74</v>
      </c>
      <c r="M905" t="s">
        <v>74</v>
      </c>
      <c r="N905" t="s">
        <v>74</v>
      </c>
      <c r="O905" t="s">
        <v>74</v>
      </c>
      <c r="P905" t="s">
        <v>74</v>
      </c>
      <c r="Q905" t="s">
        <v>74</v>
      </c>
      <c r="R905" t="s">
        <v>74</v>
      </c>
      <c r="S905" t="s">
        <v>74</v>
      </c>
      <c r="T905" t="s">
        <v>74</v>
      </c>
      <c r="U905" t="s">
        <v>74</v>
      </c>
      <c r="V905" s="3" t="s">
        <v>4398</v>
      </c>
      <c r="W905" t="s">
        <v>74</v>
      </c>
      <c r="X905" t="s">
        <v>74</v>
      </c>
      <c r="Y905" t="s">
        <v>74</v>
      </c>
      <c r="Z905" t="s">
        <v>74</v>
      </c>
      <c r="AA905" t="s">
        <v>74</v>
      </c>
      <c r="AB905" t="s">
        <v>74</v>
      </c>
      <c r="AC905" t="s">
        <v>74</v>
      </c>
      <c r="AD905" t="s">
        <v>74</v>
      </c>
      <c r="AE905" t="s">
        <v>74</v>
      </c>
      <c r="AF905" t="s">
        <v>74</v>
      </c>
      <c r="AG905" t="s">
        <v>74</v>
      </c>
      <c r="AH905" t="s">
        <v>74</v>
      </c>
      <c r="AI905" t="s">
        <v>74</v>
      </c>
      <c r="AJ905" t="s">
        <v>74</v>
      </c>
      <c r="AK905" t="s">
        <v>74</v>
      </c>
      <c r="AL905" t="s">
        <v>74</v>
      </c>
      <c r="AM905" t="s">
        <v>74</v>
      </c>
      <c r="AN905" t="s">
        <v>74</v>
      </c>
      <c r="AO905" t="s">
        <v>81</v>
      </c>
      <c r="AP905" t="s">
        <v>82</v>
      </c>
      <c r="AQ905" t="s">
        <v>74</v>
      </c>
      <c r="AR905" t="s">
        <v>74</v>
      </c>
      <c r="AS905" t="s">
        <v>74</v>
      </c>
      <c r="AT905" t="s">
        <v>4399</v>
      </c>
      <c r="AU905">
        <v>2003</v>
      </c>
      <c r="AV905">
        <v>140</v>
      </c>
      <c r="AW905" t="s">
        <v>74</v>
      </c>
      <c r="AX905" t="s">
        <v>4400</v>
      </c>
      <c r="AY905" t="s">
        <v>74</v>
      </c>
      <c r="AZ905" t="s">
        <v>74</v>
      </c>
      <c r="BA905" t="s">
        <v>74</v>
      </c>
      <c r="BB905">
        <v>1003</v>
      </c>
      <c r="BC905">
        <v>1019</v>
      </c>
      <c r="BD905" t="s">
        <v>74</v>
      </c>
      <c r="BE905" t="s">
        <v>4401</v>
      </c>
      <c r="BF905" t="str">
        <f>HYPERLINK("http://dx.doi.org/10.1163/156853903322589614","http://dx.doi.org/10.1163/156853903322589614")</f>
        <v>http://dx.doi.org/10.1163/156853903322589614</v>
      </c>
      <c r="BG905" t="s">
        <v>74</v>
      </c>
      <c r="BH905" t="s">
        <v>74</v>
      </c>
      <c r="BI905" t="s">
        <v>74</v>
      </c>
      <c r="BJ905" t="s">
        <v>74</v>
      </c>
      <c r="BK905" t="s">
        <v>74</v>
      </c>
      <c r="BL905" t="s">
        <v>74</v>
      </c>
      <c r="BM905" t="s">
        <v>74</v>
      </c>
      <c r="BN905" t="s">
        <v>74</v>
      </c>
      <c r="BO905" t="s">
        <v>74</v>
      </c>
      <c r="BP905" t="s">
        <v>74</v>
      </c>
      <c r="BQ905" t="s">
        <v>74</v>
      </c>
      <c r="BR905" t="s">
        <v>74</v>
      </c>
      <c r="BS905" t="s">
        <v>4402</v>
      </c>
      <c r="BT905" t="str">
        <f>HYPERLINK("https%3A%2F%2Fwww.webofscience.com%2Fwos%2Fwoscc%2Ffull-record%2FWOS:000187638300003","View Full Record in Web of Science")</f>
        <v>View Full Record in Web of Science</v>
      </c>
    </row>
    <row r="906" spans="1:72" x14ac:dyDescent="0.4">
      <c r="A906" t="s">
        <v>72</v>
      </c>
      <c r="B906" t="s">
        <v>1818</v>
      </c>
      <c r="C906" t="s">
        <v>74</v>
      </c>
      <c r="D906" t="s">
        <v>74</v>
      </c>
      <c r="E906" t="s">
        <v>74</v>
      </c>
      <c r="F906" t="s">
        <v>1819</v>
      </c>
      <c r="G906" t="s">
        <v>74</v>
      </c>
      <c r="H906" t="s">
        <v>74</v>
      </c>
      <c r="I906" t="s">
        <v>1820</v>
      </c>
      <c r="J906" t="s">
        <v>576</v>
      </c>
      <c r="K906" t="s">
        <v>74</v>
      </c>
      <c r="L906" t="s">
        <v>74</v>
      </c>
      <c r="M906" t="s">
        <v>74</v>
      </c>
      <c r="N906" t="s">
        <v>74</v>
      </c>
      <c r="O906" t="s">
        <v>74</v>
      </c>
      <c r="P906" t="s">
        <v>74</v>
      </c>
      <c r="Q906" t="s">
        <v>74</v>
      </c>
      <c r="R906" t="s">
        <v>74</v>
      </c>
      <c r="S906" t="s">
        <v>74</v>
      </c>
      <c r="T906" t="s">
        <v>74</v>
      </c>
      <c r="U906" t="s">
        <v>74</v>
      </c>
      <c r="V906" s="3" t="s">
        <v>1821</v>
      </c>
      <c r="W906" t="s">
        <v>74</v>
      </c>
      <c r="X906" t="s">
        <v>74</v>
      </c>
      <c r="Y906" t="s">
        <v>74</v>
      </c>
      <c r="Z906" t="s">
        <v>74</v>
      </c>
      <c r="AA906" t="s">
        <v>74</v>
      </c>
      <c r="AB906" t="s">
        <v>1822</v>
      </c>
      <c r="AC906" t="s">
        <v>74</v>
      </c>
      <c r="AD906" t="s">
        <v>74</v>
      </c>
      <c r="AE906" t="s">
        <v>74</v>
      </c>
      <c r="AF906" t="s">
        <v>74</v>
      </c>
      <c r="AG906" t="s">
        <v>74</v>
      </c>
      <c r="AH906" t="s">
        <v>74</v>
      </c>
      <c r="AI906" t="s">
        <v>74</v>
      </c>
      <c r="AJ906" t="s">
        <v>74</v>
      </c>
      <c r="AK906" t="s">
        <v>74</v>
      </c>
      <c r="AL906" t="s">
        <v>74</v>
      </c>
      <c r="AM906" t="s">
        <v>74</v>
      </c>
      <c r="AN906" t="s">
        <v>74</v>
      </c>
      <c r="AO906" t="s">
        <v>579</v>
      </c>
      <c r="AP906" t="s">
        <v>580</v>
      </c>
      <c r="AQ906" t="s">
        <v>74</v>
      </c>
      <c r="AR906" t="s">
        <v>74</v>
      </c>
      <c r="AS906" t="s">
        <v>74</v>
      </c>
      <c r="AT906" t="s">
        <v>633</v>
      </c>
      <c r="AU906">
        <v>2017</v>
      </c>
      <c r="AV906">
        <v>31</v>
      </c>
      <c r="AW906">
        <v>2</v>
      </c>
      <c r="AX906" t="s">
        <v>74</v>
      </c>
      <c r="AY906" t="s">
        <v>74</v>
      </c>
      <c r="AZ906" t="s">
        <v>848</v>
      </c>
      <c r="BA906" t="s">
        <v>74</v>
      </c>
      <c r="BB906">
        <v>173</v>
      </c>
      <c r="BC906">
        <v>191</v>
      </c>
      <c r="BD906" t="s">
        <v>74</v>
      </c>
      <c r="BE906" t="s">
        <v>1823</v>
      </c>
      <c r="BF906" t="str">
        <f>HYPERLINK("http://dx.doi.org/10.1007/s10682-016-9848-1","http://dx.doi.org/10.1007/s10682-016-9848-1")</f>
        <v>http://dx.doi.org/10.1007/s10682-016-9848-1</v>
      </c>
      <c r="BG906" t="s">
        <v>74</v>
      </c>
      <c r="BH906" t="s">
        <v>74</v>
      </c>
      <c r="BI906" t="s">
        <v>74</v>
      </c>
      <c r="BJ906" t="s">
        <v>74</v>
      </c>
      <c r="BK906" t="s">
        <v>74</v>
      </c>
      <c r="BL906" t="s">
        <v>74</v>
      </c>
      <c r="BM906" t="s">
        <v>74</v>
      </c>
      <c r="BN906" t="s">
        <v>74</v>
      </c>
      <c r="BO906" t="s">
        <v>74</v>
      </c>
      <c r="BP906" t="s">
        <v>74</v>
      </c>
      <c r="BQ906" t="s">
        <v>74</v>
      </c>
      <c r="BR906" t="s">
        <v>74</v>
      </c>
      <c r="BS906" t="s">
        <v>1824</v>
      </c>
      <c r="BT906" t="str">
        <f>HYPERLINK("https%3A%2F%2Fwww.webofscience.com%2Fwos%2Fwoscc%2Ffull-record%2FWOS:000397595600003","View Full Record in Web of Science")</f>
        <v>View Full Record in Web of Science</v>
      </c>
    </row>
    <row r="907" spans="1:72" x14ac:dyDescent="0.4">
      <c r="A907" t="s">
        <v>72</v>
      </c>
      <c r="B907" t="s">
        <v>8142</v>
      </c>
      <c r="C907" t="s">
        <v>74</v>
      </c>
      <c r="D907" t="s">
        <v>74</v>
      </c>
      <c r="E907" t="s">
        <v>74</v>
      </c>
      <c r="F907" t="s">
        <v>8143</v>
      </c>
      <c r="G907" t="s">
        <v>74</v>
      </c>
      <c r="H907" t="s">
        <v>74</v>
      </c>
      <c r="I907" t="s">
        <v>8144</v>
      </c>
      <c r="J907" t="s">
        <v>2017</v>
      </c>
      <c r="K907" t="s">
        <v>74</v>
      </c>
      <c r="L907" t="s">
        <v>74</v>
      </c>
      <c r="M907" t="s">
        <v>74</v>
      </c>
      <c r="N907" t="s">
        <v>74</v>
      </c>
      <c r="O907" t="s">
        <v>74</v>
      </c>
      <c r="P907" t="s">
        <v>74</v>
      </c>
      <c r="Q907" t="s">
        <v>74</v>
      </c>
      <c r="R907" t="s">
        <v>74</v>
      </c>
      <c r="S907" t="s">
        <v>74</v>
      </c>
      <c r="T907" t="s">
        <v>74</v>
      </c>
      <c r="U907" t="s">
        <v>74</v>
      </c>
      <c r="V907" s="3" t="s">
        <v>8145</v>
      </c>
      <c r="W907" t="s">
        <v>74</v>
      </c>
      <c r="X907" t="s">
        <v>74</v>
      </c>
      <c r="Y907" t="s">
        <v>74</v>
      </c>
      <c r="Z907" t="s">
        <v>74</v>
      </c>
      <c r="AA907" t="s">
        <v>74</v>
      </c>
      <c r="AB907" t="s">
        <v>1822</v>
      </c>
      <c r="AC907" t="s">
        <v>74</v>
      </c>
      <c r="AD907" t="s">
        <v>74</v>
      </c>
      <c r="AE907" t="s">
        <v>74</v>
      </c>
      <c r="AF907" t="s">
        <v>74</v>
      </c>
      <c r="AG907" t="s">
        <v>74</v>
      </c>
      <c r="AH907" t="s">
        <v>74</v>
      </c>
      <c r="AI907" t="s">
        <v>74</v>
      </c>
      <c r="AJ907" t="s">
        <v>74</v>
      </c>
      <c r="AK907" t="s">
        <v>74</v>
      </c>
      <c r="AL907" t="s">
        <v>74</v>
      </c>
      <c r="AM907" t="s">
        <v>74</v>
      </c>
      <c r="AN907" t="s">
        <v>74</v>
      </c>
      <c r="AO907" t="s">
        <v>2021</v>
      </c>
      <c r="AP907" t="s">
        <v>74</v>
      </c>
      <c r="AQ907" t="s">
        <v>74</v>
      </c>
      <c r="AR907" t="s">
        <v>74</v>
      </c>
      <c r="AS907" t="s">
        <v>74</v>
      </c>
      <c r="AT907" t="s">
        <v>8146</v>
      </c>
      <c r="AU907">
        <v>2021</v>
      </c>
      <c r="AV907">
        <v>9</v>
      </c>
      <c r="AW907" t="s">
        <v>74</v>
      </c>
      <c r="AX907" t="s">
        <v>74</v>
      </c>
      <c r="AY907" t="s">
        <v>74</v>
      </c>
      <c r="AZ907" t="s">
        <v>74</v>
      </c>
      <c r="BA907" t="s">
        <v>74</v>
      </c>
      <c r="BB907" t="s">
        <v>74</v>
      </c>
      <c r="BC907" t="s">
        <v>74</v>
      </c>
      <c r="BD907">
        <v>724712</v>
      </c>
      <c r="BE907" t="s">
        <v>8147</v>
      </c>
      <c r="BF907" t="str">
        <f>HYPERLINK("http://dx.doi.org/10.3389/fevo.2021.724712","http://dx.doi.org/10.3389/fevo.2021.724712")</f>
        <v>http://dx.doi.org/10.3389/fevo.2021.724712</v>
      </c>
      <c r="BG907" t="s">
        <v>74</v>
      </c>
      <c r="BH907" t="s">
        <v>74</v>
      </c>
      <c r="BI907" t="s">
        <v>74</v>
      </c>
      <c r="BJ907" t="s">
        <v>74</v>
      </c>
      <c r="BK907" t="s">
        <v>74</v>
      </c>
      <c r="BL907" t="s">
        <v>74</v>
      </c>
      <c r="BM907" t="s">
        <v>74</v>
      </c>
      <c r="BN907" t="s">
        <v>74</v>
      </c>
      <c r="BO907" t="s">
        <v>74</v>
      </c>
      <c r="BP907" t="s">
        <v>74</v>
      </c>
      <c r="BQ907" t="s">
        <v>74</v>
      </c>
      <c r="BR907" t="s">
        <v>74</v>
      </c>
      <c r="BS907" t="s">
        <v>8148</v>
      </c>
      <c r="BT907" t="str">
        <f>HYPERLINK("https%3A%2F%2Fwww.webofscience.com%2Fwos%2Fwoscc%2Ffull-record%2FWOS:000707224100001","View Full Record in Web of Science")</f>
        <v>View Full Record in Web of Science</v>
      </c>
    </row>
    <row r="908" spans="1:72" x14ac:dyDescent="0.4">
      <c r="A908" t="s">
        <v>72</v>
      </c>
      <c r="B908" t="s">
        <v>6897</v>
      </c>
      <c r="C908" t="s">
        <v>74</v>
      </c>
      <c r="D908" t="s">
        <v>74</v>
      </c>
      <c r="E908" t="s">
        <v>74</v>
      </c>
      <c r="F908" t="s">
        <v>6897</v>
      </c>
      <c r="G908" t="s">
        <v>74</v>
      </c>
      <c r="H908" t="s">
        <v>74</v>
      </c>
      <c r="I908" t="s">
        <v>6898</v>
      </c>
      <c r="J908" t="s">
        <v>6899</v>
      </c>
      <c r="K908" t="s">
        <v>74</v>
      </c>
      <c r="L908" t="s">
        <v>74</v>
      </c>
      <c r="M908" t="s">
        <v>74</v>
      </c>
      <c r="N908" t="s">
        <v>74</v>
      </c>
      <c r="O908" t="s">
        <v>74</v>
      </c>
      <c r="P908" t="s">
        <v>74</v>
      </c>
      <c r="Q908" t="s">
        <v>74</v>
      </c>
      <c r="R908" t="s">
        <v>74</v>
      </c>
      <c r="S908" t="s">
        <v>74</v>
      </c>
      <c r="T908" t="s">
        <v>74</v>
      </c>
      <c r="U908" t="s">
        <v>74</v>
      </c>
      <c r="V908" s="3" t="s">
        <v>6900</v>
      </c>
      <c r="W908" t="s">
        <v>74</v>
      </c>
      <c r="X908" t="s">
        <v>74</v>
      </c>
      <c r="Y908" t="s">
        <v>74</v>
      </c>
      <c r="Z908" t="s">
        <v>74</v>
      </c>
      <c r="AA908" t="s">
        <v>6901</v>
      </c>
      <c r="AB908" t="s">
        <v>6902</v>
      </c>
      <c r="AC908" t="s">
        <v>74</v>
      </c>
      <c r="AD908" t="s">
        <v>74</v>
      </c>
      <c r="AE908" t="s">
        <v>74</v>
      </c>
      <c r="AF908" t="s">
        <v>74</v>
      </c>
      <c r="AG908" t="s">
        <v>74</v>
      </c>
      <c r="AH908" t="s">
        <v>74</v>
      </c>
      <c r="AI908" t="s">
        <v>74</v>
      </c>
      <c r="AJ908" t="s">
        <v>74</v>
      </c>
      <c r="AK908" t="s">
        <v>74</v>
      </c>
      <c r="AL908" t="s">
        <v>74</v>
      </c>
      <c r="AM908" t="s">
        <v>74</v>
      </c>
      <c r="AN908" t="s">
        <v>74</v>
      </c>
      <c r="AO908" t="s">
        <v>6903</v>
      </c>
      <c r="AP908" t="s">
        <v>74</v>
      </c>
      <c r="AQ908" t="s">
        <v>74</v>
      </c>
      <c r="AR908" t="s">
        <v>74</v>
      </c>
      <c r="AS908" t="s">
        <v>74</v>
      </c>
      <c r="AT908" t="s">
        <v>145</v>
      </c>
      <c r="AU908">
        <v>1997</v>
      </c>
      <c r="AV908">
        <v>84</v>
      </c>
      <c r="AW908">
        <v>2</v>
      </c>
      <c r="AX908" t="s">
        <v>74</v>
      </c>
      <c r="AY908" t="s">
        <v>74</v>
      </c>
      <c r="AZ908" t="s">
        <v>74</v>
      </c>
      <c r="BA908" t="s">
        <v>74</v>
      </c>
      <c r="BB908">
        <v>183</v>
      </c>
      <c r="BC908">
        <v>188</v>
      </c>
      <c r="BD908" t="s">
        <v>74</v>
      </c>
      <c r="BE908" t="s">
        <v>6904</v>
      </c>
      <c r="BF908" t="str">
        <f>HYPERLINK("http://dx.doi.org/10.1046/j.1570-7458.1997.00213.x","http://dx.doi.org/10.1046/j.1570-7458.1997.00213.x")</f>
        <v>http://dx.doi.org/10.1046/j.1570-7458.1997.00213.x</v>
      </c>
      <c r="BG908" t="s">
        <v>74</v>
      </c>
      <c r="BH908" t="s">
        <v>74</v>
      </c>
      <c r="BI908" t="s">
        <v>74</v>
      </c>
      <c r="BJ908" t="s">
        <v>74</v>
      </c>
      <c r="BK908" t="s">
        <v>74</v>
      </c>
      <c r="BL908" t="s">
        <v>74</v>
      </c>
      <c r="BM908" t="s">
        <v>74</v>
      </c>
      <c r="BN908" t="s">
        <v>74</v>
      </c>
      <c r="BO908" t="s">
        <v>74</v>
      </c>
      <c r="BP908" t="s">
        <v>74</v>
      </c>
      <c r="BQ908" t="s">
        <v>74</v>
      </c>
      <c r="BR908" t="s">
        <v>74</v>
      </c>
      <c r="BS908" t="s">
        <v>6905</v>
      </c>
      <c r="BT908" t="str">
        <f>HYPERLINK("https%3A%2F%2Fwww.webofscience.com%2Fwos%2Fwoscc%2Ffull-record%2FWOS:A1997XW62800009","View Full Record in Web of Science")</f>
        <v>View Full Record in Web of Science</v>
      </c>
    </row>
    <row r="909" spans="1:72" x14ac:dyDescent="0.4">
      <c r="A909" t="s">
        <v>72</v>
      </c>
      <c r="B909" t="s">
        <v>3197</v>
      </c>
      <c r="C909" t="s">
        <v>74</v>
      </c>
      <c r="D909" t="s">
        <v>74</v>
      </c>
      <c r="E909" t="s">
        <v>74</v>
      </c>
      <c r="F909" t="s">
        <v>3198</v>
      </c>
      <c r="G909" t="s">
        <v>74</v>
      </c>
      <c r="H909" t="s">
        <v>74</v>
      </c>
      <c r="I909" t="s">
        <v>3199</v>
      </c>
      <c r="J909" t="s">
        <v>140</v>
      </c>
      <c r="K909" t="s">
        <v>74</v>
      </c>
      <c r="L909" t="s">
        <v>74</v>
      </c>
      <c r="M909" t="s">
        <v>74</v>
      </c>
      <c r="N909" t="s">
        <v>74</v>
      </c>
      <c r="O909" t="s">
        <v>74</v>
      </c>
      <c r="P909" t="s">
        <v>74</v>
      </c>
      <c r="Q909" t="s">
        <v>74</v>
      </c>
      <c r="R909" t="s">
        <v>74</v>
      </c>
      <c r="S909" t="s">
        <v>74</v>
      </c>
      <c r="T909" t="s">
        <v>74</v>
      </c>
      <c r="U909" t="s">
        <v>74</v>
      </c>
      <c r="V909" s="3" t="s">
        <v>3200</v>
      </c>
      <c r="W909" t="s">
        <v>74</v>
      </c>
      <c r="X909" t="s">
        <v>74</v>
      </c>
      <c r="Y909" t="s">
        <v>74</v>
      </c>
      <c r="Z909" t="s">
        <v>74</v>
      </c>
      <c r="AA909" t="s">
        <v>2184</v>
      </c>
      <c r="AB909" t="s">
        <v>2806</v>
      </c>
      <c r="AC909" t="s">
        <v>74</v>
      </c>
      <c r="AD909" t="s">
        <v>74</v>
      </c>
      <c r="AE909" t="s">
        <v>74</v>
      </c>
      <c r="AF909" t="s">
        <v>74</v>
      </c>
      <c r="AG909" t="s">
        <v>74</v>
      </c>
      <c r="AH909" t="s">
        <v>74</v>
      </c>
      <c r="AI909" t="s">
        <v>74</v>
      </c>
      <c r="AJ909" t="s">
        <v>74</v>
      </c>
      <c r="AK909" t="s">
        <v>74</v>
      </c>
      <c r="AL909" t="s">
        <v>74</v>
      </c>
      <c r="AM909" t="s">
        <v>74</v>
      </c>
      <c r="AN909" t="s">
        <v>74</v>
      </c>
      <c r="AO909" t="s">
        <v>143</v>
      </c>
      <c r="AP909" t="s">
        <v>144</v>
      </c>
      <c r="AQ909" t="s">
        <v>74</v>
      </c>
      <c r="AR909" t="s">
        <v>74</v>
      </c>
      <c r="AS909" t="s">
        <v>74</v>
      </c>
      <c r="AT909" t="s">
        <v>633</v>
      </c>
      <c r="AU909">
        <v>2017</v>
      </c>
      <c r="AV909">
        <v>126</v>
      </c>
      <c r="AW909" t="s">
        <v>74</v>
      </c>
      <c r="AX909" t="s">
        <v>74</v>
      </c>
      <c r="AY909" t="s">
        <v>74</v>
      </c>
      <c r="AZ909" t="s">
        <v>74</v>
      </c>
      <c r="BA909" t="s">
        <v>74</v>
      </c>
      <c r="BB909">
        <v>301</v>
      </c>
      <c r="BC909">
        <v>307</v>
      </c>
      <c r="BD909" t="s">
        <v>74</v>
      </c>
      <c r="BE909" t="s">
        <v>3201</v>
      </c>
      <c r="BF909" t="str">
        <f>HYPERLINK("http://dx.doi.org/10.1016/j.anbehav.2017.02.012","http://dx.doi.org/10.1016/j.anbehav.2017.02.012")</f>
        <v>http://dx.doi.org/10.1016/j.anbehav.2017.02.012</v>
      </c>
      <c r="BG909" t="s">
        <v>74</v>
      </c>
      <c r="BH909" t="s">
        <v>74</v>
      </c>
      <c r="BI909" t="s">
        <v>74</v>
      </c>
      <c r="BJ909" t="s">
        <v>74</v>
      </c>
      <c r="BK909" t="s">
        <v>74</v>
      </c>
      <c r="BL909" t="s">
        <v>74</v>
      </c>
      <c r="BM909" t="s">
        <v>74</v>
      </c>
      <c r="BN909" t="s">
        <v>74</v>
      </c>
      <c r="BO909" t="s">
        <v>74</v>
      </c>
      <c r="BP909" t="s">
        <v>74</v>
      </c>
      <c r="BQ909" t="s">
        <v>74</v>
      </c>
      <c r="BR909" t="s">
        <v>74</v>
      </c>
      <c r="BS909" t="s">
        <v>3202</v>
      </c>
      <c r="BT909" t="str">
        <f>HYPERLINK("https%3A%2F%2Fwww.webofscience.com%2Fwos%2Fwoscc%2Ffull-record%2FWOS:000400402700031","View Full Record in Web of Science")</f>
        <v>View Full Record in Web of Science</v>
      </c>
    </row>
    <row r="910" spans="1:72" x14ac:dyDescent="0.4">
      <c r="A910" t="s">
        <v>72</v>
      </c>
      <c r="B910" t="s">
        <v>636</v>
      </c>
      <c r="C910" t="s">
        <v>74</v>
      </c>
      <c r="D910" t="s">
        <v>74</v>
      </c>
      <c r="E910" t="s">
        <v>74</v>
      </c>
      <c r="F910" t="s">
        <v>636</v>
      </c>
      <c r="G910" t="s">
        <v>74</v>
      </c>
      <c r="H910" t="s">
        <v>74</v>
      </c>
      <c r="I910" t="s">
        <v>637</v>
      </c>
      <c r="J910" t="s">
        <v>312</v>
      </c>
      <c r="K910" t="s">
        <v>74</v>
      </c>
      <c r="L910" t="s">
        <v>74</v>
      </c>
      <c r="M910" t="s">
        <v>74</v>
      </c>
      <c r="N910" t="s">
        <v>74</v>
      </c>
      <c r="O910" t="s">
        <v>74</v>
      </c>
      <c r="P910" t="s">
        <v>74</v>
      </c>
      <c r="Q910" t="s">
        <v>74</v>
      </c>
      <c r="R910" t="s">
        <v>74</v>
      </c>
      <c r="S910" t="s">
        <v>74</v>
      </c>
      <c r="T910" t="s">
        <v>74</v>
      </c>
      <c r="U910" t="s">
        <v>74</v>
      </c>
      <c r="V910" s="3" t="s">
        <v>638</v>
      </c>
      <c r="W910" t="s">
        <v>74</v>
      </c>
      <c r="X910" t="s">
        <v>74</v>
      </c>
      <c r="Y910" t="s">
        <v>74</v>
      </c>
      <c r="Z910" t="s">
        <v>74</v>
      </c>
      <c r="AA910" t="s">
        <v>639</v>
      </c>
      <c r="AB910" t="s">
        <v>640</v>
      </c>
      <c r="AC910" t="s">
        <v>74</v>
      </c>
      <c r="AD910" t="s">
        <v>74</v>
      </c>
      <c r="AE910" t="s">
        <v>74</v>
      </c>
      <c r="AF910" t="s">
        <v>74</v>
      </c>
      <c r="AG910" t="s">
        <v>74</v>
      </c>
      <c r="AH910" t="s">
        <v>74</v>
      </c>
      <c r="AI910" t="s">
        <v>74</v>
      </c>
      <c r="AJ910" t="s">
        <v>74</v>
      </c>
      <c r="AK910" t="s">
        <v>74</v>
      </c>
      <c r="AL910" t="s">
        <v>74</v>
      </c>
      <c r="AM910" t="s">
        <v>74</v>
      </c>
      <c r="AN910" t="s">
        <v>74</v>
      </c>
      <c r="AO910" t="s">
        <v>314</v>
      </c>
      <c r="AP910" t="s">
        <v>74</v>
      </c>
      <c r="AQ910" t="s">
        <v>74</v>
      </c>
      <c r="AR910" t="s">
        <v>74</v>
      </c>
      <c r="AS910" t="s">
        <v>74</v>
      </c>
      <c r="AT910" t="s">
        <v>633</v>
      </c>
      <c r="AU910">
        <v>2001</v>
      </c>
      <c r="AV910">
        <v>157</v>
      </c>
      <c r="AW910">
        <v>4</v>
      </c>
      <c r="AX910" t="s">
        <v>74</v>
      </c>
      <c r="AY910" t="s">
        <v>74</v>
      </c>
      <c r="AZ910" t="s">
        <v>74</v>
      </c>
      <c r="BA910" t="s">
        <v>74</v>
      </c>
      <c r="BB910">
        <v>451</v>
      </c>
      <c r="BC910">
        <v>458</v>
      </c>
      <c r="BD910" t="s">
        <v>74</v>
      </c>
      <c r="BE910" t="s">
        <v>641</v>
      </c>
      <c r="BF910" t="str">
        <f>HYPERLINK("http://dx.doi.org/10.1086/319319","http://dx.doi.org/10.1086/319319")</f>
        <v>http://dx.doi.org/10.1086/319319</v>
      </c>
      <c r="BG910" t="s">
        <v>74</v>
      </c>
      <c r="BH910" t="s">
        <v>74</v>
      </c>
      <c r="BI910" t="s">
        <v>74</v>
      </c>
      <c r="BJ910" t="s">
        <v>74</v>
      </c>
      <c r="BK910" t="s">
        <v>74</v>
      </c>
      <c r="BL910" t="s">
        <v>74</v>
      </c>
      <c r="BM910" t="s">
        <v>74</v>
      </c>
      <c r="BN910">
        <v>18707253</v>
      </c>
      <c r="BO910" t="s">
        <v>74</v>
      </c>
      <c r="BP910" t="s">
        <v>74</v>
      </c>
      <c r="BQ910" t="s">
        <v>74</v>
      </c>
      <c r="BR910" t="s">
        <v>74</v>
      </c>
      <c r="BS910" t="s">
        <v>642</v>
      </c>
      <c r="BT910" t="str">
        <f>HYPERLINK("https%3A%2F%2Fwww.webofscience.com%2Fwos%2Fwoscc%2Ffull-record%2FWOS:000167830600007","View Full Record in Web of Science")</f>
        <v>View Full Record in Web of Science</v>
      </c>
    </row>
    <row r="911" spans="1:72" x14ac:dyDescent="0.4">
      <c r="A911" t="s">
        <v>72</v>
      </c>
      <c r="B911" t="s">
        <v>8156</v>
      </c>
      <c r="C911" t="s">
        <v>74</v>
      </c>
      <c r="D911" t="s">
        <v>74</v>
      </c>
      <c r="E911" t="s">
        <v>74</v>
      </c>
      <c r="F911" t="s">
        <v>8157</v>
      </c>
      <c r="G911" t="s">
        <v>74</v>
      </c>
      <c r="H911" t="s">
        <v>74</v>
      </c>
      <c r="I911" t="s">
        <v>8158</v>
      </c>
      <c r="J911" t="s">
        <v>775</v>
      </c>
      <c r="K911" t="s">
        <v>74</v>
      </c>
      <c r="L911" t="s">
        <v>74</v>
      </c>
      <c r="M911" t="s">
        <v>74</v>
      </c>
      <c r="N911" t="s">
        <v>74</v>
      </c>
      <c r="O911" t="s">
        <v>74</v>
      </c>
      <c r="P911" t="s">
        <v>74</v>
      </c>
      <c r="Q911" t="s">
        <v>74</v>
      </c>
      <c r="R911" t="s">
        <v>74</v>
      </c>
      <c r="S911" t="s">
        <v>74</v>
      </c>
      <c r="T911" t="s">
        <v>74</v>
      </c>
      <c r="U911" t="s">
        <v>74</v>
      </c>
      <c r="V911" s="3" t="s">
        <v>8159</v>
      </c>
      <c r="W911" t="s">
        <v>74</v>
      </c>
      <c r="X911" t="s">
        <v>74</v>
      </c>
      <c r="Y911" t="s">
        <v>74</v>
      </c>
      <c r="Z911" t="s">
        <v>74</v>
      </c>
      <c r="AA911" t="s">
        <v>74</v>
      </c>
      <c r="AB911" t="s">
        <v>74</v>
      </c>
      <c r="AC911" t="s">
        <v>74</v>
      </c>
      <c r="AD911" t="s">
        <v>74</v>
      </c>
      <c r="AE911" t="s">
        <v>74</v>
      </c>
      <c r="AF911" t="s">
        <v>74</v>
      </c>
      <c r="AG911" t="s">
        <v>74</v>
      </c>
      <c r="AH911" t="s">
        <v>74</v>
      </c>
      <c r="AI911" t="s">
        <v>74</v>
      </c>
      <c r="AJ911" t="s">
        <v>74</v>
      </c>
      <c r="AK911" t="s">
        <v>74</v>
      </c>
      <c r="AL911" t="s">
        <v>74</v>
      </c>
      <c r="AM911" t="s">
        <v>74</v>
      </c>
      <c r="AN911" t="s">
        <v>74</v>
      </c>
      <c r="AO911" t="s">
        <v>778</v>
      </c>
      <c r="AP911" t="s">
        <v>779</v>
      </c>
      <c r="AQ911" t="s">
        <v>74</v>
      </c>
      <c r="AR911" t="s">
        <v>74</v>
      </c>
      <c r="AS911" t="s">
        <v>74</v>
      </c>
      <c r="AT911" t="s">
        <v>102</v>
      </c>
      <c r="AU911">
        <v>2010</v>
      </c>
      <c r="AV911">
        <v>56</v>
      </c>
      <c r="AW911">
        <v>3</v>
      </c>
      <c r="AX911" t="s">
        <v>74</v>
      </c>
      <c r="AY911" t="s">
        <v>74</v>
      </c>
      <c r="AZ911" t="s">
        <v>848</v>
      </c>
      <c r="BA911" t="s">
        <v>74</v>
      </c>
      <c r="BB911">
        <v>343</v>
      </c>
      <c r="BC911">
        <v>357</v>
      </c>
      <c r="BD911" t="s">
        <v>74</v>
      </c>
      <c r="BE911" t="s">
        <v>8160</v>
      </c>
      <c r="BF911" t="str">
        <f>HYPERLINK("http://dx.doi.org/10.1093/czoolo/56.3.343","http://dx.doi.org/10.1093/czoolo/56.3.343")</f>
        <v>http://dx.doi.org/10.1093/czoolo/56.3.343</v>
      </c>
      <c r="BG911" t="s">
        <v>74</v>
      </c>
      <c r="BH911" t="s">
        <v>74</v>
      </c>
      <c r="BI911" t="s">
        <v>74</v>
      </c>
      <c r="BJ911" t="s">
        <v>74</v>
      </c>
      <c r="BK911" t="s">
        <v>74</v>
      </c>
      <c r="BL911" t="s">
        <v>74</v>
      </c>
      <c r="BM911" t="s">
        <v>74</v>
      </c>
      <c r="BN911" t="s">
        <v>74</v>
      </c>
      <c r="BO911" t="s">
        <v>74</v>
      </c>
      <c r="BP911" t="s">
        <v>74</v>
      </c>
      <c r="BQ911" t="s">
        <v>74</v>
      </c>
      <c r="BR911" t="s">
        <v>74</v>
      </c>
      <c r="BS911" t="s">
        <v>8161</v>
      </c>
      <c r="BT911" t="str">
        <f>HYPERLINK("https%3A%2F%2Fwww.webofscience.com%2Fwos%2Fwoscc%2Ffull-record%2FWOS:000278715600009","View Full Record in Web of Science")</f>
        <v>View Full Record in Web of Science</v>
      </c>
    </row>
    <row r="912" spans="1:72" x14ac:dyDescent="0.4">
      <c r="A912" t="s">
        <v>72</v>
      </c>
      <c r="B912" t="s">
        <v>3086</v>
      </c>
      <c r="C912" t="s">
        <v>74</v>
      </c>
      <c r="D912" t="s">
        <v>74</v>
      </c>
      <c r="E912" t="s">
        <v>74</v>
      </c>
      <c r="F912" t="s">
        <v>3087</v>
      </c>
      <c r="G912" t="s">
        <v>74</v>
      </c>
      <c r="H912" t="s">
        <v>74</v>
      </c>
      <c r="I912" t="s">
        <v>3088</v>
      </c>
      <c r="J912" t="s">
        <v>3089</v>
      </c>
      <c r="K912" t="s">
        <v>74</v>
      </c>
      <c r="L912" t="s">
        <v>74</v>
      </c>
      <c r="M912" t="s">
        <v>74</v>
      </c>
      <c r="N912" t="s">
        <v>74</v>
      </c>
      <c r="O912" t="s">
        <v>74</v>
      </c>
      <c r="P912" t="s">
        <v>74</v>
      </c>
      <c r="Q912" t="s">
        <v>74</v>
      </c>
      <c r="R912" t="s">
        <v>74</v>
      </c>
      <c r="S912" t="s">
        <v>74</v>
      </c>
      <c r="T912" t="s">
        <v>74</v>
      </c>
      <c r="U912" t="s">
        <v>74</v>
      </c>
      <c r="V912" s="3" t="s">
        <v>3090</v>
      </c>
      <c r="W912" t="s">
        <v>74</v>
      </c>
      <c r="X912" t="s">
        <v>74</v>
      </c>
      <c r="Y912" t="s">
        <v>74</v>
      </c>
      <c r="Z912" t="s">
        <v>74</v>
      </c>
      <c r="AA912" t="s">
        <v>3091</v>
      </c>
      <c r="AB912" t="s">
        <v>3092</v>
      </c>
      <c r="AC912" t="s">
        <v>74</v>
      </c>
      <c r="AD912" t="s">
        <v>74</v>
      </c>
      <c r="AE912" t="s">
        <v>74</v>
      </c>
      <c r="AF912" t="s">
        <v>74</v>
      </c>
      <c r="AG912" t="s">
        <v>74</v>
      </c>
      <c r="AH912" t="s">
        <v>74</v>
      </c>
      <c r="AI912" t="s">
        <v>74</v>
      </c>
      <c r="AJ912" t="s">
        <v>74</v>
      </c>
      <c r="AK912" t="s">
        <v>74</v>
      </c>
      <c r="AL912" t="s">
        <v>74</v>
      </c>
      <c r="AM912" t="s">
        <v>74</v>
      </c>
      <c r="AN912" t="s">
        <v>74</v>
      </c>
      <c r="AO912" t="s">
        <v>3093</v>
      </c>
      <c r="AP912" t="s">
        <v>3094</v>
      </c>
      <c r="AQ912" t="s">
        <v>74</v>
      </c>
      <c r="AR912" t="s">
        <v>74</v>
      </c>
      <c r="AS912" t="s">
        <v>74</v>
      </c>
      <c r="AT912" t="s">
        <v>134</v>
      </c>
      <c r="AU912">
        <v>2021</v>
      </c>
      <c r="AV912">
        <v>39</v>
      </c>
      <c r="AW912">
        <v>2</v>
      </c>
      <c r="AX912" t="s">
        <v>74</v>
      </c>
      <c r="AY912" t="s">
        <v>74</v>
      </c>
      <c r="AZ912" t="s">
        <v>74</v>
      </c>
      <c r="BA912" t="s">
        <v>74</v>
      </c>
      <c r="BB912">
        <v>179</v>
      </c>
      <c r="BC912">
        <v>189</v>
      </c>
      <c r="BD912" t="s">
        <v>74</v>
      </c>
      <c r="BE912" t="s">
        <v>3095</v>
      </c>
      <c r="BF912" t="str">
        <f>HYPERLINK("http://dx.doi.org/10.1007/s10164-021-00690-6","http://dx.doi.org/10.1007/s10164-021-00690-6")</f>
        <v>http://dx.doi.org/10.1007/s10164-021-00690-6</v>
      </c>
      <c r="BG912" t="s">
        <v>74</v>
      </c>
      <c r="BH912" t="s">
        <v>2411</v>
      </c>
      <c r="BI912" t="s">
        <v>74</v>
      </c>
      <c r="BJ912" t="s">
        <v>74</v>
      </c>
      <c r="BK912" t="s">
        <v>74</v>
      </c>
      <c r="BL912" t="s">
        <v>74</v>
      </c>
      <c r="BM912" t="s">
        <v>74</v>
      </c>
      <c r="BN912" t="s">
        <v>74</v>
      </c>
      <c r="BO912" t="s">
        <v>74</v>
      </c>
      <c r="BP912" t="s">
        <v>74</v>
      </c>
      <c r="BQ912" t="s">
        <v>74</v>
      </c>
      <c r="BR912" t="s">
        <v>74</v>
      </c>
      <c r="BS912" t="s">
        <v>3096</v>
      </c>
      <c r="BT912" t="str">
        <f>HYPERLINK("https%3A%2F%2Fwww.webofscience.com%2Fwos%2Fwoscc%2Ffull-record%2FWOS:000614674500001","View Full Record in Web of Science")</f>
        <v>View Full Record in Web of Science</v>
      </c>
    </row>
    <row r="913" spans="1:72" x14ac:dyDescent="0.4">
      <c r="A913" t="s">
        <v>72</v>
      </c>
      <c r="B913" t="s">
        <v>1663</v>
      </c>
      <c r="C913" t="s">
        <v>74</v>
      </c>
      <c r="D913" t="s">
        <v>74</v>
      </c>
      <c r="E913" t="s">
        <v>74</v>
      </c>
      <c r="F913" t="s">
        <v>1664</v>
      </c>
      <c r="G913" t="s">
        <v>74</v>
      </c>
      <c r="H913" t="s">
        <v>74</v>
      </c>
      <c r="I913" t="s">
        <v>1665</v>
      </c>
      <c r="J913" t="s">
        <v>229</v>
      </c>
      <c r="K913" t="s">
        <v>74</v>
      </c>
      <c r="L913" t="s">
        <v>74</v>
      </c>
      <c r="M913" t="s">
        <v>74</v>
      </c>
      <c r="N913" t="s">
        <v>74</v>
      </c>
      <c r="O913" t="s">
        <v>74</v>
      </c>
      <c r="P913" t="s">
        <v>74</v>
      </c>
      <c r="Q913" t="s">
        <v>74</v>
      </c>
      <c r="R913" t="s">
        <v>74</v>
      </c>
      <c r="S913" t="s">
        <v>74</v>
      </c>
      <c r="T913" t="s">
        <v>74</v>
      </c>
      <c r="U913" t="s">
        <v>74</v>
      </c>
      <c r="V913" s="3" t="s">
        <v>1666</v>
      </c>
      <c r="W913" t="s">
        <v>74</v>
      </c>
      <c r="X913" t="s">
        <v>74</v>
      </c>
      <c r="Y913" t="s">
        <v>74</v>
      </c>
      <c r="Z913" t="s">
        <v>74</v>
      </c>
      <c r="AA913" t="s">
        <v>1667</v>
      </c>
      <c r="AB913" t="s">
        <v>1668</v>
      </c>
      <c r="AC913" t="s">
        <v>74</v>
      </c>
      <c r="AD913" t="s">
        <v>74</v>
      </c>
      <c r="AE913" t="s">
        <v>74</v>
      </c>
      <c r="AF913" t="s">
        <v>74</v>
      </c>
      <c r="AG913" t="s">
        <v>74</v>
      </c>
      <c r="AH913" t="s">
        <v>74</v>
      </c>
      <c r="AI913" t="s">
        <v>74</v>
      </c>
      <c r="AJ913" t="s">
        <v>74</v>
      </c>
      <c r="AK913" t="s">
        <v>74</v>
      </c>
      <c r="AL913" t="s">
        <v>74</v>
      </c>
      <c r="AM913" t="s">
        <v>74</v>
      </c>
      <c r="AN913" t="s">
        <v>74</v>
      </c>
      <c r="AO913" t="s">
        <v>233</v>
      </c>
      <c r="AP913" t="s">
        <v>234</v>
      </c>
      <c r="AQ913" t="s">
        <v>74</v>
      </c>
      <c r="AR913" t="s">
        <v>74</v>
      </c>
      <c r="AS913" t="s">
        <v>74</v>
      </c>
      <c r="AT913" t="s">
        <v>808</v>
      </c>
      <c r="AU913">
        <v>2009</v>
      </c>
      <c r="AV913">
        <v>35</v>
      </c>
      <c r="AW913">
        <v>3</v>
      </c>
      <c r="AX913" t="s">
        <v>74</v>
      </c>
      <c r="AY913" t="s">
        <v>74</v>
      </c>
      <c r="AZ913" t="s">
        <v>74</v>
      </c>
      <c r="BA913" t="s">
        <v>74</v>
      </c>
      <c r="BB913">
        <v>274</v>
      </c>
      <c r="BC913">
        <v>283</v>
      </c>
      <c r="BD913" t="s">
        <v>74</v>
      </c>
      <c r="BE913" t="s">
        <v>1669</v>
      </c>
      <c r="BF913" t="str">
        <f>HYPERLINK("http://dx.doi.org/10.1002/ab.20305","http://dx.doi.org/10.1002/ab.20305")</f>
        <v>http://dx.doi.org/10.1002/ab.20305</v>
      </c>
      <c r="BG913" t="s">
        <v>74</v>
      </c>
      <c r="BH913" t="s">
        <v>74</v>
      </c>
      <c r="BI913" t="s">
        <v>74</v>
      </c>
      <c r="BJ913" t="s">
        <v>74</v>
      </c>
      <c r="BK913" t="s">
        <v>74</v>
      </c>
      <c r="BL913" t="s">
        <v>74</v>
      </c>
      <c r="BM913" t="s">
        <v>74</v>
      </c>
      <c r="BN913">
        <v>19291744</v>
      </c>
      <c r="BO913" t="s">
        <v>74</v>
      </c>
      <c r="BP913" t="s">
        <v>74</v>
      </c>
      <c r="BQ913" t="s">
        <v>74</v>
      </c>
      <c r="BR913" t="s">
        <v>74</v>
      </c>
      <c r="BS913" t="s">
        <v>1670</v>
      </c>
      <c r="BT913" t="str">
        <f>HYPERLINK("https%3A%2F%2Fwww.webofscience.com%2Fwos%2Fwoscc%2Ffull-record%2FWOS:000265331000006","View Full Record in Web of Science")</f>
        <v>View Full Record in Web of Science</v>
      </c>
    </row>
    <row r="914" spans="1:72" x14ac:dyDescent="0.4">
      <c r="A914" t="s">
        <v>72</v>
      </c>
      <c r="B914" t="s">
        <v>5122</v>
      </c>
      <c r="C914" t="s">
        <v>74</v>
      </c>
      <c r="D914" t="s">
        <v>74</v>
      </c>
      <c r="E914" t="s">
        <v>74</v>
      </c>
      <c r="F914" t="s">
        <v>5122</v>
      </c>
      <c r="G914" t="s">
        <v>74</v>
      </c>
      <c r="H914" t="s">
        <v>74</v>
      </c>
      <c r="I914" t="s">
        <v>5123</v>
      </c>
      <c r="J914" t="s">
        <v>2207</v>
      </c>
      <c r="K914" t="s">
        <v>74</v>
      </c>
      <c r="L914" t="s">
        <v>74</v>
      </c>
      <c r="M914" t="s">
        <v>74</v>
      </c>
      <c r="N914" t="s">
        <v>74</v>
      </c>
      <c r="O914" t="s">
        <v>74</v>
      </c>
      <c r="P914" t="s">
        <v>74</v>
      </c>
      <c r="Q914" t="s">
        <v>74</v>
      </c>
      <c r="R914" t="s">
        <v>74</v>
      </c>
      <c r="S914" t="s">
        <v>74</v>
      </c>
      <c r="T914" t="s">
        <v>74</v>
      </c>
      <c r="U914" t="s">
        <v>74</v>
      </c>
      <c r="V914" s="3" t="s">
        <v>5124</v>
      </c>
      <c r="W914" t="s">
        <v>74</v>
      </c>
      <c r="X914" t="s">
        <v>74</v>
      </c>
      <c r="Y914" t="s">
        <v>74</v>
      </c>
      <c r="Z914" t="s">
        <v>74</v>
      </c>
      <c r="AA914" t="s">
        <v>74</v>
      </c>
      <c r="AB914" t="s">
        <v>74</v>
      </c>
      <c r="AC914" t="s">
        <v>74</v>
      </c>
      <c r="AD914" t="s">
        <v>74</v>
      </c>
      <c r="AE914" t="s">
        <v>74</v>
      </c>
      <c r="AF914" t="s">
        <v>74</v>
      </c>
      <c r="AG914" t="s">
        <v>74</v>
      </c>
      <c r="AH914" t="s">
        <v>74</v>
      </c>
      <c r="AI914" t="s">
        <v>74</v>
      </c>
      <c r="AJ914" t="s">
        <v>74</v>
      </c>
      <c r="AK914" t="s">
        <v>74</v>
      </c>
      <c r="AL914" t="s">
        <v>74</v>
      </c>
      <c r="AM914" t="s">
        <v>74</v>
      </c>
      <c r="AN914" t="s">
        <v>74</v>
      </c>
      <c r="AO914" t="s">
        <v>2211</v>
      </c>
      <c r="AP914" t="s">
        <v>2461</v>
      </c>
      <c r="AQ914" t="s">
        <v>74</v>
      </c>
      <c r="AR914" t="s">
        <v>74</v>
      </c>
      <c r="AS914" t="s">
        <v>74</v>
      </c>
      <c r="AT914" t="s">
        <v>352</v>
      </c>
      <c r="AU914">
        <v>1997</v>
      </c>
      <c r="AV914">
        <v>28</v>
      </c>
      <c r="AW914">
        <v>3</v>
      </c>
      <c r="AX914" t="s">
        <v>74</v>
      </c>
      <c r="AY914" t="s">
        <v>74</v>
      </c>
      <c r="AZ914" t="s">
        <v>74</v>
      </c>
      <c r="BA914" t="s">
        <v>74</v>
      </c>
      <c r="BB914">
        <v>259</v>
      </c>
      <c r="BC914">
        <v>263</v>
      </c>
      <c r="BD914" t="s">
        <v>74</v>
      </c>
      <c r="BE914" t="s">
        <v>5125</v>
      </c>
      <c r="BF914" t="str">
        <f>HYPERLINK("http://dx.doi.org/10.2307/3676978","http://dx.doi.org/10.2307/3676978")</f>
        <v>http://dx.doi.org/10.2307/3676978</v>
      </c>
      <c r="BG914" t="s">
        <v>74</v>
      </c>
      <c r="BH914" t="s">
        <v>74</v>
      </c>
      <c r="BI914" t="s">
        <v>74</v>
      </c>
      <c r="BJ914" t="s">
        <v>74</v>
      </c>
      <c r="BK914" t="s">
        <v>74</v>
      </c>
      <c r="BL914" t="s">
        <v>74</v>
      </c>
      <c r="BM914" t="s">
        <v>74</v>
      </c>
      <c r="BN914" t="s">
        <v>74</v>
      </c>
      <c r="BO914" t="s">
        <v>74</v>
      </c>
      <c r="BP914" t="s">
        <v>74</v>
      </c>
      <c r="BQ914" t="s">
        <v>74</v>
      </c>
      <c r="BR914" t="s">
        <v>74</v>
      </c>
      <c r="BS914" t="s">
        <v>5126</v>
      </c>
      <c r="BT914" t="str">
        <f>HYPERLINK("https%3A%2F%2Fwww.webofscience.com%2Fwos%2Fwoscc%2Ffull-record%2FWOS:A1997XX48100010","View Full Record in Web of Science")</f>
        <v>View Full Record in Web of Science</v>
      </c>
    </row>
    <row r="915" spans="1:72" x14ac:dyDescent="0.4">
      <c r="A915" t="s">
        <v>72</v>
      </c>
      <c r="B915" t="s">
        <v>5234</v>
      </c>
      <c r="C915" t="s">
        <v>74</v>
      </c>
      <c r="D915" t="s">
        <v>74</v>
      </c>
      <c r="E915" t="s">
        <v>74</v>
      </c>
      <c r="F915" t="s">
        <v>5234</v>
      </c>
      <c r="G915" t="s">
        <v>74</v>
      </c>
      <c r="H915" t="s">
        <v>74</v>
      </c>
      <c r="I915" t="s">
        <v>5235</v>
      </c>
      <c r="J915" t="s">
        <v>140</v>
      </c>
      <c r="K915" t="s">
        <v>74</v>
      </c>
      <c r="L915" t="s">
        <v>74</v>
      </c>
      <c r="M915" t="s">
        <v>74</v>
      </c>
      <c r="N915" t="s">
        <v>74</v>
      </c>
      <c r="O915" t="s">
        <v>74</v>
      </c>
      <c r="P915" t="s">
        <v>74</v>
      </c>
      <c r="Q915" t="s">
        <v>74</v>
      </c>
      <c r="R915" t="s">
        <v>74</v>
      </c>
      <c r="S915" t="s">
        <v>74</v>
      </c>
      <c r="T915" t="s">
        <v>74</v>
      </c>
      <c r="U915" t="s">
        <v>74</v>
      </c>
      <c r="V915" s="3" t="s">
        <v>74</v>
      </c>
      <c r="W915" t="s">
        <v>74</v>
      </c>
      <c r="X915" t="s">
        <v>74</v>
      </c>
      <c r="Y915" t="s">
        <v>74</v>
      </c>
      <c r="Z915" t="s">
        <v>74</v>
      </c>
      <c r="AA915" t="s">
        <v>74</v>
      </c>
      <c r="AB915" t="s">
        <v>74</v>
      </c>
      <c r="AC915" t="s">
        <v>74</v>
      </c>
      <c r="AD915" t="s">
        <v>74</v>
      </c>
      <c r="AE915" t="s">
        <v>74</v>
      </c>
      <c r="AF915" t="s">
        <v>74</v>
      </c>
      <c r="AG915" t="s">
        <v>74</v>
      </c>
      <c r="AH915" t="s">
        <v>74</v>
      </c>
      <c r="AI915" t="s">
        <v>74</v>
      </c>
      <c r="AJ915" t="s">
        <v>74</v>
      </c>
      <c r="AK915" t="s">
        <v>74</v>
      </c>
      <c r="AL915" t="s">
        <v>74</v>
      </c>
      <c r="AM915" t="s">
        <v>74</v>
      </c>
      <c r="AN915" t="s">
        <v>74</v>
      </c>
      <c r="AO915" t="s">
        <v>143</v>
      </c>
      <c r="AP915" t="s">
        <v>74</v>
      </c>
      <c r="AQ915" t="s">
        <v>74</v>
      </c>
      <c r="AR915" t="s">
        <v>74</v>
      </c>
      <c r="AS915" t="s">
        <v>74</v>
      </c>
      <c r="AT915" t="s">
        <v>145</v>
      </c>
      <c r="AU915">
        <v>1992</v>
      </c>
      <c r="AV915">
        <v>44</v>
      </c>
      <c r="AW915">
        <v>2</v>
      </c>
      <c r="AX915" t="s">
        <v>74</v>
      </c>
      <c r="AY915" t="s">
        <v>74</v>
      </c>
      <c r="AZ915" t="s">
        <v>74</v>
      </c>
      <c r="BA915" t="s">
        <v>74</v>
      </c>
      <c r="BB915">
        <v>293</v>
      </c>
      <c r="BC915">
        <v>299</v>
      </c>
      <c r="BD915" t="s">
        <v>74</v>
      </c>
      <c r="BE915" t="s">
        <v>5236</v>
      </c>
      <c r="BF915" t="str">
        <f>HYPERLINK("http://dx.doi.org/10.1016/0003-3472(92)90035-8","http://dx.doi.org/10.1016/0003-3472(92)90035-8")</f>
        <v>http://dx.doi.org/10.1016/0003-3472(92)90035-8</v>
      </c>
      <c r="BG915" t="s">
        <v>74</v>
      </c>
      <c r="BH915" t="s">
        <v>74</v>
      </c>
      <c r="BI915" t="s">
        <v>74</v>
      </c>
      <c r="BJ915" t="s">
        <v>74</v>
      </c>
      <c r="BK915" t="s">
        <v>74</v>
      </c>
      <c r="BL915" t="s">
        <v>74</v>
      </c>
      <c r="BM915" t="s">
        <v>74</v>
      </c>
      <c r="BN915" t="s">
        <v>74</v>
      </c>
      <c r="BO915" t="s">
        <v>74</v>
      </c>
      <c r="BP915" t="s">
        <v>74</v>
      </c>
      <c r="BQ915" t="s">
        <v>74</v>
      </c>
      <c r="BR915" t="s">
        <v>74</v>
      </c>
      <c r="BS915" t="s">
        <v>5237</v>
      </c>
      <c r="BT915" t="str">
        <f>HYPERLINK("https%3A%2F%2Fwww.webofscience.com%2Fwos%2Fwoscc%2Ffull-record%2FWOS:A1992JK06900011","View Full Record in Web of Science")</f>
        <v>View Full Record in Web of Science</v>
      </c>
    </row>
    <row r="916" spans="1:72" x14ac:dyDescent="0.4">
      <c r="A916" t="s">
        <v>72</v>
      </c>
      <c r="B916" t="s">
        <v>8346</v>
      </c>
      <c r="C916" t="s">
        <v>74</v>
      </c>
      <c r="D916" t="s">
        <v>74</v>
      </c>
      <c r="E916" t="s">
        <v>74</v>
      </c>
      <c r="F916" t="s">
        <v>8347</v>
      </c>
      <c r="G916" t="s">
        <v>74</v>
      </c>
      <c r="H916" t="s">
        <v>74</v>
      </c>
      <c r="I916" t="s">
        <v>8348</v>
      </c>
      <c r="J916" t="s">
        <v>129</v>
      </c>
      <c r="K916" t="s">
        <v>74</v>
      </c>
      <c r="L916" t="s">
        <v>74</v>
      </c>
      <c r="M916" t="s">
        <v>74</v>
      </c>
      <c r="N916" t="s">
        <v>74</v>
      </c>
      <c r="O916" t="s">
        <v>74</v>
      </c>
      <c r="P916" t="s">
        <v>74</v>
      </c>
      <c r="Q916" t="s">
        <v>74</v>
      </c>
      <c r="R916" t="s">
        <v>74</v>
      </c>
      <c r="S916" t="s">
        <v>74</v>
      </c>
      <c r="T916" t="s">
        <v>74</v>
      </c>
      <c r="U916" t="s">
        <v>74</v>
      </c>
      <c r="V916" s="3" t="s">
        <v>8349</v>
      </c>
      <c r="W916" t="s">
        <v>74</v>
      </c>
      <c r="X916" t="s">
        <v>74</v>
      </c>
      <c r="Y916" t="s">
        <v>74</v>
      </c>
      <c r="Z916" t="s">
        <v>74</v>
      </c>
      <c r="AA916" t="s">
        <v>74</v>
      </c>
      <c r="AB916" t="s">
        <v>74</v>
      </c>
      <c r="AC916" t="s">
        <v>74</v>
      </c>
      <c r="AD916" t="s">
        <v>74</v>
      </c>
      <c r="AE916" t="s">
        <v>74</v>
      </c>
      <c r="AF916" t="s">
        <v>74</v>
      </c>
      <c r="AG916" t="s">
        <v>74</v>
      </c>
      <c r="AH916" t="s">
        <v>74</v>
      </c>
      <c r="AI916" t="s">
        <v>74</v>
      </c>
      <c r="AJ916" t="s">
        <v>74</v>
      </c>
      <c r="AK916" t="s">
        <v>74</v>
      </c>
      <c r="AL916" t="s">
        <v>74</v>
      </c>
      <c r="AM916" t="s">
        <v>74</v>
      </c>
      <c r="AN916" t="s">
        <v>74</v>
      </c>
      <c r="AO916" t="s">
        <v>132</v>
      </c>
      <c r="AP916" t="s">
        <v>74</v>
      </c>
      <c r="AQ916" t="s">
        <v>74</v>
      </c>
      <c r="AR916" t="s">
        <v>74</v>
      </c>
      <c r="AS916" t="s">
        <v>74</v>
      </c>
      <c r="AT916" t="s">
        <v>204</v>
      </c>
      <c r="AU916">
        <v>2007</v>
      </c>
      <c r="AV916">
        <v>61</v>
      </c>
      <c r="AW916">
        <v>9</v>
      </c>
      <c r="AX916" t="s">
        <v>74</v>
      </c>
      <c r="AY916" t="s">
        <v>74</v>
      </c>
      <c r="AZ916" t="s">
        <v>74</v>
      </c>
      <c r="BA916" t="s">
        <v>74</v>
      </c>
      <c r="BB916">
        <v>1359</v>
      </c>
      <c r="BC916">
        <v>1368</v>
      </c>
      <c r="BD916" t="s">
        <v>74</v>
      </c>
      <c r="BE916" t="s">
        <v>8350</v>
      </c>
      <c r="BF916" t="str">
        <f>HYPERLINK("http://dx.doi.org/10.1007/s00265-007-0366-6","http://dx.doi.org/10.1007/s00265-007-0366-6")</f>
        <v>http://dx.doi.org/10.1007/s00265-007-0366-6</v>
      </c>
      <c r="BG916" t="s">
        <v>74</v>
      </c>
      <c r="BH916" t="s">
        <v>74</v>
      </c>
      <c r="BI916" t="s">
        <v>74</v>
      </c>
      <c r="BJ916" t="s">
        <v>74</v>
      </c>
      <c r="BK916" t="s">
        <v>74</v>
      </c>
      <c r="BL916" t="s">
        <v>74</v>
      </c>
      <c r="BM916" t="s">
        <v>74</v>
      </c>
      <c r="BN916" t="s">
        <v>74</v>
      </c>
      <c r="BO916" t="s">
        <v>74</v>
      </c>
      <c r="BP916" t="s">
        <v>74</v>
      </c>
      <c r="BQ916" t="s">
        <v>74</v>
      </c>
      <c r="BR916" t="s">
        <v>74</v>
      </c>
      <c r="BS916" t="s">
        <v>8351</v>
      </c>
      <c r="BT916" t="str">
        <f>HYPERLINK("https%3A%2F%2Fwww.webofscience.com%2Fwos%2Fwoscc%2Ffull-record%2FWOS:000247256000005","View Full Record in Web of Science")</f>
        <v>View Full Record in Web of Science</v>
      </c>
    </row>
    <row r="917" spans="1:72" x14ac:dyDescent="0.4">
      <c r="A917" t="s">
        <v>72</v>
      </c>
      <c r="B917" t="s">
        <v>8373</v>
      </c>
      <c r="C917" t="s">
        <v>74</v>
      </c>
      <c r="D917" t="s">
        <v>74</v>
      </c>
      <c r="E917" t="s">
        <v>74</v>
      </c>
      <c r="F917" t="s">
        <v>8373</v>
      </c>
      <c r="G917" t="s">
        <v>74</v>
      </c>
      <c r="H917" t="s">
        <v>74</v>
      </c>
      <c r="I917" t="s">
        <v>8374</v>
      </c>
      <c r="J917" t="s">
        <v>333</v>
      </c>
      <c r="K917" t="s">
        <v>74</v>
      </c>
      <c r="L917" t="s">
        <v>74</v>
      </c>
      <c r="M917" t="s">
        <v>74</v>
      </c>
      <c r="N917" t="s">
        <v>74</v>
      </c>
      <c r="O917" t="s">
        <v>74</v>
      </c>
      <c r="P917" t="s">
        <v>74</v>
      </c>
      <c r="Q917" t="s">
        <v>74</v>
      </c>
      <c r="R917" t="s">
        <v>74</v>
      </c>
      <c r="S917" t="s">
        <v>74</v>
      </c>
      <c r="T917" t="s">
        <v>74</v>
      </c>
      <c r="U917" t="s">
        <v>74</v>
      </c>
      <c r="V917" s="3" t="s">
        <v>8375</v>
      </c>
      <c r="W917" t="s">
        <v>74</v>
      </c>
      <c r="X917" t="s">
        <v>74</v>
      </c>
      <c r="Y917" t="s">
        <v>74</v>
      </c>
      <c r="Z917" t="s">
        <v>74</v>
      </c>
      <c r="AA917" t="s">
        <v>8376</v>
      </c>
      <c r="AB917" t="s">
        <v>1934</v>
      </c>
      <c r="AC917" t="s">
        <v>74</v>
      </c>
      <c r="AD917" t="s">
        <v>74</v>
      </c>
      <c r="AE917" t="s">
        <v>74</v>
      </c>
      <c r="AF917" t="s">
        <v>74</v>
      </c>
      <c r="AG917" t="s">
        <v>74</v>
      </c>
      <c r="AH917" t="s">
        <v>74</v>
      </c>
      <c r="AI917" t="s">
        <v>74</v>
      </c>
      <c r="AJ917" t="s">
        <v>74</v>
      </c>
      <c r="AK917" t="s">
        <v>74</v>
      </c>
      <c r="AL917" t="s">
        <v>74</v>
      </c>
      <c r="AM917" t="s">
        <v>74</v>
      </c>
      <c r="AN917" t="s">
        <v>74</v>
      </c>
      <c r="AO917" t="s">
        <v>337</v>
      </c>
      <c r="AP917" t="s">
        <v>338</v>
      </c>
      <c r="AQ917" t="s">
        <v>74</v>
      </c>
      <c r="AR917" t="s">
        <v>74</v>
      </c>
      <c r="AS917" t="s">
        <v>74</v>
      </c>
      <c r="AT917" t="s">
        <v>3338</v>
      </c>
      <c r="AU917">
        <v>1996</v>
      </c>
      <c r="AV917">
        <v>7</v>
      </c>
      <c r="AW917">
        <v>2</v>
      </c>
      <c r="AX917" t="s">
        <v>74</v>
      </c>
      <c r="AY917" t="s">
        <v>74</v>
      </c>
      <c r="AZ917" t="s">
        <v>74</v>
      </c>
      <c r="BA917" t="s">
        <v>74</v>
      </c>
      <c r="BB917">
        <v>145</v>
      </c>
      <c r="BC917">
        <v>150</v>
      </c>
      <c r="BD917" t="s">
        <v>74</v>
      </c>
      <c r="BE917" t="s">
        <v>8377</v>
      </c>
      <c r="BF917" t="str">
        <f>HYPERLINK("http://dx.doi.org/10.1093/beheco/7.2.145","http://dx.doi.org/10.1093/beheco/7.2.145")</f>
        <v>http://dx.doi.org/10.1093/beheco/7.2.145</v>
      </c>
      <c r="BG917" t="s">
        <v>74</v>
      </c>
      <c r="BH917" t="s">
        <v>74</v>
      </c>
      <c r="BI917" t="s">
        <v>74</v>
      </c>
      <c r="BJ917" t="s">
        <v>74</v>
      </c>
      <c r="BK917" t="s">
        <v>74</v>
      </c>
      <c r="BL917" t="s">
        <v>74</v>
      </c>
      <c r="BM917" t="s">
        <v>74</v>
      </c>
      <c r="BN917" t="s">
        <v>74</v>
      </c>
      <c r="BO917" t="s">
        <v>74</v>
      </c>
      <c r="BP917" t="s">
        <v>74</v>
      </c>
      <c r="BQ917" t="s">
        <v>74</v>
      </c>
      <c r="BR917" t="s">
        <v>74</v>
      </c>
      <c r="BS917" t="s">
        <v>8378</v>
      </c>
      <c r="BT917" t="str">
        <f>HYPERLINK("https%3A%2F%2Fwww.webofscience.com%2Fwos%2Fwoscc%2Ffull-record%2FWOS:A1996UK92900006","View Full Record in Web of Science")</f>
        <v>View Full Record in Web of Science</v>
      </c>
    </row>
    <row r="918" spans="1:72" x14ac:dyDescent="0.4">
      <c r="A918" t="s">
        <v>72</v>
      </c>
      <c r="B918" t="s">
        <v>4262</v>
      </c>
      <c r="C918" t="s">
        <v>74</v>
      </c>
      <c r="D918" t="s">
        <v>74</v>
      </c>
      <c r="E918" t="s">
        <v>74</v>
      </c>
      <c r="F918" t="s">
        <v>4263</v>
      </c>
      <c r="G918" t="s">
        <v>74</v>
      </c>
      <c r="H918" t="s">
        <v>74</v>
      </c>
      <c r="I918" t="s">
        <v>4264</v>
      </c>
      <c r="J918" t="s">
        <v>241</v>
      </c>
      <c r="K918" t="s">
        <v>74</v>
      </c>
      <c r="L918" t="s">
        <v>74</v>
      </c>
      <c r="M918" t="s">
        <v>74</v>
      </c>
      <c r="N918" t="s">
        <v>74</v>
      </c>
      <c r="O918" t="s">
        <v>74</v>
      </c>
      <c r="P918" t="s">
        <v>74</v>
      </c>
      <c r="Q918" t="s">
        <v>74</v>
      </c>
      <c r="R918" t="s">
        <v>74</v>
      </c>
      <c r="S918" t="s">
        <v>74</v>
      </c>
      <c r="T918" t="s">
        <v>74</v>
      </c>
      <c r="U918" t="s">
        <v>74</v>
      </c>
      <c r="V918" s="3" t="s">
        <v>4265</v>
      </c>
      <c r="W918" t="s">
        <v>74</v>
      </c>
      <c r="X918" t="s">
        <v>74</v>
      </c>
      <c r="Y918" t="s">
        <v>74</v>
      </c>
      <c r="Z918" t="s">
        <v>74</v>
      </c>
      <c r="AA918" t="s">
        <v>4266</v>
      </c>
      <c r="AB918" t="s">
        <v>4267</v>
      </c>
      <c r="AC918" t="s">
        <v>74</v>
      </c>
      <c r="AD918" t="s">
        <v>74</v>
      </c>
      <c r="AE918" t="s">
        <v>74</v>
      </c>
      <c r="AF918" t="s">
        <v>74</v>
      </c>
      <c r="AG918" t="s">
        <v>74</v>
      </c>
      <c r="AH918" t="s">
        <v>74</v>
      </c>
      <c r="AI918" t="s">
        <v>74</v>
      </c>
      <c r="AJ918" t="s">
        <v>74</v>
      </c>
      <c r="AK918" t="s">
        <v>74</v>
      </c>
      <c r="AL918" t="s">
        <v>74</v>
      </c>
      <c r="AM918" t="s">
        <v>74</v>
      </c>
      <c r="AN918" t="s">
        <v>74</v>
      </c>
      <c r="AO918" t="s">
        <v>245</v>
      </c>
      <c r="AP918" t="s">
        <v>246</v>
      </c>
      <c r="AQ918" t="s">
        <v>74</v>
      </c>
      <c r="AR918" t="s">
        <v>74</v>
      </c>
      <c r="AS918" t="s">
        <v>74</v>
      </c>
      <c r="AT918" t="s">
        <v>255</v>
      </c>
      <c r="AU918">
        <v>2013</v>
      </c>
      <c r="AV918">
        <v>171</v>
      </c>
      <c r="AW918">
        <v>1</v>
      </c>
      <c r="AX918" t="s">
        <v>74</v>
      </c>
      <c r="AY918" t="s">
        <v>74</v>
      </c>
      <c r="AZ918" t="s">
        <v>74</v>
      </c>
      <c r="BA918" t="s">
        <v>74</v>
      </c>
      <c r="BB918">
        <v>105</v>
      </c>
      <c r="BC918">
        <v>113</v>
      </c>
      <c r="BD918" t="s">
        <v>74</v>
      </c>
      <c r="BE918" t="s">
        <v>4268</v>
      </c>
      <c r="BF918" t="str">
        <f>HYPERLINK("http://dx.doi.org/10.1007/s00442-012-2388-7","http://dx.doi.org/10.1007/s00442-012-2388-7")</f>
        <v>http://dx.doi.org/10.1007/s00442-012-2388-7</v>
      </c>
      <c r="BG918" t="s">
        <v>74</v>
      </c>
      <c r="BH918" t="s">
        <v>74</v>
      </c>
      <c r="BI918" t="s">
        <v>74</v>
      </c>
      <c r="BJ918" t="s">
        <v>74</v>
      </c>
      <c r="BK918" t="s">
        <v>74</v>
      </c>
      <c r="BL918" t="s">
        <v>74</v>
      </c>
      <c r="BM918" t="s">
        <v>74</v>
      </c>
      <c r="BN918">
        <v>22710614</v>
      </c>
      <c r="BO918" t="s">
        <v>74</v>
      </c>
      <c r="BP918" t="s">
        <v>74</v>
      </c>
      <c r="BQ918" t="s">
        <v>74</v>
      </c>
      <c r="BR918" t="s">
        <v>74</v>
      </c>
      <c r="BS918" t="s">
        <v>4269</v>
      </c>
      <c r="BT918" t="str">
        <f>HYPERLINK("https%3A%2F%2Fwww.webofscience.com%2Fwos%2Fwoscc%2Ffull-record%2FWOS:000313079100010","View Full Record in Web of Science")</f>
        <v>View Full Record in Web of Science</v>
      </c>
    </row>
    <row r="919" spans="1:72" x14ac:dyDescent="0.4">
      <c r="A919" t="s">
        <v>72</v>
      </c>
      <c r="B919" t="s">
        <v>6284</v>
      </c>
      <c r="C919" t="s">
        <v>74</v>
      </c>
      <c r="D919" t="s">
        <v>74</v>
      </c>
      <c r="E919" t="s">
        <v>74</v>
      </c>
      <c r="F919" t="s">
        <v>6285</v>
      </c>
      <c r="G919" t="s">
        <v>74</v>
      </c>
      <c r="H919" t="s">
        <v>74</v>
      </c>
      <c r="I919" t="s">
        <v>6286</v>
      </c>
      <c r="J919" t="s">
        <v>1656</v>
      </c>
      <c r="K919" t="s">
        <v>74</v>
      </c>
      <c r="L919" t="s">
        <v>74</v>
      </c>
      <c r="M919" t="s">
        <v>74</v>
      </c>
      <c r="N919" t="s">
        <v>74</v>
      </c>
      <c r="O919" t="s">
        <v>74</v>
      </c>
      <c r="P919" t="s">
        <v>74</v>
      </c>
      <c r="Q919" t="s">
        <v>74</v>
      </c>
      <c r="R919" t="s">
        <v>74</v>
      </c>
      <c r="S919" t="s">
        <v>74</v>
      </c>
      <c r="T919" t="s">
        <v>74</v>
      </c>
      <c r="U919" t="s">
        <v>74</v>
      </c>
      <c r="V919" s="3" t="s">
        <v>6287</v>
      </c>
      <c r="W919" t="s">
        <v>74</v>
      </c>
      <c r="X919" t="s">
        <v>74</v>
      </c>
      <c r="Y919" t="s">
        <v>74</v>
      </c>
      <c r="Z919" t="s">
        <v>74</v>
      </c>
      <c r="AA919" t="s">
        <v>74</v>
      </c>
      <c r="AB919" t="s">
        <v>74</v>
      </c>
      <c r="AC919" t="s">
        <v>74</v>
      </c>
      <c r="AD919" t="s">
        <v>74</v>
      </c>
      <c r="AE919" t="s">
        <v>74</v>
      </c>
      <c r="AF919" t="s">
        <v>74</v>
      </c>
      <c r="AG919" t="s">
        <v>74</v>
      </c>
      <c r="AH919" t="s">
        <v>74</v>
      </c>
      <c r="AI919" t="s">
        <v>74</v>
      </c>
      <c r="AJ919" t="s">
        <v>74</v>
      </c>
      <c r="AK919" t="s">
        <v>74</v>
      </c>
      <c r="AL919" t="s">
        <v>74</v>
      </c>
      <c r="AM919" t="s">
        <v>74</v>
      </c>
      <c r="AN919" t="s">
        <v>74</v>
      </c>
      <c r="AO919" t="s">
        <v>1658</v>
      </c>
      <c r="AP919" t="s">
        <v>1659</v>
      </c>
      <c r="AQ919" t="s">
        <v>74</v>
      </c>
      <c r="AR919" t="s">
        <v>74</v>
      </c>
      <c r="AS919" t="s">
        <v>74</v>
      </c>
      <c r="AT919" t="s">
        <v>6288</v>
      </c>
      <c r="AU919">
        <v>2010</v>
      </c>
      <c r="AV919" t="s">
        <v>74</v>
      </c>
      <c r="AW919">
        <v>2355</v>
      </c>
      <c r="AX919" t="s">
        <v>74</v>
      </c>
      <c r="AY919" t="s">
        <v>74</v>
      </c>
      <c r="AZ919" t="s">
        <v>74</v>
      </c>
      <c r="BA919" t="s">
        <v>74</v>
      </c>
      <c r="BB919">
        <v>56</v>
      </c>
      <c r="BC919">
        <v>68</v>
      </c>
      <c r="BD919" t="s">
        <v>74</v>
      </c>
      <c r="BE919" t="s">
        <v>74</v>
      </c>
      <c r="BF919" t="s">
        <v>74</v>
      </c>
      <c r="BG919" t="s">
        <v>74</v>
      </c>
      <c r="BH919" t="s">
        <v>74</v>
      </c>
      <c r="BI919" t="s">
        <v>74</v>
      </c>
      <c r="BJ919" t="s">
        <v>74</v>
      </c>
      <c r="BK919" t="s">
        <v>74</v>
      </c>
      <c r="BL919" t="s">
        <v>74</v>
      </c>
      <c r="BM919" t="s">
        <v>74</v>
      </c>
      <c r="BN919" t="s">
        <v>74</v>
      </c>
      <c r="BO919" t="s">
        <v>74</v>
      </c>
      <c r="BP919" t="s">
        <v>74</v>
      </c>
      <c r="BQ919" t="s">
        <v>74</v>
      </c>
      <c r="BR919" t="s">
        <v>74</v>
      </c>
      <c r="BS919" t="s">
        <v>6289</v>
      </c>
      <c r="BT919" t="str">
        <f>HYPERLINK("https%3A%2F%2Fwww.webofscience.com%2Fwos%2Fwoscc%2Ffull-record%2FWOS:000274639400003","View Full Record in Web of Science")</f>
        <v>View Full Record in Web of Science</v>
      </c>
    </row>
    <row r="920" spans="1:72" x14ac:dyDescent="0.4">
      <c r="A920" t="s">
        <v>72</v>
      </c>
      <c r="B920" t="s">
        <v>5595</v>
      </c>
      <c r="C920" t="s">
        <v>74</v>
      </c>
      <c r="D920" t="s">
        <v>74</v>
      </c>
      <c r="E920" t="s">
        <v>74</v>
      </c>
      <c r="F920" t="s">
        <v>5596</v>
      </c>
      <c r="G920" t="s">
        <v>74</v>
      </c>
      <c r="H920" t="s">
        <v>74</v>
      </c>
      <c r="I920" t="s">
        <v>5597</v>
      </c>
      <c r="J920" t="s">
        <v>1044</v>
      </c>
      <c r="K920" t="s">
        <v>74</v>
      </c>
      <c r="L920" t="s">
        <v>74</v>
      </c>
      <c r="M920" t="s">
        <v>74</v>
      </c>
      <c r="N920" t="s">
        <v>74</v>
      </c>
      <c r="O920" t="s">
        <v>74</v>
      </c>
      <c r="P920" t="s">
        <v>74</v>
      </c>
      <c r="Q920" t="s">
        <v>74</v>
      </c>
      <c r="R920" t="s">
        <v>74</v>
      </c>
      <c r="S920" t="s">
        <v>74</v>
      </c>
      <c r="T920" t="s">
        <v>74</v>
      </c>
      <c r="U920" t="s">
        <v>74</v>
      </c>
      <c r="V920" s="3" t="s">
        <v>5598</v>
      </c>
      <c r="W920" t="s">
        <v>74</v>
      </c>
      <c r="X920" t="s">
        <v>74</v>
      </c>
      <c r="Y920" t="s">
        <v>74</v>
      </c>
      <c r="Z920" t="s">
        <v>74</v>
      </c>
      <c r="AA920" t="s">
        <v>5599</v>
      </c>
      <c r="AB920" t="s">
        <v>5600</v>
      </c>
      <c r="AC920" t="s">
        <v>74</v>
      </c>
      <c r="AD920" t="s">
        <v>74</v>
      </c>
      <c r="AE920" t="s">
        <v>74</v>
      </c>
      <c r="AF920" t="s">
        <v>74</v>
      </c>
      <c r="AG920" t="s">
        <v>74</v>
      </c>
      <c r="AH920" t="s">
        <v>74</v>
      </c>
      <c r="AI920" t="s">
        <v>74</v>
      </c>
      <c r="AJ920" t="s">
        <v>74</v>
      </c>
      <c r="AK920" t="s">
        <v>74</v>
      </c>
      <c r="AL920" t="s">
        <v>74</v>
      </c>
      <c r="AM920" t="s">
        <v>74</v>
      </c>
      <c r="AN920" t="s">
        <v>74</v>
      </c>
      <c r="AO920" t="s">
        <v>1048</v>
      </c>
      <c r="AP920" t="s">
        <v>1049</v>
      </c>
      <c r="AQ920" t="s">
        <v>74</v>
      </c>
      <c r="AR920" t="s">
        <v>74</v>
      </c>
      <c r="AS920" t="s">
        <v>74</v>
      </c>
      <c r="AT920" t="s">
        <v>352</v>
      </c>
      <c r="AU920">
        <v>2015</v>
      </c>
      <c r="AV920">
        <v>24</v>
      </c>
      <c r="AW920">
        <v>18</v>
      </c>
      <c r="AX920" t="s">
        <v>74</v>
      </c>
      <c r="AY920" t="s">
        <v>74</v>
      </c>
      <c r="AZ920" t="s">
        <v>74</v>
      </c>
      <c r="BA920" t="s">
        <v>74</v>
      </c>
      <c r="BB920">
        <v>4679</v>
      </c>
      <c r="BC920">
        <v>4696</v>
      </c>
      <c r="BD920" t="s">
        <v>74</v>
      </c>
      <c r="BE920" t="s">
        <v>5601</v>
      </c>
      <c r="BF920" t="str">
        <f>HYPERLINK("http://dx.doi.org/10.1111/mec.13346","http://dx.doi.org/10.1111/mec.13346")</f>
        <v>http://dx.doi.org/10.1111/mec.13346</v>
      </c>
      <c r="BG920" t="s">
        <v>74</v>
      </c>
      <c r="BH920" t="s">
        <v>74</v>
      </c>
      <c r="BI920" t="s">
        <v>74</v>
      </c>
      <c r="BJ920" t="s">
        <v>74</v>
      </c>
      <c r="BK920" t="s">
        <v>74</v>
      </c>
      <c r="BL920" t="s">
        <v>74</v>
      </c>
      <c r="BM920" t="s">
        <v>74</v>
      </c>
      <c r="BN920">
        <v>26289828</v>
      </c>
      <c r="BO920" t="s">
        <v>74</v>
      </c>
      <c r="BP920" t="s">
        <v>74</v>
      </c>
      <c r="BQ920" t="s">
        <v>74</v>
      </c>
      <c r="BR920" t="s">
        <v>74</v>
      </c>
      <c r="BS920" t="s">
        <v>5602</v>
      </c>
      <c r="BT920" t="str">
        <f>HYPERLINK("https%3A%2F%2Fwww.webofscience.com%2Fwos%2Fwoscc%2Ffull-record%2FWOS:000361555900008","View Full Record in Web of Science")</f>
        <v>View Full Record in Web of Science</v>
      </c>
    </row>
    <row r="921" spans="1:72" x14ac:dyDescent="0.4">
      <c r="A921" t="s">
        <v>72</v>
      </c>
      <c r="B921" t="s">
        <v>1851</v>
      </c>
      <c r="C921" t="s">
        <v>74</v>
      </c>
      <c r="D921" t="s">
        <v>74</v>
      </c>
      <c r="E921" t="s">
        <v>74</v>
      </c>
      <c r="F921" t="s">
        <v>1852</v>
      </c>
      <c r="G921" t="s">
        <v>74</v>
      </c>
      <c r="H921" t="s">
        <v>74</v>
      </c>
      <c r="I921" t="s">
        <v>1853</v>
      </c>
      <c r="J921" t="s">
        <v>1854</v>
      </c>
      <c r="K921" t="s">
        <v>74</v>
      </c>
      <c r="L921" t="s">
        <v>74</v>
      </c>
      <c r="M921" t="s">
        <v>74</v>
      </c>
      <c r="N921" t="s">
        <v>74</v>
      </c>
      <c r="O921" t="s">
        <v>74</v>
      </c>
      <c r="P921" t="s">
        <v>74</v>
      </c>
      <c r="Q921" t="s">
        <v>74</v>
      </c>
      <c r="R921" t="s">
        <v>74</v>
      </c>
      <c r="S921" t="s">
        <v>74</v>
      </c>
      <c r="T921" t="s">
        <v>74</v>
      </c>
      <c r="U921" t="s">
        <v>74</v>
      </c>
      <c r="V921" s="3" t="s">
        <v>1855</v>
      </c>
      <c r="W921" t="s">
        <v>74</v>
      </c>
      <c r="X921" t="s">
        <v>74</v>
      </c>
      <c r="Y921" t="s">
        <v>74</v>
      </c>
      <c r="Z921" t="s">
        <v>74</v>
      </c>
      <c r="AA921" t="s">
        <v>1856</v>
      </c>
      <c r="AB921" t="s">
        <v>1857</v>
      </c>
      <c r="AC921" t="s">
        <v>74</v>
      </c>
      <c r="AD921" t="s">
        <v>74</v>
      </c>
      <c r="AE921" t="s">
        <v>74</v>
      </c>
      <c r="AF921" t="s">
        <v>74</v>
      </c>
      <c r="AG921" t="s">
        <v>74</v>
      </c>
      <c r="AH921" t="s">
        <v>74</v>
      </c>
      <c r="AI921" t="s">
        <v>74</v>
      </c>
      <c r="AJ921" t="s">
        <v>74</v>
      </c>
      <c r="AK921" t="s">
        <v>74</v>
      </c>
      <c r="AL921" t="s">
        <v>74</v>
      </c>
      <c r="AM921" t="s">
        <v>74</v>
      </c>
      <c r="AN921" t="s">
        <v>74</v>
      </c>
      <c r="AO921" t="s">
        <v>1858</v>
      </c>
      <c r="AP921" t="s">
        <v>1859</v>
      </c>
      <c r="AQ921" t="s">
        <v>74</v>
      </c>
      <c r="AR921" t="s">
        <v>74</v>
      </c>
      <c r="AS921" t="s">
        <v>74</v>
      </c>
      <c r="AT921" t="s">
        <v>305</v>
      </c>
      <c r="AU921">
        <v>2016</v>
      </c>
      <c r="AV921">
        <v>45</v>
      </c>
      <c r="AW921">
        <v>6</v>
      </c>
      <c r="AX921" t="s">
        <v>74</v>
      </c>
      <c r="AY921" t="s">
        <v>74</v>
      </c>
      <c r="AZ921" t="s">
        <v>74</v>
      </c>
      <c r="BA921" t="s">
        <v>74</v>
      </c>
      <c r="BB921">
        <v>658</v>
      </c>
      <c r="BC921">
        <v>664</v>
      </c>
      <c r="BD921" t="s">
        <v>74</v>
      </c>
      <c r="BE921" t="s">
        <v>1860</v>
      </c>
      <c r="BF921" t="str">
        <f>HYPERLINK("http://dx.doi.org/10.1007/s13744-016-0417-7","http://dx.doi.org/10.1007/s13744-016-0417-7")</f>
        <v>http://dx.doi.org/10.1007/s13744-016-0417-7</v>
      </c>
      <c r="BG921" t="s">
        <v>74</v>
      </c>
      <c r="BH921" t="s">
        <v>74</v>
      </c>
      <c r="BI921" t="s">
        <v>74</v>
      </c>
      <c r="BJ921" t="s">
        <v>74</v>
      </c>
      <c r="BK921" t="s">
        <v>74</v>
      </c>
      <c r="BL921" t="s">
        <v>74</v>
      </c>
      <c r="BM921" t="s">
        <v>74</v>
      </c>
      <c r="BN921">
        <v>27379758</v>
      </c>
      <c r="BO921" t="s">
        <v>74</v>
      </c>
      <c r="BP921" t="s">
        <v>74</v>
      </c>
      <c r="BQ921" t="s">
        <v>74</v>
      </c>
      <c r="BR921" t="s">
        <v>74</v>
      </c>
      <c r="BS921" t="s">
        <v>1861</v>
      </c>
      <c r="BT921" t="str">
        <f>HYPERLINK("https%3A%2F%2Fwww.webofscience.com%2Fwos%2Fwoscc%2Ffull-record%2FWOS:000389000400006","View Full Record in Web of Science")</f>
        <v>View Full Record in Web of Science</v>
      </c>
    </row>
    <row r="922" spans="1:72" x14ac:dyDescent="0.4">
      <c r="A922" t="s">
        <v>72</v>
      </c>
      <c r="B922" t="s">
        <v>1868</v>
      </c>
      <c r="C922" t="s">
        <v>74</v>
      </c>
      <c r="D922" t="s">
        <v>74</v>
      </c>
      <c r="E922" t="s">
        <v>74</v>
      </c>
      <c r="F922" t="s">
        <v>1869</v>
      </c>
      <c r="G922" t="s">
        <v>74</v>
      </c>
      <c r="H922" t="s">
        <v>74</v>
      </c>
      <c r="I922" t="s">
        <v>1870</v>
      </c>
      <c r="J922" t="s">
        <v>731</v>
      </c>
      <c r="K922" t="s">
        <v>74</v>
      </c>
      <c r="L922" t="s">
        <v>74</v>
      </c>
      <c r="M922" t="s">
        <v>74</v>
      </c>
      <c r="N922" t="s">
        <v>74</v>
      </c>
      <c r="O922" t="s">
        <v>74</v>
      </c>
      <c r="P922" t="s">
        <v>74</v>
      </c>
      <c r="Q922" t="s">
        <v>74</v>
      </c>
      <c r="R922" t="s">
        <v>74</v>
      </c>
      <c r="S922" t="s">
        <v>74</v>
      </c>
      <c r="T922" t="s">
        <v>74</v>
      </c>
      <c r="U922" t="s">
        <v>74</v>
      </c>
      <c r="V922" s="3" t="s">
        <v>1871</v>
      </c>
      <c r="W922" t="s">
        <v>74</v>
      </c>
      <c r="X922" t="s">
        <v>74</v>
      </c>
      <c r="Y922" t="s">
        <v>74</v>
      </c>
      <c r="Z922" t="s">
        <v>74</v>
      </c>
      <c r="AA922" t="s">
        <v>74</v>
      </c>
      <c r="AB922" t="s">
        <v>74</v>
      </c>
      <c r="AC922" t="s">
        <v>74</v>
      </c>
      <c r="AD922" t="s">
        <v>74</v>
      </c>
      <c r="AE922" t="s">
        <v>74</v>
      </c>
      <c r="AF922" t="s">
        <v>74</v>
      </c>
      <c r="AG922" t="s">
        <v>74</v>
      </c>
      <c r="AH922" t="s">
        <v>74</v>
      </c>
      <c r="AI922" t="s">
        <v>74</v>
      </c>
      <c r="AJ922" t="s">
        <v>74</v>
      </c>
      <c r="AK922" t="s">
        <v>74</v>
      </c>
      <c r="AL922" t="s">
        <v>74</v>
      </c>
      <c r="AM922" t="s">
        <v>74</v>
      </c>
      <c r="AN922" t="s">
        <v>74</v>
      </c>
      <c r="AO922" t="s">
        <v>733</v>
      </c>
      <c r="AP922" t="s">
        <v>734</v>
      </c>
      <c r="AQ922" t="s">
        <v>74</v>
      </c>
      <c r="AR922" t="s">
        <v>74</v>
      </c>
      <c r="AS922" t="s">
        <v>74</v>
      </c>
      <c r="AT922" t="s">
        <v>1872</v>
      </c>
      <c r="AU922">
        <v>2008</v>
      </c>
      <c r="AV922">
        <v>191</v>
      </c>
      <c r="AW922">
        <v>1</v>
      </c>
      <c r="AX922" t="s">
        <v>74</v>
      </c>
      <c r="AY922" t="s">
        <v>74</v>
      </c>
      <c r="AZ922" t="s">
        <v>74</v>
      </c>
      <c r="BA922" t="s">
        <v>74</v>
      </c>
      <c r="BB922">
        <v>77</v>
      </c>
      <c r="BC922">
        <v>87</v>
      </c>
      <c r="BD922" t="s">
        <v>74</v>
      </c>
      <c r="BE922" t="s">
        <v>1873</v>
      </c>
      <c r="BF922" t="str">
        <f>HYPERLINK("http://dx.doi.org/10.1016/j.bbr.2008.03.013","http://dx.doi.org/10.1016/j.bbr.2008.03.013")</f>
        <v>http://dx.doi.org/10.1016/j.bbr.2008.03.013</v>
      </c>
      <c r="BG922" t="s">
        <v>74</v>
      </c>
      <c r="BH922" t="s">
        <v>74</v>
      </c>
      <c r="BI922" t="s">
        <v>74</v>
      </c>
      <c r="BJ922" t="s">
        <v>74</v>
      </c>
      <c r="BK922" t="s">
        <v>74</v>
      </c>
      <c r="BL922" t="s">
        <v>74</v>
      </c>
      <c r="BM922" t="s">
        <v>74</v>
      </c>
      <c r="BN922">
        <v>18423643</v>
      </c>
      <c r="BO922" t="s">
        <v>74</v>
      </c>
      <c r="BP922" t="s">
        <v>74</v>
      </c>
      <c r="BQ922" t="s">
        <v>74</v>
      </c>
      <c r="BR922" t="s">
        <v>74</v>
      </c>
      <c r="BS922" t="s">
        <v>1874</v>
      </c>
      <c r="BT922" t="str">
        <f>HYPERLINK("https%3A%2F%2Fwww.webofscience.com%2Fwos%2Fwoscc%2Ffull-record%2FWOS:000256786700012","View Full Record in Web of Science")</f>
        <v>View Full Record in Web of Science</v>
      </c>
    </row>
    <row r="923" spans="1:72" x14ac:dyDescent="0.4">
      <c r="A923" t="s">
        <v>72</v>
      </c>
      <c r="B923" t="s">
        <v>2328</v>
      </c>
      <c r="C923" t="s">
        <v>74</v>
      </c>
      <c r="D923" t="s">
        <v>74</v>
      </c>
      <c r="E923" t="s">
        <v>74</v>
      </c>
      <c r="F923" t="s">
        <v>2329</v>
      </c>
      <c r="G923" t="s">
        <v>74</v>
      </c>
      <c r="H923" t="s">
        <v>74</v>
      </c>
      <c r="I923" t="s">
        <v>2330</v>
      </c>
      <c r="J923" t="s">
        <v>1244</v>
      </c>
      <c r="K923" t="s">
        <v>74</v>
      </c>
      <c r="L923" t="s">
        <v>74</v>
      </c>
      <c r="M923" t="s">
        <v>74</v>
      </c>
      <c r="N923" t="s">
        <v>74</v>
      </c>
      <c r="O923" t="s">
        <v>74</v>
      </c>
      <c r="P923" t="s">
        <v>74</v>
      </c>
      <c r="Q923" t="s">
        <v>74</v>
      </c>
      <c r="R923" t="s">
        <v>74</v>
      </c>
      <c r="S923" t="s">
        <v>74</v>
      </c>
      <c r="T923" t="s">
        <v>74</v>
      </c>
      <c r="U923" t="s">
        <v>74</v>
      </c>
      <c r="V923" s="3" t="s">
        <v>2331</v>
      </c>
      <c r="W923" t="s">
        <v>74</v>
      </c>
      <c r="X923" t="s">
        <v>74</v>
      </c>
      <c r="Y923" t="s">
        <v>74</v>
      </c>
      <c r="Z923" t="s">
        <v>74</v>
      </c>
      <c r="AA923" t="s">
        <v>74</v>
      </c>
      <c r="AB923" t="s">
        <v>74</v>
      </c>
      <c r="AC923" t="s">
        <v>74</v>
      </c>
      <c r="AD923" t="s">
        <v>74</v>
      </c>
      <c r="AE923" t="s">
        <v>74</v>
      </c>
      <c r="AF923" t="s">
        <v>74</v>
      </c>
      <c r="AG923" t="s">
        <v>74</v>
      </c>
      <c r="AH923" t="s">
        <v>74</v>
      </c>
      <c r="AI923" t="s">
        <v>74</v>
      </c>
      <c r="AJ923" t="s">
        <v>74</v>
      </c>
      <c r="AK923" t="s">
        <v>74</v>
      </c>
      <c r="AL923" t="s">
        <v>74</v>
      </c>
      <c r="AM923" t="s">
        <v>74</v>
      </c>
      <c r="AN923" t="s">
        <v>74</v>
      </c>
      <c r="AO923" t="s">
        <v>1246</v>
      </c>
      <c r="AP923" t="s">
        <v>74</v>
      </c>
      <c r="AQ923" t="s">
        <v>74</v>
      </c>
      <c r="AR923" t="s">
        <v>74</v>
      </c>
      <c r="AS923" t="s">
        <v>74</v>
      </c>
      <c r="AT923" t="s">
        <v>2332</v>
      </c>
      <c r="AU923">
        <v>2014</v>
      </c>
      <c r="AV923">
        <v>43</v>
      </c>
      <c r="AW923" t="s">
        <v>1276</v>
      </c>
      <c r="AX923" t="s">
        <v>74</v>
      </c>
      <c r="AY923" t="s">
        <v>74</v>
      </c>
      <c r="AZ923" t="s">
        <v>74</v>
      </c>
      <c r="BA923" t="s">
        <v>74</v>
      </c>
      <c r="BB923">
        <v>227</v>
      </c>
      <c r="BC923">
        <v>235</v>
      </c>
      <c r="BD923" t="s">
        <v>74</v>
      </c>
      <c r="BE923" t="s">
        <v>74</v>
      </c>
      <c r="BF923" t="s">
        <v>74</v>
      </c>
      <c r="BG923" t="s">
        <v>74</v>
      </c>
      <c r="BH923" t="s">
        <v>74</v>
      </c>
      <c r="BI923" t="s">
        <v>74</v>
      </c>
      <c r="BJ923" t="s">
        <v>74</v>
      </c>
      <c r="BK923" t="s">
        <v>74</v>
      </c>
      <c r="BL923" t="s">
        <v>74</v>
      </c>
      <c r="BM923" t="s">
        <v>74</v>
      </c>
      <c r="BN923" t="s">
        <v>74</v>
      </c>
      <c r="BO923" t="s">
        <v>74</v>
      </c>
      <c r="BP923" t="s">
        <v>74</v>
      </c>
      <c r="BQ923" t="s">
        <v>74</v>
      </c>
      <c r="BR923" t="s">
        <v>74</v>
      </c>
      <c r="BS923" t="s">
        <v>2333</v>
      </c>
      <c r="BT923" t="str">
        <f>HYPERLINK("https%3A%2F%2Fwww.webofscience.com%2Fwos%2Fwoscc%2Ffull-record%2FWOS:000345540300007","View Full Record in Web of Science")</f>
        <v>View Full Record in Web of Science</v>
      </c>
    </row>
    <row r="924" spans="1:72" x14ac:dyDescent="0.4">
      <c r="A924" t="s">
        <v>72</v>
      </c>
      <c r="B924" t="s">
        <v>226</v>
      </c>
      <c r="C924" t="s">
        <v>74</v>
      </c>
      <c r="D924" t="s">
        <v>74</v>
      </c>
      <c r="E924" t="s">
        <v>74</v>
      </c>
      <c r="F924" t="s">
        <v>227</v>
      </c>
      <c r="G924" t="s">
        <v>74</v>
      </c>
      <c r="H924" t="s">
        <v>74</v>
      </c>
      <c r="I924" t="s">
        <v>228</v>
      </c>
      <c r="J924" t="s">
        <v>229</v>
      </c>
      <c r="K924" t="s">
        <v>74</v>
      </c>
      <c r="L924" t="s">
        <v>74</v>
      </c>
      <c r="M924" t="s">
        <v>74</v>
      </c>
      <c r="N924" t="s">
        <v>74</v>
      </c>
      <c r="O924" t="s">
        <v>74</v>
      </c>
      <c r="P924" t="s">
        <v>74</v>
      </c>
      <c r="Q924" t="s">
        <v>74</v>
      </c>
      <c r="R924" t="s">
        <v>74</v>
      </c>
      <c r="S924" t="s">
        <v>74</v>
      </c>
      <c r="T924" t="s">
        <v>74</v>
      </c>
      <c r="U924" t="s">
        <v>74</v>
      </c>
      <c r="V924" s="3" t="s">
        <v>230</v>
      </c>
      <c r="W924" t="s">
        <v>74</v>
      </c>
      <c r="X924" t="s">
        <v>74</v>
      </c>
      <c r="Y924" t="s">
        <v>74</v>
      </c>
      <c r="Z924" t="s">
        <v>74</v>
      </c>
      <c r="AA924" t="s">
        <v>231</v>
      </c>
      <c r="AB924" t="s">
        <v>232</v>
      </c>
      <c r="AC924" t="s">
        <v>74</v>
      </c>
      <c r="AD924" t="s">
        <v>74</v>
      </c>
      <c r="AE924" t="s">
        <v>74</v>
      </c>
      <c r="AF924" t="s">
        <v>74</v>
      </c>
      <c r="AG924" t="s">
        <v>74</v>
      </c>
      <c r="AH924" t="s">
        <v>74</v>
      </c>
      <c r="AI924" t="s">
        <v>74</v>
      </c>
      <c r="AJ924" t="s">
        <v>74</v>
      </c>
      <c r="AK924" t="s">
        <v>74</v>
      </c>
      <c r="AL924" t="s">
        <v>74</v>
      </c>
      <c r="AM924" t="s">
        <v>74</v>
      </c>
      <c r="AN924" t="s">
        <v>74</v>
      </c>
      <c r="AO924" t="s">
        <v>233</v>
      </c>
      <c r="AP924" t="s">
        <v>234</v>
      </c>
      <c r="AQ924" t="s">
        <v>74</v>
      </c>
      <c r="AR924" t="s">
        <v>74</v>
      </c>
      <c r="AS924" t="s">
        <v>74</v>
      </c>
      <c r="AT924" t="s">
        <v>204</v>
      </c>
      <c r="AU924">
        <v>2021</v>
      </c>
      <c r="AV924">
        <v>47</v>
      </c>
      <c r="AW924">
        <v>4</v>
      </c>
      <c r="AX924" t="s">
        <v>74</v>
      </c>
      <c r="AY924" t="s">
        <v>74</v>
      </c>
      <c r="AZ924" t="s">
        <v>74</v>
      </c>
      <c r="BA924" t="s">
        <v>74</v>
      </c>
      <c r="BB924">
        <v>430</v>
      </c>
      <c r="BC924">
        <v>438</v>
      </c>
      <c r="BD924" t="s">
        <v>74</v>
      </c>
      <c r="BE924" t="s">
        <v>235</v>
      </c>
      <c r="BF924" t="str">
        <f>HYPERLINK("http://dx.doi.org/10.1002/ab.21961","http://dx.doi.org/10.1002/ab.21961")</f>
        <v>http://dx.doi.org/10.1002/ab.21961</v>
      </c>
      <c r="BG924" t="s">
        <v>74</v>
      </c>
      <c r="BH924" t="s">
        <v>236</v>
      </c>
      <c r="BI924" t="s">
        <v>74</v>
      </c>
      <c r="BJ924" t="s">
        <v>74</v>
      </c>
      <c r="BK924" t="s">
        <v>74</v>
      </c>
      <c r="BL924" t="s">
        <v>74</v>
      </c>
      <c r="BM924" t="s">
        <v>74</v>
      </c>
      <c r="BN924">
        <v>33682154</v>
      </c>
      <c r="BO924" t="s">
        <v>74</v>
      </c>
      <c r="BP924" t="s">
        <v>74</v>
      </c>
      <c r="BQ924" t="s">
        <v>74</v>
      </c>
      <c r="BR924" t="s">
        <v>74</v>
      </c>
      <c r="BS924" t="s">
        <v>237</v>
      </c>
      <c r="BT924" t="str">
        <f>HYPERLINK("https%3A%2F%2Fwww.webofscience.com%2Fwos%2Fwoscc%2Ffull-record%2FWOS:000625980800001","View Full Record in Web of Science")</f>
        <v>View Full Record in Web of Science</v>
      </c>
    </row>
    <row r="925" spans="1:72" x14ac:dyDescent="0.4">
      <c r="A925" t="s">
        <v>72</v>
      </c>
      <c r="B925" t="s">
        <v>3843</v>
      </c>
      <c r="C925" t="s">
        <v>74</v>
      </c>
      <c r="D925" t="s">
        <v>74</v>
      </c>
      <c r="E925" t="s">
        <v>74</v>
      </c>
      <c r="F925" t="s">
        <v>3844</v>
      </c>
      <c r="G925" t="s">
        <v>74</v>
      </c>
      <c r="H925" t="s">
        <v>74</v>
      </c>
      <c r="I925" t="s">
        <v>3845</v>
      </c>
      <c r="J925" t="s">
        <v>3846</v>
      </c>
      <c r="K925" t="s">
        <v>74</v>
      </c>
      <c r="L925" t="s">
        <v>74</v>
      </c>
      <c r="M925" t="s">
        <v>74</v>
      </c>
      <c r="N925" t="s">
        <v>74</v>
      </c>
      <c r="O925" t="s">
        <v>74</v>
      </c>
      <c r="P925" t="s">
        <v>74</v>
      </c>
      <c r="Q925" t="s">
        <v>74</v>
      </c>
      <c r="R925" t="s">
        <v>74</v>
      </c>
      <c r="S925" t="s">
        <v>74</v>
      </c>
      <c r="T925" t="s">
        <v>74</v>
      </c>
      <c r="U925" t="s">
        <v>74</v>
      </c>
      <c r="V925" s="3" t="s">
        <v>3847</v>
      </c>
      <c r="W925" t="s">
        <v>74</v>
      </c>
      <c r="X925" t="s">
        <v>74</v>
      </c>
      <c r="Y925" t="s">
        <v>74</v>
      </c>
      <c r="Z925" t="s">
        <v>74</v>
      </c>
      <c r="AA925" t="s">
        <v>231</v>
      </c>
      <c r="AB925" t="s">
        <v>3848</v>
      </c>
      <c r="AC925" t="s">
        <v>74</v>
      </c>
      <c r="AD925" t="s">
        <v>74</v>
      </c>
      <c r="AE925" t="s">
        <v>74</v>
      </c>
      <c r="AF925" t="s">
        <v>74</v>
      </c>
      <c r="AG925" t="s">
        <v>74</v>
      </c>
      <c r="AH925" t="s">
        <v>74</v>
      </c>
      <c r="AI925" t="s">
        <v>74</v>
      </c>
      <c r="AJ925" t="s">
        <v>74</v>
      </c>
      <c r="AK925" t="s">
        <v>74</v>
      </c>
      <c r="AL925" t="s">
        <v>74</v>
      </c>
      <c r="AM925" t="s">
        <v>74</v>
      </c>
      <c r="AN925" t="s">
        <v>74</v>
      </c>
      <c r="AO925" t="s">
        <v>3849</v>
      </c>
      <c r="AP925" t="s">
        <v>3850</v>
      </c>
      <c r="AQ925" t="s">
        <v>74</v>
      </c>
      <c r="AR925" t="s">
        <v>74</v>
      </c>
      <c r="AS925" t="s">
        <v>74</v>
      </c>
      <c r="AT925" t="s">
        <v>102</v>
      </c>
      <c r="AU925">
        <v>2019</v>
      </c>
      <c r="AV925">
        <v>14</v>
      </c>
      <c r="AW925">
        <v>1</v>
      </c>
      <c r="AX925" t="s">
        <v>74</v>
      </c>
      <c r="AY925" t="s">
        <v>74</v>
      </c>
      <c r="AZ925" t="s">
        <v>74</v>
      </c>
      <c r="BA925" t="s">
        <v>74</v>
      </c>
      <c r="BB925">
        <v>35</v>
      </c>
      <c r="BC925">
        <v>41</v>
      </c>
      <c r="BD925" t="s">
        <v>74</v>
      </c>
      <c r="BE925" t="s">
        <v>3851</v>
      </c>
      <c r="BF925" t="str">
        <f>HYPERLINK("http://dx.doi.org/10.13128/Acta_Herpetol-24651","http://dx.doi.org/10.13128/Acta_Herpetol-24651")</f>
        <v>http://dx.doi.org/10.13128/Acta_Herpetol-24651</v>
      </c>
      <c r="BG925" t="s">
        <v>74</v>
      </c>
      <c r="BH925" t="s">
        <v>74</v>
      </c>
      <c r="BI925" t="s">
        <v>74</v>
      </c>
      <c r="BJ925" t="s">
        <v>74</v>
      </c>
      <c r="BK925" t="s">
        <v>74</v>
      </c>
      <c r="BL925" t="s">
        <v>74</v>
      </c>
      <c r="BM925" t="s">
        <v>74</v>
      </c>
      <c r="BN925" t="s">
        <v>74</v>
      </c>
      <c r="BO925" t="s">
        <v>74</v>
      </c>
      <c r="BP925" t="s">
        <v>74</v>
      </c>
      <c r="BQ925" t="s">
        <v>74</v>
      </c>
      <c r="BR925" t="s">
        <v>74</v>
      </c>
      <c r="BS925" t="s">
        <v>3852</v>
      </c>
      <c r="BT925" t="str">
        <f>HYPERLINK("https%3A%2F%2Fwww.webofscience.com%2Fwos%2Fwoscc%2Ffull-record%2FWOS:000482630700005","View Full Record in Web of Science")</f>
        <v>View Full Record in Web of Science</v>
      </c>
    </row>
    <row r="926" spans="1:72" x14ac:dyDescent="0.4">
      <c r="A926" t="s">
        <v>72</v>
      </c>
      <c r="B926" t="s">
        <v>7982</v>
      </c>
      <c r="C926" t="s">
        <v>74</v>
      </c>
      <c r="D926" t="s">
        <v>74</v>
      </c>
      <c r="E926" t="s">
        <v>74</v>
      </c>
      <c r="F926" t="s">
        <v>7982</v>
      </c>
      <c r="G926" t="s">
        <v>74</v>
      </c>
      <c r="H926" t="s">
        <v>74</v>
      </c>
      <c r="I926" t="s">
        <v>7983</v>
      </c>
      <c r="J926" t="s">
        <v>530</v>
      </c>
      <c r="K926" t="s">
        <v>74</v>
      </c>
      <c r="L926" t="s">
        <v>74</v>
      </c>
      <c r="M926" t="s">
        <v>74</v>
      </c>
      <c r="N926" t="s">
        <v>74</v>
      </c>
      <c r="O926" t="s">
        <v>74</v>
      </c>
      <c r="P926" t="s">
        <v>74</v>
      </c>
      <c r="Q926" t="s">
        <v>74</v>
      </c>
      <c r="R926" t="s">
        <v>74</v>
      </c>
      <c r="S926" t="s">
        <v>74</v>
      </c>
      <c r="T926" t="s">
        <v>74</v>
      </c>
      <c r="U926" t="s">
        <v>74</v>
      </c>
      <c r="V926" s="3" t="s">
        <v>7984</v>
      </c>
      <c r="W926" t="s">
        <v>74</v>
      </c>
      <c r="X926" t="s">
        <v>74</v>
      </c>
      <c r="Y926" t="s">
        <v>74</v>
      </c>
      <c r="Z926" t="s">
        <v>74</v>
      </c>
      <c r="AA926" t="s">
        <v>7985</v>
      </c>
      <c r="AB926" t="s">
        <v>7986</v>
      </c>
      <c r="AC926" t="s">
        <v>74</v>
      </c>
      <c r="AD926" t="s">
        <v>74</v>
      </c>
      <c r="AE926" t="s">
        <v>74</v>
      </c>
      <c r="AF926" t="s">
        <v>74</v>
      </c>
      <c r="AG926" t="s">
        <v>74</v>
      </c>
      <c r="AH926" t="s">
        <v>74</v>
      </c>
      <c r="AI926" t="s">
        <v>74</v>
      </c>
      <c r="AJ926" t="s">
        <v>74</v>
      </c>
      <c r="AK926" t="s">
        <v>74</v>
      </c>
      <c r="AL926" t="s">
        <v>74</v>
      </c>
      <c r="AM926" t="s">
        <v>74</v>
      </c>
      <c r="AN926" t="s">
        <v>74</v>
      </c>
      <c r="AO926" t="s">
        <v>532</v>
      </c>
      <c r="AP926" t="s">
        <v>74</v>
      </c>
      <c r="AQ926" t="s">
        <v>74</v>
      </c>
      <c r="AR926" t="s">
        <v>74</v>
      </c>
      <c r="AS926" t="s">
        <v>74</v>
      </c>
      <c r="AT926" t="s">
        <v>964</v>
      </c>
      <c r="AU926">
        <v>2005</v>
      </c>
      <c r="AV926">
        <v>146</v>
      </c>
      <c r="AW926">
        <v>3</v>
      </c>
      <c r="AX926" t="s">
        <v>74</v>
      </c>
      <c r="AY926" t="s">
        <v>74</v>
      </c>
      <c r="AZ926" t="s">
        <v>74</v>
      </c>
      <c r="BA926" t="s">
        <v>74</v>
      </c>
      <c r="BB926">
        <v>435</v>
      </c>
      <c r="BC926">
        <v>443</v>
      </c>
      <c r="BD926" t="s">
        <v>74</v>
      </c>
      <c r="BE926" t="s">
        <v>7987</v>
      </c>
      <c r="BF926" t="str">
        <f>HYPERLINK("http://dx.doi.org/10.1007/s00227-004-1462-z","http://dx.doi.org/10.1007/s00227-004-1462-z")</f>
        <v>http://dx.doi.org/10.1007/s00227-004-1462-z</v>
      </c>
      <c r="BG926" t="s">
        <v>74</v>
      </c>
      <c r="BH926" t="s">
        <v>74</v>
      </c>
      <c r="BI926" t="s">
        <v>74</v>
      </c>
      <c r="BJ926" t="s">
        <v>74</v>
      </c>
      <c r="BK926" t="s">
        <v>74</v>
      </c>
      <c r="BL926" t="s">
        <v>74</v>
      </c>
      <c r="BM926" t="s">
        <v>74</v>
      </c>
      <c r="BN926" t="s">
        <v>74</v>
      </c>
      <c r="BO926" t="s">
        <v>74</v>
      </c>
      <c r="BP926" t="s">
        <v>74</v>
      </c>
      <c r="BQ926" t="s">
        <v>74</v>
      </c>
      <c r="BR926" t="s">
        <v>74</v>
      </c>
      <c r="BS926" t="s">
        <v>7988</v>
      </c>
      <c r="BT926" t="str">
        <f>HYPERLINK("https%3A%2F%2Fwww.webofscience.com%2Fwos%2Fwoscc%2Ffull-record%2FWOS:000226810300002","View Full Record in Web of Science")</f>
        <v>View Full Record in Web of Science</v>
      </c>
    </row>
    <row r="927" spans="1:72" x14ac:dyDescent="0.4">
      <c r="A927" t="s">
        <v>72</v>
      </c>
      <c r="B927" t="s">
        <v>4783</v>
      </c>
      <c r="C927" t="s">
        <v>74</v>
      </c>
      <c r="D927" t="s">
        <v>74</v>
      </c>
      <c r="E927" t="s">
        <v>74</v>
      </c>
      <c r="F927" t="s">
        <v>4784</v>
      </c>
      <c r="G927" t="s">
        <v>74</v>
      </c>
      <c r="H927" t="s">
        <v>74</v>
      </c>
      <c r="I927" t="s">
        <v>4785</v>
      </c>
      <c r="J927" t="s">
        <v>1601</v>
      </c>
      <c r="K927" t="s">
        <v>74</v>
      </c>
      <c r="L927" t="s">
        <v>74</v>
      </c>
      <c r="M927" t="s">
        <v>74</v>
      </c>
      <c r="N927" t="s">
        <v>74</v>
      </c>
      <c r="O927" t="s">
        <v>74</v>
      </c>
      <c r="P927" t="s">
        <v>74</v>
      </c>
      <c r="Q927" t="s">
        <v>74</v>
      </c>
      <c r="R927" t="s">
        <v>74</v>
      </c>
      <c r="S927" t="s">
        <v>74</v>
      </c>
      <c r="T927" t="s">
        <v>74</v>
      </c>
      <c r="U927" t="s">
        <v>74</v>
      </c>
      <c r="V927" s="3" t="s">
        <v>4786</v>
      </c>
      <c r="W927" t="s">
        <v>74</v>
      </c>
      <c r="X927" t="s">
        <v>74</v>
      </c>
      <c r="Y927" t="s">
        <v>74</v>
      </c>
      <c r="Z927" t="s">
        <v>74</v>
      </c>
      <c r="AA927" t="s">
        <v>74</v>
      </c>
      <c r="AB927" t="s">
        <v>74</v>
      </c>
      <c r="AC927" t="s">
        <v>74</v>
      </c>
      <c r="AD927" t="s">
        <v>74</v>
      </c>
      <c r="AE927" t="s">
        <v>74</v>
      </c>
      <c r="AF927" t="s">
        <v>74</v>
      </c>
      <c r="AG927" t="s">
        <v>74</v>
      </c>
      <c r="AH927" t="s">
        <v>74</v>
      </c>
      <c r="AI927" t="s">
        <v>74</v>
      </c>
      <c r="AJ927" t="s">
        <v>74</v>
      </c>
      <c r="AK927" t="s">
        <v>74</v>
      </c>
      <c r="AL927" t="s">
        <v>74</v>
      </c>
      <c r="AM927" t="s">
        <v>74</v>
      </c>
      <c r="AN927" t="s">
        <v>74</v>
      </c>
      <c r="AO927" t="s">
        <v>1603</v>
      </c>
      <c r="AP927" t="s">
        <v>74</v>
      </c>
      <c r="AQ927" t="s">
        <v>74</v>
      </c>
      <c r="AR927" t="s">
        <v>74</v>
      </c>
      <c r="AS927" t="s">
        <v>74</v>
      </c>
      <c r="AT927" t="s">
        <v>352</v>
      </c>
      <c r="AU927">
        <v>2006</v>
      </c>
      <c r="AV927">
        <v>113</v>
      </c>
      <c r="AW927">
        <v>3</v>
      </c>
      <c r="AX927" t="s">
        <v>74</v>
      </c>
      <c r="AY927" t="s">
        <v>74</v>
      </c>
      <c r="AZ927" t="s">
        <v>74</v>
      </c>
      <c r="BA927" t="s">
        <v>74</v>
      </c>
      <c r="BB927">
        <v>675</v>
      </c>
      <c r="BC927">
        <v>691</v>
      </c>
      <c r="BD927" t="s">
        <v>74</v>
      </c>
      <c r="BE927" t="s">
        <v>4787</v>
      </c>
      <c r="BF927" t="str">
        <f>HYPERLINK("http://dx.doi.org/10.5962/bhl.part.80367","http://dx.doi.org/10.5962/bhl.part.80367")</f>
        <v>http://dx.doi.org/10.5962/bhl.part.80367</v>
      </c>
      <c r="BG927" t="s">
        <v>74</v>
      </c>
      <c r="BH927" t="s">
        <v>74</v>
      </c>
      <c r="BI927" t="s">
        <v>74</v>
      </c>
      <c r="BJ927" t="s">
        <v>74</v>
      </c>
      <c r="BK927" t="s">
        <v>74</v>
      </c>
      <c r="BL927" t="s">
        <v>74</v>
      </c>
      <c r="BM927" t="s">
        <v>74</v>
      </c>
      <c r="BN927" t="s">
        <v>74</v>
      </c>
      <c r="BO927" t="s">
        <v>74</v>
      </c>
      <c r="BP927" t="s">
        <v>74</v>
      </c>
      <c r="BQ927" t="s">
        <v>74</v>
      </c>
      <c r="BR927" t="s">
        <v>74</v>
      </c>
      <c r="BS927" t="s">
        <v>4788</v>
      </c>
      <c r="BT927" t="str">
        <f>HYPERLINK("https%3A%2F%2Fwww.webofscience.com%2Fwos%2Fwoscc%2Ffull-record%2FWOS:000241077500009","View Full Record in Web of Science")</f>
        <v>View Full Record in Web of Science</v>
      </c>
    </row>
    <row r="928" spans="1:72" x14ac:dyDescent="0.4">
      <c r="A928" t="s">
        <v>72</v>
      </c>
      <c r="B928" t="s">
        <v>3244</v>
      </c>
      <c r="C928" t="s">
        <v>74</v>
      </c>
      <c r="D928" t="s">
        <v>74</v>
      </c>
      <c r="E928" t="s">
        <v>74</v>
      </c>
      <c r="F928" t="s">
        <v>3245</v>
      </c>
      <c r="G928" t="s">
        <v>74</v>
      </c>
      <c r="H928" t="s">
        <v>74</v>
      </c>
      <c r="I928" t="s">
        <v>3246</v>
      </c>
      <c r="J928" t="s">
        <v>610</v>
      </c>
      <c r="K928" t="s">
        <v>74</v>
      </c>
      <c r="L928" t="s">
        <v>74</v>
      </c>
      <c r="M928" t="s">
        <v>74</v>
      </c>
      <c r="N928" t="s">
        <v>74</v>
      </c>
      <c r="O928" t="s">
        <v>74</v>
      </c>
      <c r="P928" t="s">
        <v>74</v>
      </c>
      <c r="Q928" t="s">
        <v>74</v>
      </c>
      <c r="R928" t="s">
        <v>74</v>
      </c>
      <c r="S928" t="s">
        <v>74</v>
      </c>
      <c r="T928" t="s">
        <v>74</v>
      </c>
      <c r="U928" t="s">
        <v>74</v>
      </c>
      <c r="V928" s="3" t="s">
        <v>3247</v>
      </c>
      <c r="W928" t="s">
        <v>74</v>
      </c>
      <c r="X928" t="s">
        <v>74</v>
      </c>
      <c r="Y928" t="s">
        <v>74</v>
      </c>
      <c r="Z928" t="s">
        <v>74</v>
      </c>
      <c r="AA928" t="s">
        <v>3248</v>
      </c>
      <c r="AB928" t="s">
        <v>3249</v>
      </c>
      <c r="AC928" t="s">
        <v>74</v>
      </c>
      <c r="AD928" t="s">
        <v>74</v>
      </c>
      <c r="AE928" t="s">
        <v>74</v>
      </c>
      <c r="AF928" t="s">
        <v>74</v>
      </c>
      <c r="AG928" t="s">
        <v>74</v>
      </c>
      <c r="AH928" t="s">
        <v>74</v>
      </c>
      <c r="AI928" t="s">
        <v>74</v>
      </c>
      <c r="AJ928" t="s">
        <v>74</v>
      </c>
      <c r="AK928" t="s">
        <v>74</v>
      </c>
      <c r="AL928" t="s">
        <v>74</v>
      </c>
      <c r="AM928" t="s">
        <v>74</v>
      </c>
      <c r="AN928" t="s">
        <v>74</v>
      </c>
      <c r="AO928" t="s">
        <v>614</v>
      </c>
      <c r="AP928" t="s">
        <v>615</v>
      </c>
      <c r="AQ928" t="s">
        <v>74</v>
      </c>
      <c r="AR928" t="s">
        <v>74</v>
      </c>
      <c r="AS928" t="s">
        <v>74</v>
      </c>
      <c r="AT928" t="s">
        <v>145</v>
      </c>
      <c r="AU928">
        <v>2017</v>
      </c>
      <c r="AV928">
        <v>123</v>
      </c>
      <c r="AW928">
        <v>8</v>
      </c>
      <c r="AX928" t="s">
        <v>74</v>
      </c>
      <c r="AY928" t="s">
        <v>74</v>
      </c>
      <c r="AZ928" t="s">
        <v>74</v>
      </c>
      <c r="BA928" t="s">
        <v>74</v>
      </c>
      <c r="BB928">
        <v>560</v>
      </c>
      <c r="BC928">
        <v>570</v>
      </c>
      <c r="BD928" t="s">
        <v>74</v>
      </c>
      <c r="BE928" t="s">
        <v>3250</v>
      </c>
      <c r="BF928" t="str">
        <f>HYPERLINK("http://dx.doi.org/10.1111/eth.12630","http://dx.doi.org/10.1111/eth.12630")</f>
        <v>http://dx.doi.org/10.1111/eth.12630</v>
      </c>
      <c r="BG928" t="s">
        <v>74</v>
      </c>
      <c r="BH928" t="s">
        <v>74</v>
      </c>
      <c r="BI928" t="s">
        <v>74</v>
      </c>
      <c r="BJ928" t="s">
        <v>74</v>
      </c>
      <c r="BK928" t="s">
        <v>74</v>
      </c>
      <c r="BL928" t="s">
        <v>74</v>
      </c>
      <c r="BM928" t="s">
        <v>74</v>
      </c>
      <c r="BN928" t="s">
        <v>74</v>
      </c>
      <c r="BO928" t="s">
        <v>74</v>
      </c>
      <c r="BP928" t="s">
        <v>74</v>
      </c>
      <c r="BQ928" t="s">
        <v>74</v>
      </c>
      <c r="BR928" t="s">
        <v>74</v>
      </c>
      <c r="BS928" t="s">
        <v>3251</v>
      </c>
      <c r="BT928" t="str">
        <f>HYPERLINK("https%3A%2F%2Fwww.webofscience.com%2Fwos%2Fwoscc%2Ffull-record%2FWOS:000404616400008","View Full Record in Web of Science")</f>
        <v>View Full Record in Web of Science</v>
      </c>
    </row>
    <row r="929" spans="1:72" x14ac:dyDescent="0.4">
      <c r="A929" t="s">
        <v>72</v>
      </c>
      <c r="B929" t="s">
        <v>6160</v>
      </c>
      <c r="C929" t="s">
        <v>74</v>
      </c>
      <c r="D929" t="s">
        <v>74</v>
      </c>
      <c r="E929" t="s">
        <v>74</v>
      </c>
      <c r="F929" t="s">
        <v>6161</v>
      </c>
      <c r="G929" t="s">
        <v>74</v>
      </c>
      <c r="H929" t="s">
        <v>74</v>
      </c>
      <c r="I929" t="s">
        <v>6162</v>
      </c>
      <c r="J929" t="s">
        <v>1656</v>
      </c>
      <c r="K929" t="s">
        <v>74</v>
      </c>
      <c r="L929" t="s">
        <v>74</v>
      </c>
      <c r="M929" t="s">
        <v>74</v>
      </c>
      <c r="N929" t="s">
        <v>74</v>
      </c>
      <c r="O929" t="s">
        <v>74</v>
      </c>
      <c r="P929" t="s">
        <v>74</v>
      </c>
      <c r="Q929" t="s">
        <v>74</v>
      </c>
      <c r="R929" t="s">
        <v>74</v>
      </c>
      <c r="S929" t="s">
        <v>74</v>
      </c>
      <c r="T929" t="s">
        <v>74</v>
      </c>
      <c r="U929" t="s">
        <v>74</v>
      </c>
      <c r="V929" s="3" t="s">
        <v>6163</v>
      </c>
      <c r="W929" t="s">
        <v>74</v>
      </c>
      <c r="X929" t="s">
        <v>74</v>
      </c>
      <c r="Y929" t="s">
        <v>74</v>
      </c>
      <c r="Z929" t="s">
        <v>74</v>
      </c>
      <c r="AA929" t="s">
        <v>6164</v>
      </c>
      <c r="AB929" t="s">
        <v>6165</v>
      </c>
      <c r="AC929" t="s">
        <v>74</v>
      </c>
      <c r="AD929" t="s">
        <v>74</v>
      </c>
      <c r="AE929" t="s">
        <v>74</v>
      </c>
      <c r="AF929" t="s">
        <v>74</v>
      </c>
      <c r="AG929" t="s">
        <v>74</v>
      </c>
      <c r="AH929" t="s">
        <v>74</v>
      </c>
      <c r="AI929" t="s">
        <v>74</v>
      </c>
      <c r="AJ929" t="s">
        <v>74</v>
      </c>
      <c r="AK929" t="s">
        <v>74</v>
      </c>
      <c r="AL929" t="s">
        <v>74</v>
      </c>
      <c r="AM929" t="s">
        <v>74</v>
      </c>
      <c r="AN929" t="s">
        <v>74</v>
      </c>
      <c r="AO929" t="s">
        <v>1658</v>
      </c>
      <c r="AP929" t="s">
        <v>1659</v>
      </c>
      <c r="AQ929" t="s">
        <v>74</v>
      </c>
      <c r="AR929" t="s">
        <v>74</v>
      </c>
      <c r="AS929" t="s">
        <v>74</v>
      </c>
      <c r="AT929" t="s">
        <v>4913</v>
      </c>
      <c r="AU929">
        <v>2019</v>
      </c>
      <c r="AV929">
        <v>4555</v>
      </c>
      <c r="AW929">
        <v>2</v>
      </c>
      <c r="AX929" t="s">
        <v>74</v>
      </c>
      <c r="AY929" t="s">
        <v>74</v>
      </c>
      <c r="AZ929" t="s">
        <v>74</v>
      </c>
      <c r="BA929" t="s">
        <v>74</v>
      </c>
      <c r="BB929">
        <v>283</v>
      </c>
      <c r="BC929">
        <v>286</v>
      </c>
      <c r="BD929" t="s">
        <v>74</v>
      </c>
      <c r="BE929" t="s">
        <v>6166</v>
      </c>
      <c r="BF929" t="str">
        <f>HYPERLINK("http://dx.doi.org/10.11646/zootaxa.4555.2.10","http://dx.doi.org/10.11646/zootaxa.4555.2.10")</f>
        <v>http://dx.doi.org/10.11646/zootaxa.4555.2.10</v>
      </c>
      <c r="BG929" t="s">
        <v>74</v>
      </c>
      <c r="BH929" t="s">
        <v>74</v>
      </c>
      <c r="BI929" t="s">
        <v>74</v>
      </c>
      <c r="BJ929" t="s">
        <v>74</v>
      </c>
      <c r="BK929" t="s">
        <v>74</v>
      </c>
      <c r="BL929" t="s">
        <v>74</v>
      </c>
      <c r="BM929" t="s">
        <v>74</v>
      </c>
      <c r="BN929">
        <v>30790965</v>
      </c>
      <c r="BO929" t="s">
        <v>74</v>
      </c>
      <c r="BP929" t="s">
        <v>74</v>
      </c>
      <c r="BQ929" t="s">
        <v>74</v>
      </c>
      <c r="BR929" t="s">
        <v>74</v>
      </c>
      <c r="BS929" t="s">
        <v>6167</v>
      </c>
      <c r="BT929" t="str">
        <f>HYPERLINK("https%3A%2F%2Fwww.webofscience.com%2Fwos%2Fwoscc%2Ffull-record%2FWOS:000458428100010","View Full Record in Web of Science")</f>
        <v>View Full Record in Web of Science</v>
      </c>
    </row>
    <row r="930" spans="1:72" x14ac:dyDescent="0.4">
      <c r="A930" t="s">
        <v>72</v>
      </c>
      <c r="B930" t="s">
        <v>7686</v>
      </c>
      <c r="C930" t="s">
        <v>74</v>
      </c>
      <c r="D930" t="s">
        <v>74</v>
      </c>
      <c r="E930" t="s">
        <v>74</v>
      </c>
      <c r="F930" t="s">
        <v>7687</v>
      </c>
      <c r="G930" t="s">
        <v>74</v>
      </c>
      <c r="H930" t="s">
        <v>74</v>
      </c>
      <c r="I930" t="s">
        <v>7688</v>
      </c>
      <c r="J930" t="s">
        <v>1541</v>
      </c>
      <c r="K930" t="s">
        <v>74</v>
      </c>
      <c r="L930" t="s">
        <v>74</v>
      </c>
      <c r="M930" t="s">
        <v>74</v>
      </c>
      <c r="N930" t="s">
        <v>74</v>
      </c>
      <c r="O930" t="s">
        <v>74</v>
      </c>
      <c r="P930" t="s">
        <v>74</v>
      </c>
      <c r="Q930" t="s">
        <v>74</v>
      </c>
      <c r="R930" t="s">
        <v>74</v>
      </c>
      <c r="S930" t="s">
        <v>74</v>
      </c>
      <c r="T930" t="s">
        <v>74</v>
      </c>
      <c r="U930" t="s">
        <v>74</v>
      </c>
      <c r="V930" s="3" t="s">
        <v>7689</v>
      </c>
      <c r="W930" t="s">
        <v>74</v>
      </c>
      <c r="X930" t="s">
        <v>74</v>
      </c>
      <c r="Y930" t="s">
        <v>74</v>
      </c>
      <c r="Z930" t="s">
        <v>74</v>
      </c>
      <c r="AA930" t="s">
        <v>7690</v>
      </c>
      <c r="AB930" t="s">
        <v>7691</v>
      </c>
      <c r="AC930" t="s">
        <v>74</v>
      </c>
      <c r="AD930" t="s">
        <v>74</v>
      </c>
      <c r="AE930" t="s">
        <v>74</v>
      </c>
      <c r="AF930" t="s">
        <v>74</v>
      </c>
      <c r="AG930" t="s">
        <v>74</v>
      </c>
      <c r="AH930" t="s">
        <v>74</v>
      </c>
      <c r="AI930" t="s">
        <v>74</v>
      </c>
      <c r="AJ930" t="s">
        <v>74</v>
      </c>
      <c r="AK930" t="s">
        <v>74</v>
      </c>
      <c r="AL930" t="s">
        <v>74</v>
      </c>
      <c r="AM930" t="s">
        <v>74</v>
      </c>
      <c r="AN930" t="s">
        <v>74</v>
      </c>
      <c r="AO930" t="s">
        <v>1543</v>
      </c>
      <c r="AP930" t="s">
        <v>1544</v>
      </c>
      <c r="AQ930" t="s">
        <v>74</v>
      </c>
      <c r="AR930" t="s">
        <v>74</v>
      </c>
      <c r="AS930" t="s">
        <v>74</v>
      </c>
      <c r="AT930" t="s">
        <v>213</v>
      </c>
      <c r="AU930">
        <v>2016</v>
      </c>
      <c r="AV930">
        <v>97</v>
      </c>
      <c r="AW930">
        <v>11</v>
      </c>
      <c r="AX930" t="s">
        <v>74</v>
      </c>
      <c r="AY930" t="s">
        <v>74</v>
      </c>
      <c r="AZ930" t="s">
        <v>74</v>
      </c>
      <c r="BA930" t="s">
        <v>74</v>
      </c>
      <c r="BB930">
        <v>3110</v>
      </c>
      <c r="BC930">
        <v>3118</v>
      </c>
      <c r="BD930" t="s">
        <v>74</v>
      </c>
      <c r="BE930" t="s">
        <v>7692</v>
      </c>
      <c r="BF930" t="str">
        <f>HYPERLINK("http://dx.doi.org/10.1002/ecy.1565","http://dx.doi.org/10.1002/ecy.1565")</f>
        <v>http://dx.doi.org/10.1002/ecy.1565</v>
      </c>
      <c r="BG930" t="s">
        <v>74</v>
      </c>
      <c r="BH930" t="s">
        <v>74</v>
      </c>
      <c r="BI930" t="s">
        <v>74</v>
      </c>
      <c r="BJ930" t="s">
        <v>74</v>
      </c>
      <c r="BK930" t="s">
        <v>74</v>
      </c>
      <c r="BL930" t="s">
        <v>74</v>
      </c>
      <c r="BM930" t="s">
        <v>74</v>
      </c>
      <c r="BN930">
        <v>27870050</v>
      </c>
      <c r="BO930" t="s">
        <v>74</v>
      </c>
      <c r="BP930" t="s">
        <v>74</v>
      </c>
      <c r="BQ930" t="s">
        <v>74</v>
      </c>
      <c r="BR930" t="s">
        <v>74</v>
      </c>
      <c r="BS930" t="s">
        <v>7693</v>
      </c>
      <c r="BT930" t="str">
        <f>HYPERLINK("https%3A%2F%2Fwww.webofscience.com%2Fwos%2Fwoscc%2Ffull-record%2FWOS:000387228200021","View Full Record in Web of Science")</f>
        <v>View Full Record in Web of Science</v>
      </c>
    </row>
    <row r="931" spans="1:72" x14ac:dyDescent="0.4">
      <c r="A931" t="s">
        <v>72</v>
      </c>
      <c r="B931" t="s">
        <v>4932</v>
      </c>
      <c r="C931" t="s">
        <v>74</v>
      </c>
      <c r="D931" t="s">
        <v>74</v>
      </c>
      <c r="E931" t="s">
        <v>74</v>
      </c>
      <c r="F931" t="s">
        <v>4932</v>
      </c>
      <c r="G931" t="s">
        <v>74</v>
      </c>
      <c r="H931" t="s">
        <v>74</v>
      </c>
      <c r="I931" t="s">
        <v>4933</v>
      </c>
      <c r="J931" t="s">
        <v>4934</v>
      </c>
      <c r="K931" t="s">
        <v>74</v>
      </c>
      <c r="L931" t="s">
        <v>74</v>
      </c>
      <c r="M931" t="s">
        <v>74</v>
      </c>
      <c r="N931" t="s">
        <v>74</v>
      </c>
      <c r="O931" t="s">
        <v>74</v>
      </c>
      <c r="P931" t="s">
        <v>74</v>
      </c>
      <c r="Q931" t="s">
        <v>74</v>
      </c>
      <c r="R931" t="s">
        <v>74</v>
      </c>
      <c r="S931" t="s">
        <v>74</v>
      </c>
      <c r="T931" t="s">
        <v>74</v>
      </c>
      <c r="U931" t="s">
        <v>74</v>
      </c>
      <c r="V931" s="3" t="s">
        <v>4935</v>
      </c>
      <c r="W931" t="s">
        <v>74</v>
      </c>
      <c r="X931" t="s">
        <v>74</v>
      </c>
      <c r="Y931" t="s">
        <v>74</v>
      </c>
      <c r="Z931" t="s">
        <v>74</v>
      </c>
      <c r="AA931" t="s">
        <v>74</v>
      </c>
      <c r="AB931" t="s">
        <v>74</v>
      </c>
      <c r="AC931" t="s">
        <v>74</v>
      </c>
      <c r="AD931" t="s">
        <v>74</v>
      </c>
      <c r="AE931" t="s">
        <v>74</v>
      </c>
      <c r="AF931" t="s">
        <v>74</v>
      </c>
      <c r="AG931" t="s">
        <v>74</v>
      </c>
      <c r="AH931" t="s">
        <v>74</v>
      </c>
      <c r="AI931" t="s">
        <v>74</v>
      </c>
      <c r="AJ931" t="s">
        <v>74</v>
      </c>
      <c r="AK931" t="s">
        <v>74</v>
      </c>
      <c r="AL931" t="s">
        <v>74</v>
      </c>
      <c r="AM931" t="s">
        <v>74</v>
      </c>
      <c r="AN931" t="s">
        <v>74</v>
      </c>
      <c r="AO931" t="s">
        <v>4936</v>
      </c>
      <c r="AP931" t="s">
        <v>74</v>
      </c>
      <c r="AQ931" t="s">
        <v>74</v>
      </c>
      <c r="AR931" t="s">
        <v>74</v>
      </c>
      <c r="AS931" t="s">
        <v>74</v>
      </c>
      <c r="AT931" t="s">
        <v>633</v>
      </c>
      <c r="AU931">
        <v>1995</v>
      </c>
      <c r="AV931">
        <v>71</v>
      </c>
      <c r="AW931">
        <v>2</v>
      </c>
      <c r="AX931" t="s">
        <v>74</v>
      </c>
      <c r="AY931" t="s">
        <v>74</v>
      </c>
      <c r="AZ931" t="s">
        <v>74</v>
      </c>
      <c r="BA931" t="s">
        <v>74</v>
      </c>
      <c r="BB931">
        <v>113</v>
      </c>
      <c r="BC931">
        <v>120</v>
      </c>
      <c r="BD931" t="s">
        <v>74</v>
      </c>
      <c r="BE931" t="s">
        <v>74</v>
      </c>
      <c r="BF931" t="s">
        <v>74</v>
      </c>
      <c r="BG931" t="s">
        <v>74</v>
      </c>
      <c r="BH931" t="s">
        <v>74</v>
      </c>
      <c r="BI931" t="s">
        <v>74</v>
      </c>
      <c r="BJ931" t="s">
        <v>74</v>
      </c>
      <c r="BK931" t="s">
        <v>74</v>
      </c>
      <c r="BL931" t="s">
        <v>74</v>
      </c>
      <c r="BM931" t="s">
        <v>74</v>
      </c>
      <c r="BN931" t="s">
        <v>74</v>
      </c>
      <c r="BO931" t="s">
        <v>74</v>
      </c>
      <c r="BP931" t="s">
        <v>74</v>
      </c>
      <c r="BQ931" t="s">
        <v>74</v>
      </c>
      <c r="BR931" t="s">
        <v>74</v>
      </c>
      <c r="BS931" t="s">
        <v>4937</v>
      </c>
      <c r="BT931" t="str">
        <f>HYPERLINK("https%3A%2F%2Fwww.webofscience.com%2Fwos%2Fwoscc%2Ffull-record%2FWOS:A1995TA18200008","View Full Record in Web of Science")</f>
        <v>View Full Record in Web of Science</v>
      </c>
    </row>
    <row r="932" spans="1:72" x14ac:dyDescent="0.4">
      <c r="A932" t="s">
        <v>72</v>
      </c>
      <c r="B932" t="s">
        <v>8311</v>
      </c>
      <c r="C932" t="s">
        <v>74</v>
      </c>
      <c r="D932" t="s">
        <v>74</v>
      </c>
      <c r="E932" t="s">
        <v>74</v>
      </c>
      <c r="F932" t="s">
        <v>8312</v>
      </c>
      <c r="G932" t="s">
        <v>74</v>
      </c>
      <c r="H932" t="s">
        <v>74</v>
      </c>
      <c r="I932" t="s">
        <v>8313</v>
      </c>
      <c r="J932" t="s">
        <v>654</v>
      </c>
      <c r="K932" t="s">
        <v>74</v>
      </c>
      <c r="L932" t="s">
        <v>74</v>
      </c>
      <c r="M932" t="s">
        <v>74</v>
      </c>
      <c r="N932" t="s">
        <v>74</v>
      </c>
      <c r="O932" t="s">
        <v>74</v>
      </c>
      <c r="P932" t="s">
        <v>74</v>
      </c>
      <c r="Q932" t="s">
        <v>74</v>
      </c>
      <c r="R932" t="s">
        <v>74</v>
      </c>
      <c r="S932" t="s">
        <v>74</v>
      </c>
      <c r="T932" t="s">
        <v>74</v>
      </c>
      <c r="U932" t="s">
        <v>74</v>
      </c>
      <c r="V932" s="3" t="s">
        <v>8314</v>
      </c>
      <c r="W932" t="s">
        <v>74</v>
      </c>
      <c r="X932" t="s">
        <v>74</v>
      </c>
      <c r="Y932" t="s">
        <v>74</v>
      </c>
      <c r="Z932" t="s">
        <v>74</v>
      </c>
      <c r="AA932" t="s">
        <v>74</v>
      </c>
      <c r="AB932" t="s">
        <v>74</v>
      </c>
      <c r="AC932" t="s">
        <v>74</v>
      </c>
      <c r="AD932" t="s">
        <v>74</v>
      </c>
      <c r="AE932" t="s">
        <v>74</v>
      </c>
      <c r="AF932" t="s">
        <v>74</v>
      </c>
      <c r="AG932" t="s">
        <v>74</v>
      </c>
      <c r="AH932" t="s">
        <v>74</v>
      </c>
      <c r="AI932" t="s">
        <v>74</v>
      </c>
      <c r="AJ932" t="s">
        <v>74</v>
      </c>
      <c r="AK932" t="s">
        <v>74</v>
      </c>
      <c r="AL932" t="s">
        <v>74</v>
      </c>
      <c r="AM932" t="s">
        <v>74</v>
      </c>
      <c r="AN932" t="s">
        <v>74</v>
      </c>
      <c r="AO932" t="s">
        <v>658</v>
      </c>
      <c r="AP932" t="s">
        <v>74</v>
      </c>
      <c r="AQ932" t="s">
        <v>74</v>
      </c>
      <c r="AR932" t="s">
        <v>74</v>
      </c>
      <c r="AS932" t="s">
        <v>74</v>
      </c>
      <c r="AT932" t="s">
        <v>255</v>
      </c>
      <c r="AU932">
        <v>2024</v>
      </c>
      <c r="AV932">
        <v>14</v>
      </c>
      <c r="AW932">
        <v>1</v>
      </c>
      <c r="AX932" t="s">
        <v>74</v>
      </c>
      <c r="AY932" t="s">
        <v>74</v>
      </c>
      <c r="AZ932" t="s">
        <v>74</v>
      </c>
      <c r="BA932" t="s">
        <v>74</v>
      </c>
      <c r="BB932" t="s">
        <v>74</v>
      </c>
      <c r="BC932" t="s">
        <v>74</v>
      </c>
      <c r="BD932" t="s">
        <v>8315</v>
      </c>
      <c r="BE932" t="s">
        <v>8316</v>
      </c>
      <c r="BF932" t="str">
        <f>HYPERLINK("http://dx.doi.org/10.1002/ece3.10851","http://dx.doi.org/10.1002/ece3.10851")</f>
        <v>http://dx.doi.org/10.1002/ece3.10851</v>
      </c>
      <c r="BG932" t="s">
        <v>74</v>
      </c>
      <c r="BH932" t="s">
        <v>74</v>
      </c>
      <c r="BI932" t="s">
        <v>74</v>
      </c>
      <c r="BJ932" t="s">
        <v>74</v>
      </c>
      <c r="BK932" t="s">
        <v>74</v>
      </c>
      <c r="BL932" t="s">
        <v>74</v>
      </c>
      <c r="BM932" t="s">
        <v>74</v>
      </c>
      <c r="BN932">
        <v>38274864</v>
      </c>
      <c r="BO932" t="s">
        <v>74</v>
      </c>
      <c r="BP932" t="s">
        <v>74</v>
      </c>
      <c r="BQ932" t="s">
        <v>74</v>
      </c>
      <c r="BR932" t="s">
        <v>74</v>
      </c>
      <c r="BS932" t="s">
        <v>8317</v>
      </c>
      <c r="BT932" t="str">
        <f>HYPERLINK("https%3A%2F%2Fwww.webofscience.com%2Fwos%2Fwoscc%2Ffull-record%2FWOS:001148034400001","View Full Record in Web of Science")</f>
        <v>View Full Record in Web of Science</v>
      </c>
    </row>
    <row r="933" spans="1:72" x14ac:dyDescent="0.4">
      <c r="A933" t="s">
        <v>72</v>
      </c>
      <c r="B933" t="s">
        <v>1777</v>
      </c>
      <c r="C933" t="s">
        <v>74</v>
      </c>
      <c r="D933" t="s">
        <v>74</v>
      </c>
      <c r="E933" t="s">
        <v>74</v>
      </c>
      <c r="F933" t="s">
        <v>1778</v>
      </c>
      <c r="G933" t="s">
        <v>74</v>
      </c>
      <c r="H933" t="s">
        <v>74</v>
      </c>
      <c r="I933" t="s">
        <v>1779</v>
      </c>
      <c r="J933" t="s">
        <v>140</v>
      </c>
      <c r="K933" t="s">
        <v>74</v>
      </c>
      <c r="L933" t="s">
        <v>74</v>
      </c>
      <c r="M933" t="s">
        <v>74</v>
      </c>
      <c r="N933" t="s">
        <v>74</v>
      </c>
      <c r="O933" t="s">
        <v>74</v>
      </c>
      <c r="P933" t="s">
        <v>74</v>
      </c>
      <c r="Q933" t="s">
        <v>74</v>
      </c>
      <c r="R933" t="s">
        <v>74</v>
      </c>
      <c r="S933" t="s">
        <v>74</v>
      </c>
      <c r="T933" t="s">
        <v>74</v>
      </c>
      <c r="U933" t="s">
        <v>74</v>
      </c>
      <c r="V933" s="3" t="s">
        <v>1780</v>
      </c>
      <c r="W933" t="s">
        <v>74</v>
      </c>
      <c r="X933" t="s">
        <v>74</v>
      </c>
      <c r="Y933" t="s">
        <v>74</v>
      </c>
      <c r="Z933" t="s">
        <v>74</v>
      </c>
      <c r="AA933" t="s">
        <v>1781</v>
      </c>
      <c r="AB933" t="s">
        <v>1782</v>
      </c>
      <c r="AC933" t="s">
        <v>74</v>
      </c>
      <c r="AD933" t="s">
        <v>74</v>
      </c>
      <c r="AE933" t="s">
        <v>74</v>
      </c>
      <c r="AF933" t="s">
        <v>74</v>
      </c>
      <c r="AG933" t="s">
        <v>74</v>
      </c>
      <c r="AH933" t="s">
        <v>74</v>
      </c>
      <c r="AI933" t="s">
        <v>74</v>
      </c>
      <c r="AJ933" t="s">
        <v>74</v>
      </c>
      <c r="AK933" t="s">
        <v>74</v>
      </c>
      <c r="AL933" t="s">
        <v>74</v>
      </c>
      <c r="AM933" t="s">
        <v>74</v>
      </c>
      <c r="AN933" t="s">
        <v>74</v>
      </c>
      <c r="AO933" t="s">
        <v>143</v>
      </c>
      <c r="AP933" t="s">
        <v>144</v>
      </c>
      <c r="AQ933" t="s">
        <v>74</v>
      </c>
      <c r="AR933" t="s">
        <v>74</v>
      </c>
      <c r="AS933" t="s">
        <v>74</v>
      </c>
      <c r="AT933" t="s">
        <v>213</v>
      </c>
      <c r="AU933">
        <v>2018</v>
      </c>
      <c r="AV933">
        <v>145</v>
      </c>
      <c r="AW933" t="s">
        <v>74</v>
      </c>
      <c r="AX933" t="s">
        <v>74</v>
      </c>
      <c r="AY933" t="s">
        <v>74</v>
      </c>
      <c r="AZ933" t="s">
        <v>74</v>
      </c>
      <c r="BA933" t="s">
        <v>74</v>
      </c>
      <c r="BB933">
        <v>29</v>
      </c>
      <c r="BC933">
        <v>37</v>
      </c>
      <c r="BD933" t="s">
        <v>74</v>
      </c>
      <c r="BE933" t="s">
        <v>1783</v>
      </c>
      <c r="BF933" t="str">
        <f>HYPERLINK("http://dx.doi.org/10.1016/j.anbehav.2018.08.015","http://dx.doi.org/10.1016/j.anbehav.2018.08.015")</f>
        <v>http://dx.doi.org/10.1016/j.anbehav.2018.08.015</v>
      </c>
      <c r="BG933" t="s">
        <v>74</v>
      </c>
      <c r="BH933" t="s">
        <v>74</v>
      </c>
      <c r="BI933" t="s">
        <v>74</v>
      </c>
      <c r="BJ933" t="s">
        <v>74</v>
      </c>
      <c r="BK933" t="s">
        <v>74</v>
      </c>
      <c r="BL933" t="s">
        <v>74</v>
      </c>
      <c r="BM933" t="s">
        <v>74</v>
      </c>
      <c r="BN933" t="s">
        <v>74</v>
      </c>
      <c r="BO933" t="s">
        <v>74</v>
      </c>
      <c r="BP933" t="s">
        <v>74</v>
      </c>
      <c r="BQ933" t="s">
        <v>74</v>
      </c>
      <c r="BR933" t="s">
        <v>74</v>
      </c>
      <c r="BS933" t="s">
        <v>1784</v>
      </c>
      <c r="BT933" t="str">
        <f>HYPERLINK("https%3A%2F%2Fwww.webofscience.com%2Fwos%2Fwoscc%2Ffull-record%2FWOS:000449696600003","View Full Record in Web of Science")</f>
        <v>View Full Record in Web of Science</v>
      </c>
    </row>
    <row r="934" spans="1:72" x14ac:dyDescent="0.4">
      <c r="A934" t="s">
        <v>72</v>
      </c>
      <c r="B934" t="s">
        <v>4803</v>
      </c>
      <c r="C934" t="s">
        <v>74</v>
      </c>
      <c r="D934" t="s">
        <v>74</v>
      </c>
      <c r="E934" t="s">
        <v>74</v>
      </c>
      <c r="F934" t="s">
        <v>4804</v>
      </c>
      <c r="G934" t="s">
        <v>74</v>
      </c>
      <c r="H934" t="s">
        <v>74</v>
      </c>
      <c r="I934" t="s">
        <v>4805</v>
      </c>
      <c r="J934" t="s">
        <v>3089</v>
      </c>
      <c r="K934" t="s">
        <v>74</v>
      </c>
      <c r="L934" t="s">
        <v>74</v>
      </c>
      <c r="M934" t="s">
        <v>74</v>
      </c>
      <c r="N934" t="s">
        <v>74</v>
      </c>
      <c r="O934" t="s">
        <v>74</v>
      </c>
      <c r="P934" t="s">
        <v>74</v>
      </c>
      <c r="Q934" t="s">
        <v>74</v>
      </c>
      <c r="R934" t="s">
        <v>74</v>
      </c>
      <c r="S934" t="s">
        <v>74</v>
      </c>
      <c r="T934" t="s">
        <v>74</v>
      </c>
      <c r="U934" t="s">
        <v>74</v>
      </c>
      <c r="V934" s="3" t="s">
        <v>4806</v>
      </c>
      <c r="W934" t="s">
        <v>74</v>
      </c>
      <c r="X934" t="s">
        <v>74</v>
      </c>
      <c r="Y934" t="s">
        <v>74</v>
      </c>
      <c r="Z934" t="s">
        <v>74</v>
      </c>
      <c r="AA934" t="s">
        <v>4807</v>
      </c>
      <c r="AB934" t="s">
        <v>4808</v>
      </c>
      <c r="AC934" t="s">
        <v>74</v>
      </c>
      <c r="AD934" t="s">
        <v>74</v>
      </c>
      <c r="AE934" t="s">
        <v>74</v>
      </c>
      <c r="AF934" t="s">
        <v>74</v>
      </c>
      <c r="AG934" t="s">
        <v>74</v>
      </c>
      <c r="AH934" t="s">
        <v>74</v>
      </c>
      <c r="AI934" t="s">
        <v>74</v>
      </c>
      <c r="AJ934" t="s">
        <v>74</v>
      </c>
      <c r="AK934" t="s">
        <v>74</v>
      </c>
      <c r="AL934" t="s">
        <v>74</v>
      </c>
      <c r="AM934" t="s">
        <v>74</v>
      </c>
      <c r="AN934" t="s">
        <v>74</v>
      </c>
      <c r="AO934" t="s">
        <v>3093</v>
      </c>
      <c r="AP934" t="s">
        <v>3094</v>
      </c>
      <c r="AQ934" t="s">
        <v>74</v>
      </c>
      <c r="AR934" t="s">
        <v>74</v>
      </c>
      <c r="AS934" t="s">
        <v>74</v>
      </c>
      <c r="AT934" t="s">
        <v>134</v>
      </c>
      <c r="AU934">
        <v>2010</v>
      </c>
      <c r="AV934">
        <v>28</v>
      </c>
      <c r="AW934">
        <v>2</v>
      </c>
      <c r="AX934" t="s">
        <v>74</v>
      </c>
      <c r="AY934" t="s">
        <v>74</v>
      </c>
      <c r="AZ934" t="s">
        <v>74</v>
      </c>
      <c r="BA934" t="s">
        <v>74</v>
      </c>
      <c r="BB934">
        <v>273</v>
      </c>
      <c r="BC934">
        <v>286</v>
      </c>
      <c r="BD934" t="s">
        <v>74</v>
      </c>
      <c r="BE934" t="s">
        <v>4809</v>
      </c>
      <c r="BF934" t="str">
        <f>HYPERLINK("http://dx.doi.org/10.1007/s10164-009-0181-9","http://dx.doi.org/10.1007/s10164-009-0181-9")</f>
        <v>http://dx.doi.org/10.1007/s10164-009-0181-9</v>
      </c>
      <c r="BG934" t="s">
        <v>74</v>
      </c>
      <c r="BH934" t="s">
        <v>74</v>
      </c>
      <c r="BI934" t="s">
        <v>74</v>
      </c>
      <c r="BJ934" t="s">
        <v>74</v>
      </c>
      <c r="BK934" t="s">
        <v>74</v>
      </c>
      <c r="BL934" t="s">
        <v>74</v>
      </c>
      <c r="BM934" t="s">
        <v>74</v>
      </c>
      <c r="BN934" t="s">
        <v>74</v>
      </c>
      <c r="BO934" t="s">
        <v>74</v>
      </c>
      <c r="BP934" t="s">
        <v>74</v>
      </c>
      <c r="BQ934" t="s">
        <v>74</v>
      </c>
      <c r="BR934" t="s">
        <v>74</v>
      </c>
      <c r="BS934" t="s">
        <v>4810</v>
      </c>
      <c r="BT934" t="str">
        <f>HYPERLINK("https%3A%2F%2Fwww.webofscience.com%2Fwos%2Fwoscc%2Ffull-record%2FWOS:000277469300009","View Full Record in Web of Science")</f>
        <v>View Full Record in Web of Science</v>
      </c>
    </row>
    <row r="935" spans="1:72" x14ac:dyDescent="0.4">
      <c r="A935" t="s">
        <v>72</v>
      </c>
      <c r="B935" t="s">
        <v>8480</v>
      </c>
      <c r="C935" t="s">
        <v>74</v>
      </c>
      <c r="D935" t="s">
        <v>74</v>
      </c>
      <c r="E935" t="s">
        <v>74</v>
      </c>
      <c r="F935" t="s">
        <v>8480</v>
      </c>
      <c r="G935" t="s">
        <v>74</v>
      </c>
      <c r="H935" t="s">
        <v>74</v>
      </c>
      <c r="I935" t="s">
        <v>8481</v>
      </c>
      <c r="J935" t="s">
        <v>1755</v>
      </c>
      <c r="K935" t="s">
        <v>74</v>
      </c>
      <c r="L935" t="s">
        <v>74</v>
      </c>
      <c r="M935" t="s">
        <v>74</v>
      </c>
      <c r="N935" t="s">
        <v>74</v>
      </c>
      <c r="O935" t="s">
        <v>74</v>
      </c>
      <c r="P935" t="s">
        <v>74</v>
      </c>
      <c r="Q935" t="s">
        <v>74</v>
      </c>
      <c r="R935" t="s">
        <v>74</v>
      </c>
      <c r="S935" t="s">
        <v>74</v>
      </c>
      <c r="T935" t="s">
        <v>74</v>
      </c>
      <c r="U935" t="s">
        <v>74</v>
      </c>
      <c r="V935" s="3" t="s">
        <v>8482</v>
      </c>
      <c r="W935" t="s">
        <v>74</v>
      </c>
      <c r="X935" t="s">
        <v>74</v>
      </c>
      <c r="Y935" t="s">
        <v>74</v>
      </c>
      <c r="Z935" t="s">
        <v>74</v>
      </c>
      <c r="AA935" t="s">
        <v>74</v>
      </c>
      <c r="AB935" t="s">
        <v>74</v>
      </c>
      <c r="AC935" t="s">
        <v>74</v>
      </c>
      <c r="AD935" t="s">
        <v>74</v>
      </c>
      <c r="AE935" t="s">
        <v>74</v>
      </c>
      <c r="AF935" t="s">
        <v>74</v>
      </c>
      <c r="AG935" t="s">
        <v>74</v>
      </c>
      <c r="AH935" t="s">
        <v>74</v>
      </c>
      <c r="AI935" t="s">
        <v>74</v>
      </c>
      <c r="AJ935" t="s">
        <v>74</v>
      </c>
      <c r="AK935" t="s">
        <v>74</v>
      </c>
      <c r="AL935" t="s">
        <v>74</v>
      </c>
      <c r="AM935" t="s">
        <v>74</v>
      </c>
      <c r="AN935" t="s">
        <v>74</v>
      </c>
      <c r="AO935" t="s">
        <v>1759</v>
      </c>
      <c r="AP935" t="s">
        <v>1760</v>
      </c>
      <c r="AQ935" t="s">
        <v>74</v>
      </c>
      <c r="AR935" t="s">
        <v>74</v>
      </c>
      <c r="AS935" t="s">
        <v>74</v>
      </c>
      <c r="AT935" t="s">
        <v>352</v>
      </c>
      <c r="AU935">
        <v>2001</v>
      </c>
      <c r="AV935">
        <v>14</v>
      </c>
      <c r="AW935">
        <v>5</v>
      </c>
      <c r="AX935" t="s">
        <v>74</v>
      </c>
      <c r="AY935" t="s">
        <v>74</v>
      </c>
      <c r="AZ935" t="s">
        <v>74</v>
      </c>
      <c r="BA935" t="s">
        <v>74</v>
      </c>
      <c r="BB935">
        <v>607</v>
      </c>
      <c r="BC935">
        <v>620</v>
      </c>
      <c r="BD935" t="s">
        <v>74</v>
      </c>
      <c r="BE935" t="s">
        <v>8483</v>
      </c>
      <c r="BF935" t="str">
        <f>HYPERLINK("http://dx.doi.org/10.1023/A:1012223217250","http://dx.doi.org/10.1023/A:1012223217250")</f>
        <v>http://dx.doi.org/10.1023/A:1012223217250</v>
      </c>
      <c r="BG935" t="s">
        <v>74</v>
      </c>
      <c r="BH935" t="s">
        <v>74</v>
      </c>
      <c r="BI935" t="s">
        <v>74</v>
      </c>
      <c r="BJ935" t="s">
        <v>74</v>
      </c>
      <c r="BK935" t="s">
        <v>74</v>
      </c>
      <c r="BL935" t="s">
        <v>74</v>
      </c>
      <c r="BM935" t="s">
        <v>74</v>
      </c>
      <c r="BN935" t="s">
        <v>74</v>
      </c>
      <c r="BO935" t="s">
        <v>74</v>
      </c>
      <c r="BP935" t="s">
        <v>74</v>
      </c>
      <c r="BQ935" t="s">
        <v>74</v>
      </c>
      <c r="BR935" t="s">
        <v>74</v>
      </c>
      <c r="BS935" t="s">
        <v>8484</v>
      </c>
      <c r="BT935" t="str">
        <f>HYPERLINK("https%3A%2F%2Fwww.webofscience.com%2Fwos%2Fwoscc%2Ffull-record%2FWOS:000172302200004","View Full Record in Web of Science")</f>
        <v>View Full Record in Web of Science</v>
      </c>
    </row>
    <row r="936" spans="1:72" x14ac:dyDescent="0.4">
      <c r="A936" t="s">
        <v>72</v>
      </c>
      <c r="B936" t="s">
        <v>1508</v>
      </c>
      <c r="C936" t="s">
        <v>74</v>
      </c>
      <c r="D936" t="s">
        <v>74</v>
      </c>
      <c r="E936" t="s">
        <v>74</v>
      </c>
      <c r="F936" t="s">
        <v>1509</v>
      </c>
      <c r="G936" t="s">
        <v>74</v>
      </c>
      <c r="H936" t="s">
        <v>74</v>
      </c>
      <c r="I936" t="s">
        <v>1510</v>
      </c>
      <c r="J936" t="s">
        <v>140</v>
      </c>
      <c r="K936" t="s">
        <v>74</v>
      </c>
      <c r="L936" t="s">
        <v>74</v>
      </c>
      <c r="M936" t="s">
        <v>74</v>
      </c>
      <c r="N936" t="s">
        <v>74</v>
      </c>
      <c r="O936" t="s">
        <v>74</v>
      </c>
      <c r="P936" t="s">
        <v>74</v>
      </c>
      <c r="Q936" t="s">
        <v>74</v>
      </c>
      <c r="R936" t="s">
        <v>74</v>
      </c>
      <c r="S936" t="s">
        <v>74</v>
      </c>
      <c r="T936" t="s">
        <v>74</v>
      </c>
      <c r="U936" t="s">
        <v>74</v>
      </c>
      <c r="V936" s="3" t="s">
        <v>1511</v>
      </c>
      <c r="W936" t="s">
        <v>74</v>
      </c>
      <c r="X936" t="s">
        <v>74</v>
      </c>
      <c r="Y936" t="s">
        <v>74</v>
      </c>
      <c r="Z936" t="s">
        <v>74</v>
      </c>
      <c r="AA936" t="s">
        <v>1512</v>
      </c>
      <c r="AB936" t="s">
        <v>1513</v>
      </c>
      <c r="AC936" t="s">
        <v>74</v>
      </c>
      <c r="AD936" t="s">
        <v>74</v>
      </c>
      <c r="AE936" t="s">
        <v>74</v>
      </c>
      <c r="AF936" t="s">
        <v>74</v>
      </c>
      <c r="AG936" t="s">
        <v>74</v>
      </c>
      <c r="AH936" t="s">
        <v>74</v>
      </c>
      <c r="AI936" t="s">
        <v>74</v>
      </c>
      <c r="AJ936" t="s">
        <v>74</v>
      </c>
      <c r="AK936" t="s">
        <v>74</v>
      </c>
      <c r="AL936" t="s">
        <v>74</v>
      </c>
      <c r="AM936" t="s">
        <v>74</v>
      </c>
      <c r="AN936" t="s">
        <v>74</v>
      </c>
      <c r="AO936" t="s">
        <v>143</v>
      </c>
      <c r="AP936" t="s">
        <v>144</v>
      </c>
      <c r="AQ936" t="s">
        <v>74</v>
      </c>
      <c r="AR936" t="s">
        <v>74</v>
      </c>
      <c r="AS936" t="s">
        <v>74</v>
      </c>
      <c r="AT936" t="s">
        <v>175</v>
      </c>
      <c r="AU936">
        <v>2008</v>
      </c>
      <c r="AV936">
        <v>76</v>
      </c>
      <c r="AW936" t="s">
        <v>74</v>
      </c>
      <c r="AX936">
        <v>4</v>
      </c>
      <c r="AY936" t="s">
        <v>74</v>
      </c>
      <c r="AZ936" t="s">
        <v>74</v>
      </c>
      <c r="BA936" t="s">
        <v>74</v>
      </c>
      <c r="BB936">
        <v>1357</v>
      </c>
      <c r="BC936">
        <v>1364</v>
      </c>
      <c r="BD936" t="s">
        <v>74</v>
      </c>
      <c r="BE936" t="s">
        <v>1514</v>
      </c>
      <c r="BF936" t="str">
        <f>HYPERLINK("http://dx.doi.org/10.1016/j.anbehav.2008.04.024","http://dx.doi.org/10.1016/j.anbehav.2008.04.024")</f>
        <v>http://dx.doi.org/10.1016/j.anbehav.2008.04.024</v>
      </c>
      <c r="BG936" t="s">
        <v>74</v>
      </c>
      <c r="BH936" t="s">
        <v>74</v>
      </c>
      <c r="BI936" t="s">
        <v>74</v>
      </c>
      <c r="BJ936" t="s">
        <v>74</v>
      </c>
      <c r="BK936" t="s">
        <v>74</v>
      </c>
      <c r="BL936" t="s">
        <v>74</v>
      </c>
      <c r="BM936" t="s">
        <v>74</v>
      </c>
      <c r="BN936" t="s">
        <v>74</v>
      </c>
      <c r="BO936" t="s">
        <v>74</v>
      </c>
      <c r="BP936" t="s">
        <v>74</v>
      </c>
      <c r="BQ936" t="s">
        <v>74</v>
      </c>
      <c r="BR936" t="s">
        <v>74</v>
      </c>
      <c r="BS936" t="s">
        <v>1515</v>
      </c>
      <c r="BT936" t="str">
        <f>HYPERLINK("https%3A%2F%2Fwww.webofscience.com%2Fwos%2Fwoscc%2Ffull-record%2FWOS:000260118000026","View Full Record in Web of Science")</f>
        <v>View Full Record in Web of Science</v>
      </c>
    </row>
    <row r="937" spans="1:72" x14ac:dyDescent="0.4">
      <c r="A937" t="s">
        <v>72</v>
      </c>
      <c r="B937" t="s">
        <v>4089</v>
      </c>
      <c r="C937" t="s">
        <v>74</v>
      </c>
      <c r="D937" t="s">
        <v>74</v>
      </c>
      <c r="E937" t="s">
        <v>74</v>
      </c>
      <c r="F937" t="s">
        <v>4090</v>
      </c>
      <c r="G937" t="s">
        <v>74</v>
      </c>
      <c r="H937" t="s">
        <v>74</v>
      </c>
      <c r="I937" t="s">
        <v>4091</v>
      </c>
      <c r="J937" t="s">
        <v>140</v>
      </c>
      <c r="K937" t="s">
        <v>74</v>
      </c>
      <c r="L937" t="s">
        <v>74</v>
      </c>
      <c r="M937" t="s">
        <v>74</v>
      </c>
      <c r="N937" t="s">
        <v>74</v>
      </c>
      <c r="O937" t="s">
        <v>74</v>
      </c>
      <c r="P937" t="s">
        <v>74</v>
      </c>
      <c r="Q937" t="s">
        <v>74</v>
      </c>
      <c r="R937" t="s">
        <v>74</v>
      </c>
      <c r="S937" t="s">
        <v>74</v>
      </c>
      <c r="T937" t="s">
        <v>74</v>
      </c>
      <c r="U937" t="s">
        <v>74</v>
      </c>
      <c r="V937" s="3" t="s">
        <v>4092</v>
      </c>
      <c r="W937" t="s">
        <v>74</v>
      </c>
      <c r="X937" t="s">
        <v>74</v>
      </c>
      <c r="Y937" t="s">
        <v>74</v>
      </c>
      <c r="Z937" t="s">
        <v>74</v>
      </c>
      <c r="AA937" t="s">
        <v>2989</v>
      </c>
      <c r="AB937" t="s">
        <v>4093</v>
      </c>
      <c r="AC937" t="s">
        <v>74</v>
      </c>
      <c r="AD937" t="s">
        <v>74</v>
      </c>
      <c r="AE937" t="s">
        <v>74</v>
      </c>
      <c r="AF937" t="s">
        <v>74</v>
      </c>
      <c r="AG937" t="s">
        <v>74</v>
      </c>
      <c r="AH937" t="s">
        <v>74</v>
      </c>
      <c r="AI937" t="s">
        <v>74</v>
      </c>
      <c r="AJ937" t="s">
        <v>74</v>
      </c>
      <c r="AK937" t="s">
        <v>74</v>
      </c>
      <c r="AL937" t="s">
        <v>74</v>
      </c>
      <c r="AM937" t="s">
        <v>74</v>
      </c>
      <c r="AN937" t="s">
        <v>74</v>
      </c>
      <c r="AO937" t="s">
        <v>143</v>
      </c>
      <c r="AP937" t="s">
        <v>144</v>
      </c>
      <c r="AQ937" t="s">
        <v>74</v>
      </c>
      <c r="AR937" t="s">
        <v>74</v>
      </c>
      <c r="AS937" t="s">
        <v>74</v>
      </c>
      <c r="AT937" t="s">
        <v>213</v>
      </c>
      <c r="AU937">
        <v>2013</v>
      </c>
      <c r="AV937">
        <v>86</v>
      </c>
      <c r="AW937">
        <v>5</v>
      </c>
      <c r="AX937" t="s">
        <v>74</v>
      </c>
      <c r="AY937" t="s">
        <v>74</v>
      </c>
      <c r="AZ937" t="s">
        <v>74</v>
      </c>
      <c r="BA937" t="s">
        <v>74</v>
      </c>
      <c r="BB937">
        <v>923</v>
      </c>
      <c r="BC937">
        <v>931</v>
      </c>
      <c r="BD937" t="s">
        <v>74</v>
      </c>
      <c r="BE937" t="s">
        <v>4094</v>
      </c>
      <c r="BF937" t="str">
        <f>HYPERLINK("http://dx.doi.org/10.1016/j.anbehav.2013.08.008","http://dx.doi.org/10.1016/j.anbehav.2013.08.008")</f>
        <v>http://dx.doi.org/10.1016/j.anbehav.2013.08.008</v>
      </c>
      <c r="BG937" t="s">
        <v>74</v>
      </c>
      <c r="BH937" t="s">
        <v>74</v>
      </c>
      <c r="BI937" t="s">
        <v>74</v>
      </c>
      <c r="BJ937" t="s">
        <v>74</v>
      </c>
      <c r="BK937" t="s">
        <v>74</v>
      </c>
      <c r="BL937" t="s">
        <v>74</v>
      </c>
      <c r="BM937" t="s">
        <v>74</v>
      </c>
      <c r="BN937" t="s">
        <v>74</v>
      </c>
      <c r="BO937" t="s">
        <v>74</v>
      </c>
      <c r="BP937" t="s">
        <v>74</v>
      </c>
      <c r="BQ937" t="s">
        <v>74</v>
      </c>
      <c r="BR937" t="s">
        <v>74</v>
      </c>
      <c r="BS937" t="s">
        <v>4095</v>
      </c>
      <c r="BT937" t="str">
        <f>HYPERLINK("https%3A%2F%2Fwww.webofscience.com%2Fwos%2Fwoscc%2Ffull-record%2FWOS:000326272200011","View Full Record in Web of Science")</f>
        <v>View Full Record in Web of Science</v>
      </c>
    </row>
    <row r="938" spans="1:72" x14ac:dyDescent="0.4">
      <c r="A938" t="s">
        <v>72</v>
      </c>
      <c r="B938" t="s">
        <v>4471</v>
      </c>
      <c r="C938" t="s">
        <v>74</v>
      </c>
      <c r="D938" t="s">
        <v>74</v>
      </c>
      <c r="E938" t="s">
        <v>74</v>
      </c>
      <c r="F938" t="s">
        <v>4471</v>
      </c>
      <c r="G938" t="s">
        <v>74</v>
      </c>
      <c r="H938" t="s">
        <v>74</v>
      </c>
      <c r="I938" t="s">
        <v>4472</v>
      </c>
      <c r="J938" t="s">
        <v>4473</v>
      </c>
      <c r="K938" t="s">
        <v>74</v>
      </c>
      <c r="L938" t="s">
        <v>74</v>
      </c>
      <c r="M938" t="s">
        <v>74</v>
      </c>
      <c r="N938" t="s">
        <v>74</v>
      </c>
      <c r="O938" t="s">
        <v>74</v>
      </c>
      <c r="P938" t="s">
        <v>74</v>
      </c>
      <c r="Q938" t="s">
        <v>74</v>
      </c>
      <c r="R938" t="s">
        <v>74</v>
      </c>
      <c r="S938" t="s">
        <v>74</v>
      </c>
      <c r="T938" t="s">
        <v>74</v>
      </c>
      <c r="U938" t="s">
        <v>74</v>
      </c>
      <c r="V938" s="3" t="s">
        <v>4474</v>
      </c>
      <c r="W938" t="s">
        <v>74</v>
      </c>
      <c r="X938" t="s">
        <v>74</v>
      </c>
      <c r="Y938" t="s">
        <v>74</v>
      </c>
      <c r="Z938" t="s">
        <v>74</v>
      </c>
      <c r="AA938" t="s">
        <v>74</v>
      </c>
      <c r="AB938" t="s">
        <v>74</v>
      </c>
      <c r="AC938" t="s">
        <v>74</v>
      </c>
      <c r="AD938" t="s">
        <v>74</v>
      </c>
      <c r="AE938" t="s">
        <v>74</v>
      </c>
      <c r="AF938" t="s">
        <v>74</v>
      </c>
      <c r="AG938" t="s">
        <v>74</v>
      </c>
      <c r="AH938" t="s">
        <v>74</v>
      </c>
      <c r="AI938" t="s">
        <v>74</v>
      </c>
      <c r="AJ938" t="s">
        <v>74</v>
      </c>
      <c r="AK938" t="s">
        <v>74</v>
      </c>
      <c r="AL938" t="s">
        <v>74</v>
      </c>
      <c r="AM938" t="s">
        <v>74</v>
      </c>
      <c r="AN938" t="s">
        <v>74</v>
      </c>
      <c r="AO938" t="s">
        <v>818</v>
      </c>
      <c r="AP938" t="s">
        <v>74</v>
      </c>
      <c r="AQ938" t="s">
        <v>74</v>
      </c>
      <c r="AR938" t="s">
        <v>74</v>
      </c>
      <c r="AS938" t="s">
        <v>74</v>
      </c>
      <c r="AT938" t="s">
        <v>74</v>
      </c>
      <c r="AU938">
        <v>1995</v>
      </c>
      <c r="AV938">
        <v>99</v>
      </c>
      <c r="AW938">
        <v>2</v>
      </c>
      <c r="AX938" t="s">
        <v>74</v>
      </c>
      <c r="AY938" t="s">
        <v>74</v>
      </c>
      <c r="AZ938" t="s">
        <v>74</v>
      </c>
      <c r="BA938" t="s">
        <v>74</v>
      </c>
      <c r="BB938">
        <v>113</v>
      </c>
      <c r="BC938">
        <v>120</v>
      </c>
      <c r="BD938" t="s">
        <v>74</v>
      </c>
      <c r="BE938" t="s">
        <v>74</v>
      </c>
      <c r="BF938" t="s">
        <v>74</v>
      </c>
      <c r="BG938" t="s">
        <v>74</v>
      </c>
      <c r="BH938" t="s">
        <v>74</v>
      </c>
      <c r="BI938" t="s">
        <v>74</v>
      </c>
      <c r="BJ938" t="s">
        <v>74</v>
      </c>
      <c r="BK938" t="s">
        <v>74</v>
      </c>
      <c r="BL938" t="s">
        <v>74</v>
      </c>
      <c r="BM938" t="s">
        <v>74</v>
      </c>
      <c r="BN938" t="s">
        <v>74</v>
      </c>
      <c r="BO938" t="s">
        <v>74</v>
      </c>
      <c r="BP938" t="s">
        <v>74</v>
      </c>
      <c r="BQ938" t="s">
        <v>74</v>
      </c>
      <c r="BR938" t="s">
        <v>74</v>
      </c>
      <c r="BS938" t="s">
        <v>4475</v>
      </c>
      <c r="BT938" t="str">
        <f>HYPERLINK("https%3A%2F%2Fwww.webofscience.com%2Fwos%2Fwoscc%2Ffull-record%2FWOS:A1995UA71800003","View Full Record in Web of Science")</f>
        <v>View Full Record in Web of Science</v>
      </c>
    </row>
    <row r="939" spans="1:72" x14ac:dyDescent="0.4">
      <c r="A939" t="s">
        <v>72</v>
      </c>
      <c r="B939" t="s">
        <v>6580</v>
      </c>
      <c r="C939" t="s">
        <v>74</v>
      </c>
      <c r="D939" t="s">
        <v>74</v>
      </c>
      <c r="E939" t="s">
        <v>74</v>
      </c>
      <c r="F939" t="s">
        <v>6580</v>
      </c>
      <c r="G939" t="s">
        <v>74</v>
      </c>
      <c r="H939" t="s">
        <v>74</v>
      </c>
      <c r="I939" t="s">
        <v>6581</v>
      </c>
      <c r="J939" t="s">
        <v>77</v>
      </c>
      <c r="K939" t="s">
        <v>74</v>
      </c>
      <c r="L939" t="s">
        <v>74</v>
      </c>
      <c r="M939" t="s">
        <v>74</v>
      </c>
      <c r="N939" t="s">
        <v>74</v>
      </c>
      <c r="O939" t="s">
        <v>74</v>
      </c>
      <c r="P939" t="s">
        <v>74</v>
      </c>
      <c r="Q939" t="s">
        <v>74</v>
      </c>
      <c r="R939" t="s">
        <v>74</v>
      </c>
      <c r="S939" t="s">
        <v>74</v>
      </c>
      <c r="T939" t="s">
        <v>74</v>
      </c>
      <c r="U939" t="s">
        <v>74</v>
      </c>
      <c r="V939" s="3" t="s">
        <v>6582</v>
      </c>
      <c r="W939" t="s">
        <v>74</v>
      </c>
      <c r="X939" t="s">
        <v>74</v>
      </c>
      <c r="Y939" t="s">
        <v>74</v>
      </c>
      <c r="Z939" t="s">
        <v>74</v>
      </c>
      <c r="AA939" t="s">
        <v>74</v>
      </c>
      <c r="AB939" t="s">
        <v>74</v>
      </c>
      <c r="AC939" t="s">
        <v>74</v>
      </c>
      <c r="AD939" t="s">
        <v>74</v>
      </c>
      <c r="AE939" t="s">
        <v>74</v>
      </c>
      <c r="AF939" t="s">
        <v>74</v>
      </c>
      <c r="AG939" t="s">
        <v>74</v>
      </c>
      <c r="AH939" t="s">
        <v>74</v>
      </c>
      <c r="AI939" t="s">
        <v>74</v>
      </c>
      <c r="AJ939" t="s">
        <v>74</v>
      </c>
      <c r="AK939" t="s">
        <v>74</v>
      </c>
      <c r="AL939" t="s">
        <v>74</v>
      </c>
      <c r="AM939" t="s">
        <v>74</v>
      </c>
      <c r="AN939" t="s">
        <v>74</v>
      </c>
      <c r="AO939" t="s">
        <v>81</v>
      </c>
      <c r="AP939" t="s">
        <v>82</v>
      </c>
      <c r="AQ939" t="s">
        <v>74</v>
      </c>
      <c r="AR939" t="s">
        <v>74</v>
      </c>
      <c r="AS939" t="s">
        <v>74</v>
      </c>
      <c r="AT939" t="s">
        <v>213</v>
      </c>
      <c r="AU939">
        <v>1988</v>
      </c>
      <c r="AV939">
        <v>107</v>
      </c>
      <c r="AW939" t="s">
        <v>74</v>
      </c>
      <c r="AX939" t="s">
        <v>548</v>
      </c>
      <c r="AY939" t="s">
        <v>74</v>
      </c>
      <c r="AZ939" t="s">
        <v>74</v>
      </c>
      <c r="BA939" t="s">
        <v>74</v>
      </c>
      <c r="BB939">
        <v>107</v>
      </c>
      <c r="BC939">
        <v>121</v>
      </c>
      <c r="BD939" t="s">
        <v>74</v>
      </c>
      <c r="BE939" t="s">
        <v>6583</v>
      </c>
      <c r="BF939" t="str">
        <f>HYPERLINK("http://dx.doi.org/10.1163/156853988X00223","http://dx.doi.org/10.1163/156853988X00223")</f>
        <v>http://dx.doi.org/10.1163/156853988X00223</v>
      </c>
      <c r="BG939" t="s">
        <v>74</v>
      </c>
      <c r="BH939" t="s">
        <v>74</v>
      </c>
      <c r="BI939" t="s">
        <v>74</v>
      </c>
      <c r="BJ939" t="s">
        <v>74</v>
      </c>
      <c r="BK939" t="s">
        <v>74</v>
      </c>
      <c r="BL939" t="s">
        <v>74</v>
      </c>
      <c r="BM939" t="s">
        <v>74</v>
      </c>
      <c r="BN939" t="s">
        <v>74</v>
      </c>
      <c r="BO939" t="s">
        <v>74</v>
      </c>
      <c r="BP939" t="s">
        <v>74</v>
      </c>
      <c r="BQ939" t="s">
        <v>74</v>
      </c>
      <c r="BR939" t="s">
        <v>74</v>
      </c>
      <c r="BS939" t="s">
        <v>6584</v>
      </c>
      <c r="BT939" t="str">
        <f>HYPERLINK("https%3A%2F%2Fwww.webofscience.com%2Fwos%2Fwoscc%2Ffull-record%2FWOS:A1988R479600008","View Full Record in Web of Science")</f>
        <v>View Full Record in Web of Science</v>
      </c>
    </row>
    <row r="940" spans="1:72" x14ac:dyDescent="0.4">
      <c r="A940" t="s">
        <v>72</v>
      </c>
      <c r="B940" t="s">
        <v>8444</v>
      </c>
      <c r="C940" t="s">
        <v>74</v>
      </c>
      <c r="D940" t="s">
        <v>74</v>
      </c>
      <c r="E940" t="s">
        <v>74</v>
      </c>
      <c r="F940" t="s">
        <v>8445</v>
      </c>
      <c r="G940" t="s">
        <v>74</v>
      </c>
      <c r="H940" t="s">
        <v>74</v>
      </c>
      <c r="I940" t="s">
        <v>8446</v>
      </c>
      <c r="J940" t="s">
        <v>3332</v>
      </c>
      <c r="K940" t="s">
        <v>74</v>
      </c>
      <c r="L940" t="s">
        <v>74</v>
      </c>
      <c r="M940" t="s">
        <v>74</v>
      </c>
      <c r="N940" t="s">
        <v>74</v>
      </c>
      <c r="O940" t="s">
        <v>74</v>
      </c>
      <c r="P940" t="s">
        <v>74</v>
      </c>
      <c r="Q940" t="s">
        <v>74</v>
      </c>
      <c r="R940" t="s">
        <v>74</v>
      </c>
      <c r="S940" t="s">
        <v>74</v>
      </c>
      <c r="T940" t="s">
        <v>74</v>
      </c>
      <c r="U940" t="s">
        <v>74</v>
      </c>
      <c r="V940" s="3" t="s">
        <v>8447</v>
      </c>
      <c r="W940" t="s">
        <v>74</v>
      </c>
      <c r="X940" t="s">
        <v>74</v>
      </c>
      <c r="Y940" t="s">
        <v>74</v>
      </c>
      <c r="Z940" t="s">
        <v>74</v>
      </c>
      <c r="AA940" t="s">
        <v>8448</v>
      </c>
      <c r="AB940" t="s">
        <v>8449</v>
      </c>
      <c r="AC940" t="s">
        <v>74</v>
      </c>
      <c r="AD940" t="s">
        <v>74</v>
      </c>
      <c r="AE940" t="s">
        <v>74</v>
      </c>
      <c r="AF940" t="s">
        <v>74</v>
      </c>
      <c r="AG940" t="s">
        <v>74</v>
      </c>
      <c r="AH940" t="s">
        <v>74</v>
      </c>
      <c r="AI940" t="s">
        <v>74</v>
      </c>
      <c r="AJ940" t="s">
        <v>74</v>
      </c>
      <c r="AK940" t="s">
        <v>74</v>
      </c>
      <c r="AL940" t="s">
        <v>74</v>
      </c>
      <c r="AM940" t="s">
        <v>74</v>
      </c>
      <c r="AN940" t="s">
        <v>74</v>
      </c>
      <c r="AO940" t="s">
        <v>3336</v>
      </c>
      <c r="AP940" t="s">
        <v>3337</v>
      </c>
      <c r="AQ940" t="s">
        <v>74</v>
      </c>
      <c r="AR940" t="s">
        <v>74</v>
      </c>
      <c r="AS940" t="s">
        <v>74</v>
      </c>
      <c r="AT940" t="s">
        <v>3338</v>
      </c>
      <c r="AU940">
        <v>2010</v>
      </c>
      <c r="AV940">
        <v>45</v>
      </c>
      <c r="AW940">
        <v>1</v>
      </c>
      <c r="AX940" t="s">
        <v>74</v>
      </c>
      <c r="AY940" t="s">
        <v>74</v>
      </c>
      <c r="AZ940" t="s">
        <v>74</v>
      </c>
      <c r="BA940" t="s">
        <v>74</v>
      </c>
      <c r="BB940">
        <v>91</v>
      </c>
      <c r="BC940">
        <v>97</v>
      </c>
      <c r="BD940" t="s">
        <v>74</v>
      </c>
      <c r="BE940" t="s">
        <v>8450</v>
      </c>
      <c r="BF940" t="str">
        <f>HYPERLINK("http://dx.doi.org/10.3161/000164510X516146","http://dx.doi.org/10.3161/000164510X516146")</f>
        <v>http://dx.doi.org/10.3161/000164510X516146</v>
      </c>
      <c r="BG940" t="s">
        <v>74</v>
      </c>
      <c r="BH940" t="s">
        <v>74</v>
      </c>
      <c r="BI940" t="s">
        <v>74</v>
      </c>
      <c r="BJ940" t="s">
        <v>74</v>
      </c>
      <c r="BK940" t="s">
        <v>74</v>
      </c>
      <c r="BL940" t="s">
        <v>74</v>
      </c>
      <c r="BM940" t="s">
        <v>74</v>
      </c>
      <c r="BN940" t="s">
        <v>74</v>
      </c>
      <c r="BO940" t="s">
        <v>74</v>
      </c>
      <c r="BP940" t="s">
        <v>74</v>
      </c>
      <c r="BQ940" t="s">
        <v>74</v>
      </c>
      <c r="BR940" t="s">
        <v>74</v>
      </c>
      <c r="BS940" t="s">
        <v>8451</v>
      </c>
      <c r="BT940" t="str">
        <f>HYPERLINK("https%3A%2F%2Fwww.webofscience.com%2Fwos%2Fwoscc%2Ffull-record%2FWOS:000280387600010","View Full Record in Web of Science")</f>
        <v>View Full Record in Web of Science</v>
      </c>
    </row>
    <row r="941" spans="1:72" x14ac:dyDescent="0.4">
      <c r="A941" t="s">
        <v>72</v>
      </c>
      <c r="B941" t="s">
        <v>6676</v>
      </c>
      <c r="C941" t="s">
        <v>74</v>
      </c>
      <c r="D941" t="s">
        <v>74</v>
      </c>
      <c r="E941" t="s">
        <v>74</v>
      </c>
      <c r="F941" t="s">
        <v>6677</v>
      </c>
      <c r="G941" t="s">
        <v>74</v>
      </c>
      <c r="H941" t="s">
        <v>74</v>
      </c>
      <c r="I941" t="s">
        <v>6678</v>
      </c>
      <c r="J941" t="s">
        <v>140</v>
      </c>
      <c r="K941" t="s">
        <v>74</v>
      </c>
      <c r="L941" t="s">
        <v>74</v>
      </c>
      <c r="M941" t="s">
        <v>74</v>
      </c>
      <c r="N941" t="s">
        <v>74</v>
      </c>
      <c r="O941" t="s">
        <v>74</v>
      </c>
      <c r="P941" t="s">
        <v>74</v>
      </c>
      <c r="Q941" t="s">
        <v>74</v>
      </c>
      <c r="R941" t="s">
        <v>74</v>
      </c>
      <c r="S941" t="s">
        <v>74</v>
      </c>
      <c r="T941" t="s">
        <v>74</v>
      </c>
      <c r="U941" t="s">
        <v>74</v>
      </c>
      <c r="V941" s="3" t="s">
        <v>6679</v>
      </c>
      <c r="W941" t="s">
        <v>74</v>
      </c>
      <c r="X941" t="s">
        <v>74</v>
      </c>
      <c r="Y941" t="s">
        <v>74</v>
      </c>
      <c r="Z941" t="s">
        <v>74</v>
      </c>
      <c r="AA941" t="s">
        <v>6680</v>
      </c>
      <c r="AB941" t="s">
        <v>6681</v>
      </c>
      <c r="AC941" t="s">
        <v>74</v>
      </c>
      <c r="AD941" t="s">
        <v>74</v>
      </c>
      <c r="AE941" t="s">
        <v>74</v>
      </c>
      <c r="AF941" t="s">
        <v>74</v>
      </c>
      <c r="AG941" t="s">
        <v>74</v>
      </c>
      <c r="AH941" t="s">
        <v>74</v>
      </c>
      <c r="AI941" t="s">
        <v>74</v>
      </c>
      <c r="AJ941" t="s">
        <v>74</v>
      </c>
      <c r="AK941" t="s">
        <v>74</v>
      </c>
      <c r="AL941" t="s">
        <v>74</v>
      </c>
      <c r="AM941" t="s">
        <v>74</v>
      </c>
      <c r="AN941" t="s">
        <v>74</v>
      </c>
      <c r="AO941" t="s">
        <v>143</v>
      </c>
      <c r="AP941" t="s">
        <v>144</v>
      </c>
      <c r="AQ941" t="s">
        <v>74</v>
      </c>
      <c r="AR941" t="s">
        <v>74</v>
      </c>
      <c r="AS941" t="s">
        <v>74</v>
      </c>
      <c r="AT941" t="s">
        <v>204</v>
      </c>
      <c r="AU941">
        <v>2015</v>
      </c>
      <c r="AV941">
        <v>105</v>
      </c>
      <c r="AW941" t="s">
        <v>74</v>
      </c>
      <c r="AX941" t="s">
        <v>74</v>
      </c>
      <c r="AY941" t="s">
        <v>74</v>
      </c>
      <c r="AZ941" t="s">
        <v>74</v>
      </c>
      <c r="BA941" t="s">
        <v>74</v>
      </c>
      <c r="BB941">
        <v>201</v>
      </c>
      <c r="BC941">
        <v>209</v>
      </c>
      <c r="BD941" t="s">
        <v>74</v>
      </c>
      <c r="BE941" t="s">
        <v>6682</v>
      </c>
      <c r="BF941" t="str">
        <f>HYPERLINK("http://dx.doi.org/10.1016/j.anbehav.2015.04.024","http://dx.doi.org/10.1016/j.anbehav.2015.04.024")</f>
        <v>http://dx.doi.org/10.1016/j.anbehav.2015.04.024</v>
      </c>
      <c r="BG941" t="s">
        <v>74</v>
      </c>
      <c r="BH941" t="s">
        <v>74</v>
      </c>
      <c r="BI941" t="s">
        <v>74</v>
      </c>
      <c r="BJ941" t="s">
        <v>74</v>
      </c>
      <c r="BK941" t="s">
        <v>74</v>
      </c>
      <c r="BL941" t="s">
        <v>74</v>
      </c>
      <c r="BM941" t="s">
        <v>74</v>
      </c>
      <c r="BN941" t="s">
        <v>74</v>
      </c>
      <c r="BO941" t="s">
        <v>74</v>
      </c>
      <c r="BP941" t="s">
        <v>74</v>
      </c>
      <c r="BQ941" t="s">
        <v>74</v>
      </c>
      <c r="BR941" t="s">
        <v>74</v>
      </c>
      <c r="BS941" t="s">
        <v>6683</v>
      </c>
      <c r="BT941" t="str">
        <f>HYPERLINK("https%3A%2F%2Fwww.webofscience.com%2Fwos%2Fwoscc%2Ffull-record%2FWOS:000356611200022","View Full Record in Web of Science")</f>
        <v>View Full Record in Web of Science</v>
      </c>
    </row>
    <row r="942" spans="1:72" x14ac:dyDescent="0.4">
      <c r="A942" t="s">
        <v>72</v>
      </c>
      <c r="B942" t="s">
        <v>1501</v>
      </c>
      <c r="C942" t="s">
        <v>74</v>
      </c>
      <c r="D942" t="s">
        <v>74</v>
      </c>
      <c r="E942" t="s">
        <v>74</v>
      </c>
      <c r="F942" t="s">
        <v>1502</v>
      </c>
      <c r="G942" t="s">
        <v>74</v>
      </c>
      <c r="H942" t="s">
        <v>74</v>
      </c>
      <c r="I942" t="s">
        <v>1503</v>
      </c>
      <c r="J942" t="s">
        <v>814</v>
      </c>
      <c r="K942" t="s">
        <v>74</v>
      </c>
      <c r="L942" t="s">
        <v>74</v>
      </c>
      <c r="M942" t="s">
        <v>74</v>
      </c>
      <c r="N942" t="s">
        <v>74</v>
      </c>
      <c r="O942" t="s">
        <v>74</v>
      </c>
      <c r="P942" t="s">
        <v>74</v>
      </c>
      <c r="Q942" t="s">
        <v>74</v>
      </c>
      <c r="R942" t="s">
        <v>74</v>
      </c>
      <c r="S942" t="s">
        <v>74</v>
      </c>
      <c r="T942" t="s">
        <v>74</v>
      </c>
      <c r="U942" t="s">
        <v>74</v>
      </c>
      <c r="V942" s="3" t="s">
        <v>1504</v>
      </c>
      <c r="W942" t="s">
        <v>74</v>
      </c>
      <c r="X942" t="s">
        <v>74</v>
      </c>
      <c r="Y942" t="s">
        <v>74</v>
      </c>
      <c r="Z942" t="s">
        <v>74</v>
      </c>
      <c r="AA942" t="s">
        <v>74</v>
      </c>
      <c r="AB942" t="s">
        <v>74</v>
      </c>
      <c r="AC942" t="s">
        <v>74</v>
      </c>
      <c r="AD942" t="s">
        <v>74</v>
      </c>
      <c r="AE942" t="s">
        <v>74</v>
      </c>
      <c r="AF942" t="s">
        <v>74</v>
      </c>
      <c r="AG942" t="s">
        <v>74</v>
      </c>
      <c r="AH942" t="s">
        <v>74</v>
      </c>
      <c r="AI942" t="s">
        <v>74</v>
      </c>
      <c r="AJ942" t="s">
        <v>74</v>
      </c>
      <c r="AK942" t="s">
        <v>74</v>
      </c>
      <c r="AL942" t="s">
        <v>74</v>
      </c>
      <c r="AM942" t="s">
        <v>74</v>
      </c>
      <c r="AN942" t="s">
        <v>74</v>
      </c>
      <c r="AO942" t="s">
        <v>818</v>
      </c>
      <c r="AP942" t="s">
        <v>1505</v>
      </c>
      <c r="AQ942" t="s">
        <v>74</v>
      </c>
      <c r="AR942" t="s">
        <v>74</v>
      </c>
      <c r="AS942" t="s">
        <v>74</v>
      </c>
      <c r="AT942" t="s">
        <v>102</v>
      </c>
      <c r="AU942">
        <v>2017</v>
      </c>
      <c r="AV942">
        <v>122</v>
      </c>
      <c r="AW942" t="s">
        <v>74</v>
      </c>
      <c r="AX942" t="s">
        <v>74</v>
      </c>
      <c r="AY942" t="s">
        <v>74</v>
      </c>
      <c r="AZ942" t="s">
        <v>74</v>
      </c>
      <c r="BA942" t="s">
        <v>74</v>
      </c>
      <c r="BB942">
        <v>115</v>
      </c>
      <c r="BC942">
        <v>125</v>
      </c>
      <c r="BD942" t="s">
        <v>74</v>
      </c>
      <c r="BE942" t="s">
        <v>1506</v>
      </c>
      <c r="BF942" t="str">
        <f>HYPERLINK("http://dx.doi.org/10.1016/j.zool.2017.05.002","http://dx.doi.org/10.1016/j.zool.2017.05.002")</f>
        <v>http://dx.doi.org/10.1016/j.zool.2017.05.002</v>
      </c>
      <c r="BG942" t="s">
        <v>74</v>
      </c>
      <c r="BH942" t="s">
        <v>74</v>
      </c>
      <c r="BI942" t="s">
        <v>74</v>
      </c>
      <c r="BJ942" t="s">
        <v>74</v>
      </c>
      <c r="BK942" t="s">
        <v>74</v>
      </c>
      <c r="BL942" t="s">
        <v>74</v>
      </c>
      <c r="BM942" t="s">
        <v>74</v>
      </c>
      <c r="BN942">
        <v>28546067</v>
      </c>
      <c r="BO942" t="s">
        <v>74</v>
      </c>
      <c r="BP942" t="s">
        <v>74</v>
      </c>
      <c r="BQ942" t="s">
        <v>74</v>
      </c>
      <c r="BR942" t="s">
        <v>74</v>
      </c>
      <c r="BS942" t="s">
        <v>1507</v>
      </c>
      <c r="BT942" t="str">
        <f>HYPERLINK("https%3A%2F%2Fwww.webofscience.com%2Fwos%2Fwoscc%2Ffull-record%2FWOS:000404310700015","View Full Record in Web of Science")</f>
        <v>View Full Record in Web of Science</v>
      </c>
    </row>
    <row r="943" spans="1:72" x14ac:dyDescent="0.4">
      <c r="A943" t="s">
        <v>72</v>
      </c>
      <c r="B943" t="s">
        <v>6061</v>
      </c>
      <c r="C943" t="s">
        <v>74</v>
      </c>
      <c r="D943" t="s">
        <v>74</v>
      </c>
      <c r="E943" t="s">
        <v>74</v>
      </c>
      <c r="F943" t="s">
        <v>6062</v>
      </c>
      <c r="G943" t="s">
        <v>74</v>
      </c>
      <c r="H943" t="s">
        <v>74</v>
      </c>
      <c r="I943" t="s">
        <v>6063</v>
      </c>
      <c r="J943" t="s">
        <v>576</v>
      </c>
      <c r="K943" t="s">
        <v>74</v>
      </c>
      <c r="L943" t="s">
        <v>74</v>
      </c>
      <c r="M943" t="s">
        <v>74</v>
      </c>
      <c r="N943" t="s">
        <v>74</v>
      </c>
      <c r="O943" t="s">
        <v>74</v>
      </c>
      <c r="P943" t="s">
        <v>74</v>
      </c>
      <c r="Q943" t="s">
        <v>74</v>
      </c>
      <c r="R943" t="s">
        <v>74</v>
      </c>
      <c r="S943" t="s">
        <v>74</v>
      </c>
      <c r="T943" t="s">
        <v>74</v>
      </c>
      <c r="U943" t="s">
        <v>74</v>
      </c>
      <c r="V943" s="3" t="s">
        <v>6064</v>
      </c>
      <c r="W943" t="s">
        <v>74</v>
      </c>
      <c r="X943" t="s">
        <v>74</v>
      </c>
      <c r="Y943" t="s">
        <v>74</v>
      </c>
      <c r="Z943" t="s">
        <v>74</v>
      </c>
      <c r="AA943" t="s">
        <v>74</v>
      </c>
      <c r="AB943" t="s">
        <v>6065</v>
      </c>
      <c r="AC943" t="s">
        <v>74</v>
      </c>
      <c r="AD943" t="s">
        <v>74</v>
      </c>
      <c r="AE943" t="s">
        <v>74</v>
      </c>
      <c r="AF943" t="s">
        <v>74</v>
      </c>
      <c r="AG943" t="s">
        <v>74</v>
      </c>
      <c r="AH943" t="s">
        <v>74</v>
      </c>
      <c r="AI943" t="s">
        <v>74</v>
      </c>
      <c r="AJ943" t="s">
        <v>74</v>
      </c>
      <c r="AK943" t="s">
        <v>74</v>
      </c>
      <c r="AL943" t="s">
        <v>74</v>
      </c>
      <c r="AM943" t="s">
        <v>74</v>
      </c>
      <c r="AN943" t="s">
        <v>74</v>
      </c>
      <c r="AO943" t="s">
        <v>579</v>
      </c>
      <c r="AP943" t="s">
        <v>580</v>
      </c>
      <c r="AQ943" t="s">
        <v>74</v>
      </c>
      <c r="AR943" t="s">
        <v>74</v>
      </c>
      <c r="AS943" t="s">
        <v>74</v>
      </c>
      <c r="AT943" t="s">
        <v>123</v>
      </c>
      <c r="AU943">
        <v>2015</v>
      </c>
      <c r="AV943">
        <v>29</v>
      </c>
      <c r="AW943">
        <v>2</v>
      </c>
      <c r="AX943" t="s">
        <v>74</v>
      </c>
      <c r="AY943" t="s">
        <v>74</v>
      </c>
      <c r="AZ943" t="s">
        <v>74</v>
      </c>
      <c r="BA943" t="s">
        <v>74</v>
      </c>
      <c r="BB943">
        <v>217</v>
      </c>
      <c r="BC943">
        <v>227</v>
      </c>
      <c r="BD943" t="s">
        <v>74</v>
      </c>
      <c r="BE943" t="s">
        <v>6066</v>
      </c>
      <c r="BF943" t="str">
        <f>HYPERLINK("http://dx.doi.org/10.1007/s10682-014-9744-5","http://dx.doi.org/10.1007/s10682-014-9744-5")</f>
        <v>http://dx.doi.org/10.1007/s10682-014-9744-5</v>
      </c>
      <c r="BG943" t="s">
        <v>74</v>
      </c>
      <c r="BH943" t="s">
        <v>74</v>
      </c>
      <c r="BI943" t="s">
        <v>74</v>
      </c>
      <c r="BJ943" t="s">
        <v>74</v>
      </c>
      <c r="BK943" t="s">
        <v>74</v>
      </c>
      <c r="BL943" t="s">
        <v>74</v>
      </c>
      <c r="BM943" t="s">
        <v>74</v>
      </c>
      <c r="BN943" t="s">
        <v>74</v>
      </c>
      <c r="BO943" t="s">
        <v>74</v>
      </c>
      <c r="BP943" t="s">
        <v>74</v>
      </c>
      <c r="BQ943" t="s">
        <v>74</v>
      </c>
      <c r="BR943" t="s">
        <v>74</v>
      </c>
      <c r="BS943" t="s">
        <v>6067</v>
      </c>
      <c r="BT943" t="str">
        <f>HYPERLINK("https%3A%2F%2Fwww.webofscience.com%2Fwos%2Fwoscc%2Ffull-record%2FWOS:000349964700002","View Full Record in Web of Science")</f>
        <v>View Full Record in Web of Science</v>
      </c>
    </row>
    <row r="944" spans="1:72" x14ac:dyDescent="0.4">
      <c r="A944" t="s">
        <v>72</v>
      </c>
      <c r="B944" t="s">
        <v>6015</v>
      </c>
      <c r="C944" t="s">
        <v>74</v>
      </c>
      <c r="D944" t="s">
        <v>74</v>
      </c>
      <c r="E944" t="s">
        <v>74</v>
      </c>
      <c r="F944" t="s">
        <v>6015</v>
      </c>
      <c r="G944" t="s">
        <v>74</v>
      </c>
      <c r="H944" t="s">
        <v>74</v>
      </c>
      <c r="I944" t="s">
        <v>6016</v>
      </c>
      <c r="J944" t="s">
        <v>4655</v>
      </c>
      <c r="K944" t="s">
        <v>74</v>
      </c>
      <c r="L944" t="s">
        <v>74</v>
      </c>
      <c r="M944" t="s">
        <v>74</v>
      </c>
      <c r="N944" t="s">
        <v>74</v>
      </c>
      <c r="O944" t="s">
        <v>74</v>
      </c>
      <c r="P944" t="s">
        <v>74</v>
      </c>
      <c r="Q944" t="s">
        <v>74</v>
      </c>
      <c r="R944" t="s">
        <v>74</v>
      </c>
      <c r="S944" t="s">
        <v>74</v>
      </c>
      <c r="T944" t="s">
        <v>74</v>
      </c>
      <c r="U944" t="s">
        <v>74</v>
      </c>
      <c r="V944" s="3" t="s">
        <v>6017</v>
      </c>
      <c r="W944" t="s">
        <v>74</v>
      </c>
      <c r="X944" t="s">
        <v>74</v>
      </c>
      <c r="Y944" t="s">
        <v>74</v>
      </c>
      <c r="Z944" t="s">
        <v>74</v>
      </c>
      <c r="AA944" t="s">
        <v>74</v>
      </c>
      <c r="AB944" t="s">
        <v>74</v>
      </c>
      <c r="AC944" t="s">
        <v>74</v>
      </c>
      <c r="AD944" t="s">
        <v>74</v>
      </c>
      <c r="AE944" t="s">
        <v>74</v>
      </c>
      <c r="AF944" t="s">
        <v>74</v>
      </c>
      <c r="AG944" t="s">
        <v>74</v>
      </c>
      <c r="AH944" t="s">
        <v>74</v>
      </c>
      <c r="AI944" t="s">
        <v>74</v>
      </c>
      <c r="AJ944" t="s">
        <v>74</v>
      </c>
      <c r="AK944" t="s">
        <v>74</v>
      </c>
      <c r="AL944" t="s">
        <v>74</v>
      </c>
      <c r="AM944" t="s">
        <v>74</v>
      </c>
      <c r="AN944" t="s">
        <v>74</v>
      </c>
      <c r="AO944" t="s">
        <v>4657</v>
      </c>
      <c r="AP944" t="s">
        <v>74</v>
      </c>
      <c r="AQ944" t="s">
        <v>74</v>
      </c>
      <c r="AR944" t="s">
        <v>74</v>
      </c>
      <c r="AS944" t="s">
        <v>74</v>
      </c>
      <c r="AT944" t="s">
        <v>102</v>
      </c>
      <c r="AU944">
        <v>1991</v>
      </c>
      <c r="AV944">
        <v>103</v>
      </c>
      <c r="AW944">
        <v>2</v>
      </c>
      <c r="AX944" t="s">
        <v>74</v>
      </c>
      <c r="AY944" t="s">
        <v>74</v>
      </c>
      <c r="AZ944" t="s">
        <v>74</v>
      </c>
      <c r="BA944" t="s">
        <v>74</v>
      </c>
      <c r="BB944">
        <v>190</v>
      </c>
      <c r="BC944">
        <v>203</v>
      </c>
      <c r="BD944" t="s">
        <v>74</v>
      </c>
      <c r="BE944" t="s">
        <v>74</v>
      </c>
      <c r="BF944" t="s">
        <v>74</v>
      </c>
      <c r="BG944" t="s">
        <v>74</v>
      </c>
      <c r="BH944" t="s">
        <v>74</v>
      </c>
      <c r="BI944" t="s">
        <v>74</v>
      </c>
      <c r="BJ944" t="s">
        <v>74</v>
      </c>
      <c r="BK944" t="s">
        <v>74</v>
      </c>
      <c r="BL944" t="s">
        <v>74</v>
      </c>
      <c r="BM944" t="s">
        <v>74</v>
      </c>
      <c r="BN944" t="s">
        <v>74</v>
      </c>
      <c r="BO944" t="s">
        <v>74</v>
      </c>
      <c r="BP944" t="s">
        <v>74</v>
      </c>
      <c r="BQ944" t="s">
        <v>74</v>
      </c>
      <c r="BR944" t="s">
        <v>74</v>
      </c>
      <c r="BS944" t="s">
        <v>6018</v>
      </c>
      <c r="BT944" t="str">
        <f>HYPERLINK("https%3A%2F%2Fwww.webofscience.com%2Fwos%2Fwoscc%2Ffull-record%2FWOS:A1991FP90500003","View Full Record in Web of Science")</f>
        <v>View Full Record in Web of Science</v>
      </c>
    </row>
    <row r="945" spans="1:72" x14ac:dyDescent="0.4">
      <c r="A945" t="s">
        <v>72</v>
      </c>
      <c r="B945" t="s">
        <v>4740</v>
      </c>
      <c r="C945" t="s">
        <v>74</v>
      </c>
      <c r="D945" t="s">
        <v>74</v>
      </c>
      <c r="E945" t="s">
        <v>74</v>
      </c>
      <c r="F945" t="s">
        <v>4741</v>
      </c>
      <c r="G945" t="s">
        <v>74</v>
      </c>
      <c r="H945" t="s">
        <v>74</v>
      </c>
      <c r="I945" t="s">
        <v>4742</v>
      </c>
      <c r="J945" t="s">
        <v>691</v>
      </c>
      <c r="K945" t="s">
        <v>74</v>
      </c>
      <c r="L945" t="s">
        <v>74</v>
      </c>
      <c r="M945" t="s">
        <v>74</v>
      </c>
      <c r="N945" t="s">
        <v>74</v>
      </c>
      <c r="O945" t="s">
        <v>74</v>
      </c>
      <c r="P945" t="s">
        <v>74</v>
      </c>
      <c r="Q945" t="s">
        <v>74</v>
      </c>
      <c r="R945" t="s">
        <v>74</v>
      </c>
      <c r="S945" t="s">
        <v>74</v>
      </c>
      <c r="T945" t="s">
        <v>74</v>
      </c>
      <c r="U945" t="s">
        <v>74</v>
      </c>
      <c r="V945" s="3" t="s">
        <v>4743</v>
      </c>
      <c r="W945" t="s">
        <v>74</v>
      </c>
      <c r="X945" t="s">
        <v>74</v>
      </c>
      <c r="Y945" t="s">
        <v>74</v>
      </c>
      <c r="Z945" t="s">
        <v>74</v>
      </c>
      <c r="AA945" t="s">
        <v>74</v>
      </c>
      <c r="AB945" t="s">
        <v>74</v>
      </c>
      <c r="AC945" t="s">
        <v>74</v>
      </c>
      <c r="AD945" t="s">
        <v>74</v>
      </c>
      <c r="AE945" t="s">
        <v>74</v>
      </c>
      <c r="AF945" t="s">
        <v>74</v>
      </c>
      <c r="AG945" t="s">
        <v>74</v>
      </c>
      <c r="AH945" t="s">
        <v>74</v>
      </c>
      <c r="AI945" t="s">
        <v>74</v>
      </c>
      <c r="AJ945" t="s">
        <v>74</v>
      </c>
      <c r="AK945" t="s">
        <v>74</v>
      </c>
      <c r="AL945" t="s">
        <v>74</v>
      </c>
      <c r="AM945" t="s">
        <v>74</v>
      </c>
      <c r="AN945" t="s">
        <v>74</v>
      </c>
      <c r="AO945" t="s">
        <v>695</v>
      </c>
      <c r="AP945" t="s">
        <v>74</v>
      </c>
      <c r="AQ945" t="s">
        <v>74</v>
      </c>
      <c r="AR945" t="s">
        <v>74</v>
      </c>
      <c r="AS945" t="s">
        <v>74</v>
      </c>
      <c r="AT945" t="s">
        <v>4744</v>
      </c>
      <c r="AU945">
        <v>2016</v>
      </c>
      <c r="AV945">
        <v>163</v>
      </c>
      <c r="AW945" t="s">
        <v>74</v>
      </c>
      <c r="AX945" t="s">
        <v>74</v>
      </c>
      <c r="AY945" t="s">
        <v>74</v>
      </c>
      <c r="AZ945" t="s">
        <v>74</v>
      </c>
      <c r="BA945" t="s">
        <v>74</v>
      </c>
      <c r="BB945">
        <v>70</v>
      </c>
      <c r="BC945">
        <v>80</v>
      </c>
      <c r="BD945" t="s">
        <v>74</v>
      </c>
      <c r="BE945" t="s">
        <v>4745</v>
      </c>
      <c r="BF945" t="str">
        <f>HYPERLINK("http://dx.doi.org/10.1016/j.physbeh.2016.04.039","http://dx.doi.org/10.1016/j.physbeh.2016.04.039")</f>
        <v>http://dx.doi.org/10.1016/j.physbeh.2016.04.039</v>
      </c>
      <c r="BG945" t="s">
        <v>74</v>
      </c>
      <c r="BH945" t="s">
        <v>74</v>
      </c>
      <c r="BI945" t="s">
        <v>74</v>
      </c>
      <c r="BJ945" t="s">
        <v>74</v>
      </c>
      <c r="BK945" t="s">
        <v>74</v>
      </c>
      <c r="BL945" t="s">
        <v>74</v>
      </c>
      <c r="BM945" t="s">
        <v>74</v>
      </c>
      <c r="BN945">
        <v>27137079</v>
      </c>
      <c r="BO945" t="s">
        <v>74</v>
      </c>
      <c r="BP945" t="s">
        <v>74</v>
      </c>
      <c r="BQ945" t="s">
        <v>74</v>
      </c>
      <c r="BR945" t="s">
        <v>74</v>
      </c>
      <c r="BS945" t="s">
        <v>4746</v>
      </c>
      <c r="BT945" t="str">
        <f>HYPERLINK("https%3A%2F%2Fwww.webofscience.com%2Fwos%2Fwoscc%2Ffull-record%2FWOS:000380597400010","View Full Record in Web of Science")</f>
        <v>View Full Record in Web of Science</v>
      </c>
    </row>
    <row r="946" spans="1:72" x14ac:dyDescent="0.4">
      <c r="A946" t="s">
        <v>72</v>
      </c>
      <c r="B946" t="s">
        <v>4740</v>
      </c>
      <c r="C946" t="s">
        <v>74</v>
      </c>
      <c r="D946" t="s">
        <v>74</v>
      </c>
      <c r="E946" t="s">
        <v>74</v>
      </c>
      <c r="F946" t="s">
        <v>4741</v>
      </c>
      <c r="G946" t="s">
        <v>74</v>
      </c>
      <c r="H946" t="s">
        <v>74</v>
      </c>
      <c r="I946" t="s">
        <v>6585</v>
      </c>
      <c r="J946" t="s">
        <v>6042</v>
      </c>
      <c r="K946" t="s">
        <v>74</v>
      </c>
      <c r="L946" t="s">
        <v>74</v>
      </c>
      <c r="M946" t="s">
        <v>74</v>
      </c>
      <c r="N946" t="s">
        <v>74</v>
      </c>
      <c r="O946" t="s">
        <v>74</v>
      </c>
      <c r="P946" t="s">
        <v>74</v>
      </c>
      <c r="Q946" t="s">
        <v>74</v>
      </c>
      <c r="R946" t="s">
        <v>74</v>
      </c>
      <c r="S946" t="s">
        <v>74</v>
      </c>
      <c r="T946" t="s">
        <v>74</v>
      </c>
      <c r="U946" t="s">
        <v>74</v>
      </c>
      <c r="V946" s="3" t="s">
        <v>6586</v>
      </c>
      <c r="W946" t="s">
        <v>74</v>
      </c>
      <c r="X946" t="s">
        <v>74</v>
      </c>
      <c r="Y946" t="s">
        <v>74</v>
      </c>
      <c r="Z946" t="s">
        <v>74</v>
      </c>
      <c r="AA946" t="s">
        <v>74</v>
      </c>
      <c r="AB946" t="s">
        <v>274</v>
      </c>
      <c r="AC946" t="s">
        <v>74</v>
      </c>
      <c r="AD946" t="s">
        <v>74</v>
      </c>
      <c r="AE946" t="s">
        <v>74</v>
      </c>
      <c r="AF946" t="s">
        <v>74</v>
      </c>
      <c r="AG946" t="s">
        <v>74</v>
      </c>
      <c r="AH946" t="s">
        <v>74</v>
      </c>
      <c r="AI946" t="s">
        <v>74</v>
      </c>
      <c r="AJ946" t="s">
        <v>74</v>
      </c>
      <c r="AK946" t="s">
        <v>74</v>
      </c>
      <c r="AL946" t="s">
        <v>74</v>
      </c>
      <c r="AM946" t="s">
        <v>74</v>
      </c>
      <c r="AN946" t="s">
        <v>74</v>
      </c>
      <c r="AO946" t="s">
        <v>6045</v>
      </c>
      <c r="AP946" t="s">
        <v>74</v>
      </c>
      <c r="AQ946" t="s">
        <v>74</v>
      </c>
      <c r="AR946" t="s">
        <v>74</v>
      </c>
      <c r="AS946" t="s">
        <v>74</v>
      </c>
      <c r="AT946" t="s">
        <v>175</v>
      </c>
      <c r="AU946">
        <v>2017</v>
      </c>
      <c r="AV946">
        <v>327</v>
      </c>
      <c r="AW946">
        <v>8</v>
      </c>
      <c r="AX946" t="s">
        <v>74</v>
      </c>
      <c r="AY946" t="s">
        <v>74</v>
      </c>
      <c r="AZ946" t="s">
        <v>74</v>
      </c>
      <c r="BA946" t="s">
        <v>74</v>
      </c>
      <c r="BB946">
        <v>481</v>
      </c>
      <c r="BC946">
        <v>492</v>
      </c>
      <c r="BD946" t="s">
        <v>74</v>
      </c>
      <c r="BE946" t="s">
        <v>6587</v>
      </c>
      <c r="BF946" t="str">
        <f>HYPERLINK("http://dx.doi.org/10.1002/jez.2133","http://dx.doi.org/10.1002/jez.2133")</f>
        <v>http://dx.doi.org/10.1002/jez.2133</v>
      </c>
      <c r="BG946" t="s">
        <v>74</v>
      </c>
      <c r="BH946" t="s">
        <v>74</v>
      </c>
      <c r="BI946" t="s">
        <v>74</v>
      </c>
      <c r="BJ946" t="s">
        <v>74</v>
      </c>
      <c r="BK946" t="s">
        <v>74</v>
      </c>
      <c r="BL946" t="s">
        <v>74</v>
      </c>
      <c r="BM946" t="s">
        <v>74</v>
      </c>
      <c r="BN946">
        <v>29356435</v>
      </c>
      <c r="BO946" t="s">
        <v>74</v>
      </c>
      <c r="BP946" t="s">
        <v>74</v>
      </c>
      <c r="BQ946" t="s">
        <v>74</v>
      </c>
      <c r="BR946" t="s">
        <v>74</v>
      </c>
      <c r="BS946" t="s">
        <v>6588</v>
      </c>
      <c r="BT946" t="str">
        <f>HYPERLINK("https%3A%2F%2Fwww.webofscience.com%2Fwos%2Fwoscc%2Ffull-record%2FWOS:000422728900001","View Full Record in Web of Science")</f>
        <v>View Full Record in Web of Science</v>
      </c>
    </row>
    <row r="947" spans="1:72" x14ac:dyDescent="0.4">
      <c r="A947" t="s">
        <v>72</v>
      </c>
      <c r="B947" t="s">
        <v>1793</v>
      </c>
      <c r="C947" t="s">
        <v>74</v>
      </c>
      <c r="D947" t="s">
        <v>74</v>
      </c>
      <c r="E947" t="s">
        <v>74</v>
      </c>
      <c r="F947" t="s">
        <v>1793</v>
      </c>
      <c r="G947" t="s">
        <v>74</v>
      </c>
      <c r="H947" t="s">
        <v>74</v>
      </c>
      <c r="I947" t="s">
        <v>1794</v>
      </c>
      <c r="J947" t="s">
        <v>108</v>
      </c>
      <c r="K947" t="s">
        <v>74</v>
      </c>
      <c r="L947" t="s">
        <v>74</v>
      </c>
      <c r="M947" t="s">
        <v>74</v>
      </c>
      <c r="N947" t="s">
        <v>74</v>
      </c>
      <c r="O947" t="s">
        <v>74</v>
      </c>
      <c r="P947" t="s">
        <v>74</v>
      </c>
      <c r="Q947" t="s">
        <v>74</v>
      </c>
      <c r="R947" t="s">
        <v>74</v>
      </c>
      <c r="S947" t="s">
        <v>74</v>
      </c>
      <c r="T947" t="s">
        <v>74</v>
      </c>
      <c r="U947" t="s">
        <v>74</v>
      </c>
      <c r="V947" s="3" t="s">
        <v>1795</v>
      </c>
      <c r="W947" t="s">
        <v>74</v>
      </c>
      <c r="X947" t="s">
        <v>74</v>
      </c>
      <c r="Y947" t="s">
        <v>74</v>
      </c>
      <c r="Z947" t="s">
        <v>74</v>
      </c>
      <c r="AA947" t="s">
        <v>1106</v>
      </c>
      <c r="AB947" t="s">
        <v>1796</v>
      </c>
      <c r="AC947" t="s">
        <v>74</v>
      </c>
      <c r="AD947" t="s">
        <v>74</v>
      </c>
      <c r="AE947" t="s">
        <v>74</v>
      </c>
      <c r="AF947" t="s">
        <v>74</v>
      </c>
      <c r="AG947" t="s">
        <v>74</v>
      </c>
      <c r="AH947" t="s">
        <v>74</v>
      </c>
      <c r="AI947" t="s">
        <v>74</v>
      </c>
      <c r="AJ947" t="s">
        <v>74</v>
      </c>
      <c r="AK947" t="s">
        <v>74</v>
      </c>
      <c r="AL947" t="s">
        <v>74</v>
      </c>
      <c r="AM947" t="s">
        <v>74</v>
      </c>
      <c r="AN947" t="s">
        <v>74</v>
      </c>
      <c r="AO947" t="s">
        <v>111</v>
      </c>
      <c r="AP947" t="s">
        <v>112</v>
      </c>
      <c r="AQ947" t="s">
        <v>74</v>
      </c>
      <c r="AR947" t="s">
        <v>74</v>
      </c>
      <c r="AS947" t="s">
        <v>74</v>
      </c>
      <c r="AT947" t="s">
        <v>1797</v>
      </c>
      <c r="AU947">
        <v>2004</v>
      </c>
      <c r="AV947">
        <v>271</v>
      </c>
      <c r="AW947">
        <v>1546</v>
      </c>
      <c r="AX947" t="s">
        <v>74</v>
      </c>
      <c r="AY947" t="s">
        <v>74</v>
      </c>
      <c r="AZ947" t="s">
        <v>74</v>
      </c>
      <c r="BA947" t="s">
        <v>74</v>
      </c>
      <c r="BB947">
        <v>1345</v>
      </c>
      <c r="BC947">
        <v>1353</v>
      </c>
      <c r="BD947" t="s">
        <v>74</v>
      </c>
      <c r="BE947" t="s">
        <v>1798</v>
      </c>
      <c r="BF947" t="str">
        <f>HYPERLINK("http://dx.doi.org/10.1098/rspb.2004.2737","http://dx.doi.org/10.1098/rspb.2004.2737")</f>
        <v>http://dx.doi.org/10.1098/rspb.2004.2737</v>
      </c>
      <c r="BG947" t="s">
        <v>74</v>
      </c>
      <c r="BH947" t="s">
        <v>74</v>
      </c>
      <c r="BI947" t="s">
        <v>74</v>
      </c>
      <c r="BJ947" t="s">
        <v>74</v>
      </c>
      <c r="BK947" t="s">
        <v>74</v>
      </c>
      <c r="BL947" t="s">
        <v>74</v>
      </c>
      <c r="BM947" t="s">
        <v>74</v>
      </c>
      <c r="BN947">
        <v>15306332</v>
      </c>
      <c r="BO947" t="s">
        <v>74</v>
      </c>
      <c r="BP947" t="s">
        <v>74</v>
      </c>
      <c r="BQ947" t="s">
        <v>74</v>
      </c>
      <c r="BR947" t="s">
        <v>74</v>
      </c>
      <c r="BS947" t="s">
        <v>1799</v>
      </c>
      <c r="BT947" t="str">
        <f>HYPERLINK("https%3A%2F%2Fwww.webofscience.com%2Fwos%2Fwoscc%2Ffull-record%2FWOS:000222576500004","View Full Record in Web of Science")</f>
        <v>View Full Record in Web of Science</v>
      </c>
    </row>
    <row r="948" spans="1:72" x14ac:dyDescent="0.4">
      <c r="A948" t="s">
        <v>72</v>
      </c>
      <c r="B948" t="s">
        <v>698</v>
      </c>
      <c r="C948" t="s">
        <v>74</v>
      </c>
      <c r="D948" t="s">
        <v>74</v>
      </c>
      <c r="E948" t="s">
        <v>74</v>
      </c>
      <c r="F948" t="s">
        <v>699</v>
      </c>
      <c r="G948" t="s">
        <v>74</v>
      </c>
      <c r="H948" t="s">
        <v>74</v>
      </c>
      <c r="I948" t="s">
        <v>700</v>
      </c>
      <c r="J948" t="s">
        <v>701</v>
      </c>
      <c r="K948" t="s">
        <v>74</v>
      </c>
      <c r="L948" t="s">
        <v>74</v>
      </c>
      <c r="M948" t="s">
        <v>74</v>
      </c>
      <c r="N948" t="s">
        <v>74</v>
      </c>
      <c r="O948" t="s">
        <v>74</v>
      </c>
      <c r="P948" t="s">
        <v>74</v>
      </c>
      <c r="Q948" t="s">
        <v>74</v>
      </c>
      <c r="R948" t="s">
        <v>74</v>
      </c>
      <c r="S948" t="s">
        <v>74</v>
      </c>
      <c r="T948" t="s">
        <v>74</v>
      </c>
      <c r="U948" t="s">
        <v>74</v>
      </c>
      <c r="V948" s="3" t="s">
        <v>702</v>
      </c>
      <c r="W948" t="s">
        <v>74</v>
      </c>
      <c r="X948" t="s">
        <v>74</v>
      </c>
      <c r="Y948" t="s">
        <v>74</v>
      </c>
      <c r="Z948" t="s">
        <v>74</v>
      </c>
      <c r="AA948" t="s">
        <v>74</v>
      </c>
      <c r="AB948" t="s">
        <v>74</v>
      </c>
      <c r="AC948" t="s">
        <v>74</v>
      </c>
      <c r="AD948" t="s">
        <v>74</v>
      </c>
      <c r="AE948" t="s">
        <v>74</v>
      </c>
      <c r="AF948" t="s">
        <v>74</v>
      </c>
      <c r="AG948" t="s">
        <v>74</v>
      </c>
      <c r="AH948" t="s">
        <v>74</v>
      </c>
      <c r="AI948" t="s">
        <v>74</v>
      </c>
      <c r="AJ948" t="s">
        <v>74</v>
      </c>
      <c r="AK948" t="s">
        <v>74</v>
      </c>
      <c r="AL948" t="s">
        <v>74</v>
      </c>
      <c r="AM948" t="s">
        <v>74</v>
      </c>
      <c r="AN948" t="s">
        <v>74</v>
      </c>
      <c r="AO948" t="s">
        <v>703</v>
      </c>
      <c r="AP948" t="s">
        <v>704</v>
      </c>
      <c r="AQ948" t="s">
        <v>74</v>
      </c>
      <c r="AR948" t="s">
        <v>74</v>
      </c>
      <c r="AS948" t="s">
        <v>74</v>
      </c>
      <c r="AT948" t="s">
        <v>74</v>
      </c>
      <c r="AU948">
        <v>2009</v>
      </c>
      <c r="AV948">
        <v>55</v>
      </c>
      <c r="AW948">
        <v>4</v>
      </c>
      <c r="AX948" t="s">
        <v>74</v>
      </c>
      <c r="AY948" t="s">
        <v>74</v>
      </c>
      <c r="AZ948" t="s">
        <v>74</v>
      </c>
      <c r="BA948" t="s">
        <v>74</v>
      </c>
      <c r="BB948">
        <v>359</v>
      </c>
      <c r="BC948">
        <v>367</v>
      </c>
      <c r="BD948" t="s">
        <v>74</v>
      </c>
      <c r="BE948" t="s">
        <v>705</v>
      </c>
      <c r="BF948" t="str">
        <f>HYPERLINK("http://dx.doi.org/10.1560/IJEE.55.4.359","http://dx.doi.org/10.1560/IJEE.55.4.359")</f>
        <v>http://dx.doi.org/10.1560/IJEE.55.4.359</v>
      </c>
      <c r="BG948" t="s">
        <v>74</v>
      </c>
      <c r="BH948" t="s">
        <v>74</v>
      </c>
      <c r="BI948" t="s">
        <v>74</v>
      </c>
      <c r="BJ948" t="s">
        <v>74</v>
      </c>
      <c r="BK948" t="s">
        <v>74</v>
      </c>
      <c r="BL948" t="s">
        <v>74</v>
      </c>
      <c r="BM948" t="s">
        <v>74</v>
      </c>
      <c r="BN948" t="s">
        <v>74</v>
      </c>
      <c r="BO948" t="s">
        <v>74</v>
      </c>
      <c r="BP948" t="s">
        <v>74</v>
      </c>
      <c r="BQ948" t="s">
        <v>74</v>
      </c>
      <c r="BR948" t="s">
        <v>74</v>
      </c>
      <c r="BS948" t="s">
        <v>706</v>
      </c>
      <c r="BT948" t="str">
        <f>HYPERLINK("https%3A%2F%2Fwww.webofscience.com%2Fwos%2Fwoscc%2Ffull-record%2FWOS:000281916500005","View Full Record in Web of Science")</f>
        <v>View Full Record in Web of Science</v>
      </c>
    </row>
    <row r="949" spans="1:72" x14ac:dyDescent="0.4">
      <c r="A949" t="s">
        <v>72</v>
      </c>
      <c r="B949" t="s">
        <v>8465</v>
      </c>
      <c r="C949" t="s">
        <v>74</v>
      </c>
      <c r="D949" t="s">
        <v>74</v>
      </c>
      <c r="E949" t="s">
        <v>74</v>
      </c>
      <c r="F949" t="s">
        <v>8466</v>
      </c>
      <c r="G949" t="s">
        <v>74</v>
      </c>
      <c r="H949" t="s">
        <v>74</v>
      </c>
      <c r="I949" t="s">
        <v>8467</v>
      </c>
      <c r="J949" t="s">
        <v>8468</v>
      </c>
      <c r="K949" t="s">
        <v>74</v>
      </c>
      <c r="L949" t="s">
        <v>74</v>
      </c>
      <c r="M949" t="s">
        <v>74</v>
      </c>
      <c r="N949" t="s">
        <v>74</v>
      </c>
      <c r="O949" t="s">
        <v>74</v>
      </c>
      <c r="P949" t="s">
        <v>74</v>
      </c>
      <c r="Q949" t="s">
        <v>74</v>
      </c>
      <c r="R949" t="s">
        <v>74</v>
      </c>
      <c r="S949" t="s">
        <v>74</v>
      </c>
      <c r="T949" t="s">
        <v>74</v>
      </c>
      <c r="U949" t="s">
        <v>74</v>
      </c>
      <c r="V949" s="3" t="s">
        <v>8469</v>
      </c>
      <c r="W949" t="s">
        <v>74</v>
      </c>
      <c r="X949" t="s">
        <v>74</v>
      </c>
      <c r="Y949" t="s">
        <v>74</v>
      </c>
      <c r="Z949" t="s">
        <v>74</v>
      </c>
      <c r="AA949" t="s">
        <v>74</v>
      </c>
      <c r="AB949" t="s">
        <v>74</v>
      </c>
      <c r="AC949" t="s">
        <v>74</v>
      </c>
      <c r="AD949" t="s">
        <v>74</v>
      </c>
      <c r="AE949" t="s">
        <v>74</v>
      </c>
      <c r="AF949" t="s">
        <v>74</v>
      </c>
      <c r="AG949" t="s">
        <v>74</v>
      </c>
      <c r="AH949" t="s">
        <v>74</v>
      </c>
      <c r="AI949" t="s">
        <v>74</v>
      </c>
      <c r="AJ949" t="s">
        <v>74</v>
      </c>
      <c r="AK949" t="s">
        <v>74</v>
      </c>
      <c r="AL949" t="s">
        <v>74</v>
      </c>
      <c r="AM949" t="s">
        <v>74</v>
      </c>
      <c r="AN949" t="s">
        <v>74</v>
      </c>
      <c r="AO949" t="s">
        <v>8470</v>
      </c>
      <c r="AP949" t="s">
        <v>74</v>
      </c>
      <c r="AQ949" t="s">
        <v>74</v>
      </c>
      <c r="AR949" t="s">
        <v>74</v>
      </c>
      <c r="AS949" t="s">
        <v>74</v>
      </c>
      <c r="AT949" t="s">
        <v>352</v>
      </c>
      <c r="AU949">
        <v>2016</v>
      </c>
      <c r="AV949">
        <v>23</v>
      </c>
      <c r="AW949" t="s">
        <v>74</v>
      </c>
      <c r="AX949" t="s">
        <v>74</v>
      </c>
      <c r="AY949" t="s">
        <v>74</v>
      </c>
      <c r="AZ949" t="s">
        <v>74</v>
      </c>
      <c r="BA949" t="s">
        <v>74</v>
      </c>
      <c r="BB949">
        <v>41</v>
      </c>
      <c r="BC949">
        <v>59</v>
      </c>
      <c r="BD949" t="s">
        <v>74</v>
      </c>
      <c r="BE949" t="s">
        <v>74</v>
      </c>
      <c r="BF949" t="s">
        <v>74</v>
      </c>
      <c r="BG949" t="s">
        <v>74</v>
      </c>
      <c r="BH949" t="s">
        <v>74</v>
      </c>
      <c r="BI949" t="s">
        <v>74</v>
      </c>
      <c r="BJ949" t="s">
        <v>74</v>
      </c>
      <c r="BK949" t="s">
        <v>74</v>
      </c>
      <c r="BL949" t="s">
        <v>74</v>
      </c>
      <c r="BM949" t="s">
        <v>74</v>
      </c>
      <c r="BN949" t="s">
        <v>74</v>
      </c>
      <c r="BO949" t="s">
        <v>74</v>
      </c>
      <c r="BP949" t="s">
        <v>74</v>
      </c>
      <c r="BQ949" t="s">
        <v>74</v>
      </c>
      <c r="BR949" t="s">
        <v>74</v>
      </c>
      <c r="BS949" t="s">
        <v>8471</v>
      </c>
      <c r="BT949" t="str">
        <f>HYPERLINK("https%3A%2F%2Fwww.webofscience.com%2Fwos%2Fwoscc%2Ffull-record%2FWOS:000383924400005","View Full Record in Web of Science")</f>
        <v>View Full Record in Web of Science</v>
      </c>
    </row>
    <row r="950" spans="1:72" x14ac:dyDescent="0.4">
      <c r="A950" t="s">
        <v>72</v>
      </c>
      <c r="B950" t="s">
        <v>5978</v>
      </c>
      <c r="C950" t="s">
        <v>74</v>
      </c>
      <c r="D950" t="s">
        <v>74</v>
      </c>
      <c r="E950" t="s">
        <v>74</v>
      </c>
      <c r="F950" t="s">
        <v>5979</v>
      </c>
      <c r="G950" t="s">
        <v>74</v>
      </c>
      <c r="H950" t="s">
        <v>74</v>
      </c>
      <c r="I950" t="s">
        <v>5980</v>
      </c>
      <c r="J950" t="s">
        <v>108</v>
      </c>
      <c r="K950" t="s">
        <v>74</v>
      </c>
      <c r="L950" t="s">
        <v>74</v>
      </c>
      <c r="M950" t="s">
        <v>74</v>
      </c>
      <c r="N950" t="s">
        <v>74</v>
      </c>
      <c r="O950" t="s">
        <v>74</v>
      </c>
      <c r="P950" t="s">
        <v>74</v>
      </c>
      <c r="Q950" t="s">
        <v>74</v>
      </c>
      <c r="R950" t="s">
        <v>74</v>
      </c>
      <c r="S950" t="s">
        <v>74</v>
      </c>
      <c r="T950" t="s">
        <v>74</v>
      </c>
      <c r="U950" t="s">
        <v>74</v>
      </c>
      <c r="V950" s="3" t="s">
        <v>5981</v>
      </c>
      <c r="W950" t="s">
        <v>74</v>
      </c>
      <c r="X950" t="s">
        <v>74</v>
      </c>
      <c r="Y950" t="s">
        <v>74</v>
      </c>
      <c r="Z950" t="s">
        <v>74</v>
      </c>
      <c r="AA950" t="s">
        <v>5982</v>
      </c>
      <c r="AB950" t="s">
        <v>5983</v>
      </c>
      <c r="AC950" t="s">
        <v>74</v>
      </c>
      <c r="AD950" t="s">
        <v>74</v>
      </c>
      <c r="AE950" t="s">
        <v>74</v>
      </c>
      <c r="AF950" t="s">
        <v>74</v>
      </c>
      <c r="AG950" t="s">
        <v>74</v>
      </c>
      <c r="AH950" t="s">
        <v>74</v>
      </c>
      <c r="AI950" t="s">
        <v>74</v>
      </c>
      <c r="AJ950" t="s">
        <v>74</v>
      </c>
      <c r="AK950" t="s">
        <v>74</v>
      </c>
      <c r="AL950" t="s">
        <v>74</v>
      </c>
      <c r="AM950" t="s">
        <v>74</v>
      </c>
      <c r="AN950" t="s">
        <v>74</v>
      </c>
      <c r="AO950" t="s">
        <v>111</v>
      </c>
      <c r="AP950" t="s">
        <v>112</v>
      </c>
      <c r="AQ950" t="s">
        <v>74</v>
      </c>
      <c r="AR950" t="s">
        <v>74</v>
      </c>
      <c r="AS950" t="s">
        <v>74</v>
      </c>
      <c r="AT950" t="s">
        <v>5984</v>
      </c>
      <c r="AU950">
        <v>2016</v>
      </c>
      <c r="AV950">
        <v>283</v>
      </c>
      <c r="AW950">
        <v>1830</v>
      </c>
      <c r="AX950" t="s">
        <v>74</v>
      </c>
      <c r="AY950" t="s">
        <v>74</v>
      </c>
      <c r="AZ950" t="s">
        <v>74</v>
      </c>
      <c r="BA950" t="s">
        <v>74</v>
      </c>
      <c r="BB950" t="s">
        <v>74</v>
      </c>
      <c r="BC950" t="s">
        <v>74</v>
      </c>
      <c r="BD950">
        <v>20160172</v>
      </c>
      <c r="BE950" t="s">
        <v>5985</v>
      </c>
      <c r="BF950" t="str">
        <f>HYPERLINK("http://dx.doi.org/10.1098/rspb.2016.0172","http://dx.doi.org/10.1098/rspb.2016.0172")</f>
        <v>http://dx.doi.org/10.1098/rspb.2016.0172</v>
      </c>
      <c r="BG950" t="s">
        <v>74</v>
      </c>
      <c r="BH950" t="s">
        <v>74</v>
      </c>
      <c r="BI950" t="s">
        <v>74</v>
      </c>
      <c r="BJ950" t="s">
        <v>74</v>
      </c>
      <c r="BK950" t="s">
        <v>74</v>
      </c>
      <c r="BL950" t="s">
        <v>74</v>
      </c>
      <c r="BM950" t="s">
        <v>74</v>
      </c>
      <c r="BN950">
        <v>27147097</v>
      </c>
      <c r="BO950" t="s">
        <v>74</v>
      </c>
      <c r="BP950" t="s">
        <v>74</v>
      </c>
      <c r="BQ950" t="s">
        <v>74</v>
      </c>
      <c r="BR950" t="s">
        <v>74</v>
      </c>
      <c r="BS950" t="s">
        <v>5986</v>
      </c>
      <c r="BT950" t="str">
        <f>HYPERLINK("https%3A%2F%2Fwww.webofscience.com%2Fwos%2Fwoscc%2Ffull-record%2FWOS:000376158800013","View Full Record in Web of Science")</f>
        <v>View Full Record in Web of Science</v>
      </c>
    </row>
    <row r="951" spans="1:72" x14ac:dyDescent="0.4">
      <c r="A951" t="s">
        <v>72</v>
      </c>
      <c r="B951" t="s">
        <v>4719</v>
      </c>
      <c r="C951" t="s">
        <v>74</v>
      </c>
      <c r="D951" t="s">
        <v>74</v>
      </c>
      <c r="E951" t="s">
        <v>74</v>
      </c>
      <c r="F951" t="s">
        <v>4719</v>
      </c>
      <c r="G951" t="s">
        <v>74</v>
      </c>
      <c r="H951" t="s">
        <v>74</v>
      </c>
      <c r="I951" t="s">
        <v>4720</v>
      </c>
      <c r="J951" t="s">
        <v>129</v>
      </c>
      <c r="K951" t="s">
        <v>74</v>
      </c>
      <c r="L951" t="s">
        <v>74</v>
      </c>
      <c r="M951" t="s">
        <v>74</v>
      </c>
      <c r="N951" t="s">
        <v>74</v>
      </c>
      <c r="O951" t="s">
        <v>74</v>
      </c>
      <c r="P951" t="s">
        <v>74</v>
      </c>
      <c r="Q951" t="s">
        <v>74</v>
      </c>
      <c r="R951" t="s">
        <v>74</v>
      </c>
      <c r="S951" t="s">
        <v>74</v>
      </c>
      <c r="T951" t="s">
        <v>74</v>
      </c>
      <c r="U951" t="s">
        <v>74</v>
      </c>
      <c r="V951" s="3" t="s">
        <v>4721</v>
      </c>
      <c r="W951" t="s">
        <v>74</v>
      </c>
      <c r="X951" t="s">
        <v>74</v>
      </c>
      <c r="Y951" t="s">
        <v>74</v>
      </c>
      <c r="Z951" t="s">
        <v>74</v>
      </c>
      <c r="AA951" t="s">
        <v>4722</v>
      </c>
      <c r="AB951" t="s">
        <v>4723</v>
      </c>
      <c r="AC951" t="s">
        <v>74</v>
      </c>
      <c r="AD951" t="s">
        <v>74</v>
      </c>
      <c r="AE951" t="s">
        <v>74</v>
      </c>
      <c r="AF951" t="s">
        <v>74</v>
      </c>
      <c r="AG951" t="s">
        <v>74</v>
      </c>
      <c r="AH951" t="s">
        <v>74</v>
      </c>
      <c r="AI951" t="s">
        <v>74</v>
      </c>
      <c r="AJ951" t="s">
        <v>74</v>
      </c>
      <c r="AK951" t="s">
        <v>74</v>
      </c>
      <c r="AL951" t="s">
        <v>74</v>
      </c>
      <c r="AM951" t="s">
        <v>74</v>
      </c>
      <c r="AN951" t="s">
        <v>74</v>
      </c>
      <c r="AO951" t="s">
        <v>132</v>
      </c>
      <c r="AP951" t="s">
        <v>133</v>
      </c>
      <c r="AQ951" t="s">
        <v>74</v>
      </c>
      <c r="AR951" t="s">
        <v>74</v>
      </c>
      <c r="AS951" t="s">
        <v>74</v>
      </c>
      <c r="AT951" t="s">
        <v>123</v>
      </c>
      <c r="AU951">
        <v>2005</v>
      </c>
      <c r="AV951">
        <v>57</v>
      </c>
      <c r="AW951">
        <v>5</v>
      </c>
      <c r="AX951" t="s">
        <v>74</v>
      </c>
      <c r="AY951" t="s">
        <v>74</v>
      </c>
      <c r="AZ951" t="s">
        <v>74</v>
      </c>
      <c r="BA951" t="s">
        <v>74</v>
      </c>
      <c r="BB951">
        <v>465</v>
      </c>
      <c r="BC951">
        <v>469</v>
      </c>
      <c r="BD951" t="s">
        <v>74</v>
      </c>
      <c r="BE951" t="s">
        <v>4724</v>
      </c>
      <c r="BF951" t="str">
        <f>HYPERLINK("http://dx.doi.org/10.1007/s00265-004-0873-7","http://dx.doi.org/10.1007/s00265-004-0873-7")</f>
        <v>http://dx.doi.org/10.1007/s00265-004-0873-7</v>
      </c>
      <c r="BG951" t="s">
        <v>74</v>
      </c>
      <c r="BH951" t="s">
        <v>74</v>
      </c>
      <c r="BI951" t="s">
        <v>74</v>
      </c>
      <c r="BJ951" t="s">
        <v>74</v>
      </c>
      <c r="BK951" t="s">
        <v>74</v>
      </c>
      <c r="BL951" t="s">
        <v>74</v>
      </c>
      <c r="BM951" t="s">
        <v>74</v>
      </c>
      <c r="BN951" t="s">
        <v>74</v>
      </c>
      <c r="BO951" t="s">
        <v>74</v>
      </c>
      <c r="BP951" t="s">
        <v>74</v>
      </c>
      <c r="BQ951" t="s">
        <v>74</v>
      </c>
      <c r="BR951" t="s">
        <v>74</v>
      </c>
      <c r="BS951" t="s">
        <v>4725</v>
      </c>
      <c r="BT951" t="str">
        <f>HYPERLINK("https%3A%2F%2Fwww.webofscience.com%2Fwos%2Fwoscc%2Ffull-record%2FWOS:000227366700008","View Full Record in Web of Science")</f>
        <v>View Full Record in Web of Science</v>
      </c>
    </row>
    <row r="952" spans="1:72" x14ac:dyDescent="0.4">
      <c r="A952" t="s">
        <v>72</v>
      </c>
      <c r="B952" t="s">
        <v>5071</v>
      </c>
      <c r="C952" t="s">
        <v>74</v>
      </c>
      <c r="D952" t="s">
        <v>74</v>
      </c>
      <c r="E952" t="s">
        <v>74</v>
      </c>
      <c r="F952" t="s">
        <v>5071</v>
      </c>
      <c r="G952" t="s">
        <v>74</v>
      </c>
      <c r="H952" t="s">
        <v>74</v>
      </c>
      <c r="I952" t="s">
        <v>5072</v>
      </c>
      <c r="J952" t="s">
        <v>610</v>
      </c>
      <c r="K952" t="s">
        <v>74</v>
      </c>
      <c r="L952" t="s">
        <v>74</v>
      </c>
      <c r="M952" t="s">
        <v>74</v>
      </c>
      <c r="N952" t="s">
        <v>74</v>
      </c>
      <c r="O952" t="s">
        <v>5073</v>
      </c>
      <c r="P952" t="s">
        <v>5074</v>
      </c>
      <c r="Q952" t="s">
        <v>5075</v>
      </c>
      <c r="R952" t="s">
        <v>5076</v>
      </c>
      <c r="S952" t="s">
        <v>74</v>
      </c>
      <c r="T952" t="s">
        <v>74</v>
      </c>
      <c r="U952" t="s">
        <v>74</v>
      </c>
      <c r="V952" s="3" t="s">
        <v>5077</v>
      </c>
      <c r="W952" t="s">
        <v>74</v>
      </c>
      <c r="X952" t="s">
        <v>74</v>
      </c>
      <c r="Y952" t="s">
        <v>74</v>
      </c>
      <c r="Z952" t="s">
        <v>74</v>
      </c>
      <c r="AA952" t="s">
        <v>74</v>
      </c>
      <c r="AB952" t="s">
        <v>74</v>
      </c>
      <c r="AC952" t="s">
        <v>74</v>
      </c>
      <c r="AD952" t="s">
        <v>74</v>
      </c>
      <c r="AE952" t="s">
        <v>74</v>
      </c>
      <c r="AF952" t="s">
        <v>74</v>
      </c>
      <c r="AG952" t="s">
        <v>74</v>
      </c>
      <c r="AH952" t="s">
        <v>74</v>
      </c>
      <c r="AI952" t="s">
        <v>74</v>
      </c>
      <c r="AJ952" t="s">
        <v>74</v>
      </c>
      <c r="AK952" t="s">
        <v>74</v>
      </c>
      <c r="AL952" t="s">
        <v>74</v>
      </c>
      <c r="AM952" t="s">
        <v>74</v>
      </c>
      <c r="AN952" t="s">
        <v>74</v>
      </c>
      <c r="AO952" t="s">
        <v>614</v>
      </c>
      <c r="AP952" t="s">
        <v>615</v>
      </c>
      <c r="AQ952" t="s">
        <v>74</v>
      </c>
      <c r="AR952" t="s">
        <v>74</v>
      </c>
      <c r="AS952" t="s">
        <v>74</v>
      </c>
      <c r="AT952" t="s">
        <v>255</v>
      </c>
      <c r="AU952">
        <v>2005</v>
      </c>
      <c r="AV952">
        <v>111</v>
      </c>
      <c r="AW952">
        <v>1</v>
      </c>
      <c r="AX952" t="s">
        <v>74</v>
      </c>
      <c r="AY952" t="s">
        <v>74</v>
      </c>
      <c r="AZ952" t="s">
        <v>74</v>
      </c>
      <c r="BA952" t="s">
        <v>74</v>
      </c>
      <c r="BB952">
        <v>25</v>
      </c>
      <c r="BC952">
        <v>50</v>
      </c>
      <c r="BD952" t="s">
        <v>74</v>
      </c>
      <c r="BE952" t="s">
        <v>5078</v>
      </c>
      <c r="BF952" t="str">
        <f>HYPERLINK("http://dx.doi.org/10.1111/j.1439-0310.2004.01054.x","http://dx.doi.org/10.1111/j.1439-0310.2004.01054.x")</f>
        <v>http://dx.doi.org/10.1111/j.1439-0310.2004.01054.x</v>
      </c>
      <c r="BG952" t="s">
        <v>74</v>
      </c>
      <c r="BH952" t="s">
        <v>74</v>
      </c>
      <c r="BI952" t="s">
        <v>74</v>
      </c>
      <c r="BJ952" t="s">
        <v>74</v>
      </c>
      <c r="BK952" t="s">
        <v>74</v>
      </c>
      <c r="BL952" t="s">
        <v>74</v>
      </c>
      <c r="BM952" t="s">
        <v>74</v>
      </c>
      <c r="BN952" t="s">
        <v>74</v>
      </c>
      <c r="BO952" t="s">
        <v>74</v>
      </c>
      <c r="BP952" t="s">
        <v>74</v>
      </c>
      <c r="BQ952" t="s">
        <v>74</v>
      </c>
      <c r="BR952" t="s">
        <v>74</v>
      </c>
      <c r="BS952" t="s">
        <v>5079</v>
      </c>
      <c r="BT952" t="str">
        <f>HYPERLINK("https%3A%2F%2Fwww.webofscience.com%2Fwos%2Fwoscc%2Ffull-record%2FWOS:000226377200002","View Full Record in Web of Science")</f>
        <v>View Full Record in Web of Science</v>
      </c>
    </row>
    <row r="953" spans="1:72" x14ac:dyDescent="0.4">
      <c r="A953" t="s">
        <v>72</v>
      </c>
      <c r="B953" t="s">
        <v>2765</v>
      </c>
      <c r="C953" t="s">
        <v>74</v>
      </c>
      <c r="D953" t="s">
        <v>74</v>
      </c>
      <c r="E953" t="s">
        <v>74</v>
      </c>
      <c r="F953" t="s">
        <v>2766</v>
      </c>
      <c r="G953" t="s">
        <v>74</v>
      </c>
      <c r="H953" t="s">
        <v>74</v>
      </c>
      <c r="I953" t="s">
        <v>2767</v>
      </c>
      <c r="J953" t="s">
        <v>691</v>
      </c>
      <c r="K953" t="s">
        <v>74</v>
      </c>
      <c r="L953" t="s">
        <v>74</v>
      </c>
      <c r="M953" t="s">
        <v>74</v>
      </c>
      <c r="N953" t="s">
        <v>74</v>
      </c>
      <c r="O953" t="s">
        <v>74</v>
      </c>
      <c r="P953" t="s">
        <v>74</v>
      </c>
      <c r="Q953" t="s">
        <v>74</v>
      </c>
      <c r="R953" t="s">
        <v>74</v>
      </c>
      <c r="S953" t="s">
        <v>74</v>
      </c>
      <c r="T953" t="s">
        <v>74</v>
      </c>
      <c r="U953" t="s">
        <v>74</v>
      </c>
      <c r="V953" s="3" t="s">
        <v>2768</v>
      </c>
      <c r="W953" t="s">
        <v>74</v>
      </c>
      <c r="X953" t="s">
        <v>74</v>
      </c>
      <c r="Y953" t="s">
        <v>74</v>
      </c>
      <c r="Z953" t="s">
        <v>74</v>
      </c>
      <c r="AA953" t="s">
        <v>74</v>
      </c>
      <c r="AB953" t="s">
        <v>74</v>
      </c>
      <c r="AC953" t="s">
        <v>74</v>
      </c>
      <c r="AD953" t="s">
        <v>74</v>
      </c>
      <c r="AE953" t="s">
        <v>74</v>
      </c>
      <c r="AF953" t="s">
        <v>74</v>
      </c>
      <c r="AG953" t="s">
        <v>74</v>
      </c>
      <c r="AH953" t="s">
        <v>74</v>
      </c>
      <c r="AI953" t="s">
        <v>74</v>
      </c>
      <c r="AJ953" t="s">
        <v>74</v>
      </c>
      <c r="AK953" t="s">
        <v>74</v>
      </c>
      <c r="AL953" t="s">
        <v>74</v>
      </c>
      <c r="AM953" t="s">
        <v>74</v>
      </c>
      <c r="AN953" t="s">
        <v>74</v>
      </c>
      <c r="AO953" t="s">
        <v>695</v>
      </c>
      <c r="AP953" t="s">
        <v>74</v>
      </c>
      <c r="AQ953" t="s">
        <v>74</v>
      </c>
      <c r="AR953" t="s">
        <v>74</v>
      </c>
      <c r="AS953" t="s">
        <v>74</v>
      </c>
      <c r="AT953" t="s">
        <v>1146</v>
      </c>
      <c r="AU953">
        <v>2015</v>
      </c>
      <c r="AV953">
        <v>147</v>
      </c>
      <c r="AW953" t="s">
        <v>74</v>
      </c>
      <c r="AX953" t="s">
        <v>74</v>
      </c>
      <c r="AY953" t="s">
        <v>74</v>
      </c>
      <c r="AZ953" t="s">
        <v>74</v>
      </c>
      <c r="BA953" t="s">
        <v>74</v>
      </c>
      <c r="BB953">
        <v>245</v>
      </c>
      <c r="BC953">
        <v>254</v>
      </c>
      <c r="BD953" t="s">
        <v>74</v>
      </c>
      <c r="BE953" t="s">
        <v>2769</v>
      </c>
      <c r="BF953" t="str">
        <f>HYPERLINK("http://dx.doi.org/10.1016/j.physbeh.2015.04.051","http://dx.doi.org/10.1016/j.physbeh.2015.04.051")</f>
        <v>http://dx.doi.org/10.1016/j.physbeh.2015.04.051</v>
      </c>
      <c r="BG953" t="s">
        <v>74</v>
      </c>
      <c r="BH953" t="s">
        <v>74</v>
      </c>
      <c r="BI953" t="s">
        <v>74</v>
      </c>
      <c r="BJ953" t="s">
        <v>74</v>
      </c>
      <c r="BK953" t="s">
        <v>74</v>
      </c>
      <c r="BL953" t="s">
        <v>74</v>
      </c>
      <c r="BM953" t="s">
        <v>74</v>
      </c>
      <c r="BN953">
        <v>25936819</v>
      </c>
      <c r="BO953" t="s">
        <v>74</v>
      </c>
      <c r="BP953" t="s">
        <v>74</v>
      </c>
      <c r="BQ953" t="s">
        <v>74</v>
      </c>
      <c r="BR953" t="s">
        <v>74</v>
      </c>
      <c r="BS953" t="s">
        <v>2770</v>
      </c>
      <c r="BT953" t="str">
        <f>HYPERLINK("https%3A%2F%2Fwww.webofscience.com%2Fwos%2Fwoscc%2Ffull-record%2FWOS:000356737100034","View Full Record in Web of Science")</f>
        <v>View Full Record in Web of Science</v>
      </c>
    </row>
    <row r="954" spans="1:72" x14ac:dyDescent="0.4">
      <c r="A954" t="s">
        <v>72</v>
      </c>
      <c r="B954" t="s">
        <v>7075</v>
      </c>
      <c r="C954" t="s">
        <v>74</v>
      </c>
      <c r="D954" t="s">
        <v>74</v>
      </c>
      <c r="E954" t="s">
        <v>74</v>
      </c>
      <c r="F954" t="s">
        <v>7075</v>
      </c>
      <c r="G954" t="s">
        <v>74</v>
      </c>
      <c r="H954" t="s">
        <v>74</v>
      </c>
      <c r="I954" t="s">
        <v>7076</v>
      </c>
      <c r="J954" t="s">
        <v>5577</v>
      </c>
      <c r="K954" t="s">
        <v>74</v>
      </c>
      <c r="L954" t="s">
        <v>74</v>
      </c>
      <c r="M954" t="s">
        <v>74</v>
      </c>
      <c r="N954" t="s">
        <v>74</v>
      </c>
      <c r="O954" t="s">
        <v>74</v>
      </c>
      <c r="P954" t="s">
        <v>74</v>
      </c>
      <c r="Q954" t="s">
        <v>74</v>
      </c>
      <c r="R954" t="s">
        <v>74</v>
      </c>
      <c r="S954" t="s">
        <v>74</v>
      </c>
      <c r="T954" t="s">
        <v>74</v>
      </c>
      <c r="U954" t="s">
        <v>74</v>
      </c>
      <c r="V954" s="3" t="s">
        <v>7077</v>
      </c>
      <c r="W954" t="s">
        <v>74</v>
      </c>
      <c r="X954" t="s">
        <v>74</v>
      </c>
      <c r="Y954" t="s">
        <v>74</v>
      </c>
      <c r="Z954" t="s">
        <v>74</v>
      </c>
      <c r="AA954" t="s">
        <v>74</v>
      </c>
      <c r="AB954" t="s">
        <v>74</v>
      </c>
      <c r="AC954" t="s">
        <v>74</v>
      </c>
      <c r="AD954" t="s">
        <v>74</v>
      </c>
      <c r="AE954" t="s">
        <v>74</v>
      </c>
      <c r="AF954" t="s">
        <v>74</v>
      </c>
      <c r="AG954" t="s">
        <v>74</v>
      </c>
      <c r="AH954" t="s">
        <v>74</v>
      </c>
      <c r="AI954" t="s">
        <v>74</v>
      </c>
      <c r="AJ954" t="s">
        <v>74</v>
      </c>
      <c r="AK954" t="s">
        <v>74</v>
      </c>
      <c r="AL954" t="s">
        <v>74</v>
      </c>
      <c r="AM954" t="s">
        <v>74</v>
      </c>
      <c r="AN954" t="s">
        <v>74</v>
      </c>
      <c r="AO954" t="s">
        <v>5579</v>
      </c>
      <c r="AP954" t="s">
        <v>74</v>
      </c>
      <c r="AQ954" t="s">
        <v>74</v>
      </c>
      <c r="AR954" t="s">
        <v>74</v>
      </c>
      <c r="AS954" t="s">
        <v>74</v>
      </c>
      <c r="AT954" t="s">
        <v>204</v>
      </c>
      <c r="AU954">
        <v>1998</v>
      </c>
      <c r="AV954">
        <v>77</v>
      </c>
      <c r="AW954">
        <v>7</v>
      </c>
      <c r="AX954" t="s">
        <v>74</v>
      </c>
      <c r="AY954" t="s">
        <v>74</v>
      </c>
      <c r="AZ954" t="s">
        <v>74</v>
      </c>
      <c r="BA954" t="s">
        <v>74</v>
      </c>
      <c r="BB954">
        <v>809</v>
      </c>
      <c r="BC954">
        <v>817</v>
      </c>
      <c r="BD954" t="s">
        <v>74</v>
      </c>
      <c r="BE954" t="s">
        <v>74</v>
      </c>
      <c r="BF954" t="s">
        <v>74</v>
      </c>
      <c r="BG954" t="s">
        <v>74</v>
      </c>
      <c r="BH954" t="s">
        <v>74</v>
      </c>
      <c r="BI954" t="s">
        <v>74</v>
      </c>
      <c r="BJ954" t="s">
        <v>74</v>
      </c>
      <c r="BK954" t="s">
        <v>74</v>
      </c>
      <c r="BL954" t="s">
        <v>74</v>
      </c>
      <c r="BM954" t="s">
        <v>74</v>
      </c>
      <c r="BN954" t="s">
        <v>74</v>
      </c>
      <c r="BO954" t="s">
        <v>74</v>
      </c>
      <c r="BP954" t="s">
        <v>74</v>
      </c>
      <c r="BQ954" t="s">
        <v>74</v>
      </c>
      <c r="BR954" t="s">
        <v>74</v>
      </c>
      <c r="BS954" t="s">
        <v>7078</v>
      </c>
      <c r="BT954" t="str">
        <f>HYPERLINK("https%3A%2F%2Fwww.webofscience.com%2Fwos%2Fwoscc%2Ffull-record%2FWOS:000075812800006","View Full Record in Web of Science")</f>
        <v>View Full Record in Web of Science</v>
      </c>
    </row>
    <row r="955" spans="1:72" x14ac:dyDescent="0.4">
      <c r="A955" t="s">
        <v>72</v>
      </c>
      <c r="B955" t="s">
        <v>5281</v>
      </c>
      <c r="C955" t="s">
        <v>74</v>
      </c>
      <c r="D955" t="s">
        <v>74</v>
      </c>
      <c r="E955" t="s">
        <v>74</v>
      </c>
      <c r="F955" t="s">
        <v>5282</v>
      </c>
      <c r="G955" t="s">
        <v>74</v>
      </c>
      <c r="H955" t="s">
        <v>74</v>
      </c>
      <c r="I955" t="s">
        <v>5283</v>
      </c>
      <c r="J955" t="s">
        <v>171</v>
      </c>
      <c r="K955" t="s">
        <v>74</v>
      </c>
      <c r="L955" t="s">
        <v>74</v>
      </c>
      <c r="M955" t="s">
        <v>74</v>
      </c>
      <c r="N955" t="s">
        <v>74</v>
      </c>
      <c r="O955" t="s">
        <v>74</v>
      </c>
      <c r="P955" t="s">
        <v>74</v>
      </c>
      <c r="Q955" t="s">
        <v>74</v>
      </c>
      <c r="R955" t="s">
        <v>74</v>
      </c>
      <c r="S955" t="s">
        <v>74</v>
      </c>
      <c r="T955" t="s">
        <v>74</v>
      </c>
      <c r="U955" t="s">
        <v>74</v>
      </c>
      <c r="V955" s="3" t="s">
        <v>5284</v>
      </c>
      <c r="W955" t="s">
        <v>74</v>
      </c>
      <c r="X955" t="s">
        <v>74</v>
      </c>
      <c r="Y955" t="s">
        <v>74</v>
      </c>
      <c r="Z955" t="s">
        <v>74</v>
      </c>
      <c r="AA955" t="s">
        <v>5285</v>
      </c>
      <c r="AB955" t="s">
        <v>5286</v>
      </c>
      <c r="AC955" t="s">
        <v>74</v>
      </c>
      <c r="AD955" t="s">
        <v>74</v>
      </c>
      <c r="AE955" t="s">
        <v>74</v>
      </c>
      <c r="AF955" t="s">
        <v>74</v>
      </c>
      <c r="AG955" t="s">
        <v>74</v>
      </c>
      <c r="AH955" t="s">
        <v>74</v>
      </c>
      <c r="AI955" t="s">
        <v>74</v>
      </c>
      <c r="AJ955" t="s">
        <v>74</v>
      </c>
      <c r="AK955" t="s">
        <v>74</v>
      </c>
      <c r="AL955" t="s">
        <v>74</v>
      </c>
      <c r="AM955" t="s">
        <v>74</v>
      </c>
      <c r="AN955" t="s">
        <v>74</v>
      </c>
      <c r="AO955" t="s">
        <v>173</v>
      </c>
      <c r="AP955" t="s">
        <v>174</v>
      </c>
      <c r="AQ955" t="s">
        <v>74</v>
      </c>
      <c r="AR955" t="s">
        <v>74</v>
      </c>
      <c r="AS955" t="s">
        <v>74</v>
      </c>
      <c r="AT955" t="s">
        <v>305</v>
      </c>
      <c r="AU955">
        <v>2009</v>
      </c>
      <c r="AV955">
        <v>63</v>
      </c>
      <c r="AW955">
        <v>12</v>
      </c>
      <c r="AX955" t="s">
        <v>74</v>
      </c>
      <c r="AY955" t="s">
        <v>74</v>
      </c>
      <c r="AZ955" t="s">
        <v>74</v>
      </c>
      <c r="BA955" t="s">
        <v>74</v>
      </c>
      <c r="BB955">
        <v>3106</v>
      </c>
      <c r="BC955">
        <v>3113</v>
      </c>
      <c r="BD955" t="s">
        <v>74</v>
      </c>
      <c r="BE955" t="s">
        <v>5287</v>
      </c>
      <c r="BF955" t="str">
        <f>HYPERLINK("http://dx.doi.org/10.1111/j.1558-5646.2009.00833.x","http://dx.doi.org/10.1111/j.1558-5646.2009.00833.x")</f>
        <v>http://dx.doi.org/10.1111/j.1558-5646.2009.00833.x</v>
      </c>
      <c r="BG955" t="s">
        <v>74</v>
      </c>
      <c r="BH955" t="s">
        <v>74</v>
      </c>
      <c r="BI955" t="s">
        <v>74</v>
      </c>
      <c r="BJ955" t="s">
        <v>74</v>
      </c>
      <c r="BK955" t="s">
        <v>74</v>
      </c>
      <c r="BL955" t="s">
        <v>74</v>
      </c>
      <c r="BM955" t="s">
        <v>74</v>
      </c>
      <c r="BN955">
        <v>19744121</v>
      </c>
      <c r="BO955" t="s">
        <v>74</v>
      </c>
      <c r="BP955" t="s">
        <v>74</v>
      </c>
      <c r="BQ955" t="s">
        <v>74</v>
      </c>
      <c r="BR955" t="s">
        <v>74</v>
      </c>
      <c r="BS955" t="s">
        <v>5288</v>
      </c>
      <c r="BT955" t="str">
        <f>HYPERLINK("https%3A%2F%2Fwww.webofscience.com%2Fwos%2Fwoscc%2Ffull-record%2FWOS:000271973600007","View Full Record in Web of Science")</f>
        <v>View Full Record in Web of Science</v>
      </c>
    </row>
    <row r="956" spans="1:72" x14ac:dyDescent="0.4">
      <c r="A956" t="s">
        <v>72</v>
      </c>
      <c r="B956" t="s">
        <v>7960</v>
      </c>
      <c r="C956" t="s">
        <v>74</v>
      </c>
      <c r="D956" t="s">
        <v>74</v>
      </c>
      <c r="E956" t="s">
        <v>74</v>
      </c>
      <c r="F956" t="s">
        <v>7961</v>
      </c>
      <c r="G956" t="s">
        <v>74</v>
      </c>
      <c r="H956" t="s">
        <v>74</v>
      </c>
      <c r="I956" t="s">
        <v>7962</v>
      </c>
      <c r="J956" t="s">
        <v>2847</v>
      </c>
      <c r="K956" t="s">
        <v>74</v>
      </c>
      <c r="L956" t="s">
        <v>74</v>
      </c>
      <c r="M956" t="s">
        <v>74</v>
      </c>
      <c r="N956" t="s">
        <v>74</v>
      </c>
      <c r="O956" t="s">
        <v>74</v>
      </c>
      <c r="P956" t="s">
        <v>74</v>
      </c>
      <c r="Q956" t="s">
        <v>74</v>
      </c>
      <c r="R956" t="s">
        <v>74</v>
      </c>
      <c r="S956" t="s">
        <v>74</v>
      </c>
      <c r="T956" t="s">
        <v>74</v>
      </c>
      <c r="U956" t="s">
        <v>74</v>
      </c>
      <c r="V956" s="3" t="s">
        <v>7963</v>
      </c>
      <c r="W956" t="s">
        <v>74</v>
      </c>
      <c r="X956" t="s">
        <v>74</v>
      </c>
      <c r="Y956" t="s">
        <v>74</v>
      </c>
      <c r="Z956" t="s">
        <v>74</v>
      </c>
      <c r="AA956" t="s">
        <v>74</v>
      </c>
      <c r="AB956" t="s">
        <v>74</v>
      </c>
      <c r="AC956" t="s">
        <v>74</v>
      </c>
      <c r="AD956" t="s">
        <v>74</v>
      </c>
      <c r="AE956" t="s">
        <v>74</v>
      </c>
      <c r="AF956" t="s">
        <v>74</v>
      </c>
      <c r="AG956" t="s">
        <v>74</v>
      </c>
      <c r="AH956" t="s">
        <v>74</v>
      </c>
      <c r="AI956" t="s">
        <v>74</v>
      </c>
      <c r="AJ956" t="s">
        <v>74</v>
      </c>
      <c r="AK956" t="s">
        <v>74</v>
      </c>
      <c r="AL956" t="s">
        <v>74</v>
      </c>
      <c r="AM956" t="s">
        <v>74</v>
      </c>
      <c r="AN956" t="s">
        <v>74</v>
      </c>
      <c r="AO956" t="s">
        <v>2849</v>
      </c>
      <c r="AP956" t="s">
        <v>2850</v>
      </c>
      <c r="AQ956" t="s">
        <v>74</v>
      </c>
      <c r="AR956" t="s">
        <v>74</v>
      </c>
      <c r="AS956" t="s">
        <v>74</v>
      </c>
      <c r="AT956" t="s">
        <v>1013</v>
      </c>
      <c r="AU956">
        <v>2020</v>
      </c>
      <c r="AV956">
        <v>530</v>
      </c>
      <c r="AW956" t="s">
        <v>74</v>
      </c>
      <c r="AX956" t="s">
        <v>74</v>
      </c>
      <c r="AY956" t="s">
        <v>74</v>
      </c>
      <c r="AZ956" t="s">
        <v>74</v>
      </c>
      <c r="BA956" t="s">
        <v>74</v>
      </c>
      <c r="BB956" t="s">
        <v>74</v>
      </c>
      <c r="BC956" t="s">
        <v>74</v>
      </c>
      <c r="BD956">
        <v>151430</v>
      </c>
      <c r="BE956" t="s">
        <v>7964</v>
      </c>
      <c r="BF956" t="str">
        <f>HYPERLINK("http://dx.doi.org/10.1016/j.jembe.2020.151430","http://dx.doi.org/10.1016/j.jembe.2020.151430")</f>
        <v>http://dx.doi.org/10.1016/j.jembe.2020.151430</v>
      </c>
      <c r="BG956" t="s">
        <v>74</v>
      </c>
      <c r="BH956" t="s">
        <v>74</v>
      </c>
      <c r="BI956" t="s">
        <v>74</v>
      </c>
      <c r="BJ956" t="s">
        <v>74</v>
      </c>
      <c r="BK956" t="s">
        <v>74</v>
      </c>
      <c r="BL956" t="s">
        <v>74</v>
      </c>
      <c r="BM956" t="s">
        <v>74</v>
      </c>
      <c r="BN956" t="s">
        <v>74</v>
      </c>
      <c r="BO956" t="s">
        <v>74</v>
      </c>
      <c r="BP956" t="s">
        <v>74</v>
      </c>
      <c r="BQ956" t="s">
        <v>74</v>
      </c>
      <c r="BR956" t="s">
        <v>74</v>
      </c>
      <c r="BS956" t="s">
        <v>7965</v>
      </c>
      <c r="BT956" t="str">
        <f>HYPERLINK("https%3A%2F%2Fwww.webofscience.com%2Fwos%2Fwoscc%2Ffull-record%2FWOS:000562582100021","View Full Record in Web of Science")</f>
        <v>View Full Record in Web of Science</v>
      </c>
    </row>
    <row r="957" spans="1:72" x14ac:dyDescent="0.4">
      <c r="A957" t="s">
        <v>72</v>
      </c>
      <c r="B957" t="s">
        <v>2948</v>
      </c>
      <c r="C957" t="s">
        <v>74</v>
      </c>
      <c r="D957" t="s">
        <v>74</v>
      </c>
      <c r="E957" t="s">
        <v>74</v>
      </c>
      <c r="F957" t="s">
        <v>2948</v>
      </c>
      <c r="G957" t="s">
        <v>74</v>
      </c>
      <c r="H957" t="s">
        <v>74</v>
      </c>
      <c r="I957" t="s">
        <v>2949</v>
      </c>
      <c r="J957" t="s">
        <v>140</v>
      </c>
      <c r="K957" t="s">
        <v>74</v>
      </c>
      <c r="L957" t="s">
        <v>74</v>
      </c>
      <c r="M957" t="s">
        <v>74</v>
      </c>
      <c r="N957" t="s">
        <v>74</v>
      </c>
      <c r="O957" t="s">
        <v>74</v>
      </c>
      <c r="P957" t="s">
        <v>74</v>
      </c>
      <c r="Q957" t="s">
        <v>74</v>
      </c>
      <c r="R957" t="s">
        <v>74</v>
      </c>
      <c r="S957" t="s">
        <v>74</v>
      </c>
      <c r="T957" t="s">
        <v>74</v>
      </c>
      <c r="U957" t="s">
        <v>74</v>
      </c>
      <c r="V957" s="3" t="s">
        <v>2950</v>
      </c>
      <c r="W957" t="s">
        <v>74</v>
      </c>
      <c r="X957" t="s">
        <v>74</v>
      </c>
      <c r="Y957" t="s">
        <v>74</v>
      </c>
      <c r="Z957" t="s">
        <v>74</v>
      </c>
      <c r="AA957" t="s">
        <v>2951</v>
      </c>
      <c r="AB957" t="s">
        <v>2952</v>
      </c>
      <c r="AC957" t="s">
        <v>74</v>
      </c>
      <c r="AD957" t="s">
        <v>74</v>
      </c>
      <c r="AE957" t="s">
        <v>74</v>
      </c>
      <c r="AF957" t="s">
        <v>74</v>
      </c>
      <c r="AG957" t="s">
        <v>74</v>
      </c>
      <c r="AH957" t="s">
        <v>74</v>
      </c>
      <c r="AI957" t="s">
        <v>74</v>
      </c>
      <c r="AJ957" t="s">
        <v>74</v>
      </c>
      <c r="AK957" t="s">
        <v>74</v>
      </c>
      <c r="AL957" t="s">
        <v>74</v>
      </c>
      <c r="AM957" t="s">
        <v>74</v>
      </c>
      <c r="AN957" t="s">
        <v>74</v>
      </c>
      <c r="AO957" t="s">
        <v>143</v>
      </c>
      <c r="AP957" t="s">
        <v>74</v>
      </c>
      <c r="AQ957" t="s">
        <v>74</v>
      </c>
      <c r="AR957" t="s">
        <v>74</v>
      </c>
      <c r="AS957" t="s">
        <v>74</v>
      </c>
      <c r="AT957" t="s">
        <v>145</v>
      </c>
      <c r="AU957">
        <v>2004</v>
      </c>
      <c r="AV957">
        <v>68</v>
      </c>
      <c r="AW957" t="s">
        <v>74</v>
      </c>
      <c r="AX957">
        <v>2</v>
      </c>
      <c r="AY957" t="s">
        <v>74</v>
      </c>
      <c r="AZ957" t="s">
        <v>74</v>
      </c>
      <c r="BA957" t="s">
        <v>74</v>
      </c>
      <c r="BB957">
        <v>273</v>
      </c>
      <c r="BC957">
        <v>282</v>
      </c>
      <c r="BD957" t="s">
        <v>74</v>
      </c>
      <c r="BE957" t="s">
        <v>2953</v>
      </c>
      <c r="BF957" t="str">
        <f>HYPERLINK("http://dx.doi.org/10.1016/j.anbehav.2003.11.010","http://dx.doi.org/10.1016/j.anbehav.2003.11.010")</f>
        <v>http://dx.doi.org/10.1016/j.anbehav.2003.11.010</v>
      </c>
      <c r="BG957" t="s">
        <v>74</v>
      </c>
      <c r="BH957" t="s">
        <v>74</v>
      </c>
      <c r="BI957" t="s">
        <v>74</v>
      </c>
      <c r="BJ957" t="s">
        <v>74</v>
      </c>
      <c r="BK957" t="s">
        <v>74</v>
      </c>
      <c r="BL957" t="s">
        <v>74</v>
      </c>
      <c r="BM957" t="s">
        <v>74</v>
      </c>
      <c r="BN957" t="s">
        <v>74</v>
      </c>
      <c r="BO957" t="s">
        <v>74</v>
      </c>
      <c r="BP957" t="s">
        <v>74</v>
      </c>
      <c r="BQ957" t="s">
        <v>74</v>
      </c>
      <c r="BR957" t="s">
        <v>74</v>
      </c>
      <c r="BS957" t="s">
        <v>2954</v>
      </c>
      <c r="BT957" t="str">
        <f>HYPERLINK("https%3A%2F%2Fwww.webofscience.com%2Fwos%2Fwoscc%2Ffull-record%2FWOS:000223614300006","View Full Record in Web of Science")</f>
        <v>View Full Record in Web of Science</v>
      </c>
    </row>
    <row r="958" spans="1:72" x14ac:dyDescent="0.4">
      <c r="A958" t="s">
        <v>72</v>
      </c>
      <c r="B958" t="s">
        <v>5348</v>
      </c>
      <c r="C958" t="s">
        <v>74</v>
      </c>
      <c r="D958" t="s">
        <v>74</v>
      </c>
      <c r="E958" t="s">
        <v>74</v>
      </c>
      <c r="F958" t="s">
        <v>5348</v>
      </c>
      <c r="G958" t="s">
        <v>74</v>
      </c>
      <c r="H958" t="s">
        <v>74</v>
      </c>
      <c r="I958" t="s">
        <v>5349</v>
      </c>
      <c r="J958" t="s">
        <v>129</v>
      </c>
      <c r="K958" t="s">
        <v>74</v>
      </c>
      <c r="L958" t="s">
        <v>74</v>
      </c>
      <c r="M958" t="s">
        <v>74</v>
      </c>
      <c r="N958" t="s">
        <v>74</v>
      </c>
      <c r="O958" t="s">
        <v>74</v>
      </c>
      <c r="P958" t="s">
        <v>74</v>
      </c>
      <c r="Q958" t="s">
        <v>74</v>
      </c>
      <c r="R958" t="s">
        <v>74</v>
      </c>
      <c r="S958" t="s">
        <v>74</v>
      </c>
      <c r="T958" t="s">
        <v>74</v>
      </c>
      <c r="U958" t="s">
        <v>74</v>
      </c>
      <c r="V958" s="3" t="s">
        <v>5350</v>
      </c>
      <c r="W958" t="s">
        <v>74</v>
      </c>
      <c r="X958" t="s">
        <v>74</v>
      </c>
      <c r="Y958" t="s">
        <v>74</v>
      </c>
      <c r="Z958" t="s">
        <v>74</v>
      </c>
      <c r="AA958" t="s">
        <v>5351</v>
      </c>
      <c r="AB958" t="s">
        <v>5352</v>
      </c>
      <c r="AC958" t="s">
        <v>74</v>
      </c>
      <c r="AD958" t="s">
        <v>74</v>
      </c>
      <c r="AE958" t="s">
        <v>74</v>
      </c>
      <c r="AF958" t="s">
        <v>74</v>
      </c>
      <c r="AG958" t="s">
        <v>74</v>
      </c>
      <c r="AH958" t="s">
        <v>74</v>
      </c>
      <c r="AI958" t="s">
        <v>74</v>
      </c>
      <c r="AJ958" t="s">
        <v>74</v>
      </c>
      <c r="AK958" t="s">
        <v>74</v>
      </c>
      <c r="AL958" t="s">
        <v>74</v>
      </c>
      <c r="AM958" t="s">
        <v>74</v>
      </c>
      <c r="AN958" t="s">
        <v>74</v>
      </c>
      <c r="AO958" t="s">
        <v>132</v>
      </c>
      <c r="AP958" t="s">
        <v>133</v>
      </c>
      <c r="AQ958" t="s">
        <v>74</v>
      </c>
      <c r="AR958" t="s">
        <v>74</v>
      </c>
      <c r="AS958" t="s">
        <v>74</v>
      </c>
      <c r="AT958" t="s">
        <v>123</v>
      </c>
      <c r="AU958">
        <v>2006</v>
      </c>
      <c r="AV958">
        <v>59</v>
      </c>
      <c r="AW958">
        <v>5</v>
      </c>
      <c r="AX958" t="s">
        <v>74</v>
      </c>
      <c r="AY958" t="s">
        <v>74</v>
      </c>
      <c r="AZ958" t="s">
        <v>74</v>
      </c>
      <c r="BA958" t="s">
        <v>74</v>
      </c>
      <c r="BB958">
        <v>651</v>
      </c>
      <c r="BC958">
        <v>656</v>
      </c>
      <c r="BD958" t="s">
        <v>74</v>
      </c>
      <c r="BE958" t="s">
        <v>5353</v>
      </c>
      <c r="BF958" t="str">
        <f>HYPERLINK("http://dx.doi.org/10.1007/s00265-005-0092-x","http://dx.doi.org/10.1007/s00265-005-0092-x")</f>
        <v>http://dx.doi.org/10.1007/s00265-005-0092-x</v>
      </c>
      <c r="BG958" t="s">
        <v>74</v>
      </c>
      <c r="BH958" t="s">
        <v>74</v>
      </c>
      <c r="BI958" t="s">
        <v>74</v>
      </c>
      <c r="BJ958" t="s">
        <v>74</v>
      </c>
      <c r="BK958" t="s">
        <v>74</v>
      </c>
      <c r="BL958" t="s">
        <v>74</v>
      </c>
      <c r="BM958" t="s">
        <v>74</v>
      </c>
      <c r="BN958" t="s">
        <v>74</v>
      </c>
      <c r="BO958" t="s">
        <v>74</v>
      </c>
      <c r="BP958" t="s">
        <v>74</v>
      </c>
      <c r="BQ958" t="s">
        <v>74</v>
      </c>
      <c r="BR958" t="s">
        <v>74</v>
      </c>
      <c r="BS958" t="s">
        <v>5354</v>
      </c>
      <c r="BT958" t="str">
        <f>HYPERLINK("https%3A%2F%2Fwww.webofscience.com%2Fwos%2Fwoscc%2Ffull-record%2FWOS:000235219700008","View Full Record in Web of Science")</f>
        <v>View Full Record in Web of Science</v>
      </c>
    </row>
    <row r="959" spans="1:72" x14ac:dyDescent="0.4">
      <c r="A959" t="s">
        <v>72</v>
      </c>
      <c r="B959" t="s">
        <v>5760</v>
      </c>
      <c r="C959" t="s">
        <v>74</v>
      </c>
      <c r="D959" t="s">
        <v>74</v>
      </c>
      <c r="E959" t="s">
        <v>74</v>
      </c>
      <c r="F959" t="s">
        <v>5760</v>
      </c>
      <c r="G959" t="s">
        <v>74</v>
      </c>
      <c r="H959" t="s">
        <v>74</v>
      </c>
      <c r="I959" t="s">
        <v>5761</v>
      </c>
      <c r="J959" t="s">
        <v>4655</v>
      </c>
      <c r="K959" t="s">
        <v>74</v>
      </c>
      <c r="L959" t="s">
        <v>74</v>
      </c>
      <c r="M959" t="s">
        <v>74</v>
      </c>
      <c r="N959" t="s">
        <v>74</v>
      </c>
      <c r="O959" t="s">
        <v>74</v>
      </c>
      <c r="P959" t="s">
        <v>74</v>
      </c>
      <c r="Q959" t="s">
        <v>74</v>
      </c>
      <c r="R959" t="s">
        <v>74</v>
      </c>
      <c r="S959" t="s">
        <v>74</v>
      </c>
      <c r="T959" t="s">
        <v>74</v>
      </c>
      <c r="U959" t="s">
        <v>74</v>
      </c>
      <c r="V959" s="3" t="s">
        <v>5762</v>
      </c>
      <c r="W959" t="s">
        <v>74</v>
      </c>
      <c r="X959" t="s">
        <v>74</v>
      </c>
      <c r="Y959" t="s">
        <v>74</v>
      </c>
      <c r="Z959" t="s">
        <v>74</v>
      </c>
      <c r="AA959" t="s">
        <v>74</v>
      </c>
      <c r="AB959" t="s">
        <v>74</v>
      </c>
      <c r="AC959" t="s">
        <v>74</v>
      </c>
      <c r="AD959" t="s">
        <v>74</v>
      </c>
      <c r="AE959" t="s">
        <v>74</v>
      </c>
      <c r="AF959" t="s">
        <v>74</v>
      </c>
      <c r="AG959" t="s">
        <v>74</v>
      </c>
      <c r="AH959" t="s">
        <v>74</v>
      </c>
      <c r="AI959" t="s">
        <v>74</v>
      </c>
      <c r="AJ959" t="s">
        <v>74</v>
      </c>
      <c r="AK959" t="s">
        <v>74</v>
      </c>
      <c r="AL959" t="s">
        <v>74</v>
      </c>
      <c r="AM959" t="s">
        <v>74</v>
      </c>
      <c r="AN959" t="s">
        <v>74</v>
      </c>
      <c r="AO959" t="s">
        <v>4657</v>
      </c>
      <c r="AP959" t="s">
        <v>74</v>
      </c>
      <c r="AQ959" t="s">
        <v>74</v>
      </c>
      <c r="AR959" t="s">
        <v>74</v>
      </c>
      <c r="AS959" t="s">
        <v>74</v>
      </c>
      <c r="AT959" t="s">
        <v>305</v>
      </c>
      <c r="AU959">
        <v>1986</v>
      </c>
      <c r="AV959">
        <v>98</v>
      </c>
      <c r="AW959">
        <v>4</v>
      </c>
      <c r="AX959" t="s">
        <v>74</v>
      </c>
      <c r="AY959" t="s">
        <v>74</v>
      </c>
      <c r="AZ959" t="s">
        <v>74</v>
      </c>
      <c r="BA959" t="s">
        <v>74</v>
      </c>
      <c r="BB959">
        <v>571</v>
      </c>
      <c r="BC959">
        <v>580</v>
      </c>
      <c r="BD959" t="s">
        <v>74</v>
      </c>
      <c r="BE959" t="s">
        <v>74</v>
      </c>
      <c r="BF959" t="s">
        <v>74</v>
      </c>
      <c r="BG959" t="s">
        <v>74</v>
      </c>
      <c r="BH959" t="s">
        <v>74</v>
      </c>
      <c r="BI959" t="s">
        <v>74</v>
      </c>
      <c r="BJ959" t="s">
        <v>74</v>
      </c>
      <c r="BK959" t="s">
        <v>74</v>
      </c>
      <c r="BL959" t="s">
        <v>74</v>
      </c>
      <c r="BM959" t="s">
        <v>74</v>
      </c>
      <c r="BN959" t="s">
        <v>74</v>
      </c>
      <c r="BO959" t="s">
        <v>74</v>
      </c>
      <c r="BP959" t="s">
        <v>74</v>
      </c>
      <c r="BQ959" t="s">
        <v>74</v>
      </c>
      <c r="BR959" t="s">
        <v>74</v>
      </c>
      <c r="BS959" t="s">
        <v>5763</v>
      </c>
      <c r="BT959" t="str">
        <f>HYPERLINK("https%3A%2F%2Fwww.webofscience.com%2Fwos%2Fwoscc%2Ffull-record%2FWOS:A1986F283900007","View Full Record in Web of Science")</f>
        <v>View Full Record in Web of Science</v>
      </c>
    </row>
    <row r="960" spans="1:72" x14ac:dyDescent="0.4">
      <c r="A960" t="s">
        <v>72</v>
      </c>
      <c r="B960" t="s">
        <v>7303</v>
      </c>
      <c r="C960" t="s">
        <v>74</v>
      </c>
      <c r="D960" t="s">
        <v>74</v>
      </c>
      <c r="E960" t="s">
        <v>74</v>
      </c>
      <c r="F960" t="s">
        <v>7304</v>
      </c>
      <c r="G960" t="s">
        <v>74</v>
      </c>
      <c r="H960" t="s">
        <v>74</v>
      </c>
      <c r="I960" t="s">
        <v>7305</v>
      </c>
      <c r="J960" t="s">
        <v>4114</v>
      </c>
      <c r="K960" t="s">
        <v>74</v>
      </c>
      <c r="L960" t="s">
        <v>74</v>
      </c>
      <c r="M960" t="s">
        <v>74</v>
      </c>
      <c r="N960" t="s">
        <v>74</v>
      </c>
      <c r="O960" t="s">
        <v>74</v>
      </c>
      <c r="P960" t="s">
        <v>74</v>
      </c>
      <c r="Q960" t="s">
        <v>74</v>
      </c>
      <c r="R960" t="s">
        <v>74</v>
      </c>
      <c r="S960" t="s">
        <v>74</v>
      </c>
      <c r="T960" t="s">
        <v>74</v>
      </c>
      <c r="U960" t="s">
        <v>74</v>
      </c>
      <c r="V960" s="3" t="s">
        <v>7306</v>
      </c>
      <c r="W960" t="s">
        <v>74</v>
      </c>
      <c r="X960" t="s">
        <v>74</v>
      </c>
      <c r="Y960" t="s">
        <v>74</v>
      </c>
      <c r="Z960" t="s">
        <v>74</v>
      </c>
      <c r="AA960" t="s">
        <v>7307</v>
      </c>
      <c r="AB960" t="s">
        <v>7308</v>
      </c>
      <c r="AC960" t="s">
        <v>74</v>
      </c>
      <c r="AD960" t="s">
        <v>74</v>
      </c>
      <c r="AE960" t="s">
        <v>74</v>
      </c>
      <c r="AF960" t="s">
        <v>74</v>
      </c>
      <c r="AG960" t="s">
        <v>74</v>
      </c>
      <c r="AH960" t="s">
        <v>74</v>
      </c>
      <c r="AI960" t="s">
        <v>74</v>
      </c>
      <c r="AJ960" t="s">
        <v>74</v>
      </c>
      <c r="AK960" t="s">
        <v>74</v>
      </c>
      <c r="AL960" t="s">
        <v>74</v>
      </c>
      <c r="AM960" t="s">
        <v>74</v>
      </c>
      <c r="AN960" t="s">
        <v>74</v>
      </c>
      <c r="AO960" t="s">
        <v>4116</v>
      </c>
      <c r="AP960" t="s">
        <v>4117</v>
      </c>
      <c r="AQ960" t="s">
        <v>74</v>
      </c>
      <c r="AR960" t="s">
        <v>74</v>
      </c>
      <c r="AS960" t="s">
        <v>74</v>
      </c>
      <c r="AT960" t="s">
        <v>145</v>
      </c>
      <c r="AU960">
        <v>2016</v>
      </c>
      <c r="AV960">
        <v>41</v>
      </c>
      <c r="AW960">
        <v>4</v>
      </c>
      <c r="AX960" t="s">
        <v>74</v>
      </c>
      <c r="AY960" t="s">
        <v>74</v>
      </c>
      <c r="AZ960" t="s">
        <v>74</v>
      </c>
      <c r="BA960" t="s">
        <v>74</v>
      </c>
      <c r="BB960">
        <v>451</v>
      </c>
      <c r="BC960">
        <v>458</v>
      </c>
      <c r="BD960" t="s">
        <v>74</v>
      </c>
      <c r="BE960" t="s">
        <v>7309</v>
      </c>
      <c r="BF960" t="str">
        <f>HYPERLINK("http://dx.doi.org/10.1111/een.12315","http://dx.doi.org/10.1111/een.12315")</f>
        <v>http://dx.doi.org/10.1111/een.12315</v>
      </c>
      <c r="BG960" t="s">
        <v>74</v>
      </c>
      <c r="BH960" t="s">
        <v>74</v>
      </c>
      <c r="BI960" t="s">
        <v>74</v>
      </c>
      <c r="BJ960" t="s">
        <v>74</v>
      </c>
      <c r="BK960" t="s">
        <v>74</v>
      </c>
      <c r="BL960" t="s">
        <v>74</v>
      </c>
      <c r="BM960" t="s">
        <v>74</v>
      </c>
      <c r="BN960" t="s">
        <v>74</v>
      </c>
      <c r="BO960" t="s">
        <v>74</v>
      </c>
      <c r="BP960" t="s">
        <v>74</v>
      </c>
      <c r="BQ960" t="s">
        <v>74</v>
      </c>
      <c r="BR960" t="s">
        <v>74</v>
      </c>
      <c r="BS960" t="s">
        <v>7310</v>
      </c>
      <c r="BT960" t="str">
        <f>HYPERLINK("https%3A%2F%2Fwww.webofscience.com%2Fwos%2Fwoscc%2Ffull-record%2FWOS:000379942700010","View Full Record in Web of Science")</f>
        <v>View Full Record in Web of Science</v>
      </c>
    </row>
    <row r="961" spans="1:72" x14ac:dyDescent="0.4">
      <c r="A961" t="s">
        <v>72</v>
      </c>
      <c r="B961" t="s">
        <v>3159</v>
      </c>
      <c r="C961" t="s">
        <v>74</v>
      </c>
      <c r="D961" t="s">
        <v>74</v>
      </c>
      <c r="E961" t="s">
        <v>74</v>
      </c>
      <c r="F961" t="s">
        <v>3160</v>
      </c>
      <c r="G961" t="s">
        <v>74</v>
      </c>
      <c r="H961" t="s">
        <v>74</v>
      </c>
      <c r="I961" t="s">
        <v>3161</v>
      </c>
      <c r="J961" t="s">
        <v>201</v>
      </c>
      <c r="K961" t="s">
        <v>74</v>
      </c>
      <c r="L961" t="s">
        <v>74</v>
      </c>
      <c r="M961" t="s">
        <v>74</v>
      </c>
      <c r="N961" t="s">
        <v>74</v>
      </c>
      <c r="O961" t="s">
        <v>74</v>
      </c>
      <c r="P961" t="s">
        <v>74</v>
      </c>
      <c r="Q961" t="s">
        <v>74</v>
      </c>
      <c r="R961" t="s">
        <v>74</v>
      </c>
      <c r="S961" t="s">
        <v>74</v>
      </c>
      <c r="T961" t="s">
        <v>74</v>
      </c>
      <c r="U961" t="s">
        <v>74</v>
      </c>
      <c r="V961" s="3" t="s">
        <v>3162</v>
      </c>
      <c r="W961" t="s">
        <v>74</v>
      </c>
      <c r="X961" t="s">
        <v>74</v>
      </c>
      <c r="Y961" t="s">
        <v>74</v>
      </c>
      <c r="Z961" t="s">
        <v>74</v>
      </c>
      <c r="AA961" t="s">
        <v>3163</v>
      </c>
      <c r="AB961" t="s">
        <v>3164</v>
      </c>
      <c r="AC961" t="s">
        <v>74</v>
      </c>
      <c r="AD961" t="s">
        <v>74</v>
      </c>
      <c r="AE961" t="s">
        <v>74</v>
      </c>
      <c r="AF961" t="s">
        <v>74</v>
      </c>
      <c r="AG961" t="s">
        <v>74</v>
      </c>
      <c r="AH961" t="s">
        <v>74</v>
      </c>
      <c r="AI961" t="s">
        <v>74</v>
      </c>
      <c r="AJ961" t="s">
        <v>74</v>
      </c>
      <c r="AK961" t="s">
        <v>74</v>
      </c>
      <c r="AL961" t="s">
        <v>74</v>
      </c>
      <c r="AM961" t="s">
        <v>74</v>
      </c>
      <c r="AN961" t="s">
        <v>74</v>
      </c>
      <c r="AO961" t="s">
        <v>203</v>
      </c>
      <c r="AP961" t="s">
        <v>1192</v>
      </c>
      <c r="AQ961" t="s">
        <v>74</v>
      </c>
      <c r="AR961" t="s">
        <v>74</v>
      </c>
      <c r="AS961" t="s">
        <v>74</v>
      </c>
      <c r="AT961" t="s">
        <v>123</v>
      </c>
      <c r="AU961">
        <v>2015</v>
      </c>
      <c r="AV961">
        <v>86</v>
      </c>
      <c r="AW961">
        <v>3</v>
      </c>
      <c r="AX961" t="s">
        <v>74</v>
      </c>
      <c r="AY961" t="s">
        <v>74</v>
      </c>
      <c r="AZ961" t="s">
        <v>74</v>
      </c>
      <c r="BA961" t="s">
        <v>74</v>
      </c>
      <c r="BB961">
        <v>1109</v>
      </c>
      <c r="BC961">
        <v>1120</v>
      </c>
      <c r="BD961" t="s">
        <v>74</v>
      </c>
      <c r="BE961" t="s">
        <v>3165</v>
      </c>
      <c r="BF961" t="str">
        <f>HYPERLINK("http://dx.doi.org/10.1111/jfb.12618","http://dx.doi.org/10.1111/jfb.12618")</f>
        <v>http://dx.doi.org/10.1111/jfb.12618</v>
      </c>
      <c r="BG961" t="s">
        <v>74</v>
      </c>
      <c r="BH961" t="s">
        <v>74</v>
      </c>
      <c r="BI961" t="s">
        <v>74</v>
      </c>
      <c r="BJ961" t="s">
        <v>74</v>
      </c>
      <c r="BK961" t="s">
        <v>74</v>
      </c>
      <c r="BL961" t="s">
        <v>74</v>
      </c>
      <c r="BM961" t="s">
        <v>74</v>
      </c>
      <c r="BN961">
        <v>25619403</v>
      </c>
      <c r="BO961" t="s">
        <v>74</v>
      </c>
      <c r="BP961" t="s">
        <v>74</v>
      </c>
      <c r="BQ961" t="s">
        <v>74</v>
      </c>
      <c r="BR961" t="s">
        <v>74</v>
      </c>
      <c r="BS961" t="s">
        <v>3166</v>
      </c>
      <c r="BT961" t="str">
        <f>HYPERLINK("https%3A%2F%2Fwww.webofscience.com%2Fwos%2Fwoscc%2Ffull-record%2FWOS:000351356700014","View Full Record in Web of Science")</f>
        <v>View Full Record in Web of Science</v>
      </c>
    </row>
    <row r="962" spans="1:72" x14ac:dyDescent="0.4">
      <c r="A962" t="s">
        <v>72</v>
      </c>
      <c r="B962" t="s">
        <v>4927</v>
      </c>
      <c r="C962" t="s">
        <v>74</v>
      </c>
      <c r="D962" t="s">
        <v>74</v>
      </c>
      <c r="E962" t="s">
        <v>74</v>
      </c>
      <c r="F962" t="s">
        <v>4927</v>
      </c>
      <c r="G962" t="s">
        <v>74</v>
      </c>
      <c r="H962" t="s">
        <v>74</v>
      </c>
      <c r="I962" t="s">
        <v>4928</v>
      </c>
      <c r="J962" t="s">
        <v>140</v>
      </c>
      <c r="K962" t="s">
        <v>74</v>
      </c>
      <c r="L962" t="s">
        <v>74</v>
      </c>
      <c r="M962" t="s">
        <v>74</v>
      </c>
      <c r="N962" t="s">
        <v>74</v>
      </c>
      <c r="O962" t="s">
        <v>74</v>
      </c>
      <c r="P962" t="s">
        <v>74</v>
      </c>
      <c r="Q962" t="s">
        <v>74</v>
      </c>
      <c r="R962" t="s">
        <v>74</v>
      </c>
      <c r="S962" t="s">
        <v>74</v>
      </c>
      <c r="T962" t="s">
        <v>74</v>
      </c>
      <c r="U962" t="s">
        <v>74</v>
      </c>
      <c r="V962" s="3" t="s">
        <v>4929</v>
      </c>
      <c r="W962" t="s">
        <v>74</v>
      </c>
      <c r="X962" t="s">
        <v>74</v>
      </c>
      <c r="Y962" t="s">
        <v>74</v>
      </c>
      <c r="Z962" t="s">
        <v>74</v>
      </c>
      <c r="AA962" t="s">
        <v>74</v>
      </c>
      <c r="AB962" t="s">
        <v>74</v>
      </c>
      <c r="AC962" t="s">
        <v>74</v>
      </c>
      <c r="AD962" t="s">
        <v>74</v>
      </c>
      <c r="AE962" t="s">
        <v>74</v>
      </c>
      <c r="AF962" t="s">
        <v>74</v>
      </c>
      <c r="AG962" t="s">
        <v>74</v>
      </c>
      <c r="AH962" t="s">
        <v>74</v>
      </c>
      <c r="AI962" t="s">
        <v>74</v>
      </c>
      <c r="AJ962" t="s">
        <v>74</v>
      </c>
      <c r="AK962" t="s">
        <v>74</v>
      </c>
      <c r="AL962" t="s">
        <v>74</v>
      </c>
      <c r="AM962" t="s">
        <v>74</v>
      </c>
      <c r="AN962" t="s">
        <v>74</v>
      </c>
      <c r="AO962" t="s">
        <v>143</v>
      </c>
      <c r="AP962" t="s">
        <v>144</v>
      </c>
      <c r="AQ962" t="s">
        <v>74</v>
      </c>
      <c r="AR962" t="s">
        <v>74</v>
      </c>
      <c r="AS962" t="s">
        <v>74</v>
      </c>
      <c r="AT962" t="s">
        <v>74</v>
      </c>
      <c r="AU962">
        <v>1978</v>
      </c>
      <c r="AV962">
        <v>26</v>
      </c>
      <c r="AW962" t="s">
        <v>213</v>
      </c>
      <c r="AX962" t="s">
        <v>74</v>
      </c>
      <c r="AY962" t="s">
        <v>74</v>
      </c>
      <c r="AZ962" t="s">
        <v>74</v>
      </c>
      <c r="BA962" t="s">
        <v>74</v>
      </c>
      <c r="BB962">
        <v>1120</v>
      </c>
      <c r="BC962">
        <v>1125</v>
      </c>
      <c r="BD962" t="s">
        <v>74</v>
      </c>
      <c r="BE962" t="s">
        <v>4930</v>
      </c>
      <c r="BF962" t="str">
        <f>HYPERLINK("http://dx.doi.org/10.1016/0003-3472(78)90101-X","http://dx.doi.org/10.1016/0003-3472(78)90101-X")</f>
        <v>http://dx.doi.org/10.1016/0003-3472(78)90101-X</v>
      </c>
      <c r="BG962" t="s">
        <v>74</v>
      </c>
      <c r="BH962" t="s">
        <v>74</v>
      </c>
      <c r="BI962" t="s">
        <v>74</v>
      </c>
      <c r="BJ962" t="s">
        <v>74</v>
      </c>
      <c r="BK962" t="s">
        <v>74</v>
      </c>
      <c r="BL962" t="s">
        <v>74</v>
      </c>
      <c r="BM962" t="s">
        <v>74</v>
      </c>
      <c r="BN962" t="s">
        <v>74</v>
      </c>
      <c r="BO962" t="s">
        <v>74</v>
      </c>
      <c r="BP962" t="s">
        <v>74</v>
      </c>
      <c r="BQ962" t="s">
        <v>74</v>
      </c>
      <c r="BR962" t="s">
        <v>74</v>
      </c>
      <c r="BS962" t="s">
        <v>4931</v>
      </c>
      <c r="BT962" t="str">
        <f>HYPERLINK("https%3A%2F%2Fwww.webofscience.com%2Fwos%2Fwoscc%2Ffull-record%2FWOS:A1978GD83400017","View Full Record in Web of Science")</f>
        <v>View Full Record in Web of Science</v>
      </c>
    </row>
    <row r="963" spans="1:72" x14ac:dyDescent="0.4">
      <c r="A963" t="s">
        <v>72</v>
      </c>
      <c r="B963" t="s">
        <v>1310</v>
      </c>
      <c r="C963" t="s">
        <v>74</v>
      </c>
      <c r="D963" t="s">
        <v>74</v>
      </c>
      <c r="E963" t="s">
        <v>74</v>
      </c>
      <c r="F963" t="s">
        <v>1311</v>
      </c>
      <c r="G963" t="s">
        <v>74</v>
      </c>
      <c r="H963" t="s">
        <v>74</v>
      </c>
      <c r="I963" t="s">
        <v>1312</v>
      </c>
      <c r="J963" t="s">
        <v>140</v>
      </c>
      <c r="K963" t="s">
        <v>74</v>
      </c>
      <c r="L963" t="s">
        <v>74</v>
      </c>
      <c r="M963" t="s">
        <v>74</v>
      </c>
      <c r="N963" t="s">
        <v>74</v>
      </c>
      <c r="O963" t="s">
        <v>74</v>
      </c>
      <c r="P963" t="s">
        <v>74</v>
      </c>
      <c r="Q963" t="s">
        <v>74</v>
      </c>
      <c r="R963" t="s">
        <v>74</v>
      </c>
      <c r="S963" t="s">
        <v>74</v>
      </c>
      <c r="T963" t="s">
        <v>74</v>
      </c>
      <c r="U963" t="s">
        <v>74</v>
      </c>
      <c r="V963" s="3" t="s">
        <v>1313</v>
      </c>
      <c r="W963" t="s">
        <v>74</v>
      </c>
      <c r="X963" t="s">
        <v>74</v>
      </c>
      <c r="Y963" t="s">
        <v>74</v>
      </c>
      <c r="Z963" t="s">
        <v>74</v>
      </c>
      <c r="AA963" t="s">
        <v>74</v>
      </c>
      <c r="AB963" t="s">
        <v>74</v>
      </c>
      <c r="AC963" t="s">
        <v>74</v>
      </c>
      <c r="AD963" t="s">
        <v>74</v>
      </c>
      <c r="AE963" t="s">
        <v>74</v>
      </c>
      <c r="AF963" t="s">
        <v>74</v>
      </c>
      <c r="AG963" t="s">
        <v>74</v>
      </c>
      <c r="AH963" t="s">
        <v>74</v>
      </c>
      <c r="AI963" t="s">
        <v>74</v>
      </c>
      <c r="AJ963" t="s">
        <v>74</v>
      </c>
      <c r="AK963" t="s">
        <v>74</v>
      </c>
      <c r="AL963" t="s">
        <v>74</v>
      </c>
      <c r="AM963" t="s">
        <v>74</v>
      </c>
      <c r="AN963" t="s">
        <v>74</v>
      </c>
      <c r="AO963" t="s">
        <v>143</v>
      </c>
      <c r="AP963" t="s">
        <v>74</v>
      </c>
      <c r="AQ963" t="s">
        <v>74</v>
      </c>
      <c r="AR963" t="s">
        <v>74</v>
      </c>
      <c r="AS963" t="s">
        <v>74</v>
      </c>
      <c r="AT963" t="s">
        <v>633</v>
      </c>
      <c r="AU963">
        <v>2011</v>
      </c>
      <c r="AV963">
        <v>81</v>
      </c>
      <c r="AW963">
        <v>4</v>
      </c>
      <c r="AX963" t="s">
        <v>74</v>
      </c>
      <c r="AY963" t="s">
        <v>74</v>
      </c>
      <c r="AZ963" t="s">
        <v>74</v>
      </c>
      <c r="BA963" t="s">
        <v>74</v>
      </c>
      <c r="BB963">
        <v>825</v>
      </c>
      <c r="BC963">
        <v>829</v>
      </c>
      <c r="BD963" t="s">
        <v>74</v>
      </c>
      <c r="BE963" t="s">
        <v>1314</v>
      </c>
      <c r="BF963" t="str">
        <f>HYPERLINK("http://dx.doi.org/10.1016/j.anbehav.2011.01.017","http://dx.doi.org/10.1016/j.anbehav.2011.01.017")</f>
        <v>http://dx.doi.org/10.1016/j.anbehav.2011.01.017</v>
      </c>
      <c r="BG963" t="s">
        <v>74</v>
      </c>
      <c r="BH963" t="s">
        <v>74</v>
      </c>
      <c r="BI963" t="s">
        <v>74</v>
      </c>
      <c r="BJ963" t="s">
        <v>74</v>
      </c>
      <c r="BK963" t="s">
        <v>74</v>
      </c>
      <c r="BL963" t="s">
        <v>74</v>
      </c>
      <c r="BM963" t="s">
        <v>74</v>
      </c>
      <c r="BN963" t="s">
        <v>74</v>
      </c>
      <c r="BO963" t="s">
        <v>74</v>
      </c>
      <c r="BP963" t="s">
        <v>74</v>
      </c>
      <c r="BQ963" t="s">
        <v>74</v>
      </c>
      <c r="BR963" t="s">
        <v>74</v>
      </c>
      <c r="BS963" t="s">
        <v>1315</v>
      </c>
      <c r="BT963" t="str">
        <f>HYPERLINK("https%3A%2F%2Fwww.webofscience.com%2Fwos%2Fwoscc%2Ffull-record%2FWOS:000288651200019","View Full Record in Web of Science")</f>
        <v>View Full Record in Web of Science</v>
      </c>
    </row>
    <row r="964" spans="1:72" x14ac:dyDescent="0.4">
      <c r="A964" t="s">
        <v>72</v>
      </c>
      <c r="B964" t="s">
        <v>5857</v>
      </c>
      <c r="C964" t="s">
        <v>74</v>
      </c>
      <c r="D964" t="s">
        <v>74</v>
      </c>
      <c r="E964" t="s">
        <v>74</v>
      </c>
      <c r="F964" t="s">
        <v>5858</v>
      </c>
      <c r="G964" t="s">
        <v>74</v>
      </c>
      <c r="H964" t="s">
        <v>74</v>
      </c>
      <c r="I964" t="s">
        <v>5859</v>
      </c>
      <c r="J964" t="s">
        <v>509</v>
      </c>
      <c r="K964" t="s">
        <v>74</v>
      </c>
      <c r="L964" t="s">
        <v>74</v>
      </c>
      <c r="M964" t="s">
        <v>74</v>
      </c>
      <c r="N964" t="s">
        <v>74</v>
      </c>
      <c r="O964" t="s">
        <v>74</v>
      </c>
      <c r="P964" t="s">
        <v>74</v>
      </c>
      <c r="Q964" t="s">
        <v>74</v>
      </c>
      <c r="R964" t="s">
        <v>74</v>
      </c>
      <c r="S964" t="s">
        <v>74</v>
      </c>
      <c r="T964" t="s">
        <v>74</v>
      </c>
      <c r="U964" t="s">
        <v>74</v>
      </c>
      <c r="V964" s="3" t="s">
        <v>5860</v>
      </c>
      <c r="W964" t="s">
        <v>74</v>
      </c>
      <c r="X964" t="s">
        <v>74</v>
      </c>
      <c r="Y964" t="s">
        <v>74</v>
      </c>
      <c r="Z964" t="s">
        <v>74</v>
      </c>
      <c r="AA964" t="s">
        <v>5861</v>
      </c>
      <c r="AB964" t="s">
        <v>5862</v>
      </c>
      <c r="AC964" t="s">
        <v>74</v>
      </c>
      <c r="AD964" t="s">
        <v>74</v>
      </c>
      <c r="AE964" t="s">
        <v>74</v>
      </c>
      <c r="AF964" t="s">
        <v>74</v>
      </c>
      <c r="AG964" t="s">
        <v>74</v>
      </c>
      <c r="AH964" t="s">
        <v>74</v>
      </c>
      <c r="AI964" t="s">
        <v>74</v>
      </c>
      <c r="AJ964" t="s">
        <v>74</v>
      </c>
      <c r="AK964" t="s">
        <v>74</v>
      </c>
      <c r="AL964" t="s">
        <v>74</v>
      </c>
      <c r="AM964" t="s">
        <v>74</v>
      </c>
      <c r="AN964" t="s">
        <v>74</v>
      </c>
      <c r="AO964" t="s">
        <v>511</v>
      </c>
      <c r="AP964" t="s">
        <v>512</v>
      </c>
      <c r="AQ964" t="s">
        <v>74</v>
      </c>
      <c r="AR964" t="s">
        <v>74</v>
      </c>
      <c r="AS964" t="s">
        <v>74</v>
      </c>
      <c r="AT964" t="s">
        <v>352</v>
      </c>
      <c r="AU964">
        <v>2008</v>
      </c>
      <c r="AV964">
        <v>54</v>
      </c>
      <c r="AW964">
        <v>4</v>
      </c>
      <c r="AX964" t="s">
        <v>74</v>
      </c>
      <c r="AY964" t="s">
        <v>74</v>
      </c>
      <c r="AZ964" t="s">
        <v>74</v>
      </c>
      <c r="BA964" t="s">
        <v>74</v>
      </c>
      <c r="BB964">
        <v>549</v>
      </c>
      <c r="BC964">
        <v>556</v>
      </c>
      <c r="BD964" t="s">
        <v>74</v>
      </c>
      <c r="BE964" t="s">
        <v>5863</v>
      </c>
      <c r="BF964" t="str">
        <f>HYPERLINK("http://dx.doi.org/10.1016/j.yhbeh.2008.05.018","http://dx.doi.org/10.1016/j.yhbeh.2008.05.018")</f>
        <v>http://dx.doi.org/10.1016/j.yhbeh.2008.05.018</v>
      </c>
      <c r="BG964" t="s">
        <v>74</v>
      </c>
      <c r="BH964" t="s">
        <v>74</v>
      </c>
      <c r="BI964" t="s">
        <v>74</v>
      </c>
      <c r="BJ964" t="s">
        <v>74</v>
      </c>
      <c r="BK964" t="s">
        <v>74</v>
      </c>
      <c r="BL964" t="s">
        <v>74</v>
      </c>
      <c r="BM964" t="s">
        <v>74</v>
      </c>
      <c r="BN964">
        <v>18586039</v>
      </c>
      <c r="BO964" t="s">
        <v>74</v>
      </c>
      <c r="BP964" t="s">
        <v>74</v>
      </c>
      <c r="BQ964" t="s">
        <v>74</v>
      </c>
      <c r="BR964" t="s">
        <v>74</v>
      </c>
      <c r="BS964" t="s">
        <v>5864</v>
      </c>
      <c r="BT964" t="str">
        <f>HYPERLINK("https%3A%2F%2Fwww.webofscience.com%2Fwos%2Fwoscc%2Ffull-record%2FWOS:000259159200011","View Full Record in Web of Science")</f>
        <v>View Full Record in Web of Science</v>
      </c>
    </row>
    <row r="965" spans="1:72" x14ac:dyDescent="0.4">
      <c r="A965" t="s">
        <v>72</v>
      </c>
      <c r="B965" t="s">
        <v>5127</v>
      </c>
      <c r="C965" t="s">
        <v>74</v>
      </c>
      <c r="D965" t="s">
        <v>74</v>
      </c>
      <c r="E965" t="s">
        <v>74</v>
      </c>
      <c r="F965" t="s">
        <v>5127</v>
      </c>
      <c r="G965" t="s">
        <v>74</v>
      </c>
      <c r="H965" t="s">
        <v>74</v>
      </c>
      <c r="I965" t="s">
        <v>5128</v>
      </c>
      <c r="J965" t="s">
        <v>5129</v>
      </c>
      <c r="K965" t="s">
        <v>74</v>
      </c>
      <c r="L965" t="s">
        <v>74</v>
      </c>
      <c r="M965" t="s">
        <v>74</v>
      </c>
      <c r="N965" t="s">
        <v>74</v>
      </c>
      <c r="O965" t="s">
        <v>74</v>
      </c>
      <c r="P965" t="s">
        <v>74</v>
      </c>
      <c r="Q965" t="s">
        <v>74</v>
      </c>
      <c r="R965" t="s">
        <v>74</v>
      </c>
      <c r="S965" t="s">
        <v>74</v>
      </c>
      <c r="T965" t="s">
        <v>74</v>
      </c>
      <c r="U965" t="s">
        <v>74</v>
      </c>
      <c r="V965" s="3" t="s">
        <v>5130</v>
      </c>
      <c r="W965" t="s">
        <v>74</v>
      </c>
      <c r="X965" t="s">
        <v>74</v>
      </c>
      <c r="Y965" t="s">
        <v>74</v>
      </c>
      <c r="Z965" t="s">
        <v>74</v>
      </c>
      <c r="AA965" t="s">
        <v>74</v>
      </c>
      <c r="AB965" t="s">
        <v>74</v>
      </c>
      <c r="AC965" t="s">
        <v>74</v>
      </c>
      <c r="AD965" t="s">
        <v>74</v>
      </c>
      <c r="AE965" t="s">
        <v>74</v>
      </c>
      <c r="AF965" t="s">
        <v>74</v>
      </c>
      <c r="AG965" t="s">
        <v>74</v>
      </c>
      <c r="AH965" t="s">
        <v>74</v>
      </c>
      <c r="AI965" t="s">
        <v>74</v>
      </c>
      <c r="AJ965" t="s">
        <v>74</v>
      </c>
      <c r="AK965" t="s">
        <v>74</v>
      </c>
      <c r="AL965" t="s">
        <v>74</v>
      </c>
      <c r="AM965" t="s">
        <v>74</v>
      </c>
      <c r="AN965" t="s">
        <v>74</v>
      </c>
      <c r="AO965" t="s">
        <v>5131</v>
      </c>
      <c r="AP965" t="s">
        <v>5132</v>
      </c>
      <c r="AQ965" t="s">
        <v>74</v>
      </c>
      <c r="AR965" t="s">
        <v>74</v>
      </c>
      <c r="AS965" t="s">
        <v>74</v>
      </c>
      <c r="AT965" t="s">
        <v>74</v>
      </c>
      <c r="AU965">
        <v>1993</v>
      </c>
      <c r="AV965">
        <v>81</v>
      </c>
      <c r="AW965">
        <v>1</v>
      </c>
      <c r="AX965" t="s">
        <v>74</v>
      </c>
      <c r="AY965" t="s">
        <v>74</v>
      </c>
      <c r="AZ965" t="s">
        <v>74</v>
      </c>
      <c r="BA965" t="s">
        <v>74</v>
      </c>
      <c r="BB965">
        <v>35</v>
      </c>
      <c r="BC965">
        <v>41</v>
      </c>
      <c r="BD965" t="s">
        <v>74</v>
      </c>
      <c r="BE965" t="s">
        <v>74</v>
      </c>
      <c r="BF965" t="s">
        <v>74</v>
      </c>
      <c r="BG965" t="s">
        <v>74</v>
      </c>
      <c r="BH965" t="s">
        <v>74</v>
      </c>
      <c r="BI965" t="s">
        <v>74</v>
      </c>
      <c r="BJ965" t="s">
        <v>74</v>
      </c>
      <c r="BK965" t="s">
        <v>74</v>
      </c>
      <c r="BL965" t="s">
        <v>74</v>
      </c>
      <c r="BM965" t="s">
        <v>74</v>
      </c>
      <c r="BN965" t="s">
        <v>74</v>
      </c>
      <c r="BO965" t="s">
        <v>74</v>
      </c>
      <c r="BP965" t="s">
        <v>74</v>
      </c>
      <c r="BQ965" t="s">
        <v>74</v>
      </c>
      <c r="BR965" t="s">
        <v>74</v>
      </c>
      <c r="BS965" t="s">
        <v>5133</v>
      </c>
      <c r="BT965" t="str">
        <f>HYPERLINK("https%3A%2F%2Fwww.webofscience.com%2Fwos%2Fwoscc%2Ffull-record%2FWOS:A1993LV04800007","View Full Record in Web of Science")</f>
        <v>View Full Record in Web of Science</v>
      </c>
    </row>
    <row r="966" spans="1:72" x14ac:dyDescent="0.4">
      <c r="A966" t="s">
        <v>72</v>
      </c>
      <c r="B966" t="s">
        <v>3310</v>
      </c>
      <c r="C966" t="s">
        <v>74</v>
      </c>
      <c r="D966" t="s">
        <v>74</v>
      </c>
      <c r="E966" t="s">
        <v>74</v>
      </c>
      <c r="F966" t="s">
        <v>3310</v>
      </c>
      <c r="G966" t="s">
        <v>74</v>
      </c>
      <c r="H966" t="s">
        <v>74</v>
      </c>
      <c r="I966" t="s">
        <v>3311</v>
      </c>
      <c r="J966" t="s">
        <v>108</v>
      </c>
      <c r="K966" t="s">
        <v>74</v>
      </c>
      <c r="L966" t="s">
        <v>74</v>
      </c>
      <c r="M966" t="s">
        <v>74</v>
      </c>
      <c r="N966" t="s">
        <v>74</v>
      </c>
      <c r="O966" t="s">
        <v>74</v>
      </c>
      <c r="P966" t="s">
        <v>74</v>
      </c>
      <c r="Q966" t="s">
        <v>74</v>
      </c>
      <c r="R966" t="s">
        <v>74</v>
      </c>
      <c r="S966" t="s">
        <v>74</v>
      </c>
      <c r="T966" t="s">
        <v>74</v>
      </c>
      <c r="U966" t="s">
        <v>74</v>
      </c>
      <c r="V966" s="3" t="s">
        <v>3312</v>
      </c>
      <c r="W966" t="s">
        <v>74</v>
      </c>
      <c r="X966" t="s">
        <v>74</v>
      </c>
      <c r="Y966" t="s">
        <v>74</v>
      </c>
      <c r="Z966" t="s">
        <v>74</v>
      </c>
      <c r="AA966" t="s">
        <v>74</v>
      </c>
      <c r="AB966" t="s">
        <v>74</v>
      </c>
      <c r="AC966" t="s">
        <v>74</v>
      </c>
      <c r="AD966" t="s">
        <v>74</v>
      </c>
      <c r="AE966" t="s">
        <v>74</v>
      </c>
      <c r="AF966" t="s">
        <v>74</v>
      </c>
      <c r="AG966" t="s">
        <v>74</v>
      </c>
      <c r="AH966" t="s">
        <v>74</v>
      </c>
      <c r="AI966" t="s">
        <v>74</v>
      </c>
      <c r="AJ966" t="s">
        <v>74</v>
      </c>
      <c r="AK966" t="s">
        <v>74</v>
      </c>
      <c r="AL966" t="s">
        <v>74</v>
      </c>
      <c r="AM966" t="s">
        <v>74</v>
      </c>
      <c r="AN966" t="s">
        <v>74</v>
      </c>
      <c r="AO966" t="s">
        <v>111</v>
      </c>
      <c r="AP966" t="s">
        <v>112</v>
      </c>
      <c r="AQ966" t="s">
        <v>74</v>
      </c>
      <c r="AR966" t="s">
        <v>74</v>
      </c>
      <c r="AS966" t="s">
        <v>74</v>
      </c>
      <c r="AT966" t="s">
        <v>3313</v>
      </c>
      <c r="AU966">
        <v>1999</v>
      </c>
      <c r="AV966">
        <v>266</v>
      </c>
      <c r="AW966">
        <v>1422</v>
      </c>
      <c r="AX966" t="s">
        <v>74</v>
      </c>
      <c r="AY966" t="s">
        <v>74</v>
      </c>
      <c r="AZ966" t="s">
        <v>74</v>
      </c>
      <c r="BA966" t="s">
        <v>74</v>
      </c>
      <c r="BB966">
        <v>917</v>
      </c>
      <c r="BC966">
        <v>921</v>
      </c>
      <c r="BD966" t="s">
        <v>74</v>
      </c>
      <c r="BE966" t="s">
        <v>3314</v>
      </c>
      <c r="BF966" t="str">
        <f>HYPERLINK("http://dx.doi.org/10.1098/rspb.1999.0724","http://dx.doi.org/10.1098/rspb.1999.0724")</f>
        <v>http://dx.doi.org/10.1098/rspb.1999.0724</v>
      </c>
      <c r="BG966" t="s">
        <v>74</v>
      </c>
      <c r="BH966" t="s">
        <v>74</v>
      </c>
      <c r="BI966" t="s">
        <v>74</v>
      </c>
      <c r="BJ966" t="s">
        <v>74</v>
      </c>
      <c r="BK966" t="s">
        <v>74</v>
      </c>
      <c r="BL966" t="s">
        <v>74</v>
      </c>
      <c r="BM966" t="s">
        <v>74</v>
      </c>
      <c r="BN966" t="s">
        <v>74</v>
      </c>
      <c r="BO966" t="s">
        <v>74</v>
      </c>
      <c r="BP966" t="s">
        <v>74</v>
      </c>
      <c r="BQ966" t="s">
        <v>74</v>
      </c>
      <c r="BR966" t="s">
        <v>74</v>
      </c>
      <c r="BS966" t="s">
        <v>3315</v>
      </c>
      <c r="BT966" t="str">
        <f>HYPERLINK("https%3A%2F%2Fwww.webofscience.com%2Fwos%2Fwoscc%2Ffull-record%2FWOS:000080290100008","View Full Record in Web of Science")</f>
        <v>View Full Record in Web of Science</v>
      </c>
    </row>
    <row r="967" spans="1:72" x14ac:dyDescent="0.4">
      <c r="A967" t="s">
        <v>72</v>
      </c>
      <c r="B967" t="s">
        <v>1278</v>
      </c>
      <c r="C967" t="s">
        <v>74</v>
      </c>
      <c r="D967" t="s">
        <v>74</v>
      </c>
      <c r="E967" t="s">
        <v>74</v>
      </c>
      <c r="F967" t="s">
        <v>1278</v>
      </c>
      <c r="G967" t="s">
        <v>74</v>
      </c>
      <c r="H967" t="s">
        <v>74</v>
      </c>
      <c r="I967" t="s">
        <v>1279</v>
      </c>
      <c r="J967" t="s">
        <v>171</v>
      </c>
      <c r="K967" t="s">
        <v>74</v>
      </c>
      <c r="L967" t="s">
        <v>74</v>
      </c>
      <c r="M967" t="s">
        <v>74</v>
      </c>
      <c r="N967" t="s">
        <v>74</v>
      </c>
      <c r="O967" t="s">
        <v>74</v>
      </c>
      <c r="P967" t="s">
        <v>74</v>
      </c>
      <c r="Q967" t="s">
        <v>74</v>
      </c>
      <c r="R967" t="s">
        <v>74</v>
      </c>
      <c r="S967" t="s">
        <v>74</v>
      </c>
      <c r="T967" t="s">
        <v>74</v>
      </c>
      <c r="U967" t="s">
        <v>74</v>
      </c>
      <c r="V967" s="3" t="s">
        <v>1280</v>
      </c>
      <c r="W967" t="s">
        <v>74</v>
      </c>
      <c r="X967" t="s">
        <v>74</v>
      </c>
      <c r="Y967" t="s">
        <v>74</v>
      </c>
      <c r="Z967" t="s">
        <v>74</v>
      </c>
      <c r="AA967" t="s">
        <v>74</v>
      </c>
      <c r="AB967" t="s">
        <v>74</v>
      </c>
      <c r="AC967" t="s">
        <v>74</v>
      </c>
      <c r="AD967" t="s">
        <v>74</v>
      </c>
      <c r="AE967" t="s">
        <v>74</v>
      </c>
      <c r="AF967" t="s">
        <v>74</v>
      </c>
      <c r="AG967" t="s">
        <v>74</v>
      </c>
      <c r="AH967" t="s">
        <v>74</v>
      </c>
      <c r="AI967" t="s">
        <v>74</v>
      </c>
      <c r="AJ967" t="s">
        <v>74</v>
      </c>
      <c r="AK967" t="s">
        <v>74</v>
      </c>
      <c r="AL967" t="s">
        <v>74</v>
      </c>
      <c r="AM967" t="s">
        <v>74</v>
      </c>
      <c r="AN967" t="s">
        <v>74</v>
      </c>
      <c r="AO967" t="s">
        <v>173</v>
      </c>
      <c r="AP967" t="s">
        <v>74</v>
      </c>
      <c r="AQ967" t="s">
        <v>74</v>
      </c>
      <c r="AR967" t="s">
        <v>74</v>
      </c>
      <c r="AS967" t="s">
        <v>74</v>
      </c>
      <c r="AT967" t="s">
        <v>102</v>
      </c>
      <c r="AU967">
        <v>1991</v>
      </c>
      <c r="AV967">
        <v>45</v>
      </c>
      <c r="AW967">
        <v>4</v>
      </c>
      <c r="AX967" t="s">
        <v>74</v>
      </c>
      <c r="AY967" t="s">
        <v>74</v>
      </c>
      <c r="AZ967" t="s">
        <v>74</v>
      </c>
      <c r="BA967" t="s">
        <v>74</v>
      </c>
      <c r="BB967">
        <v>910</v>
      </c>
      <c r="BC967">
        <v>917</v>
      </c>
      <c r="BD967" t="s">
        <v>74</v>
      </c>
      <c r="BE967" t="s">
        <v>1281</v>
      </c>
      <c r="BF967" t="str">
        <f>HYPERLINK("http://dx.doi.org/10.2307/2409698","http://dx.doi.org/10.2307/2409698")</f>
        <v>http://dx.doi.org/10.2307/2409698</v>
      </c>
      <c r="BG967" t="s">
        <v>74</v>
      </c>
      <c r="BH967" t="s">
        <v>74</v>
      </c>
      <c r="BI967" t="s">
        <v>74</v>
      </c>
      <c r="BJ967" t="s">
        <v>74</v>
      </c>
      <c r="BK967" t="s">
        <v>74</v>
      </c>
      <c r="BL967" t="s">
        <v>74</v>
      </c>
      <c r="BM967" t="s">
        <v>74</v>
      </c>
      <c r="BN967">
        <v>28564056</v>
      </c>
      <c r="BO967" t="s">
        <v>74</v>
      </c>
      <c r="BP967" t="s">
        <v>74</v>
      </c>
      <c r="BQ967" t="s">
        <v>74</v>
      </c>
      <c r="BR967" t="s">
        <v>74</v>
      </c>
      <c r="BS967" t="s">
        <v>1282</v>
      </c>
      <c r="BT967" t="str">
        <f>HYPERLINK("https%3A%2F%2Fwww.webofscience.com%2Fwos%2Fwoscc%2Ffull-record%2FWOS:A1991FW83600008","View Full Record in Web of Science")</f>
        <v>View Full Record in Web of Science</v>
      </c>
    </row>
    <row r="968" spans="1:72" x14ac:dyDescent="0.4">
      <c r="A968" t="s">
        <v>72</v>
      </c>
      <c r="B968" t="s">
        <v>7317</v>
      </c>
      <c r="C968" t="s">
        <v>74</v>
      </c>
      <c r="D968" t="s">
        <v>74</v>
      </c>
      <c r="E968" t="s">
        <v>74</v>
      </c>
      <c r="F968" t="s">
        <v>7318</v>
      </c>
      <c r="G968" t="s">
        <v>74</v>
      </c>
      <c r="H968" t="s">
        <v>74</v>
      </c>
      <c r="I968" t="s">
        <v>7319</v>
      </c>
      <c r="J968" t="s">
        <v>140</v>
      </c>
      <c r="K968" t="s">
        <v>74</v>
      </c>
      <c r="L968" t="s">
        <v>74</v>
      </c>
      <c r="M968" t="s">
        <v>74</v>
      </c>
      <c r="N968" t="s">
        <v>74</v>
      </c>
      <c r="O968" t="s">
        <v>74</v>
      </c>
      <c r="P968" t="s">
        <v>74</v>
      </c>
      <c r="Q968" t="s">
        <v>74</v>
      </c>
      <c r="R968" t="s">
        <v>74</v>
      </c>
      <c r="S968" t="s">
        <v>74</v>
      </c>
      <c r="T968" t="s">
        <v>74</v>
      </c>
      <c r="U968" t="s">
        <v>74</v>
      </c>
      <c r="V968" s="3" t="s">
        <v>7320</v>
      </c>
      <c r="W968" t="s">
        <v>74</v>
      </c>
      <c r="X968" t="s">
        <v>74</v>
      </c>
      <c r="Y968" t="s">
        <v>74</v>
      </c>
      <c r="Z968" t="s">
        <v>74</v>
      </c>
      <c r="AA968" t="s">
        <v>7321</v>
      </c>
      <c r="AB968" t="s">
        <v>7322</v>
      </c>
      <c r="AC968" t="s">
        <v>74</v>
      </c>
      <c r="AD968" t="s">
        <v>74</v>
      </c>
      <c r="AE968" t="s">
        <v>74</v>
      </c>
      <c r="AF968" t="s">
        <v>74</v>
      </c>
      <c r="AG968" t="s">
        <v>74</v>
      </c>
      <c r="AH968" t="s">
        <v>74</v>
      </c>
      <c r="AI968" t="s">
        <v>74</v>
      </c>
      <c r="AJ968" t="s">
        <v>74</v>
      </c>
      <c r="AK968" t="s">
        <v>74</v>
      </c>
      <c r="AL968" t="s">
        <v>74</v>
      </c>
      <c r="AM968" t="s">
        <v>74</v>
      </c>
      <c r="AN968" t="s">
        <v>74</v>
      </c>
      <c r="AO968" t="s">
        <v>143</v>
      </c>
      <c r="AP968" t="s">
        <v>144</v>
      </c>
      <c r="AQ968" t="s">
        <v>74</v>
      </c>
      <c r="AR968" t="s">
        <v>74</v>
      </c>
      <c r="AS968" t="s">
        <v>74</v>
      </c>
      <c r="AT968" t="s">
        <v>134</v>
      </c>
      <c r="AU968">
        <v>2019</v>
      </c>
      <c r="AV968">
        <v>151</v>
      </c>
      <c r="AW968" t="s">
        <v>74</v>
      </c>
      <c r="AX968" t="s">
        <v>74</v>
      </c>
      <c r="AY968" t="s">
        <v>74</v>
      </c>
      <c r="AZ968" t="s">
        <v>74</v>
      </c>
      <c r="BA968" t="s">
        <v>74</v>
      </c>
      <c r="BB968">
        <v>185</v>
      </c>
      <c r="BC968">
        <v>193</v>
      </c>
      <c r="BD968" t="s">
        <v>74</v>
      </c>
      <c r="BE968" t="s">
        <v>7323</v>
      </c>
      <c r="BF968" t="str">
        <f>HYPERLINK("http://dx.doi.org/10.1016/j.anbehav.2019.02.002","http://dx.doi.org/10.1016/j.anbehav.2019.02.002")</f>
        <v>http://dx.doi.org/10.1016/j.anbehav.2019.02.002</v>
      </c>
      <c r="BG968" t="s">
        <v>74</v>
      </c>
      <c r="BH968" t="s">
        <v>74</v>
      </c>
      <c r="BI968" t="s">
        <v>74</v>
      </c>
      <c r="BJ968" t="s">
        <v>74</v>
      </c>
      <c r="BK968" t="s">
        <v>74</v>
      </c>
      <c r="BL968" t="s">
        <v>74</v>
      </c>
      <c r="BM968" t="s">
        <v>74</v>
      </c>
      <c r="BN968" t="s">
        <v>74</v>
      </c>
      <c r="BO968" t="s">
        <v>74</v>
      </c>
      <c r="BP968" t="s">
        <v>74</v>
      </c>
      <c r="BQ968" t="s">
        <v>74</v>
      </c>
      <c r="BR968" t="s">
        <v>74</v>
      </c>
      <c r="BS968" t="s">
        <v>7324</v>
      </c>
      <c r="BT968" t="str">
        <f>HYPERLINK("https%3A%2F%2Fwww.webofscience.com%2Fwos%2Fwoscc%2Ffull-record%2FWOS:000467013300018","View Full Record in Web of Science")</f>
        <v>View Full Record in Web of Science</v>
      </c>
    </row>
    <row r="969" spans="1:72" x14ac:dyDescent="0.4">
      <c r="A969" t="s">
        <v>72</v>
      </c>
      <c r="B969" t="s">
        <v>7517</v>
      </c>
      <c r="C969" t="s">
        <v>74</v>
      </c>
      <c r="D969" t="s">
        <v>74</v>
      </c>
      <c r="E969" t="s">
        <v>74</v>
      </c>
      <c r="F969" t="s">
        <v>7517</v>
      </c>
      <c r="G969" t="s">
        <v>74</v>
      </c>
      <c r="H969" t="s">
        <v>74</v>
      </c>
      <c r="I969" t="s">
        <v>7518</v>
      </c>
      <c r="J969" t="s">
        <v>509</v>
      </c>
      <c r="K969" t="s">
        <v>74</v>
      </c>
      <c r="L969" t="s">
        <v>74</v>
      </c>
      <c r="M969" t="s">
        <v>74</v>
      </c>
      <c r="N969" t="s">
        <v>74</v>
      </c>
      <c r="O969" t="s">
        <v>74</v>
      </c>
      <c r="P969" t="s">
        <v>74</v>
      </c>
      <c r="Q969" t="s">
        <v>74</v>
      </c>
      <c r="R969" t="s">
        <v>74</v>
      </c>
      <c r="S969" t="s">
        <v>74</v>
      </c>
      <c r="T969" t="s">
        <v>74</v>
      </c>
      <c r="U969" t="s">
        <v>74</v>
      </c>
      <c r="V969" s="3" t="s">
        <v>7519</v>
      </c>
      <c r="W969" t="s">
        <v>74</v>
      </c>
      <c r="X969" t="s">
        <v>74</v>
      </c>
      <c r="Y969" t="s">
        <v>74</v>
      </c>
      <c r="Z969" t="s">
        <v>74</v>
      </c>
      <c r="AA969" t="s">
        <v>74</v>
      </c>
      <c r="AB969" t="s">
        <v>74</v>
      </c>
      <c r="AC969" t="s">
        <v>74</v>
      </c>
      <c r="AD969" t="s">
        <v>74</v>
      </c>
      <c r="AE969" t="s">
        <v>74</v>
      </c>
      <c r="AF969" t="s">
        <v>74</v>
      </c>
      <c r="AG969" t="s">
        <v>74</v>
      </c>
      <c r="AH969" t="s">
        <v>74</v>
      </c>
      <c r="AI969" t="s">
        <v>74</v>
      </c>
      <c r="AJ969" t="s">
        <v>74</v>
      </c>
      <c r="AK969" t="s">
        <v>74</v>
      </c>
      <c r="AL969" t="s">
        <v>74</v>
      </c>
      <c r="AM969" t="s">
        <v>74</v>
      </c>
      <c r="AN969" t="s">
        <v>74</v>
      </c>
      <c r="AO969" t="s">
        <v>511</v>
      </c>
      <c r="AP969" t="s">
        <v>512</v>
      </c>
      <c r="AQ969" t="s">
        <v>74</v>
      </c>
      <c r="AR969" t="s">
        <v>74</v>
      </c>
      <c r="AS969" t="s">
        <v>74</v>
      </c>
      <c r="AT969" t="s">
        <v>145</v>
      </c>
      <c r="AU969">
        <v>1999</v>
      </c>
      <c r="AV969">
        <v>36</v>
      </c>
      <c r="AW969">
        <v>1</v>
      </c>
      <c r="AX969" t="s">
        <v>74</v>
      </c>
      <c r="AY969" t="s">
        <v>74</v>
      </c>
      <c r="AZ969" t="s">
        <v>74</v>
      </c>
      <c r="BA969" t="s">
        <v>74</v>
      </c>
      <c r="BB969">
        <v>39</v>
      </c>
      <c r="BC969">
        <v>52</v>
      </c>
      <c r="BD969" t="s">
        <v>74</v>
      </c>
      <c r="BE969" t="s">
        <v>7520</v>
      </c>
      <c r="BF969" t="str">
        <f>HYPERLINK("http://dx.doi.org/10.1006/hbeh.1999.1523","http://dx.doi.org/10.1006/hbeh.1999.1523")</f>
        <v>http://dx.doi.org/10.1006/hbeh.1999.1523</v>
      </c>
      <c r="BG969" t="s">
        <v>74</v>
      </c>
      <c r="BH969" t="s">
        <v>74</v>
      </c>
      <c r="BI969" t="s">
        <v>74</v>
      </c>
      <c r="BJ969" t="s">
        <v>74</v>
      </c>
      <c r="BK969" t="s">
        <v>74</v>
      </c>
      <c r="BL969" t="s">
        <v>74</v>
      </c>
      <c r="BM969" t="s">
        <v>74</v>
      </c>
      <c r="BN969">
        <v>10433885</v>
      </c>
      <c r="BO969" t="s">
        <v>74</v>
      </c>
      <c r="BP969" t="s">
        <v>74</v>
      </c>
      <c r="BQ969" t="s">
        <v>74</v>
      </c>
      <c r="BR969" t="s">
        <v>74</v>
      </c>
      <c r="BS969" t="s">
        <v>7521</v>
      </c>
      <c r="BT969" t="str">
        <f>HYPERLINK("https%3A%2F%2Fwww.webofscience.com%2Fwos%2Fwoscc%2Ffull-record%2FWOS:000082107300004","View Full Record in Web of Science")</f>
        <v>View Full Record in Web of Science</v>
      </c>
    </row>
    <row r="970" spans="1:72" x14ac:dyDescent="0.4">
      <c r="A970" t="s">
        <v>72</v>
      </c>
      <c r="B970" t="s">
        <v>438</v>
      </c>
      <c r="C970" t="s">
        <v>74</v>
      </c>
      <c r="D970" t="s">
        <v>74</v>
      </c>
      <c r="E970" t="s">
        <v>74</v>
      </c>
      <c r="F970" t="s">
        <v>438</v>
      </c>
      <c r="G970" t="s">
        <v>74</v>
      </c>
      <c r="H970" t="s">
        <v>74</v>
      </c>
      <c r="I970" t="s">
        <v>439</v>
      </c>
      <c r="J970" t="s">
        <v>229</v>
      </c>
      <c r="K970" t="s">
        <v>74</v>
      </c>
      <c r="L970" t="s">
        <v>74</v>
      </c>
      <c r="M970" t="s">
        <v>74</v>
      </c>
      <c r="N970" t="s">
        <v>74</v>
      </c>
      <c r="O970" t="s">
        <v>74</v>
      </c>
      <c r="P970" t="s">
        <v>74</v>
      </c>
      <c r="Q970" t="s">
        <v>74</v>
      </c>
      <c r="R970" t="s">
        <v>74</v>
      </c>
      <c r="S970" t="s">
        <v>74</v>
      </c>
      <c r="T970" t="s">
        <v>74</v>
      </c>
      <c r="U970" t="s">
        <v>74</v>
      </c>
      <c r="V970" s="3" t="s">
        <v>440</v>
      </c>
      <c r="W970" t="s">
        <v>74</v>
      </c>
      <c r="X970" t="s">
        <v>74</v>
      </c>
      <c r="Y970" t="s">
        <v>74</v>
      </c>
      <c r="Z970" t="s">
        <v>74</v>
      </c>
      <c r="AA970" t="s">
        <v>74</v>
      </c>
      <c r="AB970" t="s">
        <v>441</v>
      </c>
      <c r="AC970" t="s">
        <v>74</v>
      </c>
      <c r="AD970" t="s">
        <v>74</v>
      </c>
      <c r="AE970" t="s">
        <v>74</v>
      </c>
      <c r="AF970" t="s">
        <v>74</v>
      </c>
      <c r="AG970" t="s">
        <v>74</v>
      </c>
      <c r="AH970" t="s">
        <v>74</v>
      </c>
      <c r="AI970" t="s">
        <v>74</v>
      </c>
      <c r="AJ970" t="s">
        <v>74</v>
      </c>
      <c r="AK970" t="s">
        <v>74</v>
      </c>
      <c r="AL970" t="s">
        <v>74</v>
      </c>
      <c r="AM970" t="s">
        <v>74</v>
      </c>
      <c r="AN970" t="s">
        <v>74</v>
      </c>
      <c r="AO970" t="s">
        <v>233</v>
      </c>
      <c r="AP970" t="s">
        <v>234</v>
      </c>
      <c r="AQ970" t="s">
        <v>74</v>
      </c>
      <c r="AR970" t="s">
        <v>74</v>
      </c>
      <c r="AS970" t="s">
        <v>74</v>
      </c>
      <c r="AT970" t="s">
        <v>74</v>
      </c>
      <c r="AU970">
        <v>2005</v>
      </c>
      <c r="AV970">
        <v>31</v>
      </c>
      <c r="AW970">
        <v>3</v>
      </c>
      <c r="AX970" t="s">
        <v>74</v>
      </c>
      <c r="AY970" t="s">
        <v>74</v>
      </c>
      <c r="AZ970" t="s">
        <v>74</v>
      </c>
      <c r="BA970" t="s">
        <v>74</v>
      </c>
      <c r="BB970">
        <v>271</v>
      </c>
      <c r="BC970">
        <v>282</v>
      </c>
      <c r="BD970" t="s">
        <v>74</v>
      </c>
      <c r="BE970" t="s">
        <v>442</v>
      </c>
      <c r="BF970" t="str">
        <f>HYPERLINK("http://dx.doi.org/10.1002/ab.20071","http://dx.doi.org/10.1002/ab.20071")</f>
        <v>http://dx.doi.org/10.1002/ab.20071</v>
      </c>
      <c r="BG970" t="s">
        <v>74</v>
      </c>
      <c r="BH970" t="s">
        <v>74</v>
      </c>
      <c r="BI970" t="s">
        <v>74</v>
      </c>
      <c r="BJ970" t="s">
        <v>74</v>
      </c>
      <c r="BK970" t="s">
        <v>74</v>
      </c>
      <c r="BL970" t="s">
        <v>74</v>
      </c>
      <c r="BM970" t="s">
        <v>74</v>
      </c>
      <c r="BN970" t="s">
        <v>74</v>
      </c>
      <c r="BO970" t="s">
        <v>74</v>
      </c>
      <c r="BP970" t="s">
        <v>74</v>
      </c>
      <c r="BQ970" t="s">
        <v>74</v>
      </c>
      <c r="BR970" t="s">
        <v>74</v>
      </c>
      <c r="BS970" t="s">
        <v>443</v>
      </c>
      <c r="BT970" t="str">
        <f>HYPERLINK("https%3A%2F%2Fwww.webofscience.com%2Fwos%2Fwoscc%2Ffull-record%2FWOS:000227894100006","View Full Record in Web of Science")</f>
        <v>View Full Record in Web of Science</v>
      </c>
    </row>
    <row r="971" spans="1:72" x14ac:dyDescent="0.4">
      <c r="A971" t="s">
        <v>72</v>
      </c>
      <c r="B971" t="s">
        <v>2529</v>
      </c>
      <c r="C971" t="s">
        <v>74</v>
      </c>
      <c r="D971" t="s">
        <v>74</v>
      </c>
      <c r="E971" t="s">
        <v>74</v>
      </c>
      <c r="F971" t="s">
        <v>2529</v>
      </c>
      <c r="G971" t="s">
        <v>74</v>
      </c>
      <c r="H971" t="s">
        <v>74</v>
      </c>
      <c r="I971" t="s">
        <v>2530</v>
      </c>
      <c r="J971" t="s">
        <v>108</v>
      </c>
      <c r="K971" t="s">
        <v>74</v>
      </c>
      <c r="L971" t="s">
        <v>74</v>
      </c>
      <c r="M971" t="s">
        <v>74</v>
      </c>
      <c r="N971" t="s">
        <v>74</v>
      </c>
      <c r="O971" t="s">
        <v>74</v>
      </c>
      <c r="P971" t="s">
        <v>74</v>
      </c>
      <c r="Q971" t="s">
        <v>74</v>
      </c>
      <c r="R971" t="s">
        <v>74</v>
      </c>
      <c r="S971" t="s">
        <v>74</v>
      </c>
      <c r="T971" t="s">
        <v>74</v>
      </c>
      <c r="U971" t="s">
        <v>74</v>
      </c>
      <c r="V971" s="3" t="s">
        <v>2531</v>
      </c>
      <c r="W971" t="s">
        <v>74</v>
      </c>
      <c r="X971" t="s">
        <v>74</v>
      </c>
      <c r="Y971" t="s">
        <v>74</v>
      </c>
      <c r="Z971" t="s">
        <v>74</v>
      </c>
      <c r="AA971" t="s">
        <v>74</v>
      </c>
      <c r="AB971" t="s">
        <v>74</v>
      </c>
      <c r="AC971" t="s">
        <v>74</v>
      </c>
      <c r="AD971" t="s">
        <v>74</v>
      </c>
      <c r="AE971" t="s">
        <v>74</v>
      </c>
      <c r="AF971" t="s">
        <v>74</v>
      </c>
      <c r="AG971" t="s">
        <v>74</v>
      </c>
      <c r="AH971" t="s">
        <v>74</v>
      </c>
      <c r="AI971" t="s">
        <v>74</v>
      </c>
      <c r="AJ971" t="s">
        <v>74</v>
      </c>
      <c r="AK971" t="s">
        <v>74</v>
      </c>
      <c r="AL971" t="s">
        <v>74</v>
      </c>
      <c r="AM971" t="s">
        <v>74</v>
      </c>
      <c r="AN971" t="s">
        <v>74</v>
      </c>
      <c r="AO971" t="s">
        <v>111</v>
      </c>
      <c r="AP971" t="s">
        <v>112</v>
      </c>
      <c r="AQ971" t="s">
        <v>74</v>
      </c>
      <c r="AR971" t="s">
        <v>74</v>
      </c>
      <c r="AS971" t="s">
        <v>74</v>
      </c>
      <c r="AT971" t="s">
        <v>1210</v>
      </c>
      <c r="AU971">
        <v>2002</v>
      </c>
      <c r="AV971">
        <v>269</v>
      </c>
      <c r="AW971">
        <v>1509</v>
      </c>
      <c r="AX971" t="s">
        <v>74</v>
      </c>
      <c r="AY971" t="s">
        <v>74</v>
      </c>
      <c r="AZ971" t="s">
        <v>74</v>
      </c>
      <c r="BA971" t="s">
        <v>74</v>
      </c>
      <c r="BB971">
        <v>2495</v>
      </c>
      <c r="BC971">
        <v>2502</v>
      </c>
      <c r="BD971" t="s">
        <v>74</v>
      </c>
      <c r="BE971" t="s">
        <v>2532</v>
      </c>
      <c r="BF971" t="str">
        <f>HYPERLINK("http://dx.doi.org/10.1098/rspb.2002.2188","http://dx.doi.org/10.1098/rspb.2002.2188")</f>
        <v>http://dx.doi.org/10.1098/rspb.2002.2188</v>
      </c>
      <c r="BG971" t="s">
        <v>74</v>
      </c>
      <c r="BH971" t="s">
        <v>74</v>
      </c>
      <c r="BI971" t="s">
        <v>74</v>
      </c>
      <c r="BJ971" t="s">
        <v>74</v>
      </c>
      <c r="BK971" t="s">
        <v>74</v>
      </c>
      <c r="BL971" t="s">
        <v>74</v>
      </c>
      <c r="BM971" t="s">
        <v>74</v>
      </c>
      <c r="BN971">
        <v>12573062</v>
      </c>
      <c r="BO971" t="s">
        <v>74</v>
      </c>
      <c r="BP971" t="s">
        <v>74</v>
      </c>
      <c r="BQ971" t="s">
        <v>74</v>
      </c>
      <c r="BR971" t="s">
        <v>74</v>
      </c>
      <c r="BS971" t="s">
        <v>2533</v>
      </c>
      <c r="BT971" t="str">
        <f>HYPERLINK("https%3A%2F%2Fwww.webofscience.com%2Fwos%2Fwoscc%2Ffull-record%2FWOS:000180221100001","View Full Record in Web of Science")</f>
        <v>View Full Record in Web of Science</v>
      </c>
    </row>
    <row r="972" spans="1:72" x14ac:dyDescent="0.4">
      <c r="A972" t="s">
        <v>72</v>
      </c>
      <c r="B972" t="s">
        <v>2092</v>
      </c>
      <c r="C972" t="s">
        <v>74</v>
      </c>
      <c r="D972" t="s">
        <v>74</v>
      </c>
      <c r="E972" t="s">
        <v>74</v>
      </c>
      <c r="F972" t="s">
        <v>2093</v>
      </c>
      <c r="G972" t="s">
        <v>74</v>
      </c>
      <c r="H972" t="s">
        <v>74</v>
      </c>
      <c r="I972" t="s">
        <v>2094</v>
      </c>
      <c r="J972" t="s">
        <v>1743</v>
      </c>
      <c r="K972" t="s">
        <v>74</v>
      </c>
      <c r="L972" t="s">
        <v>74</v>
      </c>
      <c r="M972" t="s">
        <v>74</v>
      </c>
      <c r="N972" t="s">
        <v>74</v>
      </c>
      <c r="O972" t="s">
        <v>74</v>
      </c>
      <c r="P972" t="s">
        <v>74</v>
      </c>
      <c r="Q972" t="s">
        <v>74</v>
      </c>
      <c r="R972" t="s">
        <v>74</v>
      </c>
      <c r="S972" t="s">
        <v>74</v>
      </c>
      <c r="T972" t="s">
        <v>74</v>
      </c>
      <c r="U972" t="s">
        <v>74</v>
      </c>
      <c r="V972" s="3" t="s">
        <v>2095</v>
      </c>
      <c r="W972" t="s">
        <v>74</v>
      </c>
      <c r="X972" t="s">
        <v>74</v>
      </c>
      <c r="Y972" t="s">
        <v>74</v>
      </c>
      <c r="Z972" t="s">
        <v>74</v>
      </c>
      <c r="AA972" t="s">
        <v>2096</v>
      </c>
      <c r="AB972" t="s">
        <v>2097</v>
      </c>
      <c r="AC972" t="s">
        <v>74</v>
      </c>
      <c r="AD972" t="s">
        <v>74</v>
      </c>
      <c r="AE972" t="s">
        <v>74</v>
      </c>
      <c r="AF972" t="s">
        <v>74</v>
      </c>
      <c r="AG972" t="s">
        <v>74</v>
      </c>
      <c r="AH972" t="s">
        <v>74</v>
      </c>
      <c r="AI972" t="s">
        <v>74</v>
      </c>
      <c r="AJ972" t="s">
        <v>74</v>
      </c>
      <c r="AK972" t="s">
        <v>74</v>
      </c>
      <c r="AL972" t="s">
        <v>74</v>
      </c>
      <c r="AM972" t="s">
        <v>74</v>
      </c>
      <c r="AN972" t="s">
        <v>74</v>
      </c>
      <c r="AO972" t="s">
        <v>1746</v>
      </c>
      <c r="AP972" t="s">
        <v>74</v>
      </c>
      <c r="AQ972" t="s">
        <v>74</v>
      </c>
      <c r="AR972" t="s">
        <v>74</v>
      </c>
      <c r="AS972" t="s">
        <v>74</v>
      </c>
      <c r="AT972" t="s">
        <v>633</v>
      </c>
      <c r="AU972">
        <v>2023</v>
      </c>
      <c r="AV972">
        <v>40</v>
      </c>
      <c r="AW972">
        <v>2</v>
      </c>
      <c r="AX972" t="s">
        <v>74</v>
      </c>
      <c r="AY972" t="s">
        <v>74</v>
      </c>
      <c r="AZ972" t="s">
        <v>74</v>
      </c>
      <c r="BA972" t="s">
        <v>74</v>
      </c>
      <c r="BB972">
        <v>168</v>
      </c>
      <c r="BC972">
        <v>174</v>
      </c>
      <c r="BD972" t="s">
        <v>74</v>
      </c>
      <c r="BE972" t="s">
        <v>2098</v>
      </c>
      <c r="BF972" t="str">
        <f>HYPERLINK("http://dx.doi.org/10.2108/zs220088","http://dx.doi.org/10.2108/zs220088")</f>
        <v>http://dx.doi.org/10.2108/zs220088</v>
      </c>
      <c r="BG972" t="s">
        <v>74</v>
      </c>
      <c r="BH972" t="s">
        <v>74</v>
      </c>
      <c r="BI972" t="s">
        <v>74</v>
      </c>
      <c r="BJ972" t="s">
        <v>74</v>
      </c>
      <c r="BK972" t="s">
        <v>74</v>
      </c>
      <c r="BL972" t="s">
        <v>74</v>
      </c>
      <c r="BM972" t="s">
        <v>74</v>
      </c>
      <c r="BN972">
        <v>37042696</v>
      </c>
      <c r="BO972" t="s">
        <v>74</v>
      </c>
      <c r="BP972" t="s">
        <v>74</v>
      </c>
      <c r="BQ972" t="s">
        <v>74</v>
      </c>
      <c r="BR972" t="s">
        <v>74</v>
      </c>
      <c r="BS972" t="s">
        <v>2099</v>
      </c>
      <c r="BT972" t="str">
        <f>HYPERLINK("https%3A%2F%2Fwww.webofscience.com%2Fwos%2Fwoscc%2Ffull-record%2FWOS:000963816400010","View Full Record in Web of Science")</f>
        <v>View Full Record in Web of Science</v>
      </c>
    </row>
    <row r="973" spans="1:72" x14ac:dyDescent="0.4">
      <c r="A973" t="s">
        <v>72</v>
      </c>
      <c r="B973" t="s">
        <v>7311</v>
      </c>
      <c r="C973" t="s">
        <v>74</v>
      </c>
      <c r="D973" t="s">
        <v>74</v>
      </c>
      <c r="E973" t="s">
        <v>74</v>
      </c>
      <c r="F973" t="s">
        <v>7312</v>
      </c>
      <c r="G973" t="s">
        <v>74</v>
      </c>
      <c r="H973" t="s">
        <v>74</v>
      </c>
      <c r="I973" t="s">
        <v>7313</v>
      </c>
      <c r="J973" t="s">
        <v>1526</v>
      </c>
      <c r="K973" t="s">
        <v>74</v>
      </c>
      <c r="L973" t="s">
        <v>74</v>
      </c>
      <c r="M973" t="s">
        <v>74</v>
      </c>
      <c r="N973" t="s">
        <v>74</v>
      </c>
      <c r="O973" t="s">
        <v>74</v>
      </c>
      <c r="P973" t="s">
        <v>74</v>
      </c>
      <c r="Q973" t="s">
        <v>74</v>
      </c>
      <c r="R973" t="s">
        <v>74</v>
      </c>
      <c r="S973" t="s">
        <v>74</v>
      </c>
      <c r="T973" t="s">
        <v>74</v>
      </c>
      <c r="U973" t="s">
        <v>74</v>
      </c>
      <c r="V973" s="3" t="s">
        <v>7314</v>
      </c>
      <c r="W973" t="s">
        <v>74</v>
      </c>
      <c r="X973" t="s">
        <v>74</v>
      </c>
      <c r="Y973" t="s">
        <v>74</v>
      </c>
      <c r="Z973" t="s">
        <v>74</v>
      </c>
      <c r="AA973" t="s">
        <v>74</v>
      </c>
      <c r="AB973" t="s">
        <v>74</v>
      </c>
      <c r="AC973" t="s">
        <v>74</v>
      </c>
      <c r="AD973" t="s">
        <v>74</v>
      </c>
      <c r="AE973" t="s">
        <v>74</v>
      </c>
      <c r="AF973" t="s">
        <v>74</v>
      </c>
      <c r="AG973" t="s">
        <v>74</v>
      </c>
      <c r="AH973" t="s">
        <v>74</v>
      </c>
      <c r="AI973" t="s">
        <v>74</v>
      </c>
      <c r="AJ973" t="s">
        <v>74</v>
      </c>
      <c r="AK973" t="s">
        <v>74</v>
      </c>
      <c r="AL973" t="s">
        <v>74</v>
      </c>
      <c r="AM973" t="s">
        <v>74</v>
      </c>
      <c r="AN973" t="s">
        <v>74</v>
      </c>
      <c r="AO973" t="s">
        <v>1528</v>
      </c>
      <c r="AP973" t="s">
        <v>74</v>
      </c>
      <c r="AQ973" t="s">
        <v>74</v>
      </c>
      <c r="AR973" t="s">
        <v>74</v>
      </c>
      <c r="AS973" t="s">
        <v>74</v>
      </c>
      <c r="AT973" t="s">
        <v>134</v>
      </c>
      <c r="AU973">
        <v>2007</v>
      </c>
      <c r="AV973">
        <v>109</v>
      </c>
      <c r="AW973">
        <v>2</v>
      </c>
      <c r="AX973" t="s">
        <v>74</v>
      </c>
      <c r="AY973" t="s">
        <v>74</v>
      </c>
      <c r="AZ973" t="s">
        <v>74</v>
      </c>
      <c r="BA973" t="s">
        <v>74</v>
      </c>
      <c r="BB973">
        <v>475</v>
      </c>
      <c r="BC973">
        <v>480</v>
      </c>
      <c r="BD973" t="s">
        <v>74</v>
      </c>
      <c r="BE973" t="s">
        <v>7315</v>
      </c>
      <c r="BF973" t="str">
        <f>HYPERLINK("http://dx.doi.org/10.1650/0010-5422(2007)109[475:WFNTDB]2.0.CO;2","http://dx.doi.org/10.1650/0010-5422(2007)109[475:WFNTDB]2.0.CO;2")</f>
        <v>http://dx.doi.org/10.1650/0010-5422(2007)109[475:WFNTDB]2.0.CO;2</v>
      </c>
      <c r="BG973" t="s">
        <v>74</v>
      </c>
      <c r="BH973" t="s">
        <v>74</v>
      </c>
      <c r="BI973" t="s">
        <v>74</v>
      </c>
      <c r="BJ973" t="s">
        <v>74</v>
      </c>
      <c r="BK973" t="s">
        <v>74</v>
      </c>
      <c r="BL973" t="s">
        <v>74</v>
      </c>
      <c r="BM973" t="s">
        <v>74</v>
      </c>
      <c r="BN973" t="s">
        <v>74</v>
      </c>
      <c r="BO973" t="s">
        <v>74</v>
      </c>
      <c r="BP973" t="s">
        <v>74</v>
      </c>
      <c r="BQ973" t="s">
        <v>74</v>
      </c>
      <c r="BR973" t="s">
        <v>74</v>
      </c>
      <c r="BS973" t="s">
        <v>7316</v>
      </c>
      <c r="BT973" t="str">
        <f>HYPERLINK("https%3A%2F%2Fwww.webofscience.com%2Fwos%2Fwoscc%2Ffull-record%2FWOS:000246603900024","View Full Record in Web of Science")</f>
        <v>View Full Record in Web of Science</v>
      </c>
    </row>
    <row r="974" spans="1:72" x14ac:dyDescent="0.4">
      <c r="A974" t="s">
        <v>72</v>
      </c>
      <c r="B974" t="s">
        <v>745</v>
      </c>
      <c r="C974" t="s">
        <v>74</v>
      </c>
      <c r="D974" t="s">
        <v>74</v>
      </c>
      <c r="E974" t="s">
        <v>74</v>
      </c>
      <c r="F974" t="s">
        <v>746</v>
      </c>
      <c r="G974" t="s">
        <v>74</v>
      </c>
      <c r="H974" t="s">
        <v>74</v>
      </c>
      <c r="I974" t="s">
        <v>747</v>
      </c>
      <c r="J974" t="s">
        <v>748</v>
      </c>
      <c r="K974" t="s">
        <v>74</v>
      </c>
      <c r="L974" t="s">
        <v>74</v>
      </c>
      <c r="M974" t="s">
        <v>74</v>
      </c>
      <c r="N974" t="s">
        <v>74</v>
      </c>
      <c r="O974" t="s">
        <v>74</v>
      </c>
      <c r="P974" t="s">
        <v>74</v>
      </c>
      <c r="Q974" t="s">
        <v>74</v>
      </c>
      <c r="R974" t="s">
        <v>74</v>
      </c>
      <c r="S974" t="s">
        <v>74</v>
      </c>
      <c r="T974" t="s">
        <v>74</v>
      </c>
      <c r="U974" t="s">
        <v>74</v>
      </c>
      <c r="V974" s="3" t="s">
        <v>749</v>
      </c>
      <c r="W974" t="s">
        <v>74</v>
      </c>
      <c r="X974" t="s">
        <v>74</v>
      </c>
      <c r="Y974" t="s">
        <v>74</v>
      </c>
      <c r="Z974" t="s">
        <v>74</v>
      </c>
      <c r="AA974" t="s">
        <v>74</v>
      </c>
      <c r="AB974" t="s">
        <v>74</v>
      </c>
      <c r="AC974" t="s">
        <v>74</v>
      </c>
      <c r="AD974" t="s">
        <v>74</v>
      </c>
      <c r="AE974" t="s">
        <v>74</v>
      </c>
      <c r="AF974" t="s">
        <v>74</v>
      </c>
      <c r="AG974" t="s">
        <v>74</v>
      </c>
      <c r="AH974" t="s">
        <v>74</v>
      </c>
      <c r="AI974" t="s">
        <v>74</v>
      </c>
      <c r="AJ974" t="s">
        <v>74</v>
      </c>
      <c r="AK974" t="s">
        <v>74</v>
      </c>
      <c r="AL974" t="s">
        <v>74</v>
      </c>
      <c r="AM974" t="s">
        <v>74</v>
      </c>
      <c r="AN974" t="s">
        <v>74</v>
      </c>
      <c r="AO974" t="s">
        <v>750</v>
      </c>
      <c r="AP974" t="s">
        <v>74</v>
      </c>
      <c r="AQ974" t="s">
        <v>74</v>
      </c>
      <c r="AR974" t="s">
        <v>74</v>
      </c>
      <c r="AS974" t="s">
        <v>74</v>
      </c>
      <c r="AT974" t="s">
        <v>255</v>
      </c>
      <c r="AU974">
        <v>2022</v>
      </c>
      <c r="AV974">
        <v>21</v>
      </c>
      <c r="AW974">
        <v>1</v>
      </c>
      <c r="AX974" t="s">
        <v>74</v>
      </c>
      <c r="AY974" t="s">
        <v>74</v>
      </c>
      <c r="AZ974" t="s">
        <v>74</v>
      </c>
      <c r="BA974" t="s">
        <v>74</v>
      </c>
      <c r="BB974">
        <v>45</v>
      </c>
      <c r="BC974">
        <v>52</v>
      </c>
      <c r="BD974" t="s">
        <v>74</v>
      </c>
      <c r="BE974" t="s">
        <v>74</v>
      </c>
      <c r="BF974" t="s">
        <v>74</v>
      </c>
      <c r="BG974" t="s">
        <v>74</v>
      </c>
      <c r="BH974" t="s">
        <v>74</v>
      </c>
      <c r="BI974" t="s">
        <v>74</v>
      </c>
      <c r="BJ974" t="s">
        <v>74</v>
      </c>
      <c r="BK974" t="s">
        <v>74</v>
      </c>
      <c r="BL974" t="s">
        <v>74</v>
      </c>
      <c r="BM974" t="s">
        <v>74</v>
      </c>
      <c r="BN974" t="s">
        <v>74</v>
      </c>
      <c r="BO974" t="s">
        <v>74</v>
      </c>
      <c r="BP974" t="s">
        <v>74</v>
      </c>
      <c r="BQ974" t="s">
        <v>74</v>
      </c>
      <c r="BR974" t="s">
        <v>74</v>
      </c>
      <c r="BS974" t="s">
        <v>751</v>
      </c>
      <c r="BT974" t="str">
        <f>HYPERLINK("https%3A%2F%2Fwww.webofscience.com%2Fwos%2Fwoscc%2Ffull-record%2FWOS:000752459100006","View Full Record in Web of Science")</f>
        <v>View Full Record in Web of Science</v>
      </c>
    </row>
    <row r="975" spans="1:72" x14ac:dyDescent="0.4">
      <c r="A975" t="s">
        <v>72</v>
      </c>
      <c r="B975" t="s">
        <v>1946</v>
      </c>
      <c r="C975" t="s">
        <v>74</v>
      </c>
      <c r="D975" t="s">
        <v>74</v>
      </c>
      <c r="E975" t="s">
        <v>74</v>
      </c>
      <c r="F975" t="s">
        <v>1947</v>
      </c>
      <c r="G975" t="s">
        <v>74</v>
      </c>
      <c r="H975" t="s">
        <v>74</v>
      </c>
      <c r="I975" t="s">
        <v>1948</v>
      </c>
      <c r="J975" t="s">
        <v>1949</v>
      </c>
      <c r="K975" t="s">
        <v>74</v>
      </c>
      <c r="L975" t="s">
        <v>74</v>
      </c>
      <c r="M975" t="s">
        <v>74</v>
      </c>
      <c r="N975" t="s">
        <v>74</v>
      </c>
      <c r="O975" t="s">
        <v>74</v>
      </c>
      <c r="P975" t="s">
        <v>74</v>
      </c>
      <c r="Q975" t="s">
        <v>74</v>
      </c>
      <c r="R975" t="s">
        <v>74</v>
      </c>
      <c r="S975" t="s">
        <v>74</v>
      </c>
      <c r="T975" t="s">
        <v>74</v>
      </c>
      <c r="U975" t="s">
        <v>74</v>
      </c>
      <c r="V975" s="3" t="s">
        <v>1950</v>
      </c>
      <c r="W975" t="s">
        <v>74</v>
      </c>
      <c r="X975" t="s">
        <v>74</v>
      </c>
      <c r="Y975" t="s">
        <v>74</v>
      </c>
      <c r="Z975" t="s">
        <v>74</v>
      </c>
      <c r="AA975" t="s">
        <v>1951</v>
      </c>
      <c r="AB975" t="s">
        <v>1952</v>
      </c>
      <c r="AC975" t="s">
        <v>74</v>
      </c>
      <c r="AD975" t="s">
        <v>74</v>
      </c>
      <c r="AE975" t="s">
        <v>74</v>
      </c>
      <c r="AF975" t="s">
        <v>74</v>
      </c>
      <c r="AG975" t="s">
        <v>74</v>
      </c>
      <c r="AH975" t="s">
        <v>74</v>
      </c>
      <c r="AI975" t="s">
        <v>74</v>
      </c>
      <c r="AJ975" t="s">
        <v>74</v>
      </c>
      <c r="AK975" t="s">
        <v>74</v>
      </c>
      <c r="AL975" t="s">
        <v>74</v>
      </c>
      <c r="AM975" t="s">
        <v>74</v>
      </c>
      <c r="AN975" t="s">
        <v>74</v>
      </c>
      <c r="AO975" t="s">
        <v>74</v>
      </c>
      <c r="AP975" t="s">
        <v>1953</v>
      </c>
      <c r="AQ975" t="s">
        <v>74</v>
      </c>
      <c r="AR975" t="s">
        <v>74</v>
      </c>
      <c r="AS975" t="s">
        <v>74</v>
      </c>
      <c r="AT975" t="s">
        <v>123</v>
      </c>
      <c r="AU975">
        <v>2023</v>
      </c>
      <c r="AV975">
        <v>14</v>
      </c>
      <c r="AW975">
        <v>3</v>
      </c>
      <c r="AX975" t="s">
        <v>74</v>
      </c>
      <c r="AY975" t="s">
        <v>74</v>
      </c>
      <c r="AZ975" t="s">
        <v>74</v>
      </c>
      <c r="BA975" t="s">
        <v>74</v>
      </c>
      <c r="BB975" t="s">
        <v>74</v>
      </c>
      <c r="BC975" t="s">
        <v>74</v>
      </c>
      <c r="BD975">
        <v>227</v>
      </c>
      <c r="BE975" t="s">
        <v>1954</v>
      </c>
      <c r="BF975" t="str">
        <f>HYPERLINK("http://dx.doi.org/10.3390/insects14030227","http://dx.doi.org/10.3390/insects14030227")</f>
        <v>http://dx.doi.org/10.3390/insects14030227</v>
      </c>
      <c r="BG975" t="s">
        <v>74</v>
      </c>
      <c r="BH975" t="s">
        <v>74</v>
      </c>
      <c r="BI975" t="s">
        <v>74</v>
      </c>
      <c r="BJ975" t="s">
        <v>74</v>
      </c>
      <c r="BK975" t="s">
        <v>74</v>
      </c>
      <c r="BL975" t="s">
        <v>74</v>
      </c>
      <c r="BM975" t="s">
        <v>74</v>
      </c>
      <c r="BN975">
        <v>36975912</v>
      </c>
      <c r="BO975" t="s">
        <v>74</v>
      </c>
      <c r="BP975" t="s">
        <v>74</v>
      </c>
      <c r="BQ975" t="s">
        <v>74</v>
      </c>
      <c r="BR975" t="s">
        <v>74</v>
      </c>
      <c r="BS975" t="s">
        <v>1955</v>
      </c>
      <c r="BT975" t="str">
        <f>HYPERLINK("https%3A%2F%2Fwww.webofscience.com%2Fwos%2Fwoscc%2Ffull-record%2FWOS:000955456800001","View Full Record in Web of Science")</f>
        <v>View Full Record in Web of Science</v>
      </c>
    </row>
    <row r="976" spans="1:72" x14ac:dyDescent="0.4">
      <c r="A976" t="s">
        <v>72</v>
      </c>
      <c r="B976" t="s">
        <v>8058</v>
      </c>
      <c r="C976" t="s">
        <v>74</v>
      </c>
      <c r="D976" t="s">
        <v>74</v>
      </c>
      <c r="E976" t="s">
        <v>74</v>
      </c>
      <c r="F976" t="s">
        <v>8058</v>
      </c>
      <c r="G976" t="s">
        <v>74</v>
      </c>
      <c r="H976" t="s">
        <v>74</v>
      </c>
      <c r="I976" t="s">
        <v>8059</v>
      </c>
      <c r="J976" t="s">
        <v>8060</v>
      </c>
      <c r="K976" t="s">
        <v>74</v>
      </c>
      <c r="L976" t="s">
        <v>74</v>
      </c>
      <c r="M976" t="s">
        <v>74</v>
      </c>
      <c r="N976" t="s">
        <v>74</v>
      </c>
      <c r="O976" t="s">
        <v>74</v>
      </c>
      <c r="P976" t="s">
        <v>74</v>
      </c>
      <c r="Q976" t="s">
        <v>74</v>
      </c>
      <c r="R976" t="s">
        <v>74</v>
      </c>
      <c r="S976" t="s">
        <v>74</v>
      </c>
      <c r="T976" t="s">
        <v>74</v>
      </c>
      <c r="U976" t="s">
        <v>74</v>
      </c>
      <c r="V976" s="3" t="s">
        <v>8061</v>
      </c>
      <c r="W976" t="s">
        <v>74</v>
      </c>
      <c r="X976" t="s">
        <v>74</v>
      </c>
      <c r="Y976" t="s">
        <v>74</v>
      </c>
      <c r="Z976" t="s">
        <v>74</v>
      </c>
      <c r="AA976" t="s">
        <v>74</v>
      </c>
      <c r="AB976" t="s">
        <v>74</v>
      </c>
      <c r="AC976" t="s">
        <v>74</v>
      </c>
      <c r="AD976" t="s">
        <v>74</v>
      </c>
      <c r="AE976" t="s">
        <v>74</v>
      </c>
      <c r="AF976" t="s">
        <v>74</v>
      </c>
      <c r="AG976" t="s">
        <v>74</v>
      </c>
      <c r="AH976" t="s">
        <v>74</v>
      </c>
      <c r="AI976" t="s">
        <v>74</v>
      </c>
      <c r="AJ976" t="s">
        <v>74</v>
      </c>
      <c r="AK976" t="s">
        <v>74</v>
      </c>
      <c r="AL976" t="s">
        <v>74</v>
      </c>
      <c r="AM976" t="s">
        <v>74</v>
      </c>
      <c r="AN976" t="s">
        <v>74</v>
      </c>
      <c r="AO976" t="s">
        <v>8062</v>
      </c>
      <c r="AP976" t="s">
        <v>74</v>
      </c>
      <c r="AQ976" t="s">
        <v>74</v>
      </c>
      <c r="AR976" t="s">
        <v>74</v>
      </c>
      <c r="AS976" t="s">
        <v>74</v>
      </c>
      <c r="AT976" t="s">
        <v>352</v>
      </c>
      <c r="AU976">
        <v>2002</v>
      </c>
      <c r="AV976">
        <v>104</v>
      </c>
      <c r="AW976">
        <v>3</v>
      </c>
      <c r="AX976" t="s">
        <v>74</v>
      </c>
      <c r="AY976" t="s">
        <v>74</v>
      </c>
      <c r="AZ976" t="s">
        <v>74</v>
      </c>
      <c r="BA976" t="s">
        <v>74</v>
      </c>
      <c r="BB976">
        <v>353</v>
      </c>
      <c r="BC976">
        <v>360</v>
      </c>
      <c r="BD976" t="s">
        <v>74</v>
      </c>
      <c r="BE976" t="s">
        <v>74</v>
      </c>
      <c r="BF976" t="s">
        <v>74</v>
      </c>
      <c r="BG976" t="s">
        <v>74</v>
      </c>
      <c r="BH976" t="s">
        <v>74</v>
      </c>
      <c r="BI976" t="s">
        <v>74</v>
      </c>
      <c r="BJ976" t="s">
        <v>74</v>
      </c>
      <c r="BK976" t="s">
        <v>74</v>
      </c>
      <c r="BL976" t="s">
        <v>74</v>
      </c>
      <c r="BM976" t="s">
        <v>74</v>
      </c>
      <c r="BN976" t="s">
        <v>74</v>
      </c>
      <c r="BO976" t="s">
        <v>74</v>
      </c>
      <c r="BP976" t="s">
        <v>74</v>
      </c>
      <c r="BQ976" t="s">
        <v>74</v>
      </c>
      <c r="BR976" t="s">
        <v>74</v>
      </c>
      <c r="BS976" t="s">
        <v>8063</v>
      </c>
      <c r="BT976" t="str">
        <f>HYPERLINK("https%3A%2F%2Fwww.webofscience.com%2Fwos%2Fwoscc%2Ffull-record%2FWOS:000179601800016","View Full Record in Web of Science")</f>
        <v>View Full Record in Web of Science</v>
      </c>
    </row>
    <row r="977" spans="1:72" x14ac:dyDescent="0.4">
      <c r="A977" t="s">
        <v>72</v>
      </c>
      <c r="B977" t="s">
        <v>1707</v>
      </c>
      <c r="C977" t="s">
        <v>74</v>
      </c>
      <c r="D977" t="s">
        <v>74</v>
      </c>
      <c r="E977" t="s">
        <v>74</v>
      </c>
      <c r="F977" t="s">
        <v>1708</v>
      </c>
      <c r="G977" t="s">
        <v>74</v>
      </c>
      <c r="H977" t="s">
        <v>74</v>
      </c>
      <c r="I977" t="s">
        <v>1709</v>
      </c>
      <c r="J977" t="s">
        <v>119</v>
      </c>
      <c r="K977" t="s">
        <v>74</v>
      </c>
      <c r="L977" t="s">
        <v>74</v>
      </c>
      <c r="M977" t="s">
        <v>74</v>
      </c>
      <c r="N977" t="s">
        <v>74</v>
      </c>
      <c r="O977" t="s">
        <v>74</v>
      </c>
      <c r="P977" t="s">
        <v>74</v>
      </c>
      <c r="Q977" t="s">
        <v>74</v>
      </c>
      <c r="R977" t="s">
        <v>74</v>
      </c>
      <c r="S977" t="s">
        <v>74</v>
      </c>
      <c r="T977" t="s">
        <v>74</v>
      </c>
      <c r="U977" t="s">
        <v>74</v>
      </c>
      <c r="V977" s="3" t="s">
        <v>1710</v>
      </c>
      <c r="W977" t="s">
        <v>74</v>
      </c>
      <c r="X977" t="s">
        <v>74</v>
      </c>
      <c r="Y977" t="s">
        <v>74</v>
      </c>
      <c r="Z977" t="s">
        <v>74</v>
      </c>
      <c r="AA977" t="s">
        <v>379</v>
      </c>
      <c r="AB977" t="s">
        <v>74</v>
      </c>
      <c r="AC977" t="s">
        <v>74</v>
      </c>
      <c r="AD977" t="s">
        <v>74</v>
      </c>
      <c r="AE977" t="s">
        <v>74</v>
      </c>
      <c r="AF977" t="s">
        <v>74</v>
      </c>
      <c r="AG977" t="s">
        <v>74</v>
      </c>
      <c r="AH977" t="s">
        <v>74</v>
      </c>
      <c r="AI977" t="s">
        <v>74</v>
      </c>
      <c r="AJ977" t="s">
        <v>74</v>
      </c>
      <c r="AK977" t="s">
        <v>74</v>
      </c>
      <c r="AL977" t="s">
        <v>74</v>
      </c>
      <c r="AM977" t="s">
        <v>74</v>
      </c>
      <c r="AN977" t="s">
        <v>74</v>
      </c>
      <c r="AO977" t="s">
        <v>121</v>
      </c>
      <c r="AP977" t="s">
        <v>122</v>
      </c>
      <c r="AQ977" t="s">
        <v>74</v>
      </c>
      <c r="AR977" t="s">
        <v>74</v>
      </c>
      <c r="AS977" t="s">
        <v>74</v>
      </c>
      <c r="AT977" t="s">
        <v>255</v>
      </c>
      <c r="AU977">
        <v>2020</v>
      </c>
      <c r="AV977">
        <v>170</v>
      </c>
      <c r="AW977" t="s">
        <v>74</v>
      </c>
      <c r="AX977" t="s">
        <v>74</v>
      </c>
      <c r="AY977" t="s">
        <v>74</v>
      </c>
      <c r="AZ977" t="s">
        <v>74</v>
      </c>
      <c r="BA977" t="s">
        <v>74</v>
      </c>
      <c r="BB977" t="s">
        <v>74</v>
      </c>
      <c r="BC977" t="s">
        <v>74</v>
      </c>
      <c r="BD977">
        <v>104013</v>
      </c>
      <c r="BE977" t="s">
        <v>1711</v>
      </c>
      <c r="BF977" t="str">
        <f>HYPERLINK("http://dx.doi.org/10.1016/j.beproc.2019.104013","http://dx.doi.org/10.1016/j.beproc.2019.104013")</f>
        <v>http://dx.doi.org/10.1016/j.beproc.2019.104013</v>
      </c>
      <c r="BG977" t="s">
        <v>74</v>
      </c>
      <c r="BH977" t="s">
        <v>74</v>
      </c>
      <c r="BI977" t="s">
        <v>74</v>
      </c>
      <c r="BJ977" t="s">
        <v>74</v>
      </c>
      <c r="BK977" t="s">
        <v>74</v>
      </c>
      <c r="BL977" t="s">
        <v>74</v>
      </c>
      <c r="BM977" t="s">
        <v>74</v>
      </c>
      <c r="BN977">
        <v>31751600</v>
      </c>
      <c r="BO977" t="s">
        <v>74</v>
      </c>
      <c r="BP977" t="s">
        <v>74</v>
      </c>
      <c r="BQ977" t="s">
        <v>74</v>
      </c>
      <c r="BR977" t="s">
        <v>74</v>
      </c>
      <c r="BS977" t="s">
        <v>1712</v>
      </c>
      <c r="BT977" t="str">
        <f>HYPERLINK("https%3A%2F%2Fwww.webofscience.com%2Fwos%2Fwoscc%2Ffull-record%2FWOS:000519226600012","View Full Record in Web of Science")</f>
        <v>View Full Record in Web of Science</v>
      </c>
    </row>
    <row r="978" spans="1:72" x14ac:dyDescent="0.4">
      <c r="A978" t="s">
        <v>72</v>
      </c>
      <c r="B978" t="s">
        <v>189</v>
      </c>
      <c r="C978" t="s">
        <v>74</v>
      </c>
      <c r="D978" t="s">
        <v>74</v>
      </c>
      <c r="E978" t="s">
        <v>74</v>
      </c>
      <c r="F978" t="s">
        <v>190</v>
      </c>
      <c r="G978" t="s">
        <v>74</v>
      </c>
      <c r="H978" t="s">
        <v>74</v>
      </c>
      <c r="I978" t="s">
        <v>191</v>
      </c>
      <c r="J978" t="s">
        <v>192</v>
      </c>
      <c r="K978" t="s">
        <v>74</v>
      </c>
      <c r="L978" t="s">
        <v>74</v>
      </c>
      <c r="M978" t="s">
        <v>74</v>
      </c>
      <c r="N978" t="s">
        <v>74</v>
      </c>
      <c r="O978" t="s">
        <v>74</v>
      </c>
      <c r="P978" t="s">
        <v>74</v>
      </c>
      <c r="Q978" t="s">
        <v>74</v>
      </c>
      <c r="R978" t="s">
        <v>74</v>
      </c>
      <c r="S978" t="s">
        <v>74</v>
      </c>
      <c r="T978" t="s">
        <v>74</v>
      </c>
      <c r="U978" t="s">
        <v>74</v>
      </c>
      <c r="V978" s="3" t="s">
        <v>193</v>
      </c>
      <c r="W978" t="s">
        <v>74</v>
      </c>
      <c r="X978" t="s">
        <v>74</v>
      </c>
      <c r="Y978" t="s">
        <v>74</v>
      </c>
      <c r="Z978" t="s">
        <v>74</v>
      </c>
      <c r="AA978" t="s">
        <v>163</v>
      </c>
      <c r="AB978" t="s">
        <v>194</v>
      </c>
      <c r="AC978" t="s">
        <v>74</v>
      </c>
      <c r="AD978" t="s">
        <v>74</v>
      </c>
      <c r="AE978" t="s">
        <v>74</v>
      </c>
      <c r="AF978" t="s">
        <v>74</v>
      </c>
      <c r="AG978" t="s">
        <v>74</v>
      </c>
      <c r="AH978" t="s">
        <v>74</v>
      </c>
      <c r="AI978" t="s">
        <v>74</v>
      </c>
      <c r="AJ978" t="s">
        <v>74</v>
      </c>
      <c r="AK978" t="s">
        <v>74</v>
      </c>
      <c r="AL978" t="s">
        <v>74</v>
      </c>
      <c r="AM978" t="s">
        <v>74</v>
      </c>
      <c r="AN978" t="s">
        <v>74</v>
      </c>
      <c r="AO978" t="s">
        <v>195</v>
      </c>
      <c r="AP978" t="s">
        <v>196</v>
      </c>
      <c r="AQ978" t="s">
        <v>74</v>
      </c>
      <c r="AR978" t="s">
        <v>74</v>
      </c>
      <c r="AS978" t="s">
        <v>74</v>
      </c>
      <c r="AT978" t="s">
        <v>134</v>
      </c>
      <c r="AU978">
        <v>2017</v>
      </c>
      <c r="AV978">
        <v>791</v>
      </c>
      <c r="AW978">
        <v>1</v>
      </c>
      <c r="AX978" t="s">
        <v>74</v>
      </c>
      <c r="AY978" t="s">
        <v>74</v>
      </c>
      <c r="AZ978" t="s">
        <v>74</v>
      </c>
      <c r="BA978" t="s">
        <v>74</v>
      </c>
      <c r="BB978">
        <v>237</v>
      </c>
      <c r="BC978">
        <v>245</v>
      </c>
      <c r="BD978" t="s">
        <v>74</v>
      </c>
      <c r="BE978" t="s">
        <v>197</v>
      </c>
      <c r="BF978" t="str">
        <f>HYPERLINK("http://dx.doi.org/10.1007/s10750-016-2889-1","http://dx.doi.org/10.1007/s10750-016-2889-1")</f>
        <v>http://dx.doi.org/10.1007/s10750-016-2889-1</v>
      </c>
      <c r="BG978" t="s">
        <v>74</v>
      </c>
      <c r="BH978" t="s">
        <v>74</v>
      </c>
      <c r="BI978" t="s">
        <v>74</v>
      </c>
      <c r="BJ978" t="s">
        <v>74</v>
      </c>
      <c r="BK978" t="s">
        <v>74</v>
      </c>
      <c r="BL978" t="s">
        <v>74</v>
      </c>
      <c r="BM978" t="s">
        <v>74</v>
      </c>
      <c r="BN978" t="s">
        <v>74</v>
      </c>
      <c r="BO978" t="s">
        <v>74</v>
      </c>
      <c r="BP978" t="s">
        <v>74</v>
      </c>
      <c r="BQ978" t="s">
        <v>74</v>
      </c>
      <c r="BR978" t="s">
        <v>74</v>
      </c>
      <c r="BS978" t="s">
        <v>198</v>
      </c>
      <c r="BT978" t="str">
        <f>HYPERLINK("https%3A%2F%2Fwww.webofscience.com%2Fwos%2Fwoscc%2Ffull-record%2FWOS:000396043800017","View Full Record in Web of Science")</f>
        <v>View Full Record in Web of Science</v>
      </c>
    </row>
    <row r="979" spans="1:72" x14ac:dyDescent="0.4">
      <c r="A979" t="s">
        <v>72</v>
      </c>
      <c r="B979" t="s">
        <v>4227</v>
      </c>
      <c r="C979" t="s">
        <v>74</v>
      </c>
      <c r="D979" t="s">
        <v>74</v>
      </c>
      <c r="E979" t="s">
        <v>74</v>
      </c>
      <c r="F979" t="s">
        <v>4227</v>
      </c>
      <c r="G979" t="s">
        <v>74</v>
      </c>
      <c r="H979" t="s">
        <v>74</v>
      </c>
      <c r="I979" t="s">
        <v>4228</v>
      </c>
      <c r="J979" t="s">
        <v>77</v>
      </c>
      <c r="K979" t="s">
        <v>74</v>
      </c>
      <c r="L979" t="s">
        <v>74</v>
      </c>
      <c r="M979" t="s">
        <v>74</v>
      </c>
      <c r="N979" t="s">
        <v>74</v>
      </c>
      <c r="O979" t="s">
        <v>74</v>
      </c>
      <c r="P979" t="s">
        <v>74</v>
      </c>
      <c r="Q979" t="s">
        <v>74</v>
      </c>
      <c r="R979" t="s">
        <v>74</v>
      </c>
      <c r="S979" t="s">
        <v>74</v>
      </c>
      <c r="T979" t="s">
        <v>74</v>
      </c>
      <c r="U979" t="s">
        <v>74</v>
      </c>
      <c r="V979" s="3" t="s">
        <v>4229</v>
      </c>
      <c r="W979" t="s">
        <v>74</v>
      </c>
      <c r="X979" t="s">
        <v>74</v>
      </c>
      <c r="Y979" t="s">
        <v>74</v>
      </c>
      <c r="Z979" t="s">
        <v>74</v>
      </c>
      <c r="AA979" t="s">
        <v>74</v>
      </c>
      <c r="AB979" t="s">
        <v>74</v>
      </c>
      <c r="AC979" t="s">
        <v>74</v>
      </c>
      <c r="AD979" t="s">
        <v>74</v>
      </c>
      <c r="AE979" t="s">
        <v>74</v>
      </c>
      <c r="AF979" t="s">
        <v>74</v>
      </c>
      <c r="AG979" t="s">
        <v>74</v>
      </c>
      <c r="AH979" t="s">
        <v>74</v>
      </c>
      <c r="AI979" t="s">
        <v>74</v>
      </c>
      <c r="AJ979" t="s">
        <v>74</v>
      </c>
      <c r="AK979" t="s">
        <v>74</v>
      </c>
      <c r="AL979" t="s">
        <v>74</v>
      </c>
      <c r="AM979" t="s">
        <v>74</v>
      </c>
      <c r="AN979" t="s">
        <v>74</v>
      </c>
      <c r="AO979" t="s">
        <v>81</v>
      </c>
      <c r="AP979" t="s">
        <v>82</v>
      </c>
      <c r="AQ979" t="s">
        <v>74</v>
      </c>
      <c r="AR979" t="s">
        <v>74</v>
      </c>
      <c r="AS979" t="s">
        <v>74</v>
      </c>
      <c r="AT979" t="s">
        <v>74</v>
      </c>
      <c r="AU979">
        <v>1978</v>
      </c>
      <c r="AV979">
        <v>64</v>
      </c>
      <c r="AW979" t="s">
        <v>74</v>
      </c>
      <c r="AX979" t="s">
        <v>1276</v>
      </c>
      <c r="AY979" t="s">
        <v>74</v>
      </c>
      <c r="AZ979" t="s">
        <v>74</v>
      </c>
      <c r="BA979" t="s">
        <v>74</v>
      </c>
      <c r="BB979">
        <v>271</v>
      </c>
      <c r="BC979">
        <v>297</v>
      </c>
      <c r="BD979" t="s">
        <v>74</v>
      </c>
      <c r="BE979" t="s">
        <v>4230</v>
      </c>
      <c r="BF979" t="str">
        <f>HYPERLINK("http://dx.doi.org/10.1163/156853978X00062","http://dx.doi.org/10.1163/156853978X00062")</f>
        <v>http://dx.doi.org/10.1163/156853978X00062</v>
      </c>
      <c r="BG979" t="s">
        <v>74</v>
      </c>
      <c r="BH979" t="s">
        <v>74</v>
      </c>
      <c r="BI979" t="s">
        <v>74</v>
      </c>
      <c r="BJ979" t="s">
        <v>74</v>
      </c>
      <c r="BK979" t="s">
        <v>74</v>
      </c>
      <c r="BL979" t="s">
        <v>74</v>
      </c>
      <c r="BM979" t="s">
        <v>74</v>
      </c>
      <c r="BN979">
        <v>566542</v>
      </c>
      <c r="BO979" t="s">
        <v>74</v>
      </c>
      <c r="BP979" t="s">
        <v>74</v>
      </c>
      <c r="BQ979" t="s">
        <v>74</v>
      </c>
      <c r="BR979" t="s">
        <v>74</v>
      </c>
      <c r="BS979" t="s">
        <v>4231</v>
      </c>
      <c r="BT979" t="str">
        <f>HYPERLINK("https%3A%2F%2Fwww.webofscience.com%2Fwos%2Fwoscc%2Ffull-record%2FWOS:A1978EY03400006","View Full Record in Web of Science")</f>
        <v>View Full Record in Web of Science</v>
      </c>
    </row>
    <row r="980" spans="1:72" x14ac:dyDescent="0.4">
      <c r="A980" t="s">
        <v>72</v>
      </c>
      <c r="B980" t="s">
        <v>5555</v>
      </c>
      <c r="C980" t="s">
        <v>74</v>
      </c>
      <c r="D980" t="s">
        <v>74</v>
      </c>
      <c r="E980" t="s">
        <v>74</v>
      </c>
      <c r="F980" t="s">
        <v>5556</v>
      </c>
      <c r="G980" t="s">
        <v>74</v>
      </c>
      <c r="H980" t="s">
        <v>74</v>
      </c>
      <c r="I980" t="s">
        <v>5557</v>
      </c>
      <c r="J980" t="s">
        <v>576</v>
      </c>
      <c r="K980" t="s">
        <v>74</v>
      </c>
      <c r="L980" t="s">
        <v>74</v>
      </c>
      <c r="M980" t="s">
        <v>74</v>
      </c>
      <c r="N980" t="s">
        <v>74</v>
      </c>
      <c r="O980" t="s">
        <v>74</v>
      </c>
      <c r="P980" t="s">
        <v>74</v>
      </c>
      <c r="Q980" t="s">
        <v>74</v>
      </c>
      <c r="R980" t="s">
        <v>74</v>
      </c>
      <c r="S980" t="s">
        <v>74</v>
      </c>
      <c r="T980" t="s">
        <v>74</v>
      </c>
      <c r="U980" t="s">
        <v>74</v>
      </c>
      <c r="V980" s="3" t="s">
        <v>5558</v>
      </c>
      <c r="W980" t="s">
        <v>74</v>
      </c>
      <c r="X980" t="s">
        <v>74</v>
      </c>
      <c r="Y980" t="s">
        <v>74</v>
      </c>
      <c r="Z980" t="s">
        <v>74</v>
      </c>
      <c r="AA980" t="s">
        <v>5559</v>
      </c>
      <c r="AB980" t="s">
        <v>5560</v>
      </c>
      <c r="AC980" t="s">
        <v>74</v>
      </c>
      <c r="AD980" t="s">
        <v>74</v>
      </c>
      <c r="AE980" t="s">
        <v>74</v>
      </c>
      <c r="AF980" t="s">
        <v>74</v>
      </c>
      <c r="AG980" t="s">
        <v>74</v>
      </c>
      <c r="AH980" t="s">
        <v>74</v>
      </c>
      <c r="AI980" t="s">
        <v>74</v>
      </c>
      <c r="AJ980" t="s">
        <v>74</v>
      </c>
      <c r="AK980" t="s">
        <v>74</v>
      </c>
      <c r="AL980" t="s">
        <v>74</v>
      </c>
      <c r="AM980" t="s">
        <v>74</v>
      </c>
      <c r="AN980" t="s">
        <v>74</v>
      </c>
      <c r="AO980" t="s">
        <v>579</v>
      </c>
      <c r="AP980" t="s">
        <v>580</v>
      </c>
      <c r="AQ980" t="s">
        <v>74</v>
      </c>
      <c r="AR980" t="s">
        <v>74</v>
      </c>
      <c r="AS980" t="s">
        <v>74</v>
      </c>
      <c r="AT980" t="s">
        <v>213</v>
      </c>
      <c r="AU980">
        <v>2009</v>
      </c>
      <c r="AV980">
        <v>23</v>
      </c>
      <c r="AW980">
        <v>6</v>
      </c>
      <c r="AX980" t="s">
        <v>74</v>
      </c>
      <c r="AY980" t="s">
        <v>74</v>
      </c>
      <c r="AZ980" t="s">
        <v>74</v>
      </c>
      <c r="BA980" t="s">
        <v>74</v>
      </c>
      <c r="BB980">
        <v>943</v>
      </c>
      <c r="BC980">
        <v>961</v>
      </c>
      <c r="BD980" t="s">
        <v>74</v>
      </c>
      <c r="BE980" t="s">
        <v>5561</v>
      </c>
      <c r="BF980" t="str">
        <f>HYPERLINK("http://dx.doi.org/10.1007/s10682-008-9283-z","http://dx.doi.org/10.1007/s10682-008-9283-z")</f>
        <v>http://dx.doi.org/10.1007/s10682-008-9283-z</v>
      </c>
      <c r="BG980" t="s">
        <v>74</v>
      </c>
      <c r="BH980" t="s">
        <v>74</v>
      </c>
      <c r="BI980" t="s">
        <v>74</v>
      </c>
      <c r="BJ980" t="s">
        <v>74</v>
      </c>
      <c r="BK980" t="s">
        <v>74</v>
      </c>
      <c r="BL980" t="s">
        <v>74</v>
      </c>
      <c r="BM980" t="s">
        <v>74</v>
      </c>
      <c r="BN980" t="s">
        <v>74</v>
      </c>
      <c r="BO980" t="s">
        <v>74</v>
      </c>
      <c r="BP980" t="s">
        <v>74</v>
      </c>
      <c r="BQ980" t="s">
        <v>74</v>
      </c>
      <c r="BR980" t="s">
        <v>74</v>
      </c>
      <c r="BS980" t="s">
        <v>5562</v>
      </c>
      <c r="BT980" t="str">
        <f>HYPERLINK("https%3A%2F%2Fwww.webofscience.com%2Fwos%2Fwoscc%2Ffull-record%2FWOS:000271949700009","View Full Record in Web of Science")</f>
        <v>View Full Record in Web of Science</v>
      </c>
    </row>
    <row r="981" spans="1:72" x14ac:dyDescent="0.4">
      <c r="A981" t="s">
        <v>72</v>
      </c>
      <c r="B981" t="s">
        <v>2420</v>
      </c>
      <c r="C981" t="s">
        <v>74</v>
      </c>
      <c r="D981" t="s">
        <v>74</v>
      </c>
      <c r="E981" t="s">
        <v>74</v>
      </c>
      <c r="F981" t="s">
        <v>2420</v>
      </c>
      <c r="G981" t="s">
        <v>74</v>
      </c>
      <c r="H981" t="s">
        <v>74</v>
      </c>
      <c r="I981" t="s">
        <v>2421</v>
      </c>
      <c r="J981" t="s">
        <v>2422</v>
      </c>
      <c r="K981" t="s">
        <v>74</v>
      </c>
      <c r="L981" t="s">
        <v>74</v>
      </c>
      <c r="M981" t="s">
        <v>74</v>
      </c>
      <c r="N981" t="s">
        <v>74</v>
      </c>
      <c r="O981" t="s">
        <v>74</v>
      </c>
      <c r="P981" t="s">
        <v>74</v>
      </c>
      <c r="Q981" t="s">
        <v>74</v>
      </c>
      <c r="R981" t="s">
        <v>74</v>
      </c>
      <c r="S981" t="s">
        <v>74</v>
      </c>
      <c r="T981" t="s">
        <v>74</v>
      </c>
      <c r="U981" t="s">
        <v>74</v>
      </c>
      <c r="V981" s="3" t="s">
        <v>2423</v>
      </c>
      <c r="W981" t="s">
        <v>74</v>
      </c>
      <c r="X981" t="s">
        <v>74</v>
      </c>
      <c r="Y981" t="s">
        <v>74</v>
      </c>
      <c r="Z981" t="s">
        <v>74</v>
      </c>
      <c r="AA981" t="s">
        <v>2424</v>
      </c>
      <c r="AB981" t="s">
        <v>2425</v>
      </c>
      <c r="AC981" t="s">
        <v>74</v>
      </c>
      <c r="AD981" t="s">
        <v>74</v>
      </c>
      <c r="AE981" t="s">
        <v>74</v>
      </c>
      <c r="AF981" t="s">
        <v>74</v>
      </c>
      <c r="AG981" t="s">
        <v>74</v>
      </c>
      <c r="AH981" t="s">
        <v>74</v>
      </c>
      <c r="AI981" t="s">
        <v>74</v>
      </c>
      <c r="AJ981" t="s">
        <v>74</v>
      </c>
      <c r="AK981" t="s">
        <v>74</v>
      </c>
      <c r="AL981" t="s">
        <v>74</v>
      </c>
      <c r="AM981" t="s">
        <v>74</v>
      </c>
      <c r="AN981" t="s">
        <v>74</v>
      </c>
      <c r="AO981" t="s">
        <v>2426</v>
      </c>
      <c r="AP981" t="s">
        <v>74</v>
      </c>
      <c r="AQ981" t="s">
        <v>74</v>
      </c>
      <c r="AR981" t="s">
        <v>74</v>
      </c>
      <c r="AS981" t="s">
        <v>74</v>
      </c>
      <c r="AT981" t="s">
        <v>134</v>
      </c>
      <c r="AU981">
        <v>2006</v>
      </c>
      <c r="AV981">
        <v>31</v>
      </c>
      <c r="AW981">
        <v>4</v>
      </c>
      <c r="AX981" t="s">
        <v>74</v>
      </c>
      <c r="AY981" t="s">
        <v>74</v>
      </c>
      <c r="AZ981" t="s">
        <v>74</v>
      </c>
      <c r="BA981" t="s">
        <v>74</v>
      </c>
      <c r="BB981">
        <v>362</v>
      </c>
      <c r="BC981">
        <v>369</v>
      </c>
      <c r="BD981" t="s">
        <v>74</v>
      </c>
      <c r="BE981" t="s">
        <v>2427</v>
      </c>
      <c r="BF981" t="str">
        <f>HYPERLINK("http://dx.doi.org/10.1016/j.jtherbio.2006.01.008","http://dx.doi.org/10.1016/j.jtherbio.2006.01.008")</f>
        <v>http://dx.doi.org/10.1016/j.jtherbio.2006.01.008</v>
      </c>
      <c r="BG981" t="s">
        <v>74</v>
      </c>
      <c r="BH981" t="s">
        <v>74</v>
      </c>
      <c r="BI981" t="s">
        <v>74</v>
      </c>
      <c r="BJ981" t="s">
        <v>74</v>
      </c>
      <c r="BK981" t="s">
        <v>74</v>
      </c>
      <c r="BL981" t="s">
        <v>74</v>
      </c>
      <c r="BM981" t="s">
        <v>74</v>
      </c>
      <c r="BN981" t="s">
        <v>74</v>
      </c>
      <c r="BO981" t="s">
        <v>74</v>
      </c>
      <c r="BP981" t="s">
        <v>74</v>
      </c>
      <c r="BQ981" t="s">
        <v>74</v>
      </c>
      <c r="BR981" t="s">
        <v>74</v>
      </c>
      <c r="BS981" t="s">
        <v>2428</v>
      </c>
      <c r="BT981" t="str">
        <f>HYPERLINK("https%3A%2F%2Fwww.webofscience.com%2Fwos%2Fwoscc%2Ffull-record%2FWOS:000237171000013","View Full Record in Web of Science")</f>
        <v>View Full Record in Web of Science</v>
      </c>
    </row>
    <row r="982" spans="1:72" x14ac:dyDescent="0.4">
      <c r="A982" t="s">
        <v>72</v>
      </c>
      <c r="B982" t="s">
        <v>5425</v>
      </c>
      <c r="C982" t="s">
        <v>74</v>
      </c>
      <c r="D982" t="s">
        <v>74</v>
      </c>
      <c r="E982" t="s">
        <v>74</v>
      </c>
      <c r="F982" t="s">
        <v>5426</v>
      </c>
      <c r="G982" t="s">
        <v>74</v>
      </c>
      <c r="H982" t="s">
        <v>74</v>
      </c>
      <c r="I982" t="s">
        <v>5427</v>
      </c>
      <c r="J982" t="s">
        <v>5428</v>
      </c>
      <c r="K982" t="s">
        <v>74</v>
      </c>
      <c r="L982" t="s">
        <v>74</v>
      </c>
      <c r="M982" t="s">
        <v>74</v>
      </c>
      <c r="N982" t="s">
        <v>74</v>
      </c>
      <c r="O982" t="s">
        <v>74</v>
      </c>
      <c r="P982" t="s">
        <v>74</v>
      </c>
      <c r="Q982" t="s">
        <v>74</v>
      </c>
      <c r="R982" t="s">
        <v>74</v>
      </c>
      <c r="S982" t="s">
        <v>74</v>
      </c>
      <c r="T982" t="s">
        <v>74</v>
      </c>
      <c r="U982" t="s">
        <v>74</v>
      </c>
      <c r="V982" s="3" t="s">
        <v>5429</v>
      </c>
      <c r="W982" t="s">
        <v>74</v>
      </c>
      <c r="X982" t="s">
        <v>74</v>
      </c>
      <c r="Y982" t="s">
        <v>74</v>
      </c>
      <c r="Z982" t="s">
        <v>74</v>
      </c>
      <c r="AA982" t="s">
        <v>4828</v>
      </c>
      <c r="AB982" t="s">
        <v>4829</v>
      </c>
      <c r="AC982" t="s">
        <v>74</v>
      </c>
      <c r="AD982" t="s">
        <v>74</v>
      </c>
      <c r="AE982" t="s">
        <v>74</v>
      </c>
      <c r="AF982" t="s">
        <v>74</v>
      </c>
      <c r="AG982" t="s">
        <v>74</v>
      </c>
      <c r="AH982" t="s">
        <v>74</v>
      </c>
      <c r="AI982" t="s">
        <v>74</v>
      </c>
      <c r="AJ982" t="s">
        <v>74</v>
      </c>
      <c r="AK982" t="s">
        <v>74</v>
      </c>
      <c r="AL982" t="s">
        <v>74</v>
      </c>
      <c r="AM982" t="s">
        <v>74</v>
      </c>
      <c r="AN982" t="s">
        <v>74</v>
      </c>
      <c r="AO982" t="s">
        <v>5430</v>
      </c>
      <c r="AP982" t="s">
        <v>5431</v>
      </c>
      <c r="AQ982" t="s">
        <v>74</v>
      </c>
      <c r="AR982" t="s">
        <v>74</v>
      </c>
      <c r="AS982" t="s">
        <v>74</v>
      </c>
      <c r="AT982" t="s">
        <v>352</v>
      </c>
      <c r="AU982">
        <v>2002</v>
      </c>
      <c r="AV982">
        <v>3</v>
      </c>
      <c r="AW982">
        <v>3</v>
      </c>
      <c r="AX982" t="s">
        <v>74</v>
      </c>
      <c r="AY982" t="s">
        <v>74</v>
      </c>
      <c r="AZ982" t="s">
        <v>74</v>
      </c>
      <c r="BA982" t="s">
        <v>74</v>
      </c>
      <c r="BB982">
        <v>213</v>
      </c>
      <c r="BC982">
        <v>224</v>
      </c>
      <c r="BD982" t="s">
        <v>74</v>
      </c>
      <c r="BE982" t="s">
        <v>5432</v>
      </c>
      <c r="BF982" t="str">
        <f>HYPERLINK("http://dx.doi.org/10.1046/j.1467-2979.2002.00088.x","http://dx.doi.org/10.1046/j.1467-2979.2002.00088.x")</f>
        <v>http://dx.doi.org/10.1046/j.1467-2979.2002.00088.x</v>
      </c>
      <c r="BG982" t="s">
        <v>74</v>
      </c>
      <c r="BH982" t="s">
        <v>74</v>
      </c>
      <c r="BI982" t="s">
        <v>74</v>
      </c>
      <c r="BJ982" t="s">
        <v>74</v>
      </c>
      <c r="BK982" t="s">
        <v>74</v>
      </c>
      <c r="BL982" t="s">
        <v>74</v>
      </c>
      <c r="BM982" t="s">
        <v>74</v>
      </c>
      <c r="BN982" t="s">
        <v>74</v>
      </c>
      <c r="BO982" t="s">
        <v>74</v>
      </c>
      <c r="BP982" t="s">
        <v>74</v>
      </c>
      <c r="BQ982" t="s">
        <v>74</v>
      </c>
      <c r="BR982" t="s">
        <v>74</v>
      </c>
      <c r="BS982" t="s">
        <v>5433</v>
      </c>
      <c r="BT982" t="str">
        <f>HYPERLINK("https%3A%2F%2Fwww.webofscience.com%2Fwos%2Fwoscc%2Ffull-record%2FWOS:000208993800007","View Full Record in Web of Science")</f>
        <v>View Full Record in Web of Science</v>
      </c>
    </row>
    <row r="983" spans="1:72" x14ac:dyDescent="0.4">
      <c r="A983" t="s">
        <v>72</v>
      </c>
      <c r="B983" t="s">
        <v>1249</v>
      </c>
      <c r="C983" t="s">
        <v>74</v>
      </c>
      <c r="D983" t="s">
        <v>74</v>
      </c>
      <c r="E983" t="s">
        <v>74</v>
      </c>
      <c r="F983" t="s">
        <v>1249</v>
      </c>
      <c r="G983" t="s">
        <v>74</v>
      </c>
      <c r="H983" t="s">
        <v>74</v>
      </c>
      <c r="I983" t="s">
        <v>1250</v>
      </c>
      <c r="J983" t="s">
        <v>108</v>
      </c>
      <c r="K983" t="s">
        <v>74</v>
      </c>
      <c r="L983" t="s">
        <v>74</v>
      </c>
      <c r="M983" t="s">
        <v>74</v>
      </c>
      <c r="N983" t="s">
        <v>74</v>
      </c>
      <c r="O983" t="s">
        <v>74</v>
      </c>
      <c r="P983" t="s">
        <v>74</v>
      </c>
      <c r="Q983" t="s">
        <v>74</v>
      </c>
      <c r="R983" t="s">
        <v>74</v>
      </c>
      <c r="S983" t="s">
        <v>74</v>
      </c>
      <c r="T983" t="s">
        <v>74</v>
      </c>
      <c r="U983" t="s">
        <v>74</v>
      </c>
      <c r="V983" s="3" t="s">
        <v>1251</v>
      </c>
      <c r="W983" t="s">
        <v>74</v>
      </c>
      <c r="X983" t="s">
        <v>74</v>
      </c>
      <c r="Y983" t="s">
        <v>74</v>
      </c>
      <c r="Z983" t="s">
        <v>74</v>
      </c>
      <c r="AA983" t="s">
        <v>1252</v>
      </c>
      <c r="AB983" t="s">
        <v>74</v>
      </c>
      <c r="AC983" t="s">
        <v>74</v>
      </c>
      <c r="AD983" t="s">
        <v>74</v>
      </c>
      <c r="AE983" t="s">
        <v>74</v>
      </c>
      <c r="AF983" t="s">
        <v>74</v>
      </c>
      <c r="AG983" t="s">
        <v>74</v>
      </c>
      <c r="AH983" t="s">
        <v>74</v>
      </c>
      <c r="AI983" t="s">
        <v>74</v>
      </c>
      <c r="AJ983" t="s">
        <v>74</v>
      </c>
      <c r="AK983" t="s">
        <v>74</v>
      </c>
      <c r="AL983" t="s">
        <v>74</v>
      </c>
      <c r="AM983" t="s">
        <v>74</v>
      </c>
      <c r="AN983" t="s">
        <v>74</v>
      </c>
      <c r="AO983" t="s">
        <v>111</v>
      </c>
      <c r="AP983" t="s">
        <v>74</v>
      </c>
      <c r="AQ983" t="s">
        <v>74</v>
      </c>
      <c r="AR983" t="s">
        <v>74</v>
      </c>
      <c r="AS983" t="s">
        <v>74</v>
      </c>
      <c r="AT983" t="s">
        <v>1253</v>
      </c>
      <c r="AU983">
        <v>2004</v>
      </c>
      <c r="AV983">
        <v>271</v>
      </c>
      <c r="AW983">
        <v>1548</v>
      </c>
      <c r="AX983" t="s">
        <v>74</v>
      </c>
      <c r="AY983" t="s">
        <v>74</v>
      </c>
      <c r="AZ983" t="s">
        <v>74</v>
      </c>
      <c r="BA983" t="s">
        <v>74</v>
      </c>
      <c r="BB983">
        <v>1577</v>
      </c>
      <c r="BC983">
        <v>1584</v>
      </c>
      <c r="BD983" t="s">
        <v>74</v>
      </c>
      <c r="BE983" t="s">
        <v>1254</v>
      </c>
      <c r="BF983" t="str">
        <f>HYPERLINK("http://dx.doi.org/10.1098/rspb.2004.2781","http://dx.doi.org/10.1098/rspb.2004.2781")</f>
        <v>http://dx.doi.org/10.1098/rspb.2004.2781</v>
      </c>
      <c r="BG983" t="s">
        <v>74</v>
      </c>
      <c r="BH983" t="s">
        <v>74</v>
      </c>
      <c r="BI983" t="s">
        <v>74</v>
      </c>
      <c r="BJ983" t="s">
        <v>74</v>
      </c>
      <c r="BK983" t="s">
        <v>74</v>
      </c>
      <c r="BL983" t="s">
        <v>74</v>
      </c>
      <c r="BM983" t="s">
        <v>74</v>
      </c>
      <c r="BN983">
        <v>15306303</v>
      </c>
      <c r="BO983" t="s">
        <v>74</v>
      </c>
      <c r="BP983" t="s">
        <v>74</v>
      </c>
      <c r="BQ983" t="s">
        <v>74</v>
      </c>
      <c r="BR983" t="s">
        <v>74</v>
      </c>
      <c r="BS983" t="s">
        <v>1255</v>
      </c>
      <c r="BT983" t="str">
        <f>HYPERLINK("https%3A%2F%2Fwww.webofscience.com%2Fwos%2Fwoscc%2Ffull-record%2FWOS:000222995100005","View Full Record in Web of Science")</f>
        <v>View Full Record in Web of Science</v>
      </c>
    </row>
    <row r="984" spans="1:72" x14ac:dyDescent="0.4">
      <c r="A984" t="s">
        <v>72</v>
      </c>
      <c r="B984" t="s">
        <v>8539</v>
      </c>
      <c r="C984" t="s">
        <v>74</v>
      </c>
      <c r="D984" t="s">
        <v>74</v>
      </c>
      <c r="E984" t="s">
        <v>74</v>
      </c>
      <c r="F984" t="s">
        <v>8540</v>
      </c>
      <c r="G984" t="s">
        <v>74</v>
      </c>
      <c r="H984" t="s">
        <v>74</v>
      </c>
      <c r="I984" t="s">
        <v>8541</v>
      </c>
      <c r="J984" t="s">
        <v>171</v>
      </c>
      <c r="K984" t="s">
        <v>74</v>
      </c>
      <c r="L984" t="s">
        <v>74</v>
      </c>
      <c r="M984" t="s">
        <v>74</v>
      </c>
      <c r="N984" t="s">
        <v>74</v>
      </c>
      <c r="O984" t="s">
        <v>74</v>
      </c>
      <c r="P984" t="s">
        <v>74</v>
      </c>
      <c r="Q984" t="s">
        <v>74</v>
      </c>
      <c r="R984" t="s">
        <v>74</v>
      </c>
      <c r="S984" t="s">
        <v>74</v>
      </c>
      <c r="T984" t="s">
        <v>74</v>
      </c>
      <c r="U984" t="s">
        <v>74</v>
      </c>
      <c r="V984" s="3" t="s">
        <v>8542</v>
      </c>
      <c r="W984" t="s">
        <v>74</v>
      </c>
      <c r="X984" t="s">
        <v>74</v>
      </c>
      <c r="Y984" t="s">
        <v>74</v>
      </c>
      <c r="Z984" t="s">
        <v>74</v>
      </c>
      <c r="AA984" t="s">
        <v>74</v>
      </c>
      <c r="AB984" t="s">
        <v>322</v>
      </c>
      <c r="AC984" t="s">
        <v>74</v>
      </c>
      <c r="AD984" t="s">
        <v>74</v>
      </c>
      <c r="AE984" t="s">
        <v>74</v>
      </c>
      <c r="AF984" t="s">
        <v>74</v>
      </c>
      <c r="AG984" t="s">
        <v>74</v>
      </c>
      <c r="AH984" t="s">
        <v>74</v>
      </c>
      <c r="AI984" t="s">
        <v>74</v>
      </c>
      <c r="AJ984" t="s">
        <v>74</v>
      </c>
      <c r="AK984" t="s">
        <v>74</v>
      </c>
      <c r="AL984" t="s">
        <v>74</v>
      </c>
      <c r="AM984" t="s">
        <v>74</v>
      </c>
      <c r="AN984" t="s">
        <v>74</v>
      </c>
      <c r="AO984" t="s">
        <v>173</v>
      </c>
      <c r="AP984" t="s">
        <v>174</v>
      </c>
      <c r="AQ984" t="s">
        <v>74</v>
      </c>
      <c r="AR984" t="s">
        <v>74</v>
      </c>
      <c r="AS984" t="s">
        <v>74</v>
      </c>
      <c r="AT984" t="s">
        <v>204</v>
      </c>
      <c r="AU984">
        <v>2006</v>
      </c>
      <c r="AV984">
        <v>60</v>
      </c>
      <c r="AW984">
        <v>7</v>
      </c>
      <c r="AX984" t="s">
        <v>74</v>
      </c>
      <c r="AY984" t="s">
        <v>74</v>
      </c>
      <c r="AZ984" t="s">
        <v>74</v>
      </c>
      <c r="BA984" t="s">
        <v>74</v>
      </c>
      <c r="BB984">
        <v>1476</v>
      </c>
      <c r="BC984">
        <v>1485</v>
      </c>
      <c r="BD984" t="s">
        <v>74</v>
      </c>
      <c r="BE984" t="s">
        <v>8543</v>
      </c>
      <c r="BF984" t="str">
        <f>HYPERLINK("http://dx.doi.org/10.1111/j.0014-3820.2006.tb01226.x","http://dx.doi.org/10.1111/j.0014-3820.2006.tb01226.x")</f>
        <v>http://dx.doi.org/10.1111/j.0014-3820.2006.tb01226.x</v>
      </c>
      <c r="BG984" t="s">
        <v>74</v>
      </c>
      <c r="BH984" t="s">
        <v>74</v>
      </c>
      <c r="BI984" t="s">
        <v>74</v>
      </c>
      <c r="BJ984" t="s">
        <v>74</v>
      </c>
      <c r="BK984" t="s">
        <v>74</v>
      </c>
      <c r="BL984" t="s">
        <v>74</v>
      </c>
      <c r="BM984" t="s">
        <v>74</v>
      </c>
      <c r="BN984">
        <v>16929664</v>
      </c>
      <c r="BO984" t="s">
        <v>74</v>
      </c>
      <c r="BP984" t="s">
        <v>74</v>
      </c>
      <c r="BQ984" t="s">
        <v>74</v>
      </c>
      <c r="BR984" t="s">
        <v>74</v>
      </c>
      <c r="BS984" t="s">
        <v>8544</v>
      </c>
      <c r="BT984" t="str">
        <f>HYPERLINK("https%3A%2F%2Fwww.webofscience.com%2Fwos%2Fwoscc%2Ffull-record%2FWOS:000239682300015","View Full Record in Web of Science")</f>
        <v>View Full Record in Web of Science</v>
      </c>
    </row>
    <row r="985" spans="1:72" x14ac:dyDescent="0.4">
      <c r="A985" t="s">
        <v>72</v>
      </c>
      <c r="B985" t="s">
        <v>4537</v>
      </c>
      <c r="C985" t="s">
        <v>74</v>
      </c>
      <c r="D985" t="s">
        <v>74</v>
      </c>
      <c r="E985" t="s">
        <v>74</v>
      </c>
      <c r="F985" t="s">
        <v>4538</v>
      </c>
      <c r="G985" t="s">
        <v>74</v>
      </c>
      <c r="H985" t="s">
        <v>74</v>
      </c>
      <c r="I985" t="s">
        <v>4539</v>
      </c>
      <c r="J985" t="s">
        <v>4540</v>
      </c>
      <c r="K985" t="s">
        <v>74</v>
      </c>
      <c r="L985" t="s">
        <v>74</v>
      </c>
      <c r="M985" t="s">
        <v>74</v>
      </c>
      <c r="N985" t="s">
        <v>74</v>
      </c>
      <c r="O985" t="s">
        <v>74</v>
      </c>
      <c r="P985" t="s">
        <v>74</v>
      </c>
      <c r="Q985" t="s">
        <v>74</v>
      </c>
      <c r="R985" t="s">
        <v>74</v>
      </c>
      <c r="S985" t="s">
        <v>74</v>
      </c>
      <c r="T985" t="s">
        <v>74</v>
      </c>
      <c r="U985" t="s">
        <v>74</v>
      </c>
      <c r="V985" s="3" t="s">
        <v>4541</v>
      </c>
      <c r="W985" t="s">
        <v>74</v>
      </c>
      <c r="X985" t="s">
        <v>74</v>
      </c>
      <c r="Y985" t="s">
        <v>74</v>
      </c>
      <c r="Z985" t="s">
        <v>74</v>
      </c>
      <c r="AA985" t="s">
        <v>4542</v>
      </c>
      <c r="AB985" t="s">
        <v>4543</v>
      </c>
      <c r="AC985" t="s">
        <v>74</v>
      </c>
      <c r="AD985" t="s">
        <v>74</v>
      </c>
      <c r="AE985" t="s">
        <v>74</v>
      </c>
      <c r="AF985" t="s">
        <v>74</v>
      </c>
      <c r="AG985" t="s">
        <v>74</v>
      </c>
      <c r="AH985" t="s">
        <v>74</v>
      </c>
      <c r="AI985" t="s">
        <v>74</v>
      </c>
      <c r="AJ985" t="s">
        <v>74</v>
      </c>
      <c r="AK985" t="s">
        <v>74</v>
      </c>
      <c r="AL985" t="s">
        <v>74</v>
      </c>
      <c r="AM985" t="s">
        <v>74</v>
      </c>
      <c r="AN985" t="s">
        <v>74</v>
      </c>
      <c r="AO985" t="s">
        <v>4544</v>
      </c>
      <c r="AP985" t="s">
        <v>4545</v>
      </c>
      <c r="AQ985" t="s">
        <v>74</v>
      </c>
      <c r="AR985" t="s">
        <v>74</v>
      </c>
      <c r="AS985" t="s">
        <v>74</v>
      </c>
      <c r="AT985" t="s">
        <v>102</v>
      </c>
      <c r="AU985">
        <v>2016</v>
      </c>
      <c r="AV985">
        <v>99</v>
      </c>
      <c r="AW985" t="s">
        <v>74</v>
      </c>
      <c r="AX985" t="s">
        <v>74</v>
      </c>
      <c r="AY985" t="s">
        <v>74</v>
      </c>
      <c r="AZ985">
        <v>1</v>
      </c>
      <c r="BA985" t="s">
        <v>74</v>
      </c>
      <c r="BB985">
        <v>192</v>
      </c>
      <c r="BC985">
        <v>199</v>
      </c>
      <c r="BD985" t="s">
        <v>74</v>
      </c>
      <c r="BE985" t="s">
        <v>4546</v>
      </c>
      <c r="BF985" t="str">
        <f>HYPERLINK("http://dx.doi.org/10.1653/024.099.sp123","http://dx.doi.org/10.1653/024.099.sp123")</f>
        <v>http://dx.doi.org/10.1653/024.099.sp123</v>
      </c>
      <c r="BG985" t="s">
        <v>74</v>
      </c>
      <c r="BH985" t="s">
        <v>74</v>
      </c>
      <c r="BI985" t="s">
        <v>74</v>
      </c>
      <c r="BJ985" t="s">
        <v>74</v>
      </c>
      <c r="BK985" t="s">
        <v>74</v>
      </c>
      <c r="BL985" t="s">
        <v>74</v>
      </c>
      <c r="BM985" t="s">
        <v>74</v>
      </c>
      <c r="BN985" t="s">
        <v>74</v>
      </c>
      <c r="BO985" t="s">
        <v>74</v>
      </c>
      <c r="BP985" t="s">
        <v>74</v>
      </c>
      <c r="BQ985" t="s">
        <v>74</v>
      </c>
      <c r="BR985" t="s">
        <v>74</v>
      </c>
      <c r="BS985" t="s">
        <v>4547</v>
      </c>
      <c r="BT985" t="str">
        <f>HYPERLINK("https%3A%2F%2Fwww.webofscience.com%2Fwos%2Fwoscc%2Ffull-record%2FWOS:000382249300022","View Full Record in Web of Science")</f>
        <v>View Full Record in Web of Science</v>
      </c>
    </row>
    <row r="986" spans="1:72" x14ac:dyDescent="0.4">
      <c r="A986" t="s">
        <v>72</v>
      </c>
      <c r="B986" t="s">
        <v>2919</v>
      </c>
      <c r="C986" t="s">
        <v>74</v>
      </c>
      <c r="D986" t="s">
        <v>74</v>
      </c>
      <c r="E986" t="s">
        <v>74</v>
      </c>
      <c r="F986" t="s">
        <v>2920</v>
      </c>
      <c r="G986" t="s">
        <v>74</v>
      </c>
      <c r="H986" t="s">
        <v>74</v>
      </c>
      <c r="I986" t="s">
        <v>2921</v>
      </c>
      <c r="J986" t="s">
        <v>408</v>
      </c>
      <c r="K986" t="s">
        <v>74</v>
      </c>
      <c r="L986" t="s">
        <v>74</v>
      </c>
      <c r="M986" t="s">
        <v>74</v>
      </c>
      <c r="N986" t="s">
        <v>74</v>
      </c>
      <c r="O986" t="s">
        <v>74</v>
      </c>
      <c r="P986" t="s">
        <v>74</v>
      </c>
      <c r="Q986" t="s">
        <v>74</v>
      </c>
      <c r="R986" t="s">
        <v>74</v>
      </c>
      <c r="S986" t="s">
        <v>74</v>
      </c>
      <c r="T986" t="s">
        <v>74</v>
      </c>
      <c r="U986" t="s">
        <v>74</v>
      </c>
      <c r="V986" s="3" t="s">
        <v>2922</v>
      </c>
      <c r="W986" t="s">
        <v>74</v>
      </c>
      <c r="X986" t="s">
        <v>74</v>
      </c>
      <c r="Y986" t="s">
        <v>74</v>
      </c>
      <c r="Z986" t="s">
        <v>74</v>
      </c>
      <c r="AA986" t="s">
        <v>2923</v>
      </c>
      <c r="AB986" t="s">
        <v>2924</v>
      </c>
      <c r="AC986" t="s">
        <v>74</v>
      </c>
      <c r="AD986" t="s">
        <v>74</v>
      </c>
      <c r="AE986" t="s">
        <v>74</v>
      </c>
      <c r="AF986" t="s">
        <v>74</v>
      </c>
      <c r="AG986" t="s">
        <v>74</v>
      </c>
      <c r="AH986" t="s">
        <v>74</v>
      </c>
      <c r="AI986" t="s">
        <v>74</v>
      </c>
      <c r="AJ986" t="s">
        <v>74</v>
      </c>
      <c r="AK986" t="s">
        <v>74</v>
      </c>
      <c r="AL986" t="s">
        <v>74</v>
      </c>
      <c r="AM986" t="s">
        <v>74</v>
      </c>
      <c r="AN986" t="s">
        <v>74</v>
      </c>
      <c r="AO986" t="s">
        <v>412</v>
      </c>
      <c r="AP986" t="s">
        <v>413</v>
      </c>
      <c r="AQ986" t="s">
        <v>74</v>
      </c>
      <c r="AR986" t="s">
        <v>74</v>
      </c>
      <c r="AS986" t="s">
        <v>74</v>
      </c>
      <c r="AT986" t="s">
        <v>769</v>
      </c>
      <c r="AU986">
        <v>2017</v>
      </c>
      <c r="AV986">
        <v>120</v>
      </c>
      <c r="AW986">
        <v>2</v>
      </c>
      <c r="AX986" t="s">
        <v>74</v>
      </c>
      <c r="AY986" t="s">
        <v>74</v>
      </c>
      <c r="AZ986" t="s">
        <v>74</v>
      </c>
      <c r="BA986" t="s">
        <v>74</v>
      </c>
      <c r="BB986">
        <v>396</v>
      </c>
      <c r="BC986">
        <v>409</v>
      </c>
      <c r="BD986" t="s">
        <v>74</v>
      </c>
      <c r="BE986" t="s">
        <v>74</v>
      </c>
      <c r="BF986" t="s">
        <v>74</v>
      </c>
      <c r="BG986" t="s">
        <v>74</v>
      </c>
      <c r="BH986" t="s">
        <v>74</v>
      </c>
      <c r="BI986" t="s">
        <v>74</v>
      </c>
      <c r="BJ986" t="s">
        <v>74</v>
      </c>
      <c r="BK986" t="s">
        <v>74</v>
      </c>
      <c r="BL986" t="s">
        <v>74</v>
      </c>
      <c r="BM986" t="s">
        <v>74</v>
      </c>
      <c r="BN986" t="s">
        <v>74</v>
      </c>
      <c r="BO986" t="s">
        <v>74</v>
      </c>
      <c r="BP986" t="s">
        <v>74</v>
      </c>
      <c r="BQ986" t="s">
        <v>74</v>
      </c>
      <c r="BR986" t="s">
        <v>74</v>
      </c>
      <c r="BS986" t="s">
        <v>2925</v>
      </c>
      <c r="BT986" t="str">
        <f>HYPERLINK("https%3A%2F%2Fwww.webofscience.com%2Fwos%2Fwoscc%2Ffull-record%2FWOS:000400944500010","View Full Record in Web of Science")</f>
        <v>View Full Record in Web of Science</v>
      </c>
    </row>
    <row r="987" spans="1:72" x14ac:dyDescent="0.4">
      <c r="A987" t="s">
        <v>72</v>
      </c>
      <c r="B987" t="s">
        <v>5529</v>
      </c>
      <c r="C987" t="s">
        <v>74</v>
      </c>
      <c r="D987" t="s">
        <v>74</v>
      </c>
      <c r="E987" t="s">
        <v>74</v>
      </c>
      <c r="F987" t="s">
        <v>5530</v>
      </c>
      <c r="G987" t="s">
        <v>74</v>
      </c>
      <c r="H987" t="s">
        <v>74</v>
      </c>
      <c r="I987" t="s">
        <v>5531</v>
      </c>
      <c r="J987" t="s">
        <v>576</v>
      </c>
      <c r="K987" t="s">
        <v>74</v>
      </c>
      <c r="L987" t="s">
        <v>74</v>
      </c>
      <c r="M987" t="s">
        <v>74</v>
      </c>
      <c r="N987" t="s">
        <v>74</v>
      </c>
      <c r="O987" t="s">
        <v>74</v>
      </c>
      <c r="P987" t="s">
        <v>74</v>
      </c>
      <c r="Q987" t="s">
        <v>74</v>
      </c>
      <c r="R987" t="s">
        <v>74</v>
      </c>
      <c r="S987" t="s">
        <v>74</v>
      </c>
      <c r="T987" t="s">
        <v>74</v>
      </c>
      <c r="U987" t="s">
        <v>74</v>
      </c>
      <c r="V987" s="3" t="s">
        <v>5532</v>
      </c>
      <c r="W987" t="s">
        <v>74</v>
      </c>
      <c r="X987" t="s">
        <v>74</v>
      </c>
      <c r="Y987" t="s">
        <v>74</v>
      </c>
      <c r="Z987" t="s">
        <v>74</v>
      </c>
      <c r="AA987" t="s">
        <v>5533</v>
      </c>
      <c r="AB987" t="s">
        <v>5534</v>
      </c>
      <c r="AC987" t="s">
        <v>74</v>
      </c>
      <c r="AD987" t="s">
        <v>74</v>
      </c>
      <c r="AE987" t="s">
        <v>74</v>
      </c>
      <c r="AF987" t="s">
        <v>74</v>
      </c>
      <c r="AG987" t="s">
        <v>74</v>
      </c>
      <c r="AH987" t="s">
        <v>74</v>
      </c>
      <c r="AI987" t="s">
        <v>74</v>
      </c>
      <c r="AJ987" t="s">
        <v>74</v>
      </c>
      <c r="AK987" t="s">
        <v>74</v>
      </c>
      <c r="AL987" t="s">
        <v>74</v>
      </c>
      <c r="AM987" t="s">
        <v>74</v>
      </c>
      <c r="AN987" t="s">
        <v>74</v>
      </c>
      <c r="AO987" t="s">
        <v>579</v>
      </c>
      <c r="AP987" t="s">
        <v>580</v>
      </c>
      <c r="AQ987" t="s">
        <v>74</v>
      </c>
      <c r="AR987" t="s">
        <v>74</v>
      </c>
      <c r="AS987" t="s">
        <v>74</v>
      </c>
      <c r="AT987" t="s">
        <v>213</v>
      </c>
      <c r="AU987">
        <v>2012</v>
      </c>
      <c r="AV987">
        <v>26</v>
      </c>
      <c r="AW987">
        <v>6</v>
      </c>
      <c r="AX987" t="s">
        <v>74</v>
      </c>
      <c r="AY987" t="s">
        <v>74</v>
      </c>
      <c r="AZ987" t="s">
        <v>74</v>
      </c>
      <c r="BA987" t="s">
        <v>74</v>
      </c>
      <c r="BB987">
        <v>1277</v>
      </c>
      <c r="BC987">
        <v>1291</v>
      </c>
      <c r="BD987" t="s">
        <v>74</v>
      </c>
      <c r="BE987" t="s">
        <v>5535</v>
      </c>
      <c r="BF987" t="str">
        <f>HYPERLINK("http://dx.doi.org/10.1007/s10682-011-9551-1","http://dx.doi.org/10.1007/s10682-011-9551-1")</f>
        <v>http://dx.doi.org/10.1007/s10682-011-9551-1</v>
      </c>
      <c r="BG987" t="s">
        <v>74</v>
      </c>
      <c r="BH987" t="s">
        <v>74</v>
      </c>
      <c r="BI987" t="s">
        <v>74</v>
      </c>
      <c r="BJ987" t="s">
        <v>74</v>
      </c>
      <c r="BK987" t="s">
        <v>74</v>
      </c>
      <c r="BL987" t="s">
        <v>74</v>
      </c>
      <c r="BM987" t="s">
        <v>74</v>
      </c>
      <c r="BN987" t="s">
        <v>74</v>
      </c>
      <c r="BO987" t="s">
        <v>74</v>
      </c>
      <c r="BP987" t="s">
        <v>74</v>
      </c>
      <c r="BQ987" t="s">
        <v>74</v>
      </c>
      <c r="BR987" t="s">
        <v>74</v>
      </c>
      <c r="BS987" t="s">
        <v>5536</v>
      </c>
      <c r="BT987" t="str">
        <f>HYPERLINK("https%3A%2F%2Fwww.webofscience.com%2Fwos%2Fwoscc%2Ffull-record%2FWOS:000309869600001","View Full Record in Web of Science")</f>
        <v>View Full Record in Web of Science</v>
      </c>
    </row>
    <row r="988" spans="1:72" x14ac:dyDescent="0.4">
      <c r="A988" t="s">
        <v>72</v>
      </c>
      <c r="B988" t="s">
        <v>1985</v>
      </c>
      <c r="C988" t="s">
        <v>74</v>
      </c>
      <c r="D988" t="s">
        <v>74</v>
      </c>
      <c r="E988" t="s">
        <v>74</v>
      </c>
      <c r="F988" t="s">
        <v>1986</v>
      </c>
      <c r="G988" t="s">
        <v>74</v>
      </c>
      <c r="H988" t="s">
        <v>74</v>
      </c>
      <c r="I988" t="s">
        <v>1987</v>
      </c>
      <c r="J988" t="s">
        <v>88</v>
      </c>
      <c r="K988" t="s">
        <v>74</v>
      </c>
      <c r="L988" t="s">
        <v>74</v>
      </c>
      <c r="M988" t="s">
        <v>74</v>
      </c>
      <c r="N988" t="s">
        <v>74</v>
      </c>
      <c r="O988" t="s">
        <v>74</v>
      </c>
      <c r="P988" t="s">
        <v>74</v>
      </c>
      <c r="Q988" t="s">
        <v>74</v>
      </c>
      <c r="R988" t="s">
        <v>74</v>
      </c>
      <c r="S988" t="s">
        <v>74</v>
      </c>
      <c r="T988" t="s">
        <v>74</v>
      </c>
      <c r="U988" t="s">
        <v>74</v>
      </c>
      <c r="V988" s="3" t="s">
        <v>1988</v>
      </c>
      <c r="W988" t="s">
        <v>74</v>
      </c>
      <c r="X988" t="s">
        <v>74</v>
      </c>
      <c r="Y988" t="s">
        <v>74</v>
      </c>
      <c r="Z988" t="s">
        <v>74</v>
      </c>
      <c r="AA988" t="s">
        <v>1989</v>
      </c>
      <c r="AB988" t="s">
        <v>1990</v>
      </c>
      <c r="AC988" t="s">
        <v>74</v>
      </c>
      <c r="AD988" t="s">
        <v>74</v>
      </c>
      <c r="AE988" t="s">
        <v>74</v>
      </c>
      <c r="AF988" t="s">
        <v>74</v>
      </c>
      <c r="AG988" t="s">
        <v>74</v>
      </c>
      <c r="AH988" t="s">
        <v>74</v>
      </c>
      <c r="AI988" t="s">
        <v>74</v>
      </c>
      <c r="AJ988" t="s">
        <v>74</v>
      </c>
      <c r="AK988" t="s">
        <v>74</v>
      </c>
      <c r="AL988" t="s">
        <v>74</v>
      </c>
      <c r="AM988" t="s">
        <v>74</v>
      </c>
      <c r="AN988" t="s">
        <v>74</v>
      </c>
      <c r="AO988" t="s">
        <v>91</v>
      </c>
      <c r="AP988" t="s">
        <v>74</v>
      </c>
      <c r="AQ988" t="s">
        <v>74</v>
      </c>
      <c r="AR988" t="s">
        <v>74</v>
      </c>
      <c r="AS988" t="s">
        <v>74</v>
      </c>
      <c r="AT988" t="s">
        <v>93</v>
      </c>
      <c r="AU988">
        <v>2012</v>
      </c>
      <c r="AV988">
        <v>8</v>
      </c>
      <c r="AW988">
        <v>2</v>
      </c>
      <c r="AX988" t="s">
        <v>74</v>
      </c>
      <c r="AY988" t="s">
        <v>74</v>
      </c>
      <c r="AZ988" t="s">
        <v>74</v>
      </c>
      <c r="BA988" t="s">
        <v>74</v>
      </c>
      <c r="BB988">
        <v>167</v>
      </c>
      <c r="BC988">
        <v>170</v>
      </c>
      <c r="BD988" t="s">
        <v>74</v>
      </c>
      <c r="BE988" t="s">
        <v>1991</v>
      </c>
      <c r="BF988" t="str">
        <f>HYPERLINK("http://dx.doi.org/10.1098/rsbl.2011.0914","http://dx.doi.org/10.1098/rsbl.2011.0914")</f>
        <v>http://dx.doi.org/10.1098/rsbl.2011.0914</v>
      </c>
      <c r="BG988" t="s">
        <v>74</v>
      </c>
      <c r="BH988" t="s">
        <v>74</v>
      </c>
      <c r="BI988" t="s">
        <v>74</v>
      </c>
      <c r="BJ988" t="s">
        <v>74</v>
      </c>
      <c r="BK988" t="s">
        <v>74</v>
      </c>
      <c r="BL988" t="s">
        <v>74</v>
      </c>
      <c r="BM988" t="s">
        <v>74</v>
      </c>
      <c r="BN988">
        <v>22072281</v>
      </c>
      <c r="BO988" t="s">
        <v>74</v>
      </c>
      <c r="BP988" t="s">
        <v>74</v>
      </c>
      <c r="BQ988" t="s">
        <v>74</v>
      </c>
      <c r="BR988" t="s">
        <v>74</v>
      </c>
      <c r="BS988" t="s">
        <v>1992</v>
      </c>
      <c r="BT988" t="str">
        <f>HYPERLINK("https%3A%2F%2Fwww.webofscience.com%2Fwos%2Fwoscc%2Ffull-record%2FWOS:000301304000003","View Full Record in Web of Science")</f>
        <v>View Full Record in Web of Science</v>
      </c>
    </row>
    <row r="989" spans="1:72" x14ac:dyDescent="0.4">
      <c r="A989" t="s">
        <v>72</v>
      </c>
      <c r="B989" t="s">
        <v>543</v>
      </c>
      <c r="C989" t="s">
        <v>74</v>
      </c>
      <c r="D989" t="s">
        <v>74</v>
      </c>
      <c r="E989" t="s">
        <v>74</v>
      </c>
      <c r="F989" t="s">
        <v>543</v>
      </c>
      <c r="G989" t="s">
        <v>74</v>
      </c>
      <c r="H989" t="s">
        <v>74</v>
      </c>
      <c r="I989" t="s">
        <v>544</v>
      </c>
      <c r="J989" t="s">
        <v>545</v>
      </c>
      <c r="K989" t="s">
        <v>74</v>
      </c>
      <c r="L989" t="s">
        <v>74</v>
      </c>
      <c r="M989" t="s">
        <v>74</v>
      </c>
      <c r="N989" t="s">
        <v>74</v>
      </c>
      <c r="O989" t="s">
        <v>74</v>
      </c>
      <c r="P989" t="s">
        <v>74</v>
      </c>
      <c r="Q989" t="s">
        <v>74</v>
      </c>
      <c r="R989" t="s">
        <v>74</v>
      </c>
      <c r="S989" t="s">
        <v>74</v>
      </c>
      <c r="T989" t="s">
        <v>74</v>
      </c>
      <c r="U989" t="s">
        <v>74</v>
      </c>
      <c r="V989" s="3" t="s">
        <v>546</v>
      </c>
      <c r="W989" t="s">
        <v>74</v>
      </c>
      <c r="X989" t="s">
        <v>74</v>
      </c>
      <c r="Y989" t="s">
        <v>74</v>
      </c>
      <c r="Z989" t="s">
        <v>74</v>
      </c>
      <c r="AA989" t="s">
        <v>74</v>
      </c>
      <c r="AB989" t="s">
        <v>74</v>
      </c>
      <c r="AC989" t="s">
        <v>74</v>
      </c>
      <c r="AD989" t="s">
        <v>74</v>
      </c>
      <c r="AE989" t="s">
        <v>74</v>
      </c>
      <c r="AF989" t="s">
        <v>74</v>
      </c>
      <c r="AG989" t="s">
        <v>74</v>
      </c>
      <c r="AH989" t="s">
        <v>74</v>
      </c>
      <c r="AI989" t="s">
        <v>74</v>
      </c>
      <c r="AJ989" t="s">
        <v>74</v>
      </c>
      <c r="AK989" t="s">
        <v>74</v>
      </c>
      <c r="AL989" t="s">
        <v>74</v>
      </c>
      <c r="AM989" t="s">
        <v>74</v>
      </c>
      <c r="AN989" t="s">
        <v>74</v>
      </c>
      <c r="AO989" t="s">
        <v>547</v>
      </c>
      <c r="AP989" t="s">
        <v>74</v>
      </c>
      <c r="AQ989" t="s">
        <v>74</v>
      </c>
      <c r="AR989" t="s">
        <v>74</v>
      </c>
      <c r="AS989" t="s">
        <v>74</v>
      </c>
      <c r="AT989" t="s">
        <v>305</v>
      </c>
      <c r="AU989">
        <v>1996</v>
      </c>
      <c r="AV989">
        <v>235</v>
      </c>
      <c r="AW989" t="s">
        <v>548</v>
      </c>
      <c r="AX989" t="s">
        <v>74</v>
      </c>
      <c r="AY989" t="s">
        <v>74</v>
      </c>
      <c r="AZ989" t="s">
        <v>74</v>
      </c>
      <c r="BA989" t="s">
        <v>74</v>
      </c>
      <c r="BB989">
        <v>77</v>
      </c>
      <c r="BC989">
        <v>88</v>
      </c>
      <c r="BD989" t="s">
        <v>74</v>
      </c>
      <c r="BE989" t="s">
        <v>74</v>
      </c>
      <c r="BF989" t="s">
        <v>74</v>
      </c>
      <c r="BG989" t="s">
        <v>74</v>
      </c>
      <c r="BH989" t="s">
        <v>74</v>
      </c>
      <c r="BI989" t="s">
        <v>74</v>
      </c>
      <c r="BJ989" t="s">
        <v>74</v>
      </c>
      <c r="BK989" t="s">
        <v>74</v>
      </c>
      <c r="BL989" t="s">
        <v>74</v>
      </c>
      <c r="BM989" t="s">
        <v>74</v>
      </c>
      <c r="BN989" t="s">
        <v>74</v>
      </c>
      <c r="BO989" t="s">
        <v>74</v>
      </c>
      <c r="BP989" t="s">
        <v>74</v>
      </c>
      <c r="BQ989" t="s">
        <v>74</v>
      </c>
      <c r="BR989" t="s">
        <v>74</v>
      </c>
      <c r="BS989" t="s">
        <v>549</v>
      </c>
      <c r="BT989" t="str">
        <f>HYPERLINK("https%3A%2F%2Fwww.webofscience.com%2Fwos%2Fwoscc%2Ffull-record%2FWOS:A1996WG04900005","View Full Record in Web of Science")</f>
        <v>View Full Record in Web of Science</v>
      </c>
    </row>
    <row r="990" spans="1:72" x14ac:dyDescent="0.4">
      <c r="A990" t="s">
        <v>72</v>
      </c>
      <c r="B990" t="s">
        <v>4747</v>
      </c>
      <c r="C990" t="s">
        <v>74</v>
      </c>
      <c r="D990" t="s">
        <v>74</v>
      </c>
      <c r="E990" t="s">
        <v>74</v>
      </c>
      <c r="F990" t="s">
        <v>4748</v>
      </c>
      <c r="G990" t="s">
        <v>74</v>
      </c>
      <c r="H990" t="s">
        <v>74</v>
      </c>
      <c r="I990" t="s">
        <v>4749</v>
      </c>
      <c r="J990" t="s">
        <v>1044</v>
      </c>
      <c r="K990" t="s">
        <v>74</v>
      </c>
      <c r="L990" t="s">
        <v>74</v>
      </c>
      <c r="M990" t="s">
        <v>74</v>
      </c>
      <c r="N990" t="s">
        <v>74</v>
      </c>
      <c r="O990" t="s">
        <v>74</v>
      </c>
      <c r="P990" t="s">
        <v>74</v>
      </c>
      <c r="Q990" t="s">
        <v>74</v>
      </c>
      <c r="R990" t="s">
        <v>74</v>
      </c>
      <c r="S990" t="s">
        <v>74</v>
      </c>
      <c r="T990" t="s">
        <v>74</v>
      </c>
      <c r="U990" t="s">
        <v>74</v>
      </c>
      <c r="V990" s="3" t="s">
        <v>4750</v>
      </c>
      <c r="W990" t="s">
        <v>74</v>
      </c>
      <c r="X990" t="s">
        <v>74</v>
      </c>
      <c r="Y990" t="s">
        <v>74</v>
      </c>
      <c r="Z990" t="s">
        <v>74</v>
      </c>
      <c r="AA990" t="s">
        <v>4751</v>
      </c>
      <c r="AB990" t="s">
        <v>4752</v>
      </c>
      <c r="AC990" t="s">
        <v>74</v>
      </c>
      <c r="AD990" t="s">
        <v>74</v>
      </c>
      <c r="AE990" t="s">
        <v>74</v>
      </c>
      <c r="AF990" t="s">
        <v>74</v>
      </c>
      <c r="AG990" t="s">
        <v>74</v>
      </c>
      <c r="AH990" t="s">
        <v>74</v>
      </c>
      <c r="AI990" t="s">
        <v>74</v>
      </c>
      <c r="AJ990" t="s">
        <v>74</v>
      </c>
      <c r="AK990" t="s">
        <v>74</v>
      </c>
      <c r="AL990" t="s">
        <v>74</v>
      </c>
      <c r="AM990" t="s">
        <v>74</v>
      </c>
      <c r="AN990" t="s">
        <v>74</v>
      </c>
      <c r="AO990" t="s">
        <v>1048</v>
      </c>
      <c r="AP990" t="s">
        <v>1049</v>
      </c>
      <c r="AQ990" t="s">
        <v>74</v>
      </c>
      <c r="AR990" t="s">
        <v>74</v>
      </c>
      <c r="AS990" t="s">
        <v>74</v>
      </c>
      <c r="AT990" t="s">
        <v>633</v>
      </c>
      <c r="AU990">
        <v>2023</v>
      </c>
      <c r="AV990">
        <v>32</v>
      </c>
      <c r="AW990">
        <v>7</v>
      </c>
      <c r="AX990" t="s">
        <v>74</v>
      </c>
      <c r="AY990" t="s">
        <v>74</v>
      </c>
      <c r="AZ990" t="s">
        <v>74</v>
      </c>
      <c r="BA990" t="s">
        <v>74</v>
      </c>
      <c r="BB990">
        <v>1656</v>
      </c>
      <c r="BC990">
        <v>1672</v>
      </c>
      <c r="BD990" t="s">
        <v>74</v>
      </c>
      <c r="BE990" t="s">
        <v>4753</v>
      </c>
      <c r="BF990" t="str">
        <f>HYPERLINK("http://dx.doi.org/10.1111/mec.16831","http://dx.doi.org/10.1111/mec.16831")</f>
        <v>http://dx.doi.org/10.1111/mec.16831</v>
      </c>
      <c r="BG990" t="s">
        <v>74</v>
      </c>
      <c r="BH990" t="s">
        <v>3048</v>
      </c>
      <c r="BI990" t="s">
        <v>74</v>
      </c>
      <c r="BJ990" t="s">
        <v>74</v>
      </c>
      <c r="BK990" t="s">
        <v>74</v>
      </c>
      <c r="BL990" t="s">
        <v>74</v>
      </c>
      <c r="BM990" t="s">
        <v>74</v>
      </c>
      <c r="BN990">
        <v>36560895</v>
      </c>
      <c r="BO990" t="s">
        <v>74</v>
      </c>
      <c r="BP990" t="s">
        <v>74</v>
      </c>
      <c r="BQ990" t="s">
        <v>74</v>
      </c>
      <c r="BR990" t="s">
        <v>74</v>
      </c>
      <c r="BS990" t="s">
        <v>4754</v>
      </c>
      <c r="BT990" t="str">
        <f>HYPERLINK("https%3A%2F%2Fwww.webofscience.com%2Fwos%2Fwoscc%2Ffull-record%2FWOS:000913280100001","View Full Record in Web of Science")</f>
        <v>View Full Record in Web of Science</v>
      </c>
    </row>
    <row r="991" spans="1:72" x14ac:dyDescent="0.4">
      <c r="A991" t="s">
        <v>72</v>
      </c>
      <c r="B991" t="s">
        <v>6616</v>
      </c>
      <c r="C991" t="s">
        <v>74</v>
      </c>
      <c r="D991" t="s">
        <v>74</v>
      </c>
      <c r="E991" t="s">
        <v>74</v>
      </c>
      <c r="F991" t="s">
        <v>6617</v>
      </c>
      <c r="G991" t="s">
        <v>74</v>
      </c>
      <c r="H991" t="s">
        <v>74</v>
      </c>
      <c r="I991" t="s">
        <v>6618</v>
      </c>
      <c r="J991" t="s">
        <v>5474</v>
      </c>
      <c r="K991" t="s">
        <v>74</v>
      </c>
      <c r="L991" t="s">
        <v>74</v>
      </c>
      <c r="M991" t="s">
        <v>74</v>
      </c>
      <c r="N991" t="s">
        <v>74</v>
      </c>
      <c r="O991" t="s">
        <v>74</v>
      </c>
      <c r="P991" t="s">
        <v>74</v>
      </c>
      <c r="Q991" t="s">
        <v>74</v>
      </c>
      <c r="R991" t="s">
        <v>74</v>
      </c>
      <c r="S991" t="s">
        <v>74</v>
      </c>
      <c r="T991" t="s">
        <v>74</v>
      </c>
      <c r="U991" t="s">
        <v>74</v>
      </c>
      <c r="V991" s="3" t="s">
        <v>6619</v>
      </c>
      <c r="W991" t="s">
        <v>74</v>
      </c>
      <c r="X991" t="s">
        <v>74</v>
      </c>
      <c r="Y991" t="s">
        <v>74</v>
      </c>
      <c r="Z991" t="s">
        <v>74</v>
      </c>
      <c r="AA991" t="s">
        <v>6620</v>
      </c>
      <c r="AB991" t="s">
        <v>6621</v>
      </c>
      <c r="AC991" t="s">
        <v>74</v>
      </c>
      <c r="AD991" t="s">
        <v>74</v>
      </c>
      <c r="AE991" t="s">
        <v>74</v>
      </c>
      <c r="AF991" t="s">
        <v>74</v>
      </c>
      <c r="AG991" t="s">
        <v>74</v>
      </c>
      <c r="AH991" t="s">
        <v>74</v>
      </c>
      <c r="AI991" t="s">
        <v>74</v>
      </c>
      <c r="AJ991" t="s">
        <v>74</v>
      </c>
      <c r="AK991" t="s">
        <v>74</v>
      </c>
      <c r="AL991" t="s">
        <v>74</v>
      </c>
      <c r="AM991" t="s">
        <v>74</v>
      </c>
      <c r="AN991" t="s">
        <v>74</v>
      </c>
      <c r="AO991" t="s">
        <v>5478</v>
      </c>
      <c r="AP991" t="s">
        <v>74</v>
      </c>
      <c r="AQ991" t="s">
        <v>74</v>
      </c>
      <c r="AR991" t="s">
        <v>74</v>
      </c>
      <c r="AS991" t="s">
        <v>74</v>
      </c>
      <c r="AT991" t="s">
        <v>6622</v>
      </c>
      <c r="AU991">
        <v>2013</v>
      </c>
      <c r="AV991">
        <v>68</v>
      </c>
      <c r="AW991" t="s">
        <v>74</v>
      </c>
      <c r="AX991" t="s">
        <v>74</v>
      </c>
      <c r="AY991" t="s">
        <v>74</v>
      </c>
      <c r="AZ991" t="s">
        <v>74</v>
      </c>
      <c r="BA991" t="s">
        <v>74</v>
      </c>
      <c r="BB991">
        <v>1</v>
      </c>
      <c r="BC991">
        <v>26</v>
      </c>
      <c r="BD991" t="s">
        <v>74</v>
      </c>
      <c r="BE991" t="s">
        <v>6623</v>
      </c>
      <c r="BF991" t="str">
        <f>HYPERLINK("http://dx.doi.org/10.5852/ejt.2013.68","http://dx.doi.org/10.5852/ejt.2013.68")</f>
        <v>http://dx.doi.org/10.5852/ejt.2013.68</v>
      </c>
      <c r="BG991" t="s">
        <v>74</v>
      </c>
      <c r="BH991" t="s">
        <v>74</v>
      </c>
      <c r="BI991" t="s">
        <v>74</v>
      </c>
      <c r="BJ991" t="s">
        <v>74</v>
      </c>
      <c r="BK991" t="s">
        <v>74</v>
      </c>
      <c r="BL991" t="s">
        <v>74</v>
      </c>
      <c r="BM991" t="s">
        <v>74</v>
      </c>
      <c r="BN991" t="s">
        <v>74</v>
      </c>
      <c r="BO991" t="s">
        <v>74</v>
      </c>
      <c r="BP991" t="s">
        <v>74</v>
      </c>
      <c r="BQ991" t="s">
        <v>74</v>
      </c>
      <c r="BR991" t="s">
        <v>74</v>
      </c>
      <c r="BS991" t="s">
        <v>6624</v>
      </c>
      <c r="BT991" t="str">
        <f>HYPERLINK("https%3A%2F%2Fwww.webofscience.com%2Fwos%2Fwoscc%2Ffull-record%2FWOS:000333018600001","View Full Record in Web of Science")</f>
        <v>View Full Record in Web of Science</v>
      </c>
    </row>
    <row r="992" spans="1:72" x14ac:dyDescent="0.4">
      <c r="A992" t="s">
        <v>72</v>
      </c>
      <c r="B992" t="s">
        <v>5471</v>
      </c>
      <c r="C992" t="s">
        <v>74</v>
      </c>
      <c r="D992" t="s">
        <v>74</v>
      </c>
      <c r="E992" t="s">
        <v>74</v>
      </c>
      <c r="F992" t="s">
        <v>5472</v>
      </c>
      <c r="G992" t="s">
        <v>74</v>
      </c>
      <c r="H992" t="s">
        <v>74</v>
      </c>
      <c r="I992" t="s">
        <v>5473</v>
      </c>
      <c r="J992" t="s">
        <v>5474</v>
      </c>
      <c r="K992" t="s">
        <v>74</v>
      </c>
      <c r="L992" t="s">
        <v>74</v>
      </c>
      <c r="M992" t="s">
        <v>74</v>
      </c>
      <c r="N992" t="s">
        <v>74</v>
      </c>
      <c r="O992" t="s">
        <v>74</v>
      </c>
      <c r="P992" t="s">
        <v>74</v>
      </c>
      <c r="Q992" t="s">
        <v>74</v>
      </c>
      <c r="R992" t="s">
        <v>74</v>
      </c>
      <c r="S992" t="s">
        <v>74</v>
      </c>
      <c r="T992" t="s">
        <v>74</v>
      </c>
      <c r="U992" t="s">
        <v>74</v>
      </c>
      <c r="V992" s="3" t="s">
        <v>5475</v>
      </c>
      <c r="W992" t="s">
        <v>74</v>
      </c>
      <c r="X992" t="s">
        <v>74</v>
      </c>
      <c r="Y992" t="s">
        <v>74</v>
      </c>
      <c r="Z992" t="s">
        <v>74</v>
      </c>
      <c r="AA992" t="s">
        <v>5476</v>
      </c>
      <c r="AB992" t="s">
        <v>5477</v>
      </c>
      <c r="AC992" t="s">
        <v>74</v>
      </c>
      <c r="AD992" t="s">
        <v>74</v>
      </c>
      <c r="AE992" t="s">
        <v>74</v>
      </c>
      <c r="AF992" t="s">
        <v>74</v>
      </c>
      <c r="AG992" t="s">
        <v>74</v>
      </c>
      <c r="AH992" t="s">
        <v>74</v>
      </c>
      <c r="AI992" t="s">
        <v>74</v>
      </c>
      <c r="AJ992" t="s">
        <v>74</v>
      </c>
      <c r="AK992" t="s">
        <v>74</v>
      </c>
      <c r="AL992" t="s">
        <v>74</v>
      </c>
      <c r="AM992" t="s">
        <v>74</v>
      </c>
      <c r="AN992" t="s">
        <v>74</v>
      </c>
      <c r="AO992" t="s">
        <v>5478</v>
      </c>
      <c r="AP992" t="s">
        <v>74</v>
      </c>
      <c r="AQ992" t="s">
        <v>74</v>
      </c>
      <c r="AR992" t="s">
        <v>74</v>
      </c>
      <c r="AS992" t="s">
        <v>74</v>
      </c>
      <c r="AT992" t="s">
        <v>5479</v>
      </c>
      <c r="AU992">
        <v>2020</v>
      </c>
      <c r="AV992">
        <v>600</v>
      </c>
      <c r="AW992" t="s">
        <v>74</v>
      </c>
      <c r="AX992" t="s">
        <v>74</v>
      </c>
      <c r="AY992" t="s">
        <v>74</v>
      </c>
      <c r="AZ992" t="s">
        <v>74</v>
      </c>
      <c r="BA992" t="s">
        <v>74</v>
      </c>
      <c r="BB992" t="s">
        <v>74</v>
      </c>
      <c r="BC992" t="s">
        <v>74</v>
      </c>
      <c r="BD992" t="s">
        <v>74</v>
      </c>
      <c r="BE992" t="s">
        <v>5480</v>
      </c>
      <c r="BF992" t="str">
        <f>HYPERLINK("http://dx.doi.org/10.5852/ejt.2020.600","http://dx.doi.org/10.5852/ejt.2020.600")</f>
        <v>http://dx.doi.org/10.5852/ejt.2020.600</v>
      </c>
      <c r="BG992" t="s">
        <v>74</v>
      </c>
      <c r="BH992" t="s">
        <v>74</v>
      </c>
      <c r="BI992" t="s">
        <v>74</v>
      </c>
      <c r="BJ992" t="s">
        <v>74</v>
      </c>
      <c r="BK992" t="s">
        <v>74</v>
      </c>
      <c r="BL992" t="s">
        <v>74</v>
      </c>
      <c r="BM992" t="s">
        <v>74</v>
      </c>
      <c r="BN992" t="s">
        <v>74</v>
      </c>
      <c r="BO992" t="s">
        <v>74</v>
      </c>
      <c r="BP992" t="s">
        <v>74</v>
      </c>
      <c r="BQ992" t="s">
        <v>74</v>
      </c>
      <c r="BR992" t="s">
        <v>74</v>
      </c>
      <c r="BS992" t="s">
        <v>5481</v>
      </c>
      <c r="BT992" t="str">
        <f>HYPERLINK("https%3A%2F%2Fwww.webofscience.com%2Fwos%2Fwoscc%2Ffull-record%2FWOS:000512655700001","View Full Record in Web of Science")</f>
        <v>View Full Record in Web of Science</v>
      </c>
    </row>
    <row r="993" spans="1:72" x14ac:dyDescent="0.4">
      <c r="A993" t="s">
        <v>72</v>
      </c>
      <c r="B993" t="s">
        <v>3329</v>
      </c>
      <c r="C993" t="s">
        <v>74</v>
      </c>
      <c r="D993" t="s">
        <v>74</v>
      </c>
      <c r="E993" t="s">
        <v>74</v>
      </c>
      <c r="F993" t="s">
        <v>3330</v>
      </c>
      <c r="G993" t="s">
        <v>74</v>
      </c>
      <c r="H993" t="s">
        <v>74</v>
      </c>
      <c r="I993" t="s">
        <v>3331</v>
      </c>
      <c r="J993" t="s">
        <v>3332</v>
      </c>
      <c r="K993" t="s">
        <v>74</v>
      </c>
      <c r="L993" t="s">
        <v>74</v>
      </c>
      <c r="M993" t="s">
        <v>74</v>
      </c>
      <c r="N993" t="s">
        <v>74</v>
      </c>
      <c r="O993" t="s">
        <v>74</v>
      </c>
      <c r="P993" t="s">
        <v>74</v>
      </c>
      <c r="Q993" t="s">
        <v>74</v>
      </c>
      <c r="R993" t="s">
        <v>74</v>
      </c>
      <c r="S993" t="s">
        <v>74</v>
      </c>
      <c r="T993" t="s">
        <v>74</v>
      </c>
      <c r="U993" t="s">
        <v>74</v>
      </c>
      <c r="V993" s="3" t="s">
        <v>3333</v>
      </c>
      <c r="W993" t="s">
        <v>74</v>
      </c>
      <c r="X993" t="s">
        <v>74</v>
      </c>
      <c r="Y993" t="s">
        <v>74</v>
      </c>
      <c r="Z993" t="s">
        <v>74</v>
      </c>
      <c r="AA993" t="s">
        <v>3334</v>
      </c>
      <c r="AB993" t="s">
        <v>3335</v>
      </c>
      <c r="AC993" t="s">
        <v>74</v>
      </c>
      <c r="AD993" t="s">
        <v>74</v>
      </c>
      <c r="AE993" t="s">
        <v>74</v>
      </c>
      <c r="AF993" t="s">
        <v>74</v>
      </c>
      <c r="AG993" t="s">
        <v>74</v>
      </c>
      <c r="AH993" t="s">
        <v>74</v>
      </c>
      <c r="AI993" t="s">
        <v>74</v>
      </c>
      <c r="AJ993" t="s">
        <v>74</v>
      </c>
      <c r="AK993" t="s">
        <v>74</v>
      </c>
      <c r="AL993" t="s">
        <v>74</v>
      </c>
      <c r="AM993" t="s">
        <v>74</v>
      </c>
      <c r="AN993" t="s">
        <v>74</v>
      </c>
      <c r="AO993" t="s">
        <v>3336</v>
      </c>
      <c r="AP993" t="s">
        <v>3337</v>
      </c>
      <c r="AQ993" t="s">
        <v>74</v>
      </c>
      <c r="AR993" t="s">
        <v>74</v>
      </c>
      <c r="AS993" t="s">
        <v>74</v>
      </c>
      <c r="AT993" t="s">
        <v>3338</v>
      </c>
      <c r="AU993">
        <v>2010</v>
      </c>
      <c r="AV993">
        <v>45</v>
      </c>
      <c r="AW993">
        <v>1</v>
      </c>
      <c r="AX993" t="s">
        <v>74</v>
      </c>
      <c r="AY993" t="s">
        <v>74</v>
      </c>
      <c r="AZ993" t="s">
        <v>74</v>
      </c>
      <c r="BA993" t="s">
        <v>74</v>
      </c>
      <c r="BB993">
        <v>98</v>
      </c>
      <c r="BC993">
        <v>104</v>
      </c>
      <c r="BD993" t="s">
        <v>74</v>
      </c>
      <c r="BE993" t="s">
        <v>3339</v>
      </c>
      <c r="BF993" t="str">
        <f>HYPERLINK("http://dx.doi.org/10.3161/000164510X516137","http://dx.doi.org/10.3161/000164510X516137")</f>
        <v>http://dx.doi.org/10.3161/000164510X516137</v>
      </c>
      <c r="BG993" t="s">
        <v>74</v>
      </c>
      <c r="BH993" t="s">
        <v>74</v>
      </c>
      <c r="BI993" t="s">
        <v>74</v>
      </c>
      <c r="BJ993" t="s">
        <v>74</v>
      </c>
      <c r="BK993" t="s">
        <v>74</v>
      </c>
      <c r="BL993" t="s">
        <v>74</v>
      </c>
      <c r="BM993" t="s">
        <v>74</v>
      </c>
      <c r="BN993" t="s">
        <v>74</v>
      </c>
      <c r="BO993" t="s">
        <v>74</v>
      </c>
      <c r="BP993" t="s">
        <v>74</v>
      </c>
      <c r="BQ993" t="s">
        <v>74</v>
      </c>
      <c r="BR993" t="s">
        <v>74</v>
      </c>
      <c r="BS993" t="s">
        <v>3340</v>
      </c>
      <c r="BT993" t="str">
        <f>HYPERLINK("https%3A%2F%2Fwww.webofscience.com%2Fwos%2Fwoscc%2Ffull-record%2FWOS:000280387600011","View Full Record in Web of Science")</f>
        <v>View Full Record in Web of Science</v>
      </c>
    </row>
    <row r="994" spans="1:72" x14ac:dyDescent="0.4">
      <c r="A994" t="s">
        <v>72</v>
      </c>
      <c r="B994" t="s">
        <v>1593</v>
      </c>
      <c r="C994" t="s">
        <v>74</v>
      </c>
      <c r="D994" t="s">
        <v>74</v>
      </c>
      <c r="E994" t="s">
        <v>74</v>
      </c>
      <c r="F994" t="s">
        <v>1593</v>
      </c>
      <c r="G994" t="s">
        <v>74</v>
      </c>
      <c r="H994" t="s">
        <v>74</v>
      </c>
      <c r="I994" t="s">
        <v>1594</v>
      </c>
      <c r="J994" t="s">
        <v>77</v>
      </c>
      <c r="K994" t="s">
        <v>74</v>
      </c>
      <c r="L994" t="s">
        <v>74</v>
      </c>
      <c r="M994" t="s">
        <v>74</v>
      </c>
      <c r="N994" t="s">
        <v>74</v>
      </c>
      <c r="O994" t="s">
        <v>74</v>
      </c>
      <c r="P994" t="s">
        <v>74</v>
      </c>
      <c r="Q994" t="s">
        <v>74</v>
      </c>
      <c r="R994" t="s">
        <v>74</v>
      </c>
      <c r="S994" t="s">
        <v>74</v>
      </c>
      <c r="T994" t="s">
        <v>74</v>
      </c>
      <c r="U994" t="s">
        <v>74</v>
      </c>
      <c r="V994" s="3" t="s">
        <v>1595</v>
      </c>
      <c r="W994" t="s">
        <v>74</v>
      </c>
      <c r="X994" t="s">
        <v>74</v>
      </c>
      <c r="Y994" t="s">
        <v>74</v>
      </c>
      <c r="Z994" t="s">
        <v>74</v>
      </c>
      <c r="AA994" t="s">
        <v>1596</v>
      </c>
      <c r="AB994" t="s">
        <v>262</v>
      </c>
      <c r="AC994" t="s">
        <v>74</v>
      </c>
      <c r="AD994" t="s">
        <v>74</v>
      </c>
      <c r="AE994" t="s">
        <v>74</v>
      </c>
      <c r="AF994" t="s">
        <v>74</v>
      </c>
      <c r="AG994" t="s">
        <v>74</v>
      </c>
      <c r="AH994" t="s">
        <v>74</v>
      </c>
      <c r="AI994" t="s">
        <v>74</v>
      </c>
      <c r="AJ994" t="s">
        <v>74</v>
      </c>
      <c r="AK994" t="s">
        <v>74</v>
      </c>
      <c r="AL994" t="s">
        <v>74</v>
      </c>
      <c r="AM994" t="s">
        <v>74</v>
      </c>
      <c r="AN994" t="s">
        <v>74</v>
      </c>
      <c r="AO994" t="s">
        <v>81</v>
      </c>
      <c r="AP994" t="s">
        <v>82</v>
      </c>
      <c r="AQ994" t="s">
        <v>74</v>
      </c>
      <c r="AR994" t="s">
        <v>74</v>
      </c>
      <c r="AS994" t="s">
        <v>74</v>
      </c>
      <c r="AT994" t="s">
        <v>123</v>
      </c>
      <c r="AU994">
        <v>2005</v>
      </c>
      <c r="AV994">
        <v>142</v>
      </c>
      <c r="AW994" t="s">
        <v>74</v>
      </c>
      <c r="AX994">
        <v>3</v>
      </c>
      <c r="AY994" t="s">
        <v>74</v>
      </c>
      <c r="AZ994" t="s">
        <v>74</v>
      </c>
      <c r="BA994" t="s">
        <v>74</v>
      </c>
      <c r="BB994">
        <v>329</v>
      </c>
      <c r="BC994">
        <v>350</v>
      </c>
      <c r="BD994" t="s">
        <v>74</v>
      </c>
      <c r="BE994" t="s">
        <v>1597</v>
      </c>
      <c r="BF994" t="str">
        <f>HYPERLINK("http://dx.doi.org/10.1163/1568539053778265","http://dx.doi.org/10.1163/1568539053778265")</f>
        <v>http://dx.doi.org/10.1163/1568539053778265</v>
      </c>
      <c r="BG994" t="s">
        <v>74</v>
      </c>
      <c r="BH994" t="s">
        <v>74</v>
      </c>
      <c r="BI994" t="s">
        <v>74</v>
      </c>
      <c r="BJ994" t="s">
        <v>74</v>
      </c>
      <c r="BK994" t="s">
        <v>74</v>
      </c>
      <c r="BL994" t="s">
        <v>74</v>
      </c>
      <c r="BM994" t="s">
        <v>74</v>
      </c>
      <c r="BN994" t="s">
        <v>74</v>
      </c>
      <c r="BO994" t="s">
        <v>74</v>
      </c>
      <c r="BP994" t="s">
        <v>74</v>
      </c>
      <c r="BQ994" t="s">
        <v>74</v>
      </c>
      <c r="BR994" t="s">
        <v>74</v>
      </c>
      <c r="BS994" t="s">
        <v>1598</v>
      </c>
      <c r="BT994" t="str">
        <f>HYPERLINK("https%3A%2F%2Fwww.webofscience.com%2Fwos%2Fwoscc%2Ffull-record%2FWOS:000230357500004","View Full Record in Web of Science")</f>
        <v>View Full Record in Web of Science</v>
      </c>
    </row>
    <row r="995" spans="1:72" x14ac:dyDescent="0.4">
      <c r="A995" t="s">
        <v>72</v>
      </c>
      <c r="B995" t="s">
        <v>3125</v>
      </c>
      <c r="C995" t="s">
        <v>74</v>
      </c>
      <c r="D995" t="s">
        <v>74</v>
      </c>
      <c r="E995" t="s">
        <v>74</v>
      </c>
      <c r="F995" t="s">
        <v>3126</v>
      </c>
      <c r="G995" t="s">
        <v>74</v>
      </c>
      <c r="H995" t="s">
        <v>74</v>
      </c>
      <c r="I995" t="s">
        <v>3127</v>
      </c>
      <c r="J995" t="s">
        <v>3128</v>
      </c>
      <c r="K995" t="s">
        <v>74</v>
      </c>
      <c r="L995" t="s">
        <v>74</v>
      </c>
      <c r="M995" t="s">
        <v>74</v>
      </c>
      <c r="N995" t="s">
        <v>74</v>
      </c>
      <c r="O995" t="s">
        <v>74</v>
      </c>
      <c r="P995" t="s">
        <v>74</v>
      </c>
      <c r="Q995" t="s">
        <v>74</v>
      </c>
      <c r="R995" t="s">
        <v>74</v>
      </c>
      <c r="S995" t="s">
        <v>74</v>
      </c>
      <c r="T995" t="s">
        <v>74</v>
      </c>
      <c r="U995" t="s">
        <v>74</v>
      </c>
      <c r="V995" s="3" t="s">
        <v>3129</v>
      </c>
      <c r="W995" t="s">
        <v>74</v>
      </c>
      <c r="X995" t="s">
        <v>74</v>
      </c>
      <c r="Y995" t="s">
        <v>74</v>
      </c>
      <c r="Z995" t="s">
        <v>74</v>
      </c>
      <c r="AA995" t="s">
        <v>74</v>
      </c>
      <c r="AB995" t="s">
        <v>74</v>
      </c>
      <c r="AC995" t="s">
        <v>74</v>
      </c>
      <c r="AD995" t="s">
        <v>74</v>
      </c>
      <c r="AE995" t="s">
        <v>74</v>
      </c>
      <c r="AF995" t="s">
        <v>74</v>
      </c>
      <c r="AG995" t="s">
        <v>74</v>
      </c>
      <c r="AH995" t="s">
        <v>74</v>
      </c>
      <c r="AI995" t="s">
        <v>74</v>
      </c>
      <c r="AJ995" t="s">
        <v>74</v>
      </c>
      <c r="AK995" t="s">
        <v>74</v>
      </c>
      <c r="AL995" t="s">
        <v>74</v>
      </c>
      <c r="AM995" t="s">
        <v>74</v>
      </c>
      <c r="AN995" t="s">
        <v>74</v>
      </c>
      <c r="AO995" t="s">
        <v>3130</v>
      </c>
      <c r="AP995" t="s">
        <v>3131</v>
      </c>
      <c r="AQ995" t="s">
        <v>74</v>
      </c>
      <c r="AR995" t="s">
        <v>74</v>
      </c>
      <c r="AS995" t="s">
        <v>74</v>
      </c>
      <c r="AT995" t="s">
        <v>74</v>
      </c>
      <c r="AU995">
        <v>2016</v>
      </c>
      <c r="AV995">
        <v>37</v>
      </c>
      <c r="AW995">
        <v>3</v>
      </c>
      <c r="AX995" t="s">
        <v>74</v>
      </c>
      <c r="AY995" t="s">
        <v>74</v>
      </c>
      <c r="AZ995" t="s">
        <v>74</v>
      </c>
      <c r="BA995" t="s">
        <v>74</v>
      </c>
      <c r="BB995">
        <v>283</v>
      </c>
      <c r="BC995">
        <v>290</v>
      </c>
      <c r="BD995" t="s">
        <v>74</v>
      </c>
      <c r="BE995" t="s">
        <v>3132</v>
      </c>
      <c r="BF995" t="str">
        <f>HYPERLINK("http://dx.doi.org/10.1163/15685381-00003055","http://dx.doi.org/10.1163/15685381-00003055")</f>
        <v>http://dx.doi.org/10.1163/15685381-00003055</v>
      </c>
      <c r="BG995" t="s">
        <v>74</v>
      </c>
      <c r="BH995" t="s">
        <v>74</v>
      </c>
      <c r="BI995" t="s">
        <v>74</v>
      </c>
      <c r="BJ995" t="s">
        <v>74</v>
      </c>
      <c r="BK995" t="s">
        <v>74</v>
      </c>
      <c r="BL995" t="s">
        <v>74</v>
      </c>
      <c r="BM995" t="s">
        <v>74</v>
      </c>
      <c r="BN995" t="s">
        <v>74</v>
      </c>
      <c r="BO995" t="s">
        <v>74</v>
      </c>
      <c r="BP995" t="s">
        <v>74</v>
      </c>
      <c r="BQ995" t="s">
        <v>74</v>
      </c>
      <c r="BR995" t="s">
        <v>74</v>
      </c>
      <c r="BS995" t="s">
        <v>3133</v>
      </c>
      <c r="BT995" t="str">
        <f>HYPERLINK("https%3A%2F%2Fwww.webofscience.com%2Fwos%2Fwoscc%2Ffull-record%2FWOS:000384414500004","View Full Record in Web of Science")</f>
        <v>View Full Record in Web of Science</v>
      </c>
    </row>
    <row r="996" spans="1:72" x14ac:dyDescent="0.4">
      <c r="A996" t="s">
        <v>72</v>
      </c>
      <c r="B996" t="s">
        <v>6537</v>
      </c>
      <c r="C996" t="s">
        <v>74</v>
      </c>
      <c r="D996" t="s">
        <v>74</v>
      </c>
      <c r="E996" t="s">
        <v>74</v>
      </c>
      <c r="F996" t="s">
        <v>6537</v>
      </c>
      <c r="G996" t="s">
        <v>74</v>
      </c>
      <c r="H996" t="s">
        <v>74</v>
      </c>
      <c r="I996" t="s">
        <v>6538</v>
      </c>
      <c r="J996" t="s">
        <v>129</v>
      </c>
      <c r="K996" t="s">
        <v>74</v>
      </c>
      <c r="L996" t="s">
        <v>74</v>
      </c>
      <c r="M996" t="s">
        <v>74</v>
      </c>
      <c r="N996" t="s">
        <v>74</v>
      </c>
      <c r="O996" t="s">
        <v>74</v>
      </c>
      <c r="P996" t="s">
        <v>74</v>
      </c>
      <c r="Q996" t="s">
        <v>74</v>
      </c>
      <c r="R996" t="s">
        <v>74</v>
      </c>
      <c r="S996" t="s">
        <v>74</v>
      </c>
      <c r="T996" t="s">
        <v>74</v>
      </c>
      <c r="U996" t="s">
        <v>74</v>
      </c>
      <c r="V996" s="3" t="s">
        <v>6539</v>
      </c>
      <c r="W996" t="s">
        <v>74</v>
      </c>
      <c r="X996" t="s">
        <v>74</v>
      </c>
      <c r="Y996" t="s">
        <v>74</v>
      </c>
      <c r="Z996" t="s">
        <v>74</v>
      </c>
      <c r="AA996" t="s">
        <v>74</v>
      </c>
      <c r="AB996" t="s">
        <v>74</v>
      </c>
      <c r="AC996" t="s">
        <v>74</v>
      </c>
      <c r="AD996" t="s">
        <v>74</v>
      </c>
      <c r="AE996" t="s">
        <v>74</v>
      </c>
      <c r="AF996" t="s">
        <v>74</v>
      </c>
      <c r="AG996" t="s">
        <v>74</v>
      </c>
      <c r="AH996" t="s">
        <v>74</v>
      </c>
      <c r="AI996" t="s">
        <v>74</v>
      </c>
      <c r="AJ996" t="s">
        <v>74</v>
      </c>
      <c r="AK996" t="s">
        <v>74</v>
      </c>
      <c r="AL996" t="s">
        <v>74</v>
      </c>
      <c r="AM996" t="s">
        <v>74</v>
      </c>
      <c r="AN996" t="s">
        <v>74</v>
      </c>
      <c r="AO996" t="s">
        <v>132</v>
      </c>
      <c r="AP996" t="s">
        <v>74</v>
      </c>
      <c r="AQ996" t="s">
        <v>74</v>
      </c>
      <c r="AR996" t="s">
        <v>74</v>
      </c>
      <c r="AS996" t="s">
        <v>74</v>
      </c>
      <c r="AT996" t="s">
        <v>204</v>
      </c>
      <c r="AU996">
        <v>1992</v>
      </c>
      <c r="AV996">
        <v>31</v>
      </c>
      <c r="AW996">
        <v>1</v>
      </c>
      <c r="AX996" t="s">
        <v>74</v>
      </c>
      <c r="AY996" t="s">
        <v>74</v>
      </c>
      <c r="AZ996" t="s">
        <v>74</v>
      </c>
      <c r="BA996" t="s">
        <v>74</v>
      </c>
      <c r="BB996">
        <v>27</v>
      </c>
      <c r="BC996">
        <v>33</v>
      </c>
      <c r="BD996" t="s">
        <v>74</v>
      </c>
      <c r="BE996" t="s">
        <v>6540</v>
      </c>
      <c r="BF996" t="str">
        <f>HYPERLINK("http://dx.doi.org/10.1007/BF00167813","http://dx.doi.org/10.1007/BF00167813")</f>
        <v>http://dx.doi.org/10.1007/BF00167813</v>
      </c>
      <c r="BG996" t="s">
        <v>74</v>
      </c>
      <c r="BH996" t="s">
        <v>74</v>
      </c>
      <c r="BI996" t="s">
        <v>74</v>
      </c>
      <c r="BJ996" t="s">
        <v>74</v>
      </c>
      <c r="BK996" t="s">
        <v>74</v>
      </c>
      <c r="BL996" t="s">
        <v>74</v>
      </c>
      <c r="BM996" t="s">
        <v>74</v>
      </c>
      <c r="BN996" t="s">
        <v>74</v>
      </c>
      <c r="BO996" t="s">
        <v>74</v>
      </c>
      <c r="BP996" t="s">
        <v>74</v>
      </c>
      <c r="BQ996" t="s">
        <v>74</v>
      </c>
      <c r="BR996" t="s">
        <v>74</v>
      </c>
      <c r="BS996" t="s">
        <v>6541</v>
      </c>
      <c r="BT996" t="str">
        <f>HYPERLINK("https%3A%2F%2Fwww.webofscience.com%2Fwos%2Fwoscc%2Ffull-record%2FWOS:A1992JE29600004","View Full Record in Web of Science")</f>
        <v>View Full Record in Web of Science</v>
      </c>
    </row>
    <row r="997" spans="1:72" x14ac:dyDescent="0.4">
      <c r="A997" t="s">
        <v>72</v>
      </c>
      <c r="B997" t="s">
        <v>6117</v>
      </c>
      <c r="C997" t="s">
        <v>74</v>
      </c>
      <c r="D997" t="s">
        <v>74</v>
      </c>
      <c r="E997" t="s">
        <v>74</v>
      </c>
      <c r="F997" t="s">
        <v>6117</v>
      </c>
      <c r="G997" t="s">
        <v>74</v>
      </c>
      <c r="H997" t="s">
        <v>74</v>
      </c>
      <c r="I997" t="s">
        <v>6118</v>
      </c>
      <c r="J997" t="s">
        <v>431</v>
      </c>
      <c r="K997" t="s">
        <v>74</v>
      </c>
      <c r="L997" t="s">
        <v>74</v>
      </c>
      <c r="M997" t="s">
        <v>74</v>
      </c>
      <c r="N997" t="s">
        <v>74</v>
      </c>
      <c r="O997" t="s">
        <v>74</v>
      </c>
      <c r="P997" t="s">
        <v>74</v>
      </c>
      <c r="Q997" t="s">
        <v>74</v>
      </c>
      <c r="R997" t="s">
        <v>74</v>
      </c>
      <c r="S997" t="s">
        <v>74</v>
      </c>
      <c r="T997" t="s">
        <v>74</v>
      </c>
      <c r="U997" t="s">
        <v>74</v>
      </c>
      <c r="V997" s="3" t="s">
        <v>6119</v>
      </c>
      <c r="W997" t="s">
        <v>74</v>
      </c>
      <c r="X997" t="s">
        <v>74</v>
      </c>
      <c r="Y997" t="s">
        <v>74</v>
      </c>
      <c r="Z997" t="s">
        <v>74</v>
      </c>
      <c r="AA997" t="s">
        <v>74</v>
      </c>
      <c r="AB997" t="s">
        <v>74</v>
      </c>
      <c r="AC997" t="s">
        <v>74</v>
      </c>
      <c r="AD997" t="s">
        <v>74</v>
      </c>
      <c r="AE997" t="s">
        <v>74</v>
      </c>
      <c r="AF997" t="s">
        <v>74</v>
      </c>
      <c r="AG997" t="s">
        <v>74</v>
      </c>
      <c r="AH997" t="s">
        <v>74</v>
      </c>
      <c r="AI997" t="s">
        <v>74</v>
      </c>
      <c r="AJ997" t="s">
        <v>74</v>
      </c>
      <c r="AK997" t="s">
        <v>74</v>
      </c>
      <c r="AL997" t="s">
        <v>74</v>
      </c>
      <c r="AM997" t="s">
        <v>74</v>
      </c>
      <c r="AN997" t="s">
        <v>74</v>
      </c>
      <c r="AO997" t="s">
        <v>74</v>
      </c>
      <c r="AP997" t="s">
        <v>435</v>
      </c>
      <c r="AQ997" t="s">
        <v>74</v>
      </c>
      <c r="AR997" t="s">
        <v>74</v>
      </c>
      <c r="AS997" t="s">
        <v>74</v>
      </c>
      <c r="AT997" t="s">
        <v>175</v>
      </c>
      <c r="AU997">
        <v>1987</v>
      </c>
      <c r="AV997">
        <v>104</v>
      </c>
      <c r="AW997">
        <v>4</v>
      </c>
      <c r="AX997" t="s">
        <v>74</v>
      </c>
      <c r="AY997" t="s">
        <v>74</v>
      </c>
      <c r="AZ997" t="s">
        <v>74</v>
      </c>
      <c r="BA997" t="s">
        <v>74</v>
      </c>
      <c r="BB997">
        <v>717</v>
      </c>
      <c r="BC997">
        <v>723</v>
      </c>
      <c r="BD997" t="s">
        <v>74</v>
      </c>
      <c r="BE997" t="s">
        <v>6120</v>
      </c>
      <c r="BF997" t="str">
        <f>HYPERLINK("http://dx.doi.org/10.1093/auk/104.4.717","http://dx.doi.org/10.1093/auk/104.4.717")</f>
        <v>http://dx.doi.org/10.1093/auk/104.4.717</v>
      </c>
      <c r="BG997" t="s">
        <v>74</v>
      </c>
      <c r="BH997" t="s">
        <v>74</v>
      </c>
      <c r="BI997" t="s">
        <v>74</v>
      </c>
      <c r="BJ997" t="s">
        <v>74</v>
      </c>
      <c r="BK997" t="s">
        <v>74</v>
      </c>
      <c r="BL997" t="s">
        <v>74</v>
      </c>
      <c r="BM997" t="s">
        <v>74</v>
      </c>
      <c r="BN997" t="s">
        <v>74</v>
      </c>
      <c r="BO997" t="s">
        <v>74</v>
      </c>
      <c r="BP997" t="s">
        <v>74</v>
      </c>
      <c r="BQ997" t="s">
        <v>74</v>
      </c>
      <c r="BR997" t="s">
        <v>74</v>
      </c>
      <c r="BS997" t="s">
        <v>6121</v>
      </c>
      <c r="BT997" t="str">
        <f>HYPERLINK("https%3A%2F%2Fwww.webofscience.com%2Fwos%2Fwoscc%2Ffull-record%2FWOS:A1987K764400015","View Full Record in Web of Science")</f>
        <v>View Full Record in Web of Science</v>
      </c>
    </row>
    <row r="998" spans="1:72" x14ac:dyDescent="0.4">
      <c r="A998" t="s">
        <v>72</v>
      </c>
      <c r="B998" t="s">
        <v>7212</v>
      </c>
      <c r="C998" t="s">
        <v>74</v>
      </c>
      <c r="D998" t="s">
        <v>74</v>
      </c>
      <c r="E998" t="s">
        <v>74</v>
      </c>
      <c r="F998" t="s">
        <v>7213</v>
      </c>
      <c r="G998" t="s">
        <v>74</v>
      </c>
      <c r="H998" t="s">
        <v>74</v>
      </c>
      <c r="I998" t="s">
        <v>7214</v>
      </c>
      <c r="J998" t="s">
        <v>333</v>
      </c>
      <c r="K998" t="s">
        <v>74</v>
      </c>
      <c r="L998" t="s">
        <v>74</v>
      </c>
      <c r="M998" t="s">
        <v>74</v>
      </c>
      <c r="N998" t="s">
        <v>74</v>
      </c>
      <c r="O998" t="s">
        <v>74</v>
      </c>
      <c r="P998" t="s">
        <v>74</v>
      </c>
      <c r="Q998" t="s">
        <v>74</v>
      </c>
      <c r="R998" t="s">
        <v>74</v>
      </c>
      <c r="S998" t="s">
        <v>74</v>
      </c>
      <c r="T998" t="s">
        <v>74</v>
      </c>
      <c r="U998" t="s">
        <v>74</v>
      </c>
      <c r="V998" s="3" t="s">
        <v>7215</v>
      </c>
      <c r="W998" t="s">
        <v>74</v>
      </c>
      <c r="X998" t="s">
        <v>74</v>
      </c>
      <c r="Y998" t="s">
        <v>74</v>
      </c>
      <c r="Z998" t="s">
        <v>74</v>
      </c>
      <c r="AA998" t="s">
        <v>7216</v>
      </c>
      <c r="AB998" t="s">
        <v>7217</v>
      </c>
      <c r="AC998" t="s">
        <v>74</v>
      </c>
      <c r="AD998" t="s">
        <v>74</v>
      </c>
      <c r="AE998" t="s">
        <v>74</v>
      </c>
      <c r="AF998" t="s">
        <v>74</v>
      </c>
      <c r="AG998" t="s">
        <v>74</v>
      </c>
      <c r="AH998" t="s">
        <v>74</v>
      </c>
      <c r="AI998" t="s">
        <v>74</v>
      </c>
      <c r="AJ998" t="s">
        <v>74</v>
      </c>
      <c r="AK998" t="s">
        <v>74</v>
      </c>
      <c r="AL998" t="s">
        <v>74</v>
      </c>
      <c r="AM998" t="s">
        <v>74</v>
      </c>
      <c r="AN998" t="s">
        <v>74</v>
      </c>
      <c r="AO998" t="s">
        <v>337</v>
      </c>
      <c r="AP998" t="s">
        <v>338</v>
      </c>
      <c r="AQ998" t="s">
        <v>74</v>
      </c>
      <c r="AR998" t="s">
        <v>74</v>
      </c>
      <c r="AS998" t="s">
        <v>74</v>
      </c>
      <c r="AT998" t="s">
        <v>1038</v>
      </c>
      <c r="AU998">
        <v>2016</v>
      </c>
      <c r="AV998">
        <v>27</v>
      </c>
      <c r="AW998">
        <v>2</v>
      </c>
      <c r="AX998" t="s">
        <v>74</v>
      </c>
      <c r="AY998" t="s">
        <v>74</v>
      </c>
      <c r="AZ998" t="s">
        <v>74</v>
      </c>
      <c r="BA998" t="s">
        <v>74</v>
      </c>
      <c r="BB998">
        <v>677</v>
      </c>
      <c r="BC998">
        <v>684</v>
      </c>
      <c r="BD998" t="s">
        <v>74</v>
      </c>
      <c r="BE998" t="s">
        <v>7218</v>
      </c>
      <c r="BF998" t="str">
        <f>HYPERLINK("http://dx.doi.org/10.1093/beheco/arv206","http://dx.doi.org/10.1093/beheco/arv206")</f>
        <v>http://dx.doi.org/10.1093/beheco/arv206</v>
      </c>
      <c r="BG998" t="s">
        <v>74</v>
      </c>
      <c r="BH998" t="s">
        <v>74</v>
      </c>
      <c r="BI998" t="s">
        <v>74</v>
      </c>
      <c r="BJ998" t="s">
        <v>74</v>
      </c>
      <c r="BK998" t="s">
        <v>74</v>
      </c>
      <c r="BL998" t="s">
        <v>74</v>
      </c>
      <c r="BM998" t="s">
        <v>74</v>
      </c>
      <c r="BN998" t="s">
        <v>74</v>
      </c>
      <c r="BO998" t="s">
        <v>74</v>
      </c>
      <c r="BP998" t="s">
        <v>74</v>
      </c>
      <c r="BQ998" t="s">
        <v>74</v>
      </c>
      <c r="BR998" t="s">
        <v>74</v>
      </c>
      <c r="BS998" t="s">
        <v>7219</v>
      </c>
      <c r="BT998" t="str">
        <f>HYPERLINK("https%3A%2F%2Fwww.webofscience.com%2Fwos%2Fwoscc%2Ffull-record%2FWOS:000375398800043","View Full Record in Web of Science")</f>
        <v>View Full Record in Web of Science</v>
      </c>
    </row>
    <row r="999" spans="1:72" x14ac:dyDescent="0.4">
      <c r="A999" t="s">
        <v>72</v>
      </c>
      <c r="B999" t="s">
        <v>1771</v>
      </c>
      <c r="C999" t="s">
        <v>74</v>
      </c>
      <c r="D999" t="s">
        <v>74</v>
      </c>
      <c r="E999" t="s">
        <v>74</v>
      </c>
      <c r="F999" t="s">
        <v>1771</v>
      </c>
      <c r="G999" t="s">
        <v>74</v>
      </c>
      <c r="H999" t="s">
        <v>74</v>
      </c>
      <c r="I999" t="s">
        <v>1772</v>
      </c>
      <c r="J999" t="s">
        <v>509</v>
      </c>
      <c r="K999" t="s">
        <v>74</v>
      </c>
      <c r="L999" t="s">
        <v>74</v>
      </c>
      <c r="M999" t="s">
        <v>74</v>
      </c>
      <c r="N999" t="s">
        <v>74</v>
      </c>
      <c r="O999" t="s">
        <v>74</v>
      </c>
      <c r="P999" t="s">
        <v>74</v>
      </c>
      <c r="Q999" t="s">
        <v>74</v>
      </c>
      <c r="R999" t="s">
        <v>74</v>
      </c>
      <c r="S999" t="s">
        <v>74</v>
      </c>
      <c r="T999" t="s">
        <v>74</v>
      </c>
      <c r="U999" t="s">
        <v>74</v>
      </c>
      <c r="V999" s="3" t="s">
        <v>1773</v>
      </c>
      <c r="W999" t="s">
        <v>74</v>
      </c>
      <c r="X999" t="s">
        <v>74</v>
      </c>
      <c r="Y999" t="s">
        <v>74</v>
      </c>
      <c r="Z999" t="s">
        <v>74</v>
      </c>
      <c r="AA999" t="s">
        <v>74</v>
      </c>
      <c r="AB999" t="s">
        <v>1774</v>
      </c>
      <c r="AC999" t="s">
        <v>74</v>
      </c>
      <c r="AD999" t="s">
        <v>74</v>
      </c>
      <c r="AE999" t="s">
        <v>74</v>
      </c>
      <c r="AF999" t="s">
        <v>74</v>
      </c>
      <c r="AG999" t="s">
        <v>74</v>
      </c>
      <c r="AH999" t="s">
        <v>74</v>
      </c>
      <c r="AI999" t="s">
        <v>74</v>
      </c>
      <c r="AJ999" t="s">
        <v>74</v>
      </c>
      <c r="AK999" t="s">
        <v>74</v>
      </c>
      <c r="AL999" t="s">
        <v>74</v>
      </c>
      <c r="AM999" t="s">
        <v>74</v>
      </c>
      <c r="AN999" t="s">
        <v>74</v>
      </c>
      <c r="AO999" t="s">
        <v>511</v>
      </c>
      <c r="AP999" t="s">
        <v>74</v>
      </c>
      <c r="AQ999" t="s">
        <v>74</v>
      </c>
      <c r="AR999" t="s">
        <v>74</v>
      </c>
      <c r="AS999" t="s">
        <v>74</v>
      </c>
      <c r="AT999" t="s">
        <v>123</v>
      </c>
      <c r="AU999">
        <v>1994</v>
      </c>
      <c r="AV999">
        <v>28</v>
      </c>
      <c r="AW999">
        <v>1</v>
      </c>
      <c r="AX999" t="s">
        <v>74</v>
      </c>
      <c r="AY999" t="s">
        <v>74</v>
      </c>
      <c r="AZ999" t="s">
        <v>74</v>
      </c>
      <c r="BA999" t="s">
        <v>74</v>
      </c>
      <c r="BB999">
        <v>29</v>
      </c>
      <c r="BC999">
        <v>40</v>
      </c>
      <c r="BD999" t="s">
        <v>74</v>
      </c>
      <c r="BE999" t="s">
        <v>1775</v>
      </c>
      <c r="BF999" t="str">
        <f>HYPERLINK("http://dx.doi.org/10.1006/hbeh.1994.1003","http://dx.doi.org/10.1006/hbeh.1994.1003")</f>
        <v>http://dx.doi.org/10.1006/hbeh.1994.1003</v>
      </c>
      <c r="BG999" t="s">
        <v>74</v>
      </c>
      <c r="BH999" t="s">
        <v>74</v>
      </c>
      <c r="BI999" t="s">
        <v>74</v>
      </c>
      <c r="BJ999" t="s">
        <v>74</v>
      </c>
      <c r="BK999" t="s">
        <v>74</v>
      </c>
      <c r="BL999" t="s">
        <v>74</v>
      </c>
      <c r="BM999" t="s">
        <v>74</v>
      </c>
      <c r="BN999">
        <v>8034280</v>
      </c>
      <c r="BO999" t="s">
        <v>74</v>
      </c>
      <c r="BP999" t="s">
        <v>74</v>
      </c>
      <c r="BQ999" t="s">
        <v>74</v>
      </c>
      <c r="BR999" t="s">
        <v>74</v>
      </c>
      <c r="BS999" t="s">
        <v>1776</v>
      </c>
      <c r="BT999" t="str">
        <f>HYPERLINK("https%3A%2F%2Fwww.webofscience.com%2Fwos%2Fwoscc%2Ffull-record%2FWOS:A1994NG07100003","View Full Record in Web of Science")</f>
        <v>View Full Record in Web of Science</v>
      </c>
    </row>
    <row r="1000" spans="1:72" x14ac:dyDescent="0.4">
      <c r="A1000" t="s">
        <v>72</v>
      </c>
      <c r="B1000" t="s">
        <v>1771</v>
      </c>
      <c r="C1000" t="s">
        <v>74</v>
      </c>
      <c r="D1000" t="s">
        <v>74</v>
      </c>
      <c r="E1000" t="s">
        <v>74</v>
      </c>
      <c r="F1000" t="s">
        <v>1771</v>
      </c>
      <c r="G1000" t="s">
        <v>74</v>
      </c>
      <c r="H1000" t="s">
        <v>74</v>
      </c>
      <c r="I1000" t="s">
        <v>6183</v>
      </c>
      <c r="J1000" t="s">
        <v>1574</v>
      </c>
      <c r="K1000" t="s">
        <v>74</v>
      </c>
      <c r="L1000" t="s">
        <v>74</v>
      </c>
      <c r="M1000" t="s">
        <v>74</v>
      </c>
      <c r="N1000" t="s">
        <v>74</v>
      </c>
      <c r="O1000" t="s">
        <v>74</v>
      </c>
      <c r="P1000" t="s">
        <v>74</v>
      </c>
      <c r="Q1000" t="s">
        <v>74</v>
      </c>
      <c r="R1000" t="s">
        <v>74</v>
      </c>
      <c r="S1000" t="s">
        <v>74</v>
      </c>
      <c r="T1000" t="s">
        <v>74</v>
      </c>
      <c r="U1000" t="s">
        <v>74</v>
      </c>
      <c r="V1000" s="3" t="s">
        <v>6184</v>
      </c>
      <c r="W1000" t="s">
        <v>74</v>
      </c>
      <c r="X1000" t="s">
        <v>74</v>
      </c>
      <c r="Y1000" t="s">
        <v>74</v>
      </c>
      <c r="Z1000" t="s">
        <v>74</v>
      </c>
      <c r="AA1000" t="s">
        <v>74</v>
      </c>
      <c r="AB1000" t="s">
        <v>1774</v>
      </c>
      <c r="AC1000" t="s">
        <v>74</v>
      </c>
      <c r="AD1000" t="s">
        <v>74</v>
      </c>
      <c r="AE1000" t="s">
        <v>74</v>
      </c>
      <c r="AF1000" t="s">
        <v>74</v>
      </c>
      <c r="AG1000" t="s">
        <v>74</v>
      </c>
      <c r="AH1000" t="s">
        <v>74</v>
      </c>
      <c r="AI1000" t="s">
        <v>74</v>
      </c>
      <c r="AJ1000" t="s">
        <v>74</v>
      </c>
      <c r="AK1000" t="s">
        <v>74</v>
      </c>
      <c r="AL1000" t="s">
        <v>74</v>
      </c>
      <c r="AM1000" t="s">
        <v>74</v>
      </c>
      <c r="AN1000" t="s">
        <v>74</v>
      </c>
      <c r="AO1000" t="s">
        <v>1576</v>
      </c>
      <c r="AP1000" t="s">
        <v>74</v>
      </c>
      <c r="AQ1000" t="s">
        <v>74</v>
      </c>
      <c r="AR1000" t="s">
        <v>74</v>
      </c>
      <c r="AS1000" t="s">
        <v>74</v>
      </c>
      <c r="AT1000" t="s">
        <v>102</v>
      </c>
      <c r="AU1000">
        <v>1995</v>
      </c>
      <c r="AV1000">
        <v>45</v>
      </c>
      <c r="AW1000">
        <v>6</v>
      </c>
      <c r="AX1000" t="s">
        <v>74</v>
      </c>
      <c r="AY1000" t="s">
        <v>74</v>
      </c>
      <c r="AZ1000" t="s">
        <v>74</v>
      </c>
      <c r="BA1000" t="s">
        <v>74</v>
      </c>
      <c r="BB1000">
        <v>339</v>
      </c>
      <c r="BC1000">
        <v>349</v>
      </c>
      <c r="BD1000" t="s">
        <v>74</v>
      </c>
      <c r="BE1000" t="s">
        <v>6185</v>
      </c>
      <c r="BF1000" t="str">
        <f>HYPERLINK("http://dx.doi.org/10.1159/000113561","http://dx.doi.org/10.1159/000113561")</f>
        <v>http://dx.doi.org/10.1159/000113561</v>
      </c>
      <c r="BG1000" t="s">
        <v>74</v>
      </c>
      <c r="BH1000" t="s">
        <v>74</v>
      </c>
      <c r="BI1000" t="s">
        <v>74</v>
      </c>
      <c r="BJ1000" t="s">
        <v>74</v>
      </c>
      <c r="BK1000" t="s">
        <v>74</v>
      </c>
      <c r="BL1000" t="s">
        <v>74</v>
      </c>
      <c r="BM1000" t="s">
        <v>74</v>
      </c>
      <c r="BN1000">
        <v>7663963</v>
      </c>
      <c r="BO1000" t="s">
        <v>74</v>
      </c>
      <c r="BP1000" t="s">
        <v>74</v>
      </c>
      <c r="BQ1000" t="s">
        <v>74</v>
      </c>
      <c r="BR1000" t="s">
        <v>74</v>
      </c>
      <c r="BS1000" t="s">
        <v>6186</v>
      </c>
      <c r="BT1000" t="str">
        <f>HYPERLINK("https%3A%2F%2Fwww.webofscience.com%2Fwos%2Fwoscc%2Ffull-record%2FWOS:A1995RE13000004","View Full Record in Web of Science")</f>
        <v>View Full Record in Web of Science</v>
      </c>
    </row>
    <row r="1001" spans="1:72" x14ac:dyDescent="0.4">
      <c r="A1001" t="s">
        <v>72</v>
      </c>
      <c r="B1001" t="s">
        <v>5303</v>
      </c>
      <c r="C1001" t="s">
        <v>74</v>
      </c>
      <c r="D1001" t="s">
        <v>74</v>
      </c>
      <c r="E1001" t="s">
        <v>74</v>
      </c>
      <c r="F1001" t="s">
        <v>5303</v>
      </c>
      <c r="G1001" t="s">
        <v>74</v>
      </c>
      <c r="H1001" t="s">
        <v>74</v>
      </c>
      <c r="I1001" t="s">
        <v>5304</v>
      </c>
      <c r="J1001" t="s">
        <v>129</v>
      </c>
      <c r="K1001" t="s">
        <v>74</v>
      </c>
      <c r="L1001" t="s">
        <v>74</v>
      </c>
      <c r="M1001" t="s">
        <v>74</v>
      </c>
      <c r="N1001" t="s">
        <v>74</v>
      </c>
      <c r="O1001" t="s">
        <v>74</v>
      </c>
      <c r="P1001" t="s">
        <v>74</v>
      </c>
      <c r="Q1001" t="s">
        <v>74</v>
      </c>
      <c r="R1001" t="s">
        <v>74</v>
      </c>
      <c r="S1001" t="s">
        <v>74</v>
      </c>
      <c r="T1001" t="s">
        <v>74</v>
      </c>
      <c r="U1001" t="s">
        <v>74</v>
      </c>
      <c r="V1001" s="3" t="s">
        <v>5305</v>
      </c>
      <c r="W1001" t="s">
        <v>74</v>
      </c>
      <c r="X1001" t="s">
        <v>74</v>
      </c>
      <c r="Y1001" t="s">
        <v>74</v>
      </c>
      <c r="Z1001" t="s">
        <v>74</v>
      </c>
      <c r="AA1001" t="s">
        <v>74</v>
      </c>
      <c r="AB1001" t="s">
        <v>74</v>
      </c>
      <c r="AC1001" t="s">
        <v>74</v>
      </c>
      <c r="AD1001" t="s">
        <v>74</v>
      </c>
      <c r="AE1001" t="s">
        <v>74</v>
      </c>
      <c r="AF1001" t="s">
        <v>74</v>
      </c>
      <c r="AG1001" t="s">
        <v>74</v>
      </c>
      <c r="AH1001" t="s">
        <v>74</v>
      </c>
      <c r="AI1001" t="s">
        <v>74</v>
      </c>
      <c r="AJ1001" t="s">
        <v>74</v>
      </c>
      <c r="AK1001" t="s">
        <v>74</v>
      </c>
      <c r="AL1001" t="s">
        <v>74</v>
      </c>
      <c r="AM1001" t="s">
        <v>74</v>
      </c>
      <c r="AN1001" t="s">
        <v>74</v>
      </c>
      <c r="AO1001" t="s">
        <v>132</v>
      </c>
      <c r="AP1001" t="s">
        <v>133</v>
      </c>
      <c r="AQ1001" t="s">
        <v>74</v>
      </c>
      <c r="AR1001" t="s">
        <v>74</v>
      </c>
      <c r="AS1001" t="s">
        <v>74</v>
      </c>
      <c r="AT1001" t="s">
        <v>175</v>
      </c>
      <c r="AU1001">
        <v>1995</v>
      </c>
      <c r="AV1001">
        <v>37</v>
      </c>
      <c r="AW1001">
        <v>4</v>
      </c>
      <c r="AX1001" t="s">
        <v>74</v>
      </c>
      <c r="AY1001" t="s">
        <v>74</v>
      </c>
      <c r="AZ1001" t="s">
        <v>74</v>
      </c>
      <c r="BA1001" t="s">
        <v>74</v>
      </c>
      <c r="BB1001">
        <v>275</v>
      </c>
      <c r="BC1001">
        <v>282</v>
      </c>
      <c r="BD1001" t="s">
        <v>74</v>
      </c>
      <c r="BE1001" t="s">
        <v>5306</v>
      </c>
      <c r="BF1001" t="str">
        <f>HYPERLINK("http://dx.doi.org/10.1007/BF00177407","http://dx.doi.org/10.1007/BF00177407")</f>
        <v>http://dx.doi.org/10.1007/BF00177407</v>
      </c>
      <c r="BG1001" t="s">
        <v>74</v>
      </c>
      <c r="BH1001" t="s">
        <v>74</v>
      </c>
      <c r="BI1001" t="s">
        <v>74</v>
      </c>
      <c r="BJ1001" t="s">
        <v>74</v>
      </c>
      <c r="BK1001" t="s">
        <v>74</v>
      </c>
      <c r="BL1001" t="s">
        <v>74</v>
      </c>
      <c r="BM1001" t="s">
        <v>74</v>
      </c>
      <c r="BN1001" t="s">
        <v>74</v>
      </c>
      <c r="BO1001" t="s">
        <v>74</v>
      </c>
      <c r="BP1001" t="s">
        <v>74</v>
      </c>
      <c r="BQ1001" t="s">
        <v>74</v>
      </c>
      <c r="BR1001" t="s">
        <v>74</v>
      </c>
      <c r="BS1001" t="s">
        <v>5307</v>
      </c>
      <c r="BT1001" t="str">
        <f>HYPERLINK("https%3A%2F%2Fwww.webofscience.com%2Fwos%2Fwoscc%2Ffull-record%2FWOS:A1995TC81600008","View Full Record in Web of Science")</f>
        <v>View Full Record in Web of Science</v>
      </c>
    </row>
    <row r="1002" spans="1:72" x14ac:dyDescent="0.4">
      <c r="A1002" t="s">
        <v>72</v>
      </c>
      <c r="B1002" t="s">
        <v>349</v>
      </c>
      <c r="C1002" t="s">
        <v>74</v>
      </c>
      <c r="D1002" t="s">
        <v>74</v>
      </c>
      <c r="E1002" t="s">
        <v>74</v>
      </c>
      <c r="F1002" t="s">
        <v>349</v>
      </c>
      <c r="G1002" t="s">
        <v>74</v>
      </c>
      <c r="H1002" t="s">
        <v>74</v>
      </c>
      <c r="I1002" t="s">
        <v>350</v>
      </c>
      <c r="J1002" t="s">
        <v>201</v>
      </c>
      <c r="K1002" t="s">
        <v>74</v>
      </c>
      <c r="L1002" t="s">
        <v>74</v>
      </c>
      <c r="M1002" t="s">
        <v>74</v>
      </c>
      <c r="N1002" t="s">
        <v>74</v>
      </c>
      <c r="O1002" t="s">
        <v>74</v>
      </c>
      <c r="P1002" t="s">
        <v>74</v>
      </c>
      <c r="Q1002" t="s">
        <v>74</v>
      </c>
      <c r="R1002" t="s">
        <v>74</v>
      </c>
      <c r="S1002" t="s">
        <v>74</v>
      </c>
      <c r="T1002" t="s">
        <v>74</v>
      </c>
      <c r="U1002" t="s">
        <v>74</v>
      </c>
      <c r="V1002" s="3" t="s">
        <v>351</v>
      </c>
      <c r="W1002" t="s">
        <v>74</v>
      </c>
      <c r="X1002" t="s">
        <v>74</v>
      </c>
      <c r="Y1002" t="s">
        <v>74</v>
      </c>
      <c r="Z1002" t="s">
        <v>74</v>
      </c>
      <c r="AA1002" t="s">
        <v>74</v>
      </c>
      <c r="AB1002" t="s">
        <v>74</v>
      </c>
      <c r="AC1002" t="s">
        <v>74</v>
      </c>
      <c r="AD1002" t="s">
        <v>74</v>
      </c>
      <c r="AE1002" t="s">
        <v>74</v>
      </c>
      <c r="AF1002" t="s">
        <v>74</v>
      </c>
      <c r="AG1002" t="s">
        <v>74</v>
      </c>
      <c r="AH1002" t="s">
        <v>74</v>
      </c>
      <c r="AI1002" t="s">
        <v>74</v>
      </c>
      <c r="AJ1002" t="s">
        <v>74</v>
      </c>
      <c r="AK1002" t="s">
        <v>74</v>
      </c>
      <c r="AL1002" t="s">
        <v>74</v>
      </c>
      <c r="AM1002" t="s">
        <v>74</v>
      </c>
      <c r="AN1002" t="s">
        <v>74</v>
      </c>
      <c r="AO1002" t="s">
        <v>203</v>
      </c>
      <c r="AP1002" t="s">
        <v>74</v>
      </c>
      <c r="AQ1002" t="s">
        <v>74</v>
      </c>
      <c r="AR1002" t="s">
        <v>74</v>
      </c>
      <c r="AS1002" t="s">
        <v>74</v>
      </c>
      <c r="AT1002" t="s">
        <v>352</v>
      </c>
      <c r="AU1002">
        <v>2002</v>
      </c>
      <c r="AV1002">
        <v>61</v>
      </c>
      <c r="AW1002">
        <v>3</v>
      </c>
      <c r="AX1002" t="s">
        <v>74</v>
      </c>
      <c r="AY1002" t="s">
        <v>74</v>
      </c>
      <c r="AZ1002" t="s">
        <v>74</v>
      </c>
      <c r="BA1002" t="s">
        <v>74</v>
      </c>
      <c r="BB1002">
        <v>606</v>
      </c>
      <c r="BC1002">
        <v>614</v>
      </c>
      <c r="BD1002" t="s">
        <v>74</v>
      </c>
      <c r="BE1002" t="s">
        <v>353</v>
      </c>
      <c r="BF1002" t="str">
        <f>HYPERLINK("http://dx.doi.org/10.1006/jfbi.2002.2084","http://dx.doi.org/10.1006/jfbi.2002.2084")</f>
        <v>http://dx.doi.org/10.1006/jfbi.2002.2084</v>
      </c>
      <c r="BG1002" t="s">
        <v>74</v>
      </c>
      <c r="BH1002" t="s">
        <v>74</v>
      </c>
      <c r="BI1002" t="s">
        <v>74</v>
      </c>
      <c r="BJ1002" t="s">
        <v>74</v>
      </c>
      <c r="BK1002" t="s">
        <v>74</v>
      </c>
      <c r="BL1002" t="s">
        <v>74</v>
      </c>
      <c r="BM1002" t="s">
        <v>74</v>
      </c>
      <c r="BN1002" t="s">
        <v>74</v>
      </c>
      <c r="BO1002" t="s">
        <v>74</v>
      </c>
      <c r="BP1002" t="s">
        <v>74</v>
      </c>
      <c r="BQ1002" t="s">
        <v>74</v>
      </c>
      <c r="BR1002" t="s">
        <v>74</v>
      </c>
      <c r="BS1002" t="s">
        <v>354</v>
      </c>
      <c r="BT1002" t="str">
        <f>HYPERLINK("https%3A%2F%2Fwww.webofscience.com%2Fwos%2Fwoscc%2Ffull-record%2FWOS:000179168400007","View Full Record in Web of Science")</f>
        <v>View Full Record in Web of Science</v>
      </c>
    </row>
    <row r="1003" spans="1:72" x14ac:dyDescent="0.4">
      <c r="A1003" t="s">
        <v>72</v>
      </c>
      <c r="B1003" t="s">
        <v>4061</v>
      </c>
      <c r="C1003" t="s">
        <v>74</v>
      </c>
      <c r="D1003" t="s">
        <v>74</v>
      </c>
      <c r="E1003" t="s">
        <v>74</v>
      </c>
      <c r="F1003" t="s">
        <v>4062</v>
      </c>
      <c r="G1003" t="s">
        <v>74</v>
      </c>
      <c r="H1003" t="s">
        <v>74</v>
      </c>
      <c r="I1003" t="s">
        <v>4063</v>
      </c>
      <c r="J1003" t="s">
        <v>4064</v>
      </c>
      <c r="K1003" t="s">
        <v>74</v>
      </c>
      <c r="L1003" t="s">
        <v>74</v>
      </c>
      <c r="M1003" t="s">
        <v>74</v>
      </c>
      <c r="N1003" t="s">
        <v>74</v>
      </c>
      <c r="O1003" t="s">
        <v>74</v>
      </c>
      <c r="P1003" t="s">
        <v>74</v>
      </c>
      <c r="Q1003" t="s">
        <v>74</v>
      </c>
      <c r="R1003" t="s">
        <v>74</v>
      </c>
      <c r="S1003" t="s">
        <v>74</v>
      </c>
      <c r="T1003" t="s">
        <v>74</v>
      </c>
      <c r="U1003" t="s">
        <v>74</v>
      </c>
      <c r="V1003" s="3" t="s">
        <v>4065</v>
      </c>
      <c r="W1003" t="s">
        <v>74</v>
      </c>
      <c r="X1003" t="s">
        <v>74</v>
      </c>
      <c r="Y1003" t="s">
        <v>74</v>
      </c>
      <c r="Z1003" t="s">
        <v>74</v>
      </c>
      <c r="AA1003" t="s">
        <v>4066</v>
      </c>
      <c r="AB1003" t="s">
        <v>4067</v>
      </c>
      <c r="AC1003" t="s">
        <v>74</v>
      </c>
      <c r="AD1003" t="s">
        <v>74</v>
      </c>
      <c r="AE1003" t="s">
        <v>74</v>
      </c>
      <c r="AF1003" t="s">
        <v>74</v>
      </c>
      <c r="AG1003" t="s">
        <v>74</v>
      </c>
      <c r="AH1003" t="s">
        <v>74</v>
      </c>
      <c r="AI1003" t="s">
        <v>74</v>
      </c>
      <c r="AJ1003" t="s">
        <v>74</v>
      </c>
      <c r="AK1003" t="s">
        <v>74</v>
      </c>
      <c r="AL1003" t="s">
        <v>74</v>
      </c>
      <c r="AM1003" t="s">
        <v>74</v>
      </c>
      <c r="AN1003" t="s">
        <v>74</v>
      </c>
      <c r="AO1003" t="s">
        <v>4068</v>
      </c>
      <c r="AP1003" t="s">
        <v>4069</v>
      </c>
      <c r="AQ1003" t="s">
        <v>74</v>
      </c>
      <c r="AR1003" t="s">
        <v>74</v>
      </c>
      <c r="AS1003" t="s">
        <v>74</v>
      </c>
      <c r="AT1003" t="s">
        <v>4070</v>
      </c>
      <c r="AU1003">
        <v>2007</v>
      </c>
      <c r="AV1003">
        <v>17</v>
      </c>
      <c r="AW1003">
        <v>22</v>
      </c>
      <c r="AX1003" t="s">
        <v>74</v>
      </c>
      <c r="AY1003" t="s">
        <v>74</v>
      </c>
      <c r="AZ1003" t="s">
        <v>74</v>
      </c>
      <c r="BA1003" t="s">
        <v>74</v>
      </c>
      <c r="BB1003">
        <v>1943</v>
      </c>
      <c r="BC1003">
        <v>1947</v>
      </c>
      <c r="BD1003" t="s">
        <v>74</v>
      </c>
      <c r="BE1003" t="s">
        <v>4071</v>
      </c>
      <c r="BF1003" t="str">
        <f>HYPERLINK("http://dx.doi.org/10.1016/j.cub.2007.09.038","http://dx.doi.org/10.1016/j.cub.2007.09.038")</f>
        <v>http://dx.doi.org/10.1016/j.cub.2007.09.038</v>
      </c>
      <c r="BG1003" t="s">
        <v>74</v>
      </c>
      <c r="BH1003" t="s">
        <v>74</v>
      </c>
      <c r="BI1003" t="s">
        <v>74</v>
      </c>
      <c r="BJ1003" t="s">
        <v>74</v>
      </c>
      <c r="BK1003" t="s">
        <v>74</v>
      </c>
      <c r="BL1003" t="s">
        <v>74</v>
      </c>
      <c r="BM1003" t="s">
        <v>74</v>
      </c>
      <c r="BN1003">
        <v>17935996</v>
      </c>
      <c r="BO1003" t="s">
        <v>74</v>
      </c>
      <c r="BP1003" t="s">
        <v>74</v>
      </c>
      <c r="BQ1003" t="s">
        <v>74</v>
      </c>
      <c r="BR1003" t="s">
        <v>74</v>
      </c>
      <c r="BS1003" t="s">
        <v>4072</v>
      </c>
      <c r="BT1003" t="str">
        <f>HYPERLINK("https%3A%2F%2Fwww.webofscience.com%2Fwos%2Fwoscc%2Ffull-record%2FWOS:000251274300027","View Full Record in Web of Science")</f>
        <v>View Full Record in Web of Science</v>
      </c>
    </row>
    <row r="1004" spans="1:72" x14ac:dyDescent="0.4">
      <c r="A1004" t="s">
        <v>72</v>
      </c>
      <c r="B1004" t="s">
        <v>3997</v>
      </c>
      <c r="C1004" t="s">
        <v>74</v>
      </c>
      <c r="D1004" t="s">
        <v>74</v>
      </c>
      <c r="E1004" t="s">
        <v>74</v>
      </c>
      <c r="F1004" t="s">
        <v>3998</v>
      </c>
      <c r="G1004" t="s">
        <v>74</v>
      </c>
      <c r="H1004" t="s">
        <v>74</v>
      </c>
      <c r="I1004" t="s">
        <v>3999</v>
      </c>
      <c r="J1004" t="s">
        <v>1112</v>
      </c>
      <c r="K1004" t="s">
        <v>74</v>
      </c>
      <c r="L1004" t="s">
        <v>74</v>
      </c>
      <c r="M1004" t="s">
        <v>74</v>
      </c>
      <c r="N1004" t="s">
        <v>74</v>
      </c>
      <c r="O1004" t="s">
        <v>74</v>
      </c>
      <c r="P1004" t="s">
        <v>74</v>
      </c>
      <c r="Q1004" t="s">
        <v>74</v>
      </c>
      <c r="R1004" t="s">
        <v>74</v>
      </c>
      <c r="S1004" t="s">
        <v>74</v>
      </c>
      <c r="T1004" t="s">
        <v>74</v>
      </c>
      <c r="U1004" t="s">
        <v>74</v>
      </c>
      <c r="V1004" s="3" t="s">
        <v>4000</v>
      </c>
      <c r="W1004" t="s">
        <v>74</v>
      </c>
      <c r="X1004" t="s">
        <v>74</v>
      </c>
      <c r="Y1004" t="s">
        <v>74</v>
      </c>
      <c r="Z1004" t="s">
        <v>74</v>
      </c>
      <c r="AA1004" t="s">
        <v>4001</v>
      </c>
      <c r="AB1004" t="s">
        <v>4002</v>
      </c>
      <c r="AC1004" t="s">
        <v>74</v>
      </c>
      <c r="AD1004" t="s">
        <v>74</v>
      </c>
      <c r="AE1004" t="s">
        <v>74</v>
      </c>
      <c r="AF1004" t="s">
        <v>74</v>
      </c>
      <c r="AG1004" t="s">
        <v>74</v>
      </c>
      <c r="AH1004" t="s">
        <v>74</v>
      </c>
      <c r="AI1004" t="s">
        <v>74</v>
      </c>
      <c r="AJ1004" t="s">
        <v>74</v>
      </c>
      <c r="AK1004" t="s">
        <v>74</v>
      </c>
      <c r="AL1004" t="s">
        <v>74</v>
      </c>
      <c r="AM1004" t="s">
        <v>74</v>
      </c>
      <c r="AN1004" t="s">
        <v>74</v>
      </c>
      <c r="AO1004" t="s">
        <v>1114</v>
      </c>
      <c r="AP1004" t="s">
        <v>1115</v>
      </c>
      <c r="AQ1004" t="s">
        <v>74</v>
      </c>
      <c r="AR1004" t="s">
        <v>74</v>
      </c>
      <c r="AS1004" t="s">
        <v>74</v>
      </c>
      <c r="AT1004" t="s">
        <v>134</v>
      </c>
      <c r="AU1004">
        <v>2023</v>
      </c>
      <c r="AV1004">
        <v>262</v>
      </c>
      <c r="AW1004" t="s">
        <v>74</v>
      </c>
      <c r="AX1004" t="s">
        <v>74</v>
      </c>
      <c r="AY1004" t="s">
        <v>74</v>
      </c>
      <c r="AZ1004" t="s">
        <v>74</v>
      </c>
      <c r="BA1004" t="s">
        <v>74</v>
      </c>
      <c r="BB1004" t="s">
        <v>74</v>
      </c>
      <c r="BC1004" t="s">
        <v>74</v>
      </c>
      <c r="BD1004">
        <v>105903</v>
      </c>
      <c r="BE1004" t="s">
        <v>4003</v>
      </c>
      <c r="BF1004" t="str">
        <f>HYPERLINK("http://dx.doi.org/10.1016/j.applanim.2023.105903","http://dx.doi.org/10.1016/j.applanim.2023.105903")</f>
        <v>http://dx.doi.org/10.1016/j.applanim.2023.105903</v>
      </c>
      <c r="BG1004" t="s">
        <v>74</v>
      </c>
      <c r="BH1004" t="s">
        <v>4004</v>
      </c>
      <c r="BI1004" t="s">
        <v>74</v>
      </c>
      <c r="BJ1004" t="s">
        <v>74</v>
      </c>
      <c r="BK1004" t="s">
        <v>74</v>
      </c>
      <c r="BL1004" t="s">
        <v>74</v>
      </c>
      <c r="BM1004" t="s">
        <v>74</v>
      </c>
      <c r="BN1004" t="s">
        <v>74</v>
      </c>
      <c r="BO1004" t="s">
        <v>74</v>
      </c>
      <c r="BP1004" t="s">
        <v>74</v>
      </c>
      <c r="BQ1004" t="s">
        <v>74</v>
      </c>
      <c r="BR1004" t="s">
        <v>74</v>
      </c>
      <c r="BS1004" t="s">
        <v>4005</v>
      </c>
      <c r="BT1004" t="str">
        <f>HYPERLINK("https%3A%2F%2Fwww.webofscience.com%2Fwos%2Fwoscc%2Ffull-record%2FWOS:000964957600001","View Full Record in Web of Science")</f>
        <v>View Full Record in Web of Science</v>
      </c>
    </row>
    <row r="1005" spans="1:72" x14ac:dyDescent="0.4">
      <c r="A1005" t="s">
        <v>72</v>
      </c>
      <c r="B1005" t="s">
        <v>6276</v>
      </c>
      <c r="C1005" t="s">
        <v>74</v>
      </c>
      <c r="D1005" t="s">
        <v>74</v>
      </c>
      <c r="E1005" t="s">
        <v>74</v>
      </c>
      <c r="F1005" t="s">
        <v>6276</v>
      </c>
      <c r="G1005" t="s">
        <v>74</v>
      </c>
      <c r="H1005" t="s">
        <v>74</v>
      </c>
      <c r="I1005" t="s">
        <v>6277</v>
      </c>
      <c r="J1005" t="s">
        <v>6278</v>
      </c>
      <c r="K1005" t="s">
        <v>74</v>
      </c>
      <c r="L1005" t="s">
        <v>74</v>
      </c>
      <c r="M1005" t="s">
        <v>74</v>
      </c>
      <c r="N1005" t="s">
        <v>74</v>
      </c>
      <c r="O1005" t="s">
        <v>74</v>
      </c>
      <c r="P1005" t="s">
        <v>74</v>
      </c>
      <c r="Q1005" t="s">
        <v>74</v>
      </c>
      <c r="R1005" t="s">
        <v>74</v>
      </c>
      <c r="S1005" t="s">
        <v>74</v>
      </c>
      <c r="T1005" t="s">
        <v>74</v>
      </c>
      <c r="U1005" t="s">
        <v>74</v>
      </c>
      <c r="V1005" s="3" t="s">
        <v>6279</v>
      </c>
      <c r="W1005" t="s">
        <v>74</v>
      </c>
      <c r="X1005" t="s">
        <v>74</v>
      </c>
      <c r="Y1005" t="s">
        <v>74</v>
      </c>
      <c r="Z1005" t="s">
        <v>74</v>
      </c>
      <c r="AA1005" t="s">
        <v>74</v>
      </c>
      <c r="AB1005" t="s">
        <v>74</v>
      </c>
      <c r="AC1005" t="s">
        <v>74</v>
      </c>
      <c r="AD1005" t="s">
        <v>74</v>
      </c>
      <c r="AE1005" t="s">
        <v>74</v>
      </c>
      <c r="AF1005" t="s">
        <v>74</v>
      </c>
      <c r="AG1005" t="s">
        <v>74</v>
      </c>
      <c r="AH1005" t="s">
        <v>74</v>
      </c>
      <c r="AI1005" t="s">
        <v>74</v>
      </c>
      <c r="AJ1005" t="s">
        <v>74</v>
      </c>
      <c r="AK1005" t="s">
        <v>74</v>
      </c>
      <c r="AL1005" t="s">
        <v>74</v>
      </c>
      <c r="AM1005" t="s">
        <v>74</v>
      </c>
      <c r="AN1005" t="s">
        <v>74</v>
      </c>
      <c r="AO1005" t="s">
        <v>6280</v>
      </c>
      <c r="AP1005" t="s">
        <v>6281</v>
      </c>
      <c r="AQ1005" t="s">
        <v>74</v>
      </c>
      <c r="AR1005" t="s">
        <v>74</v>
      </c>
      <c r="AS1005" t="s">
        <v>74</v>
      </c>
      <c r="AT1005" t="s">
        <v>145</v>
      </c>
      <c r="AU1005">
        <v>1989</v>
      </c>
      <c r="AV1005">
        <v>46</v>
      </c>
      <c r="AW1005">
        <v>8</v>
      </c>
      <c r="AX1005" t="s">
        <v>74</v>
      </c>
      <c r="AY1005" t="s">
        <v>74</v>
      </c>
      <c r="AZ1005" t="s">
        <v>74</v>
      </c>
      <c r="BA1005" t="s">
        <v>74</v>
      </c>
      <c r="BB1005">
        <v>1406</v>
      </c>
      <c r="BC1005">
        <v>1414</v>
      </c>
      <c r="BD1005" t="s">
        <v>74</v>
      </c>
      <c r="BE1005" t="s">
        <v>6282</v>
      </c>
      <c r="BF1005" t="str">
        <f>HYPERLINK("http://dx.doi.org/10.1139/f89-180","http://dx.doi.org/10.1139/f89-180")</f>
        <v>http://dx.doi.org/10.1139/f89-180</v>
      </c>
      <c r="BG1005" t="s">
        <v>74</v>
      </c>
      <c r="BH1005" t="s">
        <v>74</v>
      </c>
      <c r="BI1005" t="s">
        <v>74</v>
      </c>
      <c r="BJ1005" t="s">
        <v>74</v>
      </c>
      <c r="BK1005" t="s">
        <v>74</v>
      </c>
      <c r="BL1005" t="s">
        <v>74</v>
      </c>
      <c r="BM1005" t="s">
        <v>74</v>
      </c>
      <c r="BN1005" t="s">
        <v>74</v>
      </c>
      <c r="BO1005" t="s">
        <v>74</v>
      </c>
      <c r="BP1005" t="s">
        <v>74</v>
      </c>
      <c r="BQ1005" t="s">
        <v>74</v>
      </c>
      <c r="BR1005" t="s">
        <v>74</v>
      </c>
      <c r="BS1005" t="s">
        <v>6283</v>
      </c>
      <c r="BT1005" t="str">
        <f>HYPERLINK("https%3A%2F%2Fwww.webofscience.com%2Fwos%2Fwoscc%2Ffull-record%2FWOS:A1989AJ57000018","View Full Record in Web of Science")</f>
        <v>View Full Record in Web of Science</v>
      </c>
    </row>
    <row r="1006" spans="1:72" x14ac:dyDescent="0.4">
      <c r="A1006" t="s">
        <v>72</v>
      </c>
      <c r="B1006" t="s">
        <v>8092</v>
      </c>
      <c r="C1006" t="s">
        <v>74</v>
      </c>
      <c r="D1006" t="s">
        <v>74</v>
      </c>
      <c r="E1006" t="s">
        <v>74</v>
      </c>
      <c r="F1006" t="s">
        <v>8093</v>
      </c>
      <c r="G1006" t="s">
        <v>74</v>
      </c>
      <c r="H1006" t="s">
        <v>74</v>
      </c>
      <c r="I1006" t="s">
        <v>8094</v>
      </c>
      <c r="J1006" t="s">
        <v>3353</v>
      </c>
      <c r="K1006" t="s">
        <v>74</v>
      </c>
      <c r="L1006" t="s">
        <v>74</v>
      </c>
      <c r="M1006" t="s">
        <v>74</v>
      </c>
      <c r="N1006" t="s">
        <v>74</v>
      </c>
      <c r="O1006" t="s">
        <v>74</v>
      </c>
      <c r="P1006" t="s">
        <v>74</v>
      </c>
      <c r="Q1006" t="s">
        <v>74</v>
      </c>
      <c r="R1006" t="s">
        <v>74</v>
      </c>
      <c r="S1006" t="s">
        <v>74</v>
      </c>
      <c r="T1006" t="s">
        <v>74</v>
      </c>
      <c r="U1006" t="s">
        <v>74</v>
      </c>
      <c r="V1006" s="3" t="s">
        <v>8095</v>
      </c>
      <c r="W1006" t="s">
        <v>74</v>
      </c>
      <c r="X1006" t="s">
        <v>74</v>
      </c>
      <c r="Y1006" t="s">
        <v>74</v>
      </c>
      <c r="Z1006" t="s">
        <v>74</v>
      </c>
      <c r="AA1006" t="s">
        <v>8096</v>
      </c>
      <c r="AB1006" t="s">
        <v>8097</v>
      </c>
      <c r="AC1006" t="s">
        <v>74</v>
      </c>
      <c r="AD1006" t="s">
        <v>74</v>
      </c>
      <c r="AE1006" t="s">
        <v>74</v>
      </c>
      <c r="AF1006" t="s">
        <v>74</v>
      </c>
      <c r="AG1006" t="s">
        <v>74</v>
      </c>
      <c r="AH1006" t="s">
        <v>74</v>
      </c>
      <c r="AI1006" t="s">
        <v>74</v>
      </c>
      <c r="AJ1006" t="s">
        <v>74</v>
      </c>
      <c r="AK1006" t="s">
        <v>74</v>
      </c>
      <c r="AL1006" t="s">
        <v>74</v>
      </c>
      <c r="AM1006" t="s">
        <v>74</v>
      </c>
      <c r="AN1006" t="s">
        <v>74</v>
      </c>
      <c r="AO1006" t="s">
        <v>3357</v>
      </c>
      <c r="AP1006" t="s">
        <v>3358</v>
      </c>
      <c r="AQ1006" t="s">
        <v>74</v>
      </c>
      <c r="AR1006" t="s">
        <v>74</v>
      </c>
      <c r="AS1006" t="s">
        <v>74</v>
      </c>
      <c r="AT1006" t="s">
        <v>134</v>
      </c>
      <c r="AU1006">
        <v>2024</v>
      </c>
      <c r="AV1006">
        <v>49</v>
      </c>
      <c r="AW1006">
        <v>5</v>
      </c>
      <c r="AX1006" t="s">
        <v>74</v>
      </c>
      <c r="AY1006" t="s">
        <v>74</v>
      </c>
      <c r="AZ1006" t="s">
        <v>74</v>
      </c>
      <c r="BA1006" t="s">
        <v>74</v>
      </c>
      <c r="BB1006" t="s">
        <v>74</v>
      </c>
      <c r="BC1006" t="s">
        <v>74</v>
      </c>
      <c r="BD1006" t="s">
        <v>8098</v>
      </c>
      <c r="BE1006" t="s">
        <v>8099</v>
      </c>
      <c r="BF1006" t="str">
        <f>HYPERLINK("http://dx.doi.org/10.1111/aec.13523","http://dx.doi.org/10.1111/aec.13523")</f>
        <v>http://dx.doi.org/10.1111/aec.13523</v>
      </c>
      <c r="BG1006" t="s">
        <v>74</v>
      </c>
      <c r="BH1006" t="s">
        <v>74</v>
      </c>
      <c r="BI1006" t="s">
        <v>74</v>
      </c>
      <c r="BJ1006" t="s">
        <v>74</v>
      </c>
      <c r="BK1006" t="s">
        <v>74</v>
      </c>
      <c r="BL1006" t="s">
        <v>74</v>
      </c>
      <c r="BM1006" t="s">
        <v>74</v>
      </c>
      <c r="BN1006" t="s">
        <v>74</v>
      </c>
      <c r="BO1006" t="s">
        <v>74</v>
      </c>
      <c r="BP1006" t="s">
        <v>74</v>
      </c>
      <c r="BQ1006" t="s">
        <v>74</v>
      </c>
      <c r="BR1006" t="s">
        <v>74</v>
      </c>
      <c r="BS1006" t="s">
        <v>8100</v>
      </c>
      <c r="BT1006" t="str">
        <f>HYPERLINK("https%3A%2F%2Fwww.webofscience.com%2Fwos%2Fwoscc%2Ffull-record%2FWOS:001223578900001","View Full Record in Web of Science")</f>
        <v>View Full Record in Web of Science</v>
      </c>
    </row>
    <row r="1007" spans="1:72" x14ac:dyDescent="0.4">
      <c r="A1007" t="s">
        <v>72</v>
      </c>
      <c r="B1007" t="s">
        <v>3341</v>
      </c>
      <c r="C1007" t="s">
        <v>74</v>
      </c>
      <c r="D1007" t="s">
        <v>74</v>
      </c>
      <c r="E1007" t="s">
        <v>74</v>
      </c>
      <c r="F1007" t="s">
        <v>3342</v>
      </c>
      <c r="G1007" t="s">
        <v>74</v>
      </c>
      <c r="H1007" t="s">
        <v>74</v>
      </c>
      <c r="I1007" t="s">
        <v>3343</v>
      </c>
      <c r="J1007" t="s">
        <v>1437</v>
      </c>
      <c r="K1007" t="s">
        <v>74</v>
      </c>
      <c r="L1007" t="s">
        <v>74</v>
      </c>
      <c r="M1007" t="s">
        <v>74</v>
      </c>
      <c r="N1007" t="s">
        <v>74</v>
      </c>
      <c r="O1007" t="s">
        <v>74</v>
      </c>
      <c r="P1007" t="s">
        <v>74</v>
      </c>
      <c r="Q1007" t="s">
        <v>74</v>
      </c>
      <c r="R1007" t="s">
        <v>74</v>
      </c>
      <c r="S1007" t="s">
        <v>74</v>
      </c>
      <c r="T1007" t="s">
        <v>74</v>
      </c>
      <c r="U1007" t="s">
        <v>74</v>
      </c>
      <c r="V1007" s="3" t="s">
        <v>3344</v>
      </c>
      <c r="W1007" t="s">
        <v>74</v>
      </c>
      <c r="X1007" t="s">
        <v>74</v>
      </c>
      <c r="Y1007" t="s">
        <v>74</v>
      </c>
      <c r="Z1007" t="s">
        <v>74</v>
      </c>
      <c r="AA1007" t="s">
        <v>3345</v>
      </c>
      <c r="AB1007" t="s">
        <v>3346</v>
      </c>
      <c r="AC1007" t="s">
        <v>74</v>
      </c>
      <c r="AD1007" t="s">
        <v>74</v>
      </c>
      <c r="AE1007" t="s">
        <v>74</v>
      </c>
      <c r="AF1007" t="s">
        <v>74</v>
      </c>
      <c r="AG1007" t="s">
        <v>74</v>
      </c>
      <c r="AH1007" t="s">
        <v>74</v>
      </c>
      <c r="AI1007" t="s">
        <v>74</v>
      </c>
      <c r="AJ1007" t="s">
        <v>74</v>
      </c>
      <c r="AK1007" t="s">
        <v>74</v>
      </c>
      <c r="AL1007" t="s">
        <v>74</v>
      </c>
      <c r="AM1007" t="s">
        <v>74</v>
      </c>
      <c r="AN1007" t="s">
        <v>74</v>
      </c>
      <c r="AO1007" t="s">
        <v>1440</v>
      </c>
      <c r="AP1007" t="s">
        <v>3347</v>
      </c>
      <c r="AQ1007" t="s">
        <v>74</v>
      </c>
      <c r="AR1007" t="s">
        <v>74</v>
      </c>
      <c r="AS1007" t="s">
        <v>74</v>
      </c>
      <c r="AT1007" t="s">
        <v>255</v>
      </c>
      <c r="AU1007">
        <v>2019</v>
      </c>
      <c r="AV1007">
        <v>122</v>
      </c>
      <c r="AW1007">
        <v>1</v>
      </c>
      <c r="AX1007" t="s">
        <v>74</v>
      </c>
      <c r="AY1007" t="s">
        <v>74</v>
      </c>
      <c r="AZ1007" t="s">
        <v>74</v>
      </c>
      <c r="BA1007" t="s">
        <v>74</v>
      </c>
      <c r="BB1007">
        <v>81</v>
      </c>
      <c r="BC1007">
        <v>92</v>
      </c>
      <c r="BD1007" t="s">
        <v>74</v>
      </c>
      <c r="BE1007" t="s">
        <v>3348</v>
      </c>
      <c r="BF1007" t="str">
        <f>HYPERLINK("http://dx.doi.org/10.1038/s41437-018-0076-z","http://dx.doi.org/10.1038/s41437-018-0076-z")</f>
        <v>http://dx.doi.org/10.1038/s41437-018-0076-z</v>
      </c>
      <c r="BG1007" t="s">
        <v>74</v>
      </c>
      <c r="BH1007" t="s">
        <v>74</v>
      </c>
      <c r="BI1007" t="s">
        <v>74</v>
      </c>
      <c r="BJ1007" t="s">
        <v>74</v>
      </c>
      <c r="BK1007" t="s">
        <v>74</v>
      </c>
      <c r="BL1007" t="s">
        <v>74</v>
      </c>
      <c r="BM1007" t="s">
        <v>74</v>
      </c>
      <c r="BN1007">
        <v>29713090</v>
      </c>
      <c r="BO1007" t="s">
        <v>74</v>
      </c>
      <c r="BP1007" t="s">
        <v>74</v>
      </c>
      <c r="BQ1007" t="s">
        <v>74</v>
      </c>
      <c r="BR1007" t="s">
        <v>74</v>
      </c>
      <c r="BS1007" t="s">
        <v>3349</v>
      </c>
      <c r="BT1007" t="str">
        <f>HYPERLINK("https%3A%2F%2Fwww.webofscience.com%2Fwos%2Fwoscc%2Ffull-record%2FWOS:000452620900007","View Full Record in Web of Science")</f>
        <v>View Full Record in Web of Science</v>
      </c>
    </row>
    <row r="1008" spans="1:72" x14ac:dyDescent="0.4">
      <c r="A1008" t="s">
        <v>72</v>
      </c>
      <c r="B1008" t="s">
        <v>3538</v>
      </c>
      <c r="C1008" t="s">
        <v>74</v>
      </c>
      <c r="D1008" t="s">
        <v>74</v>
      </c>
      <c r="E1008" t="s">
        <v>74</v>
      </c>
      <c r="F1008" t="s">
        <v>3539</v>
      </c>
      <c r="G1008" t="s">
        <v>74</v>
      </c>
      <c r="H1008" t="s">
        <v>74</v>
      </c>
      <c r="I1008" t="s">
        <v>3540</v>
      </c>
      <c r="J1008" t="s">
        <v>2042</v>
      </c>
      <c r="K1008" t="s">
        <v>74</v>
      </c>
      <c r="L1008" t="s">
        <v>74</v>
      </c>
      <c r="M1008" t="s">
        <v>74</v>
      </c>
      <c r="N1008" t="s">
        <v>74</v>
      </c>
      <c r="O1008" t="s">
        <v>74</v>
      </c>
      <c r="P1008" t="s">
        <v>74</v>
      </c>
      <c r="Q1008" t="s">
        <v>74</v>
      </c>
      <c r="R1008" t="s">
        <v>74</v>
      </c>
      <c r="S1008" t="s">
        <v>74</v>
      </c>
      <c r="T1008" t="s">
        <v>74</v>
      </c>
      <c r="U1008" t="s">
        <v>74</v>
      </c>
      <c r="V1008" s="3" t="s">
        <v>3541</v>
      </c>
      <c r="W1008" t="s">
        <v>74</v>
      </c>
      <c r="X1008" t="s">
        <v>74</v>
      </c>
      <c r="Y1008" t="s">
        <v>74</v>
      </c>
      <c r="Z1008" t="s">
        <v>74</v>
      </c>
      <c r="AA1008" t="s">
        <v>74</v>
      </c>
      <c r="AB1008" t="s">
        <v>74</v>
      </c>
      <c r="AC1008" t="s">
        <v>74</v>
      </c>
      <c r="AD1008" t="s">
        <v>74</v>
      </c>
      <c r="AE1008" t="s">
        <v>74</v>
      </c>
      <c r="AF1008" t="s">
        <v>74</v>
      </c>
      <c r="AG1008" t="s">
        <v>74</v>
      </c>
      <c r="AH1008" t="s">
        <v>74</v>
      </c>
      <c r="AI1008" t="s">
        <v>74</v>
      </c>
      <c r="AJ1008" t="s">
        <v>74</v>
      </c>
      <c r="AK1008" t="s">
        <v>74</v>
      </c>
      <c r="AL1008" t="s">
        <v>74</v>
      </c>
      <c r="AM1008" t="s">
        <v>74</v>
      </c>
      <c r="AN1008" t="s">
        <v>74</v>
      </c>
      <c r="AO1008" t="s">
        <v>2045</v>
      </c>
      <c r="AP1008" t="s">
        <v>2046</v>
      </c>
      <c r="AQ1008" t="s">
        <v>74</v>
      </c>
      <c r="AR1008" t="s">
        <v>74</v>
      </c>
      <c r="AS1008" t="s">
        <v>74</v>
      </c>
      <c r="AT1008" t="s">
        <v>964</v>
      </c>
      <c r="AU1008">
        <v>2007</v>
      </c>
      <c r="AV1008">
        <v>54</v>
      </c>
      <c r="AW1008">
        <v>1</v>
      </c>
      <c r="AX1008" t="s">
        <v>74</v>
      </c>
      <c r="AY1008" t="s">
        <v>74</v>
      </c>
      <c r="AZ1008" t="s">
        <v>74</v>
      </c>
      <c r="BA1008" t="s">
        <v>74</v>
      </c>
      <c r="BB1008">
        <v>55</v>
      </c>
      <c r="BC1008">
        <v>60</v>
      </c>
      <c r="BD1008" t="s">
        <v>74</v>
      </c>
      <c r="BE1008" t="s">
        <v>3542</v>
      </c>
      <c r="BF1008" t="str">
        <f>HYPERLINK("http://dx.doi.org/10.1007/s10228-006-0374-y","http://dx.doi.org/10.1007/s10228-006-0374-y")</f>
        <v>http://dx.doi.org/10.1007/s10228-006-0374-y</v>
      </c>
      <c r="BG1008" t="s">
        <v>74</v>
      </c>
      <c r="BH1008" t="s">
        <v>74</v>
      </c>
      <c r="BI1008" t="s">
        <v>74</v>
      </c>
      <c r="BJ1008" t="s">
        <v>74</v>
      </c>
      <c r="BK1008" t="s">
        <v>74</v>
      </c>
      <c r="BL1008" t="s">
        <v>74</v>
      </c>
      <c r="BM1008" t="s">
        <v>74</v>
      </c>
      <c r="BN1008" t="s">
        <v>74</v>
      </c>
      <c r="BO1008" t="s">
        <v>74</v>
      </c>
      <c r="BP1008" t="s">
        <v>74</v>
      </c>
      <c r="BQ1008" t="s">
        <v>74</v>
      </c>
      <c r="BR1008" t="s">
        <v>74</v>
      </c>
      <c r="BS1008" t="s">
        <v>3543</v>
      </c>
      <c r="BT1008" t="str">
        <f>HYPERLINK("https%3A%2F%2Fwww.webofscience.com%2Fwos%2Fwoscc%2Ffull-record%2FWOS:000244724300008","View Full Record in Web of Science")</f>
        <v>View Full Record in Web of Science</v>
      </c>
    </row>
    <row r="1009" spans="1:72" x14ac:dyDescent="0.4">
      <c r="A1009" t="s">
        <v>72</v>
      </c>
      <c r="B1009" t="s">
        <v>6210</v>
      </c>
      <c r="C1009" t="s">
        <v>74</v>
      </c>
      <c r="D1009" t="s">
        <v>74</v>
      </c>
      <c r="E1009" t="s">
        <v>74</v>
      </c>
      <c r="F1009" t="s">
        <v>6211</v>
      </c>
      <c r="G1009" t="s">
        <v>74</v>
      </c>
      <c r="H1009" t="s">
        <v>74</v>
      </c>
      <c r="I1009" t="s">
        <v>6212</v>
      </c>
      <c r="J1009" t="s">
        <v>5357</v>
      </c>
      <c r="K1009" t="s">
        <v>74</v>
      </c>
      <c r="L1009" t="s">
        <v>74</v>
      </c>
      <c r="M1009" t="s">
        <v>74</v>
      </c>
      <c r="N1009" t="s">
        <v>74</v>
      </c>
      <c r="O1009" t="s">
        <v>74</v>
      </c>
      <c r="P1009" t="s">
        <v>74</v>
      </c>
      <c r="Q1009" t="s">
        <v>74</v>
      </c>
      <c r="R1009" t="s">
        <v>74</v>
      </c>
      <c r="S1009" t="s">
        <v>74</v>
      </c>
      <c r="T1009" t="s">
        <v>74</v>
      </c>
      <c r="U1009" t="s">
        <v>74</v>
      </c>
      <c r="V1009" s="3" t="s">
        <v>6213</v>
      </c>
      <c r="W1009" t="s">
        <v>74</v>
      </c>
      <c r="X1009" t="s">
        <v>74</v>
      </c>
      <c r="Y1009" t="s">
        <v>74</v>
      </c>
      <c r="Z1009" t="s">
        <v>74</v>
      </c>
      <c r="AA1009" t="s">
        <v>74</v>
      </c>
      <c r="AB1009" t="s">
        <v>6214</v>
      </c>
      <c r="AC1009" t="s">
        <v>74</v>
      </c>
      <c r="AD1009" t="s">
        <v>74</v>
      </c>
      <c r="AE1009" t="s">
        <v>74</v>
      </c>
      <c r="AF1009" t="s">
        <v>74</v>
      </c>
      <c r="AG1009" t="s">
        <v>74</v>
      </c>
      <c r="AH1009" t="s">
        <v>74</v>
      </c>
      <c r="AI1009" t="s">
        <v>74</v>
      </c>
      <c r="AJ1009" t="s">
        <v>74</v>
      </c>
      <c r="AK1009" t="s">
        <v>74</v>
      </c>
      <c r="AL1009" t="s">
        <v>74</v>
      </c>
      <c r="AM1009" t="s">
        <v>74</v>
      </c>
      <c r="AN1009" t="s">
        <v>74</v>
      </c>
      <c r="AO1009" t="s">
        <v>5359</v>
      </c>
      <c r="AP1009" t="s">
        <v>5360</v>
      </c>
      <c r="AQ1009" t="s">
        <v>74</v>
      </c>
      <c r="AR1009" t="s">
        <v>74</v>
      </c>
      <c r="AS1009" t="s">
        <v>74</v>
      </c>
      <c r="AT1009" t="s">
        <v>964</v>
      </c>
      <c r="AU1009">
        <v>2013</v>
      </c>
      <c r="AV1009">
        <v>31</v>
      </c>
      <c r="AW1009">
        <v>1</v>
      </c>
      <c r="AX1009" t="s">
        <v>74</v>
      </c>
      <c r="AY1009" t="s">
        <v>74</v>
      </c>
      <c r="AZ1009" t="s">
        <v>74</v>
      </c>
      <c r="BA1009" t="s">
        <v>74</v>
      </c>
      <c r="BB1009">
        <v>25</v>
      </c>
      <c r="BC1009">
        <v>37</v>
      </c>
      <c r="BD1009" t="s">
        <v>74</v>
      </c>
      <c r="BE1009" t="s">
        <v>6215</v>
      </c>
      <c r="BF1009" t="str">
        <f>HYPERLINK("http://dx.doi.org/10.4003/006.031.0114","http://dx.doi.org/10.4003/006.031.0114")</f>
        <v>http://dx.doi.org/10.4003/006.031.0114</v>
      </c>
      <c r="BG1009" t="s">
        <v>74</v>
      </c>
      <c r="BH1009" t="s">
        <v>74</v>
      </c>
      <c r="BI1009" t="s">
        <v>74</v>
      </c>
      <c r="BJ1009" t="s">
        <v>74</v>
      </c>
      <c r="BK1009" t="s">
        <v>74</v>
      </c>
      <c r="BL1009" t="s">
        <v>74</v>
      </c>
      <c r="BM1009" t="s">
        <v>74</v>
      </c>
      <c r="BN1009" t="s">
        <v>74</v>
      </c>
      <c r="BO1009" t="s">
        <v>74</v>
      </c>
      <c r="BP1009" t="s">
        <v>74</v>
      </c>
      <c r="BQ1009" t="s">
        <v>74</v>
      </c>
      <c r="BR1009" t="s">
        <v>74</v>
      </c>
      <c r="BS1009" t="s">
        <v>6216</v>
      </c>
      <c r="BT1009" t="str">
        <f>HYPERLINK("https%3A%2F%2Fwww.webofscience.com%2Fwos%2Fwoscc%2Ffull-record%2FWOS:000338769900003","View Full Record in Web of Science")</f>
        <v>View Full Record in Web of Science</v>
      </c>
    </row>
    <row r="1010" spans="1:72" x14ac:dyDescent="0.4">
      <c r="A1010" t="s">
        <v>72</v>
      </c>
      <c r="B1010" t="s">
        <v>4414</v>
      </c>
      <c r="C1010" t="s">
        <v>74</v>
      </c>
      <c r="D1010" t="s">
        <v>74</v>
      </c>
      <c r="E1010" t="s">
        <v>74</v>
      </c>
      <c r="F1010" t="s">
        <v>4415</v>
      </c>
      <c r="G1010" t="s">
        <v>74</v>
      </c>
      <c r="H1010" t="s">
        <v>74</v>
      </c>
      <c r="I1010" t="s">
        <v>4416</v>
      </c>
      <c r="J1010" t="s">
        <v>4417</v>
      </c>
      <c r="K1010" t="s">
        <v>74</v>
      </c>
      <c r="L1010" t="s">
        <v>74</v>
      </c>
      <c r="M1010" t="s">
        <v>74</v>
      </c>
      <c r="N1010" t="s">
        <v>74</v>
      </c>
      <c r="O1010" t="s">
        <v>74</v>
      </c>
      <c r="P1010" t="s">
        <v>74</v>
      </c>
      <c r="Q1010" t="s">
        <v>74</v>
      </c>
      <c r="R1010" t="s">
        <v>74</v>
      </c>
      <c r="S1010" t="s">
        <v>74</v>
      </c>
      <c r="T1010" t="s">
        <v>74</v>
      </c>
      <c r="U1010" t="s">
        <v>74</v>
      </c>
      <c r="V1010" s="3" t="s">
        <v>4418</v>
      </c>
      <c r="W1010" t="s">
        <v>74</v>
      </c>
      <c r="X1010" t="s">
        <v>74</v>
      </c>
      <c r="Y1010" t="s">
        <v>74</v>
      </c>
      <c r="Z1010" t="s">
        <v>74</v>
      </c>
      <c r="AA1010" t="s">
        <v>4419</v>
      </c>
      <c r="AB1010" t="s">
        <v>4420</v>
      </c>
      <c r="AC1010" t="s">
        <v>74</v>
      </c>
      <c r="AD1010" t="s">
        <v>74</v>
      </c>
      <c r="AE1010" t="s">
        <v>74</v>
      </c>
      <c r="AF1010" t="s">
        <v>74</v>
      </c>
      <c r="AG1010" t="s">
        <v>74</v>
      </c>
      <c r="AH1010" t="s">
        <v>74</v>
      </c>
      <c r="AI1010" t="s">
        <v>74</v>
      </c>
      <c r="AJ1010" t="s">
        <v>74</v>
      </c>
      <c r="AK1010" t="s">
        <v>74</v>
      </c>
      <c r="AL1010" t="s">
        <v>74</v>
      </c>
      <c r="AM1010" t="s">
        <v>74</v>
      </c>
      <c r="AN1010" t="s">
        <v>74</v>
      </c>
      <c r="AO1010" t="s">
        <v>4421</v>
      </c>
      <c r="AP1010" t="s">
        <v>4422</v>
      </c>
      <c r="AQ1010" t="s">
        <v>74</v>
      </c>
      <c r="AR1010" t="s">
        <v>74</v>
      </c>
      <c r="AS1010" t="s">
        <v>74</v>
      </c>
      <c r="AT1010" t="s">
        <v>305</v>
      </c>
      <c r="AU1010">
        <v>2022</v>
      </c>
      <c r="AV1010">
        <v>25</v>
      </c>
      <c r="AW1010">
        <v>4</v>
      </c>
      <c r="AX1010" t="s">
        <v>74</v>
      </c>
      <c r="AY1010" t="s">
        <v>74</v>
      </c>
      <c r="AZ1010" t="s">
        <v>74</v>
      </c>
      <c r="BA1010" t="s">
        <v>74</v>
      </c>
      <c r="BB1010" t="s">
        <v>74</v>
      </c>
      <c r="BC1010" t="s">
        <v>74</v>
      </c>
      <c r="BD1010" t="s">
        <v>4423</v>
      </c>
      <c r="BE1010" t="s">
        <v>4424</v>
      </c>
      <c r="BF1010" t="str">
        <f>HYPERLINK("http://dx.doi.org/10.1111/ens.12529","http://dx.doi.org/10.1111/ens.12529")</f>
        <v>http://dx.doi.org/10.1111/ens.12529</v>
      </c>
      <c r="BG1010" t="s">
        <v>74</v>
      </c>
      <c r="BH1010" t="s">
        <v>74</v>
      </c>
      <c r="BI1010" t="s">
        <v>74</v>
      </c>
      <c r="BJ1010" t="s">
        <v>74</v>
      </c>
      <c r="BK1010" t="s">
        <v>74</v>
      </c>
      <c r="BL1010" t="s">
        <v>74</v>
      </c>
      <c r="BM1010" t="s">
        <v>74</v>
      </c>
      <c r="BN1010" t="s">
        <v>74</v>
      </c>
      <c r="BO1010" t="s">
        <v>74</v>
      </c>
      <c r="BP1010" t="s">
        <v>74</v>
      </c>
      <c r="BQ1010" t="s">
        <v>74</v>
      </c>
      <c r="BR1010" t="s">
        <v>74</v>
      </c>
      <c r="BS1010" t="s">
        <v>4425</v>
      </c>
      <c r="BT1010" t="str">
        <f>HYPERLINK("https%3A%2F%2Fwww.webofscience.com%2Fwos%2Fwoscc%2Ffull-record%2FWOS:000888062100001","View Full Record in Web of Science")</f>
        <v>View Full Record in Web of Science</v>
      </c>
    </row>
    <row r="1011" spans="1:72" x14ac:dyDescent="0.4">
      <c r="A1011" t="s">
        <v>72</v>
      </c>
      <c r="B1011" t="s">
        <v>550</v>
      </c>
      <c r="C1011" t="s">
        <v>74</v>
      </c>
      <c r="D1011" t="s">
        <v>74</v>
      </c>
      <c r="E1011" t="s">
        <v>74</v>
      </c>
      <c r="F1011" t="s">
        <v>551</v>
      </c>
      <c r="G1011" t="s">
        <v>74</v>
      </c>
      <c r="H1011" t="s">
        <v>74</v>
      </c>
      <c r="I1011" t="s">
        <v>552</v>
      </c>
      <c r="J1011" t="s">
        <v>553</v>
      </c>
      <c r="K1011" t="s">
        <v>74</v>
      </c>
      <c r="L1011" t="s">
        <v>74</v>
      </c>
      <c r="M1011" t="s">
        <v>74</v>
      </c>
      <c r="N1011" t="s">
        <v>74</v>
      </c>
      <c r="O1011" t="s">
        <v>74</v>
      </c>
      <c r="P1011" t="s">
        <v>74</v>
      </c>
      <c r="Q1011" t="s">
        <v>74</v>
      </c>
      <c r="R1011" t="s">
        <v>74</v>
      </c>
      <c r="S1011" t="s">
        <v>74</v>
      </c>
      <c r="T1011" t="s">
        <v>74</v>
      </c>
      <c r="U1011" t="s">
        <v>74</v>
      </c>
      <c r="V1011" s="3" t="s">
        <v>554</v>
      </c>
      <c r="W1011" t="s">
        <v>74</v>
      </c>
      <c r="X1011" t="s">
        <v>74</v>
      </c>
      <c r="Y1011" t="s">
        <v>74</v>
      </c>
      <c r="Z1011" t="s">
        <v>74</v>
      </c>
      <c r="AA1011" t="s">
        <v>74</v>
      </c>
      <c r="AB1011" t="s">
        <v>74</v>
      </c>
      <c r="AC1011" t="s">
        <v>74</v>
      </c>
      <c r="AD1011" t="s">
        <v>74</v>
      </c>
      <c r="AE1011" t="s">
        <v>74</v>
      </c>
      <c r="AF1011" t="s">
        <v>74</v>
      </c>
      <c r="AG1011" t="s">
        <v>74</v>
      </c>
      <c r="AH1011" t="s">
        <v>74</v>
      </c>
      <c r="AI1011" t="s">
        <v>74</v>
      </c>
      <c r="AJ1011" t="s">
        <v>74</v>
      </c>
      <c r="AK1011" t="s">
        <v>74</v>
      </c>
      <c r="AL1011" t="s">
        <v>74</v>
      </c>
      <c r="AM1011" t="s">
        <v>74</v>
      </c>
      <c r="AN1011" t="s">
        <v>74</v>
      </c>
      <c r="AO1011" t="s">
        <v>555</v>
      </c>
      <c r="AP1011" t="s">
        <v>556</v>
      </c>
      <c r="AQ1011" t="s">
        <v>74</v>
      </c>
      <c r="AR1011" t="s">
        <v>74</v>
      </c>
      <c r="AS1011" t="s">
        <v>74</v>
      </c>
      <c r="AT1011" t="s">
        <v>74</v>
      </c>
      <c r="AU1011">
        <v>2017</v>
      </c>
      <c r="AV1011">
        <v>30</v>
      </c>
      <c r="AW1011">
        <v>3</v>
      </c>
      <c r="AX1011" t="s">
        <v>74</v>
      </c>
      <c r="AY1011" t="s">
        <v>74</v>
      </c>
      <c r="AZ1011" t="s">
        <v>74</v>
      </c>
      <c r="BA1011" t="s">
        <v>74</v>
      </c>
      <c r="BB1011">
        <v>110</v>
      </c>
      <c r="BC1011">
        <v>124</v>
      </c>
      <c r="BD1011" t="s">
        <v>74</v>
      </c>
      <c r="BE1011" t="s">
        <v>557</v>
      </c>
      <c r="BF1011" t="str">
        <f>HYPERLINK("http://dx.doi.org/10.1080/03946975.2017.1345471","http://dx.doi.org/10.1080/03946975.2017.1345471")</f>
        <v>http://dx.doi.org/10.1080/03946975.2017.1345471</v>
      </c>
      <c r="BG1011" t="s">
        <v>74</v>
      </c>
      <c r="BH1011" t="s">
        <v>74</v>
      </c>
      <c r="BI1011" t="s">
        <v>74</v>
      </c>
      <c r="BJ1011" t="s">
        <v>74</v>
      </c>
      <c r="BK1011" t="s">
        <v>74</v>
      </c>
      <c r="BL1011" t="s">
        <v>74</v>
      </c>
      <c r="BM1011" t="s">
        <v>74</v>
      </c>
      <c r="BN1011" t="s">
        <v>74</v>
      </c>
      <c r="BO1011" t="s">
        <v>74</v>
      </c>
      <c r="BP1011" t="s">
        <v>74</v>
      </c>
      <c r="BQ1011" t="s">
        <v>74</v>
      </c>
      <c r="BR1011" t="s">
        <v>74</v>
      </c>
      <c r="BS1011" t="s">
        <v>558</v>
      </c>
      <c r="BT1011" t="str">
        <f>HYPERLINK("https%3A%2F%2Fwww.webofscience.com%2Fwos%2Fwoscc%2Ffull-record%2FWOS:000407553100002","View Full Record in Web of Science")</f>
        <v>View Full Record in Web of Science</v>
      </c>
    </row>
    <row r="1012" spans="1:72" x14ac:dyDescent="0.4">
      <c r="A1012" t="s">
        <v>72</v>
      </c>
      <c r="B1012" t="s">
        <v>1339</v>
      </c>
      <c r="C1012" t="s">
        <v>74</v>
      </c>
      <c r="D1012" t="s">
        <v>74</v>
      </c>
      <c r="E1012" t="s">
        <v>74</v>
      </c>
      <c r="F1012" t="s">
        <v>1339</v>
      </c>
      <c r="G1012" t="s">
        <v>74</v>
      </c>
      <c r="H1012" t="s">
        <v>74</v>
      </c>
      <c r="I1012" t="s">
        <v>1340</v>
      </c>
      <c r="J1012" t="s">
        <v>1341</v>
      </c>
      <c r="K1012" t="s">
        <v>74</v>
      </c>
      <c r="L1012" t="s">
        <v>74</v>
      </c>
      <c r="M1012" t="s">
        <v>74</v>
      </c>
      <c r="N1012" t="s">
        <v>74</v>
      </c>
      <c r="O1012" t="s">
        <v>74</v>
      </c>
      <c r="P1012" t="s">
        <v>74</v>
      </c>
      <c r="Q1012" t="s">
        <v>74</v>
      </c>
      <c r="R1012" t="s">
        <v>74</v>
      </c>
      <c r="S1012" t="s">
        <v>74</v>
      </c>
      <c r="T1012" t="s">
        <v>74</v>
      </c>
      <c r="U1012" t="s">
        <v>74</v>
      </c>
      <c r="V1012" s="3" t="s">
        <v>1342</v>
      </c>
      <c r="W1012" t="s">
        <v>74</v>
      </c>
      <c r="X1012" t="s">
        <v>74</v>
      </c>
      <c r="Y1012" t="s">
        <v>74</v>
      </c>
      <c r="Z1012" t="s">
        <v>74</v>
      </c>
      <c r="AA1012" t="s">
        <v>74</v>
      </c>
      <c r="AB1012" t="s">
        <v>74</v>
      </c>
      <c r="AC1012" t="s">
        <v>74</v>
      </c>
      <c r="AD1012" t="s">
        <v>74</v>
      </c>
      <c r="AE1012" t="s">
        <v>74</v>
      </c>
      <c r="AF1012" t="s">
        <v>74</v>
      </c>
      <c r="AG1012" t="s">
        <v>74</v>
      </c>
      <c r="AH1012" t="s">
        <v>74</v>
      </c>
      <c r="AI1012" t="s">
        <v>74</v>
      </c>
      <c r="AJ1012" t="s">
        <v>74</v>
      </c>
      <c r="AK1012" t="s">
        <v>74</v>
      </c>
      <c r="AL1012" t="s">
        <v>74</v>
      </c>
      <c r="AM1012" t="s">
        <v>74</v>
      </c>
      <c r="AN1012" t="s">
        <v>74</v>
      </c>
      <c r="AO1012" t="s">
        <v>1343</v>
      </c>
      <c r="AP1012" t="s">
        <v>74</v>
      </c>
      <c r="AQ1012" t="s">
        <v>74</v>
      </c>
      <c r="AR1012" t="s">
        <v>74</v>
      </c>
      <c r="AS1012" t="s">
        <v>74</v>
      </c>
      <c r="AT1012" t="s">
        <v>123</v>
      </c>
      <c r="AU1012">
        <v>1996</v>
      </c>
      <c r="AV1012">
        <v>42</v>
      </c>
      <c r="AW1012">
        <v>3</v>
      </c>
      <c r="AX1012" t="s">
        <v>74</v>
      </c>
      <c r="AY1012" t="s">
        <v>74</v>
      </c>
      <c r="AZ1012" t="s">
        <v>74</v>
      </c>
      <c r="BA1012" t="s">
        <v>74</v>
      </c>
      <c r="BB1012">
        <v>287</v>
      </c>
      <c r="BC1012">
        <v>294</v>
      </c>
      <c r="BD1012" t="s">
        <v>74</v>
      </c>
      <c r="BE1012" t="s">
        <v>1344</v>
      </c>
      <c r="BF1012" t="str">
        <f>HYPERLINK("http://dx.doi.org/10.1016/0022-1910(95)00115-8","http://dx.doi.org/10.1016/0022-1910(95)00115-8")</f>
        <v>http://dx.doi.org/10.1016/0022-1910(95)00115-8</v>
      </c>
      <c r="BG1012" t="s">
        <v>74</v>
      </c>
      <c r="BH1012" t="s">
        <v>74</v>
      </c>
      <c r="BI1012" t="s">
        <v>74</v>
      </c>
      <c r="BJ1012" t="s">
        <v>74</v>
      </c>
      <c r="BK1012" t="s">
        <v>74</v>
      </c>
      <c r="BL1012" t="s">
        <v>74</v>
      </c>
      <c r="BM1012" t="s">
        <v>74</v>
      </c>
      <c r="BN1012" t="s">
        <v>74</v>
      </c>
      <c r="BO1012" t="s">
        <v>74</v>
      </c>
      <c r="BP1012" t="s">
        <v>74</v>
      </c>
      <c r="BQ1012" t="s">
        <v>74</v>
      </c>
      <c r="BR1012" t="s">
        <v>74</v>
      </c>
      <c r="BS1012" t="s">
        <v>1345</v>
      </c>
      <c r="BT1012" t="str">
        <f>HYPERLINK("https%3A%2F%2Fwww.webofscience.com%2Fwos%2Fwoscc%2Ffull-record%2FWOS:A1996TZ11300012","View Full Record in Web of Science")</f>
        <v>View Full Record in Web of Science</v>
      </c>
    </row>
    <row r="1013" spans="1:72" x14ac:dyDescent="0.4">
      <c r="A1013" t="s">
        <v>72</v>
      </c>
      <c r="B1013" t="s">
        <v>7184</v>
      </c>
      <c r="C1013" t="s">
        <v>74</v>
      </c>
      <c r="D1013" t="s">
        <v>74</v>
      </c>
      <c r="E1013" t="s">
        <v>74</v>
      </c>
      <c r="F1013" t="s">
        <v>7185</v>
      </c>
      <c r="G1013" t="s">
        <v>74</v>
      </c>
      <c r="H1013" t="s">
        <v>74</v>
      </c>
      <c r="I1013" t="s">
        <v>7186</v>
      </c>
      <c r="J1013" t="s">
        <v>1341</v>
      </c>
      <c r="K1013" t="s">
        <v>74</v>
      </c>
      <c r="L1013" t="s">
        <v>74</v>
      </c>
      <c r="M1013" t="s">
        <v>74</v>
      </c>
      <c r="N1013" t="s">
        <v>74</v>
      </c>
      <c r="O1013" t="s">
        <v>74</v>
      </c>
      <c r="P1013" t="s">
        <v>74</v>
      </c>
      <c r="Q1013" t="s">
        <v>74</v>
      </c>
      <c r="R1013" t="s">
        <v>74</v>
      </c>
      <c r="S1013" t="s">
        <v>74</v>
      </c>
      <c r="T1013" t="s">
        <v>74</v>
      </c>
      <c r="U1013" t="s">
        <v>74</v>
      </c>
      <c r="V1013" s="3" t="s">
        <v>7187</v>
      </c>
      <c r="W1013" t="s">
        <v>74</v>
      </c>
      <c r="X1013" t="s">
        <v>74</v>
      </c>
      <c r="Y1013" t="s">
        <v>74</v>
      </c>
      <c r="Z1013" t="s">
        <v>74</v>
      </c>
      <c r="AA1013" t="s">
        <v>74</v>
      </c>
      <c r="AB1013" t="s">
        <v>74</v>
      </c>
      <c r="AC1013" t="s">
        <v>74</v>
      </c>
      <c r="AD1013" t="s">
        <v>74</v>
      </c>
      <c r="AE1013" t="s">
        <v>74</v>
      </c>
      <c r="AF1013" t="s">
        <v>74</v>
      </c>
      <c r="AG1013" t="s">
        <v>74</v>
      </c>
      <c r="AH1013" t="s">
        <v>74</v>
      </c>
      <c r="AI1013" t="s">
        <v>74</v>
      </c>
      <c r="AJ1013" t="s">
        <v>74</v>
      </c>
      <c r="AK1013" t="s">
        <v>74</v>
      </c>
      <c r="AL1013" t="s">
        <v>74</v>
      </c>
      <c r="AM1013" t="s">
        <v>74</v>
      </c>
      <c r="AN1013" t="s">
        <v>74</v>
      </c>
      <c r="AO1013" t="s">
        <v>1343</v>
      </c>
      <c r="AP1013" t="s">
        <v>3686</v>
      </c>
      <c r="AQ1013" t="s">
        <v>74</v>
      </c>
      <c r="AR1013" t="s">
        <v>74</v>
      </c>
      <c r="AS1013" t="s">
        <v>74</v>
      </c>
      <c r="AT1013" t="s">
        <v>145</v>
      </c>
      <c r="AU1013">
        <v>2012</v>
      </c>
      <c r="AV1013">
        <v>58</v>
      </c>
      <c r="AW1013">
        <v>8</v>
      </c>
      <c r="AX1013" t="s">
        <v>74</v>
      </c>
      <c r="AY1013" t="s">
        <v>74</v>
      </c>
      <c r="AZ1013" t="s">
        <v>74</v>
      </c>
      <c r="BA1013" t="s">
        <v>74</v>
      </c>
      <c r="BB1013">
        <v>1060</v>
      </c>
      <c r="BC1013">
        <v>1071</v>
      </c>
      <c r="BD1013" t="s">
        <v>74</v>
      </c>
      <c r="BE1013" t="s">
        <v>7188</v>
      </c>
      <c r="BF1013" t="str">
        <f>HYPERLINK("http://dx.doi.org/10.1016/j.jinsphys.2012.04.005","http://dx.doi.org/10.1016/j.jinsphys.2012.04.005")</f>
        <v>http://dx.doi.org/10.1016/j.jinsphys.2012.04.005</v>
      </c>
      <c r="BG1013" t="s">
        <v>74</v>
      </c>
      <c r="BH1013" t="s">
        <v>74</v>
      </c>
      <c r="BI1013" t="s">
        <v>74</v>
      </c>
      <c r="BJ1013" t="s">
        <v>74</v>
      </c>
      <c r="BK1013" t="s">
        <v>74</v>
      </c>
      <c r="BL1013" t="s">
        <v>74</v>
      </c>
      <c r="BM1013" t="s">
        <v>74</v>
      </c>
      <c r="BN1013">
        <v>22546561</v>
      </c>
      <c r="BO1013" t="s">
        <v>74</v>
      </c>
      <c r="BP1013" t="s">
        <v>74</v>
      </c>
      <c r="BQ1013" t="s">
        <v>74</v>
      </c>
      <c r="BR1013" t="s">
        <v>74</v>
      </c>
      <c r="BS1013" t="s">
        <v>7189</v>
      </c>
      <c r="BT1013" t="str">
        <f>HYPERLINK("https%3A%2F%2Fwww.webofscience.com%2Fwos%2Fwoscc%2Ffull-record%2FWOS:000307154600004","View Full Record in Web of Science")</f>
        <v>View Full Record in Web of Science</v>
      </c>
    </row>
    <row r="1014" spans="1:72" x14ac:dyDescent="0.4">
      <c r="A1014" t="s">
        <v>72</v>
      </c>
      <c r="B1014" t="s">
        <v>677</v>
      </c>
      <c r="C1014" t="s">
        <v>74</v>
      </c>
      <c r="D1014" t="s">
        <v>74</v>
      </c>
      <c r="E1014" t="s">
        <v>74</v>
      </c>
      <c r="F1014" t="s">
        <v>677</v>
      </c>
      <c r="G1014" t="s">
        <v>74</v>
      </c>
      <c r="H1014" t="s">
        <v>74</v>
      </c>
      <c r="I1014" t="s">
        <v>678</v>
      </c>
      <c r="J1014" t="s">
        <v>509</v>
      </c>
      <c r="K1014" t="s">
        <v>74</v>
      </c>
      <c r="L1014" t="s">
        <v>74</v>
      </c>
      <c r="M1014" t="s">
        <v>74</v>
      </c>
      <c r="N1014" t="s">
        <v>74</v>
      </c>
      <c r="O1014" t="s">
        <v>74</v>
      </c>
      <c r="P1014" t="s">
        <v>74</v>
      </c>
      <c r="Q1014" t="s">
        <v>74</v>
      </c>
      <c r="R1014" t="s">
        <v>74</v>
      </c>
      <c r="S1014" t="s">
        <v>74</v>
      </c>
      <c r="T1014" t="s">
        <v>74</v>
      </c>
      <c r="U1014" t="s">
        <v>74</v>
      </c>
      <c r="V1014" s="3" t="s">
        <v>679</v>
      </c>
      <c r="W1014" t="s">
        <v>74</v>
      </c>
      <c r="X1014" t="s">
        <v>74</v>
      </c>
      <c r="Y1014" t="s">
        <v>74</v>
      </c>
      <c r="Z1014" t="s">
        <v>74</v>
      </c>
      <c r="AA1014" t="s">
        <v>74</v>
      </c>
      <c r="AB1014" t="s">
        <v>74</v>
      </c>
      <c r="AC1014" t="s">
        <v>74</v>
      </c>
      <c r="AD1014" t="s">
        <v>74</v>
      </c>
      <c r="AE1014" t="s">
        <v>74</v>
      </c>
      <c r="AF1014" t="s">
        <v>74</v>
      </c>
      <c r="AG1014" t="s">
        <v>74</v>
      </c>
      <c r="AH1014" t="s">
        <v>74</v>
      </c>
      <c r="AI1014" t="s">
        <v>74</v>
      </c>
      <c r="AJ1014" t="s">
        <v>74</v>
      </c>
      <c r="AK1014" t="s">
        <v>74</v>
      </c>
      <c r="AL1014" t="s">
        <v>74</v>
      </c>
      <c r="AM1014" t="s">
        <v>74</v>
      </c>
      <c r="AN1014" t="s">
        <v>74</v>
      </c>
      <c r="AO1014" t="s">
        <v>511</v>
      </c>
      <c r="AP1014" t="s">
        <v>512</v>
      </c>
      <c r="AQ1014" t="s">
        <v>74</v>
      </c>
      <c r="AR1014" t="s">
        <v>74</v>
      </c>
      <c r="AS1014" t="s">
        <v>74</v>
      </c>
      <c r="AT1014" t="s">
        <v>102</v>
      </c>
      <c r="AU1014">
        <v>1987</v>
      </c>
      <c r="AV1014">
        <v>21</v>
      </c>
      <c r="AW1014">
        <v>2</v>
      </c>
      <c r="AX1014" t="s">
        <v>74</v>
      </c>
      <c r="AY1014" t="s">
        <v>74</v>
      </c>
      <c r="AZ1014" t="s">
        <v>74</v>
      </c>
      <c r="BA1014" t="s">
        <v>74</v>
      </c>
      <c r="BB1014">
        <v>234</v>
      </c>
      <c r="BC1014">
        <v>244</v>
      </c>
      <c r="BD1014" t="s">
        <v>74</v>
      </c>
      <c r="BE1014" t="s">
        <v>680</v>
      </c>
      <c r="BF1014" t="str">
        <f>HYPERLINK("http://dx.doi.org/10.1016/0018-506X(87)90048-1","http://dx.doi.org/10.1016/0018-506X(87)90048-1")</f>
        <v>http://dx.doi.org/10.1016/0018-506X(87)90048-1</v>
      </c>
      <c r="BG1014" t="s">
        <v>74</v>
      </c>
      <c r="BH1014" t="s">
        <v>74</v>
      </c>
      <c r="BI1014" t="s">
        <v>74</v>
      </c>
      <c r="BJ1014" t="s">
        <v>74</v>
      </c>
      <c r="BK1014" t="s">
        <v>74</v>
      </c>
      <c r="BL1014" t="s">
        <v>74</v>
      </c>
      <c r="BM1014" t="s">
        <v>74</v>
      </c>
      <c r="BN1014">
        <v>3610060</v>
      </c>
      <c r="BO1014" t="s">
        <v>74</v>
      </c>
      <c r="BP1014" t="s">
        <v>74</v>
      </c>
      <c r="BQ1014" t="s">
        <v>74</v>
      </c>
      <c r="BR1014" t="s">
        <v>74</v>
      </c>
      <c r="BS1014" t="s">
        <v>681</v>
      </c>
      <c r="BT1014" t="str">
        <f>HYPERLINK("https%3A%2F%2Fwww.webofscience.com%2Fwos%2Fwoscc%2Ffull-record%2FWOS:A1987H984200009","View Full Record in Web of Science")</f>
        <v>View Full Record in Web of Science</v>
      </c>
    </row>
    <row r="1015" spans="1:72" x14ac:dyDescent="0.4">
      <c r="A1015" t="s">
        <v>72</v>
      </c>
      <c r="B1015" t="s">
        <v>978</v>
      </c>
      <c r="C1015" t="s">
        <v>74</v>
      </c>
      <c r="D1015" t="s">
        <v>74</v>
      </c>
      <c r="E1015" t="s">
        <v>74</v>
      </c>
      <c r="F1015" t="s">
        <v>978</v>
      </c>
      <c r="G1015" t="s">
        <v>74</v>
      </c>
      <c r="H1015" t="s">
        <v>74</v>
      </c>
      <c r="I1015" t="s">
        <v>979</v>
      </c>
      <c r="J1015" t="s">
        <v>691</v>
      </c>
      <c r="K1015" t="s">
        <v>74</v>
      </c>
      <c r="L1015" t="s">
        <v>74</v>
      </c>
      <c r="M1015" t="s">
        <v>74</v>
      </c>
      <c r="N1015" t="s">
        <v>74</v>
      </c>
      <c r="O1015" t="s">
        <v>74</v>
      </c>
      <c r="P1015" t="s">
        <v>74</v>
      </c>
      <c r="Q1015" t="s">
        <v>74</v>
      </c>
      <c r="R1015" t="s">
        <v>74</v>
      </c>
      <c r="S1015" t="s">
        <v>74</v>
      </c>
      <c r="T1015" t="s">
        <v>74</v>
      </c>
      <c r="U1015" t="s">
        <v>74</v>
      </c>
      <c r="V1015" s="3" t="s">
        <v>980</v>
      </c>
      <c r="W1015" t="s">
        <v>74</v>
      </c>
      <c r="X1015" t="s">
        <v>74</v>
      </c>
      <c r="Y1015" t="s">
        <v>74</v>
      </c>
      <c r="Z1015" t="s">
        <v>74</v>
      </c>
      <c r="AA1015" t="s">
        <v>74</v>
      </c>
      <c r="AB1015" t="s">
        <v>74</v>
      </c>
      <c r="AC1015" t="s">
        <v>74</v>
      </c>
      <c r="AD1015" t="s">
        <v>74</v>
      </c>
      <c r="AE1015" t="s">
        <v>74</v>
      </c>
      <c r="AF1015" t="s">
        <v>74</v>
      </c>
      <c r="AG1015" t="s">
        <v>74</v>
      </c>
      <c r="AH1015" t="s">
        <v>74</v>
      </c>
      <c r="AI1015" t="s">
        <v>74</v>
      </c>
      <c r="AJ1015" t="s">
        <v>74</v>
      </c>
      <c r="AK1015" t="s">
        <v>74</v>
      </c>
      <c r="AL1015" t="s">
        <v>74</v>
      </c>
      <c r="AM1015" t="s">
        <v>74</v>
      </c>
      <c r="AN1015" t="s">
        <v>74</v>
      </c>
      <c r="AO1015" t="s">
        <v>695</v>
      </c>
      <c r="AP1015" t="s">
        <v>981</v>
      </c>
      <c r="AQ1015" t="s">
        <v>74</v>
      </c>
      <c r="AR1015" t="s">
        <v>74</v>
      </c>
      <c r="AS1015" t="s">
        <v>74</v>
      </c>
      <c r="AT1015" t="s">
        <v>74</v>
      </c>
      <c r="AU1015">
        <v>1984</v>
      </c>
      <c r="AV1015">
        <v>32</v>
      </c>
      <c r="AW1015">
        <v>4</v>
      </c>
      <c r="AX1015" t="s">
        <v>74</v>
      </c>
      <c r="AY1015" t="s">
        <v>74</v>
      </c>
      <c r="AZ1015" t="s">
        <v>74</v>
      </c>
      <c r="BA1015" t="s">
        <v>74</v>
      </c>
      <c r="BB1015">
        <v>541</v>
      </c>
      <c r="BC1015">
        <v>546</v>
      </c>
      <c r="BD1015" t="s">
        <v>74</v>
      </c>
      <c r="BE1015" t="s">
        <v>982</v>
      </c>
      <c r="BF1015" t="str">
        <f>HYPERLINK("http://dx.doi.org/10.1016/0031-9384(84)90307-X","http://dx.doi.org/10.1016/0031-9384(84)90307-X")</f>
        <v>http://dx.doi.org/10.1016/0031-9384(84)90307-X</v>
      </c>
      <c r="BG1015" t="s">
        <v>74</v>
      </c>
      <c r="BH1015" t="s">
        <v>74</v>
      </c>
      <c r="BI1015" t="s">
        <v>74</v>
      </c>
      <c r="BJ1015" t="s">
        <v>74</v>
      </c>
      <c r="BK1015" t="s">
        <v>74</v>
      </c>
      <c r="BL1015" t="s">
        <v>74</v>
      </c>
      <c r="BM1015" t="s">
        <v>74</v>
      </c>
      <c r="BN1015">
        <v>6541348</v>
      </c>
      <c r="BO1015" t="s">
        <v>74</v>
      </c>
      <c r="BP1015" t="s">
        <v>74</v>
      </c>
      <c r="BQ1015" t="s">
        <v>74</v>
      </c>
      <c r="BR1015" t="s">
        <v>74</v>
      </c>
      <c r="BS1015" t="s">
        <v>983</v>
      </c>
      <c r="BT1015" t="str">
        <f>HYPERLINK("https%3A%2F%2Fwww.webofscience.com%2Fwos%2Fwoscc%2Ffull-record%2FWOS:A1984SV55800004","View Full Record in Web of Science")</f>
        <v>View Full Record in Web of Science</v>
      </c>
    </row>
    <row r="1016" spans="1:72" x14ac:dyDescent="0.4">
      <c r="A1016" t="s">
        <v>72</v>
      </c>
      <c r="B1016" t="s">
        <v>3232</v>
      </c>
      <c r="C1016" t="s">
        <v>74</v>
      </c>
      <c r="D1016" t="s">
        <v>74</v>
      </c>
      <c r="E1016" t="s">
        <v>74</v>
      </c>
      <c r="F1016" t="s">
        <v>3232</v>
      </c>
      <c r="G1016" t="s">
        <v>74</v>
      </c>
      <c r="H1016" t="s">
        <v>74</v>
      </c>
      <c r="I1016" t="s">
        <v>3233</v>
      </c>
      <c r="J1016" t="s">
        <v>1126</v>
      </c>
      <c r="K1016" t="s">
        <v>74</v>
      </c>
      <c r="L1016" t="s">
        <v>74</v>
      </c>
      <c r="M1016" t="s">
        <v>74</v>
      </c>
      <c r="N1016" t="s">
        <v>74</v>
      </c>
      <c r="O1016" t="s">
        <v>74</v>
      </c>
      <c r="P1016" t="s">
        <v>74</v>
      </c>
      <c r="Q1016" t="s">
        <v>74</v>
      </c>
      <c r="R1016" t="s">
        <v>74</v>
      </c>
      <c r="S1016" t="s">
        <v>74</v>
      </c>
      <c r="T1016" t="s">
        <v>74</v>
      </c>
      <c r="U1016" t="s">
        <v>74</v>
      </c>
      <c r="V1016" s="3" t="s">
        <v>3234</v>
      </c>
      <c r="W1016" t="s">
        <v>74</v>
      </c>
      <c r="X1016" t="s">
        <v>74</v>
      </c>
      <c r="Y1016" t="s">
        <v>74</v>
      </c>
      <c r="Z1016" t="s">
        <v>74</v>
      </c>
      <c r="AA1016" t="s">
        <v>74</v>
      </c>
      <c r="AB1016" t="s">
        <v>74</v>
      </c>
      <c r="AC1016" t="s">
        <v>74</v>
      </c>
      <c r="AD1016" t="s">
        <v>74</v>
      </c>
      <c r="AE1016" t="s">
        <v>74</v>
      </c>
      <c r="AF1016" t="s">
        <v>74</v>
      </c>
      <c r="AG1016" t="s">
        <v>74</v>
      </c>
      <c r="AH1016" t="s">
        <v>74</v>
      </c>
      <c r="AI1016" t="s">
        <v>74</v>
      </c>
      <c r="AJ1016" t="s">
        <v>74</v>
      </c>
      <c r="AK1016" t="s">
        <v>74</v>
      </c>
      <c r="AL1016" t="s">
        <v>74</v>
      </c>
      <c r="AM1016" t="s">
        <v>74</v>
      </c>
      <c r="AN1016" t="s">
        <v>74</v>
      </c>
      <c r="AO1016" t="s">
        <v>1128</v>
      </c>
      <c r="AP1016" t="s">
        <v>1129</v>
      </c>
      <c r="AQ1016" t="s">
        <v>74</v>
      </c>
      <c r="AR1016" t="s">
        <v>74</v>
      </c>
      <c r="AS1016" t="s">
        <v>74</v>
      </c>
      <c r="AT1016" t="s">
        <v>1146</v>
      </c>
      <c r="AU1016">
        <v>1991</v>
      </c>
      <c r="AV1016" t="s">
        <v>74</v>
      </c>
      <c r="AW1016">
        <v>3</v>
      </c>
      <c r="AX1016" t="s">
        <v>74</v>
      </c>
      <c r="AY1016" t="s">
        <v>74</v>
      </c>
      <c r="AZ1016" t="s">
        <v>74</v>
      </c>
      <c r="BA1016" t="s">
        <v>74</v>
      </c>
      <c r="BB1016">
        <v>800</v>
      </c>
      <c r="BC1016">
        <v>809</v>
      </c>
      <c r="BD1016" t="s">
        <v>74</v>
      </c>
      <c r="BE1016" t="s">
        <v>74</v>
      </c>
      <c r="BF1016" t="s">
        <v>74</v>
      </c>
      <c r="BG1016" t="s">
        <v>74</v>
      </c>
      <c r="BH1016" t="s">
        <v>74</v>
      </c>
      <c r="BI1016" t="s">
        <v>74</v>
      </c>
      <c r="BJ1016" t="s">
        <v>74</v>
      </c>
      <c r="BK1016" t="s">
        <v>74</v>
      </c>
      <c r="BL1016" t="s">
        <v>74</v>
      </c>
      <c r="BM1016" t="s">
        <v>74</v>
      </c>
      <c r="BN1016" t="s">
        <v>74</v>
      </c>
      <c r="BO1016" t="s">
        <v>74</v>
      </c>
      <c r="BP1016" t="s">
        <v>74</v>
      </c>
      <c r="BQ1016" t="s">
        <v>74</v>
      </c>
      <c r="BR1016" t="s">
        <v>74</v>
      </c>
      <c r="BS1016" t="s">
        <v>3235</v>
      </c>
      <c r="BT1016" t="str">
        <f>HYPERLINK("https%3A%2F%2Fwww.webofscience.com%2Fwos%2Fwoscc%2Ffull-record%2FWOS:A1991FZ81200023","View Full Record in Web of Science")</f>
        <v>View Full Record in Web of Science</v>
      </c>
    </row>
    <row r="1017" spans="1:72" x14ac:dyDescent="0.4">
      <c r="A1017" t="s">
        <v>72</v>
      </c>
      <c r="B1017" t="s">
        <v>3275</v>
      </c>
      <c r="C1017" t="s">
        <v>74</v>
      </c>
      <c r="D1017" t="s">
        <v>74</v>
      </c>
      <c r="E1017" t="s">
        <v>74</v>
      </c>
      <c r="F1017" t="s">
        <v>3276</v>
      </c>
      <c r="G1017" t="s">
        <v>74</v>
      </c>
      <c r="H1017" t="s">
        <v>74</v>
      </c>
      <c r="I1017" t="s">
        <v>3277</v>
      </c>
      <c r="J1017" t="s">
        <v>610</v>
      </c>
      <c r="K1017" t="s">
        <v>74</v>
      </c>
      <c r="L1017" t="s">
        <v>74</v>
      </c>
      <c r="M1017" t="s">
        <v>74</v>
      </c>
      <c r="N1017" t="s">
        <v>74</v>
      </c>
      <c r="O1017" t="s">
        <v>74</v>
      </c>
      <c r="P1017" t="s">
        <v>74</v>
      </c>
      <c r="Q1017" t="s">
        <v>74</v>
      </c>
      <c r="R1017" t="s">
        <v>74</v>
      </c>
      <c r="S1017" t="s">
        <v>74</v>
      </c>
      <c r="T1017" t="s">
        <v>74</v>
      </c>
      <c r="U1017" t="s">
        <v>74</v>
      </c>
      <c r="V1017" s="3" t="s">
        <v>3278</v>
      </c>
      <c r="W1017" t="s">
        <v>74</v>
      </c>
      <c r="X1017" t="s">
        <v>74</v>
      </c>
      <c r="Y1017" t="s">
        <v>74</v>
      </c>
      <c r="Z1017" t="s">
        <v>74</v>
      </c>
      <c r="AA1017" t="s">
        <v>74</v>
      </c>
      <c r="AB1017" t="s">
        <v>3279</v>
      </c>
      <c r="AC1017" t="s">
        <v>74</v>
      </c>
      <c r="AD1017" t="s">
        <v>74</v>
      </c>
      <c r="AE1017" t="s">
        <v>74</v>
      </c>
      <c r="AF1017" t="s">
        <v>74</v>
      </c>
      <c r="AG1017" t="s">
        <v>74</v>
      </c>
      <c r="AH1017" t="s">
        <v>74</v>
      </c>
      <c r="AI1017" t="s">
        <v>74</v>
      </c>
      <c r="AJ1017" t="s">
        <v>74</v>
      </c>
      <c r="AK1017" t="s">
        <v>74</v>
      </c>
      <c r="AL1017" t="s">
        <v>74</v>
      </c>
      <c r="AM1017" t="s">
        <v>74</v>
      </c>
      <c r="AN1017" t="s">
        <v>74</v>
      </c>
      <c r="AO1017" t="s">
        <v>614</v>
      </c>
      <c r="AP1017" t="s">
        <v>615</v>
      </c>
      <c r="AQ1017" t="s">
        <v>74</v>
      </c>
      <c r="AR1017" t="s">
        <v>74</v>
      </c>
      <c r="AS1017" t="s">
        <v>74</v>
      </c>
      <c r="AT1017" t="s">
        <v>213</v>
      </c>
      <c r="AU1017">
        <v>2016</v>
      </c>
      <c r="AV1017">
        <v>122</v>
      </c>
      <c r="AW1017">
        <v>11</v>
      </c>
      <c r="AX1017" t="s">
        <v>74</v>
      </c>
      <c r="AY1017" t="s">
        <v>74</v>
      </c>
      <c r="AZ1017" t="s">
        <v>74</v>
      </c>
      <c r="BA1017" t="s">
        <v>74</v>
      </c>
      <c r="BB1017">
        <v>892</v>
      </c>
      <c r="BC1017">
        <v>901</v>
      </c>
      <c r="BD1017" t="s">
        <v>74</v>
      </c>
      <c r="BE1017" t="s">
        <v>3280</v>
      </c>
      <c r="BF1017" t="str">
        <f>HYPERLINK("http://dx.doi.org/10.1111/eth.12534","http://dx.doi.org/10.1111/eth.12534")</f>
        <v>http://dx.doi.org/10.1111/eth.12534</v>
      </c>
      <c r="BG1017" t="s">
        <v>74</v>
      </c>
      <c r="BH1017" t="s">
        <v>74</v>
      </c>
      <c r="BI1017" t="s">
        <v>74</v>
      </c>
      <c r="BJ1017" t="s">
        <v>74</v>
      </c>
      <c r="BK1017" t="s">
        <v>74</v>
      </c>
      <c r="BL1017" t="s">
        <v>74</v>
      </c>
      <c r="BM1017" t="s">
        <v>74</v>
      </c>
      <c r="BN1017" t="s">
        <v>74</v>
      </c>
      <c r="BO1017" t="s">
        <v>74</v>
      </c>
      <c r="BP1017" t="s">
        <v>74</v>
      </c>
      <c r="BQ1017" t="s">
        <v>74</v>
      </c>
      <c r="BR1017" t="s">
        <v>74</v>
      </c>
      <c r="BS1017" t="s">
        <v>3281</v>
      </c>
      <c r="BT1017" t="str">
        <f>HYPERLINK("https%3A%2F%2Fwww.webofscience.com%2Fwos%2Fwoscc%2Ffull-record%2FWOS:000385572700005","View Full Record in Web of Science")</f>
        <v>View Full Record in Web of Science</v>
      </c>
    </row>
    <row r="1018" spans="1:72" x14ac:dyDescent="0.4">
      <c r="A1018" t="s">
        <v>72</v>
      </c>
      <c r="B1018" t="s">
        <v>3697</v>
      </c>
      <c r="C1018" t="s">
        <v>74</v>
      </c>
      <c r="D1018" t="s">
        <v>74</v>
      </c>
      <c r="E1018" t="s">
        <v>74</v>
      </c>
      <c r="F1018" t="s">
        <v>3698</v>
      </c>
      <c r="G1018" t="s">
        <v>74</v>
      </c>
      <c r="H1018" t="s">
        <v>74</v>
      </c>
      <c r="I1018" t="s">
        <v>3699</v>
      </c>
      <c r="J1018" t="s">
        <v>140</v>
      </c>
      <c r="K1018" t="s">
        <v>74</v>
      </c>
      <c r="L1018" t="s">
        <v>74</v>
      </c>
      <c r="M1018" t="s">
        <v>74</v>
      </c>
      <c r="N1018" t="s">
        <v>74</v>
      </c>
      <c r="O1018" t="s">
        <v>74</v>
      </c>
      <c r="P1018" t="s">
        <v>74</v>
      </c>
      <c r="Q1018" t="s">
        <v>74</v>
      </c>
      <c r="R1018" t="s">
        <v>74</v>
      </c>
      <c r="S1018" t="s">
        <v>74</v>
      </c>
      <c r="T1018" t="s">
        <v>74</v>
      </c>
      <c r="U1018" t="s">
        <v>74</v>
      </c>
      <c r="V1018" s="3" t="s">
        <v>3700</v>
      </c>
      <c r="W1018" t="s">
        <v>74</v>
      </c>
      <c r="X1018" t="s">
        <v>74</v>
      </c>
      <c r="Y1018" t="s">
        <v>74</v>
      </c>
      <c r="Z1018" t="s">
        <v>74</v>
      </c>
      <c r="AA1018" t="s">
        <v>74</v>
      </c>
      <c r="AB1018" t="s">
        <v>74</v>
      </c>
      <c r="AC1018" t="s">
        <v>74</v>
      </c>
      <c r="AD1018" t="s">
        <v>74</v>
      </c>
      <c r="AE1018" t="s">
        <v>74</v>
      </c>
      <c r="AF1018" t="s">
        <v>74</v>
      </c>
      <c r="AG1018" t="s">
        <v>74</v>
      </c>
      <c r="AH1018" t="s">
        <v>74</v>
      </c>
      <c r="AI1018" t="s">
        <v>74</v>
      </c>
      <c r="AJ1018" t="s">
        <v>74</v>
      </c>
      <c r="AK1018" t="s">
        <v>74</v>
      </c>
      <c r="AL1018" t="s">
        <v>74</v>
      </c>
      <c r="AM1018" t="s">
        <v>74</v>
      </c>
      <c r="AN1018" t="s">
        <v>74</v>
      </c>
      <c r="AO1018" t="s">
        <v>143</v>
      </c>
      <c r="AP1018" t="s">
        <v>144</v>
      </c>
      <c r="AQ1018" t="s">
        <v>74</v>
      </c>
      <c r="AR1018" t="s">
        <v>74</v>
      </c>
      <c r="AS1018" t="s">
        <v>74</v>
      </c>
      <c r="AT1018" t="s">
        <v>204</v>
      </c>
      <c r="AU1018">
        <v>2014</v>
      </c>
      <c r="AV1018">
        <v>93</v>
      </c>
      <c r="AW1018" t="s">
        <v>74</v>
      </c>
      <c r="AX1018" t="s">
        <v>74</v>
      </c>
      <c r="AY1018" t="s">
        <v>74</v>
      </c>
      <c r="AZ1018" t="s">
        <v>74</v>
      </c>
      <c r="BA1018" t="s">
        <v>74</v>
      </c>
      <c r="BB1018">
        <v>267</v>
      </c>
      <c r="BC1018">
        <v>278</v>
      </c>
      <c r="BD1018" t="s">
        <v>74</v>
      </c>
      <c r="BE1018" t="s">
        <v>3701</v>
      </c>
      <c r="BF1018" t="str">
        <f>HYPERLINK("http://dx.doi.org/10.1016/j.anbehav.2014.05.005","http://dx.doi.org/10.1016/j.anbehav.2014.05.005")</f>
        <v>http://dx.doi.org/10.1016/j.anbehav.2014.05.005</v>
      </c>
      <c r="BG1018" t="s">
        <v>74</v>
      </c>
      <c r="BH1018" t="s">
        <v>74</v>
      </c>
      <c r="BI1018" t="s">
        <v>74</v>
      </c>
      <c r="BJ1018" t="s">
        <v>74</v>
      </c>
      <c r="BK1018" t="s">
        <v>74</v>
      </c>
      <c r="BL1018" t="s">
        <v>74</v>
      </c>
      <c r="BM1018" t="s">
        <v>74</v>
      </c>
      <c r="BN1018" t="s">
        <v>74</v>
      </c>
      <c r="BO1018" t="s">
        <v>74</v>
      </c>
      <c r="BP1018" t="s">
        <v>74</v>
      </c>
      <c r="BQ1018" t="s">
        <v>74</v>
      </c>
      <c r="BR1018" t="s">
        <v>74</v>
      </c>
      <c r="BS1018" t="s">
        <v>3702</v>
      </c>
      <c r="BT1018" t="str">
        <f>HYPERLINK("https%3A%2F%2Fwww.webofscience.com%2Fwos%2Fwoscc%2Ffull-record%2FWOS:000338712900033","View Full Record in Web of Science")</f>
        <v>View Full Record in Web of Science</v>
      </c>
    </row>
    <row r="1019" spans="1:72" x14ac:dyDescent="0.4">
      <c r="A1019" t="s">
        <v>72</v>
      </c>
      <c r="B1019" t="s">
        <v>7489</v>
      </c>
      <c r="C1019" t="s">
        <v>74</v>
      </c>
      <c r="D1019" t="s">
        <v>74</v>
      </c>
      <c r="E1019" t="s">
        <v>74</v>
      </c>
      <c r="F1019" t="s">
        <v>7490</v>
      </c>
      <c r="G1019" t="s">
        <v>74</v>
      </c>
      <c r="H1019" t="s">
        <v>74</v>
      </c>
      <c r="I1019" t="s">
        <v>7491</v>
      </c>
      <c r="J1019" t="s">
        <v>333</v>
      </c>
      <c r="K1019" t="s">
        <v>74</v>
      </c>
      <c r="L1019" t="s">
        <v>74</v>
      </c>
      <c r="M1019" t="s">
        <v>74</v>
      </c>
      <c r="N1019" t="s">
        <v>74</v>
      </c>
      <c r="O1019" t="s">
        <v>74</v>
      </c>
      <c r="P1019" t="s">
        <v>74</v>
      </c>
      <c r="Q1019" t="s">
        <v>74</v>
      </c>
      <c r="R1019" t="s">
        <v>74</v>
      </c>
      <c r="S1019" t="s">
        <v>74</v>
      </c>
      <c r="T1019" t="s">
        <v>74</v>
      </c>
      <c r="U1019" t="s">
        <v>74</v>
      </c>
      <c r="V1019" s="3" t="s">
        <v>7492</v>
      </c>
      <c r="W1019" t="s">
        <v>74</v>
      </c>
      <c r="X1019" t="s">
        <v>74</v>
      </c>
      <c r="Y1019" t="s">
        <v>74</v>
      </c>
      <c r="Z1019" t="s">
        <v>74</v>
      </c>
      <c r="AA1019" t="s">
        <v>74</v>
      </c>
      <c r="AB1019" t="s">
        <v>74</v>
      </c>
      <c r="AC1019" t="s">
        <v>74</v>
      </c>
      <c r="AD1019" t="s">
        <v>74</v>
      </c>
      <c r="AE1019" t="s">
        <v>74</v>
      </c>
      <c r="AF1019" t="s">
        <v>74</v>
      </c>
      <c r="AG1019" t="s">
        <v>74</v>
      </c>
      <c r="AH1019" t="s">
        <v>74</v>
      </c>
      <c r="AI1019" t="s">
        <v>74</v>
      </c>
      <c r="AJ1019" t="s">
        <v>74</v>
      </c>
      <c r="AK1019" t="s">
        <v>74</v>
      </c>
      <c r="AL1019" t="s">
        <v>74</v>
      </c>
      <c r="AM1019" t="s">
        <v>74</v>
      </c>
      <c r="AN1019" t="s">
        <v>74</v>
      </c>
      <c r="AO1019" t="s">
        <v>337</v>
      </c>
      <c r="AP1019" t="s">
        <v>338</v>
      </c>
      <c r="AQ1019" t="s">
        <v>74</v>
      </c>
      <c r="AR1019" t="s">
        <v>74</v>
      </c>
      <c r="AS1019" t="s">
        <v>74</v>
      </c>
      <c r="AT1019" t="s">
        <v>339</v>
      </c>
      <c r="AU1019">
        <v>2013</v>
      </c>
      <c r="AV1019">
        <v>24</v>
      </c>
      <c r="AW1019">
        <v>4</v>
      </c>
      <c r="AX1019" t="s">
        <v>74</v>
      </c>
      <c r="AY1019" t="s">
        <v>74</v>
      </c>
      <c r="AZ1019" t="s">
        <v>74</v>
      </c>
      <c r="BA1019" t="s">
        <v>74</v>
      </c>
      <c r="BB1019">
        <v>955</v>
      </c>
      <c r="BC1019">
        <v>967</v>
      </c>
      <c r="BD1019" t="s">
        <v>74</v>
      </c>
      <c r="BE1019" t="s">
        <v>7493</v>
      </c>
      <c r="BF1019" t="str">
        <f>HYPERLINK("http://dx.doi.org/10.1093/beheco/art011","http://dx.doi.org/10.1093/beheco/art011")</f>
        <v>http://dx.doi.org/10.1093/beheco/art011</v>
      </c>
      <c r="BG1019" t="s">
        <v>74</v>
      </c>
      <c r="BH1019" t="s">
        <v>74</v>
      </c>
      <c r="BI1019" t="s">
        <v>74</v>
      </c>
      <c r="BJ1019" t="s">
        <v>74</v>
      </c>
      <c r="BK1019" t="s">
        <v>74</v>
      </c>
      <c r="BL1019" t="s">
        <v>74</v>
      </c>
      <c r="BM1019" t="s">
        <v>74</v>
      </c>
      <c r="BN1019" t="s">
        <v>74</v>
      </c>
      <c r="BO1019" t="s">
        <v>74</v>
      </c>
      <c r="BP1019" t="s">
        <v>74</v>
      </c>
      <c r="BQ1019" t="s">
        <v>74</v>
      </c>
      <c r="BR1019" t="s">
        <v>74</v>
      </c>
      <c r="BS1019" t="s">
        <v>7494</v>
      </c>
      <c r="BT1019" t="str">
        <f>HYPERLINK("https%3A%2F%2Fwww.webofscience.com%2Fwos%2Fwoscc%2Ffull-record%2FWOS:000320409900027","View Full Record in Web of Science")</f>
        <v>View Full Record in Web of Science</v>
      </c>
    </row>
    <row r="1020" spans="1:72" x14ac:dyDescent="0.4">
      <c r="A1020" t="s">
        <v>72</v>
      </c>
      <c r="B1020" t="s">
        <v>4870</v>
      </c>
      <c r="C1020" t="s">
        <v>74</v>
      </c>
      <c r="D1020" t="s">
        <v>74</v>
      </c>
      <c r="E1020" t="s">
        <v>74</v>
      </c>
      <c r="F1020" t="s">
        <v>4871</v>
      </c>
      <c r="G1020" t="s">
        <v>74</v>
      </c>
      <c r="H1020" t="s">
        <v>74</v>
      </c>
      <c r="I1020" t="s">
        <v>4872</v>
      </c>
      <c r="J1020" t="s">
        <v>763</v>
      </c>
      <c r="K1020" t="s">
        <v>74</v>
      </c>
      <c r="L1020" t="s">
        <v>74</v>
      </c>
      <c r="M1020" t="s">
        <v>74</v>
      </c>
      <c r="N1020" t="s">
        <v>74</v>
      </c>
      <c r="O1020" t="s">
        <v>74</v>
      </c>
      <c r="P1020" t="s">
        <v>74</v>
      </c>
      <c r="Q1020" t="s">
        <v>74</v>
      </c>
      <c r="R1020" t="s">
        <v>74</v>
      </c>
      <c r="S1020" t="s">
        <v>74</v>
      </c>
      <c r="T1020" t="s">
        <v>74</v>
      </c>
      <c r="U1020" t="s">
        <v>74</v>
      </c>
      <c r="V1020" s="3" t="s">
        <v>4873</v>
      </c>
      <c r="W1020" t="s">
        <v>74</v>
      </c>
      <c r="X1020" t="s">
        <v>74</v>
      </c>
      <c r="Y1020" t="s">
        <v>74</v>
      </c>
      <c r="Z1020" t="s">
        <v>74</v>
      </c>
      <c r="AA1020" t="s">
        <v>4874</v>
      </c>
      <c r="AB1020" t="s">
        <v>4875</v>
      </c>
      <c r="AC1020" t="s">
        <v>74</v>
      </c>
      <c r="AD1020" t="s">
        <v>74</v>
      </c>
      <c r="AE1020" t="s">
        <v>74</v>
      </c>
      <c r="AF1020" t="s">
        <v>74</v>
      </c>
      <c r="AG1020" t="s">
        <v>74</v>
      </c>
      <c r="AH1020" t="s">
        <v>74</v>
      </c>
      <c r="AI1020" t="s">
        <v>74</v>
      </c>
      <c r="AJ1020" t="s">
        <v>74</v>
      </c>
      <c r="AK1020" t="s">
        <v>74</v>
      </c>
      <c r="AL1020" t="s">
        <v>74</v>
      </c>
      <c r="AM1020" t="s">
        <v>74</v>
      </c>
      <c r="AN1020" t="s">
        <v>74</v>
      </c>
      <c r="AO1020" t="s">
        <v>767</v>
      </c>
      <c r="AP1020" t="s">
        <v>74</v>
      </c>
      <c r="AQ1020" t="s">
        <v>74</v>
      </c>
      <c r="AR1020" t="s">
        <v>74</v>
      </c>
      <c r="AS1020" t="s">
        <v>74</v>
      </c>
      <c r="AT1020" t="s">
        <v>134</v>
      </c>
      <c r="AU1020">
        <v>2013</v>
      </c>
      <c r="AV1020">
        <v>216</v>
      </c>
      <c r="AW1020">
        <v>9</v>
      </c>
      <c r="AX1020" t="s">
        <v>74</v>
      </c>
      <c r="AY1020" t="s">
        <v>74</v>
      </c>
      <c r="AZ1020" t="s">
        <v>74</v>
      </c>
      <c r="BA1020" t="s">
        <v>74</v>
      </c>
      <c r="BB1020">
        <v>1744</v>
      </c>
      <c r="BC1020">
        <v>1756</v>
      </c>
      <c r="BD1020" t="s">
        <v>74</v>
      </c>
      <c r="BE1020" t="s">
        <v>4876</v>
      </c>
      <c r="BF1020" t="str">
        <f>HYPERLINK("http://dx.doi.org/10.1242/jeb.071118","http://dx.doi.org/10.1242/jeb.071118")</f>
        <v>http://dx.doi.org/10.1242/jeb.071118</v>
      </c>
      <c r="BG1020" t="s">
        <v>74</v>
      </c>
      <c r="BH1020" t="s">
        <v>74</v>
      </c>
      <c r="BI1020" t="s">
        <v>74</v>
      </c>
      <c r="BJ1020" t="s">
        <v>74</v>
      </c>
      <c r="BK1020" t="s">
        <v>74</v>
      </c>
      <c r="BL1020" t="s">
        <v>74</v>
      </c>
      <c r="BM1020" t="s">
        <v>74</v>
      </c>
      <c r="BN1020">
        <v>23348952</v>
      </c>
      <c r="BO1020" t="s">
        <v>74</v>
      </c>
      <c r="BP1020" t="s">
        <v>74</v>
      </c>
      <c r="BQ1020" t="s">
        <v>74</v>
      </c>
      <c r="BR1020" t="s">
        <v>74</v>
      </c>
      <c r="BS1020" t="s">
        <v>4877</v>
      </c>
      <c r="BT1020" t="str">
        <f>HYPERLINK("https%3A%2F%2Fwww.webofscience.com%2Fwos%2Fwoscc%2Ffull-record%2FWOS:000317722700033","View Full Record in Web of Science")</f>
        <v>View Full Record in Web of Science</v>
      </c>
    </row>
    <row r="1021" spans="1:72" x14ac:dyDescent="0.4">
      <c r="A1021" t="s">
        <v>72</v>
      </c>
      <c r="B1021" t="s">
        <v>821</v>
      </c>
      <c r="C1021" t="s">
        <v>74</v>
      </c>
      <c r="D1021" t="s">
        <v>74</v>
      </c>
      <c r="E1021" t="s">
        <v>74</v>
      </c>
      <c r="F1021" t="s">
        <v>822</v>
      </c>
      <c r="G1021" t="s">
        <v>74</v>
      </c>
      <c r="H1021" t="s">
        <v>74</v>
      </c>
      <c r="I1021" t="s">
        <v>823</v>
      </c>
      <c r="J1021" t="s">
        <v>824</v>
      </c>
      <c r="K1021" t="s">
        <v>74</v>
      </c>
      <c r="L1021" t="s">
        <v>74</v>
      </c>
      <c r="M1021" t="s">
        <v>74</v>
      </c>
      <c r="N1021" t="s">
        <v>74</v>
      </c>
      <c r="O1021" t="s">
        <v>74</v>
      </c>
      <c r="P1021" t="s">
        <v>74</v>
      </c>
      <c r="Q1021" t="s">
        <v>74</v>
      </c>
      <c r="R1021" t="s">
        <v>74</v>
      </c>
      <c r="S1021" t="s">
        <v>74</v>
      </c>
      <c r="T1021" t="s">
        <v>74</v>
      </c>
      <c r="U1021" t="s">
        <v>74</v>
      </c>
      <c r="V1021" s="3" t="s">
        <v>825</v>
      </c>
      <c r="W1021" t="s">
        <v>74</v>
      </c>
      <c r="X1021" t="s">
        <v>74</v>
      </c>
      <c r="Y1021" t="s">
        <v>74</v>
      </c>
      <c r="Z1021" t="s">
        <v>74</v>
      </c>
      <c r="AA1021" t="s">
        <v>826</v>
      </c>
      <c r="AB1021" t="s">
        <v>827</v>
      </c>
      <c r="AC1021" t="s">
        <v>74</v>
      </c>
      <c r="AD1021" t="s">
        <v>74</v>
      </c>
      <c r="AE1021" t="s">
        <v>74</v>
      </c>
      <c r="AF1021" t="s">
        <v>74</v>
      </c>
      <c r="AG1021" t="s">
        <v>74</v>
      </c>
      <c r="AH1021" t="s">
        <v>74</v>
      </c>
      <c r="AI1021" t="s">
        <v>74</v>
      </c>
      <c r="AJ1021" t="s">
        <v>74</v>
      </c>
      <c r="AK1021" t="s">
        <v>74</v>
      </c>
      <c r="AL1021" t="s">
        <v>74</v>
      </c>
      <c r="AM1021" t="s">
        <v>74</v>
      </c>
      <c r="AN1021" t="s">
        <v>74</v>
      </c>
      <c r="AO1021" t="s">
        <v>828</v>
      </c>
      <c r="AP1021" t="s">
        <v>829</v>
      </c>
      <c r="AQ1021" t="s">
        <v>74</v>
      </c>
      <c r="AR1021" t="s">
        <v>74</v>
      </c>
      <c r="AS1021" t="s">
        <v>74</v>
      </c>
      <c r="AT1021" t="s">
        <v>352</v>
      </c>
      <c r="AU1021">
        <v>2017</v>
      </c>
      <c r="AV1021">
        <v>86</v>
      </c>
      <c r="AW1021">
        <v>5</v>
      </c>
      <c r="AX1021" t="s">
        <v>74</v>
      </c>
      <c r="AY1021" t="s">
        <v>74</v>
      </c>
      <c r="AZ1021" t="s">
        <v>74</v>
      </c>
      <c r="BA1021" t="s">
        <v>74</v>
      </c>
      <c r="BB1021">
        <v>1074</v>
      </c>
      <c r="BC1021">
        <v>1081</v>
      </c>
      <c r="BD1021" t="s">
        <v>74</v>
      </c>
      <c r="BE1021" t="s">
        <v>830</v>
      </c>
      <c r="BF1021" t="str">
        <f>HYPERLINK("http://dx.doi.org/10.1111/1365-2656.12690","http://dx.doi.org/10.1111/1365-2656.12690")</f>
        <v>http://dx.doi.org/10.1111/1365-2656.12690</v>
      </c>
      <c r="BG1021" t="s">
        <v>74</v>
      </c>
      <c r="BH1021" t="s">
        <v>74</v>
      </c>
      <c r="BI1021" t="s">
        <v>74</v>
      </c>
      <c r="BJ1021" t="s">
        <v>74</v>
      </c>
      <c r="BK1021" t="s">
        <v>74</v>
      </c>
      <c r="BL1021" t="s">
        <v>74</v>
      </c>
      <c r="BM1021" t="s">
        <v>74</v>
      </c>
      <c r="BN1021">
        <v>28502084</v>
      </c>
      <c r="BO1021" t="s">
        <v>74</v>
      </c>
      <c r="BP1021" t="s">
        <v>74</v>
      </c>
      <c r="BQ1021" t="s">
        <v>74</v>
      </c>
      <c r="BR1021" t="s">
        <v>74</v>
      </c>
      <c r="BS1021" t="s">
        <v>831</v>
      </c>
      <c r="BT1021" t="str">
        <f>HYPERLINK("https%3A%2F%2Fwww.webofscience.com%2Fwos%2Fwoscc%2Ffull-record%2FWOS:000407320500010","View Full Record in Web of Science")</f>
        <v>View Full Record in Web of Science</v>
      </c>
    </row>
    <row r="1022" spans="1:72" x14ac:dyDescent="0.4">
      <c r="A1022" t="s">
        <v>72</v>
      </c>
      <c r="B1022" t="s">
        <v>5895</v>
      </c>
      <c r="C1022" t="s">
        <v>74</v>
      </c>
      <c r="D1022" t="s">
        <v>74</v>
      </c>
      <c r="E1022" t="s">
        <v>74</v>
      </c>
      <c r="F1022" t="s">
        <v>5895</v>
      </c>
      <c r="G1022" t="s">
        <v>74</v>
      </c>
      <c r="H1022" t="s">
        <v>74</v>
      </c>
      <c r="I1022" t="s">
        <v>5896</v>
      </c>
      <c r="J1022" t="s">
        <v>5897</v>
      </c>
      <c r="K1022" t="s">
        <v>74</v>
      </c>
      <c r="L1022" t="s">
        <v>74</v>
      </c>
      <c r="M1022" t="s">
        <v>74</v>
      </c>
      <c r="N1022" t="s">
        <v>74</v>
      </c>
      <c r="O1022" t="s">
        <v>74</v>
      </c>
      <c r="P1022" t="s">
        <v>74</v>
      </c>
      <c r="Q1022" t="s">
        <v>74</v>
      </c>
      <c r="R1022" t="s">
        <v>74</v>
      </c>
      <c r="S1022" t="s">
        <v>74</v>
      </c>
      <c r="T1022" t="s">
        <v>74</v>
      </c>
      <c r="U1022" t="s">
        <v>74</v>
      </c>
      <c r="V1022" s="3" t="s">
        <v>5898</v>
      </c>
      <c r="W1022" t="s">
        <v>74</v>
      </c>
      <c r="X1022" t="s">
        <v>74</v>
      </c>
      <c r="Y1022" t="s">
        <v>74</v>
      </c>
      <c r="Z1022" t="s">
        <v>74</v>
      </c>
      <c r="AA1022" t="s">
        <v>74</v>
      </c>
      <c r="AB1022" t="s">
        <v>74</v>
      </c>
      <c r="AC1022" t="s">
        <v>74</v>
      </c>
      <c r="AD1022" t="s">
        <v>74</v>
      </c>
      <c r="AE1022" t="s">
        <v>74</v>
      </c>
      <c r="AF1022" t="s">
        <v>74</v>
      </c>
      <c r="AG1022" t="s">
        <v>74</v>
      </c>
      <c r="AH1022" t="s">
        <v>74</v>
      </c>
      <c r="AI1022" t="s">
        <v>74</v>
      </c>
      <c r="AJ1022" t="s">
        <v>74</v>
      </c>
      <c r="AK1022" t="s">
        <v>74</v>
      </c>
      <c r="AL1022" t="s">
        <v>74</v>
      </c>
      <c r="AM1022" t="s">
        <v>74</v>
      </c>
      <c r="AN1022" t="s">
        <v>74</v>
      </c>
      <c r="AO1022" t="s">
        <v>5899</v>
      </c>
      <c r="AP1022" t="s">
        <v>5900</v>
      </c>
      <c r="AQ1022" t="s">
        <v>74</v>
      </c>
      <c r="AR1022" t="s">
        <v>74</v>
      </c>
      <c r="AS1022" t="s">
        <v>74</v>
      </c>
      <c r="AT1022" t="s">
        <v>175</v>
      </c>
      <c r="AU1022">
        <v>1988</v>
      </c>
      <c r="AV1022">
        <v>61</v>
      </c>
      <c r="AW1022">
        <v>4</v>
      </c>
      <c r="AX1022" t="s">
        <v>74</v>
      </c>
      <c r="AY1022" t="s">
        <v>74</v>
      </c>
      <c r="AZ1022" t="s">
        <v>74</v>
      </c>
      <c r="BA1022" t="s">
        <v>74</v>
      </c>
      <c r="BB1022">
        <v>388</v>
      </c>
      <c r="BC1022">
        <v>395</v>
      </c>
      <c r="BD1022" t="s">
        <v>74</v>
      </c>
      <c r="BE1022" t="s">
        <v>74</v>
      </c>
      <c r="BF1022" t="s">
        <v>74</v>
      </c>
      <c r="BG1022" t="s">
        <v>74</v>
      </c>
      <c r="BH1022" t="s">
        <v>74</v>
      </c>
      <c r="BI1022" t="s">
        <v>74</v>
      </c>
      <c r="BJ1022" t="s">
        <v>74</v>
      </c>
      <c r="BK1022" t="s">
        <v>74</v>
      </c>
      <c r="BL1022" t="s">
        <v>74</v>
      </c>
      <c r="BM1022" t="s">
        <v>74</v>
      </c>
      <c r="BN1022" t="s">
        <v>74</v>
      </c>
      <c r="BO1022" t="s">
        <v>74</v>
      </c>
      <c r="BP1022" t="s">
        <v>74</v>
      </c>
      <c r="BQ1022" t="s">
        <v>74</v>
      </c>
      <c r="BR1022" t="s">
        <v>74</v>
      </c>
      <c r="BS1022" t="s">
        <v>5901</v>
      </c>
      <c r="BT1022" t="str">
        <f>HYPERLINK("https%3A%2F%2Fwww.webofscience.com%2Fwos%2Fwoscc%2Ffull-record%2FWOS:A1988T891300004","View Full Record in Web of Science")</f>
        <v>View Full Record in Web of Science</v>
      </c>
    </row>
    <row r="1023" spans="1:72" x14ac:dyDescent="0.4">
      <c r="A1023" t="s">
        <v>72</v>
      </c>
      <c r="B1023" t="s">
        <v>8266</v>
      </c>
      <c r="C1023" t="s">
        <v>74</v>
      </c>
      <c r="D1023" t="s">
        <v>74</v>
      </c>
      <c r="E1023" t="s">
        <v>74</v>
      </c>
      <c r="F1023" t="s">
        <v>8267</v>
      </c>
      <c r="G1023" t="s">
        <v>74</v>
      </c>
      <c r="H1023" t="s">
        <v>74</v>
      </c>
      <c r="I1023" t="s">
        <v>8268</v>
      </c>
      <c r="J1023" t="s">
        <v>8269</v>
      </c>
      <c r="K1023" t="s">
        <v>74</v>
      </c>
      <c r="L1023" t="s">
        <v>74</v>
      </c>
      <c r="M1023" t="s">
        <v>74</v>
      </c>
      <c r="N1023" t="s">
        <v>74</v>
      </c>
      <c r="O1023" t="s">
        <v>74</v>
      </c>
      <c r="P1023" t="s">
        <v>74</v>
      </c>
      <c r="Q1023" t="s">
        <v>74</v>
      </c>
      <c r="R1023" t="s">
        <v>74</v>
      </c>
      <c r="S1023" t="s">
        <v>74</v>
      </c>
      <c r="T1023" t="s">
        <v>74</v>
      </c>
      <c r="U1023" t="s">
        <v>74</v>
      </c>
      <c r="V1023" s="3" t="s">
        <v>8270</v>
      </c>
      <c r="W1023" t="s">
        <v>74</v>
      </c>
      <c r="X1023" t="s">
        <v>74</v>
      </c>
      <c r="Y1023" t="s">
        <v>74</v>
      </c>
      <c r="Z1023" t="s">
        <v>74</v>
      </c>
      <c r="AA1023" t="s">
        <v>8271</v>
      </c>
      <c r="AB1023" t="s">
        <v>8272</v>
      </c>
      <c r="AC1023" t="s">
        <v>74</v>
      </c>
      <c r="AD1023" t="s">
        <v>74</v>
      </c>
      <c r="AE1023" t="s">
        <v>74</v>
      </c>
      <c r="AF1023" t="s">
        <v>74</v>
      </c>
      <c r="AG1023" t="s">
        <v>74</v>
      </c>
      <c r="AH1023" t="s">
        <v>74</v>
      </c>
      <c r="AI1023" t="s">
        <v>74</v>
      </c>
      <c r="AJ1023" t="s">
        <v>74</v>
      </c>
      <c r="AK1023" t="s">
        <v>74</v>
      </c>
      <c r="AL1023" t="s">
        <v>74</v>
      </c>
      <c r="AM1023" t="s">
        <v>74</v>
      </c>
      <c r="AN1023" t="s">
        <v>74</v>
      </c>
      <c r="AO1023" t="s">
        <v>8273</v>
      </c>
      <c r="AP1023" t="s">
        <v>74</v>
      </c>
      <c r="AQ1023" t="s">
        <v>74</v>
      </c>
      <c r="AR1023" t="s">
        <v>74</v>
      </c>
      <c r="AS1023" t="s">
        <v>74</v>
      </c>
      <c r="AT1023" t="s">
        <v>1090</v>
      </c>
      <c r="AU1023">
        <v>2014</v>
      </c>
      <c r="AV1023">
        <v>78</v>
      </c>
      <c r="AW1023" t="s">
        <v>74</v>
      </c>
      <c r="AX1023" t="s">
        <v>74</v>
      </c>
      <c r="AY1023" t="s">
        <v>74</v>
      </c>
      <c r="AZ1023" t="s">
        <v>74</v>
      </c>
      <c r="BA1023" t="s">
        <v>74</v>
      </c>
      <c r="BB1023" t="s">
        <v>74</v>
      </c>
      <c r="BC1023" t="s">
        <v>74</v>
      </c>
      <c r="BD1023" t="s">
        <v>74</v>
      </c>
      <c r="BE1023" t="s">
        <v>8274</v>
      </c>
      <c r="BF1023" t="str">
        <f>HYPERLINK("http://dx.doi.org/10.1399/eps.2013.1","http://dx.doi.org/10.1399/eps.2013.1")</f>
        <v>http://dx.doi.org/10.1399/eps.2013.1</v>
      </c>
      <c r="BG1023" t="s">
        <v>74</v>
      </c>
      <c r="BH1023" t="s">
        <v>74</v>
      </c>
      <c r="BI1023" t="s">
        <v>74</v>
      </c>
      <c r="BJ1023" t="s">
        <v>74</v>
      </c>
      <c r="BK1023" t="s">
        <v>74</v>
      </c>
      <c r="BL1023" t="s">
        <v>74</v>
      </c>
      <c r="BM1023" t="s">
        <v>74</v>
      </c>
      <c r="BN1023" t="s">
        <v>74</v>
      </c>
      <c r="BO1023" t="s">
        <v>74</v>
      </c>
      <c r="BP1023" t="s">
        <v>74</v>
      </c>
      <c r="BQ1023" t="s">
        <v>74</v>
      </c>
      <c r="BR1023" t="s">
        <v>74</v>
      </c>
      <c r="BS1023" t="s">
        <v>8275</v>
      </c>
      <c r="BT1023" t="str">
        <f>HYPERLINK("https%3A%2F%2Fwww.webofscience.com%2Fwos%2Fwoscc%2Ffull-record%2FWOS:000343648600001","View Full Record in Web of Science")</f>
        <v>View Full Record in Web of Science</v>
      </c>
    </row>
    <row r="1024" spans="1:72" x14ac:dyDescent="0.4">
      <c r="A1024" t="s">
        <v>72</v>
      </c>
      <c r="B1024" t="s">
        <v>2464</v>
      </c>
      <c r="C1024" t="s">
        <v>74</v>
      </c>
      <c r="D1024" t="s">
        <v>74</v>
      </c>
      <c r="E1024" t="s">
        <v>74</v>
      </c>
      <c r="F1024" t="s">
        <v>2464</v>
      </c>
      <c r="G1024" t="s">
        <v>74</v>
      </c>
      <c r="H1024" t="s">
        <v>74</v>
      </c>
      <c r="I1024" t="s">
        <v>2465</v>
      </c>
      <c r="J1024" t="s">
        <v>2466</v>
      </c>
      <c r="K1024" t="s">
        <v>74</v>
      </c>
      <c r="L1024" t="s">
        <v>74</v>
      </c>
      <c r="M1024" t="s">
        <v>74</v>
      </c>
      <c r="N1024" t="s">
        <v>74</v>
      </c>
      <c r="O1024" t="s">
        <v>74</v>
      </c>
      <c r="P1024" t="s">
        <v>74</v>
      </c>
      <c r="Q1024" t="s">
        <v>74</v>
      </c>
      <c r="R1024" t="s">
        <v>74</v>
      </c>
      <c r="S1024" t="s">
        <v>74</v>
      </c>
      <c r="T1024" t="s">
        <v>74</v>
      </c>
      <c r="U1024" t="s">
        <v>74</v>
      </c>
      <c r="V1024" s="3" t="s">
        <v>2467</v>
      </c>
      <c r="W1024" t="s">
        <v>74</v>
      </c>
      <c r="X1024" t="s">
        <v>74</v>
      </c>
      <c r="Y1024" t="s">
        <v>74</v>
      </c>
      <c r="Z1024" t="s">
        <v>74</v>
      </c>
      <c r="AA1024" t="s">
        <v>2468</v>
      </c>
      <c r="AB1024" t="s">
        <v>2469</v>
      </c>
      <c r="AC1024" t="s">
        <v>74</v>
      </c>
      <c r="AD1024" t="s">
        <v>74</v>
      </c>
      <c r="AE1024" t="s">
        <v>74</v>
      </c>
      <c r="AF1024" t="s">
        <v>74</v>
      </c>
      <c r="AG1024" t="s">
        <v>74</v>
      </c>
      <c r="AH1024" t="s">
        <v>74</v>
      </c>
      <c r="AI1024" t="s">
        <v>74</v>
      </c>
      <c r="AJ1024" t="s">
        <v>74</v>
      </c>
      <c r="AK1024" t="s">
        <v>74</v>
      </c>
      <c r="AL1024" t="s">
        <v>74</v>
      </c>
      <c r="AM1024" t="s">
        <v>74</v>
      </c>
      <c r="AN1024" t="s">
        <v>74</v>
      </c>
      <c r="AO1024" t="s">
        <v>2470</v>
      </c>
      <c r="AP1024" t="s">
        <v>2471</v>
      </c>
      <c r="AQ1024" t="s">
        <v>74</v>
      </c>
      <c r="AR1024" t="s">
        <v>74</v>
      </c>
      <c r="AS1024" t="s">
        <v>74</v>
      </c>
      <c r="AT1024" t="s">
        <v>204</v>
      </c>
      <c r="AU1024">
        <v>2005</v>
      </c>
      <c r="AV1024">
        <v>83</v>
      </c>
      <c r="AW1024">
        <v>7</v>
      </c>
      <c r="AX1024" t="s">
        <v>74</v>
      </c>
      <c r="AY1024" t="s">
        <v>74</v>
      </c>
      <c r="AZ1024" t="s">
        <v>74</v>
      </c>
      <c r="BA1024" t="s">
        <v>74</v>
      </c>
      <c r="BB1024">
        <v>1664</v>
      </c>
      <c r="BC1024">
        <v>1672</v>
      </c>
      <c r="BD1024" t="s">
        <v>74</v>
      </c>
      <c r="BE1024" t="s">
        <v>74</v>
      </c>
      <c r="BF1024" t="s">
        <v>74</v>
      </c>
      <c r="BG1024" t="s">
        <v>74</v>
      </c>
      <c r="BH1024" t="s">
        <v>74</v>
      </c>
      <c r="BI1024" t="s">
        <v>74</v>
      </c>
      <c r="BJ1024" t="s">
        <v>74</v>
      </c>
      <c r="BK1024" t="s">
        <v>74</v>
      </c>
      <c r="BL1024" t="s">
        <v>74</v>
      </c>
      <c r="BM1024" t="s">
        <v>74</v>
      </c>
      <c r="BN1024">
        <v>15956475</v>
      </c>
      <c r="BO1024" t="s">
        <v>74</v>
      </c>
      <c r="BP1024" t="s">
        <v>74</v>
      </c>
      <c r="BQ1024" t="s">
        <v>74</v>
      </c>
      <c r="BR1024" t="s">
        <v>74</v>
      </c>
      <c r="BS1024" t="s">
        <v>2472</v>
      </c>
      <c r="BT1024" t="str">
        <f>HYPERLINK("https%3A%2F%2Fwww.webofscience.com%2Fwos%2Fwoscc%2Ffull-record%2FWOS:000235847500021","View Full Record in Web of Science")</f>
        <v>View Full Record in Web of Science</v>
      </c>
    </row>
    <row r="1025" spans="1:72" x14ac:dyDescent="0.4">
      <c r="A1025" t="s">
        <v>72</v>
      </c>
      <c r="B1025" t="s">
        <v>5063</v>
      </c>
      <c r="C1025" t="s">
        <v>74</v>
      </c>
      <c r="D1025" t="s">
        <v>74</v>
      </c>
      <c r="E1025" t="s">
        <v>74</v>
      </c>
      <c r="F1025" t="s">
        <v>5063</v>
      </c>
      <c r="G1025" t="s">
        <v>74</v>
      </c>
      <c r="H1025" t="s">
        <v>74</v>
      </c>
      <c r="I1025" t="s">
        <v>5064</v>
      </c>
      <c r="J1025" t="s">
        <v>5065</v>
      </c>
      <c r="K1025" t="s">
        <v>74</v>
      </c>
      <c r="L1025" t="s">
        <v>74</v>
      </c>
      <c r="M1025" t="s">
        <v>74</v>
      </c>
      <c r="N1025" t="s">
        <v>74</v>
      </c>
      <c r="O1025" t="s">
        <v>74</v>
      </c>
      <c r="P1025" t="s">
        <v>74</v>
      </c>
      <c r="Q1025" t="s">
        <v>74</v>
      </c>
      <c r="R1025" t="s">
        <v>74</v>
      </c>
      <c r="S1025" t="s">
        <v>74</v>
      </c>
      <c r="T1025" t="s">
        <v>74</v>
      </c>
      <c r="U1025" t="s">
        <v>74</v>
      </c>
      <c r="V1025" s="3" t="s">
        <v>5066</v>
      </c>
      <c r="W1025" t="s">
        <v>74</v>
      </c>
      <c r="X1025" t="s">
        <v>74</v>
      </c>
      <c r="Y1025" t="s">
        <v>74</v>
      </c>
      <c r="Z1025" t="s">
        <v>74</v>
      </c>
      <c r="AA1025" t="s">
        <v>5067</v>
      </c>
      <c r="AB1025" t="s">
        <v>74</v>
      </c>
      <c r="AC1025" t="s">
        <v>74</v>
      </c>
      <c r="AD1025" t="s">
        <v>74</v>
      </c>
      <c r="AE1025" t="s">
        <v>74</v>
      </c>
      <c r="AF1025" t="s">
        <v>74</v>
      </c>
      <c r="AG1025" t="s">
        <v>74</v>
      </c>
      <c r="AH1025" t="s">
        <v>74</v>
      </c>
      <c r="AI1025" t="s">
        <v>74</v>
      </c>
      <c r="AJ1025" t="s">
        <v>74</v>
      </c>
      <c r="AK1025" t="s">
        <v>74</v>
      </c>
      <c r="AL1025" t="s">
        <v>74</v>
      </c>
      <c r="AM1025" t="s">
        <v>74</v>
      </c>
      <c r="AN1025" t="s">
        <v>74</v>
      </c>
      <c r="AO1025" t="s">
        <v>5068</v>
      </c>
      <c r="AP1025" t="s">
        <v>74</v>
      </c>
      <c r="AQ1025" t="s">
        <v>74</v>
      </c>
      <c r="AR1025" t="s">
        <v>74</v>
      </c>
      <c r="AS1025" t="s">
        <v>74</v>
      </c>
      <c r="AT1025" t="s">
        <v>74</v>
      </c>
      <c r="AU1025">
        <v>1979</v>
      </c>
      <c r="AV1025">
        <v>6</v>
      </c>
      <c r="AW1025">
        <v>2</v>
      </c>
      <c r="AX1025" t="s">
        <v>74</v>
      </c>
      <c r="AY1025" t="s">
        <v>74</v>
      </c>
      <c r="AZ1025" t="s">
        <v>74</v>
      </c>
      <c r="BA1025" t="s">
        <v>74</v>
      </c>
      <c r="BB1025">
        <v>83</v>
      </c>
      <c r="BC1025">
        <v>93</v>
      </c>
      <c r="BD1025" t="s">
        <v>74</v>
      </c>
      <c r="BE1025" t="s">
        <v>5069</v>
      </c>
      <c r="BF1025" t="str">
        <f>HYPERLINK("http://dx.doi.org/10.1080/10236247909378556","http://dx.doi.org/10.1080/10236247909378556")</f>
        <v>http://dx.doi.org/10.1080/10236247909378556</v>
      </c>
      <c r="BG1025" t="s">
        <v>74</v>
      </c>
      <c r="BH1025" t="s">
        <v>74</v>
      </c>
      <c r="BI1025" t="s">
        <v>74</v>
      </c>
      <c r="BJ1025" t="s">
        <v>74</v>
      </c>
      <c r="BK1025" t="s">
        <v>74</v>
      </c>
      <c r="BL1025" t="s">
        <v>74</v>
      </c>
      <c r="BM1025" t="s">
        <v>74</v>
      </c>
      <c r="BN1025" t="s">
        <v>74</v>
      </c>
      <c r="BO1025" t="s">
        <v>74</v>
      </c>
      <c r="BP1025" t="s">
        <v>74</v>
      </c>
      <c r="BQ1025" t="s">
        <v>74</v>
      </c>
      <c r="BR1025" t="s">
        <v>74</v>
      </c>
      <c r="BS1025" t="s">
        <v>5070</v>
      </c>
      <c r="BT1025" t="str">
        <f>HYPERLINK("https%3A%2F%2Fwww.webofscience.com%2Fwos%2Fwoscc%2Ffull-record%2FWOS:A1979HB35100001","View Full Record in Web of Science")</f>
        <v>View Full Record in Web of Science</v>
      </c>
    </row>
    <row r="1026" spans="1:72" x14ac:dyDescent="0.4">
      <c r="A1026" t="s">
        <v>72</v>
      </c>
      <c r="B1026" t="s">
        <v>599</v>
      </c>
      <c r="C1026" t="s">
        <v>74</v>
      </c>
      <c r="D1026" t="s">
        <v>74</v>
      </c>
      <c r="E1026" t="s">
        <v>74</v>
      </c>
      <c r="F1026" t="s">
        <v>600</v>
      </c>
      <c r="G1026" t="s">
        <v>74</v>
      </c>
      <c r="H1026" t="s">
        <v>74</v>
      </c>
      <c r="I1026" t="s">
        <v>601</v>
      </c>
      <c r="J1026" t="s">
        <v>602</v>
      </c>
      <c r="K1026" t="s">
        <v>74</v>
      </c>
      <c r="L1026" t="s">
        <v>74</v>
      </c>
      <c r="M1026" t="s">
        <v>74</v>
      </c>
      <c r="N1026" t="s">
        <v>74</v>
      </c>
      <c r="O1026" t="s">
        <v>74</v>
      </c>
      <c r="P1026" t="s">
        <v>74</v>
      </c>
      <c r="Q1026" t="s">
        <v>74</v>
      </c>
      <c r="R1026" t="s">
        <v>74</v>
      </c>
      <c r="S1026" t="s">
        <v>74</v>
      </c>
      <c r="T1026" t="s">
        <v>74</v>
      </c>
      <c r="U1026" t="s">
        <v>74</v>
      </c>
      <c r="V1026" s="3" t="s">
        <v>603</v>
      </c>
      <c r="W1026" t="s">
        <v>74</v>
      </c>
      <c r="X1026" t="s">
        <v>74</v>
      </c>
      <c r="Y1026" t="s">
        <v>74</v>
      </c>
      <c r="Z1026" t="s">
        <v>74</v>
      </c>
      <c r="AA1026" t="s">
        <v>604</v>
      </c>
      <c r="AB1026" t="s">
        <v>74</v>
      </c>
      <c r="AC1026" t="s">
        <v>74</v>
      </c>
      <c r="AD1026" t="s">
        <v>74</v>
      </c>
      <c r="AE1026" t="s">
        <v>74</v>
      </c>
      <c r="AF1026" t="s">
        <v>74</v>
      </c>
      <c r="AG1026" t="s">
        <v>74</v>
      </c>
      <c r="AH1026" t="s">
        <v>74</v>
      </c>
      <c r="AI1026" t="s">
        <v>74</v>
      </c>
      <c r="AJ1026" t="s">
        <v>74</v>
      </c>
      <c r="AK1026" t="s">
        <v>74</v>
      </c>
      <c r="AL1026" t="s">
        <v>74</v>
      </c>
      <c r="AM1026" t="s">
        <v>74</v>
      </c>
      <c r="AN1026" t="s">
        <v>74</v>
      </c>
      <c r="AO1026" t="s">
        <v>605</v>
      </c>
      <c r="AP1026" t="s">
        <v>74</v>
      </c>
      <c r="AQ1026" t="s">
        <v>74</v>
      </c>
      <c r="AR1026" t="s">
        <v>74</v>
      </c>
      <c r="AS1026" t="s">
        <v>74</v>
      </c>
      <c r="AT1026" t="s">
        <v>74</v>
      </c>
      <c r="AU1026">
        <v>2011</v>
      </c>
      <c r="AV1026">
        <v>63</v>
      </c>
      <c r="AW1026" t="s">
        <v>74</v>
      </c>
      <c r="AX1026" t="s">
        <v>74</v>
      </c>
      <c r="AY1026" t="s">
        <v>74</v>
      </c>
      <c r="AZ1026" t="s">
        <v>74</v>
      </c>
      <c r="BA1026" t="s">
        <v>74</v>
      </c>
      <c r="BB1026" t="s">
        <v>74</v>
      </c>
      <c r="BC1026" t="s">
        <v>74</v>
      </c>
      <c r="BD1026">
        <v>532</v>
      </c>
      <c r="BE1026" t="s">
        <v>74</v>
      </c>
      <c r="BF1026" t="s">
        <v>74</v>
      </c>
      <c r="BG1026" t="s">
        <v>74</v>
      </c>
      <c r="BH1026" t="s">
        <v>74</v>
      </c>
      <c r="BI1026" t="s">
        <v>74</v>
      </c>
      <c r="BJ1026" t="s">
        <v>74</v>
      </c>
      <c r="BK1026" t="s">
        <v>74</v>
      </c>
      <c r="BL1026" t="s">
        <v>74</v>
      </c>
      <c r="BM1026" t="s">
        <v>74</v>
      </c>
      <c r="BN1026" t="s">
        <v>74</v>
      </c>
      <c r="BO1026" t="s">
        <v>74</v>
      </c>
      <c r="BP1026" t="s">
        <v>74</v>
      </c>
      <c r="BQ1026" t="s">
        <v>74</v>
      </c>
      <c r="BR1026" t="s">
        <v>74</v>
      </c>
      <c r="BS1026" t="s">
        <v>606</v>
      </c>
      <c r="BT1026" t="str">
        <f>HYPERLINK("https%3A%2F%2Fwww.webofscience.com%2Fwos%2Fwoscc%2Ffull-record%2FWOS:000296494000001","View Full Record in Web of Science")</f>
        <v>View Full Record in Web of Science</v>
      </c>
    </row>
    <row r="1027" spans="1:72" x14ac:dyDescent="0.4">
      <c r="A1027" t="s">
        <v>72</v>
      </c>
      <c r="B1027" t="s">
        <v>4943</v>
      </c>
      <c r="C1027" t="s">
        <v>74</v>
      </c>
      <c r="D1027" t="s">
        <v>74</v>
      </c>
      <c r="E1027" t="s">
        <v>74</v>
      </c>
      <c r="F1027" t="s">
        <v>4944</v>
      </c>
      <c r="G1027" t="s">
        <v>74</v>
      </c>
      <c r="H1027" t="s">
        <v>74</v>
      </c>
      <c r="I1027" t="s">
        <v>4945</v>
      </c>
      <c r="J1027" t="s">
        <v>129</v>
      </c>
      <c r="K1027" t="s">
        <v>74</v>
      </c>
      <c r="L1027" t="s">
        <v>74</v>
      </c>
      <c r="M1027" t="s">
        <v>74</v>
      </c>
      <c r="N1027" t="s">
        <v>74</v>
      </c>
      <c r="O1027" t="s">
        <v>74</v>
      </c>
      <c r="P1027" t="s">
        <v>74</v>
      </c>
      <c r="Q1027" t="s">
        <v>74</v>
      </c>
      <c r="R1027" t="s">
        <v>74</v>
      </c>
      <c r="S1027" t="s">
        <v>74</v>
      </c>
      <c r="T1027" t="s">
        <v>74</v>
      </c>
      <c r="U1027" t="s">
        <v>74</v>
      </c>
      <c r="V1027" s="3" t="s">
        <v>4946</v>
      </c>
      <c r="W1027" t="s">
        <v>74</v>
      </c>
      <c r="X1027" t="s">
        <v>74</v>
      </c>
      <c r="Y1027" t="s">
        <v>74</v>
      </c>
      <c r="Z1027" t="s">
        <v>74</v>
      </c>
      <c r="AA1027" t="s">
        <v>74</v>
      </c>
      <c r="AB1027" t="s">
        <v>74</v>
      </c>
      <c r="AC1027" t="s">
        <v>74</v>
      </c>
      <c r="AD1027" t="s">
        <v>74</v>
      </c>
      <c r="AE1027" t="s">
        <v>74</v>
      </c>
      <c r="AF1027" t="s">
        <v>74</v>
      </c>
      <c r="AG1027" t="s">
        <v>74</v>
      </c>
      <c r="AH1027" t="s">
        <v>74</v>
      </c>
      <c r="AI1027" t="s">
        <v>74</v>
      </c>
      <c r="AJ1027" t="s">
        <v>74</v>
      </c>
      <c r="AK1027" t="s">
        <v>74</v>
      </c>
      <c r="AL1027" t="s">
        <v>74</v>
      </c>
      <c r="AM1027" t="s">
        <v>74</v>
      </c>
      <c r="AN1027" t="s">
        <v>74</v>
      </c>
      <c r="AO1027" t="s">
        <v>132</v>
      </c>
      <c r="AP1027" t="s">
        <v>133</v>
      </c>
      <c r="AQ1027" t="s">
        <v>74</v>
      </c>
      <c r="AR1027" t="s">
        <v>74</v>
      </c>
      <c r="AS1027" t="s">
        <v>74</v>
      </c>
      <c r="AT1027" t="s">
        <v>305</v>
      </c>
      <c r="AU1027">
        <v>2009</v>
      </c>
      <c r="AV1027">
        <v>64</v>
      </c>
      <c r="AW1027">
        <v>2</v>
      </c>
      <c r="AX1027" t="s">
        <v>74</v>
      </c>
      <c r="AY1027" t="s">
        <v>74</v>
      </c>
      <c r="AZ1027" t="s">
        <v>74</v>
      </c>
      <c r="BA1027" t="s">
        <v>74</v>
      </c>
      <c r="BB1027">
        <v>225</v>
      </c>
      <c r="BC1027">
        <v>236</v>
      </c>
      <c r="BD1027" t="s">
        <v>74</v>
      </c>
      <c r="BE1027" t="s">
        <v>4947</v>
      </c>
      <c r="BF1027" t="str">
        <f>HYPERLINK("http://dx.doi.org/10.1007/s00265-009-0839-x","http://dx.doi.org/10.1007/s00265-009-0839-x")</f>
        <v>http://dx.doi.org/10.1007/s00265-009-0839-x</v>
      </c>
      <c r="BG1027" t="s">
        <v>74</v>
      </c>
      <c r="BH1027" t="s">
        <v>74</v>
      </c>
      <c r="BI1027" t="s">
        <v>74</v>
      </c>
      <c r="BJ1027" t="s">
        <v>74</v>
      </c>
      <c r="BK1027" t="s">
        <v>74</v>
      </c>
      <c r="BL1027" t="s">
        <v>74</v>
      </c>
      <c r="BM1027" t="s">
        <v>74</v>
      </c>
      <c r="BN1027" t="s">
        <v>74</v>
      </c>
      <c r="BO1027" t="s">
        <v>74</v>
      </c>
      <c r="BP1027" t="s">
        <v>74</v>
      </c>
      <c r="BQ1027" t="s">
        <v>74</v>
      </c>
      <c r="BR1027" t="s">
        <v>74</v>
      </c>
      <c r="BS1027" t="s">
        <v>4948</v>
      </c>
      <c r="BT1027" t="str">
        <f>HYPERLINK("https%3A%2F%2Fwww.webofscience.com%2Fwos%2Fwoscc%2Ffull-record%2FWOS:000271978300008","View Full Record in Web of Science")</f>
        <v>View Full Record in Web of Science</v>
      </c>
    </row>
    <row r="1028" spans="1:72" x14ac:dyDescent="0.4">
      <c r="A1028" t="s">
        <v>72</v>
      </c>
      <c r="B1028" t="s">
        <v>991</v>
      </c>
      <c r="C1028" t="s">
        <v>74</v>
      </c>
      <c r="D1028" t="s">
        <v>74</v>
      </c>
      <c r="E1028" t="s">
        <v>74</v>
      </c>
      <c r="F1028" t="s">
        <v>992</v>
      </c>
      <c r="G1028" t="s">
        <v>74</v>
      </c>
      <c r="H1028" t="s">
        <v>74</v>
      </c>
      <c r="I1028" t="s">
        <v>993</v>
      </c>
      <c r="J1028" t="s">
        <v>775</v>
      </c>
      <c r="K1028" t="s">
        <v>74</v>
      </c>
      <c r="L1028" t="s">
        <v>74</v>
      </c>
      <c r="M1028" t="s">
        <v>74</v>
      </c>
      <c r="N1028" t="s">
        <v>74</v>
      </c>
      <c r="O1028" t="s">
        <v>74</v>
      </c>
      <c r="P1028" t="s">
        <v>74</v>
      </c>
      <c r="Q1028" t="s">
        <v>74</v>
      </c>
      <c r="R1028" t="s">
        <v>74</v>
      </c>
      <c r="S1028" t="s">
        <v>74</v>
      </c>
      <c r="T1028" t="s">
        <v>74</v>
      </c>
      <c r="U1028" t="s">
        <v>74</v>
      </c>
      <c r="V1028" s="3" t="s">
        <v>994</v>
      </c>
      <c r="W1028" t="s">
        <v>74</v>
      </c>
      <c r="X1028" t="s">
        <v>74</v>
      </c>
      <c r="Y1028" t="s">
        <v>74</v>
      </c>
      <c r="Z1028" t="s">
        <v>74</v>
      </c>
      <c r="AA1028" t="s">
        <v>995</v>
      </c>
      <c r="AB1028" t="s">
        <v>996</v>
      </c>
      <c r="AC1028" t="s">
        <v>74</v>
      </c>
      <c r="AD1028" t="s">
        <v>74</v>
      </c>
      <c r="AE1028" t="s">
        <v>74</v>
      </c>
      <c r="AF1028" t="s">
        <v>74</v>
      </c>
      <c r="AG1028" t="s">
        <v>74</v>
      </c>
      <c r="AH1028" t="s">
        <v>74</v>
      </c>
      <c r="AI1028" t="s">
        <v>74</v>
      </c>
      <c r="AJ1028" t="s">
        <v>74</v>
      </c>
      <c r="AK1028" t="s">
        <v>74</v>
      </c>
      <c r="AL1028" t="s">
        <v>74</v>
      </c>
      <c r="AM1028" t="s">
        <v>74</v>
      </c>
      <c r="AN1028" t="s">
        <v>74</v>
      </c>
      <c r="AO1028" t="s">
        <v>778</v>
      </c>
      <c r="AP1028" t="s">
        <v>779</v>
      </c>
      <c r="AQ1028" t="s">
        <v>74</v>
      </c>
      <c r="AR1028" t="s">
        <v>74</v>
      </c>
      <c r="AS1028" t="s">
        <v>74</v>
      </c>
      <c r="AT1028" t="s">
        <v>964</v>
      </c>
      <c r="AU1028">
        <v>2018</v>
      </c>
      <c r="AV1028">
        <v>64</v>
      </c>
      <c r="AW1028">
        <v>1</v>
      </c>
      <c r="AX1028" t="s">
        <v>74</v>
      </c>
      <c r="AY1028" t="s">
        <v>74</v>
      </c>
      <c r="AZ1028" t="s">
        <v>74</v>
      </c>
      <c r="BA1028" t="s">
        <v>74</v>
      </c>
      <c r="BB1028">
        <v>115</v>
      </c>
      <c r="BC1028">
        <v>123</v>
      </c>
      <c r="BD1028" t="s">
        <v>74</v>
      </c>
      <c r="BE1028" t="s">
        <v>997</v>
      </c>
      <c r="BF1028" t="str">
        <f>HYPERLINK("http://dx.doi.org/10.1093/cz/zox070","http://dx.doi.org/10.1093/cz/zox070")</f>
        <v>http://dx.doi.org/10.1093/cz/zox070</v>
      </c>
      <c r="BG1028" t="s">
        <v>74</v>
      </c>
      <c r="BH1028" t="s">
        <v>74</v>
      </c>
      <c r="BI1028" t="s">
        <v>74</v>
      </c>
      <c r="BJ1028" t="s">
        <v>74</v>
      </c>
      <c r="BK1028" t="s">
        <v>74</v>
      </c>
      <c r="BL1028" t="s">
        <v>74</v>
      </c>
      <c r="BM1028" t="s">
        <v>74</v>
      </c>
      <c r="BN1028">
        <v>29492044</v>
      </c>
      <c r="BO1028" t="s">
        <v>74</v>
      </c>
      <c r="BP1028" t="s">
        <v>74</v>
      </c>
      <c r="BQ1028" t="s">
        <v>74</v>
      </c>
      <c r="BR1028" t="s">
        <v>74</v>
      </c>
      <c r="BS1028" t="s">
        <v>998</v>
      </c>
      <c r="BT1028" t="str">
        <f>HYPERLINK("https%3A%2F%2Fwww.webofscience.com%2Fwos%2Fwoscc%2Ffull-record%2FWOS:000425719000012","View Full Record in Web of Science")</f>
        <v>View Full Record in Web of Science</v>
      </c>
    </row>
    <row r="1029" spans="1:72" x14ac:dyDescent="0.4">
      <c r="A1029" t="s">
        <v>72</v>
      </c>
      <c r="B1029" t="s">
        <v>4578</v>
      </c>
      <c r="C1029" t="s">
        <v>74</v>
      </c>
      <c r="D1029" t="s">
        <v>74</v>
      </c>
      <c r="E1029" t="s">
        <v>74</v>
      </c>
      <c r="F1029" t="s">
        <v>4579</v>
      </c>
      <c r="G1029" t="s">
        <v>74</v>
      </c>
      <c r="H1029" t="s">
        <v>74</v>
      </c>
      <c r="I1029" t="s">
        <v>4580</v>
      </c>
      <c r="J1029" t="s">
        <v>333</v>
      </c>
      <c r="K1029" t="s">
        <v>74</v>
      </c>
      <c r="L1029" t="s">
        <v>74</v>
      </c>
      <c r="M1029" t="s">
        <v>74</v>
      </c>
      <c r="N1029" t="s">
        <v>74</v>
      </c>
      <c r="O1029" t="s">
        <v>74</v>
      </c>
      <c r="P1029" t="s">
        <v>74</v>
      </c>
      <c r="Q1029" t="s">
        <v>74</v>
      </c>
      <c r="R1029" t="s">
        <v>74</v>
      </c>
      <c r="S1029" t="s">
        <v>74</v>
      </c>
      <c r="T1029" t="s">
        <v>74</v>
      </c>
      <c r="U1029" t="s">
        <v>74</v>
      </c>
      <c r="V1029" s="3" t="s">
        <v>4581</v>
      </c>
      <c r="W1029" t="s">
        <v>74</v>
      </c>
      <c r="X1029" t="s">
        <v>74</v>
      </c>
      <c r="Y1029" t="s">
        <v>74</v>
      </c>
      <c r="Z1029" t="s">
        <v>74</v>
      </c>
      <c r="AA1029" t="s">
        <v>995</v>
      </c>
      <c r="AB1029" t="s">
        <v>4582</v>
      </c>
      <c r="AC1029" t="s">
        <v>74</v>
      </c>
      <c r="AD1029" t="s">
        <v>74</v>
      </c>
      <c r="AE1029" t="s">
        <v>74</v>
      </c>
      <c r="AF1029" t="s">
        <v>74</v>
      </c>
      <c r="AG1029" t="s">
        <v>74</v>
      </c>
      <c r="AH1029" t="s">
        <v>74</v>
      </c>
      <c r="AI1029" t="s">
        <v>74</v>
      </c>
      <c r="AJ1029" t="s">
        <v>74</v>
      </c>
      <c r="AK1029" t="s">
        <v>74</v>
      </c>
      <c r="AL1029" t="s">
        <v>74</v>
      </c>
      <c r="AM1029" t="s">
        <v>74</v>
      </c>
      <c r="AN1029" t="s">
        <v>74</v>
      </c>
      <c r="AO1029" t="s">
        <v>337</v>
      </c>
      <c r="AP1029" t="s">
        <v>338</v>
      </c>
      <c r="AQ1029" t="s">
        <v>74</v>
      </c>
      <c r="AR1029" t="s">
        <v>74</v>
      </c>
      <c r="AS1029" t="s">
        <v>74</v>
      </c>
      <c r="AT1029" t="s">
        <v>1038</v>
      </c>
      <c r="AU1029">
        <v>2015</v>
      </c>
      <c r="AV1029">
        <v>26</v>
      </c>
      <c r="AW1029">
        <v>2</v>
      </c>
      <c r="AX1029" t="s">
        <v>74</v>
      </c>
      <c r="AY1029" t="s">
        <v>74</v>
      </c>
      <c r="AZ1029" t="s">
        <v>74</v>
      </c>
      <c r="BA1029" t="s">
        <v>74</v>
      </c>
      <c r="BB1029">
        <v>609</v>
      </c>
      <c r="BC1029">
        <v>616</v>
      </c>
      <c r="BD1029" t="s">
        <v>74</v>
      </c>
      <c r="BE1029" t="s">
        <v>4583</v>
      </c>
      <c r="BF1029" t="str">
        <f>HYPERLINK("http://dx.doi.org/10.1093/beheco/aru242","http://dx.doi.org/10.1093/beheco/aru242")</f>
        <v>http://dx.doi.org/10.1093/beheco/aru242</v>
      </c>
      <c r="BG1029" t="s">
        <v>74</v>
      </c>
      <c r="BH1029" t="s">
        <v>74</v>
      </c>
      <c r="BI1029" t="s">
        <v>74</v>
      </c>
      <c r="BJ1029" t="s">
        <v>74</v>
      </c>
      <c r="BK1029" t="s">
        <v>74</v>
      </c>
      <c r="BL1029" t="s">
        <v>74</v>
      </c>
      <c r="BM1029" t="s">
        <v>74</v>
      </c>
      <c r="BN1029" t="s">
        <v>74</v>
      </c>
      <c r="BO1029" t="s">
        <v>74</v>
      </c>
      <c r="BP1029" t="s">
        <v>74</v>
      </c>
      <c r="BQ1029" t="s">
        <v>74</v>
      </c>
      <c r="BR1029" t="s">
        <v>74</v>
      </c>
      <c r="BS1029" t="s">
        <v>4584</v>
      </c>
      <c r="BT1029" t="str">
        <f>HYPERLINK("https%3A%2F%2Fwww.webofscience.com%2Fwos%2Fwoscc%2Ffull-record%2FWOS:000352271800043","View Full Record in Web of Science")</f>
        <v>View Full Record in Web of Science</v>
      </c>
    </row>
    <row r="1030" spans="1:72" x14ac:dyDescent="0.4">
      <c r="A1030" t="s">
        <v>72</v>
      </c>
      <c r="B1030" t="s">
        <v>8576</v>
      </c>
      <c r="C1030" t="s">
        <v>74</v>
      </c>
      <c r="D1030" t="s">
        <v>74</v>
      </c>
      <c r="E1030" t="s">
        <v>74</v>
      </c>
      <c r="F1030" t="s">
        <v>8577</v>
      </c>
      <c r="G1030" t="s">
        <v>74</v>
      </c>
      <c r="H1030" t="s">
        <v>74</v>
      </c>
      <c r="I1030" t="s">
        <v>8578</v>
      </c>
      <c r="J1030" t="s">
        <v>420</v>
      </c>
      <c r="K1030" t="s">
        <v>74</v>
      </c>
      <c r="L1030" t="s">
        <v>74</v>
      </c>
      <c r="M1030" t="s">
        <v>74</v>
      </c>
      <c r="N1030" t="s">
        <v>74</v>
      </c>
      <c r="O1030" t="s">
        <v>74</v>
      </c>
      <c r="P1030" t="s">
        <v>74</v>
      </c>
      <c r="Q1030" t="s">
        <v>74</v>
      </c>
      <c r="R1030" t="s">
        <v>74</v>
      </c>
      <c r="S1030" t="s">
        <v>74</v>
      </c>
      <c r="T1030" t="s">
        <v>74</v>
      </c>
      <c r="U1030" t="s">
        <v>74</v>
      </c>
      <c r="V1030" s="3" t="s">
        <v>8579</v>
      </c>
      <c r="W1030" t="s">
        <v>74</v>
      </c>
      <c r="X1030" t="s">
        <v>74</v>
      </c>
      <c r="Y1030" t="s">
        <v>74</v>
      </c>
      <c r="Z1030" t="s">
        <v>74</v>
      </c>
      <c r="AA1030" t="s">
        <v>74</v>
      </c>
      <c r="AB1030" t="s">
        <v>8580</v>
      </c>
      <c r="AC1030" t="s">
        <v>74</v>
      </c>
      <c r="AD1030" t="s">
        <v>74</v>
      </c>
      <c r="AE1030" t="s">
        <v>74</v>
      </c>
      <c r="AF1030" t="s">
        <v>74</v>
      </c>
      <c r="AG1030" t="s">
        <v>74</v>
      </c>
      <c r="AH1030" t="s">
        <v>74</v>
      </c>
      <c r="AI1030" t="s">
        <v>74</v>
      </c>
      <c r="AJ1030" t="s">
        <v>74</v>
      </c>
      <c r="AK1030" t="s">
        <v>74</v>
      </c>
      <c r="AL1030" t="s">
        <v>74</v>
      </c>
      <c r="AM1030" t="s">
        <v>74</v>
      </c>
      <c r="AN1030" t="s">
        <v>74</v>
      </c>
      <c r="AO1030" t="s">
        <v>424</v>
      </c>
      <c r="AP1030" t="s">
        <v>74</v>
      </c>
      <c r="AQ1030" t="s">
        <v>74</v>
      </c>
      <c r="AR1030" t="s">
        <v>74</v>
      </c>
      <c r="AS1030" t="s">
        <v>74</v>
      </c>
      <c r="AT1030" t="s">
        <v>8581</v>
      </c>
      <c r="AU1030">
        <v>2015</v>
      </c>
      <c r="AV1030">
        <v>15</v>
      </c>
      <c r="AW1030" t="s">
        <v>74</v>
      </c>
      <c r="AX1030" t="s">
        <v>74</v>
      </c>
      <c r="AY1030" t="s">
        <v>74</v>
      </c>
      <c r="AZ1030" t="s">
        <v>74</v>
      </c>
      <c r="BA1030" t="s">
        <v>74</v>
      </c>
      <c r="BB1030" t="s">
        <v>74</v>
      </c>
      <c r="BC1030" t="s">
        <v>74</v>
      </c>
      <c r="BD1030">
        <v>200</v>
      </c>
      <c r="BE1030" t="s">
        <v>8582</v>
      </c>
      <c r="BF1030" t="str">
        <f>HYPERLINK("http://dx.doi.org/10.1186/s12862-015-0481-3","http://dx.doi.org/10.1186/s12862-015-0481-3")</f>
        <v>http://dx.doi.org/10.1186/s12862-015-0481-3</v>
      </c>
      <c r="BG1030" t="s">
        <v>74</v>
      </c>
      <c r="BH1030" t="s">
        <v>74</v>
      </c>
      <c r="BI1030" t="s">
        <v>74</v>
      </c>
      <c r="BJ1030" t="s">
        <v>74</v>
      </c>
      <c r="BK1030" t="s">
        <v>74</v>
      </c>
      <c r="BL1030" t="s">
        <v>74</v>
      </c>
      <c r="BM1030" t="s">
        <v>74</v>
      </c>
      <c r="BN1030">
        <v>26385337</v>
      </c>
      <c r="BO1030" t="s">
        <v>74</v>
      </c>
      <c r="BP1030" t="s">
        <v>74</v>
      </c>
      <c r="BQ1030" t="s">
        <v>74</v>
      </c>
      <c r="BR1030" t="s">
        <v>74</v>
      </c>
      <c r="BS1030" t="s">
        <v>8583</v>
      </c>
      <c r="BT1030" t="str">
        <f>HYPERLINK("https%3A%2F%2Fwww.webofscience.com%2Fwos%2Fwoscc%2Ffull-record%2FWOS:000361510800001","View Full Record in Web of Science")</f>
        <v>View Full Record in Web of Science</v>
      </c>
    </row>
    <row r="1031" spans="1:72" x14ac:dyDescent="0.4">
      <c r="A1031" t="s">
        <v>72</v>
      </c>
      <c r="B1031" t="s">
        <v>5718</v>
      </c>
      <c r="C1031" t="s">
        <v>74</v>
      </c>
      <c r="D1031" t="s">
        <v>74</v>
      </c>
      <c r="E1031" t="s">
        <v>74</v>
      </c>
      <c r="F1031" t="s">
        <v>5719</v>
      </c>
      <c r="G1031" t="s">
        <v>74</v>
      </c>
      <c r="H1031" t="s">
        <v>74</v>
      </c>
      <c r="I1031" t="s">
        <v>5720</v>
      </c>
      <c r="J1031" t="s">
        <v>99</v>
      </c>
      <c r="K1031" t="s">
        <v>74</v>
      </c>
      <c r="L1031" t="s">
        <v>74</v>
      </c>
      <c r="M1031" t="s">
        <v>74</v>
      </c>
      <c r="N1031" t="s">
        <v>74</v>
      </c>
      <c r="O1031" t="s">
        <v>74</v>
      </c>
      <c r="P1031" t="s">
        <v>74</v>
      </c>
      <c r="Q1031" t="s">
        <v>74</v>
      </c>
      <c r="R1031" t="s">
        <v>74</v>
      </c>
      <c r="S1031" t="s">
        <v>74</v>
      </c>
      <c r="T1031" t="s">
        <v>74</v>
      </c>
      <c r="U1031" t="s">
        <v>74</v>
      </c>
      <c r="V1031" s="3" t="s">
        <v>5721</v>
      </c>
      <c r="W1031" t="s">
        <v>74</v>
      </c>
      <c r="X1031" t="s">
        <v>74</v>
      </c>
      <c r="Y1031" t="s">
        <v>74</v>
      </c>
      <c r="Z1031" t="s">
        <v>74</v>
      </c>
      <c r="AA1031" t="s">
        <v>74</v>
      </c>
      <c r="AB1031" t="s">
        <v>5722</v>
      </c>
      <c r="AC1031" t="s">
        <v>74</v>
      </c>
      <c r="AD1031" t="s">
        <v>74</v>
      </c>
      <c r="AE1031" t="s">
        <v>74</v>
      </c>
      <c r="AF1031" t="s">
        <v>74</v>
      </c>
      <c r="AG1031" t="s">
        <v>74</v>
      </c>
      <c r="AH1031" t="s">
        <v>74</v>
      </c>
      <c r="AI1031" t="s">
        <v>74</v>
      </c>
      <c r="AJ1031" t="s">
        <v>74</v>
      </c>
      <c r="AK1031" t="s">
        <v>74</v>
      </c>
      <c r="AL1031" t="s">
        <v>74</v>
      </c>
      <c r="AM1031" t="s">
        <v>74</v>
      </c>
      <c r="AN1031" t="s">
        <v>74</v>
      </c>
      <c r="AO1031" t="s">
        <v>101</v>
      </c>
      <c r="AP1031" t="s">
        <v>1218</v>
      </c>
      <c r="AQ1031" t="s">
        <v>74</v>
      </c>
      <c r="AR1031" t="s">
        <v>74</v>
      </c>
      <c r="AS1031" t="s">
        <v>74</v>
      </c>
      <c r="AT1031" t="s">
        <v>123</v>
      </c>
      <c r="AU1031">
        <v>2018</v>
      </c>
      <c r="AV1031">
        <v>130</v>
      </c>
      <c r="AW1031">
        <v>1</v>
      </c>
      <c r="AX1031" t="s">
        <v>74</v>
      </c>
      <c r="AY1031" t="s">
        <v>74</v>
      </c>
      <c r="AZ1031" t="s">
        <v>74</v>
      </c>
      <c r="BA1031" t="s">
        <v>74</v>
      </c>
      <c r="BB1031">
        <v>286</v>
      </c>
      <c r="BC1031">
        <v>296</v>
      </c>
      <c r="BD1031" t="s">
        <v>74</v>
      </c>
      <c r="BE1031" t="s">
        <v>74</v>
      </c>
      <c r="BF1031" t="s">
        <v>74</v>
      </c>
      <c r="BG1031" t="s">
        <v>74</v>
      </c>
      <c r="BH1031" t="s">
        <v>74</v>
      </c>
      <c r="BI1031" t="s">
        <v>74</v>
      </c>
      <c r="BJ1031" t="s">
        <v>74</v>
      </c>
      <c r="BK1031" t="s">
        <v>74</v>
      </c>
      <c r="BL1031" t="s">
        <v>74</v>
      </c>
      <c r="BM1031" t="s">
        <v>74</v>
      </c>
      <c r="BN1031" t="s">
        <v>74</v>
      </c>
      <c r="BO1031" t="s">
        <v>74</v>
      </c>
      <c r="BP1031" t="s">
        <v>74</v>
      </c>
      <c r="BQ1031" t="s">
        <v>74</v>
      </c>
      <c r="BR1031" t="s">
        <v>74</v>
      </c>
      <c r="BS1031" t="s">
        <v>5723</v>
      </c>
      <c r="BT1031" t="str">
        <f>HYPERLINK("https%3A%2F%2Fwww.webofscience.com%2Fwos%2Fwoscc%2Ffull-record%2FWOS:000430954100023","View Full Record in Web of Science")</f>
        <v>View Full Record in Web of Science</v>
      </c>
    </row>
    <row r="1032" spans="1:72" x14ac:dyDescent="0.4">
      <c r="A1032" t="s">
        <v>72</v>
      </c>
      <c r="B1032" t="s">
        <v>714</v>
      </c>
      <c r="C1032" t="s">
        <v>74</v>
      </c>
      <c r="D1032" t="s">
        <v>74</v>
      </c>
      <c r="E1032" t="s">
        <v>74</v>
      </c>
      <c r="F1032" t="s">
        <v>715</v>
      </c>
      <c r="G1032" t="s">
        <v>74</v>
      </c>
      <c r="H1032" t="s">
        <v>74</v>
      </c>
      <c r="I1032" t="s">
        <v>716</v>
      </c>
      <c r="J1032" t="s">
        <v>456</v>
      </c>
      <c r="K1032" t="s">
        <v>74</v>
      </c>
      <c r="L1032" t="s">
        <v>74</v>
      </c>
      <c r="M1032" t="s">
        <v>74</v>
      </c>
      <c r="N1032" t="s">
        <v>74</v>
      </c>
      <c r="O1032" t="s">
        <v>74</v>
      </c>
      <c r="P1032" t="s">
        <v>74</v>
      </c>
      <c r="Q1032" t="s">
        <v>74</v>
      </c>
      <c r="R1032" t="s">
        <v>74</v>
      </c>
      <c r="S1032" t="s">
        <v>74</v>
      </c>
      <c r="T1032" t="s">
        <v>74</v>
      </c>
      <c r="U1032" t="s">
        <v>74</v>
      </c>
      <c r="V1032" s="3" t="s">
        <v>717</v>
      </c>
      <c r="W1032" t="s">
        <v>74</v>
      </c>
      <c r="X1032" t="s">
        <v>74</v>
      </c>
      <c r="Y1032" t="s">
        <v>74</v>
      </c>
      <c r="Z1032" t="s">
        <v>74</v>
      </c>
      <c r="AA1032" t="s">
        <v>718</v>
      </c>
      <c r="AB1032" t="s">
        <v>719</v>
      </c>
      <c r="AC1032" t="s">
        <v>74</v>
      </c>
      <c r="AD1032" t="s">
        <v>74</v>
      </c>
      <c r="AE1032" t="s">
        <v>74</v>
      </c>
      <c r="AF1032" t="s">
        <v>74</v>
      </c>
      <c r="AG1032" t="s">
        <v>74</v>
      </c>
      <c r="AH1032" t="s">
        <v>74</v>
      </c>
      <c r="AI1032" t="s">
        <v>74</v>
      </c>
      <c r="AJ1032" t="s">
        <v>74</v>
      </c>
      <c r="AK1032" t="s">
        <v>74</v>
      </c>
      <c r="AL1032" t="s">
        <v>74</v>
      </c>
      <c r="AM1032" t="s">
        <v>74</v>
      </c>
      <c r="AN1032" t="s">
        <v>74</v>
      </c>
      <c r="AO1032" t="s">
        <v>460</v>
      </c>
      <c r="AP1032" t="s">
        <v>461</v>
      </c>
      <c r="AQ1032" t="s">
        <v>74</v>
      </c>
      <c r="AR1032" t="s">
        <v>74</v>
      </c>
      <c r="AS1032" t="s">
        <v>74</v>
      </c>
      <c r="AT1032" t="s">
        <v>633</v>
      </c>
      <c r="AU1032">
        <v>2018</v>
      </c>
      <c r="AV1032">
        <v>304</v>
      </c>
      <c r="AW1032">
        <v>4</v>
      </c>
      <c r="AX1032" t="s">
        <v>74</v>
      </c>
      <c r="AY1032" t="s">
        <v>74</v>
      </c>
      <c r="AZ1032" t="s">
        <v>74</v>
      </c>
      <c r="BA1032" t="s">
        <v>74</v>
      </c>
      <c r="BB1032">
        <v>260</v>
      </c>
      <c r="BC1032">
        <v>267</v>
      </c>
      <c r="BD1032" t="s">
        <v>74</v>
      </c>
      <c r="BE1032" t="s">
        <v>720</v>
      </c>
      <c r="BF1032" t="str">
        <f>HYPERLINK("http://dx.doi.org/10.1111/jzo.12524","http://dx.doi.org/10.1111/jzo.12524")</f>
        <v>http://dx.doi.org/10.1111/jzo.12524</v>
      </c>
      <c r="BG1032" t="s">
        <v>74</v>
      </c>
      <c r="BH1032" t="s">
        <v>74</v>
      </c>
      <c r="BI1032" t="s">
        <v>74</v>
      </c>
      <c r="BJ1032" t="s">
        <v>74</v>
      </c>
      <c r="BK1032" t="s">
        <v>74</v>
      </c>
      <c r="BL1032" t="s">
        <v>74</v>
      </c>
      <c r="BM1032" t="s">
        <v>74</v>
      </c>
      <c r="BN1032" t="s">
        <v>74</v>
      </c>
      <c r="BO1032" t="s">
        <v>74</v>
      </c>
      <c r="BP1032" t="s">
        <v>74</v>
      </c>
      <c r="BQ1032" t="s">
        <v>74</v>
      </c>
      <c r="BR1032" t="s">
        <v>74</v>
      </c>
      <c r="BS1032" t="s">
        <v>721</v>
      </c>
      <c r="BT1032" t="str">
        <f>HYPERLINK("https%3A%2F%2Fwww.webofscience.com%2Fwos%2Fwoscc%2Ffull-record%2FWOS:000429420900005","View Full Record in Web of Science")</f>
        <v>View Full Record in Web of Science</v>
      </c>
    </row>
    <row r="1033" spans="1:72" x14ac:dyDescent="0.4">
      <c r="A1033" t="s">
        <v>72</v>
      </c>
      <c r="B1033" t="s">
        <v>4325</v>
      </c>
      <c r="C1033" t="s">
        <v>74</v>
      </c>
      <c r="D1033" t="s">
        <v>74</v>
      </c>
      <c r="E1033" t="s">
        <v>74</v>
      </c>
      <c r="F1033" t="s">
        <v>4326</v>
      </c>
      <c r="G1033" t="s">
        <v>74</v>
      </c>
      <c r="H1033" t="s">
        <v>74</v>
      </c>
      <c r="I1033" t="s">
        <v>4327</v>
      </c>
      <c r="J1033" t="s">
        <v>1673</v>
      </c>
      <c r="K1033" t="s">
        <v>74</v>
      </c>
      <c r="L1033" t="s">
        <v>74</v>
      </c>
      <c r="M1033" t="s">
        <v>74</v>
      </c>
      <c r="N1033" t="s">
        <v>74</v>
      </c>
      <c r="O1033" t="s">
        <v>74</v>
      </c>
      <c r="P1033" t="s">
        <v>74</v>
      </c>
      <c r="Q1033" t="s">
        <v>74</v>
      </c>
      <c r="R1033" t="s">
        <v>74</v>
      </c>
      <c r="S1033" t="s">
        <v>74</v>
      </c>
      <c r="T1033" t="s">
        <v>74</v>
      </c>
      <c r="U1033" t="s">
        <v>74</v>
      </c>
      <c r="V1033" s="3" t="s">
        <v>4328</v>
      </c>
      <c r="W1033" t="s">
        <v>74</v>
      </c>
      <c r="X1033" t="s">
        <v>74</v>
      </c>
      <c r="Y1033" t="s">
        <v>74</v>
      </c>
      <c r="Z1033" t="s">
        <v>74</v>
      </c>
      <c r="AA1033" t="s">
        <v>74</v>
      </c>
      <c r="AB1033" t="s">
        <v>74</v>
      </c>
      <c r="AC1033" t="s">
        <v>74</v>
      </c>
      <c r="AD1033" t="s">
        <v>74</v>
      </c>
      <c r="AE1033" t="s">
        <v>74</v>
      </c>
      <c r="AF1033" t="s">
        <v>74</v>
      </c>
      <c r="AG1033" t="s">
        <v>74</v>
      </c>
      <c r="AH1033" t="s">
        <v>74</v>
      </c>
      <c r="AI1033" t="s">
        <v>74</v>
      </c>
      <c r="AJ1033" t="s">
        <v>74</v>
      </c>
      <c r="AK1033" t="s">
        <v>74</v>
      </c>
      <c r="AL1033" t="s">
        <v>74</v>
      </c>
      <c r="AM1033" t="s">
        <v>74</v>
      </c>
      <c r="AN1033" t="s">
        <v>74</v>
      </c>
      <c r="AO1033" t="s">
        <v>1239</v>
      </c>
      <c r="AP1033" t="s">
        <v>1675</v>
      </c>
      <c r="AQ1033" t="s">
        <v>74</v>
      </c>
      <c r="AR1033" t="s">
        <v>74</v>
      </c>
      <c r="AS1033" t="s">
        <v>74</v>
      </c>
      <c r="AT1033" t="s">
        <v>213</v>
      </c>
      <c r="AU1033">
        <v>2022</v>
      </c>
      <c r="AV1033">
        <v>100</v>
      </c>
      <c r="AW1033">
        <v>11</v>
      </c>
      <c r="AX1033" t="s">
        <v>74</v>
      </c>
      <c r="AY1033" t="s">
        <v>74</v>
      </c>
      <c r="AZ1033" t="s">
        <v>74</v>
      </c>
      <c r="BA1033" t="s">
        <v>74</v>
      </c>
      <c r="BB1033">
        <v>747</v>
      </c>
      <c r="BC1033">
        <v>756</v>
      </c>
      <c r="BD1033" t="s">
        <v>74</v>
      </c>
      <c r="BE1033" t="s">
        <v>4329</v>
      </c>
      <c r="BF1033" t="str">
        <f>HYPERLINK("http://dx.doi.org/10.1139/cjz-2022-0064747","http://dx.doi.org/10.1139/cjz-2022-0064747")</f>
        <v>http://dx.doi.org/10.1139/cjz-2022-0064747</v>
      </c>
      <c r="BG1033" t="s">
        <v>74</v>
      </c>
      <c r="BH1033" t="s">
        <v>74</v>
      </c>
      <c r="BI1033" t="s">
        <v>74</v>
      </c>
      <c r="BJ1033" t="s">
        <v>74</v>
      </c>
      <c r="BK1033" t="s">
        <v>74</v>
      </c>
      <c r="BL1033" t="s">
        <v>74</v>
      </c>
      <c r="BM1033" t="s">
        <v>74</v>
      </c>
      <c r="BN1033" t="s">
        <v>74</v>
      </c>
      <c r="BO1033" t="s">
        <v>74</v>
      </c>
      <c r="BP1033" t="s">
        <v>74</v>
      </c>
      <c r="BQ1033" t="s">
        <v>74</v>
      </c>
      <c r="BR1033" t="s">
        <v>74</v>
      </c>
      <c r="BS1033" t="s">
        <v>4330</v>
      </c>
      <c r="BT1033" t="str">
        <f>HYPERLINK("https%3A%2F%2Fwww.webofscience.com%2Fwos%2Fwoscc%2Ffull-record%2FWOS:000879975200002","View Full Record in Web of Science")</f>
        <v>View Full Record in Web of Science</v>
      </c>
    </row>
    <row r="1034" spans="1:72" x14ac:dyDescent="0.4">
      <c r="A1034" t="s">
        <v>72</v>
      </c>
      <c r="B1034" t="s">
        <v>4325</v>
      </c>
      <c r="C1034" t="s">
        <v>74</v>
      </c>
      <c r="D1034" t="s">
        <v>74</v>
      </c>
      <c r="E1034" t="s">
        <v>74</v>
      </c>
      <c r="F1034" t="s">
        <v>4326</v>
      </c>
      <c r="G1034" t="s">
        <v>74</v>
      </c>
      <c r="H1034" t="s">
        <v>74</v>
      </c>
      <c r="I1034" t="s">
        <v>4337</v>
      </c>
      <c r="J1034" t="s">
        <v>1673</v>
      </c>
      <c r="K1034" t="s">
        <v>74</v>
      </c>
      <c r="L1034" t="s">
        <v>74</v>
      </c>
      <c r="M1034" t="s">
        <v>74</v>
      </c>
      <c r="N1034" t="s">
        <v>74</v>
      </c>
      <c r="O1034" t="s">
        <v>74</v>
      </c>
      <c r="P1034" t="s">
        <v>74</v>
      </c>
      <c r="Q1034" t="s">
        <v>74</v>
      </c>
      <c r="R1034" t="s">
        <v>74</v>
      </c>
      <c r="S1034" t="s">
        <v>74</v>
      </c>
      <c r="T1034" t="s">
        <v>74</v>
      </c>
      <c r="U1034" t="s">
        <v>74</v>
      </c>
      <c r="V1034" s="3" t="s">
        <v>4328</v>
      </c>
      <c r="W1034" t="s">
        <v>74</v>
      </c>
      <c r="X1034" t="s">
        <v>74</v>
      </c>
      <c r="Y1034" t="s">
        <v>74</v>
      </c>
      <c r="Z1034" t="s">
        <v>74</v>
      </c>
      <c r="AA1034" t="s">
        <v>74</v>
      </c>
      <c r="AB1034" t="s">
        <v>74</v>
      </c>
      <c r="AC1034" t="s">
        <v>74</v>
      </c>
      <c r="AD1034" t="s">
        <v>74</v>
      </c>
      <c r="AE1034" t="s">
        <v>74</v>
      </c>
      <c r="AF1034" t="s">
        <v>74</v>
      </c>
      <c r="AG1034" t="s">
        <v>74</v>
      </c>
      <c r="AH1034" t="s">
        <v>74</v>
      </c>
      <c r="AI1034" t="s">
        <v>74</v>
      </c>
      <c r="AJ1034" t="s">
        <v>74</v>
      </c>
      <c r="AK1034" t="s">
        <v>74</v>
      </c>
      <c r="AL1034" t="s">
        <v>74</v>
      </c>
      <c r="AM1034" t="s">
        <v>74</v>
      </c>
      <c r="AN1034" t="s">
        <v>74</v>
      </c>
      <c r="AO1034" t="s">
        <v>1239</v>
      </c>
      <c r="AP1034" t="s">
        <v>1675</v>
      </c>
      <c r="AQ1034" t="s">
        <v>74</v>
      </c>
      <c r="AR1034" t="s">
        <v>74</v>
      </c>
      <c r="AS1034" t="s">
        <v>74</v>
      </c>
      <c r="AT1034" t="s">
        <v>4338</v>
      </c>
      <c r="AU1034">
        <v>2022</v>
      </c>
      <c r="AV1034" t="s">
        <v>74</v>
      </c>
      <c r="AW1034" t="s">
        <v>74</v>
      </c>
      <c r="AX1034" t="s">
        <v>74</v>
      </c>
      <c r="AY1034" t="s">
        <v>74</v>
      </c>
      <c r="AZ1034" t="s">
        <v>74</v>
      </c>
      <c r="BA1034" t="s">
        <v>74</v>
      </c>
      <c r="BB1034" t="s">
        <v>74</v>
      </c>
      <c r="BC1034" t="s">
        <v>74</v>
      </c>
      <c r="BD1034" t="s">
        <v>74</v>
      </c>
      <c r="BE1034" t="s">
        <v>4339</v>
      </c>
      <c r="BF1034" t="str">
        <f>HYPERLINK("http://dx.doi.org/10.1139/cjz-2022-0064","http://dx.doi.org/10.1139/cjz-2022-0064")</f>
        <v>http://dx.doi.org/10.1139/cjz-2022-0064</v>
      </c>
      <c r="BG1034" t="s">
        <v>74</v>
      </c>
      <c r="BH1034" t="s">
        <v>3406</v>
      </c>
      <c r="BI1034" t="s">
        <v>74</v>
      </c>
      <c r="BJ1034" t="s">
        <v>74</v>
      </c>
      <c r="BK1034" t="s">
        <v>74</v>
      </c>
      <c r="BL1034" t="s">
        <v>74</v>
      </c>
      <c r="BM1034" t="s">
        <v>74</v>
      </c>
      <c r="BN1034" t="s">
        <v>74</v>
      </c>
      <c r="BO1034" t="s">
        <v>74</v>
      </c>
      <c r="BP1034" t="s">
        <v>74</v>
      </c>
      <c r="BQ1034" t="s">
        <v>74</v>
      </c>
      <c r="BR1034" t="s">
        <v>74</v>
      </c>
      <c r="BS1034" t="s">
        <v>4340</v>
      </c>
      <c r="BT1034" t="str">
        <f>HYPERLINK("https%3A%2F%2Fwww.webofscience.com%2Fwos%2Fwoscc%2Ffull-record%2FWOS:000857570800001","View Full Record in Web of Science")</f>
        <v>View Full Record in Web of Science</v>
      </c>
    </row>
    <row r="1035" spans="1:72" x14ac:dyDescent="0.4">
      <c r="A1035" t="s">
        <v>72</v>
      </c>
      <c r="B1035" t="s">
        <v>2014</v>
      </c>
      <c r="C1035" t="s">
        <v>74</v>
      </c>
      <c r="D1035" t="s">
        <v>74</v>
      </c>
      <c r="E1035" t="s">
        <v>74</v>
      </c>
      <c r="F1035" t="s">
        <v>2015</v>
      </c>
      <c r="G1035" t="s">
        <v>74</v>
      </c>
      <c r="H1035" t="s">
        <v>74</v>
      </c>
      <c r="I1035" t="s">
        <v>2016</v>
      </c>
      <c r="J1035" t="s">
        <v>2017</v>
      </c>
      <c r="K1035" t="s">
        <v>74</v>
      </c>
      <c r="L1035" t="s">
        <v>74</v>
      </c>
      <c r="M1035" t="s">
        <v>74</v>
      </c>
      <c r="N1035" t="s">
        <v>74</v>
      </c>
      <c r="O1035" t="s">
        <v>74</v>
      </c>
      <c r="P1035" t="s">
        <v>74</v>
      </c>
      <c r="Q1035" t="s">
        <v>74</v>
      </c>
      <c r="R1035" t="s">
        <v>74</v>
      </c>
      <c r="S1035" t="s">
        <v>74</v>
      </c>
      <c r="T1035" t="s">
        <v>74</v>
      </c>
      <c r="U1035" t="s">
        <v>74</v>
      </c>
      <c r="V1035" s="3" t="s">
        <v>2018</v>
      </c>
      <c r="W1035" t="s">
        <v>74</v>
      </c>
      <c r="X1035" t="s">
        <v>74</v>
      </c>
      <c r="Y1035" t="s">
        <v>74</v>
      </c>
      <c r="Z1035" t="s">
        <v>74</v>
      </c>
      <c r="AA1035" t="s">
        <v>2019</v>
      </c>
      <c r="AB1035" t="s">
        <v>2020</v>
      </c>
      <c r="AC1035" t="s">
        <v>74</v>
      </c>
      <c r="AD1035" t="s">
        <v>74</v>
      </c>
      <c r="AE1035" t="s">
        <v>74</v>
      </c>
      <c r="AF1035" t="s">
        <v>74</v>
      </c>
      <c r="AG1035" t="s">
        <v>74</v>
      </c>
      <c r="AH1035" t="s">
        <v>74</v>
      </c>
      <c r="AI1035" t="s">
        <v>74</v>
      </c>
      <c r="AJ1035" t="s">
        <v>74</v>
      </c>
      <c r="AK1035" t="s">
        <v>74</v>
      </c>
      <c r="AL1035" t="s">
        <v>74</v>
      </c>
      <c r="AM1035" t="s">
        <v>74</v>
      </c>
      <c r="AN1035" t="s">
        <v>74</v>
      </c>
      <c r="AO1035" t="s">
        <v>2021</v>
      </c>
      <c r="AP1035" t="s">
        <v>74</v>
      </c>
      <c r="AQ1035" t="s">
        <v>74</v>
      </c>
      <c r="AR1035" t="s">
        <v>74</v>
      </c>
      <c r="AS1035" t="s">
        <v>74</v>
      </c>
      <c r="AT1035" t="s">
        <v>2022</v>
      </c>
      <c r="AU1035">
        <v>2021</v>
      </c>
      <c r="AV1035">
        <v>9</v>
      </c>
      <c r="AW1035" t="s">
        <v>74</v>
      </c>
      <c r="AX1035" t="s">
        <v>74</v>
      </c>
      <c r="AY1035" t="s">
        <v>74</v>
      </c>
      <c r="AZ1035" t="s">
        <v>74</v>
      </c>
      <c r="BA1035" t="s">
        <v>74</v>
      </c>
      <c r="BB1035" t="s">
        <v>74</v>
      </c>
      <c r="BC1035" t="s">
        <v>74</v>
      </c>
      <c r="BD1035">
        <v>589781</v>
      </c>
      <c r="BE1035" t="s">
        <v>2023</v>
      </c>
      <c r="BF1035" t="str">
        <f>HYPERLINK("http://dx.doi.org/10.3389/fevo.2021.589781","http://dx.doi.org/10.3389/fevo.2021.589781")</f>
        <v>http://dx.doi.org/10.3389/fevo.2021.589781</v>
      </c>
      <c r="BG1035" t="s">
        <v>74</v>
      </c>
      <c r="BH1035" t="s">
        <v>74</v>
      </c>
      <c r="BI1035" t="s">
        <v>74</v>
      </c>
      <c r="BJ1035" t="s">
        <v>74</v>
      </c>
      <c r="BK1035" t="s">
        <v>74</v>
      </c>
      <c r="BL1035" t="s">
        <v>74</v>
      </c>
      <c r="BM1035" t="s">
        <v>74</v>
      </c>
      <c r="BN1035" t="s">
        <v>74</v>
      </c>
      <c r="BO1035" t="s">
        <v>74</v>
      </c>
      <c r="BP1035" t="s">
        <v>74</v>
      </c>
      <c r="BQ1035" t="s">
        <v>74</v>
      </c>
      <c r="BR1035" t="s">
        <v>74</v>
      </c>
      <c r="BS1035" t="s">
        <v>2024</v>
      </c>
      <c r="BT1035" t="str">
        <f>HYPERLINK("https%3A%2F%2Fwww.webofscience.com%2Fwos%2Fwoscc%2Ffull-record%2FWOS:000645123900001","View Full Record in Web of Science")</f>
        <v>View Full Record in Web of Science</v>
      </c>
    </row>
    <row r="1036" spans="1:72" x14ac:dyDescent="0.4">
      <c r="A1036" t="s">
        <v>72</v>
      </c>
      <c r="B1036" t="s">
        <v>3835</v>
      </c>
      <c r="C1036" t="s">
        <v>74</v>
      </c>
      <c r="D1036" t="s">
        <v>74</v>
      </c>
      <c r="E1036" t="s">
        <v>74</v>
      </c>
      <c r="F1036" t="s">
        <v>3836</v>
      </c>
      <c r="G1036" t="s">
        <v>74</v>
      </c>
      <c r="H1036" t="s">
        <v>74</v>
      </c>
      <c r="I1036" t="s">
        <v>3837</v>
      </c>
      <c r="J1036" t="s">
        <v>824</v>
      </c>
      <c r="K1036" t="s">
        <v>74</v>
      </c>
      <c r="L1036" t="s">
        <v>74</v>
      </c>
      <c r="M1036" t="s">
        <v>74</v>
      </c>
      <c r="N1036" t="s">
        <v>74</v>
      </c>
      <c r="O1036" t="s">
        <v>74</v>
      </c>
      <c r="P1036" t="s">
        <v>74</v>
      </c>
      <c r="Q1036" t="s">
        <v>74</v>
      </c>
      <c r="R1036" t="s">
        <v>74</v>
      </c>
      <c r="S1036" t="s">
        <v>74</v>
      </c>
      <c r="T1036" t="s">
        <v>74</v>
      </c>
      <c r="U1036" t="s">
        <v>74</v>
      </c>
      <c r="V1036" s="3" t="s">
        <v>3838</v>
      </c>
      <c r="W1036" t="s">
        <v>74</v>
      </c>
      <c r="X1036" t="s">
        <v>74</v>
      </c>
      <c r="Y1036" t="s">
        <v>74</v>
      </c>
      <c r="Z1036" t="s">
        <v>74</v>
      </c>
      <c r="AA1036" t="s">
        <v>3839</v>
      </c>
      <c r="AB1036" t="s">
        <v>3840</v>
      </c>
      <c r="AC1036" t="s">
        <v>74</v>
      </c>
      <c r="AD1036" t="s">
        <v>74</v>
      </c>
      <c r="AE1036" t="s">
        <v>74</v>
      </c>
      <c r="AF1036" t="s">
        <v>74</v>
      </c>
      <c r="AG1036" t="s">
        <v>74</v>
      </c>
      <c r="AH1036" t="s">
        <v>74</v>
      </c>
      <c r="AI1036" t="s">
        <v>74</v>
      </c>
      <c r="AJ1036" t="s">
        <v>74</v>
      </c>
      <c r="AK1036" t="s">
        <v>74</v>
      </c>
      <c r="AL1036" t="s">
        <v>74</v>
      </c>
      <c r="AM1036" t="s">
        <v>74</v>
      </c>
      <c r="AN1036" t="s">
        <v>74</v>
      </c>
      <c r="AO1036" t="s">
        <v>828</v>
      </c>
      <c r="AP1036" t="s">
        <v>829</v>
      </c>
      <c r="AQ1036" t="s">
        <v>74</v>
      </c>
      <c r="AR1036" t="s">
        <v>74</v>
      </c>
      <c r="AS1036" t="s">
        <v>74</v>
      </c>
      <c r="AT1036" t="s">
        <v>352</v>
      </c>
      <c r="AU1036">
        <v>2017</v>
      </c>
      <c r="AV1036">
        <v>86</v>
      </c>
      <c r="AW1036">
        <v>5</v>
      </c>
      <c r="AX1036" t="s">
        <v>74</v>
      </c>
      <c r="AY1036" t="s">
        <v>74</v>
      </c>
      <c r="AZ1036" t="s">
        <v>74</v>
      </c>
      <c r="BA1036" t="s">
        <v>74</v>
      </c>
      <c r="BB1036">
        <v>1044</v>
      </c>
      <c r="BC1036">
        <v>1053</v>
      </c>
      <c r="BD1036" t="s">
        <v>74</v>
      </c>
      <c r="BE1036" t="s">
        <v>3841</v>
      </c>
      <c r="BF1036" t="str">
        <f>HYPERLINK("http://dx.doi.org/10.1111/1365-2656.12693","http://dx.doi.org/10.1111/1365-2656.12693")</f>
        <v>http://dx.doi.org/10.1111/1365-2656.12693</v>
      </c>
      <c r="BG1036" t="s">
        <v>74</v>
      </c>
      <c r="BH1036" t="s">
        <v>74</v>
      </c>
      <c r="BI1036" t="s">
        <v>74</v>
      </c>
      <c r="BJ1036" t="s">
        <v>74</v>
      </c>
      <c r="BK1036" t="s">
        <v>74</v>
      </c>
      <c r="BL1036" t="s">
        <v>74</v>
      </c>
      <c r="BM1036" t="s">
        <v>74</v>
      </c>
      <c r="BN1036">
        <v>28502118</v>
      </c>
      <c r="BO1036" t="s">
        <v>74</v>
      </c>
      <c r="BP1036" t="s">
        <v>74</v>
      </c>
      <c r="BQ1036" t="s">
        <v>74</v>
      </c>
      <c r="BR1036" t="s">
        <v>74</v>
      </c>
      <c r="BS1036" t="s">
        <v>3842</v>
      </c>
      <c r="BT1036" t="str">
        <f>HYPERLINK("https%3A%2F%2Fwww.webofscience.com%2Fwos%2Fwoscc%2Ffull-record%2FWOS:000407320500007","View Full Record in Web of Science")</f>
        <v>View Full Record in Web of Science</v>
      </c>
    </row>
    <row r="1037" spans="1:72" x14ac:dyDescent="0.4">
      <c r="A1037" t="s">
        <v>72</v>
      </c>
      <c r="B1037" t="s">
        <v>1554</v>
      </c>
      <c r="C1037" t="s">
        <v>74</v>
      </c>
      <c r="D1037" t="s">
        <v>74</v>
      </c>
      <c r="E1037" t="s">
        <v>74</v>
      </c>
      <c r="F1037" t="s">
        <v>1555</v>
      </c>
      <c r="G1037" t="s">
        <v>74</v>
      </c>
      <c r="H1037" t="s">
        <v>74</v>
      </c>
      <c r="I1037" t="s">
        <v>1556</v>
      </c>
      <c r="J1037" t="s">
        <v>1557</v>
      </c>
      <c r="K1037" t="s">
        <v>74</v>
      </c>
      <c r="L1037" t="s">
        <v>74</v>
      </c>
      <c r="M1037" t="s">
        <v>74</v>
      </c>
      <c r="N1037" t="s">
        <v>74</v>
      </c>
      <c r="O1037" t="s">
        <v>74</v>
      </c>
      <c r="P1037" t="s">
        <v>74</v>
      </c>
      <c r="Q1037" t="s">
        <v>74</v>
      </c>
      <c r="R1037" t="s">
        <v>74</v>
      </c>
      <c r="S1037" t="s">
        <v>74</v>
      </c>
      <c r="T1037" t="s">
        <v>74</v>
      </c>
      <c r="U1037" t="s">
        <v>74</v>
      </c>
      <c r="V1037" s="3" t="s">
        <v>1558</v>
      </c>
      <c r="W1037" t="s">
        <v>74</v>
      </c>
      <c r="X1037" t="s">
        <v>74</v>
      </c>
      <c r="Y1037" t="s">
        <v>74</v>
      </c>
      <c r="Z1037" t="s">
        <v>74</v>
      </c>
      <c r="AA1037" t="s">
        <v>1559</v>
      </c>
      <c r="AB1037" t="s">
        <v>1560</v>
      </c>
      <c r="AC1037" t="s">
        <v>74</v>
      </c>
      <c r="AD1037" t="s">
        <v>74</v>
      </c>
      <c r="AE1037" t="s">
        <v>74</v>
      </c>
      <c r="AF1037" t="s">
        <v>74</v>
      </c>
      <c r="AG1037" t="s">
        <v>74</v>
      </c>
      <c r="AH1037" t="s">
        <v>74</v>
      </c>
      <c r="AI1037" t="s">
        <v>74</v>
      </c>
      <c r="AJ1037" t="s">
        <v>74</v>
      </c>
      <c r="AK1037" t="s">
        <v>74</v>
      </c>
      <c r="AL1037" t="s">
        <v>74</v>
      </c>
      <c r="AM1037" t="s">
        <v>74</v>
      </c>
      <c r="AN1037" t="s">
        <v>74</v>
      </c>
      <c r="AO1037" t="s">
        <v>1561</v>
      </c>
      <c r="AP1037" t="s">
        <v>1562</v>
      </c>
      <c r="AQ1037" t="s">
        <v>74</v>
      </c>
      <c r="AR1037" t="s">
        <v>74</v>
      </c>
      <c r="AS1037" t="s">
        <v>74</v>
      </c>
      <c r="AT1037" t="s">
        <v>361</v>
      </c>
      <c r="AU1037">
        <v>2013</v>
      </c>
      <c r="AV1037">
        <v>46</v>
      </c>
      <c r="AW1037">
        <v>3</v>
      </c>
      <c r="AX1037" t="s">
        <v>74</v>
      </c>
      <c r="AY1037" t="s">
        <v>74</v>
      </c>
      <c r="AZ1037" t="s">
        <v>74</v>
      </c>
      <c r="BA1037" t="s">
        <v>74</v>
      </c>
      <c r="BB1037">
        <v>183</v>
      </c>
      <c r="BC1037">
        <v>190</v>
      </c>
      <c r="BD1037" t="s">
        <v>74</v>
      </c>
      <c r="BE1037" t="s">
        <v>1563</v>
      </c>
      <c r="BF1037" t="str">
        <f>HYPERLINK("http://dx.doi.org/10.1080/10236244.2013.805053","http://dx.doi.org/10.1080/10236244.2013.805053")</f>
        <v>http://dx.doi.org/10.1080/10236244.2013.805053</v>
      </c>
      <c r="BG1037" t="s">
        <v>74</v>
      </c>
      <c r="BH1037" t="s">
        <v>74</v>
      </c>
      <c r="BI1037" t="s">
        <v>74</v>
      </c>
      <c r="BJ1037" t="s">
        <v>74</v>
      </c>
      <c r="BK1037" t="s">
        <v>74</v>
      </c>
      <c r="BL1037" t="s">
        <v>74</v>
      </c>
      <c r="BM1037" t="s">
        <v>74</v>
      </c>
      <c r="BN1037" t="s">
        <v>74</v>
      </c>
      <c r="BO1037" t="s">
        <v>74</v>
      </c>
      <c r="BP1037" t="s">
        <v>74</v>
      </c>
      <c r="BQ1037" t="s">
        <v>74</v>
      </c>
      <c r="BR1037" t="s">
        <v>74</v>
      </c>
      <c r="BS1037" t="s">
        <v>1564</v>
      </c>
      <c r="BT1037" t="str">
        <f>HYPERLINK("https%3A%2F%2Fwww.webofscience.com%2Fwos%2Fwoscc%2Ffull-record%2FWOS:000320570200004","View Full Record in Web of Science")</f>
        <v>View Full Record in Web of Science</v>
      </c>
    </row>
    <row r="1038" spans="1:72" x14ac:dyDescent="0.4">
      <c r="A1038" t="s">
        <v>72</v>
      </c>
      <c r="B1038" t="s">
        <v>1283</v>
      </c>
      <c r="C1038" t="s">
        <v>74</v>
      </c>
      <c r="D1038" t="s">
        <v>74</v>
      </c>
      <c r="E1038" t="s">
        <v>74</v>
      </c>
      <c r="F1038" t="s">
        <v>1284</v>
      </c>
      <c r="G1038" t="s">
        <v>74</v>
      </c>
      <c r="H1038" t="s">
        <v>74</v>
      </c>
      <c r="I1038" t="s">
        <v>1285</v>
      </c>
      <c r="J1038" t="s">
        <v>654</v>
      </c>
      <c r="K1038" t="s">
        <v>74</v>
      </c>
      <c r="L1038" t="s">
        <v>74</v>
      </c>
      <c r="M1038" t="s">
        <v>74</v>
      </c>
      <c r="N1038" t="s">
        <v>74</v>
      </c>
      <c r="O1038" t="s">
        <v>74</v>
      </c>
      <c r="P1038" t="s">
        <v>74</v>
      </c>
      <c r="Q1038" t="s">
        <v>74</v>
      </c>
      <c r="R1038" t="s">
        <v>74</v>
      </c>
      <c r="S1038" t="s">
        <v>74</v>
      </c>
      <c r="T1038" t="s">
        <v>74</v>
      </c>
      <c r="U1038" t="s">
        <v>74</v>
      </c>
      <c r="V1038" s="3" t="s">
        <v>1286</v>
      </c>
      <c r="W1038" t="s">
        <v>74</v>
      </c>
      <c r="X1038" t="s">
        <v>74</v>
      </c>
      <c r="Y1038" t="s">
        <v>74</v>
      </c>
      <c r="Z1038" t="s">
        <v>74</v>
      </c>
      <c r="AA1038" t="s">
        <v>1287</v>
      </c>
      <c r="AB1038" t="s">
        <v>1288</v>
      </c>
      <c r="AC1038" t="s">
        <v>74</v>
      </c>
      <c r="AD1038" t="s">
        <v>74</v>
      </c>
      <c r="AE1038" t="s">
        <v>74</v>
      </c>
      <c r="AF1038" t="s">
        <v>74</v>
      </c>
      <c r="AG1038" t="s">
        <v>74</v>
      </c>
      <c r="AH1038" t="s">
        <v>74</v>
      </c>
      <c r="AI1038" t="s">
        <v>74</v>
      </c>
      <c r="AJ1038" t="s">
        <v>74</v>
      </c>
      <c r="AK1038" t="s">
        <v>74</v>
      </c>
      <c r="AL1038" t="s">
        <v>74</v>
      </c>
      <c r="AM1038" t="s">
        <v>74</v>
      </c>
      <c r="AN1038" t="s">
        <v>74</v>
      </c>
      <c r="AO1038" t="s">
        <v>658</v>
      </c>
      <c r="AP1038" t="s">
        <v>74</v>
      </c>
      <c r="AQ1038" t="s">
        <v>74</v>
      </c>
      <c r="AR1038" t="s">
        <v>74</v>
      </c>
      <c r="AS1038" t="s">
        <v>74</v>
      </c>
      <c r="AT1038" t="s">
        <v>145</v>
      </c>
      <c r="AU1038">
        <v>2023</v>
      </c>
      <c r="AV1038">
        <v>13</v>
      </c>
      <c r="AW1038">
        <v>8</v>
      </c>
      <c r="AX1038" t="s">
        <v>74</v>
      </c>
      <c r="AY1038" t="s">
        <v>74</v>
      </c>
      <c r="AZ1038" t="s">
        <v>74</v>
      </c>
      <c r="BA1038" t="s">
        <v>74</v>
      </c>
      <c r="BB1038" t="s">
        <v>74</v>
      </c>
      <c r="BC1038" t="s">
        <v>74</v>
      </c>
      <c r="BD1038" t="s">
        <v>74</v>
      </c>
      <c r="BE1038" t="s">
        <v>1289</v>
      </c>
      <c r="BF1038" t="str">
        <f>HYPERLINK("http://dx.doi.org/10.1002/ece3.10328","http://dx.doi.org/10.1002/ece3.10328")</f>
        <v>http://dx.doi.org/10.1002/ece3.10328</v>
      </c>
      <c r="BG1038" t="s">
        <v>74</v>
      </c>
      <c r="BH1038" t="s">
        <v>74</v>
      </c>
      <c r="BI1038" t="s">
        <v>74</v>
      </c>
      <c r="BJ1038" t="s">
        <v>74</v>
      </c>
      <c r="BK1038" t="s">
        <v>74</v>
      </c>
      <c r="BL1038" t="s">
        <v>74</v>
      </c>
      <c r="BM1038" t="s">
        <v>74</v>
      </c>
      <c r="BN1038">
        <v>37636865</v>
      </c>
      <c r="BO1038" t="s">
        <v>74</v>
      </c>
      <c r="BP1038" t="s">
        <v>74</v>
      </c>
      <c r="BQ1038" t="s">
        <v>74</v>
      </c>
      <c r="BR1038" t="s">
        <v>74</v>
      </c>
      <c r="BS1038" t="s">
        <v>1290</v>
      </c>
      <c r="BT1038" t="str">
        <f>HYPERLINK("https%3A%2F%2Fwww.webofscience.com%2Fwos%2Fwoscc%2Ffull-record%2FWOS:001054792900001","View Full Record in Web of Science")</f>
        <v>View Full Record in Web of Science</v>
      </c>
    </row>
    <row r="1039" spans="1:72" x14ac:dyDescent="0.4">
      <c r="A1039" t="s">
        <v>72</v>
      </c>
      <c r="B1039" t="s">
        <v>5811</v>
      </c>
      <c r="C1039" t="s">
        <v>74</v>
      </c>
      <c r="D1039" t="s">
        <v>74</v>
      </c>
      <c r="E1039" t="s">
        <v>74</v>
      </c>
      <c r="F1039" t="s">
        <v>5812</v>
      </c>
      <c r="G1039" t="s">
        <v>74</v>
      </c>
      <c r="H1039" t="s">
        <v>74</v>
      </c>
      <c r="I1039" t="s">
        <v>5813</v>
      </c>
      <c r="J1039" t="s">
        <v>5814</v>
      </c>
      <c r="K1039" t="s">
        <v>74</v>
      </c>
      <c r="L1039" t="s">
        <v>74</v>
      </c>
      <c r="M1039" t="s">
        <v>74</v>
      </c>
      <c r="N1039" t="s">
        <v>74</v>
      </c>
      <c r="O1039" t="s">
        <v>74</v>
      </c>
      <c r="P1039" t="s">
        <v>74</v>
      </c>
      <c r="Q1039" t="s">
        <v>74</v>
      </c>
      <c r="R1039" t="s">
        <v>74</v>
      </c>
      <c r="S1039" t="s">
        <v>74</v>
      </c>
      <c r="T1039" t="s">
        <v>74</v>
      </c>
      <c r="U1039" t="s">
        <v>74</v>
      </c>
      <c r="V1039" s="3" t="s">
        <v>5815</v>
      </c>
      <c r="W1039" t="s">
        <v>74</v>
      </c>
      <c r="X1039" t="s">
        <v>74</v>
      </c>
      <c r="Y1039" t="s">
        <v>74</v>
      </c>
      <c r="Z1039" t="s">
        <v>74</v>
      </c>
      <c r="AA1039" t="s">
        <v>5816</v>
      </c>
      <c r="AB1039" t="s">
        <v>5817</v>
      </c>
      <c r="AC1039" t="s">
        <v>74</v>
      </c>
      <c r="AD1039" t="s">
        <v>74</v>
      </c>
      <c r="AE1039" t="s">
        <v>74</v>
      </c>
      <c r="AF1039" t="s">
        <v>74</v>
      </c>
      <c r="AG1039" t="s">
        <v>74</v>
      </c>
      <c r="AH1039" t="s">
        <v>74</v>
      </c>
      <c r="AI1039" t="s">
        <v>74</v>
      </c>
      <c r="AJ1039" t="s">
        <v>74</v>
      </c>
      <c r="AK1039" t="s">
        <v>74</v>
      </c>
      <c r="AL1039" t="s">
        <v>74</v>
      </c>
      <c r="AM1039" t="s">
        <v>74</v>
      </c>
      <c r="AN1039" t="s">
        <v>74</v>
      </c>
      <c r="AO1039" t="s">
        <v>74</v>
      </c>
      <c r="AP1039" t="s">
        <v>5818</v>
      </c>
      <c r="AQ1039" t="s">
        <v>74</v>
      </c>
      <c r="AR1039" t="s">
        <v>74</v>
      </c>
      <c r="AS1039" t="s">
        <v>74</v>
      </c>
      <c r="AT1039" t="s">
        <v>5819</v>
      </c>
      <c r="AU1039">
        <v>2007</v>
      </c>
      <c r="AV1039">
        <v>104</v>
      </c>
      <c r="AW1039">
        <v>1</v>
      </c>
      <c r="AX1039" t="s">
        <v>74</v>
      </c>
      <c r="AY1039" t="s">
        <v>74</v>
      </c>
      <c r="AZ1039" t="s">
        <v>74</v>
      </c>
      <c r="BA1039" t="s">
        <v>74</v>
      </c>
      <c r="BB1039">
        <v>57</v>
      </c>
      <c r="BC1039">
        <v>65</v>
      </c>
      <c r="BD1039" t="s">
        <v>74</v>
      </c>
      <c r="BE1039" t="s">
        <v>5820</v>
      </c>
      <c r="BF1039" t="str">
        <f>HYPERLINK("http://dx.doi.org/10.14411/eje.2007.009","http://dx.doi.org/10.14411/eje.2007.009")</f>
        <v>http://dx.doi.org/10.14411/eje.2007.009</v>
      </c>
      <c r="BG1039" t="s">
        <v>74</v>
      </c>
      <c r="BH1039" t="s">
        <v>74</v>
      </c>
      <c r="BI1039" t="s">
        <v>74</v>
      </c>
      <c r="BJ1039" t="s">
        <v>74</v>
      </c>
      <c r="BK1039" t="s">
        <v>74</v>
      </c>
      <c r="BL1039" t="s">
        <v>74</v>
      </c>
      <c r="BM1039" t="s">
        <v>74</v>
      </c>
      <c r="BN1039" t="s">
        <v>74</v>
      </c>
      <c r="BO1039" t="s">
        <v>74</v>
      </c>
      <c r="BP1039" t="s">
        <v>74</v>
      </c>
      <c r="BQ1039" t="s">
        <v>74</v>
      </c>
      <c r="BR1039" t="s">
        <v>74</v>
      </c>
      <c r="BS1039" t="s">
        <v>5821</v>
      </c>
      <c r="BT1039" t="str">
        <f>HYPERLINK("https%3A%2F%2Fwww.webofscience.com%2Fwos%2Fwoscc%2Ffull-record%2FWOS:000243077100009","View Full Record in Web of Science")</f>
        <v>View Full Record in Web of Science</v>
      </c>
    </row>
    <row r="1040" spans="1:72" x14ac:dyDescent="0.4">
      <c r="A1040" t="s">
        <v>72</v>
      </c>
      <c r="B1040" t="s">
        <v>2779</v>
      </c>
      <c r="C1040" t="s">
        <v>74</v>
      </c>
      <c r="D1040" t="s">
        <v>74</v>
      </c>
      <c r="E1040" t="s">
        <v>74</v>
      </c>
      <c r="F1040" t="s">
        <v>2780</v>
      </c>
      <c r="G1040" t="s">
        <v>74</v>
      </c>
      <c r="H1040" t="s">
        <v>74</v>
      </c>
      <c r="I1040" t="s">
        <v>2781</v>
      </c>
      <c r="J1040" t="s">
        <v>824</v>
      </c>
      <c r="K1040" t="s">
        <v>74</v>
      </c>
      <c r="L1040" t="s">
        <v>74</v>
      </c>
      <c r="M1040" t="s">
        <v>74</v>
      </c>
      <c r="N1040" t="s">
        <v>74</v>
      </c>
      <c r="O1040" t="s">
        <v>74</v>
      </c>
      <c r="P1040" t="s">
        <v>74</v>
      </c>
      <c r="Q1040" t="s">
        <v>74</v>
      </c>
      <c r="R1040" t="s">
        <v>74</v>
      </c>
      <c r="S1040" t="s">
        <v>74</v>
      </c>
      <c r="T1040" t="s">
        <v>74</v>
      </c>
      <c r="U1040" t="s">
        <v>74</v>
      </c>
      <c r="V1040" s="3" t="s">
        <v>2782</v>
      </c>
      <c r="W1040" t="s">
        <v>74</v>
      </c>
      <c r="X1040" t="s">
        <v>74</v>
      </c>
      <c r="Y1040" t="s">
        <v>74</v>
      </c>
      <c r="Z1040" t="s">
        <v>74</v>
      </c>
      <c r="AA1040" t="s">
        <v>74</v>
      </c>
      <c r="AB1040" t="s">
        <v>2783</v>
      </c>
      <c r="AC1040" t="s">
        <v>74</v>
      </c>
      <c r="AD1040" t="s">
        <v>74</v>
      </c>
      <c r="AE1040" t="s">
        <v>74</v>
      </c>
      <c r="AF1040" t="s">
        <v>74</v>
      </c>
      <c r="AG1040" t="s">
        <v>74</v>
      </c>
      <c r="AH1040" t="s">
        <v>74</v>
      </c>
      <c r="AI1040" t="s">
        <v>74</v>
      </c>
      <c r="AJ1040" t="s">
        <v>74</v>
      </c>
      <c r="AK1040" t="s">
        <v>74</v>
      </c>
      <c r="AL1040" t="s">
        <v>74</v>
      </c>
      <c r="AM1040" t="s">
        <v>74</v>
      </c>
      <c r="AN1040" t="s">
        <v>74</v>
      </c>
      <c r="AO1040" t="s">
        <v>828</v>
      </c>
      <c r="AP1040" t="s">
        <v>74</v>
      </c>
      <c r="AQ1040" t="s">
        <v>74</v>
      </c>
      <c r="AR1040" t="s">
        <v>74</v>
      </c>
      <c r="AS1040" t="s">
        <v>74</v>
      </c>
      <c r="AT1040" t="s">
        <v>255</v>
      </c>
      <c r="AU1040">
        <v>2011</v>
      </c>
      <c r="AV1040">
        <v>80</v>
      </c>
      <c r="AW1040">
        <v>1</v>
      </c>
      <c r="AX1040" t="s">
        <v>74</v>
      </c>
      <c r="AY1040" t="s">
        <v>74</v>
      </c>
      <c r="AZ1040" t="s">
        <v>74</v>
      </c>
      <c r="BA1040" t="s">
        <v>74</v>
      </c>
      <c r="BB1040">
        <v>79</v>
      </c>
      <c r="BC1040">
        <v>88</v>
      </c>
      <c r="BD1040" t="s">
        <v>74</v>
      </c>
      <c r="BE1040" t="s">
        <v>2784</v>
      </c>
      <c r="BF1040" t="str">
        <f>HYPERLINK("http://dx.doi.org/10.1111/j.1365-2656.2010.01765.x","http://dx.doi.org/10.1111/j.1365-2656.2010.01765.x")</f>
        <v>http://dx.doi.org/10.1111/j.1365-2656.2010.01765.x</v>
      </c>
      <c r="BG1040" t="s">
        <v>74</v>
      </c>
      <c r="BH1040" t="s">
        <v>74</v>
      </c>
      <c r="BI1040" t="s">
        <v>74</v>
      </c>
      <c r="BJ1040" t="s">
        <v>74</v>
      </c>
      <c r="BK1040" t="s">
        <v>74</v>
      </c>
      <c r="BL1040" t="s">
        <v>74</v>
      </c>
      <c r="BM1040" t="s">
        <v>74</v>
      </c>
      <c r="BN1040">
        <v>20964684</v>
      </c>
      <c r="BO1040" t="s">
        <v>74</v>
      </c>
      <c r="BP1040" t="s">
        <v>74</v>
      </c>
      <c r="BQ1040" t="s">
        <v>74</v>
      </c>
      <c r="BR1040" t="s">
        <v>74</v>
      </c>
      <c r="BS1040" t="s">
        <v>2785</v>
      </c>
      <c r="BT1040" t="str">
        <f>HYPERLINK("https%3A%2F%2Fwww.webofscience.com%2Fwos%2Fwoscc%2Ffull-record%2FWOS:000285110600008","View Full Record in Web of Science")</f>
        <v>View Full Record in Web of Science</v>
      </c>
    </row>
    <row r="1041" spans="1:72" x14ac:dyDescent="0.4">
      <c r="A1041" t="s">
        <v>72</v>
      </c>
      <c r="B1041" t="s">
        <v>5624</v>
      </c>
      <c r="C1041" t="s">
        <v>74</v>
      </c>
      <c r="D1041" t="s">
        <v>74</v>
      </c>
      <c r="E1041" t="s">
        <v>74</v>
      </c>
      <c r="F1041" t="s">
        <v>5625</v>
      </c>
      <c r="G1041" t="s">
        <v>74</v>
      </c>
      <c r="H1041" t="s">
        <v>74</v>
      </c>
      <c r="I1041" t="s">
        <v>5626</v>
      </c>
      <c r="J1041" t="s">
        <v>281</v>
      </c>
      <c r="K1041" t="s">
        <v>74</v>
      </c>
      <c r="L1041" t="s">
        <v>74</v>
      </c>
      <c r="M1041" t="s">
        <v>74</v>
      </c>
      <c r="N1041" t="s">
        <v>74</v>
      </c>
      <c r="O1041" t="s">
        <v>74</v>
      </c>
      <c r="P1041" t="s">
        <v>74</v>
      </c>
      <c r="Q1041" t="s">
        <v>74</v>
      </c>
      <c r="R1041" t="s">
        <v>74</v>
      </c>
      <c r="S1041" t="s">
        <v>74</v>
      </c>
      <c r="T1041" t="s">
        <v>74</v>
      </c>
      <c r="U1041" t="s">
        <v>74</v>
      </c>
      <c r="V1041" s="3" t="s">
        <v>5627</v>
      </c>
      <c r="W1041" t="s">
        <v>74</v>
      </c>
      <c r="X1041" t="s">
        <v>74</v>
      </c>
      <c r="Y1041" t="s">
        <v>74</v>
      </c>
      <c r="Z1041" t="s">
        <v>74</v>
      </c>
      <c r="AA1041" t="s">
        <v>74</v>
      </c>
      <c r="AB1041" t="s">
        <v>5628</v>
      </c>
      <c r="AC1041" t="s">
        <v>74</v>
      </c>
      <c r="AD1041" t="s">
        <v>74</v>
      </c>
      <c r="AE1041" t="s">
        <v>74</v>
      </c>
      <c r="AF1041" t="s">
        <v>74</v>
      </c>
      <c r="AG1041" t="s">
        <v>74</v>
      </c>
      <c r="AH1041" t="s">
        <v>74</v>
      </c>
      <c r="AI1041" t="s">
        <v>74</v>
      </c>
      <c r="AJ1041" t="s">
        <v>74</v>
      </c>
      <c r="AK1041" t="s">
        <v>74</v>
      </c>
      <c r="AL1041" t="s">
        <v>74</v>
      </c>
      <c r="AM1041" t="s">
        <v>74</v>
      </c>
      <c r="AN1041" t="s">
        <v>74</v>
      </c>
      <c r="AO1041" t="s">
        <v>285</v>
      </c>
      <c r="AP1041" t="s">
        <v>286</v>
      </c>
      <c r="AQ1041" t="s">
        <v>74</v>
      </c>
      <c r="AR1041" t="s">
        <v>74</v>
      </c>
      <c r="AS1041" t="s">
        <v>74</v>
      </c>
      <c r="AT1041" t="s">
        <v>964</v>
      </c>
      <c r="AU1041">
        <v>2022</v>
      </c>
      <c r="AV1041">
        <v>25</v>
      </c>
      <c r="AW1041">
        <v>1</v>
      </c>
      <c r="AX1041" t="s">
        <v>74</v>
      </c>
      <c r="AY1041" t="s">
        <v>74</v>
      </c>
      <c r="AZ1041" t="s">
        <v>74</v>
      </c>
      <c r="BA1041" t="s">
        <v>74</v>
      </c>
      <c r="BB1041">
        <v>205</v>
      </c>
      <c r="BC1041">
        <v>216</v>
      </c>
      <c r="BD1041" t="s">
        <v>74</v>
      </c>
      <c r="BE1041" t="s">
        <v>5629</v>
      </c>
      <c r="BF1041" t="str">
        <f>HYPERLINK("http://dx.doi.org/10.1007/s10071-021-01548-7","http://dx.doi.org/10.1007/s10071-021-01548-7")</f>
        <v>http://dx.doi.org/10.1007/s10071-021-01548-7</v>
      </c>
      <c r="BG1041" t="s">
        <v>74</v>
      </c>
      <c r="BH1041" t="s">
        <v>4990</v>
      </c>
      <c r="BI1041" t="s">
        <v>74</v>
      </c>
      <c r="BJ1041" t="s">
        <v>74</v>
      </c>
      <c r="BK1041" t="s">
        <v>74</v>
      </c>
      <c r="BL1041" t="s">
        <v>74</v>
      </c>
      <c r="BM1041" t="s">
        <v>74</v>
      </c>
      <c r="BN1041">
        <v>34383151</v>
      </c>
      <c r="BO1041" t="s">
        <v>74</v>
      </c>
      <c r="BP1041" t="s">
        <v>74</v>
      </c>
      <c r="BQ1041" t="s">
        <v>74</v>
      </c>
      <c r="BR1041" t="s">
        <v>74</v>
      </c>
      <c r="BS1041" t="s">
        <v>5630</v>
      </c>
      <c r="BT1041" t="str">
        <f>HYPERLINK("https%3A%2F%2Fwww.webofscience.com%2Fwos%2Fwoscc%2Ffull-record%2FWOS:000684460500001","View Full Record in Web of Science")</f>
        <v>View Full Record in Web of Science</v>
      </c>
    </row>
    <row r="1042" spans="1:72" x14ac:dyDescent="0.4">
      <c r="A1042" t="s">
        <v>72</v>
      </c>
      <c r="B1042" t="s">
        <v>2100</v>
      </c>
      <c r="C1042" t="s">
        <v>74</v>
      </c>
      <c r="D1042" t="s">
        <v>74</v>
      </c>
      <c r="E1042" t="s">
        <v>74</v>
      </c>
      <c r="F1042" t="s">
        <v>2101</v>
      </c>
      <c r="G1042" t="s">
        <v>74</v>
      </c>
      <c r="H1042" t="s">
        <v>74</v>
      </c>
      <c r="I1042" t="s">
        <v>2102</v>
      </c>
      <c r="J1042" t="s">
        <v>2017</v>
      </c>
      <c r="K1042" t="s">
        <v>74</v>
      </c>
      <c r="L1042" t="s">
        <v>74</v>
      </c>
      <c r="M1042" t="s">
        <v>74</v>
      </c>
      <c r="N1042" t="s">
        <v>74</v>
      </c>
      <c r="O1042" t="s">
        <v>74</v>
      </c>
      <c r="P1042" t="s">
        <v>74</v>
      </c>
      <c r="Q1042" t="s">
        <v>74</v>
      </c>
      <c r="R1042" t="s">
        <v>74</v>
      </c>
      <c r="S1042" t="s">
        <v>74</v>
      </c>
      <c r="T1042" t="s">
        <v>74</v>
      </c>
      <c r="U1042" t="s">
        <v>74</v>
      </c>
      <c r="V1042" s="3" t="s">
        <v>2103</v>
      </c>
      <c r="W1042" t="s">
        <v>74</v>
      </c>
      <c r="X1042" t="s">
        <v>74</v>
      </c>
      <c r="Y1042" t="s">
        <v>74</v>
      </c>
      <c r="Z1042" t="s">
        <v>74</v>
      </c>
      <c r="AA1042" t="s">
        <v>2104</v>
      </c>
      <c r="AB1042" t="s">
        <v>2105</v>
      </c>
      <c r="AC1042" t="s">
        <v>74</v>
      </c>
      <c r="AD1042" t="s">
        <v>74</v>
      </c>
      <c r="AE1042" t="s">
        <v>74</v>
      </c>
      <c r="AF1042" t="s">
        <v>74</v>
      </c>
      <c r="AG1042" t="s">
        <v>74</v>
      </c>
      <c r="AH1042" t="s">
        <v>74</v>
      </c>
      <c r="AI1042" t="s">
        <v>74</v>
      </c>
      <c r="AJ1042" t="s">
        <v>74</v>
      </c>
      <c r="AK1042" t="s">
        <v>74</v>
      </c>
      <c r="AL1042" t="s">
        <v>74</v>
      </c>
      <c r="AM1042" t="s">
        <v>74</v>
      </c>
      <c r="AN1042" t="s">
        <v>74</v>
      </c>
      <c r="AO1042" t="s">
        <v>2021</v>
      </c>
      <c r="AP1042" t="s">
        <v>74</v>
      </c>
      <c r="AQ1042" t="s">
        <v>74</v>
      </c>
      <c r="AR1042" t="s">
        <v>74</v>
      </c>
      <c r="AS1042" t="s">
        <v>74</v>
      </c>
      <c r="AT1042" t="s">
        <v>1253</v>
      </c>
      <c r="AU1042">
        <v>2019</v>
      </c>
      <c r="AV1042">
        <v>7</v>
      </c>
      <c r="AW1042" t="s">
        <v>74</v>
      </c>
      <c r="AX1042" t="s">
        <v>74</v>
      </c>
      <c r="AY1042" t="s">
        <v>74</v>
      </c>
      <c r="AZ1042" t="s">
        <v>74</v>
      </c>
      <c r="BA1042" t="s">
        <v>74</v>
      </c>
      <c r="BB1042" t="s">
        <v>74</v>
      </c>
      <c r="BC1042" t="s">
        <v>74</v>
      </c>
      <c r="BD1042">
        <v>292</v>
      </c>
      <c r="BE1042" t="s">
        <v>2106</v>
      </c>
      <c r="BF1042" t="str">
        <f>HYPERLINK("http://dx.doi.org/10.3389/fevo.2019.00292","http://dx.doi.org/10.3389/fevo.2019.00292")</f>
        <v>http://dx.doi.org/10.3389/fevo.2019.00292</v>
      </c>
      <c r="BG1042" t="s">
        <v>74</v>
      </c>
      <c r="BH1042" t="s">
        <v>74</v>
      </c>
      <c r="BI1042" t="s">
        <v>74</v>
      </c>
      <c r="BJ1042" t="s">
        <v>74</v>
      </c>
      <c r="BK1042" t="s">
        <v>74</v>
      </c>
      <c r="BL1042" t="s">
        <v>74</v>
      </c>
      <c r="BM1042" t="s">
        <v>74</v>
      </c>
      <c r="BN1042" t="s">
        <v>74</v>
      </c>
      <c r="BO1042" t="s">
        <v>74</v>
      </c>
      <c r="BP1042" t="s">
        <v>74</v>
      </c>
      <c r="BQ1042" t="s">
        <v>74</v>
      </c>
      <c r="BR1042" t="s">
        <v>74</v>
      </c>
      <c r="BS1042" t="s">
        <v>2107</v>
      </c>
      <c r="BT1042" t="str">
        <f>HYPERLINK("https%3A%2F%2Fwww.webofscience.com%2Fwos%2Fwoscc%2Ffull-record%2FWOS:000479067400001","View Full Record in Web of Science")</f>
        <v>View Full Record in Web of Science</v>
      </c>
    </row>
    <row r="1043" spans="1:72" x14ac:dyDescent="0.4">
      <c r="A1043" t="s">
        <v>72</v>
      </c>
      <c r="B1043" t="s">
        <v>3288</v>
      </c>
      <c r="C1043" t="s">
        <v>74</v>
      </c>
      <c r="D1043" t="s">
        <v>74</v>
      </c>
      <c r="E1043" t="s">
        <v>74</v>
      </c>
      <c r="F1043" t="s">
        <v>3289</v>
      </c>
      <c r="G1043" t="s">
        <v>74</v>
      </c>
      <c r="H1043" t="s">
        <v>74</v>
      </c>
      <c r="I1043" t="s">
        <v>3290</v>
      </c>
      <c r="J1043" t="s">
        <v>3291</v>
      </c>
      <c r="K1043" t="s">
        <v>74</v>
      </c>
      <c r="L1043" t="s">
        <v>74</v>
      </c>
      <c r="M1043" t="s">
        <v>74</v>
      </c>
      <c r="N1043" t="s">
        <v>74</v>
      </c>
      <c r="O1043" t="s">
        <v>74</v>
      </c>
      <c r="P1043" t="s">
        <v>74</v>
      </c>
      <c r="Q1043" t="s">
        <v>74</v>
      </c>
      <c r="R1043" t="s">
        <v>74</v>
      </c>
      <c r="S1043" t="s">
        <v>74</v>
      </c>
      <c r="T1043" t="s">
        <v>74</v>
      </c>
      <c r="U1043" t="s">
        <v>74</v>
      </c>
      <c r="V1043" s="3" t="s">
        <v>3292</v>
      </c>
      <c r="W1043" t="s">
        <v>74</v>
      </c>
      <c r="X1043" t="s">
        <v>74</v>
      </c>
      <c r="Y1043" t="s">
        <v>74</v>
      </c>
      <c r="Z1043" t="s">
        <v>74</v>
      </c>
      <c r="AA1043" t="s">
        <v>3293</v>
      </c>
      <c r="AB1043" t="s">
        <v>3294</v>
      </c>
      <c r="AC1043" t="s">
        <v>74</v>
      </c>
      <c r="AD1043" t="s">
        <v>74</v>
      </c>
      <c r="AE1043" t="s">
        <v>74</v>
      </c>
      <c r="AF1043" t="s">
        <v>74</v>
      </c>
      <c r="AG1043" t="s">
        <v>74</v>
      </c>
      <c r="AH1043" t="s">
        <v>74</v>
      </c>
      <c r="AI1043" t="s">
        <v>74</v>
      </c>
      <c r="AJ1043" t="s">
        <v>74</v>
      </c>
      <c r="AK1043" t="s">
        <v>74</v>
      </c>
      <c r="AL1043" t="s">
        <v>74</v>
      </c>
      <c r="AM1043" t="s">
        <v>74</v>
      </c>
      <c r="AN1043" t="s">
        <v>74</v>
      </c>
      <c r="AO1043" t="s">
        <v>3295</v>
      </c>
      <c r="AP1043" t="s">
        <v>74</v>
      </c>
      <c r="AQ1043" t="s">
        <v>74</v>
      </c>
      <c r="AR1043" t="s">
        <v>74</v>
      </c>
      <c r="AS1043" t="s">
        <v>74</v>
      </c>
      <c r="AT1043" t="s">
        <v>1641</v>
      </c>
      <c r="AU1043">
        <v>2013</v>
      </c>
      <c r="AV1043">
        <v>10</v>
      </c>
      <c r="AW1043" t="s">
        <v>74</v>
      </c>
      <c r="AX1043" t="s">
        <v>74</v>
      </c>
      <c r="AY1043" t="s">
        <v>74</v>
      </c>
      <c r="AZ1043" t="s">
        <v>74</v>
      </c>
      <c r="BA1043" t="s">
        <v>74</v>
      </c>
      <c r="BB1043" t="s">
        <v>74</v>
      </c>
      <c r="BC1043" t="s">
        <v>74</v>
      </c>
      <c r="BD1043">
        <v>25</v>
      </c>
      <c r="BE1043" t="s">
        <v>3296</v>
      </c>
      <c r="BF1043" t="str">
        <f>HYPERLINK("http://dx.doi.org/10.1186/1742-9994-10-25","http://dx.doi.org/10.1186/1742-9994-10-25")</f>
        <v>http://dx.doi.org/10.1186/1742-9994-10-25</v>
      </c>
      <c r="BG1043" t="s">
        <v>74</v>
      </c>
      <c r="BH1043" t="s">
        <v>74</v>
      </c>
      <c r="BI1043" t="s">
        <v>74</v>
      </c>
      <c r="BJ1043" t="s">
        <v>74</v>
      </c>
      <c r="BK1043" t="s">
        <v>74</v>
      </c>
      <c r="BL1043" t="s">
        <v>74</v>
      </c>
      <c r="BM1043" t="s">
        <v>74</v>
      </c>
      <c r="BN1043">
        <v>23663311</v>
      </c>
      <c r="BO1043" t="s">
        <v>74</v>
      </c>
      <c r="BP1043" t="s">
        <v>74</v>
      </c>
      <c r="BQ1043" t="s">
        <v>74</v>
      </c>
      <c r="BR1043" t="s">
        <v>74</v>
      </c>
      <c r="BS1043" t="s">
        <v>3297</v>
      </c>
      <c r="BT1043" t="str">
        <f>HYPERLINK("https%3A%2F%2Fwww.webofscience.com%2Fwos%2Fwoscc%2Ffull-record%2FWOS:000319151500001","View Full Record in Web of Science")</f>
        <v>View Full Record in Web of Science</v>
      </c>
    </row>
    <row r="1044" spans="1:72" x14ac:dyDescent="0.4">
      <c r="A1044" t="s">
        <v>72</v>
      </c>
      <c r="B1044" t="s">
        <v>5442</v>
      </c>
      <c r="C1044" t="s">
        <v>74</v>
      </c>
      <c r="D1044" t="s">
        <v>74</v>
      </c>
      <c r="E1044" t="s">
        <v>74</v>
      </c>
      <c r="F1044" t="s">
        <v>5443</v>
      </c>
      <c r="G1044" t="s">
        <v>74</v>
      </c>
      <c r="H1044" t="s">
        <v>74</v>
      </c>
      <c r="I1044" t="s">
        <v>5444</v>
      </c>
      <c r="J1044" t="s">
        <v>333</v>
      </c>
      <c r="K1044" t="s">
        <v>74</v>
      </c>
      <c r="L1044" t="s">
        <v>74</v>
      </c>
      <c r="M1044" t="s">
        <v>74</v>
      </c>
      <c r="N1044" t="s">
        <v>74</v>
      </c>
      <c r="O1044" t="s">
        <v>74</v>
      </c>
      <c r="P1044" t="s">
        <v>74</v>
      </c>
      <c r="Q1044" t="s">
        <v>74</v>
      </c>
      <c r="R1044" t="s">
        <v>74</v>
      </c>
      <c r="S1044" t="s">
        <v>74</v>
      </c>
      <c r="T1044" t="s">
        <v>74</v>
      </c>
      <c r="U1044" t="s">
        <v>74</v>
      </c>
      <c r="V1044" s="3" t="s">
        <v>5445</v>
      </c>
      <c r="W1044" t="s">
        <v>74</v>
      </c>
      <c r="X1044" t="s">
        <v>74</v>
      </c>
      <c r="Y1044" t="s">
        <v>74</v>
      </c>
      <c r="Z1044" t="s">
        <v>74</v>
      </c>
      <c r="AA1044" t="s">
        <v>74</v>
      </c>
      <c r="AB1044" t="s">
        <v>74</v>
      </c>
      <c r="AC1044" t="s">
        <v>74</v>
      </c>
      <c r="AD1044" t="s">
        <v>74</v>
      </c>
      <c r="AE1044" t="s">
        <v>74</v>
      </c>
      <c r="AF1044" t="s">
        <v>74</v>
      </c>
      <c r="AG1044" t="s">
        <v>74</v>
      </c>
      <c r="AH1044" t="s">
        <v>74</v>
      </c>
      <c r="AI1044" t="s">
        <v>74</v>
      </c>
      <c r="AJ1044" t="s">
        <v>74</v>
      </c>
      <c r="AK1044" t="s">
        <v>74</v>
      </c>
      <c r="AL1044" t="s">
        <v>74</v>
      </c>
      <c r="AM1044" t="s">
        <v>74</v>
      </c>
      <c r="AN1044" t="s">
        <v>74</v>
      </c>
      <c r="AO1044" t="s">
        <v>337</v>
      </c>
      <c r="AP1044" t="s">
        <v>338</v>
      </c>
      <c r="AQ1044" t="s">
        <v>74</v>
      </c>
      <c r="AR1044" t="s">
        <v>74</v>
      </c>
      <c r="AS1044" t="s">
        <v>74</v>
      </c>
      <c r="AT1044" t="s">
        <v>1013</v>
      </c>
      <c r="AU1044">
        <v>2018</v>
      </c>
      <c r="AV1044">
        <v>29</v>
      </c>
      <c r="AW1044">
        <v>5</v>
      </c>
      <c r="AX1044" t="s">
        <v>74</v>
      </c>
      <c r="AY1044" t="s">
        <v>74</v>
      </c>
      <c r="AZ1044" t="s">
        <v>74</v>
      </c>
      <c r="BA1044" t="s">
        <v>74</v>
      </c>
      <c r="BB1044">
        <v>1046</v>
      </c>
      <c r="BC1044">
        <v>1055</v>
      </c>
      <c r="BD1044" t="s">
        <v>74</v>
      </c>
      <c r="BE1044" t="s">
        <v>5446</v>
      </c>
      <c r="BF1044" t="str">
        <f>HYPERLINK("http://dx.doi.org/10.1093/beheco/ary078","http://dx.doi.org/10.1093/beheco/ary078")</f>
        <v>http://dx.doi.org/10.1093/beheco/ary078</v>
      </c>
      <c r="BG1044" t="s">
        <v>74</v>
      </c>
      <c r="BH1044" t="s">
        <v>74</v>
      </c>
      <c r="BI1044" t="s">
        <v>74</v>
      </c>
      <c r="BJ1044" t="s">
        <v>74</v>
      </c>
      <c r="BK1044" t="s">
        <v>74</v>
      </c>
      <c r="BL1044" t="s">
        <v>74</v>
      </c>
      <c r="BM1044" t="s">
        <v>74</v>
      </c>
      <c r="BN1044" t="s">
        <v>74</v>
      </c>
      <c r="BO1044" t="s">
        <v>74</v>
      </c>
      <c r="BP1044" t="s">
        <v>74</v>
      </c>
      <c r="BQ1044" t="s">
        <v>74</v>
      </c>
      <c r="BR1044" t="s">
        <v>74</v>
      </c>
      <c r="BS1044" t="s">
        <v>5447</v>
      </c>
      <c r="BT1044" t="str">
        <f>HYPERLINK("https%3A%2F%2Fwww.webofscience.com%2Fwos%2Fwoscc%2Ffull-record%2FWOS:000444301900012","View Full Record in Web of Science")</f>
        <v>View Full Record in Web of Science</v>
      </c>
    </row>
    <row r="1045" spans="1:72" x14ac:dyDescent="0.4">
      <c r="A1045" t="s">
        <v>72</v>
      </c>
      <c r="B1045" t="s">
        <v>7257</v>
      </c>
      <c r="C1045" t="s">
        <v>74</v>
      </c>
      <c r="D1045" t="s">
        <v>74</v>
      </c>
      <c r="E1045" t="s">
        <v>74</v>
      </c>
      <c r="F1045" t="s">
        <v>7257</v>
      </c>
      <c r="G1045" t="s">
        <v>74</v>
      </c>
      <c r="H1045" t="s">
        <v>74</v>
      </c>
      <c r="I1045" t="s">
        <v>7258</v>
      </c>
      <c r="J1045" t="s">
        <v>5577</v>
      </c>
      <c r="K1045" t="s">
        <v>74</v>
      </c>
      <c r="L1045" t="s">
        <v>74</v>
      </c>
      <c r="M1045" t="s">
        <v>74</v>
      </c>
      <c r="N1045" t="s">
        <v>74</v>
      </c>
      <c r="O1045" t="s">
        <v>74</v>
      </c>
      <c r="P1045" t="s">
        <v>74</v>
      </c>
      <c r="Q1045" t="s">
        <v>74</v>
      </c>
      <c r="R1045" t="s">
        <v>74</v>
      </c>
      <c r="S1045" t="s">
        <v>74</v>
      </c>
      <c r="T1045" t="s">
        <v>74</v>
      </c>
      <c r="U1045" t="s">
        <v>74</v>
      </c>
      <c r="V1045" s="3" t="s">
        <v>7259</v>
      </c>
      <c r="W1045" t="s">
        <v>74</v>
      </c>
      <c r="X1045" t="s">
        <v>74</v>
      </c>
      <c r="Y1045" t="s">
        <v>74</v>
      </c>
      <c r="Z1045" t="s">
        <v>74</v>
      </c>
      <c r="AA1045" t="s">
        <v>7260</v>
      </c>
      <c r="AB1045" t="s">
        <v>74</v>
      </c>
      <c r="AC1045" t="s">
        <v>74</v>
      </c>
      <c r="AD1045" t="s">
        <v>74</v>
      </c>
      <c r="AE1045" t="s">
        <v>74</v>
      </c>
      <c r="AF1045" t="s">
        <v>74</v>
      </c>
      <c r="AG1045" t="s">
        <v>74</v>
      </c>
      <c r="AH1045" t="s">
        <v>74</v>
      </c>
      <c r="AI1045" t="s">
        <v>74</v>
      </c>
      <c r="AJ1045" t="s">
        <v>74</v>
      </c>
      <c r="AK1045" t="s">
        <v>74</v>
      </c>
      <c r="AL1045" t="s">
        <v>74</v>
      </c>
      <c r="AM1045" t="s">
        <v>74</v>
      </c>
      <c r="AN1045" t="s">
        <v>74</v>
      </c>
      <c r="AO1045" t="s">
        <v>5579</v>
      </c>
      <c r="AP1045" t="s">
        <v>74</v>
      </c>
      <c r="AQ1045" t="s">
        <v>74</v>
      </c>
      <c r="AR1045" t="s">
        <v>74</v>
      </c>
      <c r="AS1045" t="s">
        <v>74</v>
      </c>
      <c r="AT1045" t="s">
        <v>145</v>
      </c>
      <c r="AU1045">
        <v>2002</v>
      </c>
      <c r="AV1045">
        <v>81</v>
      </c>
      <c r="AW1045">
        <v>8</v>
      </c>
      <c r="AX1045" t="s">
        <v>74</v>
      </c>
      <c r="AY1045" t="s">
        <v>74</v>
      </c>
      <c r="AZ1045" t="s">
        <v>74</v>
      </c>
      <c r="BA1045" t="s">
        <v>74</v>
      </c>
      <c r="BB1045">
        <v>970</v>
      </c>
      <c r="BC1045">
        <v>977</v>
      </c>
      <c r="BD1045" t="s">
        <v>74</v>
      </c>
      <c r="BE1045" t="s">
        <v>74</v>
      </c>
      <c r="BF1045" t="s">
        <v>74</v>
      </c>
      <c r="BG1045" t="s">
        <v>74</v>
      </c>
      <c r="BH1045" t="s">
        <v>74</v>
      </c>
      <c r="BI1045" t="s">
        <v>74</v>
      </c>
      <c r="BJ1045" t="s">
        <v>74</v>
      </c>
      <c r="BK1045" t="s">
        <v>74</v>
      </c>
      <c r="BL1045" t="s">
        <v>74</v>
      </c>
      <c r="BM1045" t="s">
        <v>74</v>
      </c>
      <c r="BN1045" t="s">
        <v>74</v>
      </c>
      <c r="BO1045" t="s">
        <v>74</v>
      </c>
      <c r="BP1045" t="s">
        <v>74</v>
      </c>
      <c r="BQ1045" t="s">
        <v>74</v>
      </c>
      <c r="BR1045" t="s">
        <v>74</v>
      </c>
      <c r="BS1045" t="s">
        <v>7261</v>
      </c>
      <c r="BT1045" t="str">
        <f>HYPERLINK("https%3A%2F%2Fwww.webofscience.com%2Fwos%2Fwoscc%2Ffull-record%2FWOS:000178048000009","View Full Record in Web of Science")</f>
        <v>View Full Record in Web of Science</v>
      </c>
    </row>
    <row r="1046" spans="1:72" x14ac:dyDescent="0.4">
      <c r="A1046" t="s">
        <v>72</v>
      </c>
      <c r="B1046" t="s">
        <v>389</v>
      </c>
      <c r="C1046" t="s">
        <v>74</v>
      </c>
      <c r="D1046" t="s">
        <v>74</v>
      </c>
      <c r="E1046" t="s">
        <v>74</v>
      </c>
      <c r="F1046" t="s">
        <v>389</v>
      </c>
      <c r="G1046" t="s">
        <v>74</v>
      </c>
      <c r="H1046" t="s">
        <v>74</v>
      </c>
      <c r="I1046" t="s">
        <v>390</v>
      </c>
      <c r="J1046" t="s">
        <v>151</v>
      </c>
      <c r="K1046" t="s">
        <v>74</v>
      </c>
      <c r="L1046" t="s">
        <v>74</v>
      </c>
      <c r="M1046" t="s">
        <v>74</v>
      </c>
      <c r="N1046" t="s">
        <v>74</v>
      </c>
      <c r="O1046" t="s">
        <v>74</v>
      </c>
      <c r="P1046" t="s">
        <v>74</v>
      </c>
      <c r="Q1046" t="s">
        <v>74</v>
      </c>
      <c r="R1046" t="s">
        <v>74</v>
      </c>
      <c r="S1046" t="s">
        <v>74</v>
      </c>
      <c r="T1046" t="s">
        <v>74</v>
      </c>
      <c r="U1046" t="s">
        <v>74</v>
      </c>
      <c r="V1046" s="3" t="s">
        <v>391</v>
      </c>
      <c r="W1046" t="s">
        <v>74</v>
      </c>
      <c r="X1046" t="s">
        <v>74</v>
      </c>
      <c r="Y1046" t="s">
        <v>74</v>
      </c>
      <c r="Z1046" t="s">
        <v>74</v>
      </c>
      <c r="AA1046" t="s">
        <v>74</v>
      </c>
      <c r="AB1046" t="s">
        <v>74</v>
      </c>
      <c r="AC1046" t="s">
        <v>74</v>
      </c>
      <c r="AD1046" t="s">
        <v>74</v>
      </c>
      <c r="AE1046" t="s">
        <v>74</v>
      </c>
      <c r="AF1046" t="s">
        <v>74</v>
      </c>
      <c r="AG1046" t="s">
        <v>74</v>
      </c>
      <c r="AH1046" t="s">
        <v>74</v>
      </c>
      <c r="AI1046" t="s">
        <v>74</v>
      </c>
      <c r="AJ1046" t="s">
        <v>74</v>
      </c>
      <c r="AK1046" t="s">
        <v>74</v>
      </c>
      <c r="AL1046" t="s">
        <v>74</v>
      </c>
      <c r="AM1046" t="s">
        <v>74</v>
      </c>
      <c r="AN1046" t="s">
        <v>74</v>
      </c>
      <c r="AO1046" t="s">
        <v>155</v>
      </c>
      <c r="AP1046" t="s">
        <v>74</v>
      </c>
      <c r="AQ1046" t="s">
        <v>74</v>
      </c>
      <c r="AR1046" t="s">
        <v>74</v>
      </c>
      <c r="AS1046" t="s">
        <v>74</v>
      </c>
      <c r="AT1046" t="s">
        <v>74</v>
      </c>
      <c r="AU1046">
        <v>2003</v>
      </c>
      <c r="AV1046">
        <v>247</v>
      </c>
      <c r="AW1046" t="s">
        <v>74</v>
      </c>
      <c r="AX1046" t="s">
        <v>74</v>
      </c>
      <c r="AY1046" t="s">
        <v>74</v>
      </c>
      <c r="AZ1046" t="s">
        <v>74</v>
      </c>
      <c r="BA1046" t="s">
        <v>74</v>
      </c>
      <c r="BB1046">
        <v>85</v>
      </c>
      <c r="BC1046">
        <v>92</v>
      </c>
      <c r="BD1046" t="s">
        <v>74</v>
      </c>
      <c r="BE1046" t="s">
        <v>392</v>
      </c>
      <c r="BF1046" t="str">
        <f>HYPERLINK("http://dx.doi.org/10.3354/meps247085","http://dx.doi.org/10.3354/meps247085")</f>
        <v>http://dx.doi.org/10.3354/meps247085</v>
      </c>
      <c r="BG1046" t="s">
        <v>74</v>
      </c>
      <c r="BH1046" t="s">
        <v>74</v>
      </c>
      <c r="BI1046" t="s">
        <v>74</v>
      </c>
      <c r="BJ1046" t="s">
        <v>74</v>
      </c>
      <c r="BK1046" t="s">
        <v>74</v>
      </c>
      <c r="BL1046" t="s">
        <v>74</v>
      </c>
      <c r="BM1046" t="s">
        <v>74</v>
      </c>
      <c r="BN1046" t="s">
        <v>74</v>
      </c>
      <c r="BO1046" t="s">
        <v>74</v>
      </c>
      <c r="BP1046" t="s">
        <v>74</v>
      </c>
      <c r="BQ1046" t="s">
        <v>74</v>
      </c>
      <c r="BR1046" t="s">
        <v>74</v>
      </c>
      <c r="BS1046" t="s">
        <v>393</v>
      </c>
      <c r="BT1046" t="str">
        <f>HYPERLINK("https%3A%2F%2Fwww.webofscience.com%2Fwos%2Fwoscc%2Ffull-record%2FWOS:000181318700008","View Full Record in Web of Science")</f>
        <v>View Full Record in Web of Science</v>
      </c>
    </row>
    <row r="1047" spans="1:72" x14ac:dyDescent="0.4">
      <c r="A1047" t="s">
        <v>72</v>
      </c>
      <c r="B1047" t="s">
        <v>669</v>
      </c>
      <c r="C1047" t="s">
        <v>74</v>
      </c>
      <c r="D1047" t="s">
        <v>74</v>
      </c>
      <c r="E1047" t="s">
        <v>74</v>
      </c>
      <c r="F1047" t="s">
        <v>670</v>
      </c>
      <c r="G1047" t="s">
        <v>74</v>
      </c>
      <c r="H1047" t="s">
        <v>74</v>
      </c>
      <c r="I1047" t="s">
        <v>671</v>
      </c>
      <c r="J1047" t="s">
        <v>218</v>
      </c>
      <c r="K1047" t="s">
        <v>74</v>
      </c>
      <c r="L1047" t="s">
        <v>74</v>
      </c>
      <c r="M1047" t="s">
        <v>74</v>
      </c>
      <c r="N1047" t="s">
        <v>74</v>
      </c>
      <c r="O1047" t="s">
        <v>74</v>
      </c>
      <c r="P1047" t="s">
        <v>74</v>
      </c>
      <c r="Q1047" t="s">
        <v>74</v>
      </c>
      <c r="R1047" t="s">
        <v>74</v>
      </c>
      <c r="S1047" t="s">
        <v>74</v>
      </c>
      <c r="T1047" t="s">
        <v>74</v>
      </c>
      <c r="U1047" t="s">
        <v>74</v>
      </c>
      <c r="V1047" s="3" t="s">
        <v>672</v>
      </c>
      <c r="W1047" t="s">
        <v>74</v>
      </c>
      <c r="X1047" t="s">
        <v>74</v>
      </c>
      <c r="Y1047" t="s">
        <v>74</v>
      </c>
      <c r="Z1047" t="s">
        <v>74</v>
      </c>
      <c r="AA1047" t="s">
        <v>74</v>
      </c>
      <c r="AB1047" t="s">
        <v>673</v>
      </c>
      <c r="AC1047" t="s">
        <v>74</v>
      </c>
      <c r="AD1047" t="s">
        <v>74</v>
      </c>
      <c r="AE1047" t="s">
        <v>74</v>
      </c>
      <c r="AF1047" t="s">
        <v>74</v>
      </c>
      <c r="AG1047" t="s">
        <v>74</v>
      </c>
      <c r="AH1047" t="s">
        <v>74</v>
      </c>
      <c r="AI1047" t="s">
        <v>74</v>
      </c>
      <c r="AJ1047" t="s">
        <v>74</v>
      </c>
      <c r="AK1047" t="s">
        <v>74</v>
      </c>
      <c r="AL1047" t="s">
        <v>74</v>
      </c>
      <c r="AM1047" t="s">
        <v>74</v>
      </c>
      <c r="AN1047" t="s">
        <v>74</v>
      </c>
      <c r="AO1047" t="s">
        <v>221</v>
      </c>
      <c r="AP1047" t="s">
        <v>222</v>
      </c>
      <c r="AQ1047" t="s">
        <v>74</v>
      </c>
      <c r="AR1047" t="s">
        <v>74</v>
      </c>
      <c r="AS1047" t="s">
        <v>74</v>
      </c>
      <c r="AT1047" t="s">
        <v>213</v>
      </c>
      <c r="AU1047">
        <v>2021</v>
      </c>
      <c r="AV1047">
        <v>34</v>
      </c>
      <c r="AW1047">
        <v>11</v>
      </c>
      <c r="AX1047" t="s">
        <v>74</v>
      </c>
      <c r="AY1047" t="s">
        <v>74</v>
      </c>
      <c r="AZ1047" t="s">
        <v>74</v>
      </c>
      <c r="BA1047" t="s">
        <v>74</v>
      </c>
      <c r="BB1047">
        <v>1678</v>
      </c>
      <c r="BC1047">
        <v>1690</v>
      </c>
      <c r="BD1047" t="s">
        <v>74</v>
      </c>
      <c r="BE1047" t="s">
        <v>674</v>
      </c>
      <c r="BF1047" t="str">
        <f>HYPERLINK("http://dx.doi.org/10.1111/jeb.13929","http://dx.doi.org/10.1111/jeb.13929")</f>
        <v>http://dx.doi.org/10.1111/jeb.13929</v>
      </c>
      <c r="BG1047" t="s">
        <v>74</v>
      </c>
      <c r="BH1047" t="s">
        <v>675</v>
      </c>
      <c r="BI1047" t="s">
        <v>74</v>
      </c>
      <c r="BJ1047" t="s">
        <v>74</v>
      </c>
      <c r="BK1047" t="s">
        <v>74</v>
      </c>
      <c r="BL1047" t="s">
        <v>74</v>
      </c>
      <c r="BM1047" t="s">
        <v>74</v>
      </c>
      <c r="BN1047">
        <v>34528321</v>
      </c>
      <c r="BO1047" t="s">
        <v>74</v>
      </c>
      <c r="BP1047" t="s">
        <v>74</v>
      </c>
      <c r="BQ1047" t="s">
        <v>74</v>
      </c>
      <c r="BR1047" t="s">
        <v>74</v>
      </c>
      <c r="BS1047" t="s">
        <v>676</v>
      </c>
      <c r="BT1047" t="str">
        <f>HYPERLINK("https%3A%2F%2Fwww.webofscience.com%2Fwos%2Fwoscc%2Ffull-record%2FWOS:000698957000001","View Full Record in Web of Science")</f>
        <v>View Full Record in Web of Science</v>
      </c>
    </row>
    <row r="1048" spans="1:72" x14ac:dyDescent="0.4">
      <c r="A1048" t="s">
        <v>72</v>
      </c>
      <c r="B1048" t="s">
        <v>2364</v>
      </c>
      <c r="C1048" t="s">
        <v>74</v>
      </c>
      <c r="D1048" t="s">
        <v>74</v>
      </c>
      <c r="E1048" t="s">
        <v>74</v>
      </c>
      <c r="F1048" t="s">
        <v>2365</v>
      </c>
      <c r="G1048" t="s">
        <v>74</v>
      </c>
      <c r="H1048" t="s">
        <v>74</v>
      </c>
      <c r="I1048" t="s">
        <v>2366</v>
      </c>
      <c r="J1048" t="s">
        <v>408</v>
      </c>
      <c r="K1048" t="s">
        <v>74</v>
      </c>
      <c r="L1048" t="s">
        <v>74</v>
      </c>
      <c r="M1048" t="s">
        <v>74</v>
      </c>
      <c r="N1048" t="s">
        <v>74</v>
      </c>
      <c r="O1048" t="s">
        <v>74</v>
      </c>
      <c r="P1048" t="s">
        <v>74</v>
      </c>
      <c r="Q1048" t="s">
        <v>74</v>
      </c>
      <c r="R1048" t="s">
        <v>74</v>
      </c>
      <c r="S1048" t="s">
        <v>74</v>
      </c>
      <c r="T1048" t="s">
        <v>74</v>
      </c>
      <c r="U1048" t="s">
        <v>74</v>
      </c>
      <c r="V1048" s="3" t="s">
        <v>2367</v>
      </c>
      <c r="W1048" t="s">
        <v>74</v>
      </c>
      <c r="X1048" t="s">
        <v>74</v>
      </c>
      <c r="Y1048" t="s">
        <v>74</v>
      </c>
      <c r="Z1048" t="s">
        <v>74</v>
      </c>
      <c r="AA1048" t="s">
        <v>74</v>
      </c>
      <c r="AB1048" t="s">
        <v>2368</v>
      </c>
      <c r="AC1048" t="s">
        <v>74</v>
      </c>
      <c r="AD1048" t="s">
        <v>74</v>
      </c>
      <c r="AE1048" t="s">
        <v>74</v>
      </c>
      <c r="AF1048" t="s">
        <v>74</v>
      </c>
      <c r="AG1048" t="s">
        <v>74</v>
      </c>
      <c r="AH1048" t="s">
        <v>74</v>
      </c>
      <c r="AI1048" t="s">
        <v>74</v>
      </c>
      <c r="AJ1048" t="s">
        <v>74</v>
      </c>
      <c r="AK1048" t="s">
        <v>74</v>
      </c>
      <c r="AL1048" t="s">
        <v>74</v>
      </c>
      <c r="AM1048" t="s">
        <v>74</v>
      </c>
      <c r="AN1048" t="s">
        <v>74</v>
      </c>
      <c r="AO1048" t="s">
        <v>412</v>
      </c>
      <c r="AP1048" t="s">
        <v>413</v>
      </c>
      <c r="AQ1048" t="s">
        <v>74</v>
      </c>
      <c r="AR1048" t="s">
        <v>74</v>
      </c>
      <c r="AS1048" t="s">
        <v>74</v>
      </c>
      <c r="AT1048" t="s">
        <v>352</v>
      </c>
      <c r="AU1048">
        <v>2013</v>
      </c>
      <c r="AV1048">
        <v>110</v>
      </c>
      <c r="AW1048">
        <v>1</v>
      </c>
      <c r="AX1048" t="s">
        <v>74</v>
      </c>
      <c r="AY1048" t="s">
        <v>74</v>
      </c>
      <c r="AZ1048" t="s">
        <v>74</v>
      </c>
      <c r="BA1048" t="s">
        <v>74</v>
      </c>
      <c r="BB1048">
        <v>180</v>
      </c>
      <c r="BC1048">
        <v>188</v>
      </c>
      <c r="BD1048" t="s">
        <v>74</v>
      </c>
      <c r="BE1048" t="s">
        <v>2369</v>
      </c>
      <c r="BF1048" t="str">
        <f>HYPERLINK("http://dx.doi.org/10.1111/bij.12105","http://dx.doi.org/10.1111/bij.12105")</f>
        <v>http://dx.doi.org/10.1111/bij.12105</v>
      </c>
      <c r="BG1048" t="s">
        <v>74</v>
      </c>
      <c r="BH1048" t="s">
        <v>74</v>
      </c>
      <c r="BI1048" t="s">
        <v>74</v>
      </c>
      <c r="BJ1048" t="s">
        <v>74</v>
      </c>
      <c r="BK1048" t="s">
        <v>74</v>
      </c>
      <c r="BL1048" t="s">
        <v>74</v>
      </c>
      <c r="BM1048" t="s">
        <v>74</v>
      </c>
      <c r="BN1048" t="s">
        <v>74</v>
      </c>
      <c r="BO1048" t="s">
        <v>74</v>
      </c>
      <c r="BP1048" t="s">
        <v>74</v>
      </c>
      <c r="BQ1048" t="s">
        <v>74</v>
      </c>
      <c r="BR1048" t="s">
        <v>74</v>
      </c>
      <c r="BS1048" t="s">
        <v>2370</v>
      </c>
      <c r="BT1048" t="str">
        <f>HYPERLINK("https%3A%2F%2Fwww.webofscience.com%2Fwos%2Fwoscc%2Ffull-record%2FWOS:000323040200013","View Full Record in Web of Science")</f>
        <v>View Full Record in Web of Science</v>
      </c>
    </row>
    <row r="1049" spans="1:72" x14ac:dyDescent="0.4">
      <c r="A1049" t="s">
        <v>72</v>
      </c>
      <c r="B1049" t="s">
        <v>4041</v>
      </c>
      <c r="C1049" t="s">
        <v>74</v>
      </c>
      <c r="D1049" t="s">
        <v>74</v>
      </c>
      <c r="E1049" t="s">
        <v>74</v>
      </c>
      <c r="F1049" t="s">
        <v>4042</v>
      </c>
      <c r="G1049" t="s">
        <v>74</v>
      </c>
      <c r="H1049" t="s">
        <v>74</v>
      </c>
      <c r="I1049" t="s">
        <v>4043</v>
      </c>
      <c r="J1049" t="s">
        <v>129</v>
      </c>
      <c r="K1049" t="s">
        <v>74</v>
      </c>
      <c r="L1049" t="s">
        <v>74</v>
      </c>
      <c r="M1049" t="s">
        <v>74</v>
      </c>
      <c r="N1049" t="s">
        <v>74</v>
      </c>
      <c r="O1049" t="s">
        <v>74</v>
      </c>
      <c r="P1049" t="s">
        <v>74</v>
      </c>
      <c r="Q1049" t="s">
        <v>74</v>
      </c>
      <c r="R1049" t="s">
        <v>74</v>
      </c>
      <c r="S1049" t="s">
        <v>74</v>
      </c>
      <c r="T1049" t="s">
        <v>74</v>
      </c>
      <c r="U1049" t="s">
        <v>74</v>
      </c>
      <c r="V1049" s="3" t="s">
        <v>4044</v>
      </c>
      <c r="W1049" t="s">
        <v>74</v>
      </c>
      <c r="X1049" t="s">
        <v>74</v>
      </c>
      <c r="Y1049" t="s">
        <v>74</v>
      </c>
      <c r="Z1049" t="s">
        <v>74</v>
      </c>
      <c r="AA1049" t="s">
        <v>74</v>
      </c>
      <c r="AB1049" t="s">
        <v>74</v>
      </c>
      <c r="AC1049" t="s">
        <v>74</v>
      </c>
      <c r="AD1049" t="s">
        <v>74</v>
      </c>
      <c r="AE1049" t="s">
        <v>74</v>
      </c>
      <c r="AF1049" t="s">
        <v>74</v>
      </c>
      <c r="AG1049" t="s">
        <v>74</v>
      </c>
      <c r="AH1049" t="s">
        <v>74</v>
      </c>
      <c r="AI1049" t="s">
        <v>74</v>
      </c>
      <c r="AJ1049" t="s">
        <v>74</v>
      </c>
      <c r="AK1049" t="s">
        <v>74</v>
      </c>
      <c r="AL1049" t="s">
        <v>74</v>
      </c>
      <c r="AM1049" t="s">
        <v>74</v>
      </c>
      <c r="AN1049" t="s">
        <v>74</v>
      </c>
      <c r="AO1049" t="s">
        <v>132</v>
      </c>
      <c r="AP1049" t="s">
        <v>133</v>
      </c>
      <c r="AQ1049" t="s">
        <v>74</v>
      </c>
      <c r="AR1049" t="s">
        <v>74</v>
      </c>
      <c r="AS1049" t="s">
        <v>74</v>
      </c>
      <c r="AT1049" t="s">
        <v>123</v>
      </c>
      <c r="AU1049">
        <v>2024</v>
      </c>
      <c r="AV1049">
        <v>78</v>
      </c>
      <c r="AW1049">
        <v>3</v>
      </c>
      <c r="AX1049" t="s">
        <v>74</v>
      </c>
      <c r="AY1049" t="s">
        <v>74</v>
      </c>
      <c r="AZ1049" t="s">
        <v>74</v>
      </c>
      <c r="BA1049" t="s">
        <v>74</v>
      </c>
      <c r="BB1049" t="s">
        <v>74</v>
      </c>
      <c r="BC1049" t="s">
        <v>74</v>
      </c>
      <c r="BD1049">
        <v>43</v>
      </c>
      <c r="BE1049" t="s">
        <v>4045</v>
      </c>
      <c r="BF1049" t="str">
        <f>HYPERLINK("http://dx.doi.org/10.1007/s00265-024-03453-8","http://dx.doi.org/10.1007/s00265-024-03453-8")</f>
        <v>http://dx.doi.org/10.1007/s00265-024-03453-8</v>
      </c>
      <c r="BG1049" t="s">
        <v>74</v>
      </c>
      <c r="BH1049" t="s">
        <v>74</v>
      </c>
      <c r="BI1049" t="s">
        <v>74</v>
      </c>
      <c r="BJ1049" t="s">
        <v>74</v>
      </c>
      <c r="BK1049" t="s">
        <v>74</v>
      </c>
      <c r="BL1049" t="s">
        <v>74</v>
      </c>
      <c r="BM1049" t="s">
        <v>74</v>
      </c>
      <c r="BN1049" t="s">
        <v>74</v>
      </c>
      <c r="BO1049" t="s">
        <v>74</v>
      </c>
      <c r="BP1049" t="s">
        <v>74</v>
      </c>
      <c r="BQ1049" t="s">
        <v>74</v>
      </c>
      <c r="BR1049" t="s">
        <v>74</v>
      </c>
      <c r="BS1049" t="s">
        <v>4046</v>
      </c>
      <c r="BT1049" t="str">
        <f>HYPERLINK("https%3A%2F%2Fwww.webofscience.com%2Fwos%2Fwoscc%2Ffull-record%2FWOS:001190569600001","View Full Record in Web of Science")</f>
        <v>View Full Record in Web of Science</v>
      </c>
    </row>
    <row r="1050" spans="1:72" x14ac:dyDescent="0.4">
      <c r="A1050" t="s">
        <v>72</v>
      </c>
      <c r="B1050" t="s">
        <v>5262</v>
      </c>
      <c r="C1050" t="s">
        <v>74</v>
      </c>
      <c r="D1050" t="s">
        <v>74</v>
      </c>
      <c r="E1050" t="s">
        <v>74</v>
      </c>
      <c r="F1050" t="s">
        <v>5263</v>
      </c>
      <c r="G1050" t="s">
        <v>74</v>
      </c>
      <c r="H1050" t="s">
        <v>74</v>
      </c>
      <c r="I1050" t="s">
        <v>5264</v>
      </c>
      <c r="J1050" t="s">
        <v>5265</v>
      </c>
      <c r="K1050" t="s">
        <v>74</v>
      </c>
      <c r="L1050" t="s">
        <v>74</v>
      </c>
      <c r="M1050" t="s">
        <v>74</v>
      </c>
      <c r="N1050" t="s">
        <v>74</v>
      </c>
      <c r="O1050" t="s">
        <v>74</v>
      </c>
      <c r="P1050" t="s">
        <v>74</v>
      </c>
      <c r="Q1050" t="s">
        <v>74</v>
      </c>
      <c r="R1050" t="s">
        <v>74</v>
      </c>
      <c r="S1050" t="s">
        <v>74</v>
      </c>
      <c r="T1050" t="s">
        <v>74</v>
      </c>
      <c r="U1050" t="s">
        <v>74</v>
      </c>
      <c r="V1050" s="3" t="s">
        <v>5266</v>
      </c>
      <c r="W1050" t="s">
        <v>74</v>
      </c>
      <c r="X1050" t="s">
        <v>74</v>
      </c>
      <c r="Y1050" t="s">
        <v>74</v>
      </c>
      <c r="Z1050" t="s">
        <v>74</v>
      </c>
      <c r="AA1050" t="s">
        <v>5267</v>
      </c>
      <c r="AB1050" t="s">
        <v>5268</v>
      </c>
      <c r="AC1050" t="s">
        <v>74</v>
      </c>
      <c r="AD1050" t="s">
        <v>74</v>
      </c>
      <c r="AE1050" t="s">
        <v>74</v>
      </c>
      <c r="AF1050" t="s">
        <v>74</v>
      </c>
      <c r="AG1050" t="s">
        <v>74</v>
      </c>
      <c r="AH1050" t="s">
        <v>74</v>
      </c>
      <c r="AI1050" t="s">
        <v>74</v>
      </c>
      <c r="AJ1050" t="s">
        <v>74</v>
      </c>
      <c r="AK1050" t="s">
        <v>74</v>
      </c>
      <c r="AL1050" t="s">
        <v>74</v>
      </c>
      <c r="AM1050" t="s">
        <v>74</v>
      </c>
      <c r="AN1050" t="s">
        <v>74</v>
      </c>
      <c r="AO1050" t="s">
        <v>5269</v>
      </c>
      <c r="AP1050" t="s">
        <v>74</v>
      </c>
      <c r="AQ1050" t="s">
        <v>74</v>
      </c>
      <c r="AR1050" t="s">
        <v>74</v>
      </c>
      <c r="AS1050" t="s">
        <v>74</v>
      </c>
      <c r="AT1050" t="s">
        <v>5270</v>
      </c>
      <c r="AU1050">
        <v>2018</v>
      </c>
      <c r="AV1050">
        <v>42</v>
      </c>
      <c r="AW1050">
        <v>3</v>
      </c>
      <c r="AX1050" t="s">
        <v>74</v>
      </c>
      <c r="AY1050" t="s">
        <v>74</v>
      </c>
      <c r="AZ1050" t="s">
        <v>74</v>
      </c>
      <c r="BA1050" t="s">
        <v>74</v>
      </c>
      <c r="BB1050">
        <v>229</v>
      </c>
      <c r="BC1050">
        <v>256</v>
      </c>
      <c r="BD1050" t="s">
        <v>74</v>
      </c>
      <c r="BE1050" t="s">
        <v>74</v>
      </c>
      <c r="BF1050" t="s">
        <v>74</v>
      </c>
      <c r="BG1050" t="s">
        <v>74</v>
      </c>
      <c r="BH1050" t="s">
        <v>74</v>
      </c>
      <c r="BI1050" t="s">
        <v>74</v>
      </c>
      <c r="BJ1050" t="s">
        <v>74</v>
      </c>
      <c r="BK1050" t="s">
        <v>74</v>
      </c>
      <c r="BL1050" t="s">
        <v>74</v>
      </c>
      <c r="BM1050" t="s">
        <v>74</v>
      </c>
      <c r="BN1050" t="s">
        <v>74</v>
      </c>
      <c r="BO1050" t="s">
        <v>74</v>
      </c>
      <c r="BP1050" t="s">
        <v>74</v>
      </c>
      <c r="BQ1050" t="s">
        <v>74</v>
      </c>
      <c r="BR1050" t="s">
        <v>74</v>
      </c>
      <c r="BS1050" t="s">
        <v>5271</v>
      </c>
      <c r="BT1050" t="str">
        <f>HYPERLINK("https%3A%2F%2Fwww.webofscience.com%2Fwos%2Fwoscc%2Ffull-record%2FWOS:000449238000002","View Full Record in Web of Science")</f>
        <v>View Full Record in Web of Science</v>
      </c>
    </row>
    <row r="1051" spans="1:72" x14ac:dyDescent="0.4">
      <c r="A1051" t="s">
        <v>72</v>
      </c>
      <c r="B1051" t="s">
        <v>7857</v>
      </c>
      <c r="C1051" t="s">
        <v>74</v>
      </c>
      <c r="D1051" t="s">
        <v>74</v>
      </c>
      <c r="E1051" t="s">
        <v>74</v>
      </c>
      <c r="F1051" t="s">
        <v>7858</v>
      </c>
      <c r="G1051" t="s">
        <v>74</v>
      </c>
      <c r="H1051" t="s">
        <v>74</v>
      </c>
      <c r="I1051" t="s">
        <v>7859</v>
      </c>
      <c r="J1051" t="s">
        <v>108</v>
      </c>
      <c r="K1051" t="s">
        <v>74</v>
      </c>
      <c r="L1051" t="s">
        <v>74</v>
      </c>
      <c r="M1051" t="s">
        <v>74</v>
      </c>
      <c r="N1051" t="s">
        <v>74</v>
      </c>
      <c r="O1051" t="s">
        <v>74</v>
      </c>
      <c r="P1051" t="s">
        <v>74</v>
      </c>
      <c r="Q1051" t="s">
        <v>74</v>
      </c>
      <c r="R1051" t="s">
        <v>74</v>
      </c>
      <c r="S1051" t="s">
        <v>74</v>
      </c>
      <c r="T1051" t="s">
        <v>74</v>
      </c>
      <c r="U1051" t="s">
        <v>74</v>
      </c>
      <c r="V1051" s="3" t="s">
        <v>7860</v>
      </c>
      <c r="W1051" t="s">
        <v>74</v>
      </c>
      <c r="X1051" t="s">
        <v>74</v>
      </c>
      <c r="Y1051" t="s">
        <v>74</v>
      </c>
      <c r="Z1051" t="s">
        <v>74</v>
      </c>
      <c r="AA1051" t="s">
        <v>7861</v>
      </c>
      <c r="AB1051" t="s">
        <v>7862</v>
      </c>
      <c r="AC1051" t="s">
        <v>74</v>
      </c>
      <c r="AD1051" t="s">
        <v>74</v>
      </c>
      <c r="AE1051" t="s">
        <v>74</v>
      </c>
      <c r="AF1051" t="s">
        <v>74</v>
      </c>
      <c r="AG1051" t="s">
        <v>74</v>
      </c>
      <c r="AH1051" t="s">
        <v>74</v>
      </c>
      <c r="AI1051" t="s">
        <v>74</v>
      </c>
      <c r="AJ1051" t="s">
        <v>74</v>
      </c>
      <c r="AK1051" t="s">
        <v>74</v>
      </c>
      <c r="AL1051" t="s">
        <v>74</v>
      </c>
      <c r="AM1051" t="s">
        <v>74</v>
      </c>
      <c r="AN1051" t="s">
        <v>74</v>
      </c>
      <c r="AO1051" t="s">
        <v>111</v>
      </c>
      <c r="AP1051" t="s">
        <v>112</v>
      </c>
      <c r="AQ1051" t="s">
        <v>74</v>
      </c>
      <c r="AR1051" t="s">
        <v>74</v>
      </c>
      <c r="AS1051" t="s">
        <v>74</v>
      </c>
      <c r="AT1051" t="s">
        <v>3105</v>
      </c>
      <c r="AU1051">
        <v>2019</v>
      </c>
      <c r="AV1051">
        <v>286</v>
      </c>
      <c r="AW1051">
        <v>1914</v>
      </c>
      <c r="AX1051" t="s">
        <v>74</v>
      </c>
      <c r="AY1051" t="s">
        <v>74</v>
      </c>
      <c r="AZ1051" t="s">
        <v>74</v>
      </c>
      <c r="BA1051" t="s">
        <v>74</v>
      </c>
      <c r="BB1051" t="s">
        <v>74</v>
      </c>
      <c r="BC1051" t="s">
        <v>74</v>
      </c>
      <c r="BD1051">
        <v>20192075</v>
      </c>
      <c r="BE1051" t="s">
        <v>7863</v>
      </c>
      <c r="BF1051" t="str">
        <f>HYPERLINK("http://dx.doi.org/10.1098/rspb.2019.2075","http://dx.doi.org/10.1098/rspb.2019.2075")</f>
        <v>http://dx.doi.org/10.1098/rspb.2019.2075</v>
      </c>
      <c r="BG1051" t="s">
        <v>74</v>
      </c>
      <c r="BH1051" t="s">
        <v>74</v>
      </c>
      <c r="BI1051" t="s">
        <v>74</v>
      </c>
      <c r="BJ1051" t="s">
        <v>74</v>
      </c>
      <c r="BK1051" t="s">
        <v>74</v>
      </c>
      <c r="BL1051" t="s">
        <v>74</v>
      </c>
      <c r="BM1051" t="s">
        <v>74</v>
      </c>
      <c r="BN1051">
        <v>31690236</v>
      </c>
      <c r="BO1051" t="s">
        <v>74</v>
      </c>
      <c r="BP1051" t="s">
        <v>74</v>
      </c>
      <c r="BQ1051" t="s">
        <v>74</v>
      </c>
      <c r="BR1051" t="s">
        <v>74</v>
      </c>
      <c r="BS1051" t="s">
        <v>7864</v>
      </c>
      <c r="BT1051" t="str">
        <f>HYPERLINK("https%3A%2F%2Fwww.webofscience.com%2Fwos%2Fwoscc%2Ffull-record%2FWOS:000504858100018","View Full Record in Web of Science")</f>
        <v>View Full Record in Web of Science</v>
      </c>
    </row>
    <row r="1052" spans="1:72" x14ac:dyDescent="0.4">
      <c r="A1052" t="s">
        <v>72</v>
      </c>
      <c r="B1052" t="s">
        <v>2926</v>
      </c>
      <c r="C1052" t="s">
        <v>74</v>
      </c>
      <c r="D1052" t="s">
        <v>74</v>
      </c>
      <c r="E1052" t="s">
        <v>74</v>
      </c>
      <c r="F1052" t="s">
        <v>2927</v>
      </c>
      <c r="G1052" t="s">
        <v>74</v>
      </c>
      <c r="H1052" t="s">
        <v>74</v>
      </c>
      <c r="I1052" t="s">
        <v>2928</v>
      </c>
      <c r="J1052" t="s">
        <v>2929</v>
      </c>
      <c r="K1052" t="s">
        <v>74</v>
      </c>
      <c r="L1052" t="s">
        <v>74</v>
      </c>
      <c r="M1052" t="s">
        <v>74</v>
      </c>
      <c r="N1052" t="s">
        <v>74</v>
      </c>
      <c r="O1052" t="s">
        <v>74</v>
      </c>
      <c r="P1052" t="s">
        <v>74</v>
      </c>
      <c r="Q1052" t="s">
        <v>74</v>
      </c>
      <c r="R1052" t="s">
        <v>74</v>
      </c>
      <c r="S1052" t="s">
        <v>74</v>
      </c>
      <c r="T1052" t="s">
        <v>74</v>
      </c>
      <c r="U1052" t="s">
        <v>74</v>
      </c>
      <c r="V1052" s="3" t="s">
        <v>2930</v>
      </c>
      <c r="W1052" t="s">
        <v>74</v>
      </c>
      <c r="X1052" t="s">
        <v>74</v>
      </c>
      <c r="Y1052" t="s">
        <v>74</v>
      </c>
      <c r="Z1052" t="s">
        <v>74</v>
      </c>
      <c r="AA1052" t="s">
        <v>74</v>
      </c>
      <c r="AB1052" t="s">
        <v>2931</v>
      </c>
      <c r="AC1052" t="s">
        <v>74</v>
      </c>
      <c r="AD1052" t="s">
        <v>74</v>
      </c>
      <c r="AE1052" t="s">
        <v>74</v>
      </c>
      <c r="AF1052" t="s">
        <v>74</v>
      </c>
      <c r="AG1052" t="s">
        <v>74</v>
      </c>
      <c r="AH1052" t="s">
        <v>74</v>
      </c>
      <c r="AI1052" t="s">
        <v>74</v>
      </c>
      <c r="AJ1052" t="s">
        <v>74</v>
      </c>
      <c r="AK1052" t="s">
        <v>74</v>
      </c>
      <c r="AL1052" t="s">
        <v>74</v>
      </c>
      <c r="AM1052" t="s">
        <v>74</v>
      </c>
      <c r="AN1052" t="s">
        <v>74</v>
      </c>
      <c r="AO1052" t="s">
        <v>2932</v>
      </c>
      <c r="AP1052" t="s">
        <v>74</v>
      </c>
      <c r="AQ1052" t="s">
        <v>74</v>
      </c>
      <c r="AR1052" t="s">
        <v>74</v>
      </c>
      <c r="AS1052" t="s">
        <v>74</v>
      </c>
      <c r="AT1052" t="s">
        <v>305</v>
      </c>
      <c r="AU1052">
        <v>2021</v>
      </c>
      <c r="AV1052">
        <v>21</v>
      </c>
      <c r="AW1052">
        <v>1</v>
      </c>
      <c r="AX1052" t="s">
        <v>74</v>
      </c>
      <c r="AY1052" t="s">
        <v>74</v>
      </c>
      <c r="AZ1052" t="s">
        <v>74</v>
      </c>
      <c r="BA1052" t="s">
        <v>74</v>
      </c>
      <c r="BB1052">
        <v>80</v>
      </c>
      <c r="BC1052">
        <v>84</v>
      </c>
      <c r="BD1052" t="s">
        <v>74</v>
      </c>
      <c r="BE1052" t="s">
        <v>2933</v>
      </c>
      <c r="BF1052" t="str">
        <f>HYPERLINK("http://dx.doi.org/10.2994/SAJH-D-20-00015.1","http://dx.doi.org/10.2994/SAJH-D-20-00015.1")</f>
        <v>http://dx.doi.org/10.2994/SAJH-D-20-00015.1</v>
      </c>
      <c r="BG1052" t="s">
        <v>74</v>
      </c>
      <c r="BH1052" t="s">
        <v>74</v>
      </c>
      <c r="BI1052" t="s">
        <v>74</v>
      </c>
      <c r="BJ1052" t="s">
        <v>74</v>
      </c>
      <c r="BK1052" t="s">
        <v>74</v>
      </c>
      <c r="BL1052" t="s">
        <v>74</v>
      </c>
      <c r="BM1052" t="s">
        <v>74</v>
      </c>
      <c r="BN1052" t="s">
        <v>74</v>
      </c>
      <c r="BO1052" t="s">
        <v>74</v>
      </c>
      <c r="BP1052" t="s">
        <v>74</v>
      </c>
      <c r="BQ1052" t="s">
        <v>74</v>
      </c>
      <c r="BR1052" t="s">
        <v>74</v>
      </c>
      <c r="BS1052" t="s">
        <v>2934</v>
      </c>
      <c r="BT1052" t="str">
        <f>HYPERLINK("https%3A%2F%2Fwww.webofscience.com%2Fwos%2Fwoscc%2Ffull-record%2FWOS:000739788300008","View Full Record in Web of Science")</f>
        <v>View Full Record in Web of Science</v>
      </c>
    </row>
    <row r="1053" spans="1:72" x14ac:dyDescent="0.4">
      <c r="A1053" t="s">
        <v>72</v>
      </c>
      <c r="B1053" t="s">
        <v>5251</v>
      </c>
      <c r="C1053" t="s">
        <v>74</v>
      </c>
      <c r="D1053" t="s">
        <v>74</v>
      </c>
      <c r="E1053" t="s">
        <v>74</v>
      </c>
      <c r="F1053" t="s">
        <v>5252</v>
      </c>
      <c r="G1053" t="s">
        <v>74</v>
      </c>
      <c r="H1053" t="s">
        <v>74</v>
      </c>
      <c r="I1053" t="s">
        <v>5253</v>
      </c>
      <c r="J1053" t="s">
        <v>129</v>
      </c>
      <c r="K1053" t="s">
        <v>74</v>
      </c>
      <c r="L1053" t="s">
        <v>74</v>
      </c>
      <c r="M1053" t="s">
        <v>74</v>
      </c>
      <c r="N1053" t="s">
        <v>74</v>
      </c>
      <c r="O1053" t="s">
        <v>74</v>
      </c>
      <c r="P1053" t="s">
        <v>74</v>
      </c>
      <c r="Q1053" t="s">
        <v>74</v>
      </c>
      <c r="R1053" t="s">
        <v>74</v>
      </c>
      <c r="S1053" t="s">
        <v>74</v>
      </c>
      <c r="T1053" t="s">
        <v>74</v>
      </c>
      <c r="U1053" t="s">
        <v>74</v>
      </c>
      <c r="V1053" s="3" t="s">
        <v>5254</v>
      </c>
      <c r="W1053" t="s">
        <v>74</v>
      </c>
      <c r="X1053" t="s">
        <v>74</v>
      </c>
      <c r="Y1053" t="s">
        <v>74</v>
      </c>
      <c r="Z1053" t="s">
        <v>74</v>
      </c>
      <c r="AA1053" t="s">
        <v>74</v>
      </c>
      <c r="AB1053" t="s">
        <v>322</v>
      </c>
      <c r="AC1053" t="s">
        <v>74</v>
      </c>
      <c r="AD1053" t="s">
        <v>74</v>
      </c>
      <c r="AE1053" t="s">
        <v>74</v>
      </c>
      <c r="AF1053" t="s">
        <v>74</v>
      </c>
      <c r="AG1053" t="s">
        <v>74</v>
      </c>
      <c r="AH1053" t="s">
        <v>74</v>
      </c>
      <c r="AI1053" t="s">
        <v>74</v>
      </c>
      <c r="AJ1053" t="s">
        <v>74</v>
      </c>
      <c r="AK1053" t="s">
        <v>74</v>
      </c>
      <c r="AL1053" t="s">
        <v>74</v>
      </c>
      <c r="AM1053" t="s">
        <v>74</v>
      </c>
      <c r="AN1053" t="s">
        <v>74</v>
      </c>
      <c r="AO1053" t="s">
        <v>132</v>
      </c>
      <c r="AP1053" t="s">
        <v>133</v>
      </c>
      <c r="AQ1053" t="s">
        <v>74</v>
      </c>
      <c r="AR1053" t="s">
        <v>74</v>
      </c>
      <c r="AS1053" t="s">
        <v>74</v>
      </c>
      <c r="AT1053" t="s">
        <v>352</v>
      </c>
      <c r="AU1053">
        <v>2013</v>
      </c>
      <c r="AV1053">
        <v>67</v>
      </c>
      <c r="AW1053">
        <v>9</v>
      </c>
      <c r="AX1053" t="s">
        <v>74</v>
      </c>
      <c r="AY1053" t="s">
        <v>74</v>
      </c>
      <c r="AZ1053" t="s">
        <v>848</v>
      </c>
      <c r="BA1053" t="s">
        <v>74</v>
      </c>
      <c r="BB1053">
        <v>1499</v>
      </c>
      <c r="BC1053">
        <v>1511</v>
      </c>
      <c r="BD1053" t="s">
        <v>74</v>
      </c>
      <c r="BE1053" t="s">
        <v>5255</v>
      </c>
      <c r="BF1053" t="str">
        <f>HYPERLINK("http://dx.doi.org/10.1007/s00265-013-1492-y","http://dx.doi.org/10.1007/s00265-013-1492-y")</f>
        <v>http://dx.doi.org/10.1007/s00265-013-1492-y</v>
      </c>
      <c r="BG1053" t="s">
        <v>74</v>
      </c>
      <c r="BH1053" t="s">
        <v>74</v>
      </c>
      <c r="BI1053" t="s">
        <v>74</v>
      </c>
      <c r="BJ1053" t="s">
        <v>74</v>
      </c>
      <c r="BK1053" t="s">
        <v>74</v>
      </c>
      <c r="BL1053" t="s">
        <v>74</v>
      </c>
      <c r="BM1053" t="s">
        <v>74</v>
      </c>
      <c r="BN1053" t="s">
        <v>74</v>
      </c>
      <c r="BO1053" t="s">
        <v>74</v>
      </c>
      <c r="BP1053" t="s">
        <v>74</v>
      </c>
      <c r="BQ1053" t="s">
        <v>74</v>
      </c>
      <c r="BR1053" t="s">
        <v>74</v>
      </c>
      <c r="BS1053" t="s">
        <v>5256</v>
      </c>
      <c r="BT1053" t="str">
        <f>HYPERLINK("https%3A%2F%2Fwww.webofscience.com%2Fwos%2Fwoscc%2Ffull-record%2FWOS:000323103400012","View Full Record in Web of Science")</f>
        <v>View Full Record in Web of Science</v>
      </c>
    </row>
    <row r="1054" spans="1:72" x14ac:dyDescent="0.4">
      <c r="A1054" t="s">
        <v>72</v>
      </c>
      <c r="B1054" t="s">
        <v>7746</v>
      </c>
      <c r="C1054" t="s">
        <v>74</v>
      </c>
      <c r="D1054" t="s">
        <v>74</v>
      </c>
      <c r="E1054" t="s">
        <v>74</v>
      </c>
      <c r="F1054" t="s">
        <v>7747</v>
      </c>
      <c r="G1054" t="s">
        <v>74</v>
      </c>
      <c r="H1054" t="s">
        <v>74</v>
      </c>
      <c r="I1054" t="s">
        <v>7748</v>
      </c>
      <c r="J1054" t="s">
        <v>2017</v>
      </c>
      <c r="K1054" t="s">
        <v>74</v>
      </c>
      <c r="L1054" t="s">
        <v>74</v>
      </c>
      <c r="M1054" t="s">
        <v>74</v>
      </c>
      <c r="N1054" t="s">
        <v>74</v>
      </c>
      <c r="O1054" t="s">
        <v>74</v>
      </c>
      <c r="P1054" t="s">
        <v>74</v>
      </c>
      <c r="Q1054" t="s">
        <v>74</v>
      </c>
      <c r="R1054" t="s">
        <v>74</v>
      </c>
      <c r="S1054" t="s">
        <v>74</v>
      </c>
      <c r="T1054" t="s">
        <v>74</v>
      </c>
      <c r="U1054" t="s">
        <v>74</v>
      </c>
      <c r="V1054" s="3" t="s">
        <v>7749</v>
      </c>
      <c r="W1054" t="s">
        <v>74</v>
      </c>
      <c r="X1054" t="s">
        <v>74</v>
      </c>
      <c r="Y1054" t="s">
        <v>74</v>
      </c>
      <c r="Z1054" t="s">
        <v>74</v>
      </c>
      <c r="AA1054" t="s">
        <v>7750</v>
      </c>
      <c r="AB1054" t="s">
        <v>7751</v>
      </c>
      <c r="AC1054" t="s">
        <v>74</v>
      </c>
      <c r="AD1054" t="s">
        <v>74</v>
      </c>
      <c r="AE1054" t="s">
        <v>74</v>
      </c>
      <c r="AF1054" t="s">
        <v>74</v>
      </c>
      <c r="AG1054" t="s">
        <v>74</v>
      </c>
      <c r="AH1054" t="s">
        <v>74</v>
      </c>
      <c r="AI1054" t="s">
        <v>74</v>
      </c>
      <c r="AJ1054" t="s">
        <v>74</v>
      </c>
      <c r="AK1054" t="s">
        <v>74</v>
      </c>
      <c r="AL1054" t="s">
        <v>74</v>
      </c>
      <c r="AM1054" t="s">
        <v>74</v>
      </c>
      <c r="AN1054" t="s">
        <v>74</v>
      </c>
      <c r="AO1054" t="s">
        <v>2021</v>
      </c>
      <c r="AP1054" t="s">
        <v>74</v>
      </c>
      <c r="AQ1054" t="s">
        <v>74</v>
      </c>
      <c r="AR1054" t="s">
        <v>74</v>
      </c>
      <c r="AS1054" t="s">
        <v>74</v>
      </c>
      <c r="AT1054" t="s">
        <v>493</v>
      </c>
      <c r="AU1054">
        <v>2022</v>
      </c>
      <c r="AV1054">
        <v>10</v>
      </c>
      <c r="AW1054" t="s">
        <v>74</v>
      </c>
      <c r="AX1054" t="s">
        <v>74</v>
      </c>
      <c r="AY1054" t="s">
        <v>74</v>
      </c>
      <c r="AZ1054" t="s">
        <v>74</v>
      </c>
      <c r="BA1054" t="s">
        <v>74</v>
      </c>
      <c r="BB1054" t="s">
        <v>74</v>
      </c>
      <c r="BC1054" t="s">
        <v>74</v>
      </c>
      <c r="BD1054">
        <v>890874</v>
      </c>
      <c r="BE1054" t="s">
        <v>7752</v>
      </c>
      <c r="BF1054" t="str">
        <f>HYPERLINK("http://dx.doi.org/10.3389/fevo.2022.890874","http://dx.doi.org/10.3389/fevo.2022.890874")</f>
        <v>http://dx.doi.org/10.3389/fevo.2022.890874</v>
      </c>
      <c r="BG1054" t="s">
        <v>74</v>
      </c>
      <c r="BH1054" t="s">
        <v>74</v>
      </c>
      <c r="BI1054" t="s">
        <v>74</v>
      </c>
      <c r="BJ1054" t="s">
        <v>74</v>
      </c>
      <c r="BK1054" t="s">
        <v>74</v>
      </c>
      <c r="BL1054" t="s">
        <v>74</v>
      </c>
      <c r="BM1054" t="s">
        <v>74</v>
      </c>
      <c r="BN1054" t="s">
        <v>74</v>
      </c>
      <c r="BO1054" t="s">
        <v>74</v>
      </c>
      <c r="BP1054" t="s">
        <v>74</v>
      </c>
      <c r="BQ1054" t="s">
        <v>74</v>
      </c>
      <c r="BR1054" t="s">
        <v>74</v>
      </c>
      <c r="BS1054" t="s">
        <v>7753</v>
      </c>
      <c r="BT1054" t="str">
        <f>HYPERLINK("https%3A%2F%2Fwww.webofscience.com%2Fwos%2Fwoscc%2Ffull-record%2FWOS:000837071500001","View Full Record in Web of Science")</f>
        <v>View Full Record in Web of Science</v>
      </c>
    </row>
    <row r="1055" spans="1:72" x14ac:dyDescent="0.4">
      <c r="A1055" t="s">
        <v>72</v>
      </c>
      <c r="B1055" t="s">
        <v>8731</v>
      </c>
      <c r="C1055" t="s">
        <v>74</v>
      </c>
      <c r="D1055" t="s">
        <v>74</v>
      </c>
      <c r="E1055" t="s">
        <v>74</v>
      </c>
      <c r="F1055" t="s">
        <v>8732</v>
      </c>
      <c r="G1055" t="s">
        <v>74</v>
      </c>
      <c r="H1055" t="s">
        <v>74</v>
      </c>
      <c r="I1055" t="s">
        <v>8733</v>
      </c>
      <c r="J1055" t="s">
        <v>171</v>
      </c>
      <c r="K1055" t="s">
        <v>74</v>
      </c>
      <c r="L1055" t="s">
        <v>74</v>
      </c>
      <c r="M1055" t="s">
        <v>74</v>
      </c>
      <c r="N1055" t="s">
        <v>74</v>
      </c>
      <c r="O1055" t="s">
        <v>74</v>
      </c>
      <c r="P1055" t="s">
        <v>74</v>
      </c>
      <c r="Q1055" t="s">
        <v>74</v>
      </c>
      <c r="R1055" t="s">
        <v>74</v>
      </c>
      <c r="S1055" t="s">
        <v>74</v>
      </c>
      <c r="T1055" t="s">
        <v>74</v>
      </c>
      <c r="U1055" t="s">
        <v>74</v>
      </c>
      <c r="V1055" s="3" t="s">
        <v>8734</v>
      </c>
      <c r="W1055" t="s">
        <v>74</v>
      </c>
      <c r="X1055" t="s">
        <v>74</v>
      </c>
      <c r="Y1055" t="s">
        <v>74</v>
      </c>
      <c r="Z1055" t="s">
        <v>74</v>
      </c>
      <c r="AA1055" t="s">
        <v>8735</v>
      </c>
      <c r="AB1055" t="s">
        <v>8736</v>
      </c>
      <c r="AC1055" t="s">
        <v>74</v>
      </c>
      <c r="AD1055" t="s">
        <v>74</v>
      </c>
      <c r="AE1055" t="s">
        <v>74</v>
      </c>
      <c r="AF1055" t="s">
        <v>74</v>
      </c>
      <c r="AG1055" t="s">
        <v>74</v>
      </c>
      <c r="AH1055" t="s">
        <v>74</v>
      </c>
      <c r="AI1055" t="s">
        <v>74</v>
      </c>
      <c r="AJ1055" t="s">
        <v>74</v>
      </c>
      <c r="AK1055" t="s">
        <v>74</v>
      </c>
      <c r="AL1055" t="s">
        <v>74</v>
      </c>
      <c r="AM1055" t="s">
        <v>74</v>
      </c>
      <c r="AN1055" t="s">
        <v>74</v>
      </c>
      <c r="AO1055" t="s">
        <v>173</v>
      </c>
      <c r="AP1055" t="s">
        <v>174</v>
      </c>
      <c r="AQ1055" t="s">
        <v>74</v>
      </c>
      <c r="AR1055" t="s">
        <v>74</v>
      </c>
      <c r="AS1055" t="s">
        <v>74</v>
      </c>
      <c r="AT1055" t="s">
        <v>633</v>
      </c>
      <c r="AU1055">
        <v>2012</v>
      </c>
      <c r="AV1055">
        <v>66</v>
      </c>
      <c r="AW1055">
        <v>4</v>
      </c>
      <c r="AX1055" t="s">
        <v>74</v>
      </c>
      <c r="AY1055" t="s">
        <v>74</v>
      </c>
      <c r="AZ1055" t="s">
        <v>74</v>
      </c>
      <c r="BA1055" t="s">
        <v>74</v>
      </c>
      <c r="BB1055">
        <v>1167</v>
      </c>
      <c r="BC1055">
        <v>1179</v>
      </c>
      <c r="BD1055" t="s">
        <v>74</v>
      </c>
      <c r="BE1055" t="s">
        <v>8737</v>
      </c>
      <c r="BF1055" t="str">
        <f>HYPERLINK("http://dx.doi.org/10.1111/j.1558-5646.2011.01518.x","http://dx.doi.org/10.1111/j.1558-5646.2011.01518.x")</f>
        <v>http://dx.doi.org/10.1111/j.1558-5646.2011.01518.x</v>
      </c>
      <c r="BG1055" t="s">
        <v>74</v>
      </c>
      <c r="BH1055" t="s">
        <v>74</v>
      </c>
      <c r="BI1055" t="s">
        <v>74</v>
      </c>
      <c r="BJ1055" t="s">
        <v>74</v>
      </c>
      <c r="BK1055" t="s">
        <v>74</v>
      </c>
      <c r="BL1055" t="s">
        <v>74</v>
      </c>
      <c r="BM1055" t="s">
        <v>74</v>
      </c>
      <c r="BN1055">
        <v>22486696</v>
      </c>
      <c r="BO1055" t="s">
        <v>74</v>
      </c>
      <c r="BP1055" t="s">
        <v>74</v>
      </c>
      <c r="BQ1055" t="s">
        <v>74</v>
      </c>
      <c r="BR1055" t="s">
        <v>74</v>
      </c>
      <c r="BS1055" t="s">
        <v>8738</v>
      </c>
      <c r="BT1055" t="str">
        <f>HYPERLINK("https%3A%2F%2Fwww.webofscience.com%2Fwos%2Fwoscc%2Ffull-record%2FWOS:000302546700016","View Full Record in Web of Science")</f>
        <v>View Full Record in Web of Science</v>
      </c>
    </row>
    <row r="1056" spans="1:72" x14ac:dyDescent="0.4">
      <c r="A1056" t="s">
        <v>72</v>
      </c>
      <c r="B1056" t="s">
        <v>2540</v>
      </c>
      <c r="C1056" t="s">
        <v>74</v>
      </c>
      <c r="D1056" t="s">
        <v>74</v>
      </c>
      <c r="E1056" t="s">
        <v>74</v>
      </c>
      <c r="F1056" t="s">
        <v>2541</v>
      </c>
      <c r="G1056" t="s">
        <v>74</v>
      </c>
      <c r="H1056" t="s">
        <v>74</v>
      </c>
      <c r="I1056" t="s">
        <v>2542</v>
      </c>
      <c r="J1056" t="s">
        <v>775</v>
      </c>
      <c r="K1056" t="s">
        <v>74</v>
      </c>
      <c r="L1056" t="s">
        <v>74</v>
      </c>
      <c r="M1056" t="s">
        <v>74</v>
      </c>
      <c r="N1056" t="s">
        <v>74</v>
      </c>
      <c r="O1056" t="s">
        <v>74</v>
      </c>
      <c r="P1056" t="s">
        <v>74</v>
      </c>
      <c r="Q1056" t="s">
        <v>74</v>
      </c>
      <c r="R1056" t="s">
        <v>74</v>
      </c>
      <c r="S1056" t="s">
        <v>74</v>
      </c>
      <c r="T1056" t="s">
        <v>74</v>
      </c>
      <c r="U1056" t="s">
        <v>74</v>
      </c>
      <c r="V1056" s="3" t="s">
        <v>2543</v>
      </c>
      <c r="W1056" t="s">
        <v>74</v>
      </c>
      <c r="X1056" t="s">
        <v>74</v>
      </c>
      <c r="Y1056" t="s">
        <v>74</v>
      </c>
      <c r="Z1056" t="s">
        <v>74</v>
      </c>
      <c r="AA1056" t="s">
        <v>2544</v>
      </c>
      <c r="AB1056" t="s">
        <v>1704</v>
      </c>
      <c r="AC1056" t="s">
        <v>74</v>
      </c>
      <c r="AD1056" t="s">
        <v>74</v>
      </c>
      <c r="AE1056" t="s">
        <v>74</v>
      </c>
      <c r="AF1056" t="s">
        <v>74</v>
      </c>
      <c r="AG1056" t="s">
        <v>74</v>
      </c>
      <c r="AH1056" t="s">
        <v>74</v>
      </c>
      <c r="AI1056" t="s">
        <v>74</v>
      </c>
      <c r="AJ1056" t="s">
        <v>74</v>
      </c>
      <c r="AK1056" t="s">
        <v>74</v>
      </c>
      <c r="AL1056" t="s">
        <v>74</v>
      </c>
      <c r="AM1056" t="s">
        <v>74</v>
      </c>
      <c r="AN1056" t="s">
        <v>74</v>
      </c>
      <c r="AO1056" t="s">
        <v>778</v>
      </c>
      <c r="AP1056" t="s">
        <v>74</v>
      </c>
      <c r="AQ1056" t="s">
        <v>74</v>
      </c>
      <c r="AR1056" t="s">
        <v>74</v>
      </c>
      <c r="AS1056" t="s">
        <v>74</v>
      </c>
      <c r="AT1056" t="s">
        <v>74</v>
      </c>
      <c r="AU1056">
        <v>2013</v>
      </c>
      <c r="AV1056">
        <v>59</v>
      </c>
      <c r="AW1056">
        <v>2</v>
      </c>
      <c r="AX1056" t="s">
        <v>74</v>
      </c>
      <c r="AY1056" t="s">
        <v>74</v>
      </c>
      <c r="AZ1056" t="s">
        <v>74</v>
      </c>
      <c r="BA1056" t="s">
        <v>74</v>
      </c>
      <c r="BB1056">
        <v>221</v>
      </c>
      <c r="BC1056">
        <v>229</v>
      </c>
      <c r="BD1056" t="s">
        <v>74</v>
      </c>
      <c r="BE1056" t="s">
        <v>2545</v>
      </c>
      <c r="BF1056" t="str">
        <f>HYPERLINK("http://dx.doi.org/10.1093/czoolo/59.2.221","http://dx.doi.org/10.1093/czoolo/59.2.221")</f>
        <v>http://dx.doi.org/10.1093/czoolo/59.2.221</v>
      </c>
      <c r="BG1056" t="s">
        <v>74</v>
      </c>
      <c r="BH1056" t="s">
        <v>74</v>
      </c>
      <c r="BI1056" t="s">
        <v>74</v>
      </c>
      <c r="BJ1056" t="s">
        <v>74</v>
      </c>
      <c r="BK1056" t="s">
        <v>74</v>
      </c>
      <c r="BL1056" t="s">
        <v>74</v>
      </c>
      <c r="BM1056" t="s">
        <v>74</v>
      </c>
      <c r="BN1056" t="s">
        <v>74</v>
      </c>
      <c r="BO1056" t="s">
        <v>74</v>
      </c>
      <c r="BP1056" t="s">
        <v>74</v>
      </c>
      <c r="BQ1056" t="s">
        <v>74</v>
      </c>
      <c r="BR1056" t="s">
        <v>74</v>
      </c>
      <c r="BS1056" t="s">
        <v>2546</v>
      </c>
      <c r="BT1056" t="str">
        <f>HYPERLINK("https%3A%2F%2Fwww.webofscience.com%2Fwos%2Fwoscc%2Ffull-record%2FWOS:000315813200009","View Full Record in Web of Science")</f>
        <v>View Full Record in Web of Science</v>
      </c>
    </row>
    <row r="1057" spans="1:72" x14ac:dyDescent="0.4">
      <c r="A1057" t="s">
        <v>72</v>
      </c>
      <c r="B1057" t="s">
        <v>7820</v>
      </c>
      <c r="C1057" t="s">
        <v>74</v>
      </c>
      <c r="D1057" t="s">
        <v>74</v>
      </c>
      <c r="E1057" t="s">
        <v>74</v>
      </c>
      <c r="F1057" t="s">
        <v>7821</v>
      </c>
      <c r="G1057" t="s">
        <v>74</v>
      </c>
      <c r="H1057" t="s">
        <v>74</v>
      </c>
      <c r="I1057" t="s">
        <v>7822</v>
      </c>
      <c r="J1057" t="s">
        <v>1237</v>
      </c>
      <c r="K1057" t="s">
        <v>74</v>
      </c>
      <c r="L1057" t="s">
        <v>74</v>
      </c>
      <c r="M1057" t="s">
        <v>74</v>
      </c>
      <c r="N1057" t="s">
        <v>74</v>
      </c>
      <c r="O1057" t="s">
        <v>74</v>
      </c>
      <c r="P1057" t="s">
        <v>74</v>
      </c>
      <c r="Q1057" t="s">
        <v>74</v>
      </c>
      <c r="R1057" t="s">
        <v>74</v>
      </c>
      <c r="S1057" t="s">
        <v>74</v>
      </c>
      <c r="T1057" t="s">
        <v>74</v>
      </c>
      <c r="U1057" t="s">
        <v>74</v>
      </c>
      <c r="V1057" s="3" t="s">
        <v>7823</v>
      </c>
      <c r="W1057" t="s">
        <v>74</v>
      </c>
      <c r="X1057" t="s">
        <v>74</v>
      </c>
      <c r="Y1057" t="s">
        <v>74</v>
      </c>
      <c r="Z1057" t="s">
        <v>74</v>
      </c>
      <c r="AA1057" t="s">
        <v>6718</v>
      </c>
      <c r="AB1057" t="s">
        <v>6719</v>
      </c>
      <c r="AC1057" t="s">
        <v>74</v>
      </c>
      <c r="AD1057" t="s">
        <v>74</v>
      </c>
      <c r="AE1057" t="s">
        <v>74</v>
      </c>
      <c r="AF1057" t="s">
        <v>74</v>
      </c>
      <c r="AG1057" t="s">
        <v>74</v>
      </c>
      <c r="AH1057" t="s">
        <v>74</v>
      </c>
      <c r="AI1057" t="s">
        <v>74</v>
      </c>
      <c r="AJ1057" t="s">
        <v>74</v>
      </c>
      <c r="AK1057" t="s">
        <v>74</v>
      </c>
      <c r="AL1057" t="s">
        <v>74</v>
      </c>
      <c r="AM1057" t="s">
        <v>74</v>
      </c>
      <c r="AN1057" t="s">
        <v>74</v>
      </c>
      <c r="AO1057" t="s">
        <v>1239</v>
      </c>
      <c r="AP1057" t="s">
        <v>74</v>
      </c>
      <c r="AQ1057" t="s">
        <v>74</v>
      </c>
      <c r="AR1057" t="s">
        <v>74</v>
      </c>
      <c r="AS1057" t="s">
        <v>74</v>
      </c>
      <c r="AT1057" t="s">
        <v>175</v>
      </c>
      <c r="AU1057">
        <v>2008</v>
      </c>
      <c r="AV1057">
        <v>86</v>
      </c>
      <c r="AW1057">
        <v>10</v>
      </c>
      <c r="AX1057" t="s">
        <v>74</v>
      </c>
      <c r="AY1057" t="s">
        <v>74</v>
      </c>
      <c r="AZ1057" t="s">
        <v>74</v>
      </c>
      <c r="BA1057" t="s">
        <v>74</v>
      </c>
      <c r="BB1057">
        <v>1131</v>
      </c>
      <c r="BC1057">
        <v>1138</v>
      </c>
      <c r="BD1057" t="s">
        <v>74</v>
      </c>
      <c r="BE1057" t="s">
        <v>7824</v>
      </c>
      <c r="BF1057" t="str">
        <f>HYPERLINK("http://dx.doi.org/10.1139/Z08-091","http://dx.doi.org/10.1139/Z08-091")</f>
        <v>http://dx.doi.org/10.1139/Z08-091</v>
      </c>
      <c r="BG1057" t="s">
        <v>74</v>
      </c>
      <c r="BH1057" t="s">
        <v>74</v>
      </c>
      <c r="BI1057" t="s">
        <v>74</v>
      </c>
      <c r="BJ1057" t="s">
        <v>74</v>
      </c>
      <c r="BK1057" t="s">
        <v>74</v>
      </c>
      <c r="BL1057" t="s">
        <v>74</v>
      </c>
      <c r="BM1057" t="s">
        <v>74</v>
      </c>
      <c r="BN1057" t="s">
        <v>74</v>
      </c>
      <c r="BO1057" t="s">
        <v>74</v>
      </c>
      <c r="BP1057" t="s">
        <v>74</v>
      </c>
      <c r="BQ1057" t="s">
        <v>74</v>
      </c>
      <c r="BR1057" t="s">
        <v>74</v>
      </c>
      <c r="BS1057" t="s">
        <v>7825</v>
      </c>
      <c r="BT1057" t="str">
        <f>HYPERLINK("https%3A%2F%2Fwww.webofscience.com%2Fwos%2Fwoscc%2Ffull-record%2FWOS:000260166800006","View Full Record in Web of Science")</f>
        <v>View Full Record in Web of Science</v>
      </c>
    </row>
    <row r="1058" spans="1:72" x14ac:dyDescent="0.4">
      <c r="A1058" t="s">
        <v>72</v>
      </c>
      <c r="B1058" t="s">
        <v>593</v>
      </c>
      <c r="C1058" t="s">
        <v>74</v>
      </c>
      <c r="D1058" t="s">
        <v>74</v>
      </c>
      <c r="E1058" t="s">
        <v>74</v>
      </c>
      <c r="F1058" t="s">
        <v>593</v>
      </c>
      <c r="G1058" t="s">
        <v>74</v>
      </c>
      <c r="H1058" t="s">
        <v>74</v>
      </c>
      <c r="I1058" t="s">
        <v>594</v>
      </c>
      <c r="J1058" t="s">
        <v>129</v>
      </c>
      <c r="K1058" t="s">
        <v>74</v>
      </c>
      <c r="L1058" t="s">
        <v>74</v>
      </c>
      <c r="M1058" t="s">
        <v>74</v>
      </c>
      <c r="N1058" t="s">
        <v>74</v>
      </c>
      <c r="O1058" t="s">
        <v>74</v>
      </c>
      <c r="P1058" t="s">
        <v>74</v>
      </c>
      <c r="Q1058" t="s">
        <v>74</v>
      </c>
      <c r="R1058" t="s">
        <v>74</v>
      </c>
      <c r="S1058" t="s">
        <v>74</v>
      </c>
      <c r="T1058" t="s">
        <v>74</v>
      </c>
      <c r="U1058" t="s">
        <v>74</v>
      </c>
      <c r="V1058" s="3" t="s">
        <v>595</v>
      </c>
      <c r="W1058" t="s">
        <v>74</v>
      </c>
      <c r="X1058" t="s">
        <v>74</v>
      </c>
      <c r="Y1058" t="s">
        <v>74</v>
      </c>
      <c r="Z1058" t="s">
        <v>74</v>
      </c>
      <c r="AA1058" t="s">
        <v>596</v>
      </c>
      <c r="AB1058" t="s">
        <v>597</v>
      </c>
      <c r="AC1058" t="s">
        <v>74</v>
      </c>
      <c r="AD1058" t="s">
        <v>74</v>
      </c>
      <c r="AE1058" t="s">
        <v>74</v>
      </c>
      <c r="AF1058" t="s">
        <v>74</v>
      </c>
      <c r="AG1058" t="s">
        <v>74</v>
      </c>
      <c r="AH1058" t="s">
        <v>74</v>
      </c>
      <c r="AI1058" t="s">
        <v>74</v>
      </c>
      <c r="AJ1058" t="s">
        <v>74</v>
      </c>
      <c r="AK1058" t="s">
        <v>74</v>
      </c>
      <c r="AL1058" t="s">
        <v>74</v>
      </c>
      <c r="AM1058" t="s">
        <v>74</v>
      </c>
      <c r="AN1058" t="s">
        <v>74</v>
      </c>
      <c r="AO1058" t="s">
        <v>132</v>
      </c>
      <c r="AP1058" t="s">
        <v>133</v>
      </c>
      <c r="AQ1058" t="s">
        <v>74</v>
      </c>
      <c r="AR1058" t="s">
        <v>74</v>
      </c>
      <c r="AS1058" t="s">
        <v>74</v>
      </c>
      <c r="AT1058" t="s">
        <v>305</v>
      </c>
      <c r="AU1058">
        <v>2001</v>
      </c>
      <c r="AV1058">
        <v>51</v>
      </c>
      <c r="AW1058">
        <v>1</v>
      </c>
      <c r="AX1058" t="s">
        <v>74</v>
      </c>
      <c r="AY1058" t="s">
        <v>74</v>
      </c>
      <c r="AZ1058" t="s">
        <v>74</v>
      </c>
      <c r="BA1058" t="s">
        <v>74</v>
      </c>
      <c r="BB1058">
        <v>69</v>
      </c>
      <c r="BC1058">
        <v>75</v>
      </c>
      <c r="BD1058" t="s">
        <v>74</v>
      </c>
      <c r="BE1058" t="s">
        <v>74</v>
      </c>
      <c r="BF1058" t="s">
        <v>74</v>
      </c>
      <c r="BG1058" t="s">
        <v>74</v>
      </c>
      <c r="BH1058" t="s">
        <v>74</v>
      </c>
      <c r="BI1058" t="s">
        <v>74</v>
      </c>
      <c r="BJ1058" t="s">
        <v>74</v>
      </c>
      <c r="BK1058" t="s">
        <v>74</v>
      </c>
      <c r="BL1058" t="s">
        <v>74</v>
      </c>
      <c r="BM1058" t="s">
        <v>74</v>
      </c>
      <c r="BN1058" t="s">
        <v>74</v>
      </c>
      <c r="BO1058" t="s">
        <v>74</v>
      </c>
      <c r="BP1058" t="s">
        <v>74</v>
      </c>
      <c r="BQ1058" t="s">
        <v>74</v>
      </c>
      <c r="BR1058" t="s">
        <v>74</v>
      </c>
      <c r="BS1058" t="s">
        <v>598</v>
      </c>
      <c r="BT1058" t="str">
        <f>HYPERLINK("https%3A%2F%2Fwww.webofscience.com%2Fwos%2Fwoscc%2Ffull-record%2FWOS:000173034800009","View Full Record in Web of Science")</f>
        <v>View Full Record in Web of Science</v>
      </c>
    </row>
    <row r="1059" spans="1:72" x14ac:dyDescent="0.4">
      <c r="A1059" t="s">
        <v>72</v>
      </c>
      <c r="B1059" t="s">
        <v>593</v>
      </c>
      <c r="C1059" t="s">
        <v>74</v>
      </c>
      <c r="D1059" t="s">
        <v>74</v>
      </c>
      <c r="E1059" t="s">
        <v>74</v>
      </c>
      <c r="F1059" t="s">
        <v>593</v>
      </c>
      <c r="G1059" t="s">
        <v>74</v>
      </c>
      <c r="H1059" t="s">
        <v>74</v>
      </c>
      <c r="I1059" t="s">
        <v>3183</v>
      </c>
      <c r="J1059" t="s">
        <v>408</v>
      </c>
      <c r="K1059" t="s">
        <v>74</v>
      </c>
      <c r="L1059" t="s">
        <v>74</v>
      </c>
      <c r="M1059" t="s">
        <v>74</v>
      </c>
      <c r="N1059" t="s">
        <v>74</v>
      </c>
      <c r="O1059" t="s">
        <v>74</v>
      </c>
      <c r="P1059" t="s">
        <v>74</v>
      </c>
      <c r="Q1059" t="s">
        <v>74</v>
      </c>
      <c r="R1059" t="s">
        <v>74</v>
      </c>
      <c r="S1059" t="s">
        <v>74</v>
      </c>
      <c r="T1059" t="s">
        <v>74</v>
      </c>
      <c r="U1059" t="s">
        <v>74</v>
      </c>
      <c r="V1059" s="3" t="s">
        <v>3184</v>
      </c>
      <c r="W1059" t="s">
        <v>74</v>
      </c>
      <c r="X1059" t="s">
        <v>74</v>
      </c>
      <c r="Y1059" t="s">
        <v>74</v>
      </c>
      <c r="Z1059" t="s">
        <v>74</v>
      </c>
      <c r="AA1059" t="s">
        <v>2525</v>
      </c>
      <c r="AB1059" t="s">
        <v>597</v>
      </c>
      <c r="AC1059" t="s">
        <v>74</v>
      </c>
      <c r="AD1059" t="s">
        <v>74</v>
      </c>
      <c r="AE1059" t="s">
        <v>74</v>
      </c>
      <c r="AF1059" t="s">
        <v>74</v>
      </c>
      <c r="AG1059" t="s">
        <v>74</v>
      </c>
      <c r="AH1059" t="s">
        <v>74</v>
      </c>
      <c r="AI1059" t="s">
        <v>74</v>
      </c>
      <c r="AJ1059" t="s">
        <v>74</v>
      </c>
      <c r="AK1059" t="s">
        <v>74</v>
      </c>
      <c r="AL1059" t="s">
        <v>74</v>
      </c>
      <c r="AM1059" t="s">
        <v>74</v>
      </c>
      <c r="AN1059" t="s">
        <v>74</v>
      </c>
      <c r="AO1059" t="s">
        <v>412</v>
      </c>
      <c r="AP1059" t="s">
        <v>74</v>
      </c>
      <c r="AQ1059" t="s">
        <v>74</v>
      </c>
      <c r="AR1059" t="s">
        <v>74</v>
      </c>
      <c r="AS1059" t="s">
        <v>74</v>
      </c>
      <c r="AT1059" t="s">
        <v>305</v>
      </c>
      <c r="AU1059">
        <v>2005</v>
      </c>
      <c r="AV1059">
        <v>86</v>
      </c>
      <c r="AW1059">
        <v>4</v>
      </c>
      <c r="AX1059" t="s">
        <v>74</v>
      </c>
      <c r="AY1059" t="s">
        <v>74</v>
      </c>
      <c r="AZ1059" t="s">
        <v>74</v>
      </c>
      <c r="BA1059" t="s">
        <v>74</v>
      </c>
      <c r="BB1059">
        <v>515</v>
      </c>
      <c r="BC1059">
        <v>523</v>
      </c>
      <c r="BD1059" t="s">
        <v>74</v>
      </c>
      <c r="BE1059" t="s">
        <v>3185</v>
      </c>
      <c r="BF1059" t="str">
        <f>HYPERLINK("http://dx.doi.org/10.1111/j.1095-8312.2005.00551.x","http://dx.doi.org/10.1111/j.1095-8312.2005.00551.x")</f>
        <v>http://dx.doi.org/10.1111/j.1095-8312.2005.00551.x</v>
      </c>
      <c r="BG1059" t="s">
        <v>74</v>
      </c>
      <c r="BH1059" t="s">
        <v>74</v>
      </c>
      <c r="BI1059" t="s">
        <v>74</v>
      </c>
      <c r="BJ1059" t="s">
        <v>74</v>
      </c>
      <c r="BK1059" t="s">
        <v>74</v>
      </c>
      <c r="BL1059" t="s">
        <v>74</v>
      </c>
      <c r="BM1059" t="s">
        <v>74</v>
      </c>
      <c r="BN1059" t="s">
        <v>74</v>
      </c>
      <c r="BO1059" t="s">
        <v>74</v>
      </c>
      <c r="BP1059" t="s">
        <v>74</v>
      </c>
      <c r="BQ1059" t="s">
        <v>74</v>
      </c>
      <c r="BR1059" t="s">
        <v>74</v>
      </c>
      <c r="BS1059" t="s">
        <v>3186</v>
      </c>
      <c r="BT1059" t="str">
        <f>HYPERLINK("https%3A%2F%2Fwww.webofscience.com%2Fwos%2Fwoscc%2Ffull-record%2FWOS:000233621200008","View Full Record in Web of Science")</f>
        <v>View Full Record in Web of Science</v>
      </c>
    </row>
    <row r="1060" spans="1:72" x14ac:dyDescent="0.4">
      <c r="A1060" t="s">
        <v>72</v>
      </c>
      <c r="B1060" t="s">
        <v>2522</v>
      </c>
      <c r="C1060" t="s">
        <v>74</v>
      </c>
      <c r="D1060" t="s">
        <v>74</v>
      </c>
      <c r="E1060" t="s">
        <v>74</v>
      </c>
      <c r="F1060" t="s">
        <v>2522</v>
      </c>
      <c r="G1060" t="s">
        <v>74</v>
      </c>
      <c r="H1060" t="s">
        <v>74</v>
      </c>
      <c r="I1060" t="s">
        <v>2523</v>
      </c>
      <c r="J1060" t="s">
        <v>140</v>
      </c>
      <c r="K1060" t="s">
        <v>74</v>
      </c>
      <c r="L1060" t="s">
        <v>74</v>
      </c>
      <c r="M1060" t="s">
        <v>74</v>
      </c>
      <c r="N1060" t="s">
        <v>74</v>
      </c>
      <c r="O1060" t="s">
        <v>74</v>
      </c>
      <c r="P1060" t="s">
        <v>74</v>
      </c>
      <c r="Q1060" t="s">
        <v>74</v>
      </c>
      <c r="R1060" t="s">
        <v>74</v>
      </c>
      <c r="S1060" t="s">
        <v>74</v>
      </c>
      <c r="T1060" t="s">
        <v>74</v>
      </c>
      <c r="U1060" t="s">
        <v>74</v>
      </c>
      <c r="V1060" s="3" t="s">
        <v>2524</v>
      </c>
      <c r="W1060" t="s">
        <v>74</v>
      </c>
      <c r="X1060" t="s">
        <v>74</v>
      </c>
      <c r="Y1060" t="s">
        <v>74</v>
      </c>
      <c r="Z1060" t="s">
        <v>74</v>
      </c>
      <c r="AA1060" t="s">
        <v>2525</v>
      </c>
      <c r="AB1060" t="s">
        <v>2526</v>
      </c>
      <c r="AC1060" t="s">
        <v>74</v>
      </c>
      <c r="AD1060" t="s">
        <v>74</v>
      </c>
      <c r="AE1060" t="s">
        <v>74</v>
      </c>
      <c r="AF1060" t="s">
        <v>74</v>
      </c>
      <c r="AG1060" t="s">
        <v>74</v>
      </c>
      <c r="AH1060" t="s">
        <v>74</v>
      </c>
      <c r="AI1060" t="s">
        <v>74</v>
      </c>
      <c r="AJ1060" t="s">
        <v>74</v>
      </c>
      <c r="AK1060" t="s">
        <v>74</v>
      </c>
      <c r="AL1060" t="s">
        <v>74</v>
      </c>
      <c r="AM1060" t="s">
        <v>74</v>
      </c>
      <c r="AN1060" t="s">
        <v>74</v>
      </c>
      <c r="AO1060" t="s">
        <v>143</v>
      </c>
      <c r="AP1060" t="s">
        <v>74</v>
      </c>
      <c r="AQ1060" t="s">
        <v>74</v>
      </c>
      <c r="AR1060" t="s">
        <v>74</v>
      </c>
      <c r="AS1060" t="s">
        <v>74</v>
      </c>
      <c r="AT1060" t="s">
        <v>102</v>
      </c>
      <c r="AU1060">
        <v>1999</v>
      </c>
      <c r="AV1060">
        <v>57</v>
      </c>
      <c r="AW1060" t="s">
        <v>74</v>
      </c>
      <c r="AX1060">
        <v>6</v>
      </c>
      <c r="AY1060" t="s">
        <v>74</v>
      </c>
      <c r="AZ1060" t="s">
        <v>74</v>
      </c>
      <c r="BA1060" t="s">
        <v>74</v>
      </c>
      <c r="BB1060">
        <v>1229</v>
      </c>
      <c r="BC1060">
        <v>1232</v>
      </c>
      <c r="BD1060" t="s">
        <v>74</v>
      </c>
      <c r="BE1060" t="s">
        <v>2527</v>
      </c>
      <c r="BF1060" t="str">
        <f>HYPERLINK("http://dx.doi.org/10.1006/anbe.1999.1100","http://dx.doi.org/10.1006/anbe.1999.1100")</f>
        <v>http://dx.doi.org/10.1006/anbe.1999.1100</v>
      </c>
      <c r="BG1060" t="s">
        <v>74</v>
      </c>
      <c r="BH1060" t="s">
        <v>74</v>
      </c>
      <c r="BI1060" t="s">
        <v>74</v>
      </c>
      <c r="BJ1060" t="s">
        <v>74</v>
      </c>
      <c r="BK1060" t="s">
        <v>74</v>
      </c>
      <c r="BL1060" t="s">
        <v>74</v>
      </c>
      <c r="BM1060" t="s">
        <v>74</v>
      </c>
      <c r="BN1060">
        <v>10373255</v>
      </c>
      <c r="BO1060" t="s">
        <v>74</v>
      </c>
      <c r="BP1060" t="s">
        <v>74</v>
      </c>
      <c r="BQ1060" t="s">
        <v>74</v>
      </c>
      <c r="BR1060" t="s">
        <v>74</v>
      </c>
      <c r="BS1060" t="s">
        <v>2528</v>
      </c>
      <c r="BT1060" t="str">
        <f>HYPERLINK("https%3A%2F%2Fwww.webofscience.com%2Fwos%2Fwoscc%2Ffull-record%2FWOS:000080973100007","View Full Record in Web of Science")</f>
        <v>View Full Record in Web of Science</v>
      </c>
    </row>
    <row r="1061" spans="1:72" x14ac:dyDescent="0.4">
      <c r="A1061" t="s">
        <v>72</v>
      </c>
      <c r="B1061" t="s">
        <v>6794</v>
      </c>
      <c r="C1061" t="s">
        <v>74</v>
      </c>
      <c r="D1061" t="s">
        <v>74</v>
      </c>
      <c r="E1061" t="s">
        <v>74</v>
      </c>
      <c r="F1061" t="s">
        <v>6795</v>
      </c>
      <c r="G1061" t="s">
        <v>74</v>
      </c>
      <c r="H1061" t="s">
        <v>74</v>
      </c>
      <c r="I1061" t="s">
        <v>6796</v>
      </c>
      <c r="J1061" t="s">
        <v>2087</v>
      </c>
      <c r="K1061" t="s">
        <v>74</v>
      </c>
      <c r="L1061" t="s">
        <v>74</v>
      </c>
      <c r="M1061" t="s">
        <v>74</v>
      </c>
      <c r="N1061" t="s">
        <v>74</v>
      </c>
      <c r="O1061" t="s">
        <v>74</v>
      </c>
      <c r="P1061" t="s">
        <v>74</v>
      </c>
      <c r="Q1061" t="s">
        <v>74</v>
      </c>
      <c r="R1061" t="s">
        <v>74</v>
      </c>
      <c r="S1061" t="s">
        <v>74</v>
      </c>
      <c r="T1061" t="s">
        <v>74</v>
      </c>
      <c r="U1061" t="s">
        <v>74</v>
      </c>
      <c r="V1061" s="3" t="s">
        <v>6797</v>
      </c>
      <c r="W1061" t="s">
        <v>74</v>
      </c>
      <c r="X1061" t="s">
        <v>74</v>
      </c>
      <c r="Y1061" t="s">
        <v>74</v>
      </c>
      <c r="Z1061" t="s">
        <v>74</v>
      </c>
      <c r="AA1061" t="s">
        <v>6718</v>
      </c>
      <c r="AB1061" t="s">
        <v>6719</v>
      </c>
      <c r="AC1061" t="s">
        <v>74</v>
      </c>
      <c r="AD1061" t="s">
        <v>74</v>
      </c>
      <c r="AE1061" t="s">
        <v>74</v>
      </c>
      <c r="AF1061" t="s">
        <v>74</v>
      </c>
      <c r="AG1061" t="s">
        <v>74</v>
      </c>
      <c r="AH1061" t="s">
        <v>74</v>
      </c>
      <c r="AI1061" t="s">
        <v>74</v>
      </c>
      <c r="AJ1061" t="s">
        <v>74</v>
      </c>
      <c r="AK1061" t="s">
        <v>74</v>
      </c>
      <c r="AL1061" t="s">
        <v>74</v>
      </c>
      <c r="AM1061" t="s">
        <v>74</v>
      </c>
      <c r="AN1061" t="s">
        <v>74</v>
      </c>
      <c r="AO1061" t="s">
        <v>2089</v>
      </c>
      <c r="AP1061" t="s">
        <v>74</v>
      </c>
      <c r="AQ1061" t="s">
        <v>74</v>
      </c>
      <c r="AR1061" t="s">
        <v>74</v>
      </c>
      <c r="AS1061" t="s">
        <v>74</v>
      </c>
      <c r="AT1061" t="s">
        <v>74</v>
      </c>
      <c r="AU1061">
        <v>2007</v>
      </c>
      <c r="AV1061">
        <v>14</v>
      </c>
      <c r="AW1061">
        <v>1</v>
      </c>
      <c r="AX1061" t="s">
        <v>74</v>
      </c>
      <c r="AY1061" t="s">
        <v>74</v>
      </c>
      <c r="AZ1061" t="s">
        <v>74</v>
      </c>
      <c r="BA1061" t="s">
        <v>74</v>
      </c>
      <c r="BB1061">
        <v>1</v>
      </c>
      <c r="BC1061">
        <v>7</v>
      </c>
      <c r="BD1061" t="s">
        <v>74</v>
      </c>
      <c r="BE1061" t="s">
        <v>6798</v>
      </c>
      <c r="BF1061" t="str">
        <f>HYPERLINK("http://dx.doi.org/10.2980/1195-6860(2007)14[1:RIBNDS]2.0.CO;2","http://dx.doi.org/10.2980/1195-6860(2007)14[1:RIBNDS]2.0.CO;2")</f>
        <v>http://dx.doi.org/10.2980/1195-6860(2007)14[1:RIBNDS]2.0.CO;2</v>
      </c>
      <c r="BG1061" t="s">
        <v>74</v>
      </c>
      <c r="BH1061" t="s">
        <v>74</v>
      </c>
      <c r="BI1061" t="s">
        <v>74</v>
      </c>
      <c r="BJ1061" t="s">
        <v>74</v>
      </c>
      <c r="BK1061" t="s">
        <v>74</v>
      </c>
      <c r="BL1061" t="s">
        <v>74</v>
      </c>
      <c r="BM1061" t="s">
        <v>74</v>
      </c>
      <c r="BN1061" t="s">
        <v>74</v>
      </c>
      <c r="BO1061" t="s">
        <v>74</v>
      </c>
      <c r="BP1061" t="s">
        <v>74</v>
      </c>
      <c r="BQ1061" t="s">
        <v>74</v>
      </c>
      <c r="BR1061" t="s">
        <v>74</v>
      </c>
      <c r="BS1061" t="s">
        <v>6799</v>
      </c>
      <c r="BT1061" t="str">
        <f>HYPERLINK("https%3A%2F%2Fwww.webofscience.com%2Fwos%2Fwoscc%2Ffull-record%2FWOS:000245364700001","View Full Record in Web of Science")</f>
        <v>View Full Record in Web of Science</v>
      </c>
    </row>
    <row r="1062" spans="1:72" x14ac:dyDescent="0.4">
      <c r="A1062" t="s">
        <v>72</v>
      </c>
      <c r="B1062" t="s">
        <v>1159</v>
      </c>
      <c r="C1062" t="s">
        <v>74</v>
      </c>
      <c r="D1062" t="s">
        <v>74</v>
      </c>
      <c r="E1062" t="s">
        <v>74</v>
      </c>
      <c r="F1062" t="s">
        <v>1160</v>
      </c>
      <c r="G1062" t="s">
        <v>74</v>
      </c>
      <c r="H1062" t="s">
        <v>74</v>
      </c>
      <c r="I1062" t="s">
        <v>1161</v>
      </c>
      <c r="J1062" t="s">
        <v>576</v>
      </c>
      <c r="K1062" t="s">
        <v>74</v>
      </c>
      <c r="L1062" t="s">
        <v>74</v>
      </c>
      <c r="M1062" t="s">
        <v>74</v>
      </c>
      <c r="N1062" t="s">
        <v>74</v>
      </c>
      <c r="O1062" t="s">
        <v>74</v>
      </c>
      <c r="P1062" t="s">
        <v>74</v>
      </c>
      <c r="Q1062" t="s">
        <v>74</v>
      </c>
      <c r="R1062" t="s">
        <v>74</v>
      </c>
      <c r="S1062" t="s">
        <v>74</v>
      </c>
      <c r="T1062" t="s">
        <v>74</v>
      </c>
      <c r="U1062" t="s">
        <v>74</v>
      </c>
      <c r="V1062" s="3" t="s">
        <v>1162</v>
      </c>
      <c r="W1062" t="s">
        <v>74</v>
      </c>
      <c r="X1062" t="s">
        <v>74</v>
      </c>
      <c r="Y1062" t="s">
        <v>74</v>
      </c>
      <c r="Z1062" t="s">
        <v>74</v>
      </c>
      <c r="AA1062" t="s">
        <v>74</v>
      </c>
      <c r="AB1062" t="s">
        <v>1163</v>
      </c>
      <c r="AC1062" t="s">
        <v>74</v>
      </c>
      <c r="AD1062" t="s">
        <v>74</v>
      </c>
      <c r="AE1062" t="s">
        <v>74</v>
      </c>
      <c r="AF1062" t="s">
        <v>74</v>
      </c>
      <c r="AG1062" t="s">
        <v>74</v>
      </c>
      <c r="AH1062" t="s">
        <v>74</v>
      </c>
      <c r="AI1062" t="s">
        <v>74</v>
      </c>
      <c r="AJ1062" t="s">
        <v>74</v>
      </c>
      <c r="AK1062" t="s">
        <v>74</v>
      </c>
      <c r="AL1062" t="s">
        <v>74</v>
      </c>
      <c r="AM1062" t="s">
        <v>74</v>
      </c>
      <c r="AN1062" t="s">
        <v>74</v>
      </c>
      <c r="AO1062" t="s">
        <v>579</v>
      </c>
      <c r="AP1062" t="s">
        <v>74</v>
      </c>
      <c r="AQ1062" t="s">
        <v>74</v>
      </c>
      <c r="AR1062" t="s">
        <v>74</v>
      </c>
      <c r="AS1062" t="s">
        <v>74</v>
      </c>
      <c r="AT1062" t="s">
        <v>255</v>
      </c>
      <c r="AU1062">
        <v>2011</v>
      </c>
      <c r="AV1062">
        <v>25</v>
      </c>
      <c r="AW1062">
        <v>1</v>
      </c>
      <c r="AX1062" t="s">
        <v>74</v>
      </c>
      <c r="AY1062" t="s">
        <v>74</v>
      </c>
      <c r="AZ1062" t="s">
        <v>74</v>
      </c>
      <c r="BA1062" t="s">
        <v>74</v>
      </c>
      <c r="BB1062">
        <v>139</v>
      </c>
      <c r="BC1062">
        <v>154</v>
      </c>
      <c r="BD1062" t="s">
        <v>74</v>
      </c>
      <c r="BE1062" t="s">
        <v>1164</v>
      </c>
      <c r="BF1062" t="str">
        <f>HYPERLINK("http://dx.doi.org/10.1007/s10682-010-9388-z","http://dx.doi.org/10.1007/s10682-010-9388-z")</f>
        <v>http://dx.doi.org/10.1007/s10682-010-9388-z</v>
      </c>
      <c r="BG1062" t="s">
        <v>74</v>
      </c>
      <c r="BH1062" t="s">
        <v>74</v>
      </c>
      <c r="BI1062" t="s">
        <v>74</v>
      </c>
      <c r="BJ1062" t="s">
        <v>74</v>
      </c>
      <c r="BK1062" t="s">
        <v>74</v>
      </c>
      <c r="BL1062" t="s">
        <v>74</v>
      </c>
      <c r="BM1062" t="s">
        <v>74</v>
      </c>
      <c r="BN1062" t="s">
        <v>74</v>
      </c>
      <c r="BO1062" t="s">
        <v>74</v>
      </c>
      <c r="BP1062" t="s">
        <v>74</v>
      </c>
      <c r="BQ1062" t="s">
        <v>74</v>
      </c>
      <c r="BR1062" t="s">
        <v>74</v>
      </c>
      <c r="BS1062" t="s">
        <v>1165</v>
      </c>
      <c r="BT1062" t="str">
        <f>HYPERLINK("https%3A%2F%2Fwww.webofscience.com%2Fwos%2Fwoscc%2Ffull-record%2FWOS:000287600500010","View Full Record in Web of Science")</f>
        <v>View Full Record in Web of Science</v>
      </c>
    </row>
    <row r="1063" spans="1:72" x14ac:dyDescent="0.4">
      <c r="A1063" t="s">
        <v>72</v>
      </c>
      <c r="B1063" t="s">
        <v>1993</v>
      </c>
      <c r="C1063" t="s">
        <v>74</v>
      </c>
      <c r="D1063" t="s">
        <v>74</v>
      </c>
      <c r="E1063" t="s">
        <v>74</v>
      </c>
      <c r="F1063" t="s">
        <v>1993</v>
      </c>
      <c r="G1063" t="s">
        <v>74</v>
      </c>
      <c r="H1063" t="s">
        <v>74</v>
      </c>
      <c r="I1063" t="s">
        <v>1994</v>
      </c>
      <c r="J1063" t="s">
        <v>1995</v>
      </c>
      <c r="K1063" t="s">
        <v>74</v>
      </c>
      <c r="L1063" t="s">
        <v>74</v>
      </c>
      <c r="M1063" t="s">
        <v>74</v>
      </c>
      <c r="N1063" t="s">
        <v>74</v>
      </c>
      <c r="O1063" t="s">
        <v>74</v>
      </c>
      <c r="P1063" t="s">
        <v>74</v>
      </c>
      <c r="Q1063" t="s">
        <v>74</v>
      </c>
      <c r="R1063" t="s">
        <v>74</v>
      </c>
      <c r="S1063" t="s">
        <v>74</v>
      </c>
      <c r="T1063" t="s">
        <v>74</v>
      </c>
      <c r="U1063" t="s">
        <v>74</v>
      </c>
      <c r="V1063" s="3" t="s">
        <v>1996</v>
      </c>
      <c r="W1063" t="s">
        <v>74</v>
      </c>
      <c r="X1063" t="s">
        <v>74</v>
      </c>
      <c r="Y1063" t="s">
        <v>74</v>
      </c>
      <c r="Z1063" t="s">
        <v>74</v>
      </c>
      <c r="AA1063" t="s">
        <v>74</v>
      </c>
      <c r="AB1063" t="s">
        <v>74</v>
      </c>
      <c r="AC1063" t="s">
        <v>74</v>
      </c>
      <c r="AD1063" t="s">
        <v>74</v>
      </c>
      <c r="AE1063" t="s">
        <v>74</v>
      </c>
      <c r="AF1063" t="s">
        <v>74</v>
      </c>
      <c r="AG1063" t="s">
        <v>74</v>
      </c>
      <c r="AH1063" t="s">
        <v>74</v>
      </c>
      <c r="AI1063" t="s">
        <v>74</v>
      </c>
      <c r="AJ1063" t="s">
        <v>74</v>
      </c>
      <c r="AK1063" t="s">
        <v>74</v>
      </c>
      <c r="AL1063" t="s">
        <v>74</v>
      </c>
      <c r="AM1063" t="s">
        <v>74</v>
      </c>
      <c r="AN1063" t="s">
        <v>74</v>
      </c>
      <c r="AO1063" t="s">
        <v>1997</v>
      </c>
      <c r="AP1063" t="s">
        <v>74</v>
      </c>
      <c r="AQ1063" t="s">
        <v>74</v>
      </c>
      <c r="AR1063" t="s">
        <v>74</v>
      </c>
      <c r="AS1063" t="s">
        <v>74</v>
      </c>
      <c r="AT1063" t="s">
        <v>1998</v>
      </c>
      <c r="AU1063">
        <v>2003</v>
      </c>
      <c r="AV1063">
        <v>74</v>
      </c>
      <c r="AW1063">
        <v>4</v>
      </c>
      <c r="AX1063" t="s">
        <v>74</v>
      </c>
      <c r="AY1063" t="s">
        <v>74</v>
      </c>
      <c r="AZ1063" t="s">
        <v>74</v>
      </c>
      <c r="BA1063" t="s">
        <v>74</v>
      </c>
      <c r="BB1063">
        <v>406</v>
      </c>
      <c r="BC1063">
        <v>415</v>
      </c>
      <c r="BD1063" t="s">
        <v>74</v>
      </c>
      <c r="BE1063" t="s">
        <v>1999</v>
      </c>
      <c r="BF1063" t="str">
        <f>HYPERLINK("http://dx.doi.org/10.1648/0273-8570-74.4.406","http://dx.doi.org/10.1648/0273-8570-74.4.406")</f>
        <v>http://dx.doi.org/10.1648/0273-8570-74.4.406</v>
      </c>
      <c r="BG1063" t="s">
        <v>74</v>
      </c>
      <c r="BH1063" t="s">
        <v>74</v>
      </c>
      <c r="BI1063" t="s">
        <v>74</v>
      </c>
      <c r="BJ1063" t="s">
        <v>74</v>
      </c>
      <c r="BK1063" t="s">
        <v>74</v>
      </c>
      <c r="BL1063" t="s">
        <v>74</v>
      </c>
      <c r="BM1063" t="s">
        <v>74</v>
      </c>
      <c r="BN1063" t="s">
        <v>74</v>
      </c>
      <c r="BO1063" t="s">
        <v>74</v>
      </c>
      <c r="BP1063" t="s">
        <v>74</v>
      </c>
      <c r="BQ1063" t="s">
        <v>74</v>
      </c>
      <c r="BR1063" t="s">
        <v>74</v>
      </c>
      <c r="BS1063" t="s">
        <v>2000</v>
      </c>
      <c r="BT1063" t="str">
        <f>HYPERLINK("https%3A%2F%2Fwww.webofscience.com%2Fwos%2Fwoscc%2Ffull-record%2FWOS:000186208600011","View Full Record in Web of Science")</f>
        <v>View Full Record in Web of Science</v>
      </c>
    </row>
    <row r="1064" spans="1:72" x14ac:dyDescent="0.4">
      <c r="A1064" t="s">
        <v>72</v>
      </c>
      <c r="B1064" t="s">
        <v>7384</v>
      </c>
      <c r="C1064" t="s">
        <v>74</v>
      </c>
      <c r="D1064" t="s">
        <v>74</v>
      </c>
      <c r="E1064" t="s">
        <v>74</v>
      </c>
      <c r="F1064" t="s">
        <v>7385</v>
      </c>
      <c r="G1064" t="s">
        <v>74</v>
      </c>
      <c r="H1064" t="s">
        <v>74</v>
      </c>
      <c r="I1064" t="s">
        <v>7386</v>
      </c>
      <c r="J1064" t="s">
        <v>1526</v>
      </c>
      <c r="K1064" t="s">
        <v>74</v>
      </c>
      <c r="L1064" t="s">
        <v>74</v>
      </c>
      <c r="M1064" t="s">
        <v>74</v>
      </c>
      <c r="N1064" t="s">
        <v>74</v>
      </c>
      <c r="O1064" t="s">
        <v>74</v>
      </c>
      <c r="P1064" t="s">
        <v>74</v>
      </c>
      <c r="Q1064" t="s">
        <v>74</v>
      </c>
      <c r="R1064" t="s">
        <v>74</v>
      </c>
      <c r="S1064" t="s">
        <v>74</v>
      </c>
      <c r="T1064" t="s">
        <v>74</v>
      </c>
      <c r="U1064" t="s">
        <v>74</v>
      </c>
      <c r="V1064" s="3" t="s">
        <v>7387</v>
      </c>
      <c r="W1064" t="s">
        <v>74</v>
      </c>
      <c r="X1064" t="s">
        <v>74</v>
      </c>
      <c r="Y1064" t="s">
        <v>74</v>
      </c>
      <c r="Z1064" t="s">
        <v>74</v>
      </c>
      <c r="AA1064" t="s">
        <v>74</v>
      </c>
      <c r="AB1064" t="s">
        <v>74</v>
      </c>
      <c r="AC1064" t="s">
        <v>74</v>
      </c>
      <c r="AD1064" t="s">
        <v>74</v>
      </c>
      <c r="AE1064" t="s">
        <v>74</v>
      </c>
      <c r="AF1064" t="s">
        <v>74</v>
      </c>
      <c r="AG1064" t="s">
        <v>74</v>
      </c>
      <c r="AH1064" t="s">
        <v>74</v>
      </c>
      <c r="AI1064" t="s">
        <v>74</v>
      </c>
      <c r="AJ1064" t="s">
        <v>74</v>
      </c>
      <c r="AK1064" t="s">
        <v>74</v>
      </c>
      <c r="AL1064" t="s">
        <v>74</v>
      </c>
      <c r="AM1064" t="s">
        <v>74</v>
      </c>
      <c r="AN1064" t="s">
        <v>74</v>
      </c>
      <c r="AO1064" t="s">
        <v>1528</v>
      </c>
      <c r="AP1064" t="s">
        <v>2131</v>
      </c>
      <c r="AQ1064" t="s">
        <v>74</v>
      </c>
      <c r="AR1064" t="s">
        <v>74</v>
      </c>
      <c r="AS1064" t="s">
        <v>74</v>
      </c>
      <c r="AT1064" t="s">
        <v>134</v>
      </c>
      <c r="AU1064">
        <v>2008</v>
      </c>
      <c r="AV1064">
        <v>110</v>
      </c>
      <c r="AW1064">
        <v>2</v>
      </c>
      <c r="AX1064" t="s">
        <v>74</v>
      </c>
      <c r="AY1064" t="s">
        <v>74</v>
      </c>
      <c r="AZ1064" t="s">
        <v>74</v>
      </c>
      <c r="BA1064" t="s">
        <v>74</v>
      </c>
      <c r="BB1064">
        <v>241</v>
      </c>
      <c r="BC1064">
        <v>250</v>
      </c>
      <c r="BD1064" t="s">
        <v>74</v>
      </c>
      <c r="BE1064" t="s">
        <v>7388</v>
      </c>
      <c r="BF1064" t="str">
        <f>HYPERLINK("http://dx.doi.org/10.1525/cond.2008.8476","http://dx.doi.org/10.1525/cond.2008.8476")</f>
        <v>http://dx.doi.org/10.1525/cond.2008.8476</v>
      </c>
      <c r="BG1064" t="s">
        <v>74</v>
      </c>
      <c r="BH1064" t="s">
        <v>74</v>
      </c>
      <c r="BI1064" t="s">
        <v>74</v>
      </c>
      <c r="BJ1064" t="s">
        <v>74</v>
      </c>
      <c r="BK1064" t="s">
        <v>74</v>
      </c>
      <c r="BL1064" t="s">
        <v>74</v>
      </c>
      <c r="BM1064" t="s">
        <v>74</v>
      </c>
      <c r="BN1064" t="s">
        <v>74</v>
      </c>
      <c r="BO1064" t="s">
        <v>74</v>
      </c>
      <c r="BP1064" t="s">
        <v>74</v>
      </c>
      <c r="BQ1064" t="s">
        <v>74</v>
      </c>
      <c r="BR1064" t="s">
        <v>74</v>
      </c>
      <c r="BS1064" t="s">
        <v>7389</v>
      </c>
      <c r="BT1064" t="str">
        <f>HYPERLINK("https%3A%2F%2Fwww.webofscience.com%2Fwos%2Fwoscc%2Ffull-record%2FWOS:000258851900004","View Full Record in Web of Science")</f>
        <v>View Full Record in Web of Science</v>
      </c>
    </row>
    <row r="1065" spans="1:72" x14ac:dyDescent="0.4">
      <c r="A1065" t="s">
        <v>72</v>
      </c>
      <c r="B1065" t="s">
        <v>8428</v>
      </c>
      <c r="C1065" t="s">
        <v>74</v>
      </c>
      <c r="D1065" t="s">
        <v>74</v>
      </c>
      <c r="E1065" t="s">
        <v>74</v>
      </c>
      <c r="F1065" t="s">
        <v>8429</v>
      </c>
      <c r="G1065" t="s">
        <v>74</v>
      </c>
      <c r="H1065" t="s">
        <v>74</v>
      </c>
      <c r="I1065" t="s">
        <v>8430</v>
      </c>
      <c r="J1065" t="s">
        <v>1480</v>
      </c>
      <c r="K1065" t="s">
        <v>74</v>
      </c>
      <c r="L1065" t="s">
        <v>74</v>
      </c>
      <c r="M1065" t="s">
        <v>74</v>
      </c>
      <c r="N1065" t="s">
        <v>74</v>
      </c>
      <c r="O1065" t="s">
        <v>74</v>
      </c>
      <c r="P1065" t="s">
        <v>74</v>
      </c>
      <c r="Q1065" t="s">
        <v>74</v>
      </c>
      <c r="R1065" t="s">
        <v>74</v>
      </c>
      <c r="S1065" t="s">
        <v>74</v>
      </c>
      <c r="T1065" t="s">
        <v>74</v>
      </c>
      <c r="U1065" t="s">
        <v>74</v>
      </c>
      <c r="V1065" s="3" t="s">
        <v>8431</v>
      </c>
      <c r="W1065" t="s">
        <v>74</v>
      </c>
      <c r="X1065" t="s">
        <v>74</v>
      </c>
      <c r="Y1065" t="s">
        <v>74</v>
      </c>
      <c r="Z1065" t="s">
        <v>74</v>
      </c>
      <c r="AA1065" t="s">
        <v>74</v>
      </c>
      <c r="AB1065" t="s">
        <v>74</v>
      </c>
      <c r="AC1065" t="s">
        <v>74</v>
      </c>
      <c r="AD1065" t="s">
        <v>74</v>
      </c>
      <c r="AE1065" t="s">
        <v>74</v>
      </c>
      <c r="AF1065" t="s">
        <v>74</v>
      </c>
      <c r="AG1065" t="s">
        <v>74</v>
      </c>
      <c r="AH1065" t="s">
        <v>74</v>
      </c>
      <c r="AI1065" t="s">
        <v>74</v>
      </c>
      <c r="AJ1065" t="s">
        <v>74</v>
      </c>
      <c r="AK1065" t="s">
        <v>74</v>
      </c>
      <c r="AL1065" t="s">
        <v>74</v>
      </c>
      <c r="AM1065" t="s">
        <v>74</v>
      </c>
      <c r="AN1065" t="s">
        <v>74</v>
      </c>
      <c r="AO1065" t="s">
        <v>1482</v>
      </c>
      <c r="AP1065" t="s">
        <v>6949</v>
      </c>
      <c r="AQ1065" t="s">
        <v>74</v>
      </c>
      <c r="AR1065" t="s">
        <v>74</v>
      </c>
      <c r="AS1065" t="s">
        <v>74</v>
      </c>
      <c r="AT1065" t="s">
        <v>175</v>
      </c>
      <c r="AU1065">
        <v>2023</v>
      </c>
      <c r="AV1065">
        <v>102</v>
      </c>
      <c r="AW1065">
        <v>10</v>
      </c>
      <c r="AX1065" t="s">
        <v>74</v>
      </c>
      <c r="AY1065" t="s">
        <v>74</v>
      </c>
      <c r="AZ1065" t="s">
        <v>74</v>
      </c>
      <c r="BA1065" t="s">
        <v>74</v>
      </c>
      <c r="BB1065" t="s">
        <v>74</v>
      </c>
      <c r="BC1065" t="s">
        <v>74</v>
      </c>
      <c r="BD1065">
        <v>102927</v>
      </c>
      <c r="BE1065" t="s">
        <v>8432</v>
      </c>
      <c r="BF1065" t="str">
        <f>HYPERLINK("http://dx.doi.org/10.1016/j.psj.2023.102927","http://dx.doi.org/10.1016/j.psj.2023.102927")</f>
        <v>http://dx.doi.org/10.1016/j.psj.2023.102927</v>
      </c>
      <c r="BG1065" t="s">
        <v>74</v>
      </c>
      <c r="BH1065" t="s">
        <v>2726</v>
      </c>
      <c r="BI1065" t="s">
        <v>74</v>
      </c>
      <c r="BJ1065" t="s">
        <v>74</v>
      </c>
      <c r="BK1065" t="s">
        <v>74</v>
      </c>
      <c r="BL1065" t="s">
        <v>74</v>
      </c>
      <c r="BM1065" t="s">
        <v>74</v>
      </c>
      <c r="BN1065">
        <v>37494809</v>
      </c>
      <c r="BO1065" t="s">
        <v>74</v>
      </c>
      <c r="BP1065" t="s">
        <v>74</v>
      </c>
      <c r="BQ1065" t="s">
        <v>74</v>
      </c>
      <c r="BR1065" t="s">
        <v>74</v>
      </c>
      <c r="BS1065" t="s">
        <v>8433</v>
      </c>
      <c r="BT1065" t="str">
        <f>HYPERLINK("https%3A%2F%2Fwww.webofscience.com%2Fwos%2Fwoscc%2Ffull-record%2FWOS:001046665000001","View Full Record in Web of Science")</f>
        <v>View Full Record in Web of Science</v>
      </c>
    </row>
    <row r="1066" spans="1:72" x14ac:dyDescent="0.4">
      <c r="A1066" t="s">
        <v>72</v>
      </c>
      <c r="B1066" t="s">
        <v>8534</v>
      </c>
      <c r="C1066" t="s">
        <v>74</v>
      </c>
      <c r="D1066" t="s">
        <v>74</v>
      </c>
      <c r="E1066" t="s">
        <v>74</v>
      </c>
      <c r="F1066" t="s">
        <v>8534</v>
      </c>
      <c r="G1066" t="s">
        <v>74</v>
      </c>
      <c r="H1066" t="s">
        <v>74</v>
      </c>
      <c r="I1066" t="s">
        <v>8535</v>
      </c>
      <c r="J1066" t="s">
        <v>77</v>
      </c>
      <c r="K1066" t="s">
        <v>74</v>
      </c>
      <c r="L1066" t="s">
        <v>74</v>
      </c>
      <c r="M1066" t="s">
        <v>74</v>
      </c>
      <c r="N1066" t="s">
        <v>74</v>
      </c>
      <c r="O1066" t="s">
        <v>74</v>
      </c>
      <c r="P1066" t="s">
        <v>74</v>
      </c>
      <c r="Q1066" t="s">
        <v>74</v>
      </c>
      <c r="R1066" t="s">
        <v>74</v>
      </c>
      <c r="S1066" t="s">
        <v>74</v>
      </c>
      <c r="T1066" t="s">
        <v>74</v>
      </c>
      <c r="U1066" t="s">
        <v>74</v>
      </c>
      <c r="V1066" s="3" t="s">
        <v>8536</v>
      </c>
      <c r="W1066" t="s">
        <v>74</v>
      </c>
      <c r="X1066" t="s">
        <v>74</v>
      </c>
      <c r="Y1066" t="s">
        <v>74</v>
      </c>
      <c r="Z1066" t="s">
        <v>74</v>
      </c>
      <c r="AA1066" t="s">
        <v>74</v>
      </c>
      <c r="AB1066" t="s">
        <v>74</v>
      </c>
      <c r="AC1066" t="s">
        <v>74</v>
      </c>
      <c r="AD1066" t="s">
        <v>74</v>
      </c>
      <c r="AE1066" t="s">
        <v>74</v>
      </c>
      <c r="AF1066" t="s">
        <v>74</v>
      </c>
      <c r="AG1066" t="s">
        <v>74</v>
      </c>
      <c r="AH1066" t="s">
        <v>74</v>
      </c>
      <c r="AI1066" t="s">
        <v>74</v>
      </c>
      <c r="AJ1066" t="s">
        <v>74</v>
      </c>
      <c r="AK1066" t="s">
        <v>74</v>
      </c>
      <c r="AL1066" t="s">
        <v>74</v>
      </c>
      <c r="AM1066" t="s">
        <v>74</v>
      </c>
      <c r="AN1066" t="s">
        <v>74</v>
      </c>
      <c r="AO1066" t="s">
        <v>81</v>
      </c>
      <c r="AP1066" t="s">
        <v>82</v>
      </c>
      <c r="AQ1066" t="s">
        <v>74</v>
      </c>
      <c r="AR1066" t="s">
        <v>74</v>
      </c>
      <c r="AS1066" t="s">
        <v>74</v>
      </c>
      <c r="AT1066" t="s">
        <v>305</v>
      </c>
      <c r="AU1066">
        <v>1993</v>
      </c>
      <c r="AV1066">
        <v>127</v>
      </c>
      <c r="AW1066" t="s">
        <v>74</v>
      </c>
      <c r="AX1066" t="s">
        <v>1276</v>
      </c>
      <c r="AY1066" t="s">
        <v>74</v>
      </c>
      <c r="AZ1066" t="s">
        <v>74</v>
      </c>
      <c r="BA1066" t="s">
        <v>74</v>
      </c>
      <c r="BB1066">
        <v>247</v>
      </c>
      <c r="BC1066">
        <v>263</v>
      </c>
      <c r="BD1066" t="s">
        <v>74</v>
      </c>
      <c r="BE1066" t="s">
        <v>8537</v>
      </c>
      <c r="BF1066" t="str">
        <f>HYPERLINK("http://dx.doi.org/10.1163/156853993X00047","http://dx.doi.org/10.1163/156853993X00047")</f>
        <v>http://dx.doi.org/10.1163/156853993X00047</v>
      </c>
      <c r="BG1066" t="s">
        <v>74</v>
      </c>
      <c r="BH1066" t="s">
        <v>74</v>
      </c>
      <c r="BI1066" t="s">
        <v>74</v>
      </c>
      <c r="BJ1066" t="s">
        <v>74</v>
      </c>
      <c r="BK1066" t="s">
        <v>74</v>
      </c>
      <c r="BL1066" t="s">
        <v>74</v>
      </c>
      <c r="BM1066" t="s">
        <v>74</v>
      </c>
      <c r="BN1066" t="s">
        <v>74</v>
      </c>
      <c r="BO1066" t="s">
        <v>74</v>
      </c>
      <c r="BP1066" t="s">
        <v>74</v>
      </c>
      <c r="BQ1066" t="s">
        <v>74</v>
      </c>
      <c r="BR1066" t="s">
        <v>74</v>
      </c>
      <c r="BS1066" t="s">
        <v>8538</v>
      </c>
      <c r="BT1066" t="str">
        <f>HYPERLINK("https%3A%2F%2Fwww.webofscience.com%2Fwos%2Fwoscc%2Ffull-record%2FWOS:A1993NH18400004","View Full Record in Web of Science")</f>
        <v>View Full Record in Web of Science</v>
      </c>
    </row>
    <row r="1067" spans="1:72" x14ac:dyDescent="0.4">
      <c r="A1067" t="s">
        <v>72</v>
      </c>
      <c r="B1067" t="s">
        <v>5169</v>
      </c>
      <c r="C1067" t="s">
        <v>74</v>
      </c>
      <c r="D1067" t="s">
        <v>74</v>
      </c>
      <c r="E1067" t="s">
        <v>74</v>
      </c>
      <c r="F1067" t="s">
        <v>5170</v>
      </c>
      <c r="G1067" t="s">
        <v>74</v>
      </c>
      <c r="H1067" t="s">
        <v>74</v>
      </c>
      <c r="I1067" t="s">
        <v>5171</v>
      </c>
      <c r="J1067" t="s">
        <v>1803</v>
      </c>
      <c r="K1067" t="s">
        <v>74</v>
      </c>
      <c r="L1067" t="s">
        <v>74</v>
      </c>
      <c r="M1067" t="s">
        <v>74</v>
      </c>
      <c r="N1067" t="s">
        <v>74</v>
      </c>
      <c r="O1067" t="s">
        <v>74</v>
      </c>
      <c r="P1067" t="s">
        <v>74</v>
      </c>
      <c r="Q1067" t="s">
        <v>74</v>
      </c>
      <c r="R1067" t="s">
        <v>74</v>
      </c>
      <c r="S1067" t="s">
        <v>74</v>
      </c>
      <c r="T1067" t="s">
        <v>74</v>
      </c>
      <c r="U1067" t="s">
        <v>74</v>
      </c>
      <c r="V1067" s="3" t="s">
        <v>5172</v>
      </c>
      <c r="W1067" t="s">
        <v>74</v>
      </c>
      <c r="X1067" t="s">
        <v>74</v>
      </c>
      <c r="Y1067" t="s">
        <v>74</v>
      </c>
      <c r="Z1067" t="s">
        <v>74</v>
      </c>
      <c r="AA1067" t="s">
        <v>5173</v>
      </c>
      <c r="AB1067" t="s">
        <v>5174</v>
      </c>
      <c r="AC1067" t="s">
        <v>74</v>
      </c>
      <c r="AD1067" t="s">
        <v>74</v>
      </c>
      <c r="AE1067" t="s">
        <v>74</v>
      </c>
      <c r="AF1067" t="s">
        <v>74</v>
      </c>
      <c r="AG1067" t="s">
        <v>74</v>
      </c>
      <c r="AH1067" t="s">
        <v>74</v>
      </c>
      <c r="AI1067" t="s">
        <v>74</v>
      </c>
      <c r="AJ1067" t="s">
        <v>74</v>
      </c>
      <c r="AK1067" t="s">
        <v>74</v>
      </c>
      <c r="AL1067" t="s">
        <v>74</v>
      </c>
      <c r="AM1067" t="s">
        <v>74</v>
      </c>
      <c r="AN1067" t="s">
        <v>74</v>
      </c>
      <c r="AO1067" t="s">
        <v>1807</v>
      </c>
      <c r="AP1067" t="s">
        <v>1808</v>
      </c>
      <c r="AQ1067" t="s">
        <v>74</v>
      </c>
      <c r="AR1067" t="s">
        <v>74</v>
      </c>
      <c r="AS1067" t="s">
        <v>74</v>
      </c>
      <c r="AT1067" t="s">
        <v>633</v>
      </c>
      <c r="AU1067">
        <v>2010</v>
      </c>
      <c r="AV1067">
        <v>24</v>
      </c>
      <c r="AW1067">
        <v>2</v>
      </c>
      <c r="AX1067" t="s">
        <v>74</v>
      </c>
      <c r="AY1067" t="s">
        <v>74</v>
      </c>
      <c r="AZ1067" t="s">
        <v>74</v>
      </c>
      <c r="BA1067" t="s">
        <v>74</v>
      </c>
      <c r="BB1067">
        <v>417</v>
      </c>
      <c r="BC1067">
        <v>425</v>
      </c>
      <c r="BD1067" t="s">
        <v>74</v>
      </c>
      <c r="BE1067" t="s">
        <v>5175</v>
      </c>
      <c r="BF1067" t="str">
        <f>HYPERLINK("http://dx.doi.org/10.1111/j.1365-2435.2009.01660.x","http://dx.doi.org/10.1111/j.1365-2435.2009.01660.x")</f>
        <v>http://dx.doi.org/10.1111/j.1365-2435.2009.01660.x</v>
      </c>
      <c r="BG1067" t="s">
        <v>74</v>
      </c>
      <c r="BH1067" t="s">
        <v>74</v>
      </c>
      <c r="BI1067" t="s">
        <v>74</v>
      </c>
      <c r="BJ1067" t="s">
        <v>74</v>
      </c>
      <c r="BK1067" t="s">
        <v>74</v>
      </c>
      <c r="BL1067" t="s">
        <v>74</v>
      </c>
      <c r="BM1067" t="s">
        <v>74</v>
      </c>
      <c r="BN1067" t="s">
        <v>74</v>
      </c>
      <c r="BO1067" t="s">
        <v>74</v>
      </c>
      <c r="BP1067" t="s">
        <v>74</v>
      </c>
      <c r="BQ1067" t="s">
        <v>74</v>
      </c>
      <c r="BR1067" t="s">
        <v>74</v>
      </c>
      <c r="BS1067" t="s">
        <v>5176</v>
      </c>
      <c r="BT1067" t="str">
        <f>HYPERLINK("https%3A%2F%2Fwww.webofscience.com%2Fwos%2Fwoscc%2Ffull-record%2FWOS:000274952600020","View Full Record in Web of Science")</f>
        <v>View Full Record in Web of Science</v>
      </c>
    </row>
    <row r="1068" spans="1:72" x14ac:dyDescent="0.4">
      <c r="A1068" t="s">
        <v>72</v>
      </c>
      <c r="B1068" t="s">
        <v>7937</v>
      </c>
      <c r="C1068" t="s">
        <v>74</v>
      </c>
      <c r="D1068" t="s">
        <v>74</v>
      </c>
      <c r="E1068" t="s">
        <v>74</v>
      </c>
      <c r="F1068" t="s">
        <v>7937</v>
      </c>
      <c r="G1068" t="s">
        <v>74</v>
      </c>
      <c r="H1068" t="s">
        <v>74</v>
      </c>
      <c r="I1068" t="s">
        <v>7938</v>
      </c>
      <c r="J1068" t="s">
        <v>129</v>
      </c>
      <c r="K1068" t="s">
        <v>74</v>
      </c>
      <c r="L1068" t="s">
        <v>74</v>
      </c>
      <c r="M1068" t="s">
        <v>74</v>
      </c>
      <c r="N1068" t="s">
        <v>74</v>
      </c>
      <c r="O1068" t="s">
        <v>74</v>
      </c>
      <c r="P1068" t="s">
        <v>74</v>
      </c>
      <c r="Q1068" t="s">
        <v>74</v>
      </c>
      <c r="R1068" t="s">
        <v>74</v>
      </c>
      <c r="S1068" t="s">
        <v>74</v>
      </c>
      <c r="T1068" t="s">
        <v>74</v>
      </c>
      <c r="U1068" t="s">
        <v>74</v>
      </c>
      <c r="V1068" s="3" t="s">
        <v>7939</v>
      </c>
      <c r="W1068" t="s">
        <v>74</v>
      </c>
      <c r="X1068" t="s">
        <v>74</v>
      </c>
      <c r="Y1068" t="s">
        <v>74</v>
      </c>
      <c r="Z1068" t="s">
        <v>74</v>
      </c>
      <c r="AA1068" t="s">
        <v>7940</v>
      </c>
      <c r="AB1068" t="s">
        <v>74</v>
      </c>
      <c r="AC1068" t="s">
        <v>74</v>
      </c>
      <c r="AD1068" t="s">
        <v>74</v>
      </c>
      <c r="AE1068" t="s">
        <v>74</v>
      </c>
      <c r="AF1068" t="s">
        <v>74</v>
      </c>
      <c r="AG1068" t="s">
        <v>74</v>
      </c>
      <c r="AH1068" t="s">
        <v>74</v>
      </c>
      <c r="AI1068" t="s">
        <v>74</v>
      </c>
      <c r="AJ1068" t="s">
        <v>74</v>
      </c>
      <c r="AK1068" t="s">
        <v>74</v>
      </c>
      <c r="AL1068" t="s">
        <v>74</v>
      </c>
      <c r="AM1068" t="s">
        <v>74</v>
      </c>
      <c r="AN1068" t="s">
        <v>74</v>
      </c>
      <c r="AO1068" t="s">
        <v>132</v>
      </c>
      <c r="AP1068" t="s">
        <v>133</v>
      </c>
      <c r="AQ1068" t="s">
        <v>74</v>
      </c>
      <c r="AR1068" t="s">
        <v>74</v>
      </c>
      <c r="AS1068" t="s">
        <v>74</v>
      </c>
      <c r="AT1068" t="s">
        <v>213</v>
      </c>
      <c r="AU1068">
        <v>1996</v>
      </c>
      <c r="AV1068">
        <v>39</v>
      </c>
      <c r="AW1068">
        <v>5</v>
      </c>
      <c r="AX1068" t="s">
        <v>74</v>
      </c>
      <c r="AY1068" t="s">
        <v>74</v>
      </c>
      <c r="AZ1068" t="s">
        <v>74</v>
      </c>
      <c r="BA1068" t="s">
        <v>74</v>
      </c>
      <c r="BB1068">
        <v>345</v>
      </c>
      <c r="BC1068">
        <v>352</v>
      </c>
      <c r="BD1068" t="s">
        <v>74</v>
      </c>
      <c r="BE1068" t="s">
        <v>7941</v>
      </c>
      <c r="BF1068" t="str">
        <f>HYPERLINK("http://dx.doi.org/10.1007/s002650050299","http://dx.doi.org/10.1007/s002650050299")</f>
        <v>http://dx.doi.org/10.1007/s002650050299</v>
      </c>
      <c r="BG1068" t="s">
        <v>74</v>
      </c>
      <c r="BH1068" t="s">
        <v>74</v>
      </c>
      <c r="BI1068" t="s">
        <v>74</v>
      </c>
      <c r="BJ1068" t="s">
        <v>74</v>
      </c>
      <c r="BK1068" t="s">
        <v>74</v>
      </c>
      <c r="BL1068" t="s">
        <v>74</v>
      </c>
      <c r="BM1068" t="s">
        <v>74</v>
      </c>
      <c r="BN1068" t="s">
        <v>74</v>
      </c>
      <c r="BO1068" t="s">
        <v>74</v>
      </c>
      <c r="BP1068" t="s">
        <v>74</v>
      </c>
      <c r="BQ1068" t="s">
        <v>74</v>
      </c>
      <c r="BR1068" t="s">
        <v>74</v>
      </c>
      <c r="BS1068" t="s">
        <v>7942</v>
      </c>
      <c r="BT1068" t="str">
        <f>HYPERLINK("https%3A%2F%2Fwww.webofscience.com%2Fwos%2Fwoscc%2Ffull-record%2FWOS:A1996VW21300009","View Full Record in Web of Science")</f>
        <v>View Full Record in Web of Science</v>
      </c>
    </row>
    <row r="1069" spans="1:72" x14ac:dyDescent="0.4">
      <c r="A1069" t="s">
        <v>72</v>
      </c>
      <c r="B1069" t="s">
        <v>8557</v>
      </c>
      <c r="C1069" t="s">
        <v>74</v>
      </c>
      <c r="D1069" t="s">
        <v>74</v>
      </c>
      <c r="E1069" t="s">
        <v>74</v>
      </c>
      <c r="F1069" t="s">
        <v>8557</v>
      </c>
      <c r="G1069" t="s">
        <v>74</v>
      </c>
      <c r="H1069" t="s">
        <v>74</v>
      </c>
      <c r="I1069" t="s">
        <v>8558</v>
      </c>
      <c r="J1069" t="s">
        <v>129</v>
      </c>
      <c r="K1069" t="s">
        <v>74</v>
      </c>
      <c r="L1069" t="s">
        <v>74</v>
      </c>
      <c r="M1069" t="s">
        <v>74</v>
      </c>
      <c r="N1069" t="s">
        <v>74</v>
      </c>
      <c r="O1069" t="s">
        <v>74</v>
      </c>
      <c r="P1069" t="s">
        <v>74</v>
      </c>
      <c r="Q1069" t="s">
        <v>74</v>
      </c>
      <c r="R1069" t="s">
        <v>74</v>
      </c>
      <c r="S1069" t="s">
        <v>74</v>
      </c>
      <c r="T1069" t="s">
        <v>74</v>
      </c>
      <c r="U1069" t="s">
        <v>74</v>
      </c>
      <c r="V1069" s="3" t="s">
        <v>8559</v>
      </c>
      <c r="W1069" t="s">
        <v>74</v>
      </c>
      <c r="X1069" t="s">
        <v>74</v>
      </c>
      <c r="Y1069" t="s">
        <v>74</v>
      </c>
      <c r="Z1069" t="s">
        <v>74</v>
      </c>
      <c r="AA1069" t="s">
        <v>8560</v>
      </c>
      <c r="AB1069" t="s">
        <v>1934</v>
      </c>
      <c r="AC1069" t="s">
        <v>74</v>
      </c>
      <c r="AD1069" t="s">
        <v>74</v>
      </c>
      <c r="AE1069" t="s">
        <v>74</v>
      </c>
      <c r="AF1069" t="s">
        <v>74</v>
      </c>
      <c r="AG1069" t="s">
        <v>74</v>
      </c>
      <c r="AH1069" t="s">
        <v>74</v>
      </c>
      <c r="AI1069" t="s">
        <v>74</v>
      </c>
      <c r="AJ1069" t="s">
        <v>74</v>
      </c>
      <c r="AK1069" t="s">
        <v>74</v>
      </c>
      <c r="AL1069" t="s">
        <v>74</v>
      </c>
      <c r="AM1069" t="s">
        <v>74</v>
      </c>
      <c r="AN1069" t="s">
        <v>74</v>
      </c>
      <c r="AO1069" t="s">
        <v>132</v>
      </c>
      <c r="AP1069" t="s">
        <v>133</v>
      </c>
      <c r="AQ1069" t="s">
        <v>74</v>
      </c>
      <c r="AR1069" t="s">
        <v>74</v>
      </c>
      <c r="AS1069" t="s">
        <v>74</v>
      </c>
      <c r="AT1069" t="s">
        <v>352</v>
      </c>
      <c r="AU1069">
        <v>1997</v>
      </c>
      <c r="AV1069">
        <v>41</v>
      </c>
      <c r="AW1069">
        <v>3</v>
      </c>
      <c r="AX1069" t="s">
        <v>74</v>
      </c>
      <c r="AY1069" t="s">
        <v>74</v>
      </c>
      <c r="AZ1069" t="s">
        <v>74</v>
      </c>
      <c r="BA1069" t="s">
        <v>74</v>
      </c>
      <c r="BB1069">
        <v>171</v>
      </c>
      <c r="BC1069">
        <v>176</v>
      </c>
      <c r="BD1069" t="s">
        <v>74</v>
      </c>
      <c r="BE1069" t="s">
        <v>8561</v>
      </c>
      <c r="BF1069" t="str">
        <f>HYPERLINK("http://dx.doi.org/10.1007/s002650050376","http://dx.doi.org/10.1007/s002650050376")</f>
        <v>http://dx.doi.org/10.1007/s002650050376</v>
      </c>
      <c r="BG1069" t="s">
        <v>74</v>
      </c>
      <c r="BH1069" t="s">
        <v>74</v>
      </c>
      <c r="BI1069" t="s">
        <v>74</v>
      </c>
      <c r="BJ1069" t="s">
        <v>74</v>
      </c>
      <c r="BK1069" t="s">
        <v>74</v>
      </c>
      <c r="BL1069" t="s">
        <v>74</v>
      </c>
      <c r="BM1069" t="s">
        <v>74</v>
      </c>
      <c r="BN1069" t="s">
        <v>74</v>
      </c>
      <c r="BO1069" t="s">
        <v>74</v>
      </c>
      <c r="BP1069" t="s">
        <v>74</v>
      </c>
      <c r="BQ1069" t="s">
        <v>74</v>
      </c>
      <c r="BR1069" t="s">
        <v>74</v>
      </c>
      <c r="BS1069" t="s">
        <v>8562</v>
      </c>
      <c r="BT1069" t="str">
        <f>HYPERLINK("https%3A%2F%2Fwww.webofscience.com%2Fwos%2Fwoscc%2Ffull-record%2FWOS:A1997XY71100004","View Full Record in Web of Science")</f>
        <v>View Full Record in Web of Science</v>
      </c>
    </row>
    <row r="1070" spans="1:72" x14ac:dyDescent="0.4">
      <c r="A1070" t="s">
        <v>72</v>
      </c>
      <c r="B1070" t="s">
        <v>2084</v>
      </c>
      <c r="C1070" t="s">
        <v>74</v>
      </c>
      <c r="D1070" t="s">
        <v>74</v>
      </c>
      <c r="E1070" t="s">
        <v>74</v>
      </c>
      <c r="F1070" t="s">
        <v>2085</v>
      </c>
      <c r="G1070" t="s">
        <v>74</v>
      </c>
      <c r="H1070" t="s">
        <v>74</v>
      </c>
      <c r="I1070" t="s">
        <v>2086</v>
      </c>
      <c r="J1070" t="s">
        <v>2087</v>
      </c>
      <c r="K1070" t="s">
        <v>74</v>
      </c>
      <c r="L1070" t="s">
        <v>74</v>
      </c>
      <c r="M1070" t="s">
        <v>74</v>
      </c>
      <c r="N1070" t="s">
        <v>74</v>
      </c>
      <c r="O1070" t="s">
        <v>74</v>
      </c>
      <c r="P1070" t="s">
        <v>74</v>
      </c>
      <c r="Q1070" t="s">
        <v>74</v>
      </c>
      <c r="R1070" t="s">
        <v>74</v>
      </c>
      <c r="S1070" t="s">
        <v>74</v>
      </c>
      <c r="T1070" t="s">
        <v>74</v>
      </c>
      <c r="U1070" t="s">
        <v>74</v>
      </c>
      <c r="V1070" s="3" t="s">
        <v>2088</v>
      </c>
      <c r="W1070" t="s">
        <v>74</v>
      </c>
      <c r="X1070" t="s">
        <v>74</v>
      </c>
      <c r="Y1070" t="s">
        <v>74</v>
      </c>
      <c r="Z1070" t="s">
        <v>74</v>
      </c>
      <c r="AA1070" t="s">
        <v>74</v>
      </c>
      <c r="AB1070" t="s">
        <v>74</v>
      </c>
      <c r="AC1070" t="s">
        <v>74</v>
      </c>
      <c r="AD1070" t="s">
        <v>74</v>
      </c>
      <c r="AE1070" t="s">
        <v>74</v>
      </c>
      <c r="AF1070" t="s">
        <v>74</v>
      </c>
      <c r="AG1070" t="s">
        <v>74</v>
      </c>
      <c r="AH1070" t="s">
        <v>74</v>
      </c>
      <c r="AI1070" t="s">
        <v>74</v>
      </c>
      <c r="AJ1070" t="s">
        <v>74</v>
      </c>
      <c r="AK1070" t="s">
        <v>74</v>
      </c>
      <c r="AL1070" t="s">
        <v>74</v>
      </c>
      <c r="AM1070" t="s">
        <v>74</v>
      </c>
      <c r="AN1070" t="s">
        <v>74</v>
      </c>
      <c r="AO1070" t="s">
        <v>2089</v>
      </c>
      <c r="AP1070" t="s">
        <v>74</v>
      </c>
      <c r="AQ1070" t="s">
        <v>74</v>
      </c>
      <c r="AR1070" t="s">
        <v>74</v>
      </c>
      <c r="AS1070" t="s">
        <v>74</v>
      </c>
      <c r="AT1070" t="s">
        <v>74</v>
      </c>
      <c r="AU1070">
        <v>2008</v>
      </c>
      <c r="AV1070">
        <v>15</v>
      </c>
      <c r="AW1070">
        <v>3</v>
      </c>
      <c r="AX1070" t="s">
        <v>74</v>
      </c>
      <c r="AY1070" t="s">
        <v>74</v>
      </c>
      <c r="AZ1070" t="s">
        <v>74</v>
      </c>
      <c r="BA1070" t="s">
        <v>74</v>
      </c>
      <c r="BB1070">
        <v>320</v>
      </c>
      <c r="BC1070">
        <v>326</v>
      </c>
      <c r="BD1070" t="s">
        <v>74</v>
      </c>
      <c r="BE1070" t="s">
        <v>2090</v>
      </c>
      <c r="BF1070" t="str">
        <f>HYPERLINK("http://dx.doi.org/10.2980/15-3-3135","http://dx.doi.org/10.2980/15-3-3135")</f>
        <v>http://dx.doi.org/10.2980/15-3-3135</v>
      </c>
      <c r="BG1070" t="s">
        <v>74</v>
      </c>
      <c r="BH1070" t="s">
        <v>74</v>
      </c>
      <c r="BI1070" t="s">
        <v>74</v>
      </c>
      <c r="BJ1070" t="s">
        <v>74</v>
      </c>
      <c r="BK1070" t="s">
        <v>74</v>
      </c>
      <c r="BL1070" t="s">
        <v>74</v>
      </c>
      <c r="BM1070" t="s">
        <v>74</v>
      </c>
      <c r="BN1070" t="s">
        <v>74</v>
      </c>
      <c r="BO1070" t="s">
        <v>74</v>
      </c>
      <c r="BP1070" t="s">
        <v>74</v>
      </c>
      <c r="BQ1070" t="s">
        <v>74</v>
      </c>
      <c r="BR1070" t="s">
        <v>74</v>
      </c>
      <c r="BS1070" t="s">
        <v>2091</v>
      </c>
      <c r="BT1070" t="str">
        <f>HYPERLINK("https%3A%2F%2Fwww.webofscience.com%2Fwos%2Fwoscc%2Ffull-record%2FWOS:000259841500005","View Full Record in Web of Science")</f>
        <v>View Full Record in Web of Science</v>
      </c>
    </row>
    <row r="1071" spans="1:72" x14ac:dyDescent="0.4">
      <c r="A1071" t="s">
        <v>72</v>
      </c>
      <c r="B1071" t="s">
        <v>8201</v>
      </c>
      <c r="C1071" t="s">
        <v>74</v>
      </c>
      <c r="D1071" t="s">
        <v>74</v>
      </c>
      <c r="E1071" t="s">
        <v>74</v>
      </c>
      <c r="F1071" t="s">
        <v>8202</v>
      </c>
      <c r="G1071" t="s">
        <v>74</v>
      </c>
      <c r="H1071" t="s">
        <v>74</v>
      </c>
      <c r="I1071" t="s">
        <v>8203</v>
      </c>
      <c r="J1071" t="s">
        <v>775</v>
      </c>
      <c r="K1071" t="s">
        <v>74</v>
      </c>
      <c r="L1071" t="s">
        <v>74</v>
      </c>
      <c r="M1071" t="s">
        <v>74</v>
      </c>
      <c r="N1071" t="s">
        <v>74</v>
      </c>
      <c r="O1071" t="s">
        <v>74</v>
      </c>
      <c r="P1071" t="s">
        <v>74</v>
      </c>
      <c r="Q1071" t="s">
        <v>74</v>
      </c>
      <c r="R1071" t="s">
        <v>74</v>
      </c>
      <c r="S1071" t="s">
        <v>74</v>
      </c>
      <c r="T1071" t="s">
        <v>74</v>
      </c>
      <c r="U1071" t="s">
        <v>74</v>
      </c>
      <c r="V1071" s="3" t="s">
        <v>8204</v>
      </c>
      <c r="W1071" t="s">
        <v>74</v>
      </c>
      <c r="X1071" t="s">
        <v>74</v>
      </c>
      <c r="Y1071" t="s">
        <v>74</v>
      </c>
      <c r="Z1071" t="s">
        <v>74</v>
      </c>
      <c r="AA1071" t="s">
        <v>8205</v>
      </c>
      <c r="AB1071" t="s">
        <v>8206</v>
      </c>
      <c r="AC1071" t="s">
        <v>74</v>
      </c>
      <c r="AD1071" t="s">
        <v>74</v>
      </c>
      <c r="AE1071" t="s">
        <v>74</v>
      </c>
      <c r="AF1071" t="s">
        <v>74</v>
      </c>
      <c r="AG1071" t="s">
        <v>74</v>
      </c>
      <c r="AH1071" t="s">
        <v>74</v>
      </c>
      <c r="AI1071" t="s">
        <v>74</v>
      </c>
      <c r="AJ1071" t="s">
        <v>74</v>
      </c>
      <c r="AK1071" t="s">
        <v>74</v>
      </c>
      <c r="AL1071" t="s">
        <v>74</v>
      </c>
      <c r="AM1071" t="s">
        <v>74</v>
      </c>
      <c r="AN1071" t="s">
        <v>74</v>
      </c>
      <c r="AO1071" t="s">
        <v>778</v>
      </c>
      <c r="AP1071" t="s">
        <v>74</v>
      </c>
      <c r="AQ1071" t="s">
        <v>74</v>
      </c>
      <c r="AR1071" t="s">
        <v>74</v>
      </c>
      <c r="AS1071" t="s">
        <v>74</v>
      </c>
      <c r="AT1071" t="s">
        <v>74</v>
      </c>
      <c r="AU1071">
        <v>2011</v>
      </c>
      <c r="AV1071">
        <v>57</v>
      </c>
      <c r="AW1071">
        <v>2</v>
      </c>
      <c r="AX1071" t="s">
        <v>74</v>
      </c>
      <c r="AY1071" t="s">
        <v>74</v>
      </c>
      <c r="AZ1071" t="s">
        <v>74</v>
      </c>
      <c r="BA1071" t="s">
        <v>74</v>
      </c>
      <c r="BB1071">
        <v>162</v>
      </c>
      <c r="BC1071">
        <v>174</v>
      </c>
      <c r="BD1071" t="s">
        <v>74</v>
      </c>
      <c r="BE1071" t="s">
        <v>8207</v>
      </c>
      <c r="BF1071" t="str">
        <f>HYPERLINK("http://dx.doi.org/10.1093/czoolo/57.2.162","http://dx.doi.org/10.1093/czoolo/57.2.162")</f>
        <v>http://dx.doi.org/10.1093/czoolo/57.2.162</v>
      </c>
      <c r="BG1071" t="s">
        <v>74</v>
      </c>
      <c r="BH1071" t="s">
        <v>74</v>
      </c>
      <c r="BI1071" t="s">
        <v>74</v>
      </c>
      <c r="BJ1071" t="s">
        <v>74</v>
      </c>
      <c r="BK1071" t="s">
        <v>74</v>
      </c>
      <c r="BL1071" t="s">
        <v>74</v>
      </c>
      <c r="BM1071" t="s">
        <v>74</v>
      </c>
      <c r="BN1071" t="s">
        <v>74</v>
      </c>
      <c r="BO1071" t="s">
        <v>74</v>
      </c>
      <c r="BP1071" t="s">
        <v>74</v>
      </c>
      <c r="BQ1071" t="s">
        <v>74</v>
      </c>
      <c r="BR1071" t="s">
        <v>74</v>
      </c>
      <c r="BS1071" t="s">
        <v>8208</v>
      </c>
      <c r="BT1071" t="str">
        <f>HYPERLINK("https%3A%2F%2Fwww.webofscience.com%2Fwos%2Fwoscc%2Ffull-record%2FWOS:000288848200005","View Full Record in Web of Science")</f>
        <v>View Full Record in Web of Science</v>
      </c>
    </row>
    <row r="1072" spans="1:72" x14ac:dyDescent="0.4">
      <c r="A1072" t="s">
        <v>72</v>
      </c>
      <c r="B1072" t="s">
        <v>5512</v>
      </c>
      <c r="C1072" t="s">
        <v>74</v>
      </c>
      <c r="D1072" t="s">
        <v>74</v>
      </c>
      <c r="E1072" t="s">
        <v>74</v>
      </c>
      <c r="F1072" t="s">
        <v>5513</v>
      </c>
      <c r="G1072" t="s">
        <v>74</v>
      </c>
      <c r="H1072" t="s">
        <v>74</v>
      </c>
      <c r="I1072" t="s">
        <v>5514</v>
      </c>
      <c r="J1072" t="s">
        <v>140</v>
      </c>
      <c r="K1072" t="s">
        <v>74</v>
      </c>
      <c r="L1072" t="s">
        <v>74</v>
      </c>
      <c r="M1072" t="s">
        <v>74</v>
      </c>
      <c r="N1072" t="s">
        <v>74</v>
      </c>
      <c r="O1072" t="s">
        <v>74</v>
      </c>
      <c r="P1072" t="s">
        <v>74</v>
      </c>
      <c r="Q1072" t="s">
        <v>74</v>
      </c>
      <c r="R1072" t="s">
        <v>74</v>
      </c>
      <c r="S1072" t="s">
        <v>74</v>
      </c>
      <c r="T1072" t="s">
        <v>74</v>
      </c>
      <c r="U1072" t="s">
        <v>74</v>
      </c>
      <c r="V1072" s="3" t="s">
        <v>5515</v>
      </c>
      <c r="W1072" t="s">
        <v>74</v>
      </c>
      <c r="X1072" t="s">
        <v>74</v>
      </c>
      <c r="Y1072" t="s">
        <v>74</v>
      </c>
      <c r="Z1072" t="s">
        <v>74</v>
      </c>
      <c r="AA1072" t="s">
        <v>5516</v>
      </c>
      <c r="AB1072" t="s">
        <v>5517</v>
      </c>
      <c r="AC1072" t="s">
        <v>74</v>
      </c>
      <c r="AD1072" t="s">
        <v>74</v>
      </c>
      <c r="AE1072" t="s">
        <v>74</v>
      </c>
      <c r="AF1072" t="s">
        <v>74</v>
      </c>
      <c r="AG1072" t="s">
        <v>74</v>
      </c>
      <c r="AH1072" t="s">
        <v>74</v>
      </c>
      <c r="AI1072" t="s">
        <v>74</v>
      </c>
      <c r="AJ1072" t="s">
        <v>74</v>
      </c>
      <c r="AK1072" t="s">
        <v>74</v>
      </c>
      <c r="AL1072" t="s">
        <v>74</v>
      </c>
      <c r="AM1072" t="s">
        <v>74</v>
      </c>
      <c r="AN1072" t="s">
        <v>74</v>
      </c>
      <c r="AO1072" t="s">
        <v>143</v>
      </c>
      <c r="AP1072" t="s">
        <v>144</v>
      </c>
      <c r="AQ1072" t="s">
        <v>74</v>
      </c>
      <c r="AR1072" t="s">
        <v>74</v>
      </c>
      <c r="AS1072" t="s">
        <v>74</v>
      </c>
      <c r="AT1072" t="s">
        <v>305</v>
      </c>
      <c r="AU1072">
        <v>2023</v>
      </c>
      <c r="AV1072">
        <v>206</v>
      </c>
      <c r="AW1072" t="s">
        <v>74</v>
      </c>
      <c r="AX1072" t="s">
        <v>74</v>
      </c>
      <c r="AY1072" t="s">
        <v>74</v>
      </c>
      <c r="AZ1072" t="s">
        <v>74</v>
      </c>
      <c r="BA1072" t="s">
        <v>74</v>
      </c>
      <c r="BB1072">
        <v>99</v>
      </c>
      <c r="BC1072">
        <v>123</v>
      </c>
      <c r="BD1072" t="s">
        <v>74</v>
      </c>
      <c r="BE1072" t="s">
        <v>5518</v>
      </c>
      <c r="BF1072" t="str">
        <f>HYPERLINK("http://dx.doi.org/10.1016/j.anbehav.2023.09.013","http://dx.doi.org/10.1016/j.anbehav.2023.09.013")</f>
        <v>http://dx.doi.org/10.1016/j.anbehav.2023.09.013</v>
      </c>
      <c r="BG1072" t="s">
        <v>74</v>
      </c>
      <c r="BH1072" t="s">
        <v>5519</v>
      </c>
      <c r="BI1072" t="s">
        <v>74</v>
      </c>
      <c r="BJ1072" t="s">
        <v>74</v>
      </c>
      <c r="BK1072" t="s">
        <v>74</v>
      </c>
      <c r="BL1072" t="s">
        <v>74</v>
      </c>
      <c r="BM1072" t="s">
        <v>74</v>
      </c>
      <c r="BN1072" t="s">
        <v>74</v>
      </c>
      <c r="BO1072" t="s">
        <v>74</v>
      </c>
      <c r="BP1072" t="s">
        <v>74</v>
      </c>
      <c r="BQ1072" t="s">
        <v>74</v>
      </c>
      <c r="BR1072" t="s">
        <v>74</v>
      </c>
      <c r="BS1072" t="s">
        <v>5520</v>
      </c>
      <c r="BT1072" t="str">
        <f>HYPERLINK("https%3A%2F%2Fwww.webofscience.com%2Fwos%2Fwoscc%2Ffull-record%2FWOS:001113029100001","View Full Record in Web of Science")</f>
        <v>View Full Record in Web of Science</v>
      </c>
    </row>
    <row r="1073" spans="1:72" x14ac:dyDescent="0.4">
      <c r="A1073" t="s">
        <v>72</v>
      </c>
      <c r="B1073" t="s">
        <v>2316</v>
      </c>
      <c r="C1073" t="s">
        <v>74</v>
      </c>
      <c r="D1073" t="s">
        <v>74</v>
      </c>
      <c r="E1073" t="s">
        <v>74</v>
      </c>
      <c r="F1073" t="s">
        <v>2316</v>
      </c>
      <c r="G1073" t="s">
        <v>74</v>
      </c>
      <c r="H1073" t="s">
        <v>74</v>
      </c>
      <c r="I1073" t="s">
        <v>2317</v>
      </c>
      <c r="J1073" t="s">
        <v>2207</v>
      </c>
      <c r="K1073" t="s">
        <v>74</v>
      </c>
      <c r="L1073" t="s">
        <v>74</v>
      </c>
      <c r="M1073" t="s">
        <v>74</v>
      </c>
      <c r="N1073" t="s">
        <v>74</v>
      </c>
      <c r="O1073" t="s">
        <v>74</v>
      </c>
      <c r="P1073" t="s">
        <v>74</v>
      </c>
      <c r="Q1073" t="s">
        <v>74</v>
      </c>
      <c r="R1073" t="s">
        <v>74</v>
      </c>
      <c r="S1073" t="s">
        <v>74</v>
      </c>
      <c r="T1073" t="s">
        <v>74</v>
      </c>
      <c r="U1073" t="s">
        <v>74</v>
      </c>
      <c r="V1073" s="3" t="s">
        <v>2318</v>
      </c>
      <c r="W1073" t="s">
        <v>74</v>
      </c>
      <c r="X1073" t="s">
        <v>74</v>
      </c>
      <c r="Y1073" t="s">
        <v>74</v>
      </c>
      <c r="Z1073" t="s">
        <v>74</v>
      </c>
      <c r="AA1073" t="s">
        <v>74</v>
      </c>
      <c r="AB1073" t="s">
        <v>74</v>
      </c>
      <c r="AC1073" t="s">
        <v>74</v>
      </c>
      <c r="AD1073" t="s">
        <v>74</v>
      </c>
      <c r="AE1073" t="s">
        <v>74</v>
      </c>
      <c r="AF1073" t="s">
        <v>74</v>
      </c>
      <c r="AG1073" t="s">
        <v>74</v>
      </c>
      <c r="AH1073" t="s">
        <v>74</v>
      </c>
      <c r="AI1073" t="s">
        <v>74</v>
      </c>
      <c r="AJ1073" t="s">
        <v>74</v>
      </c>
      <c r="AK1073" t="s">
        <v>74</v>
      </c>
      <c r="AL1073" t="s">
        <v>74</v>
      </c>
      <c r="AM1073" t="s">
        <v>74</v>
      </c>
      <c r="AN1073" t="s">
        <v>74</v>
      </c>
      <c r="AO1073" t="s">
        <v>2211</v>
      </c>
      <c r="AP1073" t="s">
        <v>74</v>
      </c>
      <c r="AQ1073" t="s">
        <v>74</v>
      </c>
      <c r="AR1073" t="s">
        <v>74</v>
      </c>
      <c r="AS1073" t="s">
        <v>74</v>
      </c>
      <c r="AT1073" t="s">
        <v>352</v>
      </c>
      <c r="AU1073">
        <v>1996</v>
      </c>
      <c r="AV1073">
        <v>27</v>
      </c>
      <c r="AW1073">
        <v>3</v>
      </c>
      <c r="AX1073" t="s">
        <v>74</v>
      </c>
      <c r="AY1073" t="s">
        <v>74</v>
      </c>
      <c r="AZ1073" t="s">
        <v>74</v>
      </c>
      <c r="BA1073" t="s">
        <v>74</v>
      </c>
      <c r="BB1073">
        <v>257</v>
      </c>
      <c r="BC1073">
        <v>259</v>
      </c>
      <c r="BD1073" t="s">
        <v>74</v>
      </c>
      <c r="BE1073" t="s">
        <v>2319</v>
      </c>
      <c r="BF1073" t="str">
        <f>HYPERLINK("http://dx.doi.org/10.2307/3677231","http://dx.doi.org/10.2307/3677231")</f>
        <v>http://dx.doi.org/10.2307/3677231</v>
      </c>
      <c r="BG1073" t="s">
        <v>74</v>
      </c>
      <c r="BH1073" t="s">
        <v>74</v>
      </c>
      <c r="BI1073" t="s">
        <v>74</v>
      </c>
      <c r="BJ1073" t="s">
        <v>74</v>
      </c>
      <c r="BK1073" t="s">
        <v>74</v>
      </c>
      <c r="BL1073" t="s">
        <v>74</v>
      </c>
      <c r="BM1073" t="s">
        <v>74</v>
      </c>
      <c r="BN1073" t="s">
        <v>74</v>
      </c>
      <c r="BO1073" t="s">
        <v>74</v>
      </c>
      <c r="BP1073" t="s">
        <v>74</v>
      </c>
      <c r="BQ1073" t="s">
        <v>74</v>
      </c>
      <c r="BR1073" t="s">
        <v>74</v>
      </c>
      <c r="BS1073" t="s">
        <v>2320</v>
      </c>
      <c r="BT1073" t="str">
        <f>HYPERLINK("https%3A%2F%2Fwww.webofscience.com%2Fwos%2Fwoscc%2Ffull-record%2FWOS:A1996VQ62800012","View Full Record in Web of Science")</f>
        <v>View Full Record in Web of Science</v>
      </c>
    </row>
    <row r="1074" spans="1:72" x14ac:dyDescent="0.4">
      <c r="A1074" t="s">
        <v>72</v>
      </c>
      <c r="B1074" t="s">
        <v>515</v>
      </c>
      <c r="C1074" t="s">
        <v>74</v>
      </c>
      <c r="D1074" t="s">
        <v>74</v>
      </c>
      <c r="E1074" t="s">
        <v>74</v>
      </c>
      <c r="F1074" t="s">
        <v>515</v>
      </c>
      <c r="G1074" t="s">
        <v>74</v>
      </c>
      <c r="H1074" t="s">
        <v>74</v>
      </c>
      <c r="I1074" t="s">
        <v>516</v>
      </c>
      <c r="J1074" t="s">
        <v>517</v>
      </c>
      <c r="K1074" t="s">
        <v>74</v>
      </c>
      <c r="L1074" t="s">
        <v>74</v>
      </c>
      <c r="M1074" t="s">
        <v>74</v>
      </c>
      <c r="N1074" t="s">
        <v>74</v>
      </c>
      <c r="O1074" t="s">
        <v>518</v>
      </c>
      <c r="P1074" t="s">
        <v>519</v>
      </c>
      <c r="Q1074" t="s">
        <v>520</v>
      </c>
      <c r="R1074" t="s">
        <v>521</v>
      </c>
      <c r="S1074" t="s">
        <v>74</v>
      </c>
      <c r="T1074" t="s">
        <v>74</v>
      </c>
      <c r="U1074" t="s">
        <v>74</v>
      </c>
      <c r="V1074" s="3" t="s">
        <v>522</v>
      </c>
      <c r="W1074" t="s">
        <v>74</v>
      </c>
      <c r="X1074" t="s">
        <v>74</v>
      </c>
      <c r="Y1074" t="s">
        <v>74</v>
      </c>
      <c r="Z1074" t="s">
        <v>74</v>
      </c>
      <c r="AA1074" t="s">
        <v>523</v>
      </c>
      <c r="AB1074" t="s">
        <v>524</v>
      </c>
      <c r="AC1074" t="s">
        <v>74</v>
      </c>
      <c r="AD1074" t="s">
        <v>74</v>
      </c>
      <c r="AE1074" t="s">
        <v>74</v>
      </c>
      <c r="AF1074" t="s">
        <v>74</v>
      </c>
      <c r="AG1074" t="s">
        <v>74</v>
      </c>
      <c r="AH1074" t="s">
        <v>74</v>
      </c>
      <c r="AI1074" t="s">
        <v>74</v>
      </c>
      <c r="AJ1074" t="s">
        <v>74</v>
      </c>
      <c r="AK1074" t="s">
        <v>74</v>
      </c>
      <c r="AL1074" t="s">
        <v>74</v>
      </c>
      <c r="AM1074" t="s">
        <v>74</v>
      </c>
      <c r="AN1074" t="s">
        <v>74</v>
      </c>
      <c r="AO1074" t="s">
        <v>525</v>
      </c>
      <c r="AP1074" t="s">
        <v>74</v>
      </c>
      <c r="AQ1074" t="s">
        <v>74</v>
      </c>
      <c r="AR1074" t="s">
        <v>74</v>
      </c>
      <c r="AS1074" t="s">
        <v>74</v>
      </c>
      <c r="AT1074" t="s">
        <v>305</v>
      </c>
      <c r="AU1074">
        <v>2003</v>
      </c>
      <c r="AV1074">
        <v>36</v>
      </c>
      <c r="AW1074">
        <v>12</v>
      </c>
      <c r="AX1074" t="s">
        <v>74</v>
      </c>
      <c r="AY1074" t="s">
        <v>74</v>
      </c>
      <c r="AZ1074" t="s">
        <v>74</v>
      </c>
      <c r="BA1074" t="s">
        <v>74</v>
      </c>
      <c r="BB1074">
        <v>1659</v>
      </c>
      <c r="BC1074">
        <v>1663</v>
      </c>
      <c r="BD1074" t="s">
        <v>74</v>
      </c>
      <c r="BE1074" t="s">
        <v>526</v>
      </c>
      <c r="BF1074" t="str">
        <f>HYPERLINK("http://dx.doi.org/10.1590/S0100-879X2003001200007","http://dx.doi.org/10.1590/S0100-879X2003001200007")</f>
        <v>http://dx.doi.org/10.1590/S0100-879X2003001200007</v>
      </c>
      <c r="BG1074" t="s">
        <v>74</v>
      </c>
      <c r="BH1074" t="s">
        <v>74</v>
      </c>
      <c r="BI1074" t="s">
        <v>74</v>
      </c>
      <c r="BJ1074" t="s">
        <v>74</v>
      </c>
      <c r="BK1074" t="s">
        <v>74</v>
      </c>
      <c r="BL1074" t="s">
        <v>74</v>
      </c>
      <c r="BM1074" t="s">
        <v>74</v>
      </c>
      <c r="BN1074">
        <v>14666250</v>
      </c>
      <c r="BO1074" t="s">
        <v>74</v>
      </c>
      <c r="BP1074" t="s">
        <v>74</v>
      </c>
      <c r="BQ1074" t="s">
        <v>74</v>
      </c>
      <c r="BR1074" t="s">
        <v>74</v>
      </c>
      <c r="BS1074" t="s">
        <v>527</v>
      </c>
      <c r="BT1074" t="str">
        <f>HYPERLINK("https%3A%2F%2Fwww.webofscience.com%2Fwos%2Fwoscc%2Ffull-record%2FWOS:000187175000007","View Full Record in Web of Science")</f>
        <v>View Full Record in Web of Science</v>
      </c>
    </row>
    <row r="1075" spans="1:72" x14ac:dyDescent="0.4">
      <c r="A1075" t="s">
        <v>72</v>
      </c>
      <c r="B1075" t="s">
        <v>7456</v>
      </c>
      <c r="C1075" t="s">
        <v>74</v>
      </c>
      <c r="D1075" t="s">
        <v>74</v>
      </c>
      <c r="E1075" t="s">
        <v>74</v>
      </c>
      <c r="F1075" t="s">
        <v>7456</v>
      </c>
      <c r="G1075" t="s">
        <v>74</v>
      </c>
      <c r="H1075" t="s">
        <v>74</v>
      </c>
      <c r="I1075" t="s">
        <v>7457</v>
      </c>
      <c r="J1075" t="s">
        <v>610</v>
      </c>
      <c r="K1075" t="s">
        <v>74</v>
      </c>
      <c r="L1075" t="s">
        <v>74</v>
      </c>
      <c r="M1075" t="s">
        <v>74</v>
      </c>
      <c r="N1075" t="s">
        <v>74</v>
      </c>
      <c r="O1075" t="s">
        <v>74</v>
      </c>
      <c r="P1075" t="s">
        <v>74</v>
      </c>
      <c r="Q1075" t="s">
        <v>74</v>
      </c>
      <c r="R1075" t="s">
        <v>74</v>
      </c>
      <c r="S1075" t="s">
        <v>74</v>
      </c>
      <c r="T1075" t="s">
        <v>74</v>
      </c>
      <c r="U1075" t="s">
        <v>74</v>
      </c>
      <c r="V1075" s="3" t="s">
        <v>7458</v>
      </c>
      <c r="W1075" t="s">
        <v>74</v>
      </c>
      <c r="X1075" t="s">
        <v>74</v>
      </c>
      <c r="Y1075" t="s">
        <v>74</v>
      </c>
      <c r="Z1075" t="s">
        <v>74</v>
      </c>
      <c r="AA1075" t="s">
        <v>74</v>
      </c>
      <c r="AB1075" t="s">
        <v>74</v>
      </c>
      <c r="AC1075" t="s">
        <v>74</v>
      </c>
      <c r="AD1075" t="s">
        <v>74</v>
      </c>
      <c r="AE1075" t="s">
        <v>74</v>
      </c>
      <c r="AF1075" t="s">
        <v>74</v>
      </c>
      <c r="AG1075" t="s">
        <v>74</v>
      </c>
      <c r="AH1075" t="s">
        <v>74</v>
      </c>
      <c r="AI1075" t="s">
        <v>74</v>
      </c>
      <c r="AJ1075" t="s">
        <v>74</v>
      </c>
      <c r="AK1075" t="s">
        <v>74</v>
      </c>
      <c r="AL1075" t="s">
        <v>74</v>
      </c>
      <c r="AM1075" t="s">
        <v>74</v>
      </c>
      <c r="AN1075" t="s">
        <v>74</v>
      </c>
      <c r="AO1075" t="s">
        <v>614</v>
      </c>
      <c r="AP1075" t="s">
        <v>74</v>
      </c>
      <c r="AQ1075" t="s">
        <v>74</v>
      </c>
      <c r="AR1075" t="s">
        <v>74</v>
      </c>
      <c r="AS1075" t="s">
        <v>74</v>
      </c>
      <c r="AT1075" t="s">
        <v>255</v>
      </c>
      <c r="AU1075">
        <v>1993</v>
      </c>
      <c r="AV1075">
        <v>93</v>
      </c>
      <c r="AW1075">
        <v>1</v>
      </c>
      <c r="AX1075" t="s">
        <v>74</v>
      </c>
      <c r="AY1075" t="s">
        <v>74</v>
      </c>
      <c r="AZ1075" t="s">
        <v>74</v>
      </c>
      <c r="BA1075" t="s">
        <v>74</v>
      </c>
      <c r="BB1075">
        <v>3</v>
      </c>
      <c r="BC1075">
        <v>20</v>
      </c>
      <c r="BD1075" t="s">
        <v>74</v>
      </c>
      <c r="BE1075" t="s">
        <v>74</v>
      </c>
      <c r="BF1075" t="s">
        <v>74</v>
      </c>
      <c r="BG1075" t="s">
        <v>74</v>
      </c>
      <c r="BH1075" t="s">
        <v>74</v>
      </c>
      <c r="BI1075" t="s">
        <v>74</v>
      </c>
      <c r="BJ1075" t="s">
        <v>74</v>
      </c>
      <c r="BK1075" t="s">
        <v>74</v>
      </c>
      <c r="BL1075" t="s">
        <v>74</v>
      </c>
      <c r="BM1075" t="s">
        <v>74</v>
      </c>
      <c r="BN1075" t="s">
        <v>74</v>
      </c>
      <c r="BO1075" t="s">
        <v>74</v>
      </c>
      <c r="BP1075" t="s">
        <v>74</v>
      </c>
      <c r="BQ1075" t="s">
        <v>74</v>
      </c>
      <c r="BR1075" t="s">
        <v>74</v>
      </c>
      <c r="BS1075" t="s">
        <v>7459</v>
      </c>
      <c r="BT1075" t="str">
        <f>HYPERLINK("https%3A%2F%2Fwww.webofscience.com%2Fwos%2Fwoscc%2Ffull-record%2FWOS:A1993KM66900002","View Full Record in Web of Science")</f>
        <v>View Full Record in Web of Science</v>
      </c>
    </row>
    <row r="1076" spans="1:72" x14ac:dyDescent="0.4">
      <c r="A1076" t="s">
        <v>72</v>
      </c>
      <c r="B1076" t="s">
        <v>4440</v>
      </c>
      <c r="C1076" t="s">
        <v>74</v>
      </c>
      <c r="D1076" t="s">
        <v>74</v>
      </c>
      <c r="E1076" t="s">
        <v>74</v>
      </c>
      <c r="F1076" t="s">
        <v>4440</v>
      </c>
      <c r="G1076" t="s">
        <v>74</v>
      </c>
      <c r="H1076" t="s">
        <v>74</v>
      </c>
      <c r="I1076" t="s">
        <v>4441</v>
      </c>
      <c r="J1076" t="s">
        <v>140</v>
      </c>
      <c r="K1076" t="s">
        <v>74</v>
      </c>
      <c r="L1076" t="s">
        <v>74</v>
      </c>
      <c r="M1076" t="s">
        <v>74</v>
      </c>
      <c r="N1076" t="s">
        <v>74</v>
      </c>
      <c r="O1076" t="s">
        <v>74</v>
      </c>
      <c r="P1076" t="s">
        <v>74</v>
      </c>
      <c r="Q1076" t="s">
        <v>74</v>
      </c>
      <c r="R1076" t="s">
        <v>74</v>
      </c>
      <c r="S1076" t="s">
        <v>74</v>
      </c>
      <c r="T1076" t="s">
        <v>74</v>
      </c>
      <c r="U1076" t="s">
        <v>74</v>
      </c>
      <c r="V1076" s="3" t="s">
        <v>4442</v>
      </c>
      <c r="W1076" t="s">
        <v>74</v>
      </c>
      <c r="X1076" t="s">
        <v>74</v>
      </c>
      <c r="Y1076" t="s">
        <v>74</v>
      </c>
      <c r="Z1076" t="s">
        <v>74</v>
      </c>
      <c r="AA1076" t="s">
        <v>74</v>
      </c>
      <c r="AB1076" t="s">
        <v>74</v>
      </c>
      <c r="AC1076" t="s">
        <v>74</v>
      </c>
      <c r="AD1076" t="s">
        <v>74</v>
      </c>
      <c r="AE1076" t="s">
        <v>74</v>
      </c>
      <c r="AF1076" t="s">
        <v>74</v>
      </c>
      <c r="AG1076" t="s">
        <v>74</v>
      </c>
      <c r="AH1076" t="s">
        <v>74</v>
      </c>
      <c r="AI1076" t="s">
        <v>74</v>
      </c>
      <c r="AJ1076" t="s">
        <v>74</v>
      </c>
      <c r="AK1076" t="s">
        <v>74</v>
      </c>
      <c r="AL1076" t="s">
        <v>74</v>
      </c>
      <c r="AM1076" t="s">
        <v>74</v>
      </c>
      <c r="AN1076" t="s">
        <v>74</v>
      </c>
      <c r="AO1076" t="s">
        <v>143</v>
      </c>
      <c r="AP1076" t="s">
        <v>144</v>
      </c>
      <c r="AQ1076" t="s">
        <v>74</v>
      </c>
      <c r="AR1076" t="s">
        <v>74</v>
      </c>
      <c r="AS1076" t="s">
        <v>74</v>
      </c>
      <c r="AT1076" t="s">
        <v>352</v>
      </c>
      <c r="AU1076">
        <v>1995</v>
      </c>
      <c r="AV1076">
        <v>50</v>
      </c>
      <c r="AW1076" t="s">
        <v>74</v>
      </c>
      <c r="AX1076">
        <v>3</v>
      </c>
      <c r="AY1076" t="s">
        <v>74</v>
      </c>
      <c r="AZ1076" t="s">
        <v>74</v>
      </c>
      <c r="BA1076" t="s">
        <v>74</v>
      </c>
      <c r="BB1076">
        <v>645</v>
      </c>
      <c r="BC1076">
        <v>653</v>
      </c>
      <c r="BD1076" t="s">
        <v>74</v>
      </c>
      <c r="BE1076" t="s">
        <v>4443</v>
      </c>
      <c r="BF1076" t="str">
        <f>HYPERLINK("http://dx.doi.org/10.1016/0003-3472(95)80126-X","http://dx.doi.org/10.1016/0003-3472(95)80126-X")</f>
        <v>http://dx.doi.org/10.1016/0003-3472(95)80126-X</v>
      </c>
      <c r="BG1076" t="s">
        <v>74</v>
      </c>
      <c r="BH1076" t="s">
        <v>74</v>
      </c>
      <c r="BI1076" t="s">
        <v>74</v>
      </c>
      <c r="BJ1076" t="s">
        <v>74</v>
      </c>
      <c r="BK1076" t="s">
        <v>74</v>
      </c>
      <c r="BL1076" t="s">
        <v>74</v>
      </c>
      <c r="BM1076" t="s">
        <v>74</v>
      </c>
      <c r="BN1076" t="s">
        <v>74</v>
      </c>
      <c r="BO1076" t="s">
        <v>74</v>
      </c>
      <c r="BP1076" t="s">
        <v>74</v>
      </c>
      <c r="BQ1076" t="s">
        <v>74</v>
      </c>
      <c r="BR1076" t="s">
        <v>74</v>
      </c>
      <c r="BS1076" t="s">
        <v>4444</v>
      </c>
      <c r="BT1076" t="str">
        <f>HYPERLINK("https%3A%2F%2Fwww.webofscience.com%2Fwos%2Fwoscc%2Ffull-record%2FWOS:A1995RV28100007","View Full Record in Web of Science")</f>
        <v>View Full Record in Web of Science</v>
      </c>
    </row>
    <row r="1077" spans="1:72" x14ac:dyDescent="0.4">
      <c r="A1077" t="s">
        <v>72</v>
      </c>
      <c r="B1077" t="s">
        <v>4440</v>
      </c>
      <c r="C1077" t="s">
        <v>74</v>
      </c>
      <c r="D1077" t="s">
        <v>74</v>
      </c>
      <c r="E1077" t="s">
        <v>74</v>
      </c>
      <c r="F1077" t="s">
        <v>4440</v>
      </c>
      <c r="G1077" t="s">
        <v>74</v>
      </c>
      <c r="H1077" t="s">
        <v>74</v>
      </c>
      <c r="I1077" t="s">
        <v>6340</v>
      </c>
      <c r="J1077" t="s">
        <v>77</v>
      </c>
      <c r="K1077" t="s">
        <v>74</v>
      </c>
      <c r="L1077" t="s">
        <v>74</v>
      </c>
      <c r="M1077" t="s">
        <v>74</v>
      </c>
      <c r="N1077" t="s">
        <v>74</v>
      </c>
      <c r="O1077" t="s">
        <v>74</v>
      </c>
      <c r="P1077" t="s">
        <v>74</v>
      </c>
      <c r="Q1077" t="s">
        <v>74</v>
      </c>
      <c r="R1077" t="s">
        <v>74</v>
      </c>
      <c r="S1077" t="s">
        <v>74</v>
      </c>
      <c r="T1077" t="s">
        <v>74</v>
      </c>
      <c r="U1077" t="s">
        <v>74</v>
      </c>
      <c r="V1077" s="3" t="s">
        <v>6341</v>
      </c>
      <c r="W1077" t="s">
        <v>74</v>
      </c>
      <c r="X1077" t="s">
        <v>74</v>
      </c>
      <c r="Y1077" t="s">
        <v>74</v>
      </c>
      <c r="Z1077" t="s">
        <v>74</v>
      </c>
      <c r="AA1077" t="s">
        <v>74</v>
      </c>
      <c r="AB1077" t="s">
        <v>74</v>
      </c>
      <c r="AC1077" t="s">
        <v>74</v>
      </c>
      <c r="AD1077" t="s">
        <v>74</v>
      </c>
      <c r="AE1077" t="s">
        <v>74</v>
      </c>
      <c r="AF1077" t="s">
        <v>74</v>
      </c>
      <c r="AG1077" t="s">
        <v>74</v>
      </c>
      <c r="AH1077" t="s">
        <v>74</v>
      </c>
      <c r="AI1077" t="s">
        <v>74</v>
      </c>
      <c r="AJ1077" t="s">
        <v>74</v>
      </c>
      <c r="AK1077" t="s">
        <v>74</v>
      </c>
      <c r="AL1077" t="s">
        <v>74</v>
      </c>
      <c r="AM1077" t="s">
        <v>74</v>
      </c>
      <c r="AN1077" t="s">
        <v>74</v>
      </c>
      <c r="AO1077" t="s">
        <v>81</v>
      </c>
      <c r="AP1077" t="s">
        <v>74</v>
      </c>
      <c r="AQ1077" t="s">
        <v>74</v>
      </c>
      <c r="AR1077" t="s">
        <v>74</v>
      </c>
      <c r="AS1077" t="s">
        <v>74</v>
      </c>
      <c r="AT1077" t="s">
        <v>964</v>
      </c>
      <c r="AU1077">
        <v>1994</v>
      </c>
      <c r="AV1077">
        <v>128</v>
      </c>
      <c r="AW1077" t="s">
        <v>74</v>
      </c>
      <c r="AX1077" t="s">
        <v>548</v>
      </c>
      <c r="AY1077" t="s">
        <v>74</v>
      </c>
      <c r="AZ1077" t="s">
        <v>74</v>
      </c>
      <c r="BA1077" t="s">
        <v>74</v>
      </c>
      <c r="BB1077">
        <v>1</v>
      </c>
      <c r="BC1077">
        <v>14</v>
      </c>
      <c r="BD1077" t="s">
        <v>74</v>
      </c>
      <c r="BE1077" t="s">
        <v>6342</v>
      </c>
      <c r="BF1077" t="str">
        <f>HYPERLINK("http://dx.doi.org/10.1163/156853994X00019","http://dx.doi.org/10.1163/156853994X00019")</f>
        <v>http://dx.doi.org/10.1163/156853994X00019</v>
      </c>
      <c r="BG1077" t="s">
        <v>74</v>
      </c>
      <c r="BH1077" t="s">
        <v>74</v>
      </c>
      <c r="BI1077" t="s">
        <v>74</v>
      </c>
      <c r="BJ1077" t="s">
        <v>74</v>
      </c>
      <c r="BK1077" t="s">
        <v>74</v>
      </c>
      <c r="BL1077" t="s">
        <v>74</v>
      </c>
      <c r="BM1077" t="s">
        <v>74</v>
      </c>
      <c r="BN1077" t="s">
        <v>74</v>
      </c>
      <c r="BO1077" t="s">
        <v>74</v>
      </c>
      <c r="BP1077" t="s">
        <v>74</v>
      </c>
      <c r="BQ1077" t="s">
        <v>74</v>
      </c>
      <c r="BR1077" t="s">
        <v>74</v>
      </c>
      <c r="BS1077" t="s">
        <v>6343</v>
      </c>
      <c r="BT1077" t="str">
        <f>HYPERLINK("https%3A%2F%2Fwww.webofscience.com%2Fwos%2Fwoscc%2Ffull-record%2FWOS:A1994NV35400001","View Full Record in Web of Science")</f>
        <v>View Full Record in Web of Science</v>
      </c>
    </row>
    <row r="1078" spans="1:72" x14ac:dyDescent="0.4">
      <c r="A1078" t="s">
        <v>72</v>
      </c>
      <c r="B1078" t="s">
        <v>3458</v>
      </c>
      <c r="C1078" t="s">
        <v>74</v>
      </c>
      <c r="D1078" t="s">
        <v>74</v>
      </c>
      <c r="E1078" t="s">
        <v>74</v>
      </c>
      <c r="F1078" t="s">
        <v>3458</v>
      </c>
      <c r="G1078" t="s">
        <v>74</v>
      </c>
      <c r="H1078" t="s">
        <v>74</v>
      </c>
      <c r="I1078" t="s">
        <v>3459</v>
      </c>
      <c r="J1078" t="s">
        <v>108</v>
      </c>
      <c r="K1078" t="s">
        <v>74</v>
      </c>
      <c r="L1078" t="s">
        <v>74</v>
      </c>
      <c r="M1078" t="s">
        <v>74</v>
      </c>
      <c r="N1078" t="s">
        <v>74</v>
      </c>
      <c r="O1078" t="s">
        <v>74</v>
      </c>
      <c r="P1078" t="s">
        <v>74</v>
      </c>
      <c r="Q1078" t="s">
        <v>74</v>
      </c>
      <c r="R1078" t="s">
        <v>74</v>
      </c>
      <c r="S1078" t="s">
        <v>74</v>
      </c>
      <c r="T1078" t="s">
        <v>74</v>
      </c>
      <c r="U1078" t="s">
        <v>74</v>
      </c>
      <c r="V1078" s="3" t="s">
        <v>3460</v>
      </c>
      <c r="W1078" t="s">
        <v>74</v>
      </c>
      <c r="X1078" t="s">
        <v>74</v>
      </c>
      <c r="Y1078" t="s">
        <v>74</v>
      </c>
      <c r="Z1078" t="s">
        <v>74</v>
      </c>
      <c r="AA1078" t="s">
        <v>3461</v>
      </c>
      <c r="AB1078" t="s">
        <v>3462</v>
      </c>
      <c r="AC1078" t="s">
        <v>74</v>
      </c>
      <c r="AD1078" t="s">
        <v>74</v>
      </c>
      <c r="AE1078" t="s">
        <v>74</v>
      </c>
      <c r="AF1078" t="s">
        <v>74</v>
      </c>
      <c r="AG1078" t="s">
        <v>74</v>
      </c>
      <c r="AH1078" t="s">
        <v>74</v>
      </c>
      <c r="AI1078" t="s">
        <v>74</v>
      </c>
      <c r="AJ1078" t="s">
        <v>74</v>
      </c>
      <c r="AK1078" t="s">
        <v>74</v>
      </c>
      <c r="AL1078" t="s">
        <v>74</v>
      </c>
      <c r="AM1078" t="s">
        <v>74</v>
      </c>
      <c r="AN1078" t="s">
        <v>74</v>
      </c>
      <c r="AO1078" t="s">
        <v>111</v>
      </c>
      <c r="AP1078" t="s">
        <v>3463</v>
      </c>
      <c r="AQ1078" t="s">
        <v>74</v>
      </c>
      <c r="AR1078" t="s">
        <v>74</v>
      </c>
      <c r="AS1078" t="s">
        <v>74</v>
      </c>
      <c r="AT1078" t="s">
        <v>493</v>
      </c>
      <c r="AU1078">
        <v>1999</v>
      </c>
      <c r="AV1078">
        <v>266</v>
      </c>
      <c r="AW1078">
        <v>1427</v>
      </c>
      <c r="AX1078" t="s">
        <v>74</v>
      </c>
      <c r="AY1078" t="s">
        <v>74</v>
      </c>
      <c r="AZ1078" t="s">
        <v>74</v>
      </c>
      <c r="BA1078" t="s">
        <v>74</v>
      </c>
      <c r="BB1078">
        <v>1403</v>
      </c>
      <c r="BC1078">
        <v>1411</v>
      </c>
      <c r="BD1078" t="s">
        <v>74</v>
      </c>
      <c r="BE1078" t="s">
        <v>3464</v>
      </c>
      <c r="BF1078" t="str">
        <f>HYPERLINK("http://dx.doi.org/10.1098/rspb.1999.0794","http://dx.doi.org/10.1098/rspb.1999.0794")</f>
        <v>http://dx.doi.org/10.1098/rspb.1999.0794</v>
      </c>
      <c r="BG1078" t="s">
        <v>74</v>
      </c>
      <c r="BH1078" t="s">
        <v>74</v>
      </c>
      <c r="BI1078" t="s">
        <v>74</v>
      </c>
      <c r="BJ1078" t="s">
        <v>74</v>
      </c>
      <c r="BK1078" t="s">
        <v>74</v>
      </c>
      <c r="BL1078" t="s">
        <v>74</v>
      </c>
      <c r="BM1078" t="s">
        <v>74</v>
      </c>
      <c r="BN1078" t="s">
        <v>74</v>
      </c>
      <c r="BO1078" t="s">
        <v>74</v>
      </c>
      <c r="BP1078" t="s">
        <v>74</v>
      </c>
      <c r="BQ1078" t="s">
        <v>74</v>
      </c>
      <c r="BR1078" t="s">
        <v>74</v>
      </c>
      <c r="BS1078" t="s">
        <v>3465</v>
      </c>
      <c r="BT1078" t="str">
        <f>HYPERLINK("https%3A%2F%2Fwww.webofscience.com%2Fwos%2Fwoscc%2Ffull-record%2FWOS:000081833200001","View Full Record in Web of Science")</f>
        <v>View Full Record in Web of Science</v>
      </c>
    </row>
    <row r="1079" spans="1:72" x14ac:dyDescent="0.4">
      <c r="A1079" t="s">
        <v>72</v>
      </c>
      <c r="B1079" t="s">
        <v>5080</v>
      </c>
      <c r="C1079" t="s">
        <v>74</v>
      </c>
      <c r="D1079" t="s">
        <v>74</v>
      </c>
      <c r="E1079" t="s">
        <v>74</v>
      </c>
      <c r="F1079" t="s">
        <v>5081</v>
      </c>
      <c r="G1079" t="s">
        <v>74</v>
      </c>
      <c r="H1079" t="s">
        <v>74</v>
      </c>
      <c r="I1079" t="s">
        <v>5082</v>
      </c>
      <c r="J1079" t="s">
        <v>333</v>
      </c>
      <c r="K1079" t="s">
        <v>74</v>
      </c>
      <c r="L1079" t="s">
        <v>74</v>
      </c>
      <c r="M1079" t="s">
        <v>74</v>
      </c>
      <c r="N1079" t="s">
        <v>74</v>
      </c>
      <c r="O1079" t="s">
        <v>74</v>
      </c>
      <c r="P1079" t="s">
        <v>74</v>
      </c>
      <c r="Q1079" t="s">
        <v>74</v>
      </c>
      <c r="R1079" t="s">
        <v>74</v>
      </c>
      <c r="S1079" t="s">
        <v>74</v>
      </c>
      <c r="T1079" t="s">
        <v>74</v>
      </c>
      <c r="U1079" t="s">
        <v>74</v>
      </c>
      <c r="V1079" s="3" t="s">
        <v>5083</v>
      </c>
      <c r="W1079" t="s">
        <v>74</v>
      </c>
      <c r="X1079" t="s">
        <v>74</v>
      </c>
      <c r="Y1079" t="s">
        <v>74</v>
      </c>
      <c r="Z1079" t="s">
        <v>74</v>
      </c>
      <c r="AA1079" t="s">
        <v>5084</v>
      </c>
      <c r="AB1079" t="s">
        <v>5085</v>
      </c>
      <c r="AC1079" t="s">
        <v>74</v>
      </c>
      <c r="AD1079" t="s">
        <v>74</v>
      </c>
      <c r="AE1079" t="s">
        <v>74</v>
      </c>
      <c r="AF1079" t="s">
        <v>74</v>
      </c>
      <c r="AG1079" t="s">
        <v>74</v>
      </c>
      <c r="AH1079" t="s">
        <v>74</v>
      </c>
      <c r="AI1079" t="s">
        <v>74</v>
      </c>
      <c r="AJ1079" t="s">
        <v>74</v>
      </c>
      <c r="AK1079" t="s">
        <v>74</v>
      </c>
      <c r="AL1079" t="s">
        <v>74</v>
      </c>
      <c r="AM1079" t="s">
        <v>74</v>
      </c>
      <c r="AN1079" t="s">
        <v>74</v>
      </c>
      <c r="AO1079" t="s">
        <v>337</v>
      </c>
      <c r="AP1079" t="s">
        <v>338</v>
      </c>
      <c r="AQ1079" t="s">
        <v>74</v>
      </c>
      <c r="AR1079" t="s">
        <v>74</v>
      </c>
      <c r="AS1079" t="s">
        <v>74</v>
      </c>
      <c r="AT1079" t="s">
        <v>1013</v>
      </c>
      <c r="AU1079">
        <v>2016</v>
      </c>
      <c r="AV1079">
        <v>27</v>
      </c>
      <c r="AW1079">
        <v>5</v>
      </c>
      <c r="AX1079" t="s">
        <v>74</v>
      </c>
      <c r="AY1079" t="s">
        <v>74</v>
      </c>
      <c r="AZ1079" t="s">
        <v>74</v>
      </c>
      <c r="BA1079" t="s">
        <v>74</v>
      </c>
      <c r="BB1079">
        <v>1331</v>
      </c>
      <c r="BC1079">
        <v>1342</v>
      </c>
      <c r="BD1079" t="s">
        <v>74</v>
      </c>
      <c r="BE1079" t="s">
        <v>5086</v>
      </c>
      <c r="BF1079" t="str">
        <f>HYPERLINK("http://dx.doi.org/10.1093/beheco/arw050","http://dx.doi.org/10.1093/beheco/arw050")</f>
        <v>http://dx.doi.org/10.1093/beheco/arw050</v>
      </c>
      <c r="BG1079" t="s">
        <v>74</v>
      </c>
      <c r="BH1079" t="s">
        <v>74</v>
      </c>
      <c r="BI1079" t="s">
        <v>74</v>
      </c>
      <c r="BJ1079" t="s">
        <v>74</v>
      </c>
      <c r="BK1079" t="s">
        <v>74</v>
      </c>
      <c r="BL1079" t="s">
        <v>74</v>
      </c>
      <c r="BM1079" t="s">
        <v>74</v>
      </c>
      <c r="BN1079" t="s">
        <v>74</v>
      </c>
      <c r="BO1079" t="s">
        <v>74</v>
      </c>
      <c r="BP1079" t="s">
        <v>74</v>
      </c>
      <c r="BQ1079" t="s">
        <v>74</v>
      </c>
      <c r="BR1079" t="s">
        <v>74</v>
      </c>
      <c r="BS1079" t="s">
        <v>5087</v>
      </c>
      <c r="BT1079" t="str">
        <f>HYPERLINK("https%3A%2F%2Fwww.webofscience.com%2Fwos%2Fwoscc%2Ffull-record%2FWOS:000384650600013","View Full Record in Web of Science")</f>
        <v>View Full Record in Web of Science</v>
      </c>
    </row>
    <row r="1080" spans="1:72" x14ac:dyDescent="0.4">
      <c r="A1080" t="s">
        <v>72</v>
      </c>
      <c r="B1080" t="s">
        <v>4196</v>
      </c>
      <c r="C1080" t="s">
        <v>74</v>
      </c>
      <c r="D1080" t="s">
        <v>74</v>
      </c>
      <c r="E1080" t="s">
        <v>74</v>
      </c>
      <c r="F1080" t="s">
        <v>4197</v>
      </c>
      <c r="G1080" t="s">
        <v>74</v>
      </c>
      <c r="H1080" t="s">
        <v>74</v>
      </c>
      <c r="I1080" t="s">
        <v>4198</v>
      </c>
      <c r="J1080" t="s">
        <v>763</v>
      </c>
      <c r="K1080" t="s">
        <v>74</v>
      </c>
      <c r="L1080" t="s">
        <v>74</v>
      </c>
      <c r="M1080" t="s">
        <v>74</v>
      </c>
      <c r="N1080" t="s">
        <v>74</v>
      </c>
      <c r="O1080" t="s">
        <v>74</v>
      </c>
      <c r="P1080" t="s">
        <v>74</v>
      </c>
      <c r="Q1080" t="s">
        <v>74</v>
      </c>
      <c r="R1080" t="s">
        <v>74</v>
      </c>
      <c r="S1080" t="s">
        <v>74</v>
      </c>
      <c r="T1080" t="s">
        <v>74</v>
      </c>
      <c r="U1080" t="s">
        <v>74</v>
      </c>
      <c r="V1080" s="3" t="s">
        <v>4199</v>
      </c>
      <c r="W1080" t="s">
        <v>74</v>
      </c>
      <c r="X1080" t="s">
        <v>74</v>
      </c>
      <c r="Y1080" t="s">
        <v>74</v>
      </c>
      <c r="Z1080" t="s">
        <v>74</v>
      </c>
      <c r="AA1080" t="s">
        <v>74</v>
      </c>
      <c r="AB1080" t="s">
        <v>4200</v>
      </c>
      <c r="AC1080" t="s">
        <v>74</v>
      </c>
      <c r="AD1080" t="s">
        <v>74</v>
      </c>
      <c r="AE1080" t="s">
        <v>74</v>
      </c>
      <c r="AF1080" t="s">
        <v>74</v>
      </c>
      <c r="AG1080" t="s">
        <v>74</v>
      </c>
      <c r="AH1080" t="s">
        <v>74</v>
      </c>
      <c r="AI1080" t="s">
        <v>74</v>
      </c>
      <c r="AJ1080" t="s">
        <v>74</v>
      </c>
      <c r="AK1080" t="s">
        <v>74</v>
      </c>
      <c r="AL1080" t="s">
        <v>74</v>
      </c>
      <c r="AM1080" t="s">
        <v>74</v>
      </c>
      <c r="AN1080" t="s">
        <v>74</v>
      </c>
      <c r="AO1080" t="s">
        <v>767</v>
      </c>
      <c r="AP1080" t="s">
        <v>768</v>
      </c>
      <c r="AQ1080" t="s">
        <v>74</v>
      </c>
      <c r="AR1080" t="s">
        <v>74</v>
      </c>
      <c r="AS1080" t="s">
        <v>74</v>
      </c>
      <c r="AT1080" t="s">
        <v>145</v>
      </c>
      <c r="AU1080">
        <v>2020</v>
      </c>
      <c r="AV1080">
        <v>223</v>
      </c>
      <c r="AW1080">
        <v>16</v>
      </c>
      <c r="AX1080" t="s">
        <v>74</v>
      </c>
      <c r="AY1080" t="s">
        <v>74</v>
      </c>
      <c r="AZ1080" t="s">
        <v>74</v>
      </c>
      <c r="BA1080" t="s">
        <v>74</v>
      </c>
      <c r="BB1080" t="s">
        <v>74</v>
      </c>
      <c r="BC1080" t="s">
        <v>74</v>
      </c>
      <c r="BD1080" t="s">
        <v>4201</v>
      </c>
      <c r="BE1080" t="s">
        <v>4202</v>
      </c>
      <c r="BF1080" t="str">
        <f>HYPERLINK("http://dx.doi.org/10.1242/jeb.226340","http://dx.doi.org/10.1242/jeb.226340")</f>
        <v>http://dx.doi.org/10.1242/jeb.226340</v>
      </c>
      <c r="BG1080" t="s">
        <v>74</v>
      </c>
      <c r="BH1080" t="s">
        <v>74</v>
      </c>
      <c r="BI1080" t="s">
        <v>74</v>
      </c>
      <c r="BJ1080" t="s">
        <v>74</v>
      </c>
      <c r="BK1080" t="s">
        <v>74</v>
      </c>
      <c r="BL1080" t="s">
        <v>74</v>
      </c>
      <c r="BM1080" t="s">
        <v>74</v>
      </c>
      <c r="BN1080">
        <v>32748795</v>
      </c>
      <c r="BO1080" t="s">
        <v>74</v>
      </c>
      <c r="BP1080" t="s">
        <v>74</v>
      </c>
      <c r="BQ1080" t="s">
        <v>74</v>
      </c>
      <c r="BR1080" t="s">
        <v>74</v>
      </c>
      <c r="BS1080" t="s">
        <v>4203</v>
      </c>
      <c r="BT1080" t="str">
        <f>HYPERLINK("https%3A%2F%2Fwww.webofscience.com%2Fwos%2Fwoscc%2Ffull-record%2FWOS:000576694400015","View Full Record in Web of Science")</f>
        <v>View Full Record in Web of Science</v>
      </c>
    </row>
    <row r="1081" spans="1:72" x14ac:dyDescent="0.4">
      <c r="A1081" t="s">
        <v>72</v>
      </c>
      <c r="B1081" t="s">
        <v>2114</v>
      </c>
      <c r="C1081" t="s">
        <v>74</v>
      </c>
      <c r="D1081" t="s">
        <v>74</v>
      </c>
      <c r="E1081" t="s">
        <v>74</v>
      </c>
      <c r="F1081" t="s">
        <v>2114</v>
      </c>
      <c r="G1081" t="s">
        <v>74</v>
      </c>
      <c r="H1081" t="s">
        <v>74</v>
      </c>
      <c r="I1081" t="s">
        <v>2115</v>
      </c>
      <c r="J1081" t="s">
        <v>2116</v>
      </c>
      <c r="K1081" t="s">
        <v>74</v>
      </c>
      <c r="L1081" t="s">
        <v>74</v>
      </c>
      <c r="M1081" t="s">
        <v>74</v>
      </c>
      <c r="N1081" t="s">
        <v>74</v>
      </c>
      <c r="O1081" t="s">
        <v>74</v>
      </c>
      <c r="P1081" t="s">
        <v>74</v>
      </c>
      <c r="Q1081" t="s">
        <v>74</v>
      </c>
      <c r="R1081" t="s">
        <v>74</v>
      </c>
      <c r="S1081" t="s">
        <v>74</v>
      </c>
      <c r="T1081" t="s">
        <v>74</v>
      </c>
      <c r="U1081" t="s">
        <v>74</v>
      </c>
      <c r="V1081" s="3" t="s">
        <v>2117</v>
      </c>
      <c r="W1081" t="s">
        <v>74</v>
      </c>
      <c r="X1081" t="s">
        <v>74</v>
      </c>
      <c r="Y1081" t="s">
        <v>74</v>
      </c>
      <c r="Z1081" t="s">
        <v>74</v>
      </c>
      <c r="AA1081" t="s">
        <v>74</v>
      </c>
      <c r="AB1081" t="s">
        <v>74</v>
      </c>
      <c r="AC1081" t="s">
        <v>74</v>
      </c>
      <c r="AD1081" t="s">
        <v>74</v>
      </c>
      <c r="AE1081" t="s">
        <v>74</v>
      </c>
      <c r="AF1081" t="s">
        <v>74</v>
      </c>
      <c r="AG1081" t="s">
        <v>74</v>
      </c>
      <c r="AH1081" t="s">
        <v>74</v>
      </c>
      <c r="AI1081" t="s">
        <v>74</v>
      </c>
      <c r="AJ1081" t="s">
        <v>74</v>
      </c>
      <c r="AK1081" t="s">
        <v>74</v>
      </c>
      <c r="AL1081" t="s">
        <v>74</v>
      </c>
      <c r="AM1081" t="s">
        <v>74</v>
      </c>
      <c r="AN1081" t="s">
        <v>74</v>
      </c>
      <c r="AO1081" t="s">
        <v>2118</v>
      </c>
      <c r="AP1081" t="s">
        <v>2119</v>
      </c>
      <c r="AQ1081" t="s">
        <v>74</v>
      </c>
      <c r="AR1081" t="s">
        <v>74</v>
      </c>
      <c r="AS1081" t="s">
        <v>74</v>
      </c>
      <c r="AT1081" t="s">
        <v>74</v>
      </c>
      <c r="AU1081">
        <v>1976</v>
      </c>
      <c r="AV1081">
        <v>11</v>
      </c>
      <c r="AW1081">
        <v>4</v>
      </c>
      <c r="AX1081" t="s">
        <v>74</v>
      </c>
      <c r="AY1081" t="s">
        <v>74</v>
      </c>
      <c r="AZ1081" t="s">
        <v>74</v>
      </c>
      <c r="BA1081" t="s">
        <v>74</v>
      </c>
      <c r="BB1081">
        <v>302</v>
      </c>
      <c r="BC1081">
        <v>311</v>
      </c>
      <c r="BD1081" t="s">
        <v>74</v>
      </c>
      <c r="BE1081" t="s">
        <v>74</v>
      </c>
      <c r="BF1081" t="s">
        <v>74</v>
      </c>
      <c r="BG1081" t="s">
        <v>74</v>
      </c>
      <c r="BH1081" t="s">
        <v>74</v>
      </c>
      <c r="BI1081" t="s">
        <v>74</v>
      </c>
      <c r="BJ1081" t="s">
        <v>74</v>
      </c>
      <c r="BK1081" t="s">
        <v>74</v>
      </c>
      <c r="BL1081" t="s">
        <v>74</v>
      </c>
      <c r="BM1081" t="s">
        <v>74</v>
      </c>
      <c r="BN1081" t="s">
        <v>74</v>
      </c>
      <c r="BO1081" t="s">
        <v>74</v>
      </c>
      <c r="BP1081" t="s">
        <v>74</v>
      </c>
      <c r="BQ1081" t="s">
        <v>74</v>
      </c>
      <c r="BR1081" t="s">
        <v>74</v>
      </c>
      <c r="BS1081" t="s">
        <v>2120</v>
      </c>
      <c r="BT1081" t="str">
        <f>HYPERLINK("https%3A%2F%2Fwww.webofscience.com%2Fwos%2Fwoscc%2Ffull-record%2FWOS:A1976CY45000005","View Full Record in Web of Science")</f>
        <v>View Full Record in Web of Science</v>
      </c>
    </row>
    <row r="1082" spans="1:72" x14ac:dyDescent="0.4">
      <c r="A1082" t="s">
        <v>72</v>
      </c>
      <c r="B1082" t="s">
        <v>1188</v>
      </c>
      <c r="C1082" t="s">
        <v>74</v>
      </c>
      <c r="D1082" t="s">
        <v>74</v>
      </c>
      <c r="E1082" t="s">
        <v>74</v>
      </c>
      <c r="F1082" t="s">
        <v>1189</v>
      </c>
      <c r="G1082" t="s">
        <v>74</v>
      </c>
      <c r="H1082" t="s">
        <v>74</v>
      </c>
      <c r="I1082" t="s">
        <v>1190</v>
      </c>
      <c r="J1082" t="s">
        <v>201</v>
      </c>
      <c r="K1082" t="s">
        <v>74</v>
      </c>
      <c r="L1082" t="s">
        <v>74</v>
      </c>
      <c r="M1082" t="s">
        <v>74</v>
      </c>
      <c r="N1082" t="s">
        <v>74</v>
      </c>
      <c r="O1082" t="s">
        <v>74</v>
      </c>
      <c r="P1082" t="s">
        <v>74</v>
      </c>
      <c r="Q1082" t="s">
        <v>74</v>
      </c>
      <c r="R1082" t="s">
        <v>74</v>
      </c>
      <c r="S1082" t="s">
        <v>74</v>
      </c>
      <c r="T1082" t="s">
        <v>74</v>
      </c>
      <c r="U1082" t="s">
        <v>74</v>
      </c>
      <c r="V1082" s="3" t="s">
        <v>1191</v>
      </c>
      <c r="W1082" t="s">
        <v>74</v>
      </c>
      <c r="X1082" t="s">
        <v>74</v>
      </c>
      <c r="Y1082" t="s">
        <v>74</v>
      </c>
      <c r="Z1082" t="s">
        <v>74</v>
      </c>
      <c r="AA1082" t="s">
        <v>74</v>
      </c>
      <c r="AB1082" t="s">
        <v>74</v>
      </c>
      <c r="AC1082" t="s">
        <v>74</v>
      </c>
      <c r="AD1082" t="s">
        <v>74</v>
      </c>
      <c r="AE1082" t="s">
        <v>74</v>
      </c>
      <c r="AF1082" t="s">
        <v>74</v>
      </c>
      <c r="AG1082" t="s">
        <v>74</v>
      </c>
      <c r="AH1082" t="s">
        <v>74</v>
      </c>
      <c r="AI1082" t="s">
        <v>74</v>
      </c>
      <c r="AJ1082" t="s">
        <v>74</v>
      </c>
      <c r="AK1082" t="s">
        <v>74</v>
      </c>
      <c r="AL1082" t="s">
        <v>74</v>
      </c>
      <c r="AM1082" t="s">
        <v>74</v>
      </c>
      <c r="AN1082" t="s">
        <v>74</v>
      </c>
      <c r="AO1082" t="s">
        <v>203</v>
      </c>
      <c r="AP1082" t="s">
        <v>1192</v>
      </c>
      <c r="AQ1082" t="s">
        <v>74</v>
      </c>
      <c r="AR1082" t="s">
        <v>74</v>
      </c>
      <c r="AS1082" t="s">
        <v>74</v>
      </c>
      <c r="AT1082" t="s">
        <v>134</v>
      </c>
      <c r="AU1082">
        <v>2009</v>
      </c>
      <c r="AV1082">
        <v>74</v>
      </c>
      <c r="AW1082">
        <v>8</v>
      </c>
      <c r="AX1082" t="s">
        <v>74</v>
      </c>
      <c r="AY1082" t="s">
        <v>74</v>
      </c>
      <c r="AZ1082" t="s">
        <v>74</v>
      </c>
      <c r="BA1082" t="s">
        <v>74</v>
      </c>
      <c r="BB1082">
        <v>1804</v>
      </c>
      <c r="BC1082">
        <v>1815</v>
      </c>
      <c r="BD1082" t="s">
        <v>74</v>
      </c>
      <c r="BE1082" t="s">
        <v>1193</v>
      </c>
      <c r="BF1082" t="str">
        <f>HYPERLINK("http://dx.doi.org/10.1111/j.1095-8649.2009.02256.x","http://dx.doi.org/10.1111/j.1095-8649.2009.02256.x")</f>
        <v>http://dx.doi.org/10.1111/j.1095-8649.2009.02256.x</v>
      </c>
      <c r="BG1082" t="s">
        <v>74</v>
      </c>
      <c r="BH1082" t="s">
        <v>74</v>
      </c>
      <c r="BI1082" t="s">
        <v>74</v>
      </c>
      <c r="BJ1082" t="s">
        <v>74</v>
      </c>
      <c r="BK1082" t="s">
        <v>74</v>
      </c>
      <c r="BL1082" t="s">
        <v>74</v>
      </c>
      <c r="BM1082" t="s">
        <v>74</v>
      </c>
      <c r="BN1082">
        <v>20735672</v>
      </c>
      <c r="BO1082" t="s">
        <v>74</v>
      </c>
      <c r="BP1082" t="s">
        <v>74</v>
      </c>
      <c r="BQ1082" t="s">
        <v>74</v>
      </c>
      <c r="BR1082" t="s">
        <v>74</v>
      </c>
      <c r="BS1082" t="s">
        <v>1194</v>
      </c>
      <c r="BT1082" t="str">
        <f>HYPERLINK("https%3A%2F%2Fwww.webofscience.com%2Fwos%2Fwoscc%2Ffull-record%2FWOS:000266243100006","View Full Record in Web of Science")</f>
        <v>View Full Record in Web of Science</v>
      </c>
    </row>
    <row r="1083" spans="1:72" x14ac:dyDescent="0.4">
      <c r="A1083" t="s">
        <v>72</v>
      </c>
      <c r="B1083" t="s">
        <v>3167</v>
      </c>
      <c r="C1083" t="s">
        <v>74</v>
      </c>
      <c r="D1083" t="s">
        <v>74</v>
      </c>
      <c r="E1083" t="s">
        <v>74</v>
      </c>
      <c r="F1083" t="s">
        <v>3168</v>
      </c>
      <c r="G1083" t="s">
        <v>74</v>
      </c>
      <c r="H1083" t="s">
        <v>74</v>
      </c>
      <c r="I1083" t="s">
        <v>3169</v>
      </c>
      <c r="J1083" t="s">
        <v>3170</v>
      </c>
      <c r="K1083" t="s">
        <v>74</v>
      </c>
      <c r="L1083" t="s">
        <v>74</v>
      </c>
      <c r="M1083" t="s">
        <v>74</v>
      </c>
      <c r="N1083" t="s">
        <v>74</v>
      </c>
      <c r="O1083" t="s">
        <v>74</v>
      </c>
      <c r="P1083" t="s">
        <v>74</v>
      </c>
      <c r="Q1083" t="s">
        <v>74</v>
      </c>
      <c r="R1083" t="s">
        <v>74</v>
      </c>
      <c r="S1083" t="s">
        <v>74</v>
      </c>
      <c r="T1083" t="s">
        <v>74</v>
      </c>
      <c r="U1083" t="s">
        <v>74</v>
      </c>
      <c r="V1083" s="3" t="s">
        <v>3171</v>
      </c>
      <c r="W1083" t="s">
        <v>74</v>
      </c>
      <c r="X1083" t="s">
        <v>74</v>
      </c>
      <c r="Y1083" t="s">
        <v>74</v>
      </c>
      <c r="Z1083" t="s">
        <v>74</v>
      </c>
      <c r="AA1083" t="s">
        <v>3172</v>
      </c>
      <c r="AB1083" t="s">
        <v>3173</v>
      </c>
      <c r="AC1083" t="s">
        <v>74</v>
      </c>
      <c r="AD1083" t="s">
        <v>74</v>
      </c>
      <c r="AE1083" t="s">
        <v>74</v>
      </c>
      <c r="AF1083" t="s">
        <v>74</v>
      </c>
      <c r="AG1083" t="s">
        <v>74</v>
      </c>
      <c r="AH1083" t="s">
        <v>74</v>
      </c>
      <c r="AI1083" t="s">
        <v>74</v>
      </c>
      <c r="AJ1083" t="s">
        <v>74</v>
      </c>
      <c r="AK1083" t="s">
        <v>74</v>
      </c>
      <c r="AL1083" t="s">
        <v>74</v>
      </c>
      <c r="AM1083" t="s">
        <v>74</v>
      </c>
      <c r="AN1083" t="s">
        <v>74</v>
      </c>
      <c r="AO1083" t="s">
        <v>3174</v>
      </c>
      <c r="AP1083" t="s">
        <v>3175</v>
      </c>
      <c r="AQ1083" t="s">
        <v>74</v>
      </c>
      <c r="AR1083" t="s">
        <v>74</v>
      </c>
      <c r="AS1083" t="s">
        <v>74</v>
      </c>
      <c r="AT1083" t="s">
        <v>145</v>
      </c>
      <c r="AU1083">
        <v>2021</v>
      </c>
      <c r="AV1083">
        <v>38</v>
      </c>
      <c r="AW1083">
        <v>8</v>
      </c>
      <c r="AX1083" t="s">
        <v>74</v>
      </c>
      <c r="AY1083" t="s">
        <v>74</v>
      </c>
      <c r="AZ1083" t="s">
        <v>74</v>
      </c>
      <c r="BA1083" t="s">
        <v>74</v>
      </c>
      <c r="BB1083">
        <v>3383</v>
      </c>
      <c r="BC1083">
        <v>3396</v>
      </c>
      <c r="BD1083" t="s">
        <v>74</v>
      </c>
      <c r="BE1083" t="s">
        <v>3176</v>
      </c>
      <c r="BF1083" t="str">
        <f>HYPERLINK("http://dx.doi.org/10.1093/molbev/msab110","http://dx.doi.org/10.1093/molbev/msab110")</f>
        <v>http://dx.doi.org/10.1093/molbev/msab110</v>
      </c>
      <c r="BG1083" t="s">
        <v>74</v>
      </c>
      <c r="BH1083" t="s">
        <v>1051</v>
      </c>
      <c r="BI1083" t="s">
        <v>74</v>
      </c>
      <c r="BJ1083" t="s">
        <v>74</v>
      </c>
      <c r="BK1083" t="s">
        <v>74</v>
      </c>
      <c r="BL1083" t="s">
        <v>74</v>
      </c>
      <c r="BM1083" t="s">
        <v>74</v>
      </c>
      <c r="BN1083">
        <v>33871625</v>
      </c>
      <c r="BO1083" t="s">
        <v>74</v>
      </c>
      <c r="BP1083" t="s">
        <v>74</v>
      </c>
      <c r="BQ1083" t="s">
        <v>74</v>
      </c>
      <c r="BR1083" t="s">
        <v>74</v>
      </c>
      <c r="BS1083" t="s">
        <v>3177</v>
      </c>
      <c r="BT1083" t="str">
        <f>HYPERLINK("https%3A%2F%2Fwww.webofscience.com%2Fwos%2Fwoscc%2Ffull-record%2FWOS:000693740300024","View Full Record in Web of Science")</f>
        <v>View Full Record in Web of Science</v>
      </c>
    </row>
    <row r="1084" spans="1:72" x14ac:dyDescent="0.4">
      <c r="A1084" t="s">
        <v>72</v>
      </c>
      <c r="B1084" t="s">
        <v>2054</v>
      </c>
      <c r="C1084" t="s">
        <v>74</v>
      </c>
      <c r="D1084" t="s">
        <v>74</v>
      </c>
      <c r="E1084" t="s">
        <v>74</v>
      </c>
      <c r="F1084" t="s">
        <v>2055</v>
      </c>
      <c r="G1084" t="s">
        <v>74</v>
      </c>
      <c r="H1084" t="s">
        <v>74</v>
      </c>
      <c r="I1084" t="s">
        <v>2056</v>
      </c>
      <c r="J1084" t="s">
        <v>77</v>
      </c>
      <c r="K1084" t="s">
        <v>74</v>
      </c>
      <c r="L1084" t="s">
        <v>74</v>
      </c>
      <c r="M1084" t="s">
        <v>74</v>
      </c>
      <c r="N1084" t="s">
        <v>74</v>
      </c>
      <c r="O1084" t="s">
        <v>74</v>
      </c>
      <c r="P1084" t="s">
        <v>74</v>
      </c>
      <c r="Q1084" t="s">
        <v>74</v>
      </c>
      <c r="R1084" t="s">
        <v>74</v>
      </c>
      <c r="S1084" t="s">
        <v>74</v>
      </c>
      <c r="T1084" t="s">
        <v>74</v>
      </c>
      <c r="U1084" t="s">
        <v>74</v>
      </c>
      <c r="V1084" s="3" t="s">
        <v>2057</v>
      </c>
      <c r="W1084" t="s">
        <v>74</v>
      </c>
      <c r="X1084" t="s">
        <v>74</v>
      </c>
      <c r="Y1084" t="s">
        <v>74</v>
      </c>
      <c r="Z1084" t="s">
        <v>74</v>
      </c>
      <c r="AA1084" t="s">
        <v>2058</v>
      </c>
      <c r="AB1084" t="s">
        <v>1610</v>
      </c>
      <c r="AC1084" t="s">
        <v>74</v>
      </c>
      <c r="AD1084" t="s">
        <v>74</v>
      </c>
      <c r="AE1084" t="s">
        <v>74</v>
      </c>
      <c r="AF1084" t="s">
        <v>74</v>
      </c>
      <c r="AG1084" t="s">
        <v>74</v>
      </c>
      <c r="AH1084" t="s">
        <v>74</v>
      </c>
      <c r="AI1084" t="s">
        <v>74</v>
      </c>
      <c r="AJ1084" t="s">
        <v>74</v>
      </c>
      <c r="AK1084" t="s">
        <v>74</v>
      </c>
      <c r="AL1084" t="s">
        <v>74</v>
      </c>
      <c r="AM1084" t="s">
        <v>74</v>
      </c>
      <c r="AN1084" t="s">
        <v>74</v>
      </c>
      <c r="AO1084" t="s">
        <v>81</v>
      </c>
      <c r="AP1084" t="s">
        <v>74</v>
      </c>
      <c r="AQ1084" t="s">
        <v>74</v>
      </c>
      <c r="AR1084" t="s">
        <v>74</v>
      </c>
      <c r="AS1084" t="s">
        <v>74</v>
      </c>
      <c r="AT1084" t="s">
        <v>74</v>
      </c>
      <c r="AU1084">
        <v>2013</v>
      </c>
      <c r="AV1084">
        <v>150</v>
      </c>
      <c r="AW1084">
        <v>2</v>
      </c>
      <c r="AX1084" t="s">
        <v>74</v>
      </c>
      <c r="AY1084" t="s">
        <v>74</v>
      </c>
      <c r="AZ1084" t="s">
        <v>74</v>
      </c>
      <c r="BA1084" t="s">
        <v>74</v>
      </c>
      <c r="BB1084">
        <v>215</v>
      </c>
      <c r="BC1084">
        <v>223</v>
      </c>
      <c r="BD1084" t="s">
        <v>74</v>
      </c>
      <c r="BE1084" t="s">
        <v>2059</v>
      </c>
      <c r="BF1084" t="str">
        <f>HYPERLINK("http://dx.doi.org/10.1163/1568539X-00003046","http://dx.doi.org/10.1163/1568539X-00003046")</f>
        <v>http://dx.doi.org/10.1163/1568539X-00003046</v>
      </c>
      <c r="BG1084" t="s">
        <v>74</v>
      </c>
      <c r="BH1084" t="s">
        <v>74</v>
      </c>
      <c r="BI1084" t="s">
        <v>74</v>
      </c>
      <c r="BJ1084" t="s">
        <v>74</v>
      </c>
      <c r="BK1084" t="s">
        <v>74</v>
      </c>
      <c r="BL1084" t="s">
        <v>74</v>
      </c>
      <c r="BM1084" t="s">
        <v>74</v>
      </c>
      <c r="BN1084" t="s">
        <v>74</v>
      </c>
      <c r="BO1084" t="s">
        <v>74</v>
      </c>
      <c r="BP1084" t="s">
        <v>74</v>
      </c>
      <c r="BQ1084" t="s">
        <v>74</v>
      </c>
      <c r="BR1084" t="s">
        <v>74</v>
      </c>
      <c r="BS1084" t="s">
        <v>2060</v>
      </c>
      <c r="BT1084" t="str">
        <f>HYPERLINK("https%3A%2F%2Fwww.webofscience.com%2Fwos%2Fwoscc%2Ffull-record%2FWOS:000318051100006","View Full Record in Web of Science")</f>
        <v>View Full Record in Web of Science</v>
      </c>
    </row>
    <row r="1085" spans="1:72" x14ac:dyDescent="0.4">
      <c r="A1085" t="s">
        <v>72</v>
      </c>
      <c r="B1085" t="s">
        <v>1753</v>
      </c>
      <c r="C1085" t="s">
        <v>74</v>
      </c>
      <c r="D1085" t="s">
        <v>74</v>
      </c>
      <c r="E1085" t="s">
        <v>74</v>
      </c>
      <c r="F1085" t="s">
        <v>1753</v>
      </c>
      <c r="G1085" t="s">
        <v>74</v>
      </c>
      <c r="H1085" t="s">
        <v>74</v>
      </c>
      <c r="I1085" t="s">
        <v>1754</v>
      </c>
      <c r="J1085" t="s">
        <v>1755</v>
      </c>
      <c r="K1085" t="s">
        <v>74</v>
      </c>
      <c r="L1085" t="s">
        <v>74</v>
      </c>
      <c r="M1085" t="s">
        <v>74</v>
      </c>
      <c r="N1085" t="s">
        <v>74</v>
      </c>
      <c r="O1085" t="s">
        <v>74</v>
      </c>
      <c r="P1085" t="s">
        <v>74</v>
      </c>
      <c r="Q1085" t="s">
        <v>74</v>
      </c>
      <c r="R1085" t="s">
        <v>74</v>
      </c>
      <c r="S1085" t="s">
        <v>74</v>
      </c>
      <c r="T1085" t="s">
        <v>74</v>
      </c>
      <c r="U1085" t="s">
        <v>74</v>
      </c>
      <c r="V1085" s="3" t="s">
        <v>1756</v>
      </c>
      <c r="W1085" t="s">
        <v>74</v>
      </c>
      <c r="X1085" t="s">
        <v>74</v>
      </c>
      <c r="Y1085" t="s">
        <v>74</v>
      </c>
      <c r="Z1085" t="s">
        <v>74</v>
      </c>
      <c r="AA1085" t="s">
        <v>1757</v>
      </c>
      <c r="AB1085" t="s">
        <v>1758</v>
      </c>
      <c r="AC1085" t="s">
        <v>74</v>
      </c>
      <c r="AD1085" t="s">
        <v>74</v>
      </c>
      <c r="AE1085" t="s">
        <v>74</v>
      </c>
      <c r="AF1085" t="s">
        <v>74</v>
      </c>
      <c r="AG1085" t="s">
        <v>74</v>
      </c>
      <c r="AH1085" t="s">
        <v>74</v>
      </c>
      <c r="AI1085" t="s">
        <v>74</v>
      </c>
      <c r="AJ1085" t="s">
        <v>74</v>
      </c>
      <c r="AK1085" t="s">
        <v>74</v>
      </c>
      <c r="AL1085" t="s">
        <v>74</v>
      </c>
      <c r="AM1085" t="s">
        <v>74</v>
      </c>
      <c r="AN1085" t="s">
        <v>74</v>
      </c>
      <c r="AO1085" t="s">
        <v>1759</v>
      </c>
      <c r="AP1085" t="s">
        <v>1760</v>
      </c>
      <c r="AQ1085" t="s">
        <v>74</v>
      </c>
      <c r="AR1085" t="s">
        <v>74</v>
      </c>
      <c r="AS1085" t="s">
        <v>74</v>
      </c>
      <c r="AT1085" t="s">
        <v>352</v>
      </c>
      <c r="AU1085">
        <v>2002</v>
      </c>
      <c r="AV1085">
        <v>15</v>
      </c>
      <c r="AW1085">
        <v>5</v>
      </c>
      <c r="AX1085" t="s">
        <v>74</v>
      </c>
      <c r="AY1085" t="s">
        <v>74</v>
      </c>
      <c r="AZ1085" t="s">
        <v>74</v>
      </c>
      <c r="BA1085" t="s">
        <v>74</v>
      </c>
      <c r="BB1085">
        <v>675</v>
      </c>
      <c r="BC1085">
        <v>687</v>
      </c>
      <c r="BD1085" t="s">
        <v>74</v>
      </c>
      <c r="BE1085" t="s">
        <v>1761</v>
      </c>
      <c r="BF1085" t="str">
        <f>HYPERLINK("http://dx.doi.org/10.1023/A:1020747907490","http://dx.doi.org/10.1023/A:1020747907490")</f>
        <v>http://dx.doi.org/10.1023/A:1020747907490</v>
      </c>
      <c r="BG1085" t="s">
        <v>74</v>
      </c>
      <c r="BH1085" t="s">
        <v>74</v>
      </c>
      <c r="BI1085" t="s">
        <v>74</v>
      </c>
      <c r="BJ1085" t="s">
        <v>74</v>
      </c>
      <c r="BK1085" t="s">
        <v>74</v>
      </c>
      <c r="BL1085" t="s">
        <v>74</v>
      </c>
      <c r="BM1085" t="s">
        <v>74</v>
      </c>
      <c r="BN1085" t="s">
        <v>74</v>
      </c>
      <c r="BO1085" t="s">
        <v>74</v>
      </c>
      <c r="BP1085" t="s">
        <v>74</v>
      </c>
      <c r="BQ1085" t="s">
        <v>74</v>
      </c>
      <c r="BR1085" t="s">
        <v>74</v>
      </c>
      <c r="BS1085" t="s">
        <v>1762</v>
      </c>
      <c r="BT1085" t="str">
        <f>HYPERLINK("https%3A%2F%2Fwww.webofscience.com%2Fwos%2Fwoscc%2Ffull-record%2FWOS:000178788900005","View Full Record in Web of Science")</f>
        <v>View Full Record in Web of Science</v>
      </c>
    </row>
    <row r="1086" spans="1:72" x14ac:dyDescent="0.4">
      <c r="A1086" t="s">
        <v>72</v>
      </c>
      <c r="B1086" t="s">
        <v>8222</v>
      </c>
      <c r="C1086" t="s">
        <v>74</v>
      </c>
      <c r="D1086" t="s">
        <v>74</v>
      </c>
      <c r="E1086" t="s">
        <v>74</v>
      </c>
      <c r="F1086" t="s">
        <v>8222</v>
      </c>
      <c r="G1086" t="s">
        <v>74</v>
      </c>
      <c r="H1086" t="s">
        <v>74</v>
      </c>
      <c r="I1086" t="s">
        <v>8223</v>
      </c>
      <c r="J1086" t="s">
        <v>140</v>
      </c>
      <c r="K1086" t="s">
        <v>74</v>
      </c>
      <c r="L1086" t="s">
        <v>74</v>
      </c>
      <c r="M1086" t="s">
        <v>74</v>
      </c>
      <c r="N1086" t="s">
        <v>74</v>
      </c>
      <c r="O1086" t="s">
        <v>74</v>
      </c>
      <c r="P1086" t="s">
        <v>74</v>
      </c>
      <c r="Q1086" t="s">
        <v>74</v>
      </c>
      <c r="R1086" t="s">
        <v>74</v>
      </c>
      <c r="S1086" t="s">
        <v>74</v>
      </c>
      <c r="T1086" t="s">
        <v>74</v>
      </c>
      <c r="U1086" t="s">
        <v>74</v>
      </c>
      <c r="V1086" s="3" t="s">
        <v>8224</v>
      </c>
      <c r="W1086" t="s">
        <v>74</v>
      </c>
      <c r="X1086" t="s">
        <v>74</v>
      </c>
      <c r="Y1086" t="s">
        <v>74</v>
      </c>
      <c r="Z1086" t="s">
        <v>74</v>
      </c>
      <c r="AA1086" t="s">
        <v>74</v>
      </c>
      <c r="AB1086" t="s">
        <v>74</v>
      </c>
      <c r="AC1086" t="s">
        <v>74</v>
      </c>
      <c r="AD1086" t="s">
        <v>74</v>
      </c>
      <c r="AE1086" t="s">
        <v>74</v>
      </c>
      <c r="AF1086" t="s">
        <v>74</v>
      </c>
      <c r="AG1086" t="s">
        <v>74</v>
      </c>
      <c r="AH1086" t="s">
        <v>74</v>
      </c>
      <c r="AI1086" t="s">
        <v>74</v>
      </c>
      <c r="AJ1086" t="s">
        <v>74</v>
      </c>
      <c r="AK1086" t="s">
        <v>74</v>
      </c>
      <c r="AL1086" t="s">
        <v>74</v>
      </c>
      <c r="AM1086" t="s">
        <v>74</v>
      </c>
      <c r="AN1086" t="s">
        <v>74</v>
      </c>
      <c r="AO1086" t="s">
        <v>143</v>
      </c>
      <c r="AP1086" t="s">
        <v>74</v>
      </c>
      <c r="AQ1086" t="s">
        <v>74</v>
      </c>
      <c r="AR1086" t="s">
        <v>74</v>
      </c>
      <c r="AS1086" t="s">
        <v>74</v>
      </c>
      <c r="AT1086" t="s">
        <v>145</v>
      </c>
      <c r="AU1086">
        <v>1996</v>
      </c>
      <c r="AV1086">
        <v>52</v>
      </c>
      <c r="AW1086" t="s">
        <v>74</v>
      </c>
      <c r="AX1086">
        <v>2</v>
      </c>
      <c r="AY1086" t="s">
        <v>74</v>
      </c>
      <c r="AZ1086" t="s">
        <v>74</v>
      </c>
      <c r="BA1086" t="s">
        <v>74</v>
      </c>
      <c r="BB1086">
        <v>371</v>
      </c>
      <c r="BC1086">
        <v>378</v>
      </c>
      <c r="BD1086" t="s">
        <v>74</v>
      </c>
      <c r="BE1086" t="s">
        <v>8225</v>
      </c>
      <c r="BF1086" t="str">
        <f>HYPERLINK("http://dx.doi.org/10.1006/anbe.1996.0181","http://dx.doi.org/10.1006/anbe.1996.0181")</f>
        <v>http://dx.doi.org/10.1006/anbe.1996.0181</v>
      </c>
      <c r="BG1086" t="s">
        <v>74</v>
      </c>
      <c r="BH1086" t="s">
        <v>74</v>
      </c>
      <c r="BI1086" t="s">
        <v>74</v>
      </c>
      <c r="BJ1086" t="s">
        <v>74</v>
      </c>
      <c r="BK1086" t="s">
        <v>74</v>
      </c>
      <c r="BL1086" t="s">
        <v>74</v>
      </c>
      <c r="BM1086" t="s">
        <v>74</v>
      </c>
      <c r="BN1086" t="s">
        <v>74</v>
      </c>
      <c r="BO1086" t="s">
        <v>74</v>
      </c>
      <c r="BP1086" t="s">
        <v>74</v>
      </c>
      <c r="BQ1086" t="s">
        <v>74</v>
      </c>
      <c r="BR1086" t="s">
        <v>74</v>
      </c>
      <c r="BS1086" t="s">
        <v>8226</v>
      </c>
      <c r="BT1086" t="str">
        <f>HYPERLINK("https%3A%2F%2Fwww.webofscience.com%2Fwos%2Fwoscc%2Ffull-record%2FWOS:A1996VH71700013","View Full Record in Web of Science")</f>
        <v>View Full Record in Web of Science</v>
      </c>
    </row>
    <row r="1087" spans="1:72" x14ac:dyDescent="0.4">
      <c r="A1087" t="s">
        <v>72</v>
      </c>
      <c r="B1087" t="s">
        <v>3466</v>
      </c>
      <c r="C1087" t="s">
        <v>74</v>
      </c>
      <c r="D1087" t="s">
        <v>74</v>
      </c>
      <c r="E1087" t="s">
        <v>74</v>
      </c>
      <c r="F1087" t="s">
        <v>3466</v>
      </c>
      <c r="G1087" t="s">
        <v>74</v>
      </c>
      <c r="H1087" t="s">
        <v>74</v>
      </c>
      <c r="I1087" t="s">
        <v>3467</v>
      </c>
      <c r="J1087" t="s">
        <v>77</v>
      </c>
      <c r="K1087" t="s">
        <v>74</v>
      </c>
      <c r="L1087" t="s">
        <v>74</v>
      </c>
      <c r="M1087" t="s">
        <v>74</v>
      </c>
      <c r="N1087" t="s">
        <v>74</v>
      </c>
      <c r="O1087" t="s">
        <v>74</v>
      </c>
      <c r="P1087" t="s">
        <v>74</v>
      </c>
      <c r="Q1087" t="s">
        <v>74</v>
      </c>
      <c r="R1087" t="s">
        <v>74</v>
      </c>
      <c r="S1087" t="s">
        <v>74</v>
      </c>
      <c r="T1087" t="s">
        <v>74</v>
      </c>
      <c r="U1087" t="s">
        <v>74</v>
      </c>
      <c r="V1087" s="3" t="s">
        <v>3468</v>
      </c>
      <c r="W1087" t="s">
        <v>74</v>
      </c>
      <c r="X1087" t="s">
        <v>74</v>
      </c>
      <c r="Y1087" t="s">
        <v>74</v>
      </c>
      <c r="Z1087" t="s">
        <v>74</v>
      </c>
      <c r="AA1087" t="s">
        <v>74</v>
      </c>
      <c r="AB1087" t="s">
        <v>74</v>
      </c>
      <c r="AC1087" t="s">
        <v>74</v>
      </c>
      <c r="AD1087" t="s">
        <v>74</v>
      </c>
      <c r="AE1087" t="s">
        <v>74</v>
      </c>
      <c r="AF1087" t="s">
        <v>74</v>
      </c>
      <c r="AG1087" t="s">
        <v>74</v>
      </c>
      <c r="AH1087" t="s">
        <v>74</v>
      </c>
      <c r="AI1087" t="s">
        <v>74</v>
      </c>
      <c r="AJ1087" t="s">
        <v>74</v>
      </c>
      <c r="AK1087" t="s">
        <v>74</v>
      </c>
      <c r="AL1087" t="s">
        <v>74</v>
      </c>
      <c r="AM1087" t="s">
        <v>74</v>
      </c>
      <c r="AN1087" t="s">
        <v>74</v>
      </c>
      <c r="AO1087" t="s">
        <v>81</v>
      </c>
      <c r="AP1087" t="s">
        <v>82</v>
      </c>
      <c r="AQ1087" t="s">
        <v>74</v>
      </c>
      <c r="AR1087" t="s">
        <v>74</v>
      </c>
      <c r="AS1087" t="s">
        <v>74</v>
      </c>
      <c r="AT1087" t="s">
        <v>255</v>
      </c>
      <c r="AU1087">
        <v>2006</v>
      </c>
      <c r="AV1087">
        <v>143</v>
      </c>
      <c r="AW1087" t="s">
        <v>74</v>
      </c>
      <c r="AX1087">
        <v>1</v>
      </c>
      <c r="AY1087" t="s">
        <v>74</v>
      </c>
      <c r="AZ1087" t="s">
        <v>74</v>
      </c>
      <c r="BA1087" t="s">
        <v>74</v>
      </c>
      <c r="BB1087">
        <v>33</v>
      </c>
      <c r="BC1087">
        <v>56</v>
      </c>
      <c r="BD1087" t="s">
        <v>74</v>
      </c>
      <c r="BE1087" t="s">
        <v>3469</v>
      </c>
      <c r="BF1087" t="str">
        <f>HYPERLINK("http://dx.doi.org/10.1163/156853906775133623","http://dx.doi.org/10.1163/156853906775133623")</f>
        <v>http://dx.doi.org/10.1163/156853906775133623</v>
      </c>
      <c r="BG1087" t="s">
        <v>74</v>
      </c>
      <c r="BH1087" t="s">
        <v>74</v>
      </c>
      <c r="BI1087" t="s">
        <v>74</v>
      </c>
      <c r="BJ1087" t="s">
        <v>74</v>
      </c>
      <c r="BK1087" t="s">
        <v>74</v>
      </c>
      <c r="BL1087" t="s">
        <v>74</v>
      </c>
      <c r="BM1087" t="s">
        <v>74</v>
      </c>
      <c r="BN1087" t="s">
        <v>74</v>
      </c>
      <c r="BO1087" t="s">
        <v>74</v>
      </c>
      <c r="BP1087" t="s">
        <v>74</v>
      </c>
      <c r="BQ1087" t="s">
        <v>74</v>
      </c>
      <c r="BR1087" t="s">
        <v>74</v>
      </c>
      <c r="BS1087" t="s">
        <v>3470</v>
      </c>
      <c r="BT1087" t="str">
        <f>HYPERLINK("https%3A%2F%2Fwww.webofscience.com%2Fwos%2Fwoscc%2Ffull-record%2FWOS:000235545400003","View Full Record in Web of Science")</f>
        <v>View Full Record in Web of Science</v>
      </c>
    </row>
    <row r="1088" spans="1:72" x14ac:dyDescent="0.4">
      <c r="A1088" t="s">
        <v>72</v>
      </c>
      <c r="B1088" t="s">
        <v>7876</v>
      </c>
      <c r="C1088" t="s">
        <v>74</v>
      </c>
      <c r="D1088" t="s">
        <v>74</v>
      </c>
      <c r="E1088" t="s">
        <v>74</v>
      </c>
      <c r="F1088" t="s">
        <v>7876</v>
      </c>
      <c r="G1088" t="s">
        <v>74</v>
      </c>
      <c r="H1088" t="s">
        <v>74</v>
      </c>
      <c r="I1088" t="s">
        <v>7877</v>
      </c>
      <c r="J1088" t="s">
        <v>171</v>
      </c>
      <c r="K1088" t="s">
        <v>74</v>
      </c>
      <c r="L1088" t="s">
        <v>74</v>
      </c>
      <c r="M1088" t="s">
        <v>74</v>
      </c>
      <c r="N1088" t="s">
        <v>74</v>
      </c>
      <c r="O1088" t="s">
        <v>74</v>
      </c>
      <c r="P1088" t="s">
        <v>74</v>
      </c>
      <c r="Q1088" t="s">
        <v>74</v>
      </c>
      <c r="R1088" t="s">
        <v>74</v>
      </c>
      <c r="S1088" t="s">
        <v>74</v>
      </c>
      <c r="T1088" t="s">
        <v>74</v>
      </c>
      <c r="U1088" t="s">
        <v>74</v>
      </c>
      <c r="V1088" s="3" t="s">
        <v>7878</v>
      </c>
      <c r="W1088" t="s">
        <v>74</v>
      </c>
      <c r="X1088" t="s">
        <v>74</v>
      </c>
      <c r="Y1088" t="s">
        <v>74</v>
      </c>
      <c r="Z1088" t="s">
        <v>74</v>
      </c>
      <c r="AA1088" t="s">
        <v>7879</v>
      </c>
      <c r="AB1088" t="s">
        <v>7880</v>
      </c>
      <c r="AC1088" t="s">
        <v>74</v>
      </c>
      <c r="AD1088" t="s">
        <v>74</v>
      </c>
      <c r="AE1088" t="s">
        <v>74</v>
      </c>
      <c r="AF1088" t="s">
        <v>74</v>
      </c>
      <c r="AG1088" t="s">
        <v>74</v>
      </c>
      <c r="AH1088" t="s">
        <v>74</v>
      </c>
      <c r="AI1088" t="s">
        <v>74</v>
      </c>
      <c r="AJ1088" t="s">
        <v>74</v>
      </c>
      <c r="AK1088" t="s">
        <v>74</v>
      </c>
      <c r="AL1088" t="s">
        <v>74</v>
      </c>
      <c r="AM1088" t="s">
        <v>74</v>
      </c>
      <c r="AN1088" t="s">
        <v>74</v>
      </c>
      <c r="AO1088" t="s">
        <v>173</v>
      </c>
      <c r="AP1088" t="s">
        <v>174</v>
      </c>
      <c r="AQ1088" t="s">
        <v>74</v>
      </c>
      <c r="AR1088" t="s">
        <v>74</v>
      </c>
      <c r="AS1088" t="s">
        <v>74</v>
      </c>
      <c r="AT1088" t="s">
        <v>175</v>
      </c>
      <c r="AU1088">
        <v>1992</v>
      </c>
      <c r="AV1088">
        <v>46</v>
      </c>
      <c r="AW1088">
        <v>5</v>
      </c>
      <c r="AX1088" t="s">
        <v>74</v>
      </c>
      <c r="AY1088" t="s">
        <v>74</v>
      </c>
      <c r="AZ1088" t="s">
        <v>74</v>
      </c>
      <c r="BA1088" t="s">
        <v>74</v>
      </c>
      <c r="BB1088">
        <v>1421</v>
      </c>
      <c r="BC1088">
        <v>1442</v>
      </c>
      <c r="BD1088" t="s">
        <v>74</v>
      </c>
      <c r="BE1088" t="s">
        <v>7881</v>
      </c>
      <c r="BF1088" t="str">
        <f>HYPERLINK("http://dx.doi.org/10.2307/2409947","http://dx.doi.org/10.2307/2409947")</f>
        <v>http://dx.doi.org/10.2307/2409947</v>
      </c>
      <c r="BG1088" t="s">
        <v>74</v>
      </c>
      <c r="BH1088" t="s">
        <v>74</v>
      </c>
      <c r="BI1088" t="s">
        <v>74</v>
      </c>
      <c r="BJ1088" t="s">
        <v>74</v>
      </c>
      <c r="BK1088" t="s">
        <v>74</v>
      </c>
      <c r="BL1088" t="s">
        <v>74</v>
      </c>
      <c r="BM1088" t="s">
        <v>74</v>
      </c>
      <c r="BN1088">
        <v>28569004</v>
      </c>
      <c r="BO1088" t="s">
        <v>74</v>
      </c>
      <c r="BP1088" t="s">
        <v>74</v>
      </c>
      <c r="BQ1088" t="s">
        <v>74</v>
      </c>
      <c r="BR1088" t="s">
        <v>74</v>
      </c>
      <c r="BS1088" t="s">
        <v>7882</v>
      </c>
      <c r="BT1088" t="str">
        <f>HYPERLINK("https%3A%2F%2Fwww.webofscience.com%2Fwos%2Fwoscc%2Ffull-record%2FWOS:A1992JV37100013","View Full Record in Web of Science")</f>
        <v>View Full Record in Web of Science</v>
      </c>
    </row>
    <row r="1089" spans="1:72" x14ac:dyDescent="0.4">
      <c r="A1089" t="s">
        <v>72</v>
      </c>
      <c r="B1089" t="s">
        <v>3853</v>
      </c>
      <c r="C1089" t="s">
        <v>74</v>
      </c>
      <c r="D1089" t="s">
        <v>74</v>
      </c>
      <c r="E1089" t="s">
        <v>74</v>
      </c>
      <c r="F1089" t="s">
        <v>3853</v>
      </c>
      <c r="G1089" t="s">
        <v>74</v>
      </c>
      <c r="H1089" t="s">
        <v>74</v>
      </c>
      <c r="I1089" t="s">
        <v>3854</v>
      </c>
      <c r="J1089" t="s">
        <v>3855</v>
      </c>
      <c r="K1089" t="s">
        <v>74</v>
      </c>
      <c r="L1089" t="s">
        <v>74</v>
      </c>
      <c r="M1089" t="s">
        <v>74</v>
      </c>
      <c r="N1089" t="s">
        <v>74</v>
      </c>
      <c r="O1089" t="s">
        <v>74</v>
      </c>
      <c r="P1089" t="s">
        <v>74</v>
      </c>
      <c r="Q1089" t="s">
        <v>74</v>
      </c>
      <c r="R1089" t="s">
        <v>74</v>
      </c>
      <c r="S1089" t="s">
        <v>74</v>
      </c>
      <c r="T1089" t="s">
        <v>74</v>
      </c>
      <c r="U1089" t="s">
        <v>74</v>
      </c>
      <c r="V1089" s="3" t="s">
        <v>3856</v>
      </c>
      <c r="W1089" t="s">
        <v>74</v>
      </c>
      <c r="X1089" t="s">
        <v>74</v>
      </c>
      <c r="Y1089" t="s">
        <v>74</v>
      </c>
      <c r="Z1089" t="s">
        <v>74</v>
      </c>
      <c r="AA1089" t="s">
        <v>74</v>
      </c>
      <c r="AB1089" t="s">
        <v>74</v>
      </c>
      <c r="AC1089" t="s">
        <v>74</v>
      </c>
      <c r="AD1089" t="s">
        <v>74</v>
      </c>
      <c r="AE1089" t="s">
        <v>74</v>
      </c>
      <c r="AF1089" t="s">
        <v>74</v>
      </c>
      <c r="AG1089" t="s">
        <v>74</v>
      </c>
      <c r="AH1089" t="s">
        <v>74</v>
      </c>
      <c r="AI1089" t="s">
        <v>74</v>
      </c>
      <c r="AJ1089" t="s">
        <v>74</v>
      </c>
      <c r="AK1089" t="s">
        <v>74</v>
      </c>
      <c r="AL1089" t="s">
        <v>74</v>
      </c>
      <c r="AM1089" t="s">
        <v>74</v>
      </c>
      <c r="AN1089" t="s">
        <v>74</v>
      </c>
      <c r="AO1089" t="s">
        <v>3857</v>
      </c>
      <c r="AP1089" t="s">
        <v>74</v>
      </c>
      <c r="AQ1089" t="s">
        <v>74</v>
      </c>
      <c r="AR1089" t="s">
        <v>74</v>
      </c>
      <c r="AS1089" t="s">
        <v>74</v>
      </c>
      <c r="AT1089" t="s">
        <v>213</v>
      </c>
      <c r="AU1089">
        <v>1991</v>
      </c>
      <c r="AV1089">
        <v>9</v>
      </c>
      <c r="AW1089" t="s">
        <v>548</v>
      </c>
      <c r="AX1089" t="s">
        <v>74</v>
      </c>
      <c r="AY1089" t="s">
        <v>74</v>
      </c>
      <c r="AZ1089" t="s">
        <v>74</v>
      </c>
      <c r="BA1089" t="s">
        <v>74</v>
      </c>
      <c r="BB1089">
        <v>20</v>
      </c>
      <c r="BC1089">
        <v>29</v>
      </c>
      <c r="BD1089" t="s">
        <v>74</v>
      </c>
      <c r="BE1089" t="s">
        <v>3858</v>
      </c>
      <c r="BF1089" t="str">
        <f>HYPERLINK("http://dx.doi.org/10.3727/015613890791749136","http://dx.doi.org/10.3727/015613890791749136")</f>
        <v>http://dx.doi.org/10.3727/015613890791749136</v>
      </c>
      <c r="BG1089" t="s">
        <v>74</v>
      </c>
      <c r="BH1089" t="s">
        <v>74</v>
      </c>
      <c r="BI1089" t="s">
        <v>74</v>
      </c>
      <c r="BJ1089" t="s">
        <v>74</v>
      </c>
      <c r="BK1089" t="s">
        <v>74</v>
      </c>
      <c r="BL1089" t="s">
        <v>74</v>
      </c>
      <c r="BM1089" t="s">
        <v>74</v>
      </c>
      <c r="BN1089" t="s">
        <v>74</v>
      </c>
      <c r="BO1089" t="s">
        <v>74</v>
      </c>
      <c r="BP1089" t="s">
        <v>74</v>
      </c>
      <c r="BQ1089" t="s">
        <v>74</v>
      </c>
      <c r="BR1089" t="s">
        <v>74</v>
      </c>
      <c r="BS1089" t="s">
        <v>3859</v>
      </c>
      <c r="BT1089" t="str">
        <f>HYPERLINK("https%3A%2F%2Fwww.webofscience.com%2Fwos%2Fwoscc%2Ffull-record%2FWOS:A1991HW66600004","View Full Record in Web of Science")</f>
        <v>View Full Record in Web of Science</v>
      </c>
    </row>
    <row r="1090" spans="1:72" x14ac:dyDescent="0.4">
      <c r="A1090" t="s">
        <v>72</v>
      </c>
      <c r="B1090" t="s">
        <v>5926</v>
      </c>
      <c r="C1090" t="s">
        <v>74</v>
      </c>
      <c r="D1090" t="s">
        <v>74</v>
      </c>
      <c r="E1090" t="s">
        <v>74</v>
      </c>
      <c r="F1090" t="s">
        <v>5927</v>
      </c>
      <c r="G1090" t="s">
        <v>74</v>
      </c>
      <c r="H1090" t="s">
        <v>74</v>
      </c>
      <c r="I1090" t="s">
        <v>5928</v>
      </c>
      <c r="J1090" t="s">
        <v>333</v>
      </c>
      <c r="K1090" t="s">
        <v>74</v>
      </c>
      <c r="L1090" t="s">
        <v>74</v>
      </c>
      <c r="M1090" t="s">
        <v>74</v>
      </c>
      <c r="N1090" t="s">
        <v>74</v>
      </c>
      <c r="O1090" t="s">
        <v>74</v>
      </c>
      <c r="P1090" t="s">
        <v>74</v>
      </c>
      <c r="Q1090" t="s">
        <v>74</v>
      </c>
      <c r="R1090" t="s">
        <v>74</v>
      </c>
      <c r="S1090" t="s">
        <v>74</v>
      </c>
      <c r="T1090" t="s">
        <v>74</v>
      </c>
      <c r="U1090" t="s">
        <v>74</v>
      </c>
      <c r="V1090" s="3" t="s">
        <v>5929</v>
      </c>
      <c r="W1090" t="s">
        <v>74</v>
      </c>
      <c r="X1090" t="s">
        <v>74</v>
      </c>
      <c r="Y1090" t="s">
        <v>74</v>
      </c>
      <c r="Z1090" t="s">
        <v>74</v>
      </c>
      <c r="AA1090" t="s">
        <v>5930</v>
      </c>
      <c r="AB1090" t="s">
        <v>5931</v>
      </c>
      <c r="AC1090" t="s">
        <v>74</v>
      </c>
      <c r="AD1090" t="s">
        <v>74</v>
      </c>
      <c r="AE1090" t="s">
        <v>74</v>
      </c>
      <c r="AF1090" t="s">
        <v>74</v>
      </c>
      <c r="AG1090" t="s">
        <v>74</v>
      </c>
      <c r="AH1090" t="s">
        <v>74</v>
      </c>
      <c r="AI1090" t="s">
        <v>74</v>
      </c>
      <c r="AJ1090" t="s">
        <v>74</v>
      </c>
      <c r="AK1090" t="s">
        <v>74</v>
      </c>
      <c r="AL1090" t="s">
        <v>74</v>
      </c>
      <c r="AM1090" t="s">
        <v>74</v>
      </c>
      <c r="AN1090" t="s">
        <v>74</v>
      </c>
      <c r="AO1090" t="s">
        <v>337</v>
      </c>
      <c r="AP1090" t="s">
        <v>338</v>
      </c>
      <c r="AQ1090" t="s">
        <v>74</v>
      </c>
      <c r="AR1090" t="s">
        <v>74</v>
      </c>
      <c r="AS1090" t="s">
        <v>74</v>
      </c>
      <c r="AT1090" t="s">
        <v>808</v>
      </c>
      <c r="AU1090">
        <v>2015</v>
      </c>
      <c r="AV1090">
        <v>26</v>
      </c>
      <c r="AW1090">
        <v>3</v>
      </c>
      <c r="AX1090" t="s">
        <v>74</v>
      </c>
      <c r="AY1090" t="s">
        <v>74</v>
      </c>
      <c r="AZ1090" t="s">
        <v>74</v>
      </c>
      <c r="BA1090" t="s">
        <v>74</v>
      </c>
      <c r="BB1090">
        <v>820</v>
      </c>
      <c r="BC1090">
        <v>827</v>
      </c>
      <c r="BD1090" t="s">
        <v>74</v>
      </c>
      <c r="BE1090" t="s">
        <v>5932</v>
      </c>
      <c r="BF1090" t="str">
        <f>HYPERLINK("http://dx.doi.org/10.1093/beheco/arv019","http://dx.doi.org/10.1093/beheco/arv019")</f>
        <v>http://dx.doi.org/10.1093/beheco/arv019</v>
      </c>
      <c r="BG1090" t="s">
        <v>74</v>
      </c>
      <c r="BH1090" t="s">
        <v>74</v>
      </c>
      <c r="BI1090" t="s">
        <v>74</v>
      </c>
      <c r="BJ1090" t="s">
        <v>74</v>
      </c>
      <c r="BK1090" t="s">
        <v>74</v>
      </c>
      <c r="BL1090" t="s">
        <v>74</v>
      </c>
      <c r="BM1090" t="s">
        <v>74</v>
      </c>
      <c r="BN1090" t="s">
        <v>74</v>
      </c>
      <c r="BO1090" t="s">
        <v>74</v>
      </c>
      <c r="BP1090" t="s">
        <v>74</v>
      </c>
      <c r="BQ1090" t="s">
        <v>74</v>
      </c>
      <c r="BR1090" t="s">
        <v>74</v>
      </c>
      <c r="BS1090" t="s">
        <v>5933</v>
      </c>
      <c r="BT1090" t="str">
        <f>HYPERLINK("https%3A%2F%2Fwww.webofscience.com%2Fwos%2Fwoscc%2Ffull-record%2FWOS:000356585100024","View Full Record in Web of Science")</f>
        <v>View Full Record in Web of Science</v>
      </c>
    </row>
    <row r="1091" spans="1:72" x14ac:dyDescent="0.4">
      <c r="A1091" t="s">
        <v>72</v>
      </c>
      <c r="B1091" t="s">
        <v>5105</v>
      </c>
      <c r="C1091" t="s">
        <v>74</v>
      </c>
      <c r="D1091" t="s">
        <v>74</v>
      </c>
      <c r="E1091" t="s">
        <v>74</v>
      </c>
      <c r="F1091" t="s">
        <v>5105</v>
      </c>
      <c r="G1091" t="s">
        <v>74</v>
      </c>
      <c r="H1091" t="s">
        <v>74</v>
      </c>
      <c r="I1091" t="s">
        <v>5106</v>
      </c>
      <c r="J1091" t="s">
        <v>5107</v>
      </c>
      <c r="K1091" t="s">
        <v>74</v>
      </c>
      <c r="L1091" t="s">
        <v>74</v>
      </c>
      <c r="M1091" t="s">
        <v>74</v>
      </c>
      <c r="N1091" t="s">
        <v>74</v>
      </c>
      <c r="O1091" t="s">
        <v>74</v>
      </c>
      <c r="P1091" t="s">
        <v>74</v>
      </c>
      <c r="Q1091" t="s">
        <v>74</v>
      </c>
      <c r="R1091" t="s">
        <v>74</v>
      </c>
      <c r="S1091" t="s">
        <v>74</v>
      </c>
      <c r="T1091" t="s">
        <v>74</v>
      </c>
      <c r="U1091" t="s">
        <v>74</v>
      </c>
      <c r="V1091" s="3" t="s">
        <v>5108</v>
      </c>
      <c r="W1091" t="s">
        <v>74</v>
      </c>
      <c r="X1091" t="s">
        <v>74</v>
      </c>
      <c r="Y1091" t="s">
        <v>74</v>
      </c>
      <c r="Z1091" t="s">
        <v>74</v>
      </c>
      <c r="AA1091" t="s">
        <v>74</v>
      </c>
      <c r="AB1091" t="s">
        <v>74</v>
      </c>
      <c r="AC1091" t="s">
        <v>74</v>
      </c>
      <c r="AD1091" t="s">
        <v>74</v>
      </c>
      <c r="AE1091" t="s">
        <v>74</v>
      </c>
      <c r="AF1091" t="s">
        <v>74</v>
      </c>
      <c r="AG1091" t="s">
        <v>74</v>
      </c>
      <c r="AH1091" t="s">
        <v>74</v>
      </c>
      <c r="AI1091" t="s">
        <v>74</v>
      </c>
      <c r="AJ1091" t="s">
        <v>74</v>
      </c>
      <c r="AK1091" t="s">
        <v>74</v>
      </c>
      <c r="AL1091" t="s">
        <v>74</v>
      </c>
      <c r="AM1091" t="s">
        <v>74</v>
      </c>
      <c r="AN1091" t="s">
        <v>74</v>
      </c>
      <c r="AO1091" t="s">
        <v>5109</v>
      </c>
      <c r="AP1091" t="s">
        <v>5110</v>
      </c>
      <c r="AQ1091" t="s">
        <v>74</v>
      </c>
      <c r="AR1091" t="s">
        <v>74</v>
      </c>
      <c r="AS1091" t="s">
        <v>74</v>
      </c>
      <c r="AT1091" t="s">
        <v>633</v>
      </c>
      <c r="AU1091">
        <v>1996</v>
      </c>
      <c r="AV1091">
        <v>6</v>
      </c>
      <c r="AW1091">
        <v>2</v>
      </c>
      <c r="AX1091" t="s">
        <v>74</v>
      </c>
      <c r="AY1091" t="s">
        <v>74</v>
      </c>
      <c r="AZ1091" t="s">
        <v>74</v>
      </c>
      <c r="BA1091" t="s">
        <v>74</v>
      </c>
      <c r="BB1091">
        <v>245</v>
      </c>
      <c r="BC1091">
        <v>252</v>
      </c>
      <c r="BD1091" t="s">
        <v>74</v>
      </c>
      <c r="BE1091" t="s">
        <v>5111</v>
      </c>
      <c r="BF1091" t="str">
        <f>HYPERLINK("http://dx.doi.org/10.1006/bcon.1996.0031","http://dx.doi.org/10.1006/bcon.1996.0031")</f>
        <v>http://dx.doi.org/10.1006/bcon.1996.0031</v>
      </c>
      <c r="BG1091" t="s">
        <v>74</v>
      </c>
      <c r="BH1091" t="s">
        <v>74</v>
      </c>
      <c r="BI1091" t="s">
        <v>74</v>
      </c>
      <c r="BJ1091" t="s">
        <v>74</v>
      </c>
      <c r="BK1091" t="s">
        <v>74</v>
      </c>
      <c r="BL1091" t="s">
        <v>74</v>
      </c>
      <c r="BM1091" t="s">
        <v>74</v>
      </c>
      <c r="BN1091" t="s">
        <v>74</v>
      </c>
      <c r="BO1091" t="s">
        <v>74</v>
      </c>
      <c r="BP1091" t="s">
        <v>74</v>
      </c>
      <c r="BQ1091" t="s">
        <v>74</v>
      </c>
      <c r="BR1091" t="s">
        <v>74</v>
      </c>
      <c r="BS1091" t="s">
        <v>5112</v>
      </c>
      <c r="BT1091" t="str">
        <f>HYPERLINK("https%3A%2F%2Fwww.webofscience.com%2Fwos%2Fwoscc%2Ffull-record%2FWOS:A1996UC68700014","View Full Record in Web of Science")</f>
        <v>View Full Record in Web of Science</v>
      </c>
    </row>
    <row r="1092" spans="1:72" x14ac:dyDescent="0.4">
      <c r="A1092" t="s">
        <v>72</v>
      </c>
      <c r="B1092" t="s">
        <v>4903</v>
      </c>
      <c r="C1092" t="s">
        <v>74</v>
      </c>
      <c r="D1092" t="s">
        <v>74</v>
      </c>
      <c r="E1092" t="s">
        <v>74</v>
      </c>
      <c r="F1092" t="s">
        <v>4904</v>
      </c>
      <c r="G1092" t="s">
        <v>74</v>
      </c>
      <c r="H1092" t="s">
        <v>74</v>
      </c>
      <c r="I1092" t="s">
        <v>4905</v>
      </c>
      <c r="J1092" t="s">
        <v>140</v>
      </c>
      <c r="K1092" t="s">
        <v>74</v>
      </c>
      <c r="L1092" t="s">
        <v>74</v>
      </c>
      <c r="M1092" t="s">
        <v>74</v>
      </c>
      <c r="N1092" t="s">
        <v>74</v>
      </c>
      <c r="O1092" t="s">
        <v>74</v>
      </c>
      <c r="P1092" t="s">
        <v>74</v>
      </c>
      <c r="Q1092" t="s">
        <v>74</v>
      </c>
      <c r="R1092" t="s">
        <v>74</v>
      </c>
      <c r="S1092" t="s">
        <v>74</v>
      </c>
      <c r="T1092" t="s">
        <v>74</v>
      </c>
      <c r="U1092" t="s">
        <v>74</v>
      </c>
      <c r="V1092" s="3" t="s">
        <v>4906</v>
      </c>
      <c r="W1092" t="s">
        <v>74</v>
      </c>
      <c r="X1092" t="s">
        <v>74</v>
      </c>
      <c r="Y1092" t="s">
        <v>74</v>
      </c>
      <c r="Z1092" t="s">
        <v>74</v>
      </c>
      <c r="AA1092" t="s">
        <v>4216</v>
      </c>
      <c r="AB1092" t="s">
        <v>4217</v>
      </c>
      <c r="AC1092" t="s">
        <v>74</v>
      </c>
      <c r="AD1092" t="s">
        <v>74</v>
      </c>
      <c r="AE1092" t="s">
        <v>74</v>
      </c>
      <c r="AF1092" t="s">
        <v>74</v>
      </c>
      <c r="AG1092" t="s">
        <v>74</v>
      </c>
      <c r="AH1092" t="s">
        <v>74</v>
      </c>
      <c r="AI1092" t="s">
        <v>74</v>
      </c>
      <c r="AJ1092" t="s">
        <v>74</v>
      </c>
      <c r="AK1092" t="s">
        <v>74</v>
      </c>
      <c r="AL1092" t="s">
        <v>74</v>
      </c>
      <c r="AM1092" t="s">
        <v>74</v>
      </c>
      <c r="AN1092" t="s">
        <v>74</v>
      </c>
      <c r="AO1092" t="s">
        <v>143</v>
      </c>
      <c r="AP1092" t="s">
        <v>144</v>
      </c>
      <c r="AQ1092" t="s">
        <v>74</v>
      </c>
      <c r="AR1092" t="s">
        <v>74</v>
      </c>
      <c r="AS1092" t="s">
        <v>74</v>
      </c>
      <c r="AT1092" t="s">
        <v>352</v>
      </c>
      <c r="AU1092">
        <v>2018</v>
      </c>
      <c r="AV1092">
        <v>143</v>
      </c>
      <c r="AW1092" t="s">
        <v>74</v>
      </c>
      <c r="AX1092" t="s">
        <v>74</v>
      </c>
      <c r="AY1092" t="s">
        <v>74</v>
      </c>
      <c r="AZ1092" t="s">
        <v>74</v>
      </c>
      <c r="BA1092" t="s">
        <v>74</v>
      </c>
      <c r="BB1092">
        <v>167</v>
      </c>
      <c r="BC1092">
        <v>176</v>
      </c>
      <c r="BD1092" t="s">
        <v>74</v>
      </c>
      <c r="BE1092" t="s">
        <v>4907</v>
      </c>
      <c r="BF1092" t="str">
        <f>HYPERLINK("http://dx.doi.org/10.1016/j.anbehav.2017.12.006","http://dx.doi.org/10.1016/j.anbehav.2017.12.006")</f>
        <v>http://dx.doi.org/10.1016/j.anbehav.2017.12.006</v>
      </c>
      <c r="BG1092" t="s">
        <v>74</v>
      </c>
      <c r="BH1092" t="s">
        <v>74</v>
      </c>
      <c r="BI1092" t="s">
        <v>74</v>
      </c>
      <c r="BJ1092" t="s">
        <v>74</v>
      </c>
      <c r="BK1092" t="s">
        <v>74</v>
      </c>
      <c r="BL1092" t="s">
        <v>74</v>
      </c>
      <c r="BM1092" t="s">
        <v>74</v>
      </c>
      <c r="BN1092" t="s">
        <v>74</v>
      </c>
      <c r="BO1092" t="s">
        <v>74</v>
      </c>
      <c r="BP1092" t="s">
        <v>74</v>
      </c>
      <c r="BQ1092" t="s">
        <v>74</v>
      </c>
      <c r="BR1092" t="s">
        <v>74</v>
      </c>
      <c r="BS1092" t="s">
        <v>4908</v>
      </c>
      <c r="BT1092" t="str">
        <f>HYPERLINK("https%3A%2F%2Fwww.webofscience.com%2Fwos%2Fwoscc%2Ffull-record%2FWOS:000443386600017","View Full Record in Web of Science")</f>
        <v>View Full Record in Web of Science</v>
      </c>
    </row>
    <row r="1093" spans="1:72" x14ac:dyDescent="0.4">
      <c r="A1093" t="s">
        <v>72</v>
      </c>
      <c r="B1093" t="s">
        <v>2562</v>
      </c>
      <c r="C1093" t="s">
        <v>74</v>
      </c>
      <c r="D1093" t="s">
        <v>74</v>
      </c>
      <c r="E1093" t="s">
        <v>74</v>
      </c>
      <c r="F1093" t="s">
        <v>2562</v>
      </c>
      <c r="G1093" t="s">
        <v>74</v>
      </c>
      <c r="H1093" t="s">
        <v>74</v>
      </c>
      <c r="I1093" t="s">
        <v>4923</v>
      </c>
      <c r="J1093" t="s">
        <v>610</v>
      </c>
      <c r="K1093" t="s">
        <v>74</v>
      </c>
      <c r="L1093" t="s">
        <v>74</v>
      </c>
      <c r="M1093" t="s">
        <v>74</v>
      </c>
      <c r="N1093" t="s">
        <v>74</v>
      </c>
      <c r="O1093" t="s">
        <v>74</v>
      </c>
      <c r="P1093" t="s">
        <v>74</v>
      </c>
      <c r="Q1093" t="s">
        <v>74</v>
      </c>
      <c r="R1093" t="s">
        <v>74</v>
      </c>
      <c r="S1093" t="s">
        <v>74</v>
      </c>
      <c r="T1093" t="s">
        <v>74</v>
      </c>
      <c r="U1093" t="s">
        <v>74</v>
      </c>
      <c r="V1093" s="3" t="s">
        <v>4924</v>
      </c>
      <c r="W1093" t="s">
        <v>74</v>
      </c>
      <c r="X1093" t="s">
        <v>74</v>
      </c>
      <c r="Y1093" t="s">
        <v>74</v>
      </c>
      <c r="Z1093" t="s">
        <v>74</v>
      </c>
      <c r="AA1093" t="s">
        <v>2566</v>
      </c>
      <c r="AB1093" t="s">
        <v>2567</v>
      </c>
      <c r="AC1093" t="s">
        <v>74</v>
      </c>
      <c r="AD1093" t="s">
        <v>74</v>
      </c>
      <c r="AE1093" t="s">
        <v>74</v>
      </c>
      <c r="AF1093" t="s">
        <v>74</v>
      </c>
      <c r="AG1093" t="s">
        <v>74</v>
      </c>
      <c r="AH1093" t="s">
        <v>74</v>
      </c>
      <c r="AI1093" t="s">
        <v>74</v>
      </c>
      <c r="AJ1093" t="s">
        <v>74</v>
      </c>
      <c r="AK1093" t="s">
        <v>74</v>
      </c>
      <c r="AL1093" t="s">
        <v>74</v>
      </c>
      <c r="AM1093" t="s">
        <v>74</v>
      </c>
      <c r="AN1093" t="s">
        <v>74</v>
      </c>
      <c r="AO1093" t="s">
        <v>614</v>
      </c>
      <c r="AP1093" t="s">
        <v>74</v>
      </c>
      <c r="AQ1093" t="s">
        <v>74</v>
      </c>
      <c r="AR1093" t="s">
        <v>74</v>
      </c>
      <c r="AS1093" t="s">
        <v>74</v>
      </c>
      <c r="AT1093" t="s">
        <v>352</v>
      </c>
      <c r="AU1093">
        <v>2002</v>
      </c>
      <c r="AV1093">
        <v>108</v>
      </c>
      <c r="AW1093">
        <v>9</v>
      </c>
      <c r="AX1093" t="s">
        <v>74</v>
      </c>
      <c r="AY1093" t="s">
        <v>74</v>
      </c>
      <c r="AZ1093" t="s">
        <v>74</v>
      </c>
      <c r="BA1093" t="s">
        <v>74</v>
      </c>
      <c r="BB1093">
        <v>793</v>
      </c>
      <c r="BC1093">
        <v>813</v>
      </c>
      <c r="BD1093" t="s">
        <v>74</v>
      </c>
      <c r="BE1093" t="s">
        <v>4925</v>
      </c>
      <c r="BF1093" t="str">
        <f>HYPERLINK("http://dx.doi.org/10.1046/j.1439-0310.2002.00819.x","http://dx.doi.org/10.1046/j.1439-0310.2002.00819.x")</f>
        <v>http://dx.doi.org/10.1046/j.1439-0310.2002.00819.x</v>
      </c>
      <c r="BG1093" t="s">
        <v>74</v>
      </c>
      <c r="BH1093" t="s">
        <v>74</v>
      </c>
      <c r="BI1093" t="s">
        <v>74</v>
      </c>
      <c r="BJ1093" t="s">
        <v>74</v>
      </c>
      <c r="BK1093" t="s">
        <v>74</v>
      </c>
      <c r="BL1093" t="s">
        <v>74</v>
      </c>
      <c r="BM1093" t="s">
        <v>74</v>
      </c>
      <c r="BN1093" t="s">
        <v>74</v>
      </c>
      <c r="BO1093" t="s">
        <v>74</v>
      </c>
      <c r="BP1093" t="s">
        <v>74</v>
      </c>
      <c r="BQ1093" t="s">
        <v>74</v>
      </c>
      <c r="BR1093" t="s">
        <v>74</v>
      </c>
      <c r="BS1093" t="s">
        <v>4926</v>
      </c>
      <c r="BT1093" t="str">
        <f>HYPERLINK("https%3A%2F%2Fwww.webofscience.com%2Fwos%2Fwoscc%2Ffull-record%2FWOS:000177775300004","View Full Record in Web of Science")</f>
        <v>View Full Record in Web of Science</v>
      </c>
    </row>
    <row r="1094" spans="1:72" x14ac:dyDescent="0.4">
      <c r="A1094" t="s">
        <v>72</v>
      </c>
      <c r="B1094" t="s">
        <v>2562</v>
      </c>
      <c r="C1094" t="s">
        <v>74</v>
      </c>
      <c r="D1094" t="s">
        <v>74</v>
      </c>
      <c r="E1094" t="s">
        <v>74</v>
      </c>
      <c r="F1094" t="s">
        <v>2563</v>
      </c>
      <c r="G1094" t="s">
        <v>74</v>
      </c>
      <c r="H1094" t="s">
        <v>74</v>
      </c>
      <c r="I1094" t="s">
        <v>2564</v>
      </c>
      <c r="J1094" t="s">
        <v>333</v>
      </c>
      <c r="K1094" t="s">
        <v>74</v>
      </c>
      <c r="L1094" t="s">
        <v>74</v>
      </c>
      <c r="M1094" t="s">
        <v>74</v>
      </c>
      <c r="N1094" t="s">
        <v>74</v>
      </c>
      <c r="O1094" t="s">
        <v>74</v>
      </c>
      <c r="P1094" t="s">
        <v>74</v>
      </c>
      <c r="Q1094" t="s">
        <v>74</v>
      </c>
      <c r="R1094" t="s">
        <v>74</v>
      </c>
      <c r="S1094" t="s">
        <v>74</v>
      </c>
      <c r="T1094" t="s">
        <v>74</v>
      </c>
      <c r="U1094" t="s">
        <v>74</v>
      </c>
      <c r="V1094" s="3" t="s">
        <v>2565</v>
      </c>
      <c r="W1094" t="s">
        <v>74</v>
      </c>
      <c r="X1094" t="s">
        <v>74</v>
      </c>
      <c r="Y1094" t="s">
        <v>74</v>
      </c>
      <c r="Z1094" t="s">
        <v>74</v>
      </c>
      <c r="AA1094" t="s">
        <v>2566</v>
      </c>
      <c r="AB1094" t="s">
        <v>2567</v>
      </c>
      <c r="AC1094" t="s">
        <v>74</v>
      </c>
      <c r="AD1094" t="s">
        <v>74</v>
      </c>
      <c r="AE1094" t="s">
        <v>74</v>
      </c>
      <c r="AF1094" t="s">
        <v>74</v>
      </c>
      <c r="AG1094" t="s">
        <v>74</v>
      </c>
      <c r="AH1094" t="s">
        <v>74</v>
      </c>
      <c r="AI1094" t="s">
        <v>74</v>
      </c>
      <c r="AJ1094" t="s">
        <v>74</v>
      </c>
      <c r="AK1094" t="s">
        <v>74</v>
      </c>
      <c r="AL1094" t="s">
        <v>74</v>
      </c>
      <c r="AM1094" t="s">
        <v>74</v>
      </c>
      <c r="AN1094" t="s">
        <v>74</v>
      </c>
      <c r="AO1094" t="s">
        <v>337</v>
      </c>
      <c r="AP1094" t="s">
        <v>338</v>
      </c>
      <c r="AQ1094" t="s">
        <v>74</v>
      </c>
      <c r="AR1094" t="s">
        <v>74</v>
      </c>
      <c r="AS1094" t="s">
        <v>74</v>
      </c>
      <c r="AT1094" t="s">
        <v>1013</v>
      </c>
      <c r="AU1094">
        <v>2006</v>
      </c>
      <c r="AV1094">
        <v>17</v>
      </c>
      <c r="AW1094">
        <v>5</v>
      </c>
      <c r="AX1094" t="s">
        <v>74</v>
      </c>
      <c r="AY1094" t="s">
        <v>74</v>
      </c>
      <c r="AZ1094" t="s">
        <v>74</v>
      </c>
      <c r="BA1094" t="s">
        <v>74</v>
      </c>
      <c r="BB1094">
        <v>726</v>
      </c>
      <c r="BC1094">
        <v>732</v>
      </c>
      <c r="BD1094" t="s">
        <v>74</v>
      </c>
      <c r="BE1094" t="s">
        <v>2568</v>
      </c>
      <c r="BF1094" t="str">
        <f>HYPERLINK("http://dx.doi.org/10.1093/beheco/arl001","http://dx.doi.org/10.1093/beheco/arl001")</f>
        <v>http://dx.doi.org/10.1093/beheco/arl001</v>
      </c>
      <c r="BG1094" t="s">
        <v>74</v>
      </c>
      <c r="BH1094" t="s">
        <v>74</v>
      </c>
      <c r="BI1094" t="s">
        <v>74</v>
      </c>
      <c r="BJ1094" t="s">
        <v>74</v>
      </c>
      <c r="BK1094" t="s">
        <v>74</v>
      </c>
      <c r="BL1094" t="s">
        <v>74</v>
      </c>
      <c r="BM1094" t="s">
        <v>74</v>
      </c>
      <c r="BN1094" t="s">
        <v>74</v>
      </c>
      <c r="BO1094" t="s">
        <v>74</v>
      </c>
      <c r="BP1094" t="s">
        <v>74</v>
      </c>
      <c r="BQ1094" t="s">
        <v>74</v>
      </c>
      <c r="BR1094" t="s">
        <v>74</v>
      </c>
      <c r="BS1094" t="s">
        <v>2569</v>
      </c>
      <c r="BT1094" t="str">
        <f>HYPERLINK("https%3A%2F%2Fwww.webofscience.com%2Fwos%2Fwoscc%2Ffull-record%2FWOS:000239899500005","View Full Record in Web of Science")</f>
        <v>View Full Record in Web of Science</v>
      </c>
    </row>
    <row r="1095" spans="1:72" x14ac:dyDescent="0.4">
      <c r="A1095" t="s">
        <v>72</v>
      </c>
      <c r="B1095" t="s">
        <v>4078</v>
      </c>
      <c r="C1095" t="s">
        <v>74</v>
      </c>
      <c r="D1095" t="s">
        <v>74</v>
      </c>
      <c r="E1095" t="s">
        <v>74</v>
      </c>
      <c r="F1095" t="s">
        <v>4079</v>
      </c>
      <c r="G1095" t="s">
        <v>74</v>
      </c>
      <c r="H1095" t="s">
        <v>74</v>
      </c>
      <c r="I1095" t="s">
        <v>4080</v>
      </c>
      <c r="J1095" t="s">
        <v>775</v>
      </c>
      <c r="K1095" t="s">
        <v>74</v>
      </c>
      <c r="L1095" t="s">
        <v>74</v>
      </c>
      <c r="M1095" t="s">
        <v>74</v>
      </c>
      <c r="N1095" t="s">
        <v>74</v>
      </c>
      <c r="O1095" t="s">
        <v>74</v>
      </c>
      <c r="P1095" t="s">
        <v>74</v>
      </c>
      <c r="Q1095" t="s">
        <v>74</v>
      </c>
      <c r="R1095" t="s">
        <v>74</v>
      </c>
      <c r="S1095" t="s">
        <v>74</v>
      </c>
      <c r="T1095" t="s">
        <v>74</v>
      </c>
      <c r="U1095" t="s">
        <v>74</v>
      </c>
      <c r="V1095" s="3" t="s">
        <v>4081</v>
      </c>
      <c r="W1095" t="s">
        <v>74</v>
      </c>
      <c r="X1095" t="s">
        <v>74</v>
      </c>
      <c r="Y1095" t="s">
        <v>74</v>
      </c>
      <c r="Z1095" t="s">
        <v>74</v>
      </c>
      <c r="AA1095" t="s">
        <v>2566</v>
      </c>
      <c r="AB1095" t="s">
        <v>2567</v>
      </c>
      <c r="AC1095" t="s">
        <v>74</v>
      </c>
      <c r="AD1095" t="s">
        <v>74</v>
      </c>
      <c r="AE1095" t="s">
        <v>74</v>
      </c>
      <c r="AF1095" t="s">
        <v>74</v>
      </c>
      <c r="AG1095" t="s">
        <v>74</v>
      </c>
      <c r="AH1095" t="s">
        <v>74</v>
      </c>
      <c r="AI1095" t="s">
        <v>74</v>
      </c>
      <c r="AJ1095" t="s">
        <v>74</v>
      </c>
      <c r="AK1095" t="s">
        <v>74</v>
      </c>
      <c r="AL1095" t="s">
        <v>74</v>
      </c>
      <c r="AM1095" t="s">
        <v>74</v>
      </c>
      <c r="AN1095" t="s">
        <v>74</v>
      </c>
      <c r="AO1095" t="s">
        <v>778</v>
      </c>
      <c r="AP1095" t="s">
        <v>779</v>
      </c>
      <c r="AQ1095" t="s">
        <v>74</v>
      </c>
      <c r="AR1095" t="s">
        <v>74</v>
      </c>
      <c r="AS1095" t="s">
        <v>74</v>
      </c>
      <c r="AT1095" t="s">
        <v>102</v>
      </c>
      <c r="AU1095">
        <v>2018</v>
      </c>
      <c r="AV1095">
        <v>64</v>
      </c>
      <c r="AW1095">
        <v>3</v>
      </c>
      <c r="AX1095" t="s">
        <v>74</v>
      </c>
      <c r="AY1095" t="s">
        <v>74</v>
      </c>
      <c r="AZ1095" t="s">
        <v>74</v>
      </c>
      <c r="BA1095" t="s">
        <v>74</v>
      </c>
      <c r="BB1095">
        <v>335</v>
      </c>
      <c r="BC1095">
        <v>344</v>
      </c>
      <c r="BD1095" t="s">
        <v>74</v>
      </c>
      <c r="BE1095" t="s">
        <v>4082</v>
      </c>
      <c r="BF1095" t="str">
        <f>HYPERLINK("http://dx.doi.org/10.1093/cz/zoy023","http://dx.doi.org/10.1093/cz/zoy023")</f>
        <v>http://dx.doi.org/10.1093/cz/zoy023</v>
      </c>
      <c r="BG1095" t="s">
        <v>74</v>
      </c>
      <c r="BH1095" t="s">
        <v>74</v>
      </c>
      <c r="BI1095" t="s">
        <v>74</v>
      </c>
      <c r="BJ1095" t="s">
        <v>74</v>
      </c>
      <c r="BK1095" t="s">
        <v>74</v>
      </c>
      <c r="BL1095" t="s">
        <v>74</v>
      </c>
      <c r="BM1095" t="s">
        <v>74</v>
      </c>
      <c r="BN1095">
        <v>30402076</v>
      </c>
      <c r="BO1095" t="s">
        <v>74</v>
      </c>
      <c r="BP1095" t="s">
        <v>74</v>
      </c>
      <c r="BQ1095" t="s">
        <v>74</v>
      </c>
      <c r="BR1095" t="s">
        <v>74</v>
      </c>
      <c r="BS1095" t="s">
        <v>4083</v>
      </c>
      <c r="BT1095" t="str">
        <f>HYPERLINK("https%3A%2F%2Fwww.webofscience.com%2Fwos%2Fwoscc%2Ffull-record%2FWOS:000436421000010","View Full Record in Web of Science")</f>
        <v>View Full Record in Web of Science</v>
      </c>
    </row>
    <row r="1096" spans="1:72" x14ac:dyDescent="0.4">
      <c r="A1096" t="s">
        <v>72</v>
      </c>
      <c r="B1096" t="s">
        <v>2955</v>
      </c>
      <c r="C1096" t="s">
        <v>74</v>
      </c>
      <c r="D1096" t="s">
        <v>74</v>
      </c>
      <c r="E1096" t="s">
        <v>74</v>
      </c>
      <c r="F1096" t="s">
        <v>2956</v>
      </c>
      <c r="G1096" t="s">
        <v>74</v>
      </c>
      <c r="H1096" t="s">
        <v>74</v>
      </c>
      <c r="I1096" t="s">
        <v>2957</v>
      </c>
      <c r="J1096" t="s">
        <v>192</v>
      </c>
      <c r="K1096" t="s">
        <v>74</v>
      </c>
      <c r="L1096" t="s">
        <v>74</v>
      </c>
      <c r="M1096" t="s">
        <v>74</v>
      </c>
      <c r="N1096" t="s">
        <v>74</v>
      </c>
      <c r="O1096" t="s">
        <v>74</v>
      </c>
      <c r="P1096" t="s">
        <v>74</v>
      </c>
      <c r="Q1096" t="s">
        <v>74</v>
      </c>
      <c r="R1096" t="s">
        <v>74</v>
      </c>
      <c r="S1096" t="s">
        <v>74</v>
      </c>
      <c r="T1096" t="s">
        <v>74</v>
      </c>
      <c r="U1096" t="s">
        <v>74</v>
      </c>
      <c r="V1096" s="3" t="s">
        <v>2958</v>
      </c>
      <c r="W1096" t="s">
        <v>74</v>
      </c>
      <c r="X1096" t="s">
        <v>74</v>
      </c>
      <c r="Y1096" t="s">
        <v>74</v>
      </c>
      <c r="Z1096" t="s">
        <v>74</v>
      </c>
      <c r="AA1096" t="s">
        <v>2959</v>
      </c>
      <c r="AB1096" t="s">
        <v>2960</v>
      </c>
      <c r="AC1096" t="s">
        <v>74</v>
      </c>
      <c r="AD1096" t="s">
        <v>74</v>
      </c>
      <c r="AE1096" t="s">
        <v>74</v>
      </c>
      <c r="AF1096" t="s">
        <v>74</v>
      </c>
      <c r="AG1096" t="s">
        <v>74</v>
      </c>
      <c r="AH1096" t="s">
        <v>74</v>
      </c>
      <c r="AI1096" t="s">
        <v>74</v>
      </c>
      <c r="AJ1096" t="s">
        <v>74</v>
      </c>
      <c r="AK1096" t="s">
        <v>74</v>
      </c>
      <c r="AL1096" t="s">
        <v>74</v>
      </c>
      <c r="AM1096" t="s">
        <v>74</v>
      </c>
      <c r="AN1096" t="s">
        <v>74</v>
      </c>
      <c r="AO1096" t="s">
        <v>195</v>
      </c>
      <c r="AP1096" t="s">
        <v>196</v>
      </c>
      <c r="AQ1096" t="s">
        <v>74</v>
      </c>
      <c r="AR1096" t="s">
        <v>74</v>
      </c>
      <c r="AS1096" t="s">
        <v>74</v>
      </c>
      <c r="AT1096" t="s">
        <v>352</v>
      </c>
      <c r="AU1096">
        <v>2021</v>
      </c>
      <c r="AV1096">
        <v>848</v>
      </c>
      <c r="AW1096">
        <v>16</v>
      </c>
      <c r="AX1096" t="s">
        <v>74</v>
      </c>
      <c r="AY1096" t="s">
        <v>74</v>
      </c>
      <c r="AZ1096" t="s">
        <v>848</v>
      </c>
      <c r="BA1096" t="s">
        <v>74</v>
      </c>
      <c r="BB1096">
        <v>3667</v>
      </c>
      <c r="BC1096">
        <v>3681</v>
      </c>
      <c r="BD1096" t="s">
        <v>74</v>
      </c>
      <c r="BE1096" t="s">
        <v>2961</v>
      </c>
      <c r="BF1096" t="str">
        <f>HYPERLINK("http://dx.doi.org/10.1007/s10750-020-04475-9","http://dx.doi.org/10.1007/s10750-020-04475-9")</f>
        <v>http://dx.doi.org/10.1007/s10750-020-04475-9</v>
      </c>
      <c r="BG1096" t="s">
        <v>74</v>
      </c>
      <c r="BH1096" t="s">
        <v>2962</v>
      </c>
      <c r="BI1096" t="s">
        <v>74</v>
      </c>
      <c r="BJ1096" t="s">
        <v>74</v>
      </c>
      <c r="BK1096" t="s">
        <v>74</v>
      </c>
      <c r="BL1096" t="s">
        <v>74</v>
      </c>
      <c r="BM1096" t="s">
        <v>74</v>
      </c>
      <c r="BN1096" t="s">
        <v>74</v>
      </c>
      <c r="BO1096" t="s">
        <v>74</v>
      </c>
      <c r="BP1096" t="s">
        <v>74</v>
      </c>
      <c r="BQ1096" t="s">
        <v>74</v>
      </c>
      <c r="BR1096" t="s">
        <v>74</v>
      </c>
      <c r="BS1096" t="s">
        <v>2963</v>
      </c>
      <c r="BT1096" t="str">
        <f>HYPERLINK("https%3A%2F%2Fwww.webofscience.com%2Fwos%2Fwoscc%2Ffull-record%2FWOS:000604160900002","View Full Record in Web of Science")</f>
        <v>View Full Record in Web of Science</v>
      </c>
    </row>
    <row r="1097" spans="1:72" x14ac:dyDescent="0.4">
      <c r="A1097" t="s">
        <v>72</v>
      </c>
      <c r="B1097" t="s">
        <v>5764</v>
      </c>
      <c r="C1097" t="s">
        <v>74</v>
      </c>
      <c r="D1097" t="s">
        <v>74</v>
      </c>
      <c r="E1097" t="s">
        <v>74</v>
      </c>
      <c r="F1097" t="s">
        <v>5765</v>
      </c>
      <c r="G1097" t="s">
        <v>74</v>
      </c>
      <c r="H1097" t="s">
        <v>74</v>
      </c>
      <c r="I1097" t="s">
        <v>5766</v>
      </c>
      <c r="J1097" t="s">
        <v>775</v>
      </c>
      <c r="K1097" t="s">
        <v>74</v>
      </c>
      <c r="L1097" t="s">
        <v>74</v>
      </c>
      <c r="M1097" t="s">
        <v>74</v>
      </c>
      <c r="N1097" t="s">
        <v>74</v>
      </c>
      <c r="O1097" t="s">
        <v>74</v>
      </c>
      <c r="P1097" t="s">
        <v>74</v>
      </c>
      <c r="Q1097" t="s">
        <v>74</v>
      </c>
      <c r="R1097" t="s">
        <v>74</v>
      </c>
      <c r="S1097" t="s">
        <v>74</v>
      </c>
      <c r="T1097" t="s">
        <v>74</v>
      </c>
      <c r="U1097" t="s">
        <v>74</v>
      </c>
      <c r="V1097" s="3" t="s">
        <v>5767</v>
      </c>
      <c r="W1097" t="s">
        <v>74</v>
      </c>
      <c r="X1097" t="s">
        <v>74</v>
      </c>
      <c r="Y1097" t="s">
        <v>74</v>
      </c>
      <c r="Z1097" t="s">
        <v>74</v>
      </c>
      <c r="AA1097" t="s">
        <v>74</v>
      </c>
      <c r="AB1097" t="s">
        <v>74</v>
      </c>
      <c r="AC1097" t="s">
        <v>74</v>
      </c>
      <c r="AD1097" t="s">
        <v>74</v>
      </c>
      <c r="AE1097" t="s">
        <v>74</v>
      </c>
      <c r="AF1097" t="s">
        <v>74</v>
      </c>
      <c r="AG1097" t="s">
        <v>74</v>
      </c>
      <c r="AH1097" t="s">
        <v>74</v>
      </c>
      <c r="AI1097" t="s">
        <v>74</v>
      </c>
      <c r="AJ1097" t="s">
        <v>74</v>
      </c>
      <c r="AK1097" t="s">
        <v>74</v>
      </c>
      <c r="AL1097" t="s">
        <v>74</v>
      </c>
      <c r="AM1097" t="s">
        <v>74</v>
      </c>
      <c r="AN1097" t="s">
        <v>74</v>
      </c>
      <c r="AO1097" t="s">
        <v>778</v>
      </c>
      <c r="AP1097" t="s">
        <v>779</v>
      </c>
      <c r="AQ1097" t="s">
        <v>74</v>
      </c>
      <c r="AR1097" t="s">
        <v>74</v>
      </c>
      <c r="AS1097" t="s">
        <v>74</v>
      </c>
      <c r="AT1097" t="s">
        <v>5768</v>
      </c>
      <c r="AU1097">
        <v>2022</v>
      </c>
      <c r="AV1097">
        <v>68</v>
      </c>
      <c r="AW1097">
        <v>5</v>
      </c>
      <c r="AX1097" t="s">
        <v>74</v>
      </c>
      <c r="AY1097" t="s">
        <v>74</v>
      </c>
      <c r="AZ1097" t="s">
        <v>74</v>
      </c>
      <c r="BA1097" t="s">
        <v>74</v>
      </c>
      <c r="BB1097">
        <v>600</v>
      </c>
      <c r="BC1097">
        <v>607</v>
      </c>
      <c r="BD1097" t="s">
        <v>74</v>
      </c>
      <c r="BE1097" t="s">
        <v>5769</v>
      </c>
      <c r="BF1097" t="str">
        <f>HYPERLINK("http://dx.doi.org/10.1093/cz/zoab087","http://dx.doi.org/10.1093/cz/zoab087")</f>
        <v>http://dx.doi.org/10.1093/cz/zoab087</v>
      </c>
      <c r="BG1097" t="s">
        <v>74</v>
      </c>
      <c r="BH1097" t="s">
        <v>5103</v>
      </c>
      <c r="BI1097" t="s">
        <v>74</v>
      </c>
      <c r="BJ1097" t="s">
        <v>74</v>
      </c>
      <c r="BK1097" t="s">
        <v>74</v>
      </c>
      <c r="BL1097" t="s">
        <v>74</v>
      </c>
      <c r="BM1097" t="s">
        <v>74</v>
      </c>
      <c r="BN1097">
        <v>36324536</v>
      </c>
      <c r="BO1097" t="s">
        <v>74</v>
      </c>
      <c r="BP1097" t="s">
        <v>74</v>
      </c>
      <c r="BQ1097" t="s">
        <v>74</v>
      </c>
      <c r="BR1097" t="s">
        <v>74</v>
      </c>
      <c r="BS1097" t="s">
        <v>5770</v>
      </c>
      <c r="BT1097" t="str">
        <f>HYPERLINK("https%3A%2F%2Fwww.webofscience.com%2Fwos%2Fwoscc%2Ffull-record%2FWOS:000789358100001","View Full Record in Web of Science")</f>
        <v>View Full Record in Web of Science</v>
      </c>
    </row>
    <row r="1098" spans="1:72" x14ac:dyDescent="0.4">
      <c r="A1098" t="s">
        <v>72</v>
      </c>
      <c r="B1098" t="s">
        <v>5744</v>
      </c>
      <c r="C1098" t="s">
        <v>74</v>
      </c>
      <c r="D1098" t="s">
        <v>74</v>
      </c>
      <c r="E1098" t="s">
        <v>74</v>
      </c>
      <c r="F1098" t="s">
        <v>5745</v>
      </c>
      <c r="G1098" t="s">
        <v>74</v>
      </c>
      <c r="H1098" t="s">
        <v>74</v>
      </c>
      <c r="I1098" t="s">
        <v>5746</v>
      </c>
      <c r="J1098" t="s">
        <v>2042</v>
      </c>
      <c r="K1098" t="s">
        <v>74</v>
      </c>
      <c r="L1098" t="s">
        <v>74</v>
      </c>
      <c r="M1098" t="s">
        <v>74</v>
      </c>
      <c r="N1098" t="s">
        <v>74</v>
      </c>
      <c r="O1098" t="s">
        <v>74</v>
      </c>
      <c r="P1098" t="s">
        <v>74</v>
      </c>
      <c r="Q1098" t="s">
        <v>74</v>
      </c>
      <c r="R1098" t="s">
        <v>74</v>
      </c>
      <c r="S1098" t="s">
        <v>74</v>
      </c>
      <c r="T1098" t="s">
        <v>74</v>
      </c>
      <c r="U1098" t="s">
        <v>74</v>
      </c>
      <c r="V1098" s="3" t="s">
        <v>5747</v>
      </c>
      <c r="W1098" t="s">
        <v>74</v>
      </c>
      <c r="X1098" t="s">
        <v>74</v>
      </c>
      <c r="Y1098" t="s">
        <v>74</v>
      </c>
      <c r="Z1098" t="s">
        <v>74</v>
      </c>
      <c r="AA1098" t="s">
        <v>5748</v>
      </c>
      <c r="AB1098" t="s">
        <v>5749</v>
      </c>
      <c r="AC1098" t="s">
        <v>74</v>
      </c>
      <c r="AD1098" t="s">
        <v>74</v>
      </c>
      <c r="AE1098" t="s">
        <v>74</v>
      </c>
      <c r="AF1098" t="s">
        <v>74</v>
      </c>
      <c r="AG1098" t="s">
        <v>74</v>
      </c>
      <c r="AH1098" t="s">
        <v>74</v>
      </c>
      <c r="AI1098" t="s">
        <v>74</v>
      </c>
      <c r="AJ1098" t="s">
        <v>74</v>
      </c>
      <c r="AK1098" t="s">
        <v>74</v>
      </c>
      <c r="AL1098" t="s">
        <v>74</v>
      </c>
      <c r="AM1098" t="s">
        <v>74</v>
      </c>
      <c r="AN1098" t="s">
        <v>74</v>
      </c>
      <c r="AO1098" t="s">
        <v>2045</v>
      </c>
      <c r="AP1098" t="s">
        <v>2046</v>
      </c>
      <c r="AQ1098" t="s">
        <v>74</v>
      </c>
      <c r="AR1098" t="s">
        <v>74</v>
      </c>
      <c r="AS1098" t="s">
        <v>74</v>
      </c>
      <c r="AT1098" t="s">
        <v>255</v>
      </c>
      <c r="AU1098">
        <v>2016</v>
      </c>
      <c r="AV1098">
        <v>63</v>
      </c>
      <c r="AW1098">
        <v>1</v>
      </c>
      <c r="AX1098" t="s">
        <v>74</v>
      </c>
      <c r="AY1098" t="s">
        <v>74</v>
      </c>
      <c r="AZ1098" t="s">
        <v>74</v>
      </c>
      <c r="BA1098" t="s">
        <v>74</v>
      </c>
      <c r="BB1098">
        <v>94</v>
      </c>
      <c r="BC1098">
        <v>109</v>
      </c>
      <c r="BD1098" t="s">
        <v>74</v>
      </c>
      <c r="BE1098" t="s">
        <v>5750</v>
      </c>
      <c r="BF1098" t="str">
        <f>HYPERLINK("http://dx.doi.org/10.1007/s10228-015-0480-9","http://dx.doi.org/10.1007/s10228-015-0480-9")</f>
        <v>http://dx.doi.org/10.1007/s10228-015-0480-9</v>
      </c>
      <c r="BG1098" t="s">
        <v>74</v>
      </c>
      <c r="BH1098" t="s">
        <v>74</v>
      </c>
      <c r="BI1098" t="s">
        <v>74</v>
      </c>
      <c r="BJ1098" t="s">
        <v>74</v>
      </c>
      <c r="BK1098" t="s">
        <v>74</v>
      </c>
      <c r="BL1098" t="s">
        <v>74</v>
      </c>
      <c r="BM1098" t="s">
        <v>74</v>
      </c>
      <c r="BN1098" t="s">
        <v>74</v>
      </c>
      <c r="BO1098" t="s">
        <v>74</v>
      </c>
      <c r="BP1098" t="s">
        <v>74</v>
      </c>
      <c r="BQ1098" t="s">
        <v>74</v>
      </c>
      <c r="BR1098" t="s">
        <v>74</v>
      </c>
      <c r="BS1098" t="s">
        <v>5751</v>
      </c>
      <c r="BT1098" t="str">
        <f>HYPERLINK("https%3A%2F%2Fwww.webofscience.com%2Fwos%2Fwoscc%2Ffull-record%2FWOS:000367602100010","View Full Record in Web of Science")</f>
        <v>View Full Record in Web of Science</v>
      </c>
    </row>
    <row r="1099" spans="1:72" x14ac:dyDescent="0.4">
      <c r="A1099" t="s">
        <v>72</v>
      </c>
      <c r="B1099" t="s">
        <v>2394</v>
      </c>
      <c r="C1099" t="s">
        <v>74</v>
      </c>
      <c r="D1099" t="s">
        <v>74</v>
      </c>
      <c r="E1099" t="s">
        <v>74</v>
      </c>
      <c r="F1099" t="s">
        <v>2395</v>
      </c>
      <c r="G1099" t="s">
        <v>74</v>
      </c>
      <c r="H1099" t="s">
        <v>74</v>
      </c>
      <c r="I1099" t="s">
        <v>2396</v>
      </c>
      <c r="J1099" t="s">
        <v>140</v>
      </c>
      <c r="K1099" t="s">
        <v>74</v>
      </c>
      <c r="L1099" t="s">
        <v>74</v>
      </c>
      <c r="M1099" t="s">
        <v>74</v>
      </c>
      <c r="N1099" t="s">
        <v>74</v>
      </c>
      <c r="O1099" t="s">
        <v>74</v>
      </c>
      <c r="P1099" t="s">
        <v>74</v>
      </c>
      <c r="Q1099" t="s">
        <v>74</v>
      </c>
      <c r="R1099" t="s">
        <v>74</v>
      </c>
      <c r="S1099" t="s">
        <v>74</v>
      </c>
      <c r="T1099" t="s">
        <v>74</v>
      </c>
      <c r="U1099" t="s">
        <v>74</v>
      </c>
      <c r="V1099" s="3" t="s">
        <v>2397</v>
      </c>
      <c r="W1099" t="s">
        <v>74</v>
      </c>
      <c r="X1099" t="s">
        <v>74</v>
      </c>
      <c r="Y1099" t="s">
        <v>74</v>
      </c>
      <c r="Z1099" t="s">
        <v>74</v>
      </c>
      <c r="AA1099" t="s">
        <v>2398</v>
      </c>
      <c r="AB1099" t="s">
        <v>2399</v>
      </c>
      <c r="AC1099" t="s">
        <v>74</v>
      </c>
      <c r="AD1099" t="s">
        <v>74</v>
      </c>
      <c r="AE1099" t="s">
        <v>74</v>
      </c>
      <c r="AF1099" t="s">
        <v>74</v>
      </c>
      <c r="AG1099" t="s">
        <v>74</v>
      </c>
      <c r="AH1099" t="s">
        <v>74</v>
      </c>
      <c r="AI1099" t="s">
        <v>74</v>
      </c>
      <c r="AJ1099" t="s">
        <v>74</v>
      </c>
      <c r="AK1099" t="s">
        <v>74</v>
      </c>
      <c r="AL1099" t="s">
        <v>74</v>
      </c>
      <c r="AM1099" t="s">
        <v>74</v>
      </c>
      <c r="AN1099" t="s">
        <v>74</v>
      </c>
      <c r="AO1099" t="s">
        <v>143</v>
      </c>
      <c r="AP1099" t="s">
        <v>144</v>
      </c>
      <c r="AQ1099" t="s">
        <v>74</v>
      </c>
      <c r="AR1099" t="s">
        <v>74</v>
      </c>
      <c r="AS1099" t="s">
        <v>74</v>
      </c>
      <c r="AT1099" t="s">
        <v>145</v>
      </c>
      <c r="AU1099">
        <v>2006</v>
      </c>
      <c r="AV1099">
        <v>72</v>
      </c>
      <c r="AW1099" t="s">
        <v>74</v>
      </c>
      <c r="AX1099">
        <v>2</v>
      </c>
      <c r="AY1099" t="s">
        <v>74</v>
      </c>
      <c r="AZ1099" t="s">
        <v>74</v>
      </c>
      <c r="BA1099" t="s">
        <v>74</v>
      </c>
      <c r="BB1099">
        <v>353</v>
      </c>
      <c r="BC1099">
        <v>363</v>
      </c>
      <c r="BD1099" t="s">
        <v>74</v>
      </c>
      <c r="BE1099" t="s">
        <v>2400</v>
      </c>
      <c r="BF1099" t="str">
        <f>HYPERLINK("http://dx.doi.org/10.1016/j.anbehav.2005.10.018","http://dx.doi.org/10.1016/j.anbehav.2005.10.018")</f>
        <v>http://dx.doi.org/10.1016/j.anbehav.2005.10.018</v>
      </c>
      <c r="BG1099" t="s">
        <v>74</v>
      </c>
      <c r="BH1099" t="s">
        <v>74</v>
      </c>
      <c r="BI1099" t="s">
        <v>74</v>
      </c>
      <c r="BJ1099" t="s">
        <v>74</v>
      </c>
      <c r="BK1099" t="s">
        <v>74</v>
      </c>
      <c r="BL1099" t="s">
        <v>74</v>
      </c>
      <c r="BM1099" t="s">
        <v>74</v>
      </c>
      <c r="BN1099" t="s">
        <v>74</v>
      </c>
      <c r="BO1099" t="s">
        <v>74</v>
      </c>
      <c r="BP1099" t="s">
        <v>74</v>
      </c>
      <c r="BQ1099" t="s">
        <v>74</v>
      </c>
      <c r="BR1099" t="s">
        <v>74</v>
      </c>
      <c r="BS1099" t="s">
        <v>2401</v>
      </c>
      <c r="BT1099" t="str">
        <f>HYPERLINK("https%3A%2F%2Fwww.webofscience.com%2Fwos%2Fwoscc%2Ffull-record%2FWOS:000240217300011","View Full Record in Web of Science")</f>
        <v>View Full Record in Web of Science</v>
      </c>
    </row>
    <row r="1100" spans="1:72" x14ac:dyDescent="0.4">
      <c r="A1100" t="s">
        <v>72</v>
      </c>
      <c r="B1100" t="s">
        <v>6659</v>
      </c>
      <c r="C1100" t="s">
        <v>74</v>
      </c>
      <c r="D1100" t="s">
        <v>74</v>
      </c>
      <c r="E1100" t="s">
        <v>74</v>
      </c>
      <c r="F1100" t="s">
        <v>6660</v>
      </c>
      <c r="G1100" t="s">
        <v>74</v>
      </c>
      <c r="H1100" t="s">
        <v>74</v>
      </c>
      <c r="I1100" t="s">
        <v>6661</v>
      </c>
      <c r="J1100" t="s">
        <v>2017</v>
      </c>
      <c r="K1100" t="s">
        <v>74</v>
      </c>
      <c r="L1100" t="s">
        <v>74</v>
      </c>
      <c r="M1100" t="s">
        <v>74</v>
      </c>
      <c r="N1100" t="s">
        <v>74</v>
      </c>
      <c r="O1100" t="s">
        <v>74</v>
      </c>
      <c r="P1100" t="s">
        <v>74</v>
      </c>
      <c r="Q1100" t="s">
        <v>74</v>
      </c>
      <c r="R1100" t="s">
        <v>74</v>
      </c>
      <c r="S1100" t="s">
        <v>74</v>
      </c>
      <c r="T1100" t="s">
        <v>74</v>
      </c>
      <c r="U1100" t="s">
        <v>74</v>
      </c>
      <c r="V1100" s="3" t="s">
        <v>6662</v>
      </c>
      <c r="W1100" t="s">
        <v>74</v>
      </c>
      <c r="X1100" t="s">
        <v>74</v>
      </c>
      <c r="Y1100" t="s">
        <v>74</v>
      </c>
      <c r="Z1100" t="s">
        <v>74</v>
      </c>
      <c r="AA1100" t="s">
        <v>6663</v>
      </c>
      <c r="AB1100" t="s">
        <v>6664</v>
      </c>
      <c r="AC1100" t="s">
        <v>74</v>
      </c>
      <c r="AD1100" t="s">
        <v>74</v>
      </c>
      <c r="AE1100" t="s">
        <v>74</v>
      </c>
      <c r="AF1100" t="s">
        <v>74</v>
      </c>
      <c r="AG1100" t="s">
        <v>74</v>
      </c>
      <c r="AH1100" t="s">
        <v>74</v>
      </c>
      <c r="AI1100" t="s">
        <v>74</v>
      </c>
      <c r="AJ1100" t="s">
        <v>74</v>
      </c>
      <c r="AK1100" t="s">
        <v>74</v>
      </c>
      <c r="AL1100" t="s">
        <v>74</v>
      </c>
      <c r="AM1100" t="s">
        <v>74</v>
      </c>
      <c r="AN1100" t="s">
        <v>74</v>
      </c>
      <c r="AO1100" t="s">
        <v>2021</v>
      </c>
      <c r="AP1100" t="s">
        <v>74</v>
      </c>
      <c r="AQ1100" t="s">
        <v>74</v>
      </c>
      <c r="AR1100" t="s">
        <v>74</v>
      </c>
      <c r="AS1100" t="s">
        <v>74</v>
      </c>
      <c r="AT1100" t="s">
        <v>6665</v>
      </c>
      <c r="AU1100">
        <v>2018</v>
      </c>
      <c r="AV1100">
        <v>6</v>
      </c>
      <c r="AW1100" t="s">
        <v>74</v>
      </c>
      <c r="AX1100" t="s">
        <v>74</v>
      </c>
      <c r="AY1100" t="s">
        <v>74</v>
      </c>
      <c r="AZ1100" t="s">
        <v>74</v>
      </c>
      <c r="BA1100" t="s">
        <v>74</v>
      </c>
      <c r="BB1100" t="s">
        <v>74</v>
      </c>
      <c r="BC1100" t="s">
        <v>74</v>
      </c>
      <c r="BD1100">
        <v>70</v>
      </c>
      <c r="BE1100" t="s">
        <v>6666</v>
      </c>
      <c r="BF1100" t="str">
        <f>HYPERLINK("http://dx.doi.org/10.3389/fevo.2018.00070","http://dx.doi.org/10.3389/fevo.2018.00070")</f>
        <v>http://dx.doi.org/10.3389/fevo.2018.00070</v>
      </c>
      <c r="BG1100" t="s">
        <v>74</v>
      </c>
      <c r="BH1100" t="s">
        <v>74</v>
      </c>
      <c r="BI1100" t="s">
        <v>74</v>
      </c>
      <c r="BJ1100" t="s">
        <v>74</v>
      </c>
      <c r="BK1100" t="s">
        <v>74</v>
      </c>
      <c r="BL1100" t="s">
        <v>74</v>
      </c>
      <c r="BM1100" t="s">
        <v>74</v>
      </c>
      <c r="BN1100" t="s">
        <v>74</v>
      </c>
      <c r="BO1100" t="s">
        <v>74</v>
      </c>
      <c r="BP1100" t="s">
        <v>74</v>
      </c>
      <c r="BQ1100" t="s">
        <v>74</v>
      </c>
      <c r="BR1100" t="s">
        <v>74</v>
      </c>
      <c r="BS1100" t="s">
        <v>6667</v>
      </c>
      <c r="BT1100" t="str">
        <f>HYPERLINK("https%3A%2F%2Fwww.webofscience.com%2Fwos%2Fwoscc%2Ffull-record%2FWOS:000451666100001","View Full Record in Web of Science")</f>
        <v>View Full Record in Web of Science</v>
      </c>
    </row>
    <row r="1101" spans="1:72" x14ac:dyDescent="0.4">
      <c r="A1101" t="s">
        <v>72</v>
      </c>
      <c r="B1101" t="s">
        <v>7262</v>
      </c>
      <c r="C1101" t="s">
        <v>74</v>
      </c>
      <c r="D1101" t="s">
        <v>74</v>
      </c>
      <c r="E1101" t="s">
        <v>74</v>
      </c>
      <c r="F1101" t="s">
        <v>7262</v>
      </c>
      <c r="G1101" t="s">
        <v>74</v>
      </c>
      <c r="H1101" t="s">
        <v>74</v>
      </c>
      <c r="I1101" t="s">
        <v>7263</v>
      </c>
      <c r="J1101" t="s">
        <v>129</v>
      </c>
      <c r="K1101" t="s">
        <v>74</v>
      </c>
      <c r="L1101" t="s">
        <v>74</v>
      </c>
      <c r="M1101" t="s">
        <v>74</v>
      </c>
      <c r="N1101" t="s">
        <v>74</v>
      </c>
      <c r="O1101" t="s">
        <v>74</v>
      </c>
      <c r="P1101" t="s">
        <v>74</v>
      </c>
      <c r="Q1101" t="s">
        <v>74</v>
      </c>
      <c r="R1101" t="s">
        <v>74</v>
      </c>
      <c r="S1101" t="s">
        <v>74</v>
      </c>
      <c r="T1101" t="s">
        <v>74</v>
      </c>
      <c r="U1101" t="s">
        <v>74</v>
      </c>
      <c r="V1101" s="3" t="s">
        <v>7264</v>
      </c>
      <c r="W1101" t="s">
        <v>74</v>
      </c>
      <c r="X1101" t="s">
        <v>74</v>
      </c>
      <c r="Y1101" t="s">
        <v>74</v>
      </c>
      <c r="Z1101" t="s">
        <v>74</v>
      </c>
      <c r="AA1101" t="s">
        <v>3138</v>
      </c>
      <c r="AB1101" t="s">
        <v>7265</v>
      </c>
      <c r="AC1101" t="s">
        <v>74</v>
      </c>
      <c r="AD1101" t="s">
        <v>74</v>
      </c>
      <c r="AE1101" t="s">
        <v>74</v>
      </c>
      <c r="AF1101" t="s">
        <v>74</v>
      </c>
      <c r="AG1101" t="s">
        <v>74</v>
      </c>
      <c r="AH1101" t="s">
        <v>74</v>
      </c>
      <c r="AI1101" t="s">
        <v>74</v>
      </c>
      <c r="AJ1101" t="s">
        <v>74</v>
      </c>
      <c r="AK1101" t="s">
        <v>74</v>
      </c>
      <c r="AL1101" t="s">
        <v>74</v>
      </c>
      <c r="AM1101" t="s">
        <v>74</v>
      </c>
      <c r="AN1101" t="s">
        <v>74</v>
      </c>
      <c r="AO1101" t="s">
        <v>132</v>
      </c>
      <c r="AP1101" t="s">
        <v>74</v>
      </c>
      <c r="AQ1101" t="s">
        <v>74</v>
      </c>
      <c r="AR1101" t="s">
        <v>74</v>
      </c>
      <c r="AS1101" t="s">
        <v>74</v>
      </c>
      <c r="AT1101" t="s">
        <v>145</v>
      </c>
      <c r="AU1101">
        <v>1999</v>
      </c>
      <c r="AV1101">
        <v>46</v>
      </c>
      <c r="AW1101">
        <v>3</v>
      </c>
      <c r="AX1101" t="s">
        <v>74</v>
      </c>
      <c r="AY1101" t="s">
        <v>74</v>
      </c>
      <c r="AZ1101" t="s">
        <v>74</v>
      </c>
      <c r="BA1101" t="s">
        <v>74</v>
      </c>
      <c r="BB1101">
        <v>210</v>
      </c>
      <c r="BC1101">
        <v>214</v>
      </c>
      <c r="BD1101" t="s">
        <v>74</v>
      </c>
      <c r="BE1101" t="s">
        <v>7266</v>
      </c>
      <c r="BF1101" t="str">
        <f>HYPERLINK("http://dx.doi.org/10.1007/s002650050611","http://dx.doi.org/10.1007/s002650050611")</f>
        <v>http://dx.doi.org/10.1007/s002650050611</v>
      </c>
      <c r="BG1101" t="s">
        <v>74</v>
      </c>
      <c r="BH1101" t="s">
        <v>74</v>
      </c>
      <c r="BI1101" t="s">
        <v>74</v>
      </c>
      <c r="BJ1101" t="s">
        <v>74</v>
      </c>
      <c r="BK1101" t="s">
        <v>74</v>
      </c>
      <c r="BL1101" t="s">
        <v>74</v>
      </c>
      <c r="BM1101" t="s">
        <v>74</v>
      </c>
      <c r="BN1101" t="s">
        <v>74</v>
      </c>
      <c r="BO1101" t="s">
        <v>74</v>
      </c>
      <c r="BP1101" t="s">
        <v>74</v>
      </c>
      <c r="BQ1101" t="s">
        <v>74</v>
      </c>
      <c r="BR1101" t="s">
        <v>74</v>
      </c>
      <c r="BS1101" t="s">
        <v>7267</v>
      </c>
      <c r="BT1101" t="str">
        <f>HYPERLINK("https%3A%2F%2Fwww.webofscience.com%2Fwos%2Fwoscc%2Ffull-record%2FWOS:000082141200009","View Full Record in Web of Science")</f>
        <v>View Full Record in Web of Science</v>
      </c>
    </row>
    <row r="1102" spans="1:72" x14ac:dyDescent="0.4">
      <c r="A1102" t="s">
        <v>72</v>
      </c>
      <c r="B1102" t="s">
        <v>2834</v>
      </c>
      <c r="C1102" t="s">
        <v>74</v>
      </c>
      <c r="D1102" t="s">
        <v>74</v>
      </c>
      <c r="E1102" t="s">
        <v>74</v>
      </c>
      <c r="F1102" t="s">
        <v>2835</v>
      </c>
      <c r="G1102" t="s">
        <v>74</v>
      </c>
      <c r="H1102" t="s">
        <v>74</v>
      </c>
      <c r="I1102" t="s">
        <v>2836</v>
      </c>
      <c r="J1102" t="s">
        <v>367</v>
      </c>
      <c r="K1102" t="s">
        <v>74</v>
      </c>
      <c r="L1102" t="s">
        <v>74</v>
      </c>
      <c r="M1102" t="s">
        <v>74</v>
      </c>
      <c r="N1102" t="s">
        <v>74</v>
      </c>
      <c r="O1102" t="s">
        <v>74</v>
      </c>
      <c r="P1102" t="s">
        <v>74</v>
      </c>
      <c r="Q1102" t="s">
        <v>74</v>
      </c>
      <c r="R1102" t="s">
        <v>74</v>
      </c>
      <c r="S1102" t="s">
        <v>74</v>
      </c>
      <c r="T1102" t="s">
        <v>74</v>
      </c>
      <c r="U1102" t="s">
        <v>74</v>
      </c>
      <c r="V1102" s="3" t="s">
        <v>2837</v>
      </c>
      <c r="W1102" t="s">
        <v>74</v>
      </c>
      <c r="X1102" t="s">
        <v>74</v>
      </c>
      <c r="Y1102" t="s">
        <v>74</v>
      </c>
      <c r="Z1102" t="s">
        <v>74</v>
      </c>
      <c r="AA1102" t="s">
        <v>2838</v>
      </c>
      <c r="AB1102" t="s">
        <v>2839</v>
      </c>
      <c r="AC1102" t="s">
        <v>74</v>
      </c>
      <c r="AD1102" t="s">
        <v>74</v>
      </c>
      <c r="AE1102" t="s">
        <v>74</v>
      </c>
      <c r="AF1102" t="s">
        <v>74</v>
      </c>
      <c r="AG1102" t="s">
        <v>74</v>
      </c>
      <c r="AH1102" t="s">
        <v>74</v>
      </c>
      <c r="AI1102" t="s">
        <v>74</v>
      </c>
      <c r="AJ1102" t="s">
        <v>74</v>
      </c>
      <c r="AK1102" t="s">
        <v>74</v>
      </c>
      <c r="AL1102" t="s">
        <v>74</v>
      </c>
      <c r="AM1102" t="s">
        <v>74</v>
      </c>
      <c r="AN1102" t="s">
        <v>74</v>
      </c>
      <c r="AO1102" t="s">
        <v>371</v>
      </c>
      <c r="AP1102" t="s">
        <v>372</v>
      </c>
      <c r="AQ1102" t="s">
        <v>74</v>
      </c>
      <c r="AR1102" t="s">
        <v>74</v>
      </c>
      <c r="AS1102" t="s">
        <v>74</v>
      </c>
      <c r="AT1102" t="s">
        <v>2840</v>
      </c>
      <c r="AU1102">
        <v>2024</v>
      </c>
      <c r="AV1102" t="s">
        <v>74</v>
      </c>
      <c r="AW1102" t="s">
        <v>74</v>
      </c>
      <c r="AX1102" t="s">
        <v>74</v>
      </c>
      <c r="AY1102" t="s">
        <v>74</v>
      </c>
      <c r="AZ1102" t="s">
        <v>74</v>
      </c>
      <c r="BA1102" t="s">
        <v>74</v>
      </c>
      <c r="BB1102" t="s">
        <v>74</v>
      </c>
      <c r="BC1102" t="s">
        <v>74</v>
      </c>
      <c r="BD1102" t="s">
        <v>74</v>
      </c>
      <c r="BE1102" t="s">
        <v>2841</v>
      </c>
      <c r="BF1102" t="str">
        <f>HYPERLINK("http://dx.doi.org/10.1037/com0000374","http://dx.doi.org/10.1037/com0000374")</f>
        <v>http://dx.doi.org/10.1037/com0000374</v>
      </c>
      <c r="BG1102" t="s">
        <v>74</v>
      </c>
      <c r="BH1102" t="s">
        <v>2842</v>
      </c>
      <c r="BI1102" t="s">
        <v>74</v>
      </c>
      <c r="BJ1102" t="s">
        <v>74</v>
      </c>
      <c r="BK1102" t="s">
        <v>74</v>
      </c>
      <c r="BL1102" t="s">
        <v>74</v>
      </c>
      <c r="BM1102" t="s">
        <v>74</v>
      </c>
      <c r="BN1102">
        <v>38330314</v>
      </c>
      <c r="BO1102" t="s">
        <v>74</v>
      </c>
      <c r="BP1102" t="s">
        <v>74</v>
      </c>
      <c r="BQ1102" t="s">
        <v>74</v>
      </c>
      <c r="BR1102" t="s">
        <v>74</v>
      </c>
      <c r="BS1102" t="s">
        <v>2843</v>
      </c>
      <c r="BT1102" t="str">
        <f>HYPERLINK("https%3A%2F%2Fwww.webofscience.com%2Fwos%2Fwoscc%2Ffull-record%2FWOS:001158763200001","View Full Record in Web of Science")</f>
        <v>View Full Record in Web of Science</v>
      </c>
    </row>
    <row r="1103" spans="1:72" x14ac:dyDescent="0.4">
      <c r="A1103" t="s">
        <v>72</v>
      </c>
      <c r="B1103" t="s">
        <v>3740</v>
      </c>
      <c r="C1103" t="s">
        <v>74</v>
      </c>
      <c r="D1103" t="s">
        <v>74</v>
      </c>
      <c r="E1103" t="s">
        <v>74</v>
      </c>
      <c r="F1103" t="s">
        <v>3740</v>
      </c>
      <c r="G1103" t="s">
        <v>74</v>
      </c>
      <c r="H1103" t="s">
        <v>74</v>
      </c>
      <c r="I1103" t="s">
        <v>3741</v>
      </c>
      <c r="J1103" t="s">
        <v>77</v>
      </c>
      <c r="K1103" t="s">
        <v>74</v>
      </c>
      <c r="L1103" t="s">
        <v>74</v>
      </c>
      <c r="M1103" t="s">
        <v>74</v>
      </c>
      <c r="N1103" t="s">
        <v>74</v>
      </c>
      <c r="O1103" t="s">
        <v>74</v>
      </c>
      <c r="P1103" t="s">
        <v>74</v>
      </c>
      <c r="Q1103" t="s">
        <v>74</v>
      </c>
      <c r="R1103" t="s">
        <v>74</v>
      </c>
      <c r="S1103" t="s">
        <v>74</v>
      </c>
      <c r="T1103" t="s">
        <v>74</v>
      </c>
      <c r="U1103" t="s">
        <v>74</v>
      </c>
      <c r="V1103" s="3" t="s">
        <v>3742</v>
      </c>
      <c r="W1103" t="s">
        <v>74</v>
      </c>
      <c r="X1103" t="s">
        <v>74</v>
      </c>
      <c r="Y1103" t="s">
        <v>74</v>
      </c>
      <c r="Z1103" t="s">
        <v>74</v>
      </c>
      <c r="AA1103" t="s">
        <v>74</v>
      </c>
      <c r="AB1103" t="s">
        <v>74</v>
      </c>
      <c r="AC1103" t="s">
        <v>74</v>
      </c>
      <c r="AD1103" t="s">
        <v>74</v>
      </c>
      <c r="AE1103" t="s">
        <v>74</v>
      </c>
      <c r="AF1103" t="s">
        <v>74</v>
      </c>
      <c r="AG1103" t="s">
        <v>74</v>
      </c>
      <c r="AH1103" t="s">
        <v>74</v>
      </c>
      <c r="AI1103" t="s">
        <v>74</v>
      </c>
      <c r="AJ1103" t="s">
        <v>74</v>
      </c>
      <c r="AK1103" t="s">
        <v>74</v>
      </c>
      <c r="AL1103" t="s">
        <v>74</v>
      </c>
      <c r="AM1103" t="s">
        <v>74</v>
      </c>
      <c r="AN1103" t="s">
        <v>74</v>
      </c>
      <c r="AO1103" t="s">
        <v>81</v>
      </c>
      <c r="AP1103" t="s">
        <v>82</v>
      </c>
      <c r="AQ1103" t="s">
        <v>74</v>
      </c>
      <c r="AR1103" t="s">
        <v>74</v>
      </c>
      <c r="AS1103" t="s">
        <v>74</v>
      </c>
      <c r="AT1103" t="s">
        <v>305</v>
      </c>
      <c r="AU1103">
        <v>1989</v>
      </c>
      <c r="AV1103">
        <v>111</v>
      </c>
      <c r="AW1103" t="s">
        <v>74</v>
      </c>
      <c r="AX1103" t="s">
        <v>3743</v>
      </c>
      <c r="AY1103" t="s">
        <v>74</v>
      </c>
      <c r="AZ1103" t="s">
        <v>74</v>
      </c>
      <c r="BA1103" t="s">
        <v>74</v>
      </c>
      <c r="BB1103">
        <v>220</v>
      </c>
      <c r="BC1103">
        <v>233</v>
      </c>
      <c r="BD1103" t="s">
        <v>74</v>
      </c>
      <c r="BE1103" t="s">
        <v>3744</v>
      </c>
      <c r="BF1103" t="str">
        <f>HYPERLINK("http://dx.doi.org/10.1163/156853989X00673","http://dx.doi.org/10.1163/156853989X00673")</f>
        <v>http://dx.doi.org/10.1163/156853989X00673</v>
      </c>
      <c r="BG1103" t="s">
        <v>74</v>
      </c>
      <c r="BH1103" t="s">
        <v>74</v>
      </c>
      <c r="BI1103" t="s">
        <v>74</v>
      </c>
      <c r="BJ1103" t="s">
        <v>74</v>
      </c>
      <c r="BK1103" t="s">
        <v>74</v>
      </c>
      <c r="BL1103" t="s">
        <v>74</v>
      </c>
      <c r="BM1103" t="s">
        <v>74</v>
      </c>
      <c r="BN1103" t="s">
        <v>74</v>
      </c>
      <c r="BO1103" t="s">
        <v>74</v>
      </c>
      <c r="BP1103" t="s">
        <v>74</v>
      </c>
      <c r="BQ1103" t="s">
        <v>74</v>
      </c>
      <c r="BR1103" t="s">
        <v>74</v>
      </c>
      <c r="BS1103" t="s">
        <v>3745</v>
      </c>
      <c r="BT1103" t="str">
        <f>HYPERLINK("https%3A%2F%2Fwww.webofscience.com%2Fwos%2Fwoscc%2Ffull-record%2FWOS:A1989CT62800014","View Full Record in Web of Science")</f>
        <v>View Full Record in Web of Science</v>
      </c>
    </row>
    <row r="1104" spans="1:72" x14ac:dyDescent="0.4">
      <c r="A1104" t="s">
        <v>72</v>
      </c>
      <c r="B1104" t="s">
        <v>651</v>
      </c>
      <c r="C1104" t="s">
        <v>74</v>
      </c>
      <c r="D1104" t="s">
        <v>74</v>
      </c>
      <c r="E1104" t="s">
        <v>74</v>
      </c>
      <c r="F1104" t="s">
        <v>652</v>
      </c>
      <c r="G1104" t="s">
        <v>74</v>
      </c>
      <c r="H1104" t="s">
        <v>74</v>
      </c>
      <c r="I1104" t="s">
        <v>653</v>
      </c>
      <c r="J1104" t="s">
        <v>654</v>
      </c>
      <c r="K1104" t="s">
        <v>74</v>
      </c>
      <c r="L1104" t="s">
        <v>74</v>
      </c>
      <c r="M1104" t="s">
        <v>74</v>
      </c>
      <c r="N1104" t="s">
        <v>74</v>
      </c>
      <c r="O1104" t="s">
        <v>74</v>
      </c>
      <c r="P1104" t="s">
        <v>74</v>
      </c>
      <c r="Q1104" t="s">
        <v>74</v>
      </c>
      <c r="R1104" t="s">
        <v>74</v>
      </c>
      <c r="S1104" t="s">
        <v>74</v>
      </c>
      <c r="T1104" t="s">
        <v>74</v>
      </c>
      <c r="U1104" t="s">
        <v>74</v>
      </c>
      <c r="V1104" s="3" t="s">
        <v>655</v>
      </c>
      <c r="W1104" t="s">
        <v>74</v>
      </c>
      <c r="X1104" t="s">
        <v>74</v>
      </c>
      <c r="Y1104" t="s">
        <v>74</v>
      </c>
      <c r="Z1104" t="s">
        <v>74</v>
      </c>
      <c r="AA1104" t="s">
        <v>656</v>
      </c>
      <c r="AB1104" t="s">
        <v>657</v>
      </c>
      <c r="AC1104" t="s">
        <v>74</v>
      </c>
      <c r="AD1104" t="s">
        <v>74</v>
      </c>
      <c r="AE1104" t="s">
        <v>74</v>
      </c>
      <c r="AF1104" t="s">
        <v>74</v>
      </c>
      <c r="AG1104" t="s">
        <v>74</v>
      </c>
      <c r="AH1104" t="s">
        <v>74</v>
      </c>
      <c r="AI1104" t="s">
        <v>74</v>
      </c>
      <c r="AJ1104" t="s">
        <v>74</v>
      </c>
      <c r="AK1104" t="s">
        <v>74</v>
      </c>
      <c r="AL1104" t="s">
        <v>74</v>
      </c>
      <c r="AM1104" t="s">
        <v>74</v>
      </c>
      <c r="AN1104" t="s">
        <v>74</v>
      </c>
      <c r="AO1104" t="s">
        <v>658</v>
      </c>
      <c r="AP1104" t="s">
        <v>74</v>
      </c>
      <c r="AQ1104" t="s">
        <v>74</v>
      </c>
      <c r="AR1104" t="s">
        <v>74</v>
      </c>
      <c r="AS1104" t="s">
        <v>74</v>
      </c>
      <c r="AT1104" t="s">
        <v>305</v>
      </c>
      <c r="AU1104">
        <v>2023</v>
      </c>
      <c r="AV1104">
        <v>13</v>
      </c>
      <c r="AW1104">
        <v>12</v>
      </c>
      <c r="AX1104" t="s">
        <v>74</v>
      </c>
      <c r="AY1104" t="s">
        <v>74</v>
      </c>
      <c r="AZ1104" t="s">
        <v>74</v>
      </c>
      <c r="BA1104" t="s">
        <v>74</v>
      </c>
      <c r="BB1104" t="s">
        <v>74</v>
      </c>
      <c r="BC1104" t="s">
        <v>74</v>
      </c>
      <c r="BD1104" t="s">
        <v>659</v>
      </c>
      <c r="BE1104" t="s">
        <v>660</v>
      </c>
      <c r="BF1104" t="str">
        <f>HYPERLINK("http://dx.doi.org/10.1002/ece3.10735","http://dx.doi.org/10.1002/ece3.10735")</f>
        <v>http://dx.doi.org/10.1002/ece3.10735</v>
      </c>
      <c r="BG1104" t="s">
        <v>74</v>
      </c>
      <c r="BH1104" t="s">
        <v>74</v>
      </c>
      <c r="BI1104" t="s">
        <v>74</v>
      </c>
      <c r="BJ1104" t="s">
        <v>74</v>
      </c>
      <c r="BK1104" t="s">
        <v>74</v>
      </c>
      <c r="BL1104" t="s">
        <v>74</v>
      </c>
      <c r="BM1104" t="s">
        <v>74</v>
      </c>
      <c r="BN1104">
        <v>38077506</v>
      </c>
      <c r="BO1104" t="s">
        <v>74</v>
      </c>
      <c r="BP1104" t="s">
        <v>74</v>
      </c>
      <c r="BQ1104" t="s">
        <v>74</v>
      </c>
      <c r="BR1104" t="s">
        <v>74</v>
      </c>
      <c r="BS1104" t="s">
        <v>661</v>
      </c>
      <c r="BT1104" t="str">
        <f>HYPERLINK("https%3A%2F%2Fwww.webofscience.com%2Fwos%2Fwoscc%2Ffull-record%2FWOS:001114381400001","View Full Record in Web of Science")</f>
        <v>View Full Record in Web of Science</v>
      </c>
    </row>
    <row r="1105" spans="1:72" x14ac:dyDescent="0.4">
      <c r="A1105" t="s">
        <v>72</v>
      </c>
      <c r="B1105" t="s">
        <v>355</v>
      </c>
      <c r="C1105" t="s">
        <v>74</v>
      </c>
      <c r="D1105" t="s">
        <v>74</v>
      </c>
      <c r="E1105" t="s">
        <v>74</v>
      </c>
      <c r="F1105" t="s">
        <v>356</v>
      </c>
      <c r="G1105" t="s">
        <v>74</v>
      </c>
      <c r="H1105" t="s">
        <v>74</v>
      </c>
      <c r="I1105" t="s">
        <v>357</v>
      </c>
      <c r="J1105" t="s">
        <v>88</v>
      </c>
      <c r="K1105" t="s">
        <v>74</v>
      </c>
      <c r="L1105" t="s">
        <v>74</v>
      </c>
      <c r="M1105" t="s">
        <v>74</v>
      </c>
      <c r="N1105" t="s">
        <v>74</v>
      </c>
      <c r="O1105" t="s">
        <v>74</v>
      </c>
      <c r="P1105" t="s">
        <v>74</v>
      </c>
      <c r="Q1105" t="s">
        <v>74</v>
      </c>
      <c r="R1105" t="s">
        <v>74</v>
      </c>
      <c r="S1105" t="s">
        <v>74</v>
      </c>
      <c r="T1105" t="s">
        <v>74</v>
      </c>
      <c r="U1105" t="s">
        <v>74</v>
      </c>
      <c r="V1105" s="3" t="s">
        <v>358</v>
      </c>
      <c r="W1105" t="s">
        <v>74</v>
      </c>
      <c r="X1105" t="s">
        <v>74</v>
      </c>
      <c r="Y1105" t="s">
        <v>74</v>
      </c>
      <c r="Z1105" t="s">
        <v>74</v>
      </c>
      <c r="AA1105" t="s">
        <v>359</v>
      </c>
      <c r="AB1105" t="s">
        <v>360</v>
      </c>
      <c r="AC1105" t="s">
        <v>74</v>
      </c>
      <c r="AD1105" t="s">
        <v>74</v>
      </c>
      <c r="AE1105" t="s">
        <v>74</v>
      </c>
      <c r="AF1105" t="s">
        <v>74</v>
      </c>
      <c r="AG1105" t="s">
        <v>74</v>
      </c>
      <c r="AH1105" t="s">
        <v>74</v>
      </c>
      <c r="AI1105" t="s">
        <v>74</v>
      </c>
      <c r="AJ1105" t="s">
        <v>74</v>
      </c>
      <c r="AK1105" t="s">
        <v>74</v>
      </c>
      <c r="AL1105" t="s">
        <v>74</v>
      </c>
      <c r="AM1105" t="s">
        <v>74</v>
      </c>
      <c r="AN1105" t="s">
        <v>74</v>
      </c>
      <c r="AO1105" t="s">
        <v>91</v>
      </c>
      <c r="AP1105" t="s">
        <v>92</v>
      </c>
      <c r="AQ1105" t="s">
        <v>74</v>
      </c>
      <c r="AR1105" t="s">
        <v>74</v>
      </c>
      <c r="AS1105" t="s">
        <v>74</v>
      </c>
      <c r="AT1105" t="s">
        <v>361</v>
      </c>
      <c r="AU1105">
        <v>2015</v>
      </c>
      <c r="AV1105">
        <v>11</v>
      </c>
      <c r="AW1105">
        <v>5</v>
      </c>
      <c r="AX1105" t="s">
        <v>74</v>
      </c>
      <c r="AY1105" t="s">
        <v>74</v>
      </c>
      <c r="AZ1105" t="s">
        <v>74</v>
      </c>
      <c r="BA1105" t="s">
        <v>74</v>
      </c>
      <c r="BB1105" t="s">
        <v>74</v>
      </c>
      <c r="BC1105" t="s">
        <v>74</v>
      </c>
      <c r="BD1105">
        <v>20150166</v>
      </c>
      <c r="BE1105" t="s">
        <v>362</v>
      </c>
      <c r="BF1105" t="str">
        <f>HYPERLINK("http://dx.doi.org/10.1098/rsbl.2015.0166","http://dx.doi.org/10.1098/rsbl.2015.0166")</f>
        <v>http://dx.doi.org/10.1098/rsbl.2015.0166</v>
      </c>
      <c r="BG1105" t="s">
        <v>74</v>
      </c>
      <c r="BH1105" t="s">
        <v>74</v>
      </c>
      <c r="BI1105" t="s">
        <v>74</v>
      </c>
      <c r="BJ1105" t="s">
        <v>74</v>
      </c>
      <c r="BK1105" t="s">
        <v>74</v>
      </c>
      <c r="BL1105" t="s">
        <v>74</v>
      </c>
      <c r="BM1105" t="s">
        <v>74</v>
      </c>
      <c r="BN1105">
        <v>25972401</v>
      </c>
      <c r="BO1105" t="s">
        <v>74</v>
      </c>
      <c r="BP1105" t="s">
        <v>74</v>
      </c>
      <c r="BQ1105" t="s">
        <v>74</v>
      </c>
      <c r="BR1105" t="s">
        <v>74</v>
      </c>
      <c r="BS1105" t="s">
        <v>363</v>
      </c>
      <c r="BT1105" t="str">
        <f>HYPERLINK("https%3A%2F%2Fwww.webofscience.com%2Fwos%2Fwoscc%2Ffull-record%2FWOS:000357684200014","View Full Record in Web of Science")</f>
        <v>View Full Record in Web of Science</v>
      </c>
    </row>
    <row r="1106" spans="1:72" x14ac:dyDescent="0.4">
      <c r="A1106" t="s">
        <v>72</v>
      </c>
      <c r="B1106" t="s">
        <v>6049</v>
      </c>
      <c r="C1106" t="s">
        <v>74</v>
      </c>
      <c r="D1106" t="s">
        <v>74</v>
      </c>
      <c r="E1106" t="s">
        <v>74</v>
      </c>
      <c r="F1106" t="s">
        <v>6049</v>
      </c>
      <c r="G1106" t="s">
        <v>74</v>
      </c>
      <c r="H1106" t="s">
        <v>74</v>
      </c>
      <c r="I1106" t="s">
        <v>6050</v>
      </c>
      <c r="J1106" t="s">
        <v>171</v>
      </c>
      <c r="K1106" t="s">
        <v>74</v>
      </c>
      <c r="L1106" t="s">
        <v>74</v>
      </c>
      <c r="M1106" t="s">
        <v>74</v>
      </c>
      <c r="N1106" t="s">
        <v>74</v>
      </c>
      <c r="O1106" t="s">
        <v>74</v>
      </c>
      <c r="P1106" t="s">
        <v>74</v>
      </c>
      <c r="Q1106" t="s">
        <v>74</v>
      </c>
      <c r="R1106" t="s">
        <v>74</v>
      </c>
      <c r="S1106" t="s">
        <v>74</v>
      </c>
      <c r="T1106" t="s">
        <v>74</v>
      </c>
      <c r="U1106" t="s">
        <v>74</v>
      </c>
      <c r="V1106" s="3" t="s">
        <v>6051</v>
      </c>
      <c r="W1106" t="s">
        <v>74</v>
      </c>
      <c r="X1106" t="s">
        <v>74</v>
      </c>
      <c r="Y1106" t="s">
        <v>74</v>
      </c>
      <c r="Z1106" t="s">
        <v>74</v>
      </c>
      <c r="AA1106" t="s">
        <v>74</v>
      </c>
      <c r="AB1106" t="s">
        <v>6052</v>
      </c>
      <c r="AC1106" t="s">
        <v>74</v>
      </c>
      <c r="AD1106" t="s">
        <v>74</v>
      </c>
      <c r="AE1106" t="s">
        <v>74</v>
      </c>
      <c r="AF1106" t="s">
        <v>74</v>
      </c>
      <c r="AG1106" t="s">
        <v>74</v>
      </c>
      <c r="AH1106" t="s">
        <v>74</v>
      </c>
      <c r="AI1106" t="s">
        <v>74</v>
      </c>
      <c r="AJ1106" t="s">
        <v>74</v>
      </c>
      <c r="AK1106" t="s">
        <v>74</v>
      </c>
      <c r="AL1106" t="s">
        <v>74</v>
      </c>
      <c r="AM1106" t="s">
        <v>74</v>
      </c>
      <c r="AN1106" t="s">
        <v>74</v>
      </c>
      <c r="AO1106" t="s">
        <v>173</v>
      </c>
      <c r="AP1106" t="s">
        <v>174</v>
      </c>
      <c r="AQ1106" t="s">
        <v>74</v>
      </c>
      <c r="AR1106" t="s">
        <v>74</v>
      </c>
      <c r="AS1106" t="s">
        <v>74</v>
      </c>
      <c r="AT1106" t="s">
        <v>305</v>
      </c>
      <c r="AU1106">
        <v>1999</v>
      </c>
      <c r="AV1106">
        <v>53</v>
      </c>
      <c r="AW1106">
        <v>6</v>
      </c>
      <c r="AX1106" t="s">
        <v>74</v>
      </c>
      <c r="AY1106" t="s">
        <v>74</v>
      </c>
      <c r="AZ1106" t="s">
        <v>74</v>
      </c>
      <c r="BA1106" t="s">
        <v>74</v>
      </c>
      <c r="BB1106">
        <v>1884</v>
      </c>
      <c r="BC1106">
        <v>1897</v>
      </c>
      <c r="BD1106" t="s">
        <v>74</v>
      </c>
      <c r="BE1106" t="s">
        <v>6053</v>
      </c>
      <c r="BF1106" t="str">
        <f>HYPERLINK("http://dx.doi.org/10.2307/2640448","http://dx.doi.org/10.2307/2640448")</f>
        <v>http://dx.doi.org/10.2307/2640448</v>
      </c>
      <c r="BG1106" t="s">
        <v>74</v>
      </c>
      <c r="BH1106" t="s">
        <v>74</v>
      </c>
      <c r="BI1106" t="s">
        <v>74</v>
      </c>
      <c r="BJ1106" t="s">
        <v>74</v>
      </c>
      <c r="BK1106" t="s">
        <v>74</v>
      </c>
      <c r="BL1106" t="s">
        <v>74</v>
      </c>
      <c r="BM1106" t="s">
        <v>74</v>
      </c>
      <c r="BN1106">
        <v>28565467</v>
      </c>
      <c r="BO1106" t="s">
        <v>74</v>
      </c>
      <c r="BP1106" t="s">
        <v>74</v>
      </c>
      <c r="BQ1106" t="s">
        <v>74</v>
      </c>
      <c r="BR1106" t="s">
        <v>74</v>
      </c>
      <c r="BS1106" t="s">
        <v>6054</v>
      </c>
      <c r="BT1106" t="str">
        <f>HYPERLINK("https%3A%2F%2Fwww.webofscience.com%2Fwos%2Fwoscc%2Ffull-record%2FWOS:000084703100021","View Full Record in Web of Science")</f>
        <v>View Full Record in Web of Science</v>
      </c>
    </row>
    <row r="1107" spans="1:72" x14ac:dyDescent="0.4">
      <c r="A1107" t="s">
        <v>72</v>
      </c>
      <c r="B1107" t="s">
        <v>4733</v>
      </c>
      <c r="C1107" t="s">
        <v>74</v>
      </c>
      <c r="D1107" t="s">
        <v>74</v>
      </c>
      <c r="E1107" t="s">
        <v>74</v>
      </c>
      <c r="F1107" t="s">
        <v>4734</v>
      </c>
      <c r="G1107" t="s">
        <v>74</v>
      </c>
      <c r="H1107" t="s">
        <v>74</v>
      </c>
      <c r="I1107" t="s">
        <v>4735</v>
      </c>
      <c r="J1107" t="s">
        <v>77</v>
      </c>
      <c r="K1107" t="s">
        <v>74</v>
      </c>
      <c r="L1107" t="s">
        <v>74</v>
      </c>
      <c r="M1107" t="s">
        <v>74</v>
      </c>
      <c r="N1107" t="s">
        <v>74</v>
      </c>
      <c r="O1107" t="s">
        <v>74</v>
      </c>
      <c r="P1107" t="s">
        <v>74</v>
      </c>
      <c r="Q1107" t="s">
        <v>74</v>
      </c>
      <c r="R1107" t="s">
        <v>74</v>
      </c>
      <c r="S1107" t="s">
        <v>74</v>
      </c>
      <c r="T1107" t="s">
        <v>74</v>
      </c>
      <c r="U1107" t="s">
        <v>74</v>
      </c>
      <c r="V1107" s="3" t="s">
        <v>4736</v>
      </c>
      <c r="W1107" t="s">
        <v>74</v>
      </c>
      <c r="X1107" t="s">
        <v>74</v>
      </c>
      <c r="Y1107" t="s">
        <v>74</v>
      </c>
      <c r="Z1107" t="s">
        <v>74</v>
      </c>
      <c r="AA1107" t="s">
        <v>4737</v>
      </c>
      <c r="AB1107" t="s">
        <v>74</v>
      </c>
      <c r="AC1107" t="s">
        <v>74</v>
      </c>
      <c r="AD1107" t="s">
        <v>74</v>
      </c>
      <c r="AE1107" t="s">
        <v>74</v>
      </c>
      <c r="AF1107" t="s">
        <v>74</v>
      </c>
      <c r="AG1107" t="s">
        <v>74</v>
      </c>
      <c r="AH1107" t="s">
        <v>74</v>
      </c>
      <c r="AI1107" t="s">
        <v>74</v>
      </c>
      <c r="AJ1107" t="s">
        <v>74</v>
      </c>
      <c r="AK1107" t="s">
        <v>74</v>
      </c>
      <c r="AL1107" t="s">
        <v>74</v>
      </c>
      <c r="AM1107" t="s">
        <v>74</v>
      </c>
      <c r="AN1107" t="s">
        <v>74</v>
      </c>
      <c r="AO1107" t="s">
        <v>81</v>
      </c>
      <c r="AP1107" t="s">
        <v>82</v>
      </c>
      <c r="AQ1107" t="s">
        <v>74</v>
      </c>
      <c r="AR1107" t="s">
        <v>74</v>
      </c>
      <c r="AS1107" t="s">
        <v>74</v>
      </c>
      <c r="AT1107" t="s">
        <v>74</v>
      </c>
      <c r="AU1107">
        <v>2015</v>
      </c>
      <c r="AV1107">
        <v>152</v>
      </c>
      <c r="AW1107">
        <v>5</v>
      </c>
      <c r="AX1107" t="s">
        <v>74</v>
      </c>
      <c r="AY1107" t="s">
        <v>74</v>
      </c>
      <c r="AZ1107" t="s">
        <v>74</v>
      </c>
      <c r="BA1107" t="s">
        <v>74</v>
      </c>
      <c r="BB1107">
        <v>563</v>
      </c>
      <c r="BC1107">
        <v>591</v>
      </c>
      <c r="BD1107" t="s">
        <v>74</v>
      </c>
      <c r="BE1107" t="s">
        <v>4738</v>
      </c>
      <c r="BF1107" t="str">
        <f>HYPERLINK("http://dx.doi.org/10.1163/1568539X-00003243","http://dx.doi.org/10.1163/1568539X-00003243")</f>
        <v>http://dx.doi.org/10.1163/1568539X-00003243</v>
      </c>
      <c r="BG1107" t="s">
        <v>74</v>
      </c>
      <c r="BH1107" t="s">
        <v>74</v>
      </c>
      <c r="BI1107" t="s">
        <v>74</v>
      </c>
      <c r="BJ1107" t="s">
        <v>74</v>
      </c>
      <c r="BK1107" t="s">
        <v>74</v>
      </c>
      <c r="BL1107" t="s">
        <v>74</v>
      </c>
      <c r="BM1107" t="s">
        <v>74</v>
      </c>
      <c r="BN1107" t="s">
        <v>74</v>
      </c>
      <c r="BO1107" t="s">
        <v>74</v>
      </c>
      <c r="BP1107" t="s">
        <v>74</v>
      </c>
      <c r="BQ1107" t="s">
        <v>74</v>
      </c>
      <c r="BR1107" t="s">
        <v>74</v>
      </c>
      <c r="BS1107" t="s">
        <v>4739</v>
      </c>
      <c r="BT1107" t="str">
        <f>HYPERLINK("https%3A%2F%2Fwww.webofscience.com%2Fwos%2Fwoscc%2Ffull-record%2FWOS:000351364600001","View Full Record in Web of Science")</f>
        <v>View Full Record in Web of Science</v>
      </c>
    </row>
    <row r="1108" spans="1:72" x14ac:dyDescent="0.4">
      <c r="A1108" t="s">
        <v>72</v>
      </c>
      <c r="B1108" t="s">
        <v>6864</v>
      </c>
      <c r="C1108" t="s">
        <v>74</v>
      </c>
      <c r="D1108" t="s">
        <v>74</v>
      </c>
      <c r="E1108" t="s">
        <v>74</v>
      </c>
      <c r="F1108" t="s">
        <v>6865</v>
      </c>
      <c r="G1108" t="s">
        <v>74</v>
      </c>
      <c r="H1108" t="s">
        <v>74</v>
      </c>
      <c r="I1108" t="s">
        <v>6866</v>
      </c>
      <c r="J1108" t="s">
        <v>6867</v>
      </c>
      <c r="K1108" t="s">
        <v>74</v>
      </c>
      <c r="L1108" t="s">
        <v>74</v>
      </c>
      <c r="M1108" t="s">
        <v>74</v>
      </c>
      <c r="N1108" t="s">
        <v>74</v>
      </c>
      <c r="O1108" t="s">
        <v>74</v>
      </c>
      <c r="P1108" t="s">
        <v>74</v>
      </c>
      <c r="Q1108" t="s">
        <v>74</v>
      </c>
      <c r="R1108" t="s">
        <v>74</v>
      </c>
      <c r="S1108" t="s">
        <v>74</v>
      </c>
      <c r="T1108" t="s">
        <v>74</v>
      </c>
      <c r="U1108" t="s">
        <v>74</v>
      </c>
      <c r="V1108" s="3" t="s">
        <v>6868</v>
      </c>
      <c r="W1108" t="s">
        <v>74</v>
      </c>
      <c r="X1108" t="s">
        <v>74</v>
      </c>
      <c r="Y1108" t="s">
        <v>74</v>
      </c>
      <c r="Z1108" t="s">
        <v>74</v>
      </c>
      <c r="AA1108" t="s">
        <v>6869</v>
      </c>
      <c r="AB1108" t="s">
        <v>6870</v>
      </c>
      <c r="AC1108" t="s">
        <v>74</v>
      </c>
      <c r="AD1108" t="s">
        <v>74</v>
      </c>
      <c r="AE1108" t="s">
        <v>74</v>
      </c>
      <c r="AF1108" t="s">
        <v>74</v>
      </c>
      <c r="AG1108" t="s">
        <v>74</v>
      </c>
      <c r="AH1108" t="s">
        <v>74</v>
      </c>
      <c r="AI1108" t="s">
        <v>74</v>
      </c>
      <c r="AJ1108" t="s">
        <v>74</v>
      </c>
      <c r="AK1108" t="s">
        <v>74</v>
      </c>
      <c r="AL1108" t="s">
        <v>74</v>
      </c>
      <c r="AM1108" t="s">
        <v>74</v>
      </c>
      <c r="AN1108" t="s">
        <v>74</v>
      </c>
      <c r="AO1108" t="s">
        <v>6871</v>
      </c>
      <c r="AP1108" t="s">
        <v>6872</v>
      </c>
      <c r="AQ1108" t="s">
        <v>74</v>
      </c>
      <c r="AR1108" t="s">
        <v>74</v>
      </c>
      <c r="AS1108" t="s">
        <v>74</v>
      </c>
      <c r="AT1108" t="s">
        <v>175</v>
      </c>
      <c r="AU1108">
        <v>2020</v>
      </c>
      <c r="AV1108">
        <v>53</v>
      </c>
      <c r="AW1108" t="s">
        <v>74</v>
      </c>
      <c r="AX1108" t="s">
        <v>74</v>
      </c>
      <c r="AY1108" t="s">
        <v>74</v>
      </c>
      <c r="AZ1108" t="s">
        <v>74</v>
      </c>
      <c r="BA1108" t="s">
        <v>74</v>
      </c>
      <c r="BB1108" t="s">
        <v>74</v>
      </c>
      <c r="BC1108" t="s">
        <v>74</v>
      </c>
      <c r="BD1108">
        <v>100753</v>
      </c>
      <c r="BE1108" t="s">
        <v>6873</v>
      </c>
      <c r="BF1108" t="str">
        <f>HYPERLINK("http://dx.doi.org/10.1016/j.margen.2020.100753","http://dx.doi.org/10.1016/j.margen.2020.100753")</f>
        <v>http://dx.doi.org/10.1016/j.margen.2020.100753</v>
      </c>
      <c r="BG1108" t="s">
        <v>74</v>
      </c>
      <c r="BH1108" t="s">
        <v>74</v>
      </c>
      <c r="BI1108" t="s">
        <v>74</v>
      </c>
      <c r="BJ1108" t="s">
        <v>74</v>
      </c>
      <c r="BK1108" t="s">
        <v>74</v>
      </c>
      <c r="BL1108" t="s">
        <v>74</v>
      </c>
      <c r="BM1108" t="s">
        <v>74</v>
      </c>
      <c r="BN1108">
        <v>32057717</v>
      </c>
      <c r="BO1108" t="s">
        <v>74</v>
      </c>
      <c r="BP1108" t="s">
        <v>74</v>
      </c>
      <c r="BQ1108" t="s">
        <v>74</v>
      </c>
      <c r="BR1108" t="s">
        <v>74</v>
      </c>
      <c r="BS1108" t="s">
        <v>6874</v>
      </c>
      <c r="BT1108" t="str">
        <f>HYPERLINK("https%3A%2F%2Fwww.webofscience.com%2Fwos%2Fwoscc%2Ffull-record%2FWOS:000567844300003","View Full Record in Web of Science")</f>
        <v>View Full Record in Web of Science</v>
      </c>
    </row>
    <row r="1109" spans="1:72" x14ac:dyDescent="0.4">
      <c r="A1109" t="s">
        <v>72</v>
      </c>
      <c r="B1109" t="s">
        <v>800</v>
      </c>
      <c r="C1109" t="s">
        <v>74</v>
      </c>
      <c r="D1109" t="s">
        <v>74</v>
      </c>
      <c r="E1109" t="s">
        <v>74</v>
      </c>
      <c r="F1109" t="s">
        <v>801</v>
      </c>
      <c r="G1109" t="s">
        <v>74</v>
      </c>
      <c r="H1109" t="s">
        <v>74</v>
      </c>
      <c r="I1109" t="s">
        <v>802</v>
      </c>
      <c r="J1109" t="s">
        <v>803</v>
      </c>
      <c r="K1109" t="s">
        <v>74</v>
      </c>
      <c r="L1109" t="s">
        <v>74</v>
      </c>
      <c r="M1109" t="s">
        <v>74</v>
      </c>
      <c r="N1109" t="s">
        <v>74</v>
      </c>
      <c r="O1109" t="s">
        <v>74</v>
      </c>
      <c r="P1109" t="s">
        <v>74</v>
      </c>
      <c r="Q1109" t="s">
        <v>74</v>
      </c>
      <c r="R1109" t="s">
        <v>74</v>
      </c>
      <c r="S1109" t="s">
        <v>74</v>
      </c>
      <c r="T1109" t="s">
        <v>74</v>
      </c>
      <c r="U1109" t="s">
        <v>74</v>
      </c>
      <c r="V1109" s="3" t="s">
        <v>804</v>
      </c>
      <c r="W1109" t="s">
        <v>74</v>
      </c>
      <c r="X1109" t="s">
        <v>74</v>
      </c>
      <c r="Y1109" t="s">
        <v>74</v>
      </c>
      <c r="Z1109" t="s">
        <v>74</v>
      </c>
      <c r="AA1109" t="s">
        <v>805</v>
      </c>
      <c r="AB1109" t="s">
        <v>74</v>
      </c>
      <c r="AC1109" t="s">
        <v>74</v>
      </c>
      <c r="AD1109" t="s">
        <v>74</v>
      </c>
      <c r="AE1109" t="s">
        <v>74</v>
      </c>
      <c r="AF1109" t="s">
        <v>74</v>
      </c>
      <c r="AG1109" t="s">
        <v>74</v>
      </c>
      <c r="AH1109" t="s">
        <v>74</v>
      </c>
      <c r="AI1109" t="s">
        <v>74</v>
      </c>
      <c r="AJ1109" t="s">
        <v>74</v>
      </c>
      <c r="AK1109" t="s">
        <v>74</v>
      </c>
      <c r="AL1109" t="s">
        <v>74</v>
      </c>
      <c r="AM1109" t="s">
        <v>74</v>
      </c>
      <c r="AN1109" t="s">
        <v>74</v>
      </c>
      <c r="AO1109" t="s">
        <v>806</v>
      </c>
      <c r="AP1109" t="s">
        <v>807</v>
      </c>
      <c r="AQ1109" t="s">
        <v>74</v>
      </c>
      <c r="AR1109" t="s">
        <v>74</v>
      </c>
      <c r="AS1109" t="s">
        <v>74</v>
      </c>
      <c r="AT1109" t="s">
        <v>808</v>
      </c>
      <c r="AU1109">
        <v>2016</v>
      </c>
      <c r="AV1109">
        <v>13</v>
      </c>
      <c r="AW1109" t="s">
        <v>74</v>
      </c>
      <c r="AX1109" t="s">
        <v>74</v>
      </c>
      <c r="AY1109" t="s">
        <v>74</v>
      </c>
      <c r="AZ1109" t="s">
        <v>74</v>
      </c>
      <c r="BA1109" t="s">
        <v>74</v>
      </c>
      <c r="BB1109">
        <v>80</v>
      </c>
      <c r="BC1109">
        <v>87</v>
      </c>
      <c r="BD1109" t="s">
        <v>74</v>
      </c>
      <c r="BE1109" t="s">
        <v>809</v>
      </c>
      <c r="BF1109" t="str">
        <f>HYPERLINK("http://dx.doi.org/10.1016/j.jveb.2016.03.009","http://dx.doi.org/10.1016/j.jveb.2016.03.009")</f>
        <v>http://dx.doi.org/10.1016/j.jveb.2016.03.009</v>
      </c>
      <c r="BG1109" t="s">
        <v>74</v>
      </c>
      <c r="BH1109" t="s">
        <v>74</v>
      </c>
      <c r="BI1109" t="s">
        <v>74</v>
      </c>
      <c r="BJ1109" t="s">
        <v>74</v>
      </c>
      <c r="BK1109" t="s">
        <v>74</v>
      </c>
      <c r="BL1109" t="s">
        <v>74</v>
      </c>
      <c r="BM1109" t="s">
        <v>74</v>
      </c>
      <c r="BN1109" t="s">
        <v>74</v>
      </c>
      <c r="BO1109" t="s">
        <v>74</v>
      </c>
      <c r="BP1109" t="s">
        <v>74</v>
      </c>
      <c r="BQ1109" t="s">
        <v>74</v>
      </c>
      <c r="BR1109" t="s">
        <v>74</v>
      </c>
      <c r="BS1109" t="s">
        <v>810</v>
      </c>
      <c r="BT1109" t="str">
        <f>HYPERLINK("https%3A%2F%2Fwww.webofscience.com%2Fwos%2Fwoscc%2Ffull-record%2FWOS:000378094700013","View Full Record in Web of Science")</f>
        <v>View Full Record in Web of Science</v>
      </c>
    </row>
    <row r="1110" spans="1:72" x14ac:dyDescent="0.4">
      <c r="A1110" t="s">
        <v>72</v>
      </c>
      <c r="B1110" t="s">
        <v>6187</v>
      </c>
      <c r="C1110" t="s">
        <v>74</v>
      </c>
      <c r="D1110" t="s">
        <v>74</v>
      </c>
      <c r="E1110" t="s">
        <v>74</v>
      </c>
      <c r="F1110" t="s">
        <v>6188</v>
      </c>
      <c r="G1110" t="s">
        <v>74</v>
      </c>
      <c r="H1110" t="s">
        <v>74</v>
      </c>
      <c r="I1110" t="s">
        <v>6189</v>
      </c>
      <c r="J1110" t="s">
        <v>6190</v>
      </c>
      <c r="K1110" t="s">
        <v>74</v>
      </c>
      <c r="L1110" t="s">
        <v>74</v>
      </c>
      <c r="M1110" t="s">
        <v>74</v>
      </c>
      <c r="N1110" t="s">
        <v>74</v>
      </c>
      <c r="O1110" t="s">
        <v>74</v>
      </c>
      <c r="P1110" t="s">
        <v>74</v>
      </c>
      <c r="Q1110" t="s">
        <v>74</v>
      </c>
      <c r="R1110" t="s">
        <v>74</v>
      </c>
      <c r="S1110" t="s">
        <v>74</v>
      </c>
      <c r="T1110" t="s">
        <v>74</v>
      </c>
      <c r="U1110" t="s">
        <v>74</v>
      </c>
      <c r="V1110" s="3" t="s">
        <v>6191</v>
      </c>
      <c r="W1110" t="s">
        <v>74</v>
      </c>
      <c r="X1110" t="s">
        <v>74</v>
      </c>
      <c r="Y1110" t="s">
        <v>74</v>
      </c>
      <c r="Z1110" t="s">
        <v>74</v>
      </c>
      <c r="AA1110" t="s">
        <v>6192</v>
      </c>
      <c r="AB1110" t="s">
        <v>6193</v>
      </c>
      <c r="AC1110" t="s">
        <v>74</v>
      </c>
      <c r="AD1110" t="s">
        <v>74</v>
      </c>
      <c r="AE1110" t="s">
        <v>74</v>
      </c>
      <c r="AF1110" t="s">
        <v>74</v>
      </c>
      <c r="AG1110" t="s">
        <v>74</v>
      </c>
      <c r="AH1110" t="s">
        <v>74</v>
      </c>
      <c r="AI1110" t="s">
        <v>74</v>
      </c>
      <c r="AJ1110" t="s">
        <v>74</v>
      </c>
      <c r="AK1110" t="s">
        <v>74</v>
      </c>
      <c r="AL1110" t="s">
        <v>74</v>
      </c>
      <c r="AM1110" t="s">
        <v>74</v>
      </c>
      <c r="AN1110" t="s">
        <v>74</v>
      </c>
      <c r="AO1110" t="s">
        <v>6194</v>
      </c>
      <c r="AP1110" t="s">
        <v>6195</v>
      </c>
      <c r="AQ1110" t="s">
        <v>74</v>
      </c>
      <c r="AR1110" t="s">
        <v>74</v>
      </c>
      <c r="AS1110" t="s">
        <v>74</v>
      </c>
      <c r="AT1110" t="s">
        <v>134</v>
      </c>
      <c r="AU1110">
        <v>2022</v>
      </c>
      <c r="AV1110">
        <v>61</v>
      </c>
      <c r="AW1110">
        <v>2</v>
      </c>
      <c r="AX1110" t="s">
        <v>74</v>
      </c>
      <c r="AY1110" t="s">
        <v>74</v>
      </c>
      <c r="AZ1110" t="s">
        <v>74</v>
      </c>
      <c r="BA1110" t="s">
        <v>74</v>
      </c>
      <c r="BB1110">
        <v>137</v>
      </c>
      <c r="BC1110">
        <v>155</v>
      </c>
      <c r="BD1110" t="s">
        <v>74</v>
      </c>
      <c r="BE1110" t="s">
        <v>6196</v>
      </c>
      <c r="BF1110" t="str">
        <f>HYPERLINK("http://dx.doi.org/10.1111/aen.12596","http://dx.doi.org/10.1111/aen.12596")</f>
        <v>http://dx.doi.org/10.1111/aen.12596</v>
      </c>
      <c r="BG1110" t="s">
        <v>74</v>
      </c>
      <c r="BH1110" t="s">
        <v>74</v>
      </c>
      <c r="BI1110" t="s">
        <v>74</v>
      </c>
      <c r="BJ1110" t="s">
        <v>74</v>
      </c>
      <c r="BK1110" t="s">
        <v>74</v>
      </c>
      <c r="BL1110" t="s">
        <v>74</v>
      </c>
      <c r="BM1110" t="s">
        <v>74</v>
      </c>
      <c r="BN1110" t="s">
        <v>74</v>
      </c>
      <c r="BO1110" t="s">
        <v>74</v>
      </c>
      <c r="BP1110" t="s">
        <v>74</v>
      </c>
      <c r="BQ1110" t="s">
        <v>74</v>
      </c>
      <c r="BR1110" t="s">
        <v>74</v>
      </c>
      <c r="BS1110" t="s">
        <v>6197</v>
      </c>
      <c r="BT1110" t="str">
        <f>HYPERLINK("https%3A%2F%2Fwww.webofscience.com%2Fwos%2Fwoscc%2Ffull-record%2FWOS:000805597200003","View Full Record in Web of Science")</f>
        <v>View Full Record in Web of Science</v>
      </c>
    </row>
    <row r="1111" spans="1:72" x14ac:dyDescent="0.4">
      <c r="A1111" t="s">
        <v>72</v>
      </c>
      <c r="B1111" t="s">
        <v>1461</v>
      </c>
      <c r="C1111" t="s">
        <v>74</v>
      </c>
      <c r="D1111" t="s">
        <v>74</v>
      </c>
      <c r="E1111" t="s">
        <v>74</v>
      </c>
      <c r="F1111" t="s">
        <v>1462</v>
      </c>
      <c r="G1111" t="s">
        <v>74</v>
      </c>
      <c r="H1111" t="s">
        <v>74</v>
      </c>
      <c r="I1111" t="s">
        <v>1463</v>
      </c>
      <c r="J1111" t="s">
        <v>140</v>
      </c>
      <c r="K1111" t="s">
        <v>74</v>
      </c>
      <c r="L1111" t="s">
        <v>74</v>
      </c>
      <c r="M1111" t="s">
        <v>74</v>
      </c>
      <c r="N1111" t="s">
        <v>74</v>
      </c>
      <c r="O1111" t="s">
        <v>74</v>
      </c>
      <c r="P1111" t="s">
        <v>74</v>
      </c>
      <c r="Q1111" t="s">
        <v>74</v>
      </c>
      <c r="R1111" t="s">
        <v>74</v>
      </c>
      <c r="S1111" t="s">
        <v>74</v>
      </c>
      <c r="T1111" t="s">
        <v>74</v>
      </c>
      <c r="U1111" t="s">
        <v>74</v>
      </c>
      <c r="V1111" s="3" t="s">
        <v>1464</v>
      </c>
      <c r="W1111" t="s">
        <v>74</v>
      </c>
      <c r="X1111" t="s">
        <v>74</v>
      </c>
      <c r="Y1111" t="s">
        <v>74</v>
      </c>
      <c r="Z1111" t="s">
        <v>74</v>
      </c>
      <c r="AA1111" t="s">
        <v>1465</v>
      </c>
      <c r="AB1111" t="s">
        <v>1466</v>
      </c>
      <c r="AC1111" t="s">
        <v>74</v>
      </c>
      <c r="AD1111" t="s">
        <v>74</v>
      </c>
      <c r="AE1111" t="s">
        <v>74</v>
      </c>
      <c r="AF1111" t="s">
        <v>74</v>
      </c>
      <c r="AG1111" t="s">
        <v>74</v>
      </c>
      <c r="AH1111" t="s">
        <v>74</v>
      </c>
      <c r="AI1111" t="s">
        <v>74</v>
      </c>
      <c r="AJ1111" t="s">
        <v>74</v>
      </c>
      <c r="AK1111" t="s">
        <v>74</v>
      </c>
      <c r="AL1111" t="s">
        <v>74</v>
      </c>
      <c r="AM1111" t="s">
        <v>74</v>
      </c>
      <c r="AN1111" t="s">
        <v>74</v>
      </c>
      <c r="AO1111" t="s">
        <v>143</v>
      </c>
      <c r="AP1111" t="s">
        <v>144</v>
      </c>
      <c r="AQ1111" t="s">
        <v>74</v>
      </c>
      <c r="AR1111" t="s">
        <v>74</v>
      </c>
      <c r="AS1111" t="s">
        <v>74</v>
      </c>
      <c r="AT1111" t="s">
        <v>204</v>
      </c>
      <c r="AU1111">
        <v>2012</v>
      </c>
      <c r="AV1111">
        <v>84</v>
      </c>
      <c r="AW1111">
        <v>1</v>
      </c>
      <c r="AX1111" t="s">
        <v>74</v>
      </c>
      <c r="AY1111" t="s">
        <v>74</v>
      </c>
      <c r="AZ1111" t="s">
        <v>74</v>
      </c>
      <c r="BA1111" t="s">
        <v>74</v>
      </c>
      <c r="BB1111">
        <v>159</v>
      </c>
      <c r="BC1111">
        <v>165</v>
      </c>
      <c r="BD1111" t="s">
        <v>74</v>
      </c>
      <c r="BE1111" t="s">
        <v>1467</v>
      </c>
      <c r="BF1111" t="str">
        <f>HYPERLINK("http://dx.doi.org/10.1016/j.anbehav.2012.04.025","http://dx.doi.org/10.1016/j.anbehav.2012.04.025")</f>
        <v>http://dx.doi.org/10.1016/j.anbehav.2012.04.025</v>
      </c>
      <c r="BG1111" t="s">
        <v>74</v>
      </c>
      <c r="BH1111" t="s">
        <v>74</v>
      </c>
      <c r="BI1111" t="s">
        <v>74</v>
      </c>
      <c r="BJ1111" t="s">
        <v>74</v>
      </c>
      <c r="BK1111" t="s">
        <v>74</v>
      </c>
      <c r="BL1111" t="s">
        <v>74</v>
      </c>
      <c r="BM1111" t="s">
        <v>74</v>
      </c>
      <c r="BN1111" t="s">
        <v>74</v>
      </c>
      <c r="BO1111" t="s">
        <v>74</v>
      </c>
      <c r="BP1111" t="s">
        <v>74</v>
      </c>
      <c r="BQ1111" t="s">
        <v>74</v>
      </c>
      <c r="BR1111" t="s">
        <v>74</v>
      </c>
      <c r="BS1111" t="s">
        <v>1468</v>
      </c>
      <c r="BT1111" t="str">
        <f>HYPERLINK("https%3A%2F%2Fwww.webofscience.com%2Fwos%2Fwoscc%2Ffull-record%2FWOS:000305748000020","View Full Record in Web of Science")</f>
        <v>View Full Record in Web of Science</v>
      </c>
    </row>
    <row r="1112" spans="1:72" x14ac:dyDescent="0.4">
      <c r="A1112" t="s">
        <v>72</v>
      </c>
      <c r="B1112" t="s">
        <v>8021</v>
      </c>
      <c r="C1112" t="s">
        <v>74</v>
      </c>
      <c r="D1112" t="s">
        <v>74</v>
      </c>
      <c r="E1112" t="s">
        <v>74</v>
      </c>
      <c r="F1112" t="s">
        <v>8022</v>
      </c>
      <c r="G1112" t="s">
        <v>74</v>
      </c>
      <c r="H1112" t="s">
        <v>74</v>
      </c>
      <c r="I1112" t="s">
        <v>8023</v>
      </c>
      <c r="J1112" t="s">
        <v>1656</v>
      </c>
      <c r="K1112" t="s">
        <v>74</v>
      </c>
      <c r="L1112" t="s">
        <v>74</v>
      </c>
      <c r="M1112" t="s">
        <v>74</v>
      </c>
      <c r="N1112" t="s">
        <v>74</v>
      </c>
      <c r="O1112" t="s">
        <v>74</v>
      </c>
      <c r="P1112" t="s">
        <v>74</v>
      </c>
      <c r="Q1112" t="s">
        <v>74</v>
      </c>
      <c r="R1112" t="s">
        <v>74</v>
      </c>
      <c r="S1112" t="s">
        <v>74</v>
      </c>
      <c r="T1112" t="s">
        <v>74</v>
      </c>
      <c r="U1112" t="s">
        <v>74</v>
      </c>
      <c r="V1112" s="3" t="s">
        <v>8024</v>
      </c>
      <c r="W1112" t="s">
        <v>74</v>
      </c>
      <c r="X1112" t="s">
        <v>74</v>
      </c>
      <c r="Y1112" t="s">
        <v>74</v>
      </c>
      <c r="Z1112" t="s">
        <v>74</v>
      </c>
      <c r="AA1112" t="s">
        <v>8025</v>
      </c>
      <c r="AB1112" t="s">
        <v>8026</v>
      </c>
      <c r="AC1112" t="s">
        <v>74</v>
      </c>
      <c r="AD1112" t="s">
        <v>74</v>
      </c>
      <c r="AE1112" t="s">
        <v>74</v>
      </c>
      <c r="AF1112" t="s">
        <v>74</v>
      </c>
      <c r="AG1112" t="s">
        <v>74</v>
      </c>
      <c r="AH1112" t="s">
        <v>74</v>
      </c>
      <c r="AI1112" t="s">
        <v>74</v>
      </c>
      <c r="AJ1112" t="s">
        <v>74</v>
      </c>
      <c r="AK1112" t="s">
        <v>74</v>
      </c>
      <c r="AL1112" t="s">
        <v>74</v>
      </c>
      <c r="AM1112" t="s">
        <v>74</v>
      </c>
      <c r="AN1112" t="s">
        <v>74</v>
      </c>
      <c r="AO1112" t="s">
        <v>1658</v>
      </c>
      <c r="AP1112" t="s">
        <v>1659</v>
      </c>
      <c r="AQ1112" t="s">
        <v>74</v>
      </c>
      <c r="AR1112" t="s">
        <v>74</v>
      </c>
      <c r="AS1112" t="s">
        <v>74</v>
      </c>
      <c r="AT1112" t="s">
        <v>5887</v>
      </c>
      <c r="AU1112">
        <v>2019</v>
      </c>
      <c r="AV1112">
        <v>4625</v>
      </c>
      <c r="AW1112">
        <v>1</v>
      </c>
      <c r="AX1112" t="s">
        <v>74</v>
      </c>
      <c r="AY1112" t="s">
        <v>74</v>
      </c>
      <c r="AZ1112" t="s">
        <v>74</v>
      </c>
      <c r="BA1112" t="s">
        <v>74</v>
      </c>
      <c r="BB1112">
        <v>1</v>
      </c>
      <c r="BC1112">
        <v>68</v>
      </c>
      <c r="BD1112" t="s">
        <v>74</v>
      </c>
      <c r="BE1112" t="s">
        <v>8027</v>
      </c>
      <c r="BF1112" t="str">
        <f>HYPERLINK("http://dx.doi.org/10.11646/zootaxa.4625.1.1","http://dx.doi.org/10.11646/zootaxa.4625.1.1")</f>
        <v>http://dx.doi.org/10.11646/zootaxa.4625.1.1</v>
      </c>
      <c r="BG1112" t="s">
        <v>74</v>
      </c>
      <c r="BH1112" t="s">
        <v>74</v>
      </c>
      <c r="BI1112" t="s">
        <v>74</v>
      </c>
      <c r="BJ1112" t="s">
        <v>74</v>
      </c>
      <c r="BK1112" t="s">
        <v>74</v>
      </c>
      <c r="BL1112" t="s">
        <v>74</v>
      </c>
      <c r="BM1112" t="s">
        <v>74</v>
      </c>
      <c r="BN1112">
        <v>31712545</v>
      </c>
      <c r="BO1112" t="s">
        <v>74</v>
      </c>
      <c r="BP1112" t="s">
        <v>74</v>
      </c>
      <c r="BQ1112" t="s">
        <v>74</v>
      </c>
      <c r="BR1112" t="s">
        <v>74</v>
      </c>
      <c r="BS1112" t="s">
        <v>8028</v>
      </c>
      <c r="BT1112" t="str">
        <f>HYPERLINK("https%3A%2F%2Fwww.webofscience.com%2Fwos%2Fwoscc%2Ffull-record%2FWOS:000473734300001","View Full Record in Web of Science")</f>
        <v>View Full Record in Web of Science</v>
      </c>
    </row>
    <row r="1113" spans="1:72" x14ac:dyDescent="0.4">
      <c r="A1113" t="s">
        <v>72</v>
      </c>
      <c r="B1113" t="s">
        <v>4915</v>
      </c>
      <c r="C1113" t="s">
        <v>74</v>
      </c>
      <c r="D1113" t="s">
        <v>74</v>
      </c>
      <c r="E1113" t="s">
        <v>74</v>
      </c>
      <c r="F1113" t="s">
        <v>4916</v>
      </c>
      <c r="G1113" t="s">
        <v>74</v>
      </c>
      <c r="H1113" t="s">
        <v>74</v>
      </c>
      <c r="I1113" t="s">
        <v>4917</v>
      </c>
      <c r="J1113" t="s">
        <v>3374</v>
      </c>
      <c r="K1113" t="s">
        <v>74</v>
      </c>
      <c r="L1113" t="s">
        <v>74</v>
      </c>
      <c r="M1113" t="s">
        <v>74</v>
      </c>
      <c r="N1113" t="s">
        <v>74</v>
      </c>
      <c r="O1113" t="s">
        <v>74</v>
      </c>
      <c r="P1113" t="s">
        <v>74</v>
      </c>
      <c r="Q1113" t="s">
        <v>74</v>
      </c>
      <c r="R1113" t="s">
        <v>74</v>
      </c>
      <c r="S1113" t="s">
        <v>74</v>
      </c>
      <c r="T1113" t="s">
        <v>74</v>
      </c>
      <c r="U1113" t="s">
        <v>74</v>
      </c>
      <c r="V1113" s="3" t="s">
        <v>4918</v>
      </c>
      <c r="W1113" t="s">
        <v>74</v>
      </c>
      <c r="X1113" t="s">
        <v>74</v>
      </c>
      <c r="Y1113" t="s">
        <v>74</v>
      </c>
      <c r="Z1113" t="s">
        <v>74</v>
      </c>
      <c r="AA1113" t="s">
        <v>4919</v>
      </c>
      <c r="AB1113" t="s">
        <v>4920</v>
      </c>
      <c r="AC1113" t="s">
        <v>74</v>
      </c>
      <c r="AD1113" t="s">
        <v>74</v>
      </c>
      <c r="AE1113" t="s">
        <v>74</v>
      </c>
      <c r="AF1113" t="s">
        <v>74</v>
      </c>
      <c r="AG1113" t="s">
        <v>74</v>
      </c>
      <c r="AH1113" t="s">
        <v>74</v>
      </c>
      <c r="AI1113" t="s">
        <v>74</v>
      </c>
      <c r="AJ1113" t="s">
        <v>74</v>
      </c>
      <c r="AK1113" t="s">
        <v>74</v>
      </c>
      <c r="AL1113" t="s">
        <v>74</v>
      </c>
      <c r="AM1113" t="s">
        <v>74</v>
      </c>
      <c r="AN1113" t="s">
        <v>74</v>
      </c>
      <c r="AO1113" t="s">
        <v>3378</v>
      </c>
      <c r="AP1113" t="s">
        <v>3379</v>
      </c>
      <c r="AQ1113" t="s">
        <v>74</v>
      </c>
      <c r="AR1113" t="s">
        <v>74</v>
      </c>
      <c r="AS1113" t="s">
        <v>74</v>
      </c>
      <c r="AT1113" t="s">
        <v>123</v>
      </c>
      <c r="AU1113">
        <v>2013</v>
      </c>
      <c r="AV1113">
        <v>44</v>
      </c>
      <c r="AW1113">
        <v>2</v>
      </c>
      <c r="AX1113" t="s">
        <v>74</v>
      </c>
      <c r="AY1113" t="s">
        <v>74</v>
      </c>
      <c r="AZ1113" t="s">
        <v>74</v>
      </c>
      <c r="BA1113" t="s">
        <v>74</v>
      </c>
      <c r="BB1113">
        <v>121</v>
      </c>
      <c r="BC1113">
        <v>132</v>
      </c>
      <c r="BD1113" t="s">
        <v>74</v>
      </c>
      <c r="BE1113" t="s">
        <v>4921</v>
      </c>
      <c r="BF1113" t="str">
        <f>HYPERLINK("http://dx.doi.org/10.1007/s13592-012-0161-x","http://dx.doi.org/10.1007/s13592-012-0161-x")</f>
        <v>http://dx.doi.org/10.1007/s13592-012-0161-x</v>
      </c>
      <c r="BG1113" t="s">
        <v>74</v>
      </c>
      <c r="BH1113" t="s">
        <v>74</v>
      </c>
      <c r="BI1113" t="s">
        <v>74</v>
      </c>
      <c r="BJ1113" t="s">
        <v>74</v>
      </c>
      <c r="BK1113" t="s">
        <v>74</v>
      </c>
      <c r="BL1113" t="s">
        <v>74</v>
      </c>
      <c r="BM1113" t="s">
        <v>74</v>
      </c>
      <c r="BN1113" t="s">
        <v>74</v>
      </c>
      <c r="BO1113" t="s">
        <v>74</v>
      </c>
      <c r="BP1113" t="s">
        <v>74</v>
      </c>
      <c r="BQ1113" t="s">
        <v>74</v>
      </c>
      <c r="BR1113" t="s">
        <v>74</v>
      </c>
      <c r="BS1113" t="s">
        <v>4922</v>
      </c>
      <c r="BT1113" t="str">
        <f>HYPERLINK("https%3A%2F%2Fwww.webofscience.com%2Fwos%2Fwoscc%2Ffull-record%2FWOS:000314882300001","View Full Record in Web of Science")</f>
        <v>View Full Record in Web of Science</v>
      </c>
    </row>
    <row r="1114" spans="1:72" x14ac:dyDescent="0.4">
      <c r="A1114" t="s">
        <v>72</v>
      </c>
      <c r="B1114" t="s">
        <v>4519</v>
      </c>
      <c r="C1114" t="s">
        <v>74</v>
      </c>
      <c r="D1114" t="s">
        <v>74</v>
      </c>
      <c r="E1114" t="s">
        <v>74</v>
      </c>
      <c r="F1114" t="s">
        <v>4520</v>
      </c>
      <c r="G1114" t="s">
        <v>74</v>
      </c>
      <c r="H1114" t="s">
        <v>74</v>
      </c>
      <c r="I1114" t="s">
        <v>4521</v>
      </c>
      <c r="J1114" t="s">
        <v>4522</v>
      </c>
      <c r="K1114" t="s">
        <v>74</v>
      </c>
      <c r="L1114" t="s">
        <v>74</v>
      </c>
      <c r="M1114" t="s">
        <v>74</v>
      </c>
      <c r="N1114" t="s">
        <v>74</v>
      </c>
      <c r="O1114" t="s">
        <v>74</v>
      </c>
      <c r="P1114" t="s">
        <v>74</v>
      </c>
      <c r="Q1114" t="s">
        <v>74</v>
      </c>
      <c r="R1114" t="s">
        <v>74</v>
      </c>
      <c r="S1114" t="s">
        <v>74</v>
      </c>
      <c r="T1114" t="s">
        <v>74</v>
      </c>
      <c r="U1114" t="s">
        <v>74</v>
      </c>
      <c r="V1114" s="3" t="s">
        <v>4523</v>
      </c>
      <c r="W1114" t="s">
        <v>74</v>
      </c>
      <c r="X1114" t="s">
        <v>74</v>
      </c>
      <c r="Y1114" t="s">
        <v>74</v>
      </c>
      <c r="Z1114" t="s">
        <v>74</v>
      </c>
      <c r="AA1114" t="s">
        <v>4524</v>
      </c>
      <c r="AB1114" t="s">
        <v>4525</v>
      </c>
      <c r="AC1114" t="s">
        <v>74</v>
      </c>
      <c r="AD1114" t="s">
        <v>74</v>
      </c>
      <c r="AE1114" t="s">
        <v>74</v>
      </c>
      <c r="AF1114" t="s">
        <v>74</v>
      </c>
      <c r="AG1114" t="s">
        <v>74</v>
      </c>
      <c r="AH1114" t="s">
        <v>74</v>
      </c>
      <c r="AI1114" t="s">
        <v>74</v>
      </c>
      <c r="AJ1114" t="s">
        <v>74</v>
      </c>
      <c r="AK1114" t="s">
        <v>74</v>
      </c>
      <c r="AL1114" t="s">
        <v>74</v>
      </c>
      <c r="AM1114" t="s">
        <v>74</v>
      </c>
      <c r="AN1114" t="s">
        <v>74</v>
      </c>
      <c r="AO1114" t="s">
        <v>4526</v>
      </c>
      <c r="AP1114" t="s">
        <v>4527</v>
      </c>
      <c r="AQ1114" t="s">
        <v>74</v>
      </c>
      <c r="AR1114" t="s">
        <v>74</v>
      </c>
      <c r="AS1114" t="s">
        <v>74</v>
      </c>
      <c r="AT1114" t="s">
        <v>4528</v>
      </c>
      <c r="AU1114">
        <v>2022</v>
      </c>
      <c r="AV1114">
        <v>56</v>
      </c>
      <c r="AW1114" t="s">
        <v>4529</v>
      </c>
      <c r="AX1114" t="s">
        <v>74</v>
      </c>
      <c r="AY1114" t="s">
        <v>74</v>
      </c>
      <c r="AZ1114" t="s">
        <v>74</v>
      </c>
      <c r="BA1114" t="s">
        <v>74</v>
      </c>
      <c r="BB1114">
        <v>435</v>
      </c>
      <c r="BC1114">
        <v>447</v>
      </c>
      <c r="BD1114" t="s">
        <v>74</v>
      </c>
      <c r="BE1114" t="s">
        <v>4530</v>
      </c>
      <c r="BF1114" t="str">
        <f>HYPERLINK("http://dx.doi.org/10.1080/00222933.2022.2052991","http://dx.doi.org/10.1080/00222933.2022.2052991")</f>
        <v>http://dx.doi.org/10.1080/00222933.2022.2052991</v>
      </c>
      <c r="BG1114" t="s">
        <v>74</v>
      </c>
      <c r="BH1114" t="s">
        <v>74</v>
      </c>
      <c r="BI1114" t="s">
        <v>74</v>
      </c>
      <c r="BJ1114" t="s">
        <v>74</v>
      </c>
      <c r="BK1114" t="s">
        <v>74</v>
      </c>
      <c r="BL1114" t="s">
        <v>74</v>
      </c>
      <c r="BM1114" t="s">
        <v>74</v>
      </c>
      <c r="BN1114" t="s">
        <v>74</v>
      </c>
      <c r="BO1114" t="s">
        <v>74</v>
      </c>
      <c r="BP1114" t="s">
        <v>74</v>
      </c>
      <c r="BQ1114" t="s">
        <v>74</v>
      </c>
      <c r="BR1114" t="s">
        <v>74</v>
      </c>
      <c r="BS1114" t="s">
        <v>4531</v>
      </c>
      <c r="BT1114" t="str">
        <f>HYPERLINK("https%3A%2F%2Fwww.webofscience.com%2Fwos%2Fwoscc%2Ffull-record%2FWOS:000819303900001","View Full Record in Web of Science")</f>
        <v>View Full Record in Web of Science</v>
      </c>
    </row>
    <row r="1115" spans="1:72" x14ac:dyDescent="0.4">
      <c r="A1115" t="s">
        <v>72</v>
      </c>
      <c r="B1115" t="s">
        <v>3505</v>
      </c>
      <c r="C1115" t="s">
        <v>74</v>
      </c>
      <c r="D1115" t="s">
        <v>74</v>
      </c>
      <c r="E1115" t="s">
        <v>74</v>
      </c>
      <c r="F1115" t="s">
        <v>3506</v>
      </c>
      <c r="G1115" t="s">
        <v>74</v>
      </c>
      <c r="H1115" t="s">
        <v>74</v>
      </c>
      <c r="I1115" t="s">
        <v>3507</v>
      </c>
      <c r="J1115" t="s">
        <v>333</v>
      </c>
      <c r="K1115" t="s">
        <v>74</v>
      </c>
      <c r="L1115" t="s">
        <v>74</v>
      </c>
      <c r="M1115" t="s">
        <v>74</v>
      </c>
      <c r="N1115" t="s">
        <v>74</v>
      </c>
      <c r="O1115" t="s">
        <v>74</v>
      </c>
      <c r="P1115" t="s">
        <v>74</v>
      </c>
      <c r="Q1115" t="s">
        <v>74</v>
      </c>
      <c r="R1115" t="s">
        <v>74</v>
      </c>
      <c r="S1115" t="s">
        <v>74</v>
      </c>
      <c r="T1115" t="s">
        <v>74</v>
      </c>
      <c r="U1115" t="s">
        <v>74</v>
      </c>
      <c r="V1115" s="3" t="s">
        <v>3508</v>
      </c>
      <c r="W1115" t="s">
        <v>74</v>
      </c>
      <c r="X1115" t="s">
        <v>74</v>
      </c>
      <c r="Y1115" t="s">
        <v>74</v>
      </c>
      <c r="Z1115" t="s">
        <v>74</v>
      </c>
      <c r="AA1115" t="s">
        <v>379</v>
      </c>
      <c r="AB1115" t="s">
        <v>74</v>
      </c>
      <c r="AC1115" t="s">
        <v>74</v>
      </c>
      <c r="AD1115" t="s">
        <v>74</v>
      </c>
      <c r="AE1115" t="s">
        <v>74</v>
      </c>
      <c r="AF1115" t="s">
        <v>74</v>
      </c>
      <c r="AG1115" t="s">
        <v>74</v>
      </c>
      <c r="AH1115" t="s">
        <v>74</v>
      </c>
      <c r="AI1115" t="s">
        <v>74</v>
      </c>
      <c r="AJ1115" t="s">
        <v>74</v>
      </c>
      <c r="AK1115" t="s">
        <v>74</v>
      </c>
      <c r="AL1115" t="s">
        <v>74</v>
      </c>
      <c r="AM1115" t="s">
        <v>74</v>
      </c>
      <c r="AN1115" t="s">
        <v>74</v>
      </c>
      <c r="AO1115" t="s">
        <v>337</v>
      </c>
      <c r="AP1115" t="s">
        <v>338</v>
      </c>
      <c r="AQ1115" t="s">
        <v>74</v>
      </c>
      <c r="AR1115" t="s">
        <v>74</v>
      </c>
      <c r="AS1115" t="s">
        <v>74</v>
      </c>
      <c r="AT1115" t="s">
        <v>1075</v>
      </c>
      <c r="AU1115">
        <v>2013</v>
      </c>
      <c r="AV1115">
        <v>24</v>
      </c>
      <c r="AW1115">
        <v>6</v>
      </c>
      <c r="AX1115" t="s">
        <v>74</v>
      </c>
      <c r="AY1115" t="s">
        <v>74</v>
      </c>
      <c r="AZ1115" t="s">
        <v>74</v>
      </c>
      <c r="BA1115" t="s">
        <v>74</v>
      </c>
      <c r="BB1115">
        <v>1407</v>
      </c>
      <c r="BC1115">
        <v>1414</v>
      </c>
      <c r="BD1115" t="s">
        <v>74</v>
      </c>
      <c r="BE1115" t="s">
        <v>3509</v>
      </c>
      <c r="BF1115" t="str">
        <f>HYPERLINK("http://dx.doi.org/10.1093/beheco/art080","http://dx.doi.org/10.1093/beheco/art080")</f>
        <v>http://dx.doi.org/10.1093/beheco/art080</v>
      </c>
      <c r="BG1115" t="s">
        <v>74</v>
      </c>
      <c r="BH1115" t="s">
        <v>74</v>
      </c>
      <c r="BI1115" t="s">
        <v>74</v>
      </c>
      <c r="BJ1115" t="s">
        <v>74</v>
      </c>
      <c r="BK1115" t="s">
        <v>74</v>
      </c>
      <c r="BL1115" t="s">
        <v>74</v>
      </c>
      <c r="BM1115" t="s">
        <v>74</v>
      </c>
      <c r="BN1115" t="s">
        <v>74</v>
      </c>
      <c r="BO1115" t="s">
        <v>74</v>
      </c>
      <c r="BP1115" t="s">
        <v>74</v>
      </c>
      <c r="BQ1115" t="s">
        <v>74</v>
      </c>
      <c r="BR1115" t="s">
        <v>74</v>
      </c>
      <c r="BS1115" t="s">
        <v>3510</v>
      </c>
      <c r="BT1115" t="str">
        <f>HYPERLINK("https%3A%2F%2Fwww.webofscience.com%2Fwos%2Fwoscc%2Ffull-record%2FWOS:000325995900018","View Full Record in Web of Science")</f>
        <v>View Full Record in Web of Science</v>
      </c>
    </row>
    <row r="1116" spans="1:72" x14ac:dyDescent="0.4">
      <c r="A1116" t="s">
        <v>72</v>
      </c>
      <c r="B1116" t="s">
        <v>375</v>
      </c>
      <c r="C1116" t="s">
        <v>74</v>
      </c>
      <c r="D1116" t="s">
        <v>74</v>
      </c>
      <c r="E1116" t="s">
        <v>74</v>
      </c>
      <c r="F1116" t="s">
        <v>376</v>
      </c>
      <c r="G1116" t="s">
        <v>74</v>
      </c>
      <c r="H1116" t="s">
        <v>74</v>
      </c>
      <c r="I1116" t="s">
        <v>377</v>
      </c>
      <c r="J1116" t="s">
        <v>140</v>
      </c>
      <c r="K1116" t="s">
        <v>74</v>
      </c>
      <c r="L1116" t="s">
        <v>74</v>
      </c>
      <c r="M1116" t="s">
        <v>74</v>
      </c>
      <c r="N1116" t="s">
        <v>74</v>
      </c>
      <c r="O1116" t="s">
        <v>74</v>
      </c>
      <c r="P1116" t="s">
        <v>74</v>
      </c>
      <c r="Q1116" t="s">
        <v>74</v>
      </c>
      <c r="R1116" t="s">
        <v>74</v>
      </c>
      <c r="S1116" t="s">
        <v>74</v>
      </c>
      <c r="T1116" t="s">
        <v>74</v>
      </c>
      <c r="U1116" t="s">
        <v>74</v>
      </c>
      <c r="V1116" s="3" t="s">
        <v>378</v>
      </c>
      <c r="W1116" t="s">
        <v>74</v>
      </c>
      <c r="X1116" t="s">
        <v>74</v>
      </c>
      <c r="Y1116" t="s">
        <v>74</v>
      </c>
      <c r="Z1116" t="s">
        <v>74</v>
      </c>
      <c r="AA1116" t="s">
        <v>379</v>
      </c>
      <c r="AB1116" t="s">
        <v>74</v>
      </c>
      <c r="AC1116" t="s">
        <v>74</v>
      </c>
      <c r="AD1116" t="s">
        <v>74</v>
      </c>
      <c r="AE1116" t="s">
        <v>74</v>
      </c>
      <c r="AF1116" t="s">
        <v>74</v>
      </c>
      <c r="AG1116" t="s">
        <v>74</v>
      </c>
      <c r="AH1116" t="s">
        <v>74</v>
      </c>
      <c r="AI1116" t="s">
        <v>74</v>
      </c>
      <c r="AJ1116" t="s">
        <v>74</v>
      </c>
      <c r="AK1116" t="s">
        <v>74</v>
      </c>
      <c r="AL1116" t="s">
        <v>74</v>
      </c>
      <c r="AM1116" t="s">
        <v>74</v>
      </c>
      <c r="AN1116" t="s">
        <v>74</v>
      </c>
      <c r="AO1116" t="s">
        <v>143</v>
      </c>
      <c r="AP1116" t="s">
        <v>144</v>
      </c>
      <c r="AQ1116" t="s">
        <v>74</v>
      </c>
      <c r="AR1116" t="s">
        <v>74</v>
      </c>
      <c r="AS1116" t="s">
        <v>74</v>
      </c>
      <c r="AT1116" t="s">
        <v>102</v>
      </c>
      <c r="AU1116">
        <v>2013</v>
      </c>
      <c r="AV1116">
        <v>85</v>
      </c>
      <c r="AW1116">
        <v>6</v>
      </c>
      <c r="AX1116" t="s">
        <v>74</v>
      </c>
      <c r="AY1116" t="s">
        <v>74</v>
      </c>
      <c r="AZ1116" t="s">
        <v>74</v>
      </c>
      <c r="BA1116" t="s">
        <v>74</v>
      </c>
      <c r="BB1116">
        <v>1251</v>
      </c>
      <c r="BC1116">
        <v>1259</v>
      </c>
      <c r="BD1116" t="s">
        <v>74</v>
      </c>
      <c r="BE1116" t="s">
        <v>380</v>
      </c>
      <c r="BF1116" t="str">
        <f>HYPERLINK("http://dx.doi.org/10.1016/j.anbehav.2013.03.012","http://dx.doi.org/10.1016/j.anbehav.2013.03.012")</f>
        <v>http://dx.doi.org/10.1016/j.anbehav.2013.03.012</v>
      </c>
      <c r="BG1116" t="s">
        <v>74</v>
      </c>
      <c r="BH1116" t="s">
        <v>74</v>
      </c>
      <c r="BI1116" t="s">
        <v>74</v>
      </c>
      <c r="BJ1116" t="s">
        <v>74</v>
      </c>
      <c r="BK1116" t="s">
        <v>74</v>
      </c>
      <c r="BL1116" t="s">
        <v>74</v>
      </c>
      <c r="BM1116" t="s">
        <v>74</v>
      </c>
      <c r="BN1116" t="s">
        <v>74</v>
      </c>
      <c r="BO1116" t="s">
        <v>74</v>
      </c>
      <c r="BP1116" t="s">
        <v>74</v>
      </c>
      <c r="BQ1116" t="s">
        <v>74</v>
      </c>
      <c r="BR1116" t="s">
        <v>74</v>
      </c>
      <c r="BS1116" t="s">
        <v>381</v>
      </c>
      <c r="BT1116" t="str">
        <f>HYPERLINK("https%3A%2F%2Fwww.webofscience.com%2Fwos%2Fwoscc%2Ffull-record%2FWOS:000320651200015","View Full Record in Web of Science")</f>
        <v>View Full Record in Web of Science</v>
      </c>
    </row>
    <row r="1117" spans="1:72" x14ac:dyDescent="0.4">
      <c r="A1117" t="s">
        <v>72</v>
      </c>
      <c r="B1117" t="s">
        <v>375</v>
      </c>
      <c r="C1117" t="s">
        <v>74</v>
      </c>
      <c r="D1117" t="s">
        <v>74</v>
      </c>
      <c r="E1117" t="s">
        <v>74</v>
      </c>
      <c r="F1117" t="s">
        <v>376</v>
      </c>
      <c r="G1117" t="s">
        <v>74</v>
      </c>
      <c r="H1117" t="s">
        <v>74</v>
      </c>
      <c r="I1117" t="s">
        <v>2371</v>
      </c>
      <c r="J1117" t="s">
        <v>140</v>
      </c>
      <c r="K1117" t="s">
        <v>74</v>
      </c>
      <c r="L1117" t="s">
        <v>74</v>
      </c>
      <c r="M1117" t="s">
        <v>74</v>
      </c>
      <c r="N1117" t="s">
        <v>74</v>
      </c>
      <c r="O1117" t="s">
        <v>74</v>
      </c>
      <c r="P1117" t="s">
        <v>74</v>
      </c>
      <c r="Q1117" t="s">
        <v>74</v>
      </c>
      <c r="R1117" t="s">
        <v>74</v>
      </c>
      <c r="S1117" t="s">
        <v>74</v>
      </c>
      <c r="T1117" t="s">
        <v>74</v>
      </c>
      <c r="U1117" t="s">
        <v>74</v>
      </c>
      <c r="V1117" s="3" t="s">
        <v>2372</v>
      </c>
      <c r="W1117" t="s">
        <v>74</v>
      </c>
      <c r="X1117" t="s">
        <v>74</v>
      </c>
      <c r="Y1117" t="s">
        <v>74</v>
      </c>
      <c r="Z1117" t="s">
        <v>74</v>
      </c>
      <c r="AA1117" t="s">
        <v>379</v>
      </c>
      <c r="AB1117" t="s">
        <v>74</v>
      </c>
      <c r="AC1117" t="s">
        <v>74</v>
      </c>
      <c r="AD1117" t="s">
        <v>74</v>
      </c>
      <c r="AE1117" t="s">
        <v>74</v>
      </c>
      <c r="AF1117" t="s">
        <v>74</v>
      </c>
      <c r="AG1117" t="s">
        <v>74</v>
      </c>
      <c r="AH1117" t="s">
        <v>74</v>
      </c>
      <c r="AI1117" t="s">
        <v>74</v>
      </c>
      <c r="AJ1117" t="s">
        <v>74</v>
      </c>
      <c r="AK1117" t="s">
        <v>74</v>
      </c>
      <c r="AL1117" t="s">
        <v>74</v>
      </c>
      <c r="AM1117" t="s">
        <v>74</v>
      </c>
      <c r="AN1117" t="s">
        <v>74</v>
      </c>
      <c r="AO1117" t="s">
        <v>143</v>
      </c>
      <c r="AP1117" t="s">
        <v>144</v>
      </c>
      <c r="AQ1117" t="s">
        <v>74</v>
      </c>
      <c r="AR1117" t="s">
        <v>74</v>
      </c>
      <c r="AS1117" t="s">
        <v>74</v>
      </c>
      <c r="AT1117" t="s">
        <v>175</v>
      </c>
      <c r="AU1117">
        <v>2011</v>
      </c>
      <c r="AV1117">
        <v>82</v>
      </c>
      <c r="AW1117">
        <v>4</v>
      </c>
      <c r="AX1117" t="s">
        <v>74</v>
      </c>
      <c r="AY1117" t="s">
        <v>74</v>
      </c>
      <c r="AZ1117" t="s">
        <v>74</v>
      </c>
      <c r="BA1117" t="s">
        <v>74</v>
      </c>
      <c r="BB1117">
        <v>683</v>
      </c>
      <c r="BC1117">
        <v>689</v>
      </c>
      <c r="BD1117" t="s">
        <v>74</v>
      </c>
      <c r="BE1117" t="s">
        <v>2373</v>
      </c>
      <c r="BF1117" t="str">
        <f>HYPERLINK("http://dx.doi.org/10.1016/j.anbehav.2011.06.023","http://dx.doi.org/10.1016/j.anbehav.2011.06.023")</f>
        <v>http://dx.doi.org/10.1016/j.anbehav.2011.06.023</v>
      </c>
      <c r="BG1117" t="s">
        <v>74</v>
      </c>
      <c r="BH1117" t="s">
        <v>74</v>
      </c>
      <c r="BI1117" t="s">
        <v>74</v>
      </c>
      <c r="BJ1117" t="s">
        <v>74</v>
      </c>
      <c r="BK1117" t="s">
        <v>74</v>
      </c>
      <c r="BL1117" t="s">
        <v>74</v>
      </c>
      <c r="BM1117" t="s">
        <v>74</v>
      </c>
      <c r="BN1117" t="s">
        <v>74</v>
      </c>
      <c r="BO1117" t="s">
        <v>74</v>
      </c>
      <c r="BP1117" t="s">
        <v>74</v>
      </c>
      <c r="BQ1117" t="s">
        <v>74</v>
      </c>
      <c r="BR1117" t="s">
        <v>74</v>
      </c>
      <c r="BS1117" t="s">
        <v>2374</v>
      </c>
      <c r="BT1117" t="str">
        <f>HYPERLINK("https%3A%2F%2Fwww.webofscience.com%2Fwos%2Fwoscc%2Ffull-record%2FWOS:000295262800012","View Full Record in Web of Science")</f>
        <v>View Full Record in Web of Science</v>
      </c>
    </row>
    <row r="1118" spans="1:72" x14ac:dyDescent="0.4">
      <c r="A1118" t="s">
        <v>72</v>
      </c>
      <c r="B1118" t="s">
        <v>375</v>
      </c>
      <c r="C1118" t="s">
        <v>74</v>
      </c>
      <c r="D1118" t="s">
        <v>74</v>
      </c>
      <c r="E1118" t="s">
        <v>74</v>
      </c>
      <c r="F1118" t="s">
        <v>376</v>
      </c>
      <c r="G1118" t="s">
        <v>74</v>
      </c>
      <c r="H1118" t="s">
        <v>74</v>
      </c>
      <c r="I1118" t="s">
        <v>5944</v>
      </c>
      <c r="J1118" t="s">
        <v>610</v>
      </c>
      <c r="K1118" t="s">
        <v>74</v>
      </c>
      <c r="L1118" t="s">
        <v>74</v>
      </c>
      <c r="M1118" t="s">
        <v>74</v>
      </c>
      <c r="N1118" t="s">
        <v>74</v>
      </c>
      <c r="O1118" t="s">
        <v>74</v>
      </c>
      <c r="P1118" t="s">
        <v>74</v>
      </c>
      <c r="Q1118" t="s">
        <v>74</v>
      </c>
      <c r="R1118" t="s">
        <v>74</v>
      </c>
      <c r="S1118" t="s">
        <v>74</v>
      </c>
      <c r="T1118" t="s">
        <v>74</v>
      </c>
      <c r="U1118" t="s">
        <v>74</v>
      </c>
      <c r="V1118" s="3" t="s">
        <v>5945</v>
      </c>
      <c r="W1118" t="s">
        <v>74</v>
      </c>
      <c r="X1118" t="s">
        <v>74</v>
      </c>
      <c r="Y1118" t="s">
        <v>74</v>
      </c>
      <c r="Z1118" t="s">
        <v>74</v>
      </c>
      <c r="AA1118" t="s">
        <v>379</v>
      </c>
      <c r="AB1118" t="s">
        <v>74</v>
      </c>
      <c r="AC1118" t="s">
        <v>74</v>
      </c>
      <c r="AD1118" t="s">
        <v>74</v>
      </c>
      <c r="AE1118" t="s">
        <v>74</v>
      </c>
      <c r="AF1118" t="s">
        <v>74</v>
      </c>
      <c r="AG1118" t="s">
        <v>74</v>
      </c>
      <c r="AH1118" t="s">
        <v>74</v>
      </c>
      <c r="AI1118" t="s">
        <v>74</v>
      </c>
      <c r="AJ1118" t="s">
        <v>74</v>
      </c>
      <c r="AK1118" t="s">
        <v>74</v>
      </c>
      <c r="AL1118" t="s">
        <v>74</v>
      </c>
      <c r="AM1118" t="s">
        <v>74</v>
      </c>
      <c r="AN1118" t="s">
        <v>74</v>
      </c>
      <c r="AO1118" t="s">
        <v>614</v>
      </c>
      <c r="AP1118" t="s">
        <v>615</v>
      </c>
      <c r="AQ1118" t="s">
        <v>74</v>
      </c>
      <c r="AR1118" t="s">
        <v>74</v>
      </c>
      <c r="AS1118" t="s">
        <v>74</v>
      </c>
      <c r="AT1118" t="s">
        <v>213</v>
      </c>
      <c r="AU1118">
        <v>2010</v>
      </c>
      <c r="AV1118">
        <v>116</v>
      </c>
      <c r="AW1118">
        <v>11</v>
      </c>
      <c r="AX1118" t="s">
        <v>74</v>
      </c>
      <c r="AY1118" t="s">
        <v>74</v>
      </c>
      <c r="AZ1118" t="s">
        <v>74</v>
      </c>
      <c r="BA1118" t="s">
        <v>74</v>
      </c>
      <c r="BB1118">
        <v>1038</v>
      </c>
      <c r="BC1118">
        <v>1049</v>
      </c>
      <c r="BD1118" t="s">
        <v>74</v>
      </c>
      <c r="BE1118" t="s">
        <v>5946</v>
      </c>
      <c r="BF1118" t="str">
        <f>HYPERLINK("http://dx.doi.org/10.1111/j.1439-0310.2010.01816.x","http://dx.doi.org/10.1111/j.1439-0310.2010.01816.x")</f>
        <v>http://dx.doi.org/10.1111/j.1439-0310.2010.01816.x</v>
      </c>
      <c r="BG1118" t="s">
        <v>74</v>
      </c>
      <c r="BH1118" t="s">
        <v>74</v>
      </c>
      <c r="BI1118" t="s">
        <v>74</v>
      </c>
      <c r="BJ1118" t="s">
        <v>74</v>
      </c>
      <c r="BK1118" t="s">
        <v>74</v>
      </c>
      <c r="BL1118" t="s">
        <v>74</v>
      </c>
      <c r="BM1118" t="s">
        <v>74</v>
      </c>
      <c r="BN1118" t="s">
        <v>74</v>
      </c>
      <c r="BO1118" t="s">
        <v>74</v>
      </c>
      <c r="BP1118" t="s">
        <v>74</v>
      </c>
      <c r="BQ1118" t="s">
        <v>74</v>
      </c>
      <c r="BR1118" t="s">
        <v>74</v>
      </c>
      <c r="BS1118" t="s">
        <v>5947</v>
      </c>
      <c r="BT1118" t="str">
        <f>HYPERLINK("https%3A%2F%2Fwww.webofscience.com%2Fwos%2Fwoscc%2Ffull-record%2FWOS:000282821900005","View Full Record in Web of Science")</f>
        <v>View Full Record in Web of Science</v>
      </c>
    </row>
    <row r="1119" spans="1:72" x14ac:dyDescent="0.4">
      <c r="A1119" t="s">
        <v>72</v>
      </c>
      <c r="B1119" t="s">
        <v>4820</v>
      </c>
      <c r="C1119" t="s">
        <v>74</v>
      </c>
      <c r="D1119" t="s">
        <v>74</v>
      </c>
      <c r="E1119" t="s">
        <v>74</v>
      </c>
      <c r="F1119" t="s">
        <v>4820</v>
      </c>
      <c r="G1119" t="s">
        <v>74</v>
      </c>
      <c r="H1119" t="s">
        <v>74</v>
      </c>
      <c r="I1119" t="s">
        <v>4821</v>
      </c>
      <c r="J1119" t="s">
        <v>1526</v>
      </c>
      <c r="K1119" t="s">
        <v>74</v>
      </c>
      <c r="L1119" t="s">
        <v>74</v>
      </c>
      <c r="M1119" t="s">
        <v>74</v>
      </c>
      <c r="N1119" t="s">
        <v>74</v>
      </c>
      <c r="O1119" t="s">
        <v>74</v>
      </c>
      <c r="P1119" t="s">
        <v>74</v>
      </c>
      <c r="Q1119" t="s">
        <v>74</v>
      </c>
      <c r="R1119" t="s">
        <v>74</v>
      </c>
      <c r="S1119" t="s">
        <v>74</v>
      </c>
      <c r="T1119" t="s">
        <v>74</v>
      </c>
      <c r="U1119" t="s">
        <v>74</v>
      </c>
      <c r="V1119" s="3" t="s">
        <v>4822</v>
      </c>
      <c r="W1119" t="s">
        <v>74</v>
      </c>
      <c r="X1119" t="s">
        <v>74</v>
      </c>
      <c r="Y1119" t="s">
        <v>74</v>
      </c>
      <c r="Z1119" t="s">
        <v>74</v>
      </c>
      <c r="AA1119" t="s">
        <v>74</v>
      </c>
      <c r="AB1119" t="s">
        <v>74</v>
      </c>
      <c r="AC1119" t="s">
        <v>74</v>
      </c>
      <c r="AD1119" t="s">
        <v>74</v>
      </c>
      <c r="AE1119" t="s">
        <v>74</v>
      </c>
      <c r="AF1119" t="s">
        <v>74</v>
      </c>
      <c r="AG1119" t="s">
        <v>74</v>
      </c>
      <c r="AH1119" t="s">
        <v>74</v>
      </c>
      <c r="AI1119" t="s">
        <v>74</v>
      </c>
      <c r="AJ1119" t="s">
        <v>74</v>
      </c>
      <c r="AK1119" t="s">
        <v>74</v>
      </c>
      <c r="AL1119" t="s">
        <v>74</v>
      </c>
      <c r="AM1119" t="s">
        <v>74</v>
      </c>
      <c r="AN1119" t="s">
        <v>74</v>
      </c>
      <c r="AO1119" t="s">
        <v>1528</v>
      </c>
      <c r="AP1119" t="s">
        <v>74</v>
      </c>
      <c r="AQ1119" t="s">
        <v>74</v>
      </c>
      <c r="AR1119" t="s">
        <v>74</v>
      </c>
      <c r="AS1119" t="s">
        <v>74</v>
      </c>
      <c r="AT1119" t="s">
        <v>145</v>
      </c>
      <c r="AU1119">
        <v>1993</v>
      </c>
      <c r="AV1119">
        <v>95</v>
      </c>
      <c r="AW1119">
        <v>3</v>
      </c>
      <c r="AX1119" t="s">
        <v>74</v>
      </c>
      <c r="AY1119" t="s">
        <v>74</v>
      </c>
      <c r="AZ1119" t="s">
        <v>74</v>
      </c>
      <c r="BA1119" t="s">
        <v>74</v>
      </c>
      <c r="BB1119">
        <v>596</v>
      </c>
      <c r="BC1119">
        <v>615</v>
      </c>
      <c r="BD1119" t="s">
        <v>74</v>
      </c>
      <c r="BE1119" t="s">
        <v>4823</v>
      </c>
      <c r="BF1119" t="str">
        <f>HYPERLINK("http://dx.doi.org/10.2307/1369604","http://dx.doi.org/10.2307/1369604")</f>
        <v>http://dx.doi.org/10.2307/1369604</v>
      </c>
      <c r="BG1119" t="s">
        <v>74</v>
      </c>
      <c r="BH1119" t="s">
        <v>74</v>
      </c>
      <c r="BI1119" t="s">
        <v>74</v>
      </c>
      <c r="BJ1119" t="s">
        <v>74</v>
      </c>
      <c r="BK1119" t="s">
        <v>74</v>
      </c>
      <c r="BL1119" t="s">
        <v>74</v>
      </c>
      <c r="BM1119" t="s">
        <v>74</v>
      </c>
      <c r="BN1119" t="s">
        <v>74</v>
      </c>
      <c r="BO1119" t="s">
        <v>74</v>
      </c>
      <c r="BP1119" t="s">
        <v>74</v>
      </c>
      <c r="BQ1119" t="s">
        <v>74</v>
      </c>
      <c r="BR1119" t="s">
        <v>74</v>
      </c>
      <c r="BS1119" t="s">
        <v>4824</v>
      </c>
      <c r="BT1119" t="str">
        <f>HYPERLINK("https%3A%2F%2Fwww.webofscience.com%2Fwos%2Fwoscc%2Ffull-record%2FWOS:A1993LU78000012","View Full Record in Web of Science")</f>
        <v>View Full Record in Web of Science</v>
      </c>
    </row>
    <row r="1120" spans="1:72" x14ac:dyDescent="0.4">
      <c r="A1120" t="s">
        <v>72</v>
      </c>
      <c r="B1120" t="s">
        <v>8120</v>
      </c>
      <c r="C1120" t="s">
        <v>74</v>
      </c>
      <c r="D1120" t="s">
        <v>74</v>
      </c>
      <c r="E1120" t="s">
        <v>74</v>
      </c>
      <c r="F1120" t="s">
        <v>8121</v>
      </c>
      <c r="G1120" t="s">
        <v>74</v>
      </c>
      <c r="H1120" t="s">
        <v>74</v>
      </c>
      <c r="I1120" t="s">
        <v>8122</v>
      </c>
      <c r="J1120" t="s">
        <v>2629</v>
      </c>
      <c r="K1120" t="s">
        <v>74</v>
      </c>
      <c r="L1120" t="s">
        <v>74</v>
      </c>
      <c r="M1120" t="s">
        <v>74</v>
      </c>
      <c r="N1120" t="s">
        <v>74</v>
      </c>
      <c r="O1120" t="s">
        <v>74</v>
      </c>
      <c r="P1120" t="s">
        <v>74</v>
      </c>
      <c r="Q1120" t="s">
        <v>74</v>
      </c>
      <c r="R1120" t="s">
        <v>74</v>
      </c>
      <c r="S1120" t="s">
        <v>74</v>
      </c>
      <c r="T1120" t="s">
        <v>74</v>
      </c>
      <c r="U1120" t="s">
        <v>74</v>
      </c>
      <c r="V1120" s="3" t="s">
        <v>8123</v>
      </c>
      <c r="W1120" t="s">
        <v>74</v>
      </c>
      <c r="X1120" t="s">
        <v>74</v>
      </c>
      <c r="Y1120" t="s">
        <v>74</v>
      </c>
      <c r="Z1120" t="s">
        <v>74</v>
      </c>
      <c r="AA1120" t="s">
        <v>74</v>
      </c>
      <c r="AB1120" t="s">
        <v>74</v>
      </c>
      <c r="AC1120" t="s">
        <v>74</v>
      </c>
      <c r="AD1120" t="s">
        <v>74</v>
      </c>
      <c r="AE1120" t="s">
        <v>74</v>
      </c>
      <c r="AF1120" t="s">
        <v>74</v>
      </c>
      <c r="AG1120" t="s">
        <v>74</v>
      </c>
      <c r="AH1120" t="s">
        <v>74</v>
      </c>
      <c r="AI1120" t="s">
        <v>74</v>
      </c>
      <c r="AJ1120" t="s">
        <v>74</v>
      </c>
      <c r="AK1120" t="s">
        <v>74</v>
      </c>
      <c r="AL1120" t="s">
        <v>74</v>
      </c>
      <c r="AM1120" t="s">
        <v>74</v>
      </c>
      <c r="AN1120" t="s">
        <v>74</v>
      </c>
      <c r="AO1120" t="s">
        <v>2632</v>
      </c>
      <c r="AP1120" t="s">
        <v>2633</v>
      </c>
      <c r="AQ1120" t="s">
        <v>74</v>
      </c>
      <c r="AR1120" t="s">
        <v>74</v>
      </c>
      <c r="AS1120" t="s">
        <v>74</v>
      </c>
      <c r="AT1120" t="s">
        <v>74</v>
      </c>
      <c r="AU1120">
        <v>2020</v>
      </c>
      <c r="AV1120">
        <v>68</v>
      </c>
      <c r="AW1120">
        <v>2</v>
      </c>
      <c r="AX1120" t="s">
        <v>74</v>
      </c>
      <c r="AY1120" t="s">
        <v>74</v>
      </c>
      <c r="AZ1120" t="s">
        <v>74</v>
      </c>
      <c r="BA1120" t="s">
        <v>74</v>
      </c>
      <c r="BB1120">
        <v>85</v>
      </c>
      <c r="BC1120">
        <v>97</v>
      </c>
      <c r="BD1120" t="s">
        <v>74</v>
      </c>
      <c r="BE1120" t="s">
        <v>8124</v>
      </c>
      <c r="BF1120" t="str">
        <f>HYPERLINK("http://dx.doi.org/10.1071/ZO20091","http://dx.doi.org/10.1071/ZO20091")</f>
        <v>http://dx.doi.org/10.1071/ZO20091</v>
      </c>
      <c r="BG1120" t="s">
        <v>74</v>
      </c>
      <c r="BH1120" t="s">
        <v>224</v>
      </c>
      <c r="BI1120" t="s">
        <v>74</v>
      </c>
      <c r="BJ1120" t="s">
        <v>74</v>
      </c>
      <c r="BK1120" t="s">
        <v>74</v>
      </c>
      <c r="BL1120" t="s">
        <v>74</v>
      </c>
      <c r="BM1120" t="s">
        <v>74</v>
      </c>
      <c r="BN1120" t="s">
        <v>74</v>
      </c>
      <c r="BO1120" t="s">
        <v>74</v>
      </c>
      <c r="BP1120" t="s">
        <v>74</v>
      </c>
      <c r="BQ1120" t="s">
        <v>74</v>
      </c>
      <c r="BR1120" t="s">
        <v>74</v>
      </c>
      <c r="BS1120" t="s">
        <v>8125</v>
      </c>
      <c r="BT1120" t="str">
        <f>HYPERLINK("https%3A%2F%2Fwww.webofscience.com%2Fwos%2Fwoscc%2Ffull-record%2FWOS:000657370700001","View Full Record in Web of Science")</f>
        <v>View Full Record in Web of Science</v>
      </c>
    </row>
    <row r="1121" spans="1:72" x14ac:dyDescent="0.4">
      <c r="A1121" t="s">
        <v>72</v>
      </c>
      <c r="B1121" t="s">
        <v>4167</v>
      </c>
      <c r="C1121" t="s">
        <v>74</v>
      </c>
      <c r="D1121" t="s">
        <v>74</v>
      </c>
      <c r="E1121" t="s">
        <v>74</v>
      </c>
      <c r="F1121" t="s">
        <v>4167</v>
      </c>
      <c r="G1121" t="s">
        <v>74</v>
      </c>
      <c r="H1121" t="s">
        <v>74</v>
      </c>
      <c r="I1121" t="s">
        <v>4168</v>
      </c>
      <c r="J1121" t="s">
        <v>691</v>
      </c>
      <c r="K1121" t="s">
        <v>74</v>
      </c>
      <c r="L1121" t="s">
        <v>74</v>
      </c>
      <c r="M1121" t="s">
        <v>74</v>
      </c>
      <c r="N1121" t="s">
        <v>74</v>
      </c>
      <c r="O1121" t="s">
        <v>74</v>
      </c>
      <c r="P1121" t="s">
        <v>74</v>
      </c>
      <c r="Q1121" t="s">
        <v>74</v>
      </c>
      <c r="R1121" t="s">
        <v>74</v>
      </c>
      <c r="S1121" t="s">
        <v>74</v>
      </c>
      <c r="T1121" t="s">
        <v>74</v>
      </c>
      <c r="U1121" t="s">
        <v>74</v>
      </c>
      <c r="V1121" s="3" t="s">
        <v>4169</v>
      </c>
      <c r="W1121" t="s">
        <v>74</v>
      </c>
      <c r="X1121" t="s">
        <v>74</v>
      </c>
      <c r="Y1121" t="s">
        <v>74</v>
      </c>
      <c r="Z1121" t="s">
        <v>74</v>
      </c>
      <c r="AA1121" t="s">
        <v>74</v>
      </c>
      <c r="AB1121" t="s">
        <v>74</v>
      </c>
      <c r="AC1121" t="s">
        <v>74</v>
      </c>
      <c r="AD1121" t="s">
        <v>74</v>
      </c>
      <c r="AE1121" t="s">
        <v>74</v>
      </c>
      <c r="AF1121" t="s">
        <v>74</v>
      </c>
      <c r="AG1121" t="s">
        <v>74</v>
      </c>
      <c r="AH1121" t="s">
        <v>74</v>
      </c>
      <c r="AI1121" t="s">
        <v>74</v>
      </c>
      <c r="AJ1121" t="s">
        <v>74</v>
      </c>
      <c r="AK1121" t="s">
        <v>74</v>
      </c>
      <c r="AL1121" t="s">
        <v>74</v>
      </c>
      <c r="AM1121" t="s">
        <v>74</v>
      </c>
      <c r="AN1121" t="s">
        <v>74</v>
      </c>
      <c r="AO1121" t="s">
        <v>695</v>
      </c>
      <c r="AP1121" t="s">
        <v>981</v>
      </c>
      <c r="AQ1121" t="s">
        <v>74</v>
      </c>
      <c r="AR1121" t="s">
        <v>74</v>
      </c>
      <c r="AS1121" t="s">
        <v>74</v>
      </c>
      <c r="AT1121" t="s">
        <v>305</v>
      </c>
      <c r="AU1121">
        <v>1989</v>
      </c>
      <c r="AV1121">
        <v>46</v>
      </c>
      <c r="AW1121">
        <v>6</v>
      </c>
      <c r="AX1121" t="s">
        <v>74</v>
      </c>
      <c r="AY1121" t="s">
        <v>74</v>
      </c>
      <c r="AZ1121" t="s">
        <v>74</v>
      </c>
      <c r="BA1121" t="s">
        <v>74</v>
      </c>
      <c r="BB1121">
        <v>977</v>
      </c>
      <c r="BC1121">
        <v>982</v>
      </c>
      <c r="BD1121" t="s">
        <v>74</v>
      </c>
      <c r="BE1121" t="s">
        <v>4170</v>
      </c>
      <c r="BF1121" t="str">
        <f>HYPERLINK("http://dx.doi.org/10.1016/0031-9384(89)90201-1","http://dx.doi.org/10.1016/0031-9384(89)90201-1")</f>
        <v>http://dx.doi.org/10.1016/0031-9384(89)90201-1</v>
      </c>
      <c r="BG1121" t="s">
        <v>74</v>
      </c>
      <c r="BH1121" t="s">
        <v>74</v>
      </c>
      <c r="BI1121" t="s">
        <v>74</v>
      </c>
      <c r="BJ1121" t="s">
        <v>74</v>
      </c>
      <c r="BK1121" t="s">
        <v>74</v>
      </c>
      <c r="BL1121" t="s">
        <v>74</v>
      </c>
      <c r="BM1121" t="s">
        <v>74</v>
      </c>
      <c r="BN1121">
        <v>2634263</v>
      </c>
      <c r="BO1121" t="s">
        <v>74</v>
      </c>
      <c r="BP1121" t="s">
        <v>74</v>
      </c>
      <c r="BQ1121" t="s">
        <v>74</v>
      </c>
      <c r="BR1121" t="s">
        <v>74</v>
      </c>
      <c r="BS1121" t="s">
        <v>4171</v>
      </c>
      <c r="BT1121" t="str">
        <f>HYPERLINK("https%3A%2F%2Fwww.webofscience.com%2Fwos%2Fwoscc%2Ffull-record%2FWOS:A1989CE14400011","View Full Record in Web of Science")</f>
        <v>View Full Record in Web of Science</v>
      </c>
    </row>
    <row r="1122" spans="1:72" x14ac:dyDescent="0.4">
      <c r="A1122" t="s">
        <v>72</v>
      </c>
      <c r="B1122" t="s">
        <v>5563</v>
      </c>
      <c r="C1122" t="s">
        <v>74</v>
      </c>
      <c r="D1122" t="s">
        <v>74</v>
      </c>
      <c r="E1122" t="s">
        <v>74</v>
      </c>
      <c r="F1122" t="s">
        <v>5563</v>
      </c>
      <c r="G1122" t="s">
        <v>74</v>
      </c>
      <c r="H1122" t="s">
        <v>74</v>
      </c>
      <c r="I1122" t="s">
        <v>5564</v>
      </c>
      <c r="J1122" t="s">
        <v>5333</v>
      </c>
      <c r="K1122" t="s">
        <v>74</v>
      </c>
      <c r="L1122" t="s">
        <v>74</v>
      </c>
      <c r="M1122" t="s">
        <v>74</v>
      </c>
      <c r="N1122" t="s">
        <v>74</v>
      </c>
      <c r="O1122" t="s">
        <v>74</v>
      </c>
      <c r="P1122" t="s">
        <v>74</v>
      </c>
      <c r="Q1122" t="s">
        <v>74</v>
      </c>
      <c r="R1122" t="s">
        <v>74</v>
      </c>
      <c r="S1122" t="s">
        <v>74</v>
      </c>
      <c r="T1122" t="s">
        <v>74</v>
      </c>
      <c r="U1122" t="s">
        <v>74</v>
      </c>
      <c r="V1122" s="3" t="s">
        <v>5565</v>
      </c>
      <c r="W1122" t="s">
        <v>74</v>
      </c>
      <c r="X1122" t="s">
        <v>74</v>
      </c>
      <c r="Y1122" t="s">
        <v>74</v>
      </c>
      <c r="Z1122" t="s">
        <v>74</v>
      </c>
      <c r="AA1122" t="s">
        <v>74</v>
      </c>
      <c r="AB1122" t="s">
        <v>74</v>
      </c>
      <c r="AC1122" t="s">
        <v>74</v>
      </c>
      <c r="AD1122" t="s">
        <v>74</v>
      </c>
      <c r="AE1122" t="s">
        <v>74</v>
      </c>
      <c r="AF1122" t="s">
        <v>74</v>
      </c>
      <c r="AG1122" t="s">
        <v>74</v>
      </c>
      <c r="AH1122" t="s">
        <v>74</v>
      </c>
      <c r="AI1122" t="s">
        <v>74</v>
      </c>
      <c r="AJ1122" t="s">
        <v>74</v>
      </c>
      <c r="AK1122" t="s">
        <v>74</v>
      </c>
      <c r="AL1122" t="s">
        <v>74</v>
      </c>
      <c r="AM1122" t="s">
        <v>74</v>
      </c>
      <c r="AN1122" t="s">
        <v>74</v>
      </c>
      <c r="AO1122" t="s">
        <v>5335</v>
      </c>
      <c r="AP1122" t="s">
        <v>74</v>
      </c>
      <c r="AQ1122" t="s">
        <v>74</v>
      </c>
      <c r="AR1122" t="s">
        <v>74</v>
      </c>
      <c r="AS1122" t="s">
        <v>74</v>
      </c>
      <c r="AT1122" t="s">
        <v>74</v>
      </c>
      <c r="AU1122">
        <v>1985</v>
      </c>
      <c r="AV1122">
        <v>50</v>
      </c>
      <c r="AW1122">
        <v>3</v>
      </c>
      <c r="AX1122" t="s">
        <v>74</v>
      </c>
      <c r="AY1122" t="s">
        <v>74</v>
      </c>
      <c r="AZ1122" t="s">
        <v>74</v>
      </c>
      <c r="BA1122" t="s">
        <v>74</v>
      </c>
      <c r="BB1122">
        <v>166</v>
      </c>
      <c r="BC1122">
        <v>174</v>
      </c>
      <c r="BD1122" t="s">
        <v>74</v>
      </c>
      <c r="BE1122" t="s">
        <v>74</v>
      </c>
      <c r="BF1122" t="s">
        <v>74</v>
      </c>
      <c r="BG1122" t="s">
        <v>74</v>
      </c>
      <c r="BH1122" t="s">
        <v>74</v>
      </c>
      <c r="BI1122" t="s">
        <v>74</v>
      </c>
      <c r="BJ1122" t="s">
        <v>74</v>
      </c>
      <c r="BK1122" t="s">
        <v>74</v>
      </c>
      <c r="BL1122" t="s">
        <v>74</v>
      </c>
      <c r="BM1122" t="s">
        <v>74</v>
      </c>
      <c r="BN1122" t="s">
        <v>74</v>
      </c>
      <c r="BO1122" t="s">
        <v>74</v>
      </c>
      <c r="BP1122" t="s">
        <v>74</v>
      </c>
      <c r="BQ1122" t="s">
        <v>74</v>
      </c>
      <c r="BR1122" t="s">
        <v>74</v>
      </c>
      <c r="BS1122" t="s">
        <v>5566</v>
      </c>
      <c r="BT1122" t="str">
        <f>HYPERLINK("https%3A%2F%2Fwww.webofscience.com%2Fwos%2Fwoscc%2Ffull-record%2FWOS:A1985ALJ2100004","View Full Record in Web of Science")</f>
        <v>View Full Record in Web of Science</v>
      </c>
    </row>
    <row r="1123" spans="1:72" x14ac:dyDescent="0.4">
      <c r="A1123" t="s">
        <v>72</v>
      </c>
      <c r="B1123" t="s">
        <v>8162</v>
      </c>
      <c r="C1123" t="s">
        <v>74</v>
      </c>
      <c r="D1123" t="s">
        <v>74</v>
      </c>
      <c r="E1123" t="s">
        <v>74</v>
      </c>
      <c r="F1123" t="s">
        <v>8162</v>
      </c>
      <c r="G1123" t="s">
        <v>74</v>
      </c>
      <c r="H1123" t="s">
        <v>74</v>
      </c>
      <c r="I1123" t="s">
        <v>8163</v>
      </c>
      <c r="J1123" t="s">
        <v>241</v>
      </c>
      <c r="K1123" t="s">
        <v>74</v>
      </c>
      <c r="L1123" t="s">
        <v>74</v>
      </c>
      <c r="M1123" t="s">
        <v>74</v>
      </c>
      <c r="N1123" t="s">
        <v>74</v>
      </c>
      <c r="O1123" t="s">
        <v>74</v>
      </c>
      <c r="P1123" t="s">
        <v>74</v>
      </c>
      <c r="Q1123" t="s">
        <v>74</v>
      </c>
      <c r="R1123" t="s">
        <v>74</v>
      </c>
      <c r="S1123" t="s">
        <v>74</v>
      </c>
      <c r="T1123" t="s">
        <v>74</v>
      </c>
      <c r="U1123" t="s">
        <v>74</v>
      </c>
      <c r="V1123" s="3" t="s">
        <v>8164</v>
      </c>
      <c r="W1123" t="s">
        <v>74</v>
      </c>
      <c r="X1123" t="s">
        <v>74</v>
      </c>
      <c r="Y1123" t="s">
        <v>74</v>
      </c>
      <c r="Z1123" t="s">
        <v>74</v>
      </c>
      <c r="AA1123" t="s">
        <v>6473</v>
      </c>
      <c r="AB1123" t="s">
        <v>8165</v>
      </c>
      <c r="AC1123" t="s">
        <v>74</v>
      </c>
      <c r="AD1123" t="s">
        <v>74</v>
      </c>
      <c r="AE1123" t="s">
        <v>74</v>
      </c>
      <c r="AF1123" t="s">
        <v>74</v>
      </c>
      <c r="AG1123" t="s">
        <v>74</v>
      </c>
      <c r="AH1123" t="s">
        <v>74</v>
      </c>
      <c r="AI1123" t="s">
        <v>74</v>
      </c>
      <c r="AJ1123" t="s">
        <v>74</v>
      </c>
      <c r="AK1123" t="s">
        <v>74</v>
      </c>
      <c r="AL1123" t="s">
        <v>74</v>
      </c>
      <c r="AM1123" t="s">
        <v>74</v>
      </c>
      <c r="AN1123" t="s">
        <v>74</v>
      </c>
      <c r="AO1123" t="s">
        <v>245</v>
      </c>
      <c r="AP1123" t="s">
        <v>74</v>
      </c>
      <c r="AQ1123" t="s">
        <v>74</v>
      </c>
      <c r="AR1123" t="s">
        <v>74</v>
      </c>
      <c r="AS1123" t="s">
        <v>74</v>
      </c>
      <c r="AT1123" t="s">
        <v>145</v>
      </c>
      <c r="AU1123">
        <v>1993</v>
      </c>
      <c r="AV1123">
        <v>95</v>
      </c>
      <c r="AW1123">
        <v>2</v>
      </c>
      <c r="AX1123" t="s">
        <v>74</v>
      </c>
      <c r="AY1123" t="s">
        <v>74</v>
      </c>
      <c r="AZ1123" t="s">
        <v>74</v>
      </c>
      <c r="BA1123" t="s">
        <v>74</v>
      </c>
      <c r="BB1123">
        <v>266</v>
      </c>
      <c r="BC1123">
        <v>276</v>
      </c>
      <c r="BD1123" t="s">
        <v>74</v>
      </c>
      <c r="BE1123" t="s">
        <v>8166</v>
      </c>
      <c r="BF1123" t="str">
        <f>HYPERLINK("http://dx.doi.org/10.1007/BF00323499","http://dx.doi.org/10.1007/BF00323499")</f>
        <v>http://dx.doi.org/10.1007/BF00323499</v>
      </c>
      <c r="BG1123" t="s">
        <v>74</v>
      </c>
      <c r="BH1123" t="s">
        <v>74</v>
      </c>
      <c r="BI1123" t="s">
        <v>74</v>
      </c>
      <c r="BJ1123" t="s">
        <v>74</v>
      </c>
      <c r="BK1123" t="s">
        <v>74</v>
      </c>
      <c r="BL1123" t="s">
        <v>74</v>
      </c>
      <c r="BM1123" t="s">
        <v>74</v>
      </c>
      <c r="BN1123">
        <v>28312951</v>
      </c>
      <c r="BO1123" t="s">
        <v>74</v>
      </c>
      <c r="BP1123" t="s">
        <v>74</v>
      </c>
      <c r="BQ1123" t="s">
        <v>74</v>
      </c>
      <c r="BR1123" t="s">
        <v>74</v>
      </c>
      <c r="BS1123" t="s">
        <v>8167</v>
      </c>
      <c r="BT1123" t="str">
        <f>HYPERLINK("https%3A%2F%2Fwww.webofscience.com%2Fwos%2Fwoscc%2Ffull-record%2FWOS:A1993LV56400015","View Full Record in Web of Science")</f>
        <v>View Full Record in Web of Science</v>
      </c>
    </row>
    <row r="1124" spans="1:72" x14ac:dyDescent="0.4">
      <c r="A1124" t="s">
        <v>72</v>
      </c>
      <c r="B1124" t="s">
        <v>6081</v>
      </c>
      <c r="C1124" t="s">
        <v>74</v>
      </c>
      <c r="D1124" t="s">
        <v>74</v>
      </c>
      <c r="E1124" t="s">
        <v>74</v>
      </c>
      <c r="F1124" t="s">
        <v>6082</v>
      </c>
      <c r="G1124" t="s">
        <v>74</v>
      </c>
      <c r="H1124" t="s">
        <v>74</v>
      </c>
      <c r="I1124" t="s">
        <v>6083</v>
      </c>
      <c r="J1124" t="s">
        <v>6084</v>
      </c>
      <c r="K1124" t="s">
        <v>74</v>
      </c>
      <c r="L1124" t="s">
        <v>74</v>
      </c>
      <c r="M1124" t="s">
        <v>74</v>
      </c>
      <c r="N1124" t="s">
        <v>74</v>
      </c>
      <c r="O1124" t="s">
        <v>74</v>
      </c>
      <c r="P1124" t="s">
        <v>74</v>
      </c>
      <c r="Q1124" t="s">
        <v>74</v>
      </c>
      <c r="R1124" t="s">
        <v>74</v>
      </c>
      <c r="S1124" t="s">
        <v>74</v>
      </c>
      <c r="T1124" t="s">
        <v>74</v>
      </c>
      <c r="U1124" t="s">
        <v>74</v>
      </c>
      <c r="V1124" s="3" t="s">
        <v>6085</v>
      </c>
      <c r="W1124" t="s">
        <v>74</v>
      </c>
      <c r="X1124" t="s">
        <v>74</v>
      </c>
      <c r="Y1124" t="s">
        <v>74</v>
      </c>
      <c r="Z1124" t="s">
        <v>74</v>
      </c>
      <c r="AA1124" t="s">
        <v>2989</v>
      </c>
      <c r="AB1124" t="s">
        <v>6086</v>
      </c>
      <c r="AC1124" t="s">
        <v>74</v>
      </c>
      <c r="AD1124" t="s">
        <v>74</v>
      </c>
      <c r="AE1124" t="s">
        <v>74</v>
      </c>
      <c r="AF1124" t="s">
        <v>74</v>
      </c>
      <c r="AG1124" t="s">
        <v>74</v>
      </c>
      <c r="AH1124" t="s">
        <v>74</v>
      </c>
      <c r="AI1124" t="s">
        <v>74</v>
      </c>
      <c r="AJ1124" t="s">
        <v>74</v>
      </c>
      <c r="AK1124" t="s">
        <v>74</v>
      </c>
      <c r="AL1124" t="s">
        <v>74</v>
      </c>
      <c r="AM1124" t="s">
        <v>74</v>
      </c>
      <c r="AN1124" t="s">
        <v>74</v>
      </c>
      <c r="AO1124" t="s">
        <v>6087</v>
      </c>
      <c r="AP1124" t="s">
        <v>6088</v>
      </c>
      <c r="AQ1124" t="s">
        <v>74</v>
      </c>
      <c r="AR1124" t="s">
        <v>74</v>
      </c>
      <c r="AS1124" t="s">
        <v>74</v>
      </c>
      <c r="AT1124" t="s">
        <v>74</v>
      </c>
      <c r="AU1124">
        <v>2017</v>
      </c>
      <c r="AV1124">
        <v>20</v>
      </c>
      <c r="AW1124">
        <v>1</v>
      </c>
      <c r="AX1124" t="s">
        <v>74</v>
      </c>
      <c r="AY1124" t="s">
        <v>74</v>
      </c>
      <c r="AZ1124" t="s">
        <v>74</v>
      </c>
      <c r="BA1124" t="s">
        <v>74</v>
      </c>
      <c r="BB1124">
        <v>43</v>
      </c>
      <c r="BC1124">
        <v>52</v>
      </c>
      <c r="BD1124" t="s">
        <v>74</v>
      </c>
      <c r="BE1124" t="s">
        <v>6089</v>
      </c>
      <c r="BF1124" t="str">
        <f>HYPERLINK("http://dx.doi.org/10.1080/13887890.2017.1297259","http://dx.doi.org/10.1080/13887890.2017.1297259")</f>
        <v>http://dx.doi.org/10.1080/13887890.2017.1297259</v>
      </c>
      <c r="BG1124" t="s">
        <v>74</v>
      </c>
      <c r="BH1124" t="s">
        <v>74</v>
      </c>
      <c r="BI1124" t="s">
        <v>74</v>
      </c>
      <c r="BJ1124" t="s">
        <v>74</v>
      </c>
      <c r="BK1124" t="s">
        <v>74</v>
      </c>
      <c r="BL1124" t="s">
        <v>74</v>
      </c>
      <c r="BM1124" t="s">
        <v>74</v>
      </c>
      <c r="BN1124" t="s">
        <v>74</v>
      </c>
      <c r="BO1124" t="s">
        <v>74</v>
      </c>
      <c r="BP1124" t="s">
        <v>74</v>
      </c>
      <c r="BQ1124" t="s">
        <v>74</v>
      </c>
      <c r="BR1124" t="s">
        <v>74</v>
      </c>
      <c r="BS1124" t="s">
        <v>6090</v>
      </c>
      <c r="BT1124" t="str">
        <f>HYPERLINK("https%3A%2F%2Fwww.webofscience.com%2Fwos%2Fwoscc%2Ffull-record%2FWOS:000398096300004","View Full Record in Web of Science")</f>
        <v>View Full Record in Web of Science</v>
      </c>
    </row>
    <row r="1125" spans="1:72" x14ac:dyDescent="0.4">
      <c r="A1125" t="s">
        <v>72</v>
      </c>
      <c r="B1125" t="s">
        <v>8292</v>
      </c>
      <c r="C1125" t="s">
        <v>74</v>
      </c>
      <c r="D1125" t="s">
        <v>74</v>
      </c>
      <c r="E1125" t="s">
        <v>74</v>
      </c>
      <c r="F1125" t="s">
        <v>8292</v>
      </c>
      <c r="G1125" t="s">
        <v>74</v>
      </c>
      <c r="H1125" t="s">
        <v>74</v>
      </c>
      <c r="I1125" t="s">
        <v>8293</v>
      </c>
      <c r="J1125" t="s">
        <v>456</v>
      </c>
      <c r="K1125" t="s">
        <v>74</v>
      </c>
      <c r="L1125" t="s">
        <v>74</v>
      </c>
      <c r="M1125" t="s">
        <v>74</v>
      </c>
      <c r="N1125" t="s">
        <v>74</v>
      </c>
      <c r="O1125" t="s">
        <v>74</v>
      </c>
      <c r="P1125" t="s">
        <v>74</v>
      </c>
      <c r="Q1125" t="s">
        <v>74</v>
      </c>
      <c r="R1125" t="s">
        <v>74</v>
      </c>
      <c r="S1125" t="s">
        <v>74</v>
      </c>
      <c r="T1125" t="s">
        <v>74</v>
      </c>
      <c r="U1125" t="s">
        <v>74</v>
      </c>
      <c r="V1125" s="3" t="s">
        <v>8294</v>
      </c>
      <c r="W1125" t="s">
        <v>74</v>
      </c>
      <c r="X1125" t="s">
        <v>74</v>
      </c>
      <c r="Y1125" t="s">
        <v>74</v>
      </c>
      <c r="Z1125" t="s">
        <v>74</v>
      </c>
      <c r="AA1125" t="s">
        <v>74</v>
      </c>
      <c r="AB1125" t="s">
        <v>74</v>
      </c>
      <c r="AC1125" t="s">
        <v>74</v>
      </c>
      <c r="AD1125" t="s">
        <v>74</v>
      </c>
      <c r="AE1125" t="s">
        <v>74</v>
      </c>
      <c r="AF1125" t="s">
        <v>74</v>
      </c>
      <c r="AG1125" t="s">
        <v>74</v>
      </c>
      <c r="AH1125" t="s">
        <v>74</v>
      </c>
      <c r="AI1125" t="s">
        <v>74</v>
      </c>
      <c r="AJ1125" t="s">
        <v>74</v>
      </c>
      <c r="AK1125" t="s">
        <v>74</v>
      </c>
      <c r="AL1125" t="s">
        <v>74</v>
      </c>
      <c r="AM1125" t="s">
        <v>74</v>
      </c>
      <c r="AN1125" t="s">
        <v>74</v>
      </c>
      <c r="AO1125" t="s">
        <v>460</v>
      </c>
      <c r="AP1125" t="s">
        <v>74</v>
      </c>
      <c r="AQ1125" t="s">
        <v>74</v>
      </c>
      <c r="AR1125" t="s">
        <v>74</v>
      </c>
      <c r="AS1125" t="s">
        <v>74</v>
      </c>
      <c r="AT1125" t="s">
        <v>352</v>
      </c>
      <c r="AU1125">
        <v>1991</v>
      </c>
      <c r="AV1125">
        <v>225</v>
      </c>
      <c r="AW1125" t="s">
        <v>74</v>
      </c>
      <c r="AX1125">
        <v>1</v>
      </c>
      <c r="AY1125" t="s">
        <v>74</v>
      </c>
      <c r="AZ1125" t="s">
        <v>74</v>
      </c>
      <c r="BA1125" t="s">
        <v>74</v>
      </c>
      <c r="BB1125">
        <v>43</v>
      </c>
      <c r="BC1125">
        <v>58</v>
      </c>
      <c r="BD1125" t="s">
        <v>74</v>
      </c>
      <c r="BE1125" t="s">
        <v>8295</v>
      </c>
      <c r="BF1125" t="str">
        <f>HYPERLINK("http://dx.doi.org/10.1111/j.1469-7998.1991.tb03800.x","http://dx.doi.org/10.1111/j.1469-7998.1991.tb03800.x")</f>
        <v>http://dx.doi.org/10.1111/j.1469-7998.1991.tb03800.x</v>
      </c>
      <c r="BG1125" t="s">
        <v>74</v>
      </c>
      <c r="BH1125" t="s">
        <v>74</v>
      </c>
      <c r="BI1125" t="s">
        <v>74</v>
      </c>
      <c r="BJ1125" t="s">
        <v>74</v>
      </c>
      <c r="BK1125" t="s">
        <v>74</v>
      </c>
      <c r="BL1125" t="s">
        <v>74</v>
      </c>
      <c r="BM1125" t="s">
        <v>74</v>
      </c>
      <c r="BN1125" t="s">
        <v>74</v>
      </c>
      <c r="BO1125" t="s">
        <v>74</v>
      </c>
      <c r="BP1125" t="s">
        <v>74</v>
      </c>
      <c r="BQ1125" t="s">
        <v>74</v>
      </c>
      <c r="BR1125" t="s">
        <v>74</v>
      </c>
      <c r="BS1125" t="s">
        <v>8296</v>
      </c>
      <c r="BT1125" t="str">
        <f>HYPERLINK("https%3A%2F%2Fwww.webofscience.com%2Fwos%2Fwoscc%2Ffull-record%2FWOS:A1991GK01600004","View Full Record in Web of Science")</f>
        <v>View Full Record in Web of Science</v>
      </c>
    </row>
    <row r="1126" spans="1:72" x14ac:dyDescent="0.4">
      <c r="A1126" t="s">
        <v>72</v>
      </c>
      <c r="B1126" t="s">
        <v>4938</v>
      </c>
      <c r="C1126" t="s">
        <v>74</v>
      </c>
      <c r="D1126" t="s">
        <v>74</v>
      </c>
      <c r="E1126" t="s">
        <v>74</v>
      </c>
      <c r="F1126" t="s">
        <v>4938</v>
      </c>
      <c r="G1126" t="s">
        <v>74</v>
      </c>
      <c r="H1126" t="s">
        <v>74</v>
      </c>
      <c r="I1126" t="s">
        <v>4939</v>
      </c>
      <c r="J1126" t="s">
        <v>4522</v>
      </c>
      <c r="K1126" t="s">
        <v>74</v>
      </c>
      <c r="L1126" t="s">
        <v>74</v>
      </c>
      <c r="M1126" t="s">
        <v>74</v>
      </c>
      <c r="N1126" t="s">
        <v>74</v>
      </c>
      <c r="O1126" t="s">
        <v>74</v>
      </c>
      <c r="P1126" t="s">
        <v>74</v>
      </c>
      <c r="Q1126" t="s">
        <v>74</v>
      </c>
      <c r="R1126" t="s">
        <v>74</v>
      </c>
      <c r="S1126" t="s">
        <v>74</v>
      </c>
      <c r="T1126" t="s">
        <v>74</v>
      </c>
      <c r="U1126" t="s">
        <v>74</v>
      </c>
      <c r="V1126" s="3" t="s">
        <v>4940</v>
      </c>
      <c r="W1126" t="s">
        <v>74</v>
      </c>
      <c r="X1126" t="s">
        <v>74</v>
      </c>
      <c r="Y1126" t="s">
        <v>74</v>
      </c>
      <c r="Z1126" t="s">
        <v>74</v>
      </c>
      <c r="AA1126" t="s">
        <v>74</v>
      </c>
      <c r="AB1126" t="s">
        <v>74</v>
      </c>
      <c r="AC1126" t="s">
        <v>74</v>
      </c>
      <c r="AD1126" t="s">
        <v>74</v>
      </c>
      <c r="AE1126" t="s">
        <v>74</v>
      </c>
      <c r="AF1126" t="s">
        <v>74</v>
      </c>
      <c r="AG1126" t="s">
        <v>74</v>
      </c>
      <c r="AH1126" t="s">
        <v>74</v>
      </c>
      <c r="AI1126" t="s">
        <v>74</v>
      </c>
      <c r="AJ1126" t="s">
        <v>74</v>
      </c>
      <c r="AK1126" t="s">
        <v>74</v>
      </c>
      <c r="AL1126" t="s">
        <v>74</v>
      </c>
      <c r="AM1126" t="s">
        <v>74</v>
      </c>
      <c r="AN1126" t="s">
        <v>74</v>
      </c>
      <c r="AO1126" t="s">
        <v>4526</v>
      </c>
      <c r="AP1126" t="s">
        <v>4527</v>
      </c>
      <c r="AQ1126" t="s">
        <v>74</v>
      </c>
      <c r="AR1126" t="s">
        <v>74</v>
      </c>
      <c r="AS1126" t="s">
        <v>74</v>
      </c>
      <c r="AT1126" t="s">
        <v>1075</v>
      </c>
      <c r="AU1126">
        <v>1990</v>
      </c>
      <c r="AV1126">
        <v>24</v>
      </c>
      <c r="AW1126">
        <v>6</v>
      </c>
      <c r="AX1126" t="s">
        <v>74</v>
      </c>
      <c r="AY1126" t="s">
        <v>74</v>
      </c>
      <c r="AZ1126" t="s">
        <v>74</v>
      </c>
      <c r="BA1126" t="s">
        <v>74</v>
      </c>
      <c r="BB1126">
        <v>1617</v>
      </c>
      <c r="BC1126">
        <v>1627</v>
      </c>
      <c r="BD1126" t="s">
        <v>74</v>
      </c>
      <c r="BE1126" t="s">
        <v>4941</v>
      </c>
      <c r="BF1126" t="str">
        <f>HYPERLINK("http://dx.doi.org/10.1080/00222939000770931","http://dx.doi.org/10.1080/00222939000770931")</f>
        <v>http://dx.doi.org/10.1080/00222939000770931</v>
      </c>
      <c r="BG1126" t="s">
        <v>74</v>
      </c>
      <c r="BH1126" t="s">
        <v>74</v>
      </c>
      <c r="BI1126" t="s">
        <v>74</v>
      </c>
      <c r="BJ1126" t="s">
        <v>74</v>
      </c>
      <c r="BK1126" t="s">
        <v>74</v>
      </c>
      <c r="BL1126" t="s">
        <v>74</v>
      </c>
      <c r="BM1126" t="s">
        <v>74</v>
      </c>
      <c r="BN1126" t="s">
        <v>74</v>
      </c>
      <c r="BO1126" t="s">
        <v>74</v>
      </c>
      <c r="BP1126" t="s">
        <v>74</v>
      </c>
      <c r="BQ1126" t="s">
        <v>74</v>
      </c>
      <c r="BR1126" t="s">
        <v>74</v>
      </c>
      <c r="BS1126" t="s">
        <v>4942</v>
      </c>
      <c r="BT1126" t="str">
        <f>HYPERLINK("https%3A%2F%2Fwww.webofscience.com%2Fwos%2Fwoscc%2Ffull-record%2FWOS:A1990EH88300013","View Full Record in Web of Science")</f>
        <v>View Full Record in Web of Science</v>
      </c>
    </row>
    <row r="1127" spans="1:72" x14ac:dyDescent="0.4">
      <c r="A1127" t="s">
        <v>72</v>
      </c>
      <c r="B1127" t="s">
        <v>7883</v>
      </c>
      <c r="C1127" t="s">
        <v>74</v>
      </c>
      <c r="D1127" t="s">
        <v>74</v>
      </c>
      <c r="E1127" t="s">
        <v>74</v>
      </c>
      <c r="F1127" t="s">
        <v>7883</v>
      </c>
      <c r="G1127" t="s">
        <v>74</v>
      </c>
      <c r="H1127" t="s">
        <v>74</v>
      </c>
      <c r="I1127" t="s">
        <v>7884</v>
      </c>
      <c r="J1127" t="s">
        <v>610</v>
      </c>
      <c r="K1127" t="s">
        <v>74</v>
      </c>
      <c r="L1127" t="s">
        <v>74</v>
      </c>
      <c r="M1127" t="s">
        <v>74</v>
      </c>
      <c r="N1127" t="s">
        <v>74</v>
      </c>
      <c r="O1127" t="s">
        <v>74</v>
      </c>
      <c r="P1127" t="s">
        <v>74</v>
      </c>
      <c r="Q1127" t="s">
        <v>74</v>
      </c>
      <c r="R1127" t="s">
        <v>74</v>
      </c>
      <c r="S1127" t="s">
        <v>74</v>
      </c>
      <c r="T1127" t="s">
        <v>74</v>
      </c>
      <c r="U1127" t="s">
        <v>74</v>
      </c>
      <c r="V1127" s="3" t="s">
        <v>7885</v>
      </c>
      <c r="W1127" t="s">
        <v>74</v>
      </c>
      <c r="X1127" t="s">
        <v>74</v>
      </c>
      <c r="Y1127" t="s">
        <v>74</v>
      </c>
      <c r="Z1127" t="s">
        <v>74</v>
      </c>
      <c r="AA1127" t="s">
        <v>74</v>
      </c>
      <c r="AB1127" t="s">
        <v>74</v>
      </c>
      <c r="AC1127" t="s">
        <v>74</v>
      </c>
      <c r="AD1127" t="s">
        <v>74</v>
      </c>
      <c r="AE1127" t="s">
        <v>74</v>
      </c>
      <c r="AF1127" t="s">
        <v>74</v>
      </c>
      <c r="AG1127" t="s">
        <v>74</v>
      </c>
      <c r="AH1127" t="s">
        <v>74</v>
      </c>
      <c r="AI1127" t="s">
        <v>74</v>
      </c>
      <c r="AJ1127" t="s">
        <v>74</v>
      </c>
      <c r="AK1127" t="s">
        <v>74</v>
      </c>
      <c r="AL1127" t="s">
        <v>74</v>
      </c>
      <c r="AM1127" t="s">
        <v>74</v>
      </c>
      <c r="AN1127" t="s">
        <v>74</v>
      </c>
      <c r="AO1127" t="s">
        <v>614</v>
      </c>
      <c r="AP1127" t="s">
        <v>615</v>
      </c>
      <c r="AQ1127" t="s">
        <v>74</v>
      </c>
      <c r="AR1127" t="s">
        <v>74</v>
      </c>
      <c r="AS1127" t="s">
        <v>74</v>
      </c>
      <c r="AT1127" t="s">
        <v>633</v>
      </c>
      <c r="AU1127">
        <v>2000</v>
      </c>
      <c r="AV1127">
        <v>106</v>
      </c>
      <c r="AW1127">
        <v>4</v>
      </c>
      <c r="AX1127" t="s">
        <v>74</v>
      </c>
      <c r="AY1127" t="s">
        <v>74</v>
      </c>
      <c r="AZ1127" t="s">
        <v>74</v>
      </c>
      <c r="BA1127" t="s">
        <v>74</v>
      </c>
      <c r="BB1127">
        <v>349</v>
      </c>
      <c r="BC1127">
        <v>363</v>
      </c>
      <c r="BD1127" t="s">
        <v>74</v>
      </c>
      <c r="BE1127" t="s">
        <v>7886</v>
      </c>
      <c r="BF1127" t="str">
        <f>HYPERLINK("http://dx.doi.org/10.1046/j.1439-0310.2000.00558.x","http://dx.doi.org/10.1046/j.1439-0310.2000.00558.x")</f>
        <v>http://dx.doi.org/10.1046/j.1439-0310.2000.00558.x</v>
      </c>
      <c r="BG1127" t="s">
        <v>74</v>
      </c>
      <c r="BH1127" t="s">
        <v>74</v>
      </c>
      <c r="BI1127" t="s">
        <v>74</v>
      </c>
      <c r="BJ1127" t="s">
        <v>74</v>
      </c>
      <c r="BK1127" t="s">
        <v>74</v>
      </c>
      <c r="BL1127" t="s">
        <v>74</v>
      </c>
      <c r="BM1127" t="s">
        <v>74</v>
      </c>
      <c r="BN1127" t="s">
        <v>74</v>
      </c>
      <c r="BO1127" t="s">
        <v>74</v>
      </c>
      <c r="BP1127" t="s">
        <v>74</v>
      </c>
      <c r="BQ1127" t="s">
        <v>74</v>
      </c>
      <c r="BR1127" t="s">
        <v>74</v>
      </c>
      <c r="BS1127" t="s">
        <v>7887</v>
      </c>
      <c r="BT1127" t="str">
        <f>HYPERLINK("https%3A%2F%2Fwww.webofscience.com%2Fwos%2Fwoscc%2Ffull-record%2FWOS:000086783400005","View Full Record in Web of Science")</f>
        <v>View Full Record in Web of Science</v>
      </c>
    </row>
    <row r="1128" spans="1:72" x14ac:dyDescent="0.4">
      <c r="A1128" t="s">
        <v>72</v>
      </c>
      <c r="B1128" t="s">
        <v>4507</v>
      </c>
      <c r="C1128" t="s">
        <v>74</v>
      </c>
      <c r="D1128" t="s">
        <v>74</v>
      </c>
      <c r="E1128" t="s">
        <v>74</v>
      </c>
      <c r="F1128" t="s">
        <v>4507</v>
      </c>
      <c r="G1128" t="s">
        <v>74</v>
      </c>
      <c r="H1128" t="s">
        <v>74</v>
      </c>
      <c r="I1128" t="s">
        <v>4508</v>
      </c>
      <c r="J1128" t="s">
        <v>77</v>
      </c>
      <c r="K1128" t="s">
        <v>74</v>
      </c>
      <c r="L1128" t="s">
        <v>74</v>
      </c>
      <c r="M1128" t="s">
        <v>74</v>
      </c>
      <c r="N1128" t="s">
        <v>74</v>
      </c>
      <c r="O1128" t="s">
        <v>74</v>
      </c>
      <c r="P1128" t="s">
        <v>74</v>
      </c>
      <c r="Q1128" t="s">
        <v>74</v>
      </c>
      <c r="R1128" t="s">
        <v>74</v>
      </c>
      <c r="S1128" t="s">
        <v>74</v>
      </c>
      <c r="T1128" t="s">
        <v>74</v>
      </c>
      <c r="U1128" t="s">
        <v>74</v>
      </c>
      <c r="V1128" s="3" t="s">
        <v>4509</v>
      </c>
      <c r="W1128" t="s">
        <v>74</v>
      </c>
      <c r="X1128" t="s">
        <v>74</v>
      </c>
      <c r="Y1128" t="s">
        <v>74</v>
      </c>
      <c r="Z1128" t="s">
        <v>74</v>
      </c>
      <c r="AA1128" t="s">
        <v>74</v>
      </c>
      <c r="AB1128" t="s">
        <v>74</v>
      </c>
      <c r="AC1128" t="s">
        <v>74</v>
      </c>
      <c r="AD1128" t="s">
        <v>74</v>
      </c>
      <c r="AE1128" t="s">
        <v>74</v>
      </c>
      <c r="AF1128" t="s">
        <v>74</v>
      </c>
      <c r="AG1128" t="s">
        <v>74</v>
      </c>
      <c r="AH1128" t="s">
        <v>74</v>
      </c>
      <c r="AI1128" t="s">
        <v>74</v>
      </c>
      <c r="AJ1128" t="s">
        <v>74</v>
      </c>
      <c r="AK1128" t="s">
        <v>74</v>
      </c>
      <c r="AL1128" t="s">
        <v>74</v>
      </c>
      <c r="AM1128" t="s">
        <v>74</v>
      </c>
      <c r="AN1128" t="s">
        <v>74</v>
      </c>
      <c r="AO1128" t="s">
        <v>81</v>
      </c>
      <c r="AP1128" t="s">
        <v>82</v>
      </c>
      <c r="AQ1128" t="s">
        <v>74</v>
      </c>
      <c r="AR1128" t="s">
        <v>74</v>
      </c>
      <c r="AS1128" t="s">
        <v>74</v>
      </c>
      <c r="AT1128" t="s">
        <v>123</v>
      </c>
      <c r="AU1128">
        <v>2005</v>
      </c>
      <c r="AV1128">
        <v>142</v>
      </c>
      <c r="AW1128" t="s">
        <v>74</v>
      </c>
      <c r="AX1128">
        <v>3</v>
      </c>
      <c r="AY1128" t="s">
        <v>74</v>
      </c>
      <c r="AZ1128" t="s">
        <v>74</v>
      </c>
      <c r="BA1128" t="s">
        <v>74</v>
      </c>
      <c r="BB1128">
        <v>283</v>
      </c>
      <c r="BC1128">
        <v>303</v>
      </c>
      <c r="BD1128" t="s">
        <v>74</v>
      </c>
      <c r="BE1128" t="s">
        <v>4510</v>
      </c>
      <c r="BF1128" t="str">
        <f>HYPERLINK("http://dx.doi.org/10.1163/1568539053778292","http://dx.doi.org/10.1163/1568539053778292")</f>
        <v>http://dx.doi.org/10.1163/1568539053778292</v>
      </c>
      <c r="BG1128" t="s">
        <v>74</v>
      </c>
      <c r="BH1128" t="s">
        <v>74</v>
      </c>
      <c r="BI1128" t="s">
        <v>74</v>
      </c>
      <c r="BJ1128" t="s">
        <v>74</v>
      </c>
      <c r="BK1128" t="s">
        <v>74</v>
      </c>
      <c r="BL1128" t="s">
        <v>74</v>
      </c>
      <c r="BM1128" t="s">
        <v>74</v>
      </c>
      <c r="BN1128" t="s">
        <v>74</v>
      </c>
      <c r="BO1128" t="s">
        <v>74</v>
      </c>
      <c r="BP1128" t="s">
        <v>74</v>
      </c>
      <c r="BQ1128" t="s">
        <v>74</v>
      </c>
      <c r="BR1128" t="s">
        <v>74</v>
      </c>
      <c r="BS1128" t="s">
        <v>4511</v>
      </c>
      <c r="BT1128" t="str">
        <f>HYPERLINK("https%3A%2F%2Fwww.webofscience.com%2Fwos%2Fwoscc%2Ffull-record%2FWOS:000230357500002","View Full Record in Web of Science")</f>
        <v>View Full Record in Web of Science</v>
      </c>
    </row>
    <row r="1129" spans="1:72" x14ac:dyDescent="0.4">
      <c r="A1129" t="s">
        <v>72</v>
      </c>
      <c r="B1129" t="s">
        <v>7296</v>
      </c>
      <c r="C1129" t="s">
        <v>74</v>
      </c>
      <c r="D1129" t="s">
        <v>74</v>
      </c>
      <c r="E1129" t="s">
        <v>74</v>
      </c>
      <c r="F1129" t="s">
        <v>7296</v>
      </c>
      <c r="G1129" t="s">
        <v>74</v>
      </c>
      <c r="H1129" t="s">
        <v>74</v>
      </c>
      <c r="I1129" t="s">
        <v>7297</v>
      </c>
      <c r="J1129" t="s">
        <v>3374</v>
      </c>
      <c r="K1129" t="s">
        <v>74</v>
      </c>
      <c r="L1129" t="s">
        <v>74</v>
      </c>
      <c r="M1129" t="s">
        <v>74</v>
      </c>
      <c r="N1129" t="s">
        <v>74</v>
      </c>
      <c r="O1129" t="s">
        <v>74</v>
      </c>
      <c r="P1129" t="s">
        <v>74</v>
      </c>
      <c r="Q1129" t="s">
        <v>74</v>
      </c>
      <c r="R1129" t="s">
        <v>74</v>
      </c>
      <c r="S1129" t="s">
        <v>74</v>
      </c>
      <c r="T1129" t="s">
        <v>74</v>
      </c>
      <c r="U1129" t="s">
        <v>74</v>
      </c>
      <c r="V1129" s="3" t="s">
        <v>7298</v>
      </c>
      <c r="W1129" t="s">
        <v>74</v>
      </c>
      <c r="X1129" t="s">
        <v>74</v>
      </c>
      <c r="Y1129" t="s">
        <v>74</v>
      </c>
      <c r="Z1129" t="s">
        <v>74</v>
      </c>
      <c r="AA1129" t="s">
        <v>7299</v>
      </c>
      <c r="AB1129" t="s">
        <v>7300</v>
      </c>
      <c r="AC1129" t="s">
        <v>74</v>
      </c>
      <c r="AD1129" t="s">
        <v>74</v>
      </c>
      <c r="AE1129" t="s">
        <v>74</v>
      </c>
      <c r="AF1129" t="s">
        <v>74</v>
      </c>
      <c r="AG1129" t="s">
        <v>74</v>
      </c>
      <c r="AH1129" t="s">
        <v>74</v>
      </c>
      <c r="AI1129" t="s">
        <v>74</v>
      </c>
      <c r="AJ1129" t="s">
        <v>74</v>
      </c>
      <c r="AK1129" t="s">
        <v>74</v>
      </c>
      <c r="AL1129" t="s">
        <v>74</v>
      </c>
      <c r="AM1129" t="s">
        <v>74</v>
      </c>
      <c r="AN1129" t="s">
        <v>74</v>
      </c>
      <c r="AO1129" t="s">
        <v>3378</v>
      </c>
      <c r="AP1129" t="s">
        <v>74</v>
      </c>
      <c r="AQ1129" t="s">
        <v>74</v>
      </c>
      <c r="AR1129" t="s">
        <v>74</v>
      </c>
      <c r="AS1129" t="s">
        <v>74</v>
      </c>
      <c r="AT1129" t="s">
        <v>1013</v>
      </c>
      <c r="AU1129">
        <v>2004</v>
      </c>
      <c r="AV1129">
        <v>35</v>
      </c>
      <c r="AW1129">
        <v>5</v>
      </c>
      <c r="AX1129" t="s">
        <v>74</v>
      </c>
      <c r="AY1129" t="s">
        <v>74</v>
      </c>
      <c r="AZ1129" t="s">
        <v>74</v>
      </c>
      <c r="BA1129" t="s">
        <v>74</v>
      </c>
      <c r="BB1129">
        <v>461</v>
      </c>
      <c r="BC1129">
        <v>468</v>
      </c>
      <c r="BD1129" t="s">
        <v>74</v>
      </c>
      <c r="BE1129" t="s">
        <v>7301</v>
      </c>
      <c r="BF1129" t="str">
        <f>HYPERLINK("http://dx.doi.org/10.1051/apido:2004040","http://dx.doi.org/10.1051/apido:2004040")</f>
        <v>http://dx.doi.org/10.1051/apido:2004040</v>
      </c>
      <c r="BG1129" t="s">
        <v>74</v>
      </c>
      <c r="BH1129" t="s">
        <v>74</v>
      </c>
      <c r="BI1129" t="s">
        <v>74</v>
      </c>
      <c r="BJ1129" t="s">
        <v>74</v>
      </c>
      <c r="BK1129" t="s">
        <v>74</v>
      </c>
      <c r="BL1129" t="s">
        <v>74</v>
      </c>
      <c r="BM1129" t="s">
        <v>74</v>
      </c>
      <c r="BN1129" t="s">
        <v>74</v>
      </c>
      <c r="BO1129" t="s">
        <v>74</v>
      </c>
      <c r="BP1129" t="s">
        <v>74</v>
      </c>
      <c r="BQ1129" t="s">
        <v>74</v>
      </c>
      <c r="BR1129" t="s">
        <v>74</v>
      </c>
      <c r="BS1129" t="s">
        <v>7302</v>
      </c>
      <c r="BT1129" t="str">
        <f>HYPERLINK("https%3A%2F%2Fwww.webofscience.com%2Fwos%2Fwoscc%2Ffull-record%2FWOS:000224957200002","View Full Record in Web of Science")</f>
        <v>View Full Record in Web of Science</v>
      </c>
    </row>
    <row r="1130" spans="1:72" x14ac:dyDescent="0.4">
      <c r="A1130" t="s">
        <v>72</v>
      </c>
      <c r="B1130" t="s">
        <v>7340</v>
      </c>
      <c r="C1130" t="s">
        <v>74</v>
      </c>
      <c r="D1130" t="s">
        <v>74</v>
      </c>
      <c r="E1130" t="s">
        <v>74</v>
      </c>
      <c r="F1130" t="s">
        <v>7340</v>
      </c>
      <c r="G1130" t="s">
        <v>74</v>
      </c>
      <c r="H1130" t="s">
        <v>74</v>
      </c>
      <c r="I1130" t="s">
        <v>7341</v>
      </c>
      <c r="J1130" t="s">
        <v>1526</v>
      </c>
      <c r="K1130" t="s">
        <v>74</v>
      </c>
      <c r="L1130" t="s">
        <v>74</v>
      </c>
      <c r="M1130" t="s">
        <v>74</v>
      </c>
      <c r="N1130" t="s">
        <v>74</v>
      </c>
      <c r="O1130" t="s">
        <v>74</v>
      </c>
      <c r="P1130" t="s">
        <v>74</v>
      </c>
      <c r="Q1130" t="s">
        <v>74</v>
      </c>
      <c r="R1130" t="s">
        <v>74</v>
      </c>
      <c r="S1130" t="s">
        <v>74</v>
      </c>
      <c r="T1130" t="s">
        <v>74</v>
      </c>
      <c r="U1130" t="s">
        <v>74</v>
      </c>
      <c r="V1130" s="3" t="s">
        <v>7342</v>
      </c>
      <c r="W1130" t="s">
        <v>74</v>
      </c>
      <c r="X1130" t="s">
        <v>74</v>
      </c>
      <c r="Y1130" t="s">
        <v>74</v>
      </c>
      <c r="Z1130" t="s">
        <v>74</v>
      </c>
      <c r="AA1130" t="s">
        <v>74</v>
      </c>
      <c r="AB1130" t="s">
        <v>74</v>
      </c>
      <c r="AC1130" t="s">
        <v>74</v>
      </c>
      <c r="AD1130" t="s">
        <v>74</v>
      </c>
      <c r="AE1130" t="s">
        <v>74</v>
      </c>
      <c r="AF1130" t="s">
        <v>74</v>
      </c>
      <c r="AG1130" t="s">
        <v>74</v>
      </c>
      <c r="AH1130" t="s">
        <v>74</v>
      </c>
      <c r="AI1130" t="s">
        <v>74</v>
      </c>
      <c r="AJ1130" t="s">
        <v>74</v>
      </c>
      <c r="AK1130" t="s">
        <v>74</v>
      </c>
      <c r="AL1130" t="s">
        <v>74</v>
      </c>
      <c r="AM1130" t="s">
        <v>74</v>
      </c>
      <c r="AN1130" t="s">
        <v>74</v>
      </c>
      <c r="AO1130" t="s">
        <v>74</v>
      </c>
      <c r="AP1130" t="s">
        <v>2131</v>
      </c>
      <c r="AQ1130" t="s">
        <v>74</v>
      </c>
      <c r="AR1130" t="s">
        <v>74</v>
      </c>
      <c r="AS1130" t="s">
        <v>74</v>
      </c>
      <c r="AT1130" t="s">
        <v>74</v>
      </c>
      <c r="AU1130">
        <v>1977</v>
      </c>
      <c r="AV1130">
        <v>79</v>
      </c>
      <c r="AW1130">
        <v>1</v>
      </c>
      <c r="AX1130" t="s">
        <v>74</v>
      </c>
      <c r="AY1130" t="s">
        <v>74</v>
      </c>
      <c r="AZ1130" t="s">
        <v>74</v>
      </c>
      <c r="BA1130" t="s">
        <v>74</v>
      </c>
      <c r="BB1130">
        <v>1</v>
      </c>
      <c r="BC1130">
        <v>12</v>
      </c>
      <c r="BD1130" t="s">
        <v>74</v>
      </c>
      <c r="BE1130" t="s">
        <v>7343</v>
      </c>
      <c r="BF1130" t="str">
        <f>HYPERLINK("http://dx.doi.org/10.2307/1367524","http://dx.doi.org/10.2307/1367524")</f>
        <v>http://dx.doi.org/10.2307/1367524</v>
      </c>
      <c r="BG1130" t="s">
        <v>74</v>
      </c>
      <c r="BH1130" t="s">
        <v>74</v>
      </c>
      <c r="BI1130" t="s">
        <v>74</v>
      </c>
      <c r="BJ1130" t="s">
        <v>74</v>
      </c>
      <c r="BK1130" t="s">
        <v>74</v>
      </c>
      <c r="BL1130" t="s">
        <v>74</v>
      </c>
      <c r="BM1130" t="s">
        <v>74</v>
      </c>
      <c r="BN1130" t="s">
        <v>74</v>
      </c>
      <c r="BO1130" t="s">
        <v>74</v>
      </c>
      <c r="BP1130" t="s">
        <v>74</v>
      </c>
      <c r="BQ1130" t="s">
        <v>74</v>
      </c>
      <c r="BR1130" t="s">
        <v>74</v>
      </c>
      <c r="BS1130" t="s">
        <v>7344</v>
      </c>
      <c r="BT1130" t="str">
        <f>HYPERLINK("https%3A%2F%2Fwww.webofscience.com%2Fwos%2Fwoscc%2Ffull-record%2FWOS:A1977DN61900001","View Full Record in Web of Science")</f>
        <v>View Full Record in Web of Science</v>
      </c>
    </row>
    <row r="1131" spans="1:72" x14ac:dyDescent="0.4">
      <c r="A1131" t="s">
        <v>72</v>
      </c>
      <c r="B1131" t="s">
        <v>496</v>
      </c>
      <c r="C1131" t="s">
        <v>74</v>
      </c>
      <c r="D1131" t="s">
        <v>74</v>
      </c>
      <c r="E1131" t="s">
        <v>74</v>
      </c>
      <c r="F1131" t="s">
        <v>497</v>
      </c>
      <c r="G1131" t="s">
        <v>74</v>
      </c>
      <c r="H1131" t="s">
        <v>74</v>
      </c>
      <c r="I1131" t="s">
        <v>498</v>
      </c>
      <c r="J1131" t="s">
        <v>499</v>
      </c>
      <c r="K1131" t="s">
        <v>74</v>
      </c>
      <c r="L1131" t="s">
        <v>74</v>
      </c>
      <c r="M1131" t="s">
        <v>74</v>
      </c>
      <c r="N1131" t="s">
        <v>74</v>
      </c>
      <c r="O1131" t="s">
        <v>74</v>
      </c>
      <c r="P1131" t="s">
        <v>74</v>
      </c>
      <c r="Q1131" t="s">
        <v>74</v>
      </c>
      <c r="R1131" t="s">
        <v>74</v>
      </c>
      <c r="S1131" t="s">
        <v>74</v>
      </c>
      <c r="T1131" t="s">
        <v>74</v>
      </c>
      <c r="U1131" t="s">
        <v>74</v>
      </c>
      <c r="V1131" s="3" t="s">
        <v>500</v>
      </c>
      <c r="W1131" t="s">
        <v>74</v>
      </c>
      <c r="X1131" t="s">
        <v>74</v>
      </c>
      <c r="Y1131" t="s">
        <v>74</v>
      </c>
      <c r="Z1131" t="s">
        <v>74</v>
      </c>
      <c r="AA1131" t="s">
        <v>501</v>
      </c>
      <c r="AB1131" t="s">
        <v>502</v>
      </c>
      <c r="AC1131" t="s">
        <v>74</v>
      </c>
      <c r="AD1131" t="s">
        <v>74</v>
      </c>
      <c r="AE1131" t="s">
        <v>74</v>
      </c>
      <c r="AF1131" t="s">
        <v>74</v>
      </c>
      <c r="AG1131" t="s">
        <v>74</v>
      </c>
      <c r="AH1131" t="s">
        <v>74</v>
      </c>
      <c r="AI1131" t="s">
        <v>74</v>
      </c>
      <c r="AJ1131" t="s">
        <v>74</v>
      </c>
      <c r="AK1131" t="s">
        <v>74</v>
      </c>
      <c r="AL1131" t="s">
        <v>74</v>
      </c>
      <c r="AM1131" t="s">
        <v>74</v>
      </c>
      <c r="AN1131" t="s">
        <v>74</v>
      </c>
      <c r="AO1131" t="s">
        <v>503</v>
      </c>
      <c r="AP1131" t="s">
        <v>504</v>
      </c>
      <c r="AQ1131" t="s">
        <v>74</v>
      </c>
      <c r="AR1131" t="s">
        <v>74</v>
      </c>
      <c r="AS1131" t="s">
        <v>74</v>
      </c>
      <c r="AT1131" t="s">
        <v>134</v>
      </c>
      <c r="AU1131">
        <v>2016</v>
      </c>
      <c r="AV1131">
        <v>17</v>
      </c>
      <c r="AW1131">
        <v>3</v>
      </c>
      <c r="AX1131" t="s">
        <v>74</v>
      </c>
      <c r="AY1131" t="s">
        <v>74</v>
      </c>
      <c r="AZ1131" t="s">
        <v>74</v>
      </c>
      <c r="BA1131" t="s">
        <v>74</v>
      </c>
      <c r="BB1131">
        <v>407</v>
      </c>
      <c r="BC1131">
        <v>418</v>
      </c>
      <c r="BD1131" t="s">
        <v>74</v>
      </c>
      <c r="BE1131" t="s">
        <v>74</v>
      </c>
      <c r="BF1131" t="s">
        <v>74</v>
      </c>
      <c r="BG1131" t="s">
        <v>74</v>
      </c>
      <c r="BH1131" t="s">
        <v>74</v>
      </c>
      <c r="BI1131" t="s">
        <v>74</v>
      </c>
      <c r="BJ1131" t="s">
        <v>74</v>
      </c>
      <c r="BK1131" t="s">
        <v>74</v>
      </c>
      <c r="BL1131" t="s">
        <v>74</v>
      </c>
      <c r="BM1131" t="s">
        <v>74</v>
      </c>
      <c r="BN1131" t="s">
        <v>74</v>
      </c>
      <c r="BO1131" t="s">
        <v>74</v>
      </c>
      <c r="BP1131" t="s">
        <v>74</v>
      </c>
      <c r="BQ1131" t="s">
        <v>74</v>
      </c>
      <c r="BR1131" t="s">
        <v>74</v>
      </c>
      <c r="BS1131" t="s">
        <v>505</v>
      </c>
      <c r="BT1131" t="str">
        <f>HYPERLINK("https%3A%2F%2Fwww.webofscience.com%2Fwos%2Fwoscc%2Ffull-record%2FWOS:000378168300007","View Full Record in Web of Science")</f>
        <v>View Full Record in Web of Science</v>
      </c>
    </row>
    <row r="1132" spans="1:72" x14ac:dyDescent="0.4">
      <c r="A1132" t="s">
        <v>72</v>
      </c>
      <c r="B1132" t="s">
        <v>4601</v>
      </c>
      <c r="C1132" t="s">
        <v>74</v>
      </c>
      <c r="D1132" t="s">
        <v>74</v>
      </c>
      <c r="E1132" t="s">
        <v>74</v>
      </c>
      <c r="F1132" t="s">
        <v>4601</v>
      </c>
      <c r="G1132" t="s">
        <v>74</v>
      </c>
      <c r="H1132" t="s">
        <v>74</v>
      </c>
      <c r="I1132" t="s">
        <v>4602</v>
      </c>
      <c r="J1132" t="s">
        <v>4603</v>
      </c>
      <c r="K1132" t="s">
        <v>74</v>
      </c>
      <c r="L1132" t="s">
        <v>74</v>
      </c>
      <c r="M1132" t="s">
        <v>74</v>
      </c>
      <c r="N1132" t="s">
        <v>74</v>
      </c>
      <c r="O1132" t="s">
        <v>74</v>
      </c>
      <c r="P1132" t="s">
        <v>74</v>
      </c>
      <c r="Q1132" t="s">
        <v>74</v>
      </c>
      <c r="R1132" t="s">
        <v>74</v>
      </c>
      <c r="S1132" t="s">
        <v>74</v>
      </c>
      <c r="T1132" t="s">
        <v>74</v>
      </c>
      <c r="U1132" t="s">
        <v>74</v>
      </c>
      <c r="V1132" s="3" t="s">
        <v>4604</v>
      </c>
      <c r="W1132" t="s">
        <v>74</v>
      </c>
      <c r="X1132" t="s">
        <v>74</v>
      </c>
      <c r="Y1132" t="s">
        <v>74</v>
      </c>
      <c r="Z1132" t="s">
        <v>74</v>
      </c>
      <c r="AA1132" t="s">
        <v>4605</v>
      </c>
      <c r="AB1132" t="s">
        <v>4606</v>
      </c>
      <c r="AC1132" t="s">
        <v>74</v>
      </c>
      <c r="AD1132" t="s">
        <v>74</v>
      </c>
      <c r="AE1132" t="s">
        <v>74</v>
      </c>
      <c r="AF1132" t="s">
        <v>74</v>
      </c>
      <c r="AG1132" t="s">
        <v>74</v>
      </c>
      <c r="AH1132" t="s">
        <v>74</v>
      </c>
      <c r="AI1132" t="s">
        <v>74</v>
      </c>
      <c r="AJ1132" t="s">
        <v>74</v>
      </c>
      <c r="AK1132" t="s">
        <v>74</v>
      </c>
      <c r="AL1132" t="s">
        <v>74</v>
      </c>
      <c r="AM1132" t="s">
        <v>74</v>
      </c>
      <c r="AN1132" t="s">
        <v>74</v>
      </c>
      <c r="AO1132" t="s">
        <v>4607</v>
      </c>
      <c r="AP1132" t="s">
        <v>74</v>
      </c>
      <c r="AQ1132" t="s">
        <v>74</v>
      </c>
      <c r="AR1132" t="s">
        <v>74</v>
      </c>
      <c r="AS1132" t="s">
        <v>74</v>
      </c>
      <c r="AT1132" t="s">
        <v>175</v>
      </c>
      <c r="AU1132">
        <v>2001</v>
      </c>
      <c r="AV1132">
        <v>11</v>
      </c>
      <c r="AW1132">
        <v>4</v>
      </c>
      <c r="AX1132" t="s">
        <v>74</v>
      </c>
      <c r="AY1132" t="s">
        <v>74</v>
      </c>
      <c r="AZ1132" t="s">
        <v>74</v>
      </c>
      <c r="BA1132" t="s">
        <v>74</v>
      </c>
      <c r="BB1132">
        <v>157</v>
      </c>
      <c r="BC1132">
        <v>165</v>
      </c>
      <c r="BD1132" t="s">
        <v>74</v>
      </c>
      <c r="BE1132" t="s">
        <v>74</v>
      </c>
      <c r="BF1132" t="s">
        <v>74</v>
      </c>
      <c r="BG1132" t="s">
        <v>74</v>
      </c>
      <c r="BH1132" t="s">
        <v>74</v>
      </c>
      <c r="BI1132" t="s">
        <v>74</v>
      </c>
      <c r="BJ1132" t="s">
        <v>74</v>
      </c>
      <c r="BK1132" t="s">
        <v>74</v>
      </c>
      <c r="BL1132" t="s">
        <v>74</v>
      </c>
      <c r="BM1132" t="s">
        <v>74</v>
      </c>
      <c r="BN1132" t="s">
        <v>74</v>
      </c>
      <c r="BO1132" t="s">
        <v>74</v>
      </c>
      <c r="BP1132" t="s">
        <v>74</v>
      </c>
      <c r="BQ1132" t="s">
        <v>74</v>
      </c>
      <c r="BR1132" t="s">
        <v>74</v>
      </c>
      <c r="BS1132" t="s">
        <v>4608</v>
      </c>
      <c r="BT1132" t="str">
        <f>HYPERLINK("https%3A%2F%2Fwww.webofscience.com%2Fwos%2Fwoscc%2Ffull-record%2FWOS:000174693400004","View Full Record in Web of Science")</f>
        <v>View Full Record in Web of Science</v>
      </c>
    </row>
    <row r="1133" spans="1:72" x14ac:dyDescent="0.4">
      <c r="A1133" t="s">
        <v>72</v>
      </c>
      <c r="B1133" t="s">
        <v>3552</v>
      </c>
      <c r="C1133" t="s">
        <v>74</v>
      </c>
      <c r="D1133" t="s">
        <v>74</v>
      </c>
      <c r="E1133" t="s">
        <v>74</v>
      </c>
      <c r="F1133" t="s">
        <v>3553</v>
      </c>
      <c r="G1133" t="s">
        <v>74</v>
      </c>
      <c r="H1133" t="s">
        <v>74</v>
      </c>
      <c r="I1133" t="s">
        <v>3554</v>
      </c>
      <c r="J1133" t="s">
        <v>3555</v>
      </c>
      <c r="K1133" t="s">
        <v>74</v>
      </c>
      <c r="L1133" t="s">
        <v>74</v>
      </c>
      <c r="M1133" t="s">
        <v>74</v>
      </c>
      <c r="N1133" t="s">
        <v>74</v>
      </c>
      <c r="O1133" t="s">
        <v>74</v>
      </c>
      <c r="P1133" t="s">
        <v>74</v>
      </c>
      <c r="Q1133" t="s">
        <v>74</v>
      </c>
      <c r="R1133" t="s">
        <v>74</v>
      </c>
      <c r="S1133" t="s">
        <v>74</v>
      </c>
      <c r="T1133" t="s">
        <v>74</v>
      </c>
      <c r="U1133" t="s">
        <v>74</v>
      </c>
      <c r="V1133" s="3" t="s">
        <v>3556</v>
      </c>
      <c r="W1133" t="s">
        <v>74</v>
      </c>
      <c r="X1133" t="s">
        <v>74</v>
      </c>
      <c r="Y1133" t="s">
        <v>74</v>
      </c>
      <c r="Z1133" t="s">
        <v>74</v>
      </c>
      <c r="AA1133" t="s">
        <v>3557</v>
      </c>
      <c r="AB1133" t="s">
        <v>74</v>
      </c>
      <c r="AC1133" t="s">
        <v>74</v>
      </c>
      <c r="AD1133" t="s">
        <v>74</v>
      </c>
      <c r="AE1133" t="s">
        <v>74</v>
      </c>
      <c r="AF1133" t="s">
        <v>74</v>
      </c>
      <c r="AG1133" t="s">
        <v>74</v>
      </c>
      <c r="AH1133" t="s">
        <v>74</v>
      </c>
      <c r="AI1133" t="s">
        <v>74</v>
      </c>
      <c r="AJ1133" t="s">
        <v>74</v>
      </c>
      <c r="AK1133" t="s">
        <v>74</v>
      </c>
      <c r="AL1133" t="s">
        <v>74</v>
      </c>
      <c r="AM1133" t="s">
        <v>74</v>
      </c>
      <c r="AN1133" t="s">
        <v>74</v>
      </c>
      <c r="AO1133" t="s">
        <v>3558</v>
      </c>
      <c r="AP1133" t="s">
        <v>3559</v>
      </c>
      <c r="AQ1133" t="s">
        <v>74</v>
      </c>
      <c r="AR1133" t="s">
        <v>74</v>
      </c>
      <c r="AS1133" t="s">
        <v>74</v>
      </c>
      <c r="AT1133" t="s">
        <v>145</v>
      </c>
      <c r="AU1133">
        <v>2007</v>
      </c>
      <c r="AV1133">
        <v>54</v>
      </c>
      <c r="AW1133">
        <v>3</v>
      </c>
      <c r="AX1133" t="s">
        <v>74</v>
      </c>
      <c r="AY1133" t="s">
        <v>74</v>
      </c>
      <c r="AZ1133" t="s">
        <v>74</v>
      </c>
      <c r="BA1133" t="s">
        <v>74</v>
      </c>
      <c r="BB1133">
        <v>268</v>
      </c>
      <c r="BC1133">
        <v>274</v>
      </c>
      <c r="BD1133" t="s">
        <v>74</v>
      </c>
      <c r="BE1133" t="s">
        <v>3560</v>
      </c>
      <c r="BF1133" t="str">
        <f>HYPERLINK("http://dx.doi.org/10.1007/s00040-007-0941-x","http://dx.doi.org/10.1007/s00040-007-0941-x")</f>
        <v>http://dx.doi.org/10.1007/s00040-007-0941-x</v>
      </c>
      <c r="BG1133" t="s">
        <v>74</v>
      </c>
      <c r="BH1133" t="s">
        <v>74</v>
      </c>
      <c r="BI1133" t="s">
        <v>74</v>
      </c>
      <c r="BJ1133" t="s">
        <v>74</v>
      </c>
      <c r="BK1133" t="s">
        <v>74</v>
      </c>
      <c r="BL1133" t="s">
        <v>74</v>
      </c>
      <c r="BM1133" t="s">
        <v>74</v>
      </c>
      <c r="BN1133" t="s">
        <v>74</v>
      </c>
      <c r="BO1133" t="s">
        <v>74</v>
      </c>
      <c r="BP1133" t="s">
        <v>74</v>
      </c>
      <c r="BQ1133" t="s">
        <v>74</v>
      </c>
      <c r="BR1133" t="s">
        <v>74</v>
      </c>
      <c r="BS1133" t="s">
        <v>3561</v>
      </c>
      <c r="BT1133" t="str">
        <f>HYPERLINK("https%3A%2F%2Fwww.webofscience.com%2Fwos%2Fwoscc%2Ffull-record%2FWOS:000248901500010","View Full Record in Web of Science")</f>
        <v>View Full Record in Web of Science</v>
      </c>
    </row>
    <row r="1134" spans="1:72" x14ac:dyDescent="0.4">
      <c r="A1134" t="s">
        <v>72</v>
      </c>
      <c r="B1134" t="s">
        <v>3252</v>
      </c>
      <c r="C1134" t="s">
        <v>74</v>
      </c>
      <c r="D1134" t="s">
        <v>74</v>
      </c>
      <c r="E1134" t="s">
        <v>74</v>
      </c>
      <c r="F1134" t="s">
        <v>3253</v>
      </c>
      <c r="G1134" t="s">
        <v>74</v>
      </c>
      <c r="H1134" t="s">
        <v>74</v>
      </c>
      <c r="I1134" t="s">
        <v>3254</v>
      </c>
      <c r="J1134" t="s">
        <v>408</v>
      </c>
      <c r="K1134" t="s">
        <v>74</v>
      </c>
      <c r="L1134" t="s">
        <v>74</v>
      </c>
      <c r="M1134" t="s">
        <v>74</v>
      </c>
      <c r="N1134" t="s">
        <v>74</v>
      </c>
      <c r="O1134" t="s">
        <v>74</v>
      </c>
      <c r="P1134" t="s">
        <v>74</v>
      </c>
      <c r="Q1134" t="s">
        <v>74</v>
      </c>
      <c r="R1134" t="s">
        <v>74</v>
      </c>
      <c r="S1134" t="s">
        <v>74</v>
      </c>
      <c r="T1134" t="s">
        <v>74</v>
      </c>
      <c r="U1134" t="s">
        <v>74</v>
      </c>
      <c r="V1134" s="3" t="s">
        <v>3255</v>
      </c>
      <c r="W1134" t="s">
        <v>74</v>
      </c>
      <c r="X1134" t="s">
        <v>74</v>
      </c>
      <c r="Y1134" t="s">
        <v>74</v>
      </c>
      <c r="Z1134" t="s">
        <v>74</v>
      </c>
      <c r="AA1134" t="s">
        <v>3256</v>
      </c>
      <c r="AB1134" t="s">
        <v>3257</v>
      </c>
      <c r="AC1134" t="s">
        <v>74</v>
      </c>
      <c r="AD1134" t="s">
        <v>74</v>
      </c>
      <c r="AE1134" t="s">
        <v>74</v>
      </c>
      <c r="AF1134" t="s">
        <v>74</v>
      </c>
      <c r="AG1134" t="s">
        <v>74</v>
      </c>
      <c r="AH1134" t="s">
        <v>74</v>
      </c>
      <c r="AI1134" t="s">
        <v>74</v>
      </c>
      <c r="AJ1134" t="s">
        <v>74</v>
      </c>
      <c r="AK1134" t="s">
        <v>74</v>
      </c>
      <c r="AL1134" t="s">
        <v>74</v>
      </c>
      <c r="AM1134" t="s">
        <v>74</v>
      </c>
      <c r="AN1134" t="s">
        <v>74</v>
      </c>
      <c r="AO1134" t="s">
        <v>412</v>
      </c>
      <c r="AP1134" t="s">
        <v>413</v>
      </c>
      <c r="AQ1134" t="s">
        <v>74</v>
      </c>
      <c r="AR1134" t="s">
        <v>74</v>
      </c>
      <c r="AS1134" t="s">
        <v>74</v>
      </c>
      <c r="AT1134" t="s">
        <v>175</v>
      </c>
      <c r="AU1134">
        <v>2020</v>
      </c>
      <c r="AV1134">
        <v>131</v>
      </c>
      <c r="AW1134">
        <v>2</v>
      </c>
      <c r="AX1134" t="s">
        <v>74</v>
      </c>
      <c r="AY1134" t="s">
        <v>74</v>
      </c>
      <c r="AZ1134" t="s">
        <v>74</v>
      </c>
      <c r="BA1134" t="s">
        <v>74</v>
      </c>
      <c r="BB1134">
        <v>332</v>
      </c>
      <c r="BC1134">
        <v>343</v>
      </c>
      <c r="BD1134" t="s">
        <v>74</v>
      </c>
      <c r="BE1134" t="s">
        <v>3258</v>
      </c>
      <c r="BF1134" t="str">
        <f>HYPERLINK("http://dx.doi.org/10.1093/biolinnean/blaa119","http://dx.doi.org/10.1093/biolinnean/blaa119")</f>
        <v>http://dx.doi.org/10.1093/biolinnean/blaa119</v>
      </c>
      <c r="BG1134" t="s">
        <v>74</v>
      </c>
      <c r="BH1134" t="s">
        <v>74</v>
      </c>
      <c r="BI1134" t="s">
        <v>74</v>
      </c>
      <c r="BJ1134" t="s">
        <v>74</v>
      </c>
      <c r="BK1134" t="s">
        <v>74</v>
      </c>
      <c r="BL1134" t="s">
        <v>74</v>
      </c>
      <c r="BM1134" t="s">
        <v>74</v>
      </c>
      <c r="BN1134" t="s">
        <v>74</v>
      </c>
      <c r="BO1134" t="s">
        <v>74</v>
      </c>
      <c r="BP1134" t="s">
        <v>74</v>
      </c>
      <c r="BQ1134" t="s">
        <v>74</v>
      </c>
      <c r="BR1134" t="s">
        <v>74</v>
      </c>
      <c r="BS1134" t="s">
        <v>3259</v>
      </c>
      <c r="BT1134" t="str">
        <f>HYPERLINK("https%3A%2F%2Fwww.webofscience.com%2Fwos%2Fwoscc%2Ffull-record%2FWOS:000580984200006","View Full Record in Web of Science")</f>
        <v>View Full Record in Web of Science</v>
      </c>
    </row>
    <row r="1135" spans="1:72" x14ac:dyDescent="0.4">
      <c r="A1135" t="s">
        <v>72</v>
      </c>
      <c r="B1135" t="s">
        <v>8194</v>
      </c>
      <c r="C1135" t="s">
        <v>74</v>
      </c>
      <c r="D1135" t="s">
        <v>74</v>
      </c>
      <c r="E1135" t="s">
        <v>74</v>
      </c>
      <c r="F1135" t="s">
        <v>8195</v>
      </c>
      <c r="G1135" t="s">
        <v>74</v>
      </c>
      <c r="H1135" t="s">
        <v>74</v>
      </c>
      <c r="I1135" t="s">
        <v>8196</v>
      </c>
      <c r="J1135" t="s">
        <v>281</v>
      </c>
      <c r="K1135" t="s">
        <v>74</v>
      </c>
      <c r="L1135" t="s">
        <v>74</v>
      </c>
      <c r="M1135" t="s">
        <v>74</v>
      </c>
      <c r="N1135" t="s">
        <v>74</v>
      </c>
      <c r="O1135" t="s">
        <v>74</v>
      </c>
      <c r="P1135" t="s">
        <v>74</v>
      </c>
      <c r="Q1135" t="s">
        <v>74</v>
      </c>
      <c r="R1135" t="s">
        <v>74</v>
      </c>
      <c r="S1135" t="s">
        <v>74</v>
      </c>
      <c r="T1135" t="s">
        <v>74</v>
      </c>
      <c r="U1135" t="s">
        <v>74</v>
      </c>
      <c r="V1135" s="3" t="s">
        <v>8197</v>
      </c>
      <c r="W1135" t="s">
        <v>74</v>
      </c>
      <c r="X1135" t="s">
        <v>74</v>
      </c>
      <c r="Y1135" t="s">
        <v>74</v>
      </c>
      <c r="Z1135" t="s">
        <v>74</v>
      </c>
      <c r="AA1135" t="s">
        <v>8198</v>
      </c>
      <c r="AB1135" t="s">
        <v>1377</v>
      </c>
      <c r="AC1135" t="s">
        <v>74</v>
      </c>
      <c r="AD1135" t="s">
        <v>74</v>
      </c>
      <c r="AE1135" t="s">
        <v>74</v>
      </c>
      <c r="AF1135" t="s">
        <v>74</v>
      </c>
      <c r="AG1135" t="s">
        <v>74</v>
      </c>
      <c r="AH1135" t="s">
        <v>74</v>
      </c>
      <c r="AI1135" t="s">
        <v>74</v>
      </c>
      <c r="AJ1135" t="s">
        <v>74</v>
      </c>
      <c r="AK1135" t="s">
        <v>74</v>
      </c>
      <c r="AL1135" t="s">
        <v>74</v>
      </c>
      <c r="AM1135" t="s">
        <v>74</v>
      </c>
      <c r="AN1135" t="s">
        <v>74</v>
      </c>
      <c r="AO1135" t="s">
        <v>285</v>
      </c>
      <c r="AP1135" t="s">
        <v>286</v>
      </c>
      <c r="AQ1135" t="s">
        <v>74</v>
      </c>
      <c r="AR1135" t="s">
        <v>74</v>
      </c>
      <c r="AS1135" t="s">
        <v>74</v>
      </c>
      <c r="AT1135" t="s">
        <v>175</v>
      </c>
      <c r="AU1135">
        <v>2022</v>
      </c>
      <c r="AV1135">
        <v>25</v>
      </c>
      <c r="AW1135">
        <v>5</v>
      </c>
      <c r="AX1135" t="s">
        <v>74</v>
      </c>
      <c r="AY1135" t="s">
        <v>74</v>
      </c>
      <c r="AZ1135" t="s">
        <v>848</v>
      </c>
      <c r="BA1135" t="s">
        <v>74</v>
      </c>
      <c r="BB1135">
        <v>1299</v>
      </c>
      <c r="BC1135">
        <v>1306</v>
      </c>
      <c r="BD1135" t="s">
        <v>74</v>
      </c>
      <c r="BE1135" t="s">
        <v>8199</v>
      </c>
      <c r="BF1135" t="str">
        <f>HYPERLINK("http://dx.doi.org/10.1007/s10071-022-01613-9","http://dx.doi.org/10.1007/s10071-022-01613-9")</f>
        <v>http://dx.doi.org/10.1007/s10071-022-01613-9</v>
      </c>
      <c r="BG1135" t="s">
        <v>74</v>
      </c>
      <c r="BH1135" t="s">
        <v>415</v>
      </c>
      <c r="BI1135" t="s">
        <v>74</v>
      </c>
      <c r="BJ1135" t="s">
        <v>74</v>
      </c>
      <c r="BK1135" t="s">
        <v>74</v>
      </c>
      <c r="BL1135" t="s">
        <v>74</v>
      </c>
      <c r="BM1135" t="s">
        <v>74</v>
      </c>
      <c r="BN1135">
        <v>35320446</v>
      </c>
      <c r="BO1135" t="s">
        <v>74</v>
      </c>
      <c r="BP1135" t="s">
        <v>74</v>
      </c>
      <c r="BQ1135" t="s">
        <v>74</v>
      </c>
      <c r="BR1135" t="s">
        <v>74</v>
      </c>
      <c r="BS1135" t="s">
        <v>8200</v>
      </c>
      <c r="BT1135" t="str">
        <f>HYPERLINK("https%3A%2F%2Fwww.webofscience.com%2Fwos%2Fwoscc%2Ffull-record%2FWOS:000772345800001","View Full Record in Web of Science")</f>
        <v>View Full Record in Web of Science</v>
      </c>
    </row>
    <row r="1136" spans="1:72" x14ac:dyDescent="0.4">
      <c r="A1136" t="s">
        <v>72</v>
      </c>
      <c r="B1136" t="s">
        <v>5919</v>
      </c>
      <c r="C1136" t="s">
        <v>74</v>
      </c>
      <c r="D1136" t="s">
        <v>74</v>
      </c>
      <c r="E1136" t="s">
        <v>74</v>
      </c>
      <c r="F1136" t="s">
        <v>5920</v>
      </c>
      <c r="G1136" t="s">
        <v>74</v>
      </c>
      <c r="H1136" t="s">
        <v>74</v>
      </c>
      <c r="I1136" t="s">
        <v>5921</v>
      </c>
      <c r="J1136" t="s">
        <v>119</v>
      </c>
      <c r="K1136" t="s">
        <v>74</v>
      </c>
      <c r="L1136" t="s">
        <v>74</v>
      </c>
      <c r="M1136" t="s">
        <v>74</v>
      </c>
      <c r="N1136" t="s">
        <v>74</v>
      </c>
      <c r="O1136" t="s">
        <v>74</v>
      </c>
      <c r="P1136" t="s">
        <v>74</v>
      </c>
      <c r="Q1136" t="s">
        <v>74</v>
      </c>
      <c r="R1136" t="s">
        <v>74</v>
      </c>
      <c r="S1136" t="s">
        <v>74</v>
      </c>
      <c r="T1136" t="s">
        <v>74</v>
      </c>
      <c r="U1136" t="s">
        <v>74</v>
      </c>
      <c r="V1136" s="3" t="s">
        <v>5922</v>
      </c>
      <c r="W1136" t="s">
        <v>74</v>
      </c>
      <c r="X1136" t="s">
        <v>74</v>
      </c>
      <c r="Y1136" t="s">
        <v>74</v>
      </c>
      <c r="Z1136" t="s">
        <v>74</v>
      </c>
      <c r="AA1136" t="s">
        <v>5923</v>
      </c>
      <c r="AB1136" t="s">
        <v>74</v>
      </c>
      <c r="AC1136" t="s">
        <v>74</v>
      </c>
      <c r="AD1136" t="s">
        <v>74</v>
      </c>
      <c r="AE1136" t="s">
        <v>74</v>
      </c>
      <c r="AF1136" t="s">
        <v>74</v>
      </c>
      <c r="AG1136" t="s">
        <v>74</v>
      </c>
      <c r="AH1136" t="s">
        <v>74</v>
      </c>
      <c r="AI1136" t="s">
        <v>74</v>
      </c>
      <c r="AJ1136" t="s">
        <v>74</v>
      </c>
      <c r="AK1136" t="s">
        <v>74</v>
      </c>
      <c r="AL1136" t="s">
        <v>74</v>
      </c>
      <c r="AM1136" t="s">
        <v>74</v>
      </c>
      <c r="AN1136" t="s">
        <v>74</v>
      </c>
      <c r="AO1136" t="s">
        <v>121</v>
      </c>
      <c r="AP1136" t="s">
        <v>122</v>
      </c>
      <c r="AQ1136" t="s">
        <v>74</v>
      </c>
      <c r="AR1136" t="s">
        <v>74</v>
      </c>
      <c r="AS1136" t="s">
        <v>74</v>
      </c>
      <c r="AT1136" t="s">
        <v>633</v>
      </c>
      <c r="AU1136">
        <v>2016</v>
      </c>
      <c r="AV1136">
        <v>125</v>
      </c>
      <c r="AW1136" t="s">
        <v>74</v>
      </c>
      <c r="AX1136" t="s">
        <v>74</v>
      </c>
      <c r="AY1136" t="s">
        <v>74</v>
      </c>
      <c r="AZ1136" t="s">
        <v>74</v>
      </c>
      <c r="BA1136" t="s">
        <v>74</v>
      </c>
      <c r="BB1136">
        <v>85</v>
      </c>
      <c r="BC1136">
        <v>88</v>
      </c>
      <c r="BD1136" t="s">
        <v>74</v>
      </c>
      <c r="BE1136" t="s">
        <v>5924</v>
      </c>
      <c r="BF1136" t="str">
        <f>HYPERLINK("http://dx.doi.org/10.1016/j.beproc.2016.02.010","http://dx.doi.org/10.1016/j.beproc.2016.02.010")</f>
        <v>http://dx.doi.org/10.1016/j.beproc.2016.02.010</v>
      </c>
      <c r="BG1136" t="s">
        <v>74</v>
      </c>
      <c r="BH1136" t="s">
        <v>74</v>
      </c>
      <c r="BI1136" t="s">
        <v>74</v>
      </c>
      <c r="BJ1136" t="s">
        <v>74</v>
      </c>
      <c r="BK1136" t="s">
        <v>74</v>
      </c>
      <c r="BL1136" t="s">
        <v>74</v>
      </c>
      <c r="BM1136" t="s">
        <v>74</v>
      </c>
      <c r="BN1136">
        <v>26912482</v>
      </c>
      <c r="BO1136" t="s">
        <v>74</v>
      </c>
      <c r="BP1136" t="s">
        <v>74</v>
      </c>
      <c r="BQ1136" t="s">
        <v>74</v>
      </c>
      <c r="BR1136" t="s">
        <v>74</v>
      </c>
      <c r="BS1136" t="s">
        <v>5925</v>
      </c>
      <c r="BT1136" t="str">
        <f>HYPERLINK("https%3A%2F%2Fwww.webofscience.com%2Fwos%2Fwoscc%2Ffull-record%2FWOS:000373542900012","View Full Record in Web of Science")</f>
        <v>View Full Record in Web of Science</v>
      </c>
    </row>
    <row r="1137" spans="1:72" x14ac:dyDescent="0.4">
      <c r="A1137" t="s">
        <v>72</v>
      </c>
      <c r="B1137" t="s">
        <v>1900</v>
      </c>
      <c r="C1137" t="s">
        <v>74</v>
      </c>
      <c r="D1137" t="s">
        <v>74</v>
      </c>
      <c r="E1137" t="s">
        <v>74</v>
      </c>
      <c r="F1137" t="s">
        <v>1900</v>
      </c>
      <c r="G1137" t="s">
        <v>74</v>
      </c>
      <c r="H1137" t="s">
        <v>74</v>
      </c>
      <c r="I1137" t="s">
        <v>1901</v>
      </c>
      <c r="J1137" t="s">
        <v>610</v>
      </c>
      <c r="K1137" t="s">
        <v>74</v>
      </c>
      <c r="L1137" t="s">
        <v>74</v>
      </c>
      <c r="M1137" t="s">
        <v>74</v>
      </c>
      <c r="N1137" t="s">
        <v>74</v>
      </c>
      <c r="O1137" t="s">
        <v>74</v>
      </c>
      <c r="P1137" t="s">
        <v>74</v>
      </c>
      <c r="Q1137" t="s">
        <v>74</v>
      </c>
      <c r="R1137" t="s">
        <v>74</v>
      </c>
      <c r="S1137" t="s">
        <v>74</v>
      </c>
      <c r="T1137" t="s">
        <v>74</v>
      </c>
      <c r="U1137" t="s">
        <v>74</v>
      </c>
      <c r="V1137" s="3" t="s">
        <v>1902</v>
      </c>
      <c r="W1137" t="s">
        <v>74</v>
      </c>
      <c r="X1137" t="s">
        <v>74</v>
      </c>
      <c r="Y1137" t="s">
        <v>74</v>
      </c>
      <c r="Z1137" t="s">
        <v>74</v>
      </c>
      <c r="AA1137" t="s">
        <v>74</v>
      </c>
      <c r="AB1137" t="s">
        <v>74</v>
      </c>
      <c r="AC1137" t="s">
        <v>74</v>
      </c>
      <c r="AD1137" t="s">
        <v>74</v>
      </c>
      <c r="AE1137" t="s">
        <v>74</v>
      </c>
      <c r="AF1137" t="s">
        <v>74</v>
      </c>
      <c r="AG1137" t="s">
        <v>74</v>
      </c>
      <c r="AH1137" t="s">
        <v>74</v>
      </c>
      <c r="AI1137" t="s">
        <v>74</v>
      </c>
      <c r="AJ1137" t="s">
        <v>74</v>
      </c>
      <c r="AK1137" t="s">
        <v>74</v>
      </c>
      <c r="AL1137" t="s">
        <v>74</v>
      </c>
      <c r="AM1137" t="s">
        <v>74</v>
      </c>
      <c r="AN1137" t="s">
        <v>74</v>
      </c>
      <c r="AO1137" t="s">
        <v>614</v>
      </c>
      <c r="AP1137" t="s">
        <v>615</v>
      </c>
      <c r="AQ1137" t="s">
        <v>74</v>
      </c>
      <c r="AR1137" t="s">
        <v>74</v>
      </c>
      <c r="AS1137" t="s">
        <v>74</v>
      </c>
      <c r="AT1137" t="s">
        <v>352</v>
      </c>
      <c r="AU1137">
        <v>2001</v>
      </c>
      <c r="AV1137">
        <v>107</v>
      </c>
      <c r="AW1137">
        <v>9</v>
      </c>
      <c r="AX1137" t="s">
        <v>74</v>
      </c>
      <c r="AY1137" t="s">
        <v>74</v>
      </c>
      <c r="AZ1137" t="s">
        <v>74</v>
      </c>
      <c r="BA1137" t="s">
        <v>74</v>
      </c>
      <c r="BB1137">
        <v>777</v>
      </c>
      <c r="BC1137">
        <v>793</v>
      </c>
      <c r="BD1137" t="s">
        <v>74</v>
      </c>
      <c r="BE1137" t="s">
        <v>1903</v>
      </c>
      <c r="BF1137" t="str">
        <f>HYPERLINK("http://dx.doi.org/10.1046/j.1439-0310.2001.00704.x","http://dx.doi.org/10.1046/j.1439-0310.2001.00704.x")</f>
        <v>http://dx.doi.org/10.1046/j.1439-0310.2001.00704.x</v>
      </c>
      <c r="BG1137" t="s">
        <v>74</v>
      </c>
      <c r="BH1137" t="s">
        <v>74</v>
      </c>
      <c r="BI1137" t="s">
        <v>74</v>
      </c>
      <c r="BJ1137" t="s">
        <v>74</v>
      </c>
      <c r="BK1137" t="s">
        <v>74</v>
      </c>
      <c r="BL1137" t="s">
        <v>74</v>
      </c>
      <c r="BM1137" t="s">
        <v>74</v>
      </c>
      <c r="BN1137" t="s">
        <v>74</v>
      </c>
      <c r="BO1137" t="s">
        <v>74</v>
      </c>
      <c r="BP1137" t="s">
        <v>74</v>
      </c>
      <c r="BQ1137" t="s">
        <v>74</v>
      </c>
      <c r="BR1137" t="s">
        <v>74</v>
      </c>
      <c r="BS1137" t="s">
        <v>1904</v>
      </c>
      <c r="BT1137" t="str">
        <f>HYPERLINK("https%3A%2F%2Fwww.webofscience.com%2Fwos%2Fwoscc%2Ffull-record%2FWOS:000171378500002","View Full Record in Web of Science")</f>
        <v>View Full Record in Web of Science</v>
      </c>
    </row>
    <row r="1138" spans="1:72" x14ac:dyDescent="0.4">
      <c r="A1138" t="s">
        <v>72</v>
      </c>
      <c r="B1138" t="s">
        <v>6875</v>
      </c>
      <c r="C1138" t="s">
        <v>74</v>
      </c>
      <c r="D1138" t="s">
        <v>74</v>
      </c>
      <c r="E1138" t="s">
        <v>74</v>
      </c>
      <c r="F1138" t="s">
        <v>6876</v>
      </c>
      <c r="G1138" t="s">
        <v>74</v>
      </c>
      <c r="H1138" t="s">
        <v>74</v>
      </c>
      <c r="I1138" t="s">
        <v>6877</v>
      </c>
      <c r="J1138" t="s">
        <v>5961</v>
      </c>
      <c r="K1138" t="s">
        <v>74</v>
      </c>
      <c r="L1138" t="s">
        <v>74</v>
      </c>
      <c r="M1138" t="s">
        <v>74</v>
      </c>
      <c r="N1138" t="s">
        <v>74</v>
      </c>
      <c r="O1138" t="s">
        <v>74</v>
      </c>
      <c r="P1138" t="s">
        <v>74</v>
      </c>
      <c r="Q1138" t="s">
        <v>74</v>
      </c>
      <c r="R1138" t="s">
        <v>74</v>
      </c>
      <c r="S1138" t="s">
        <v>74</v>
      </c>
      <c r="T1138" t="s">
        <v>74</v>
      </c>
      <c r="U1138" t="s">
        <v>74</v>
      </c>
      <c r="V1138" s="3" t="s">
        <v>6878</v>
      </c>
      <c r="W1138" t="s">
        <v>74</v>
      </c>
      <c r="X1138" t="s">
        <v>74</v>
      </c>
      <c r="Y1138" t="s">
        <v>74</v>
      </c>
      <c r="Z1138" t="s">
        <v>74</v>
      </c>
      <c r="AA1138" t="s">
        <v>6879</v>
      </c>
      <c r="AB1138" t="s">
        <v>6880</v>
      </c>
      <c r="AC1138" t="s">
        <v>74</v>
      </c>
      <c r="AD1138" t="s">
        <v>74</v>
      </c>
      <c r="AE1138" t="s">
        <v>74</v>
      </c>
      <c r="AF1138" t="s">
        <v>74</v>
      </c>
      <c r="AG1138" t="s">
        <v>74</v>
      </c>
      <c r="AH1138" t="s">
        <v>74</v>
      </c>
      <c r="AI1138" t="s">
        <v>74</v>
      </c>
      <c r="AJ1138" t="s">
        <v>74</v>
      </c>
      <c r="AK1138" t="s">
        <v>74</v>
      </c>
      <c r="AL1138" t="s">
        <v>74</v>
      </c>
      <c r="AM1138" t="s">
        <v>74</v>
      </c>
      <c r="AN1138" t="s">
        <v>74</v>
      </c>
      <c r="AO1138" t="s">
        <v>5965</v>
      </c>
      <c r="AP1138" t="s">
        <v>5966</v>
      </c>
      <c r="AQ1138" t="s">
        <v>74</v>
      </c>
      <c r="AR1138" t="s">
        <v>74</v>
      </c>
      <c r="AS1138" t="s">
        <v>74</v>
      </c>
      <c r="AT1138" t="s">
        <v>204</v>
      </c>
      <c r="AU1138">
        <v>2018</v>
      </c>
      <c r="AV1138">
        <v>43</v>
      </c>
      <c r="AW1138">
        <v>3</v>
      </c>
      <c r="AX1138" t="s">
        <v>74</v>
      </c>
      <c r="AY1138" t="s">
        <v>74</v>
      </c>
      <c r="AZ1138" t="s">
        <v>74</v>
      </c>
      <c r="BA1138" t="s">
        <v>74</v>
      </c>
      <c r="BB1138">
        <v>568</v>
      </c>
      <c r="BC1138">
        <v>595</v>
      </c>
      <c r="BD1138" t="s">
        <v>74</v>
      </c>
      <c r="BE1138" t="s">
        <v>6881</v>
      </c>
      <c r="BF1138" t="str">
        <f>HYPERLINK("http://dx.doi.org/10.1111/syen.12287","http://dx.doi.org/10.1111/syen.12287")</f>
        <v>http://dx.doi.org/10.1111/syen.12287</v>
      </c>
      <c r="BG1138" t="s">
        <v>74</v>
      </c>
      <c r="BH1138" t="s">
        <v>74</v>
      </c>
      <c r="BI1138" t="s">
        <v>74</v>
      </c>
      <c r="BJ1138" t="s">
        <v>74</v>
      </c>
      <c r="BK1138" t="s">
        <v>74</v>
      </c>
      <c r="BL1138" t="s">
        <v>74</v>
      </c>
      <c r="BM1138" t="s">
        <v>74</v>
      </c>
      <c r="BN1138" t="s">
        <v>74</v>
      </c>
      <c r="BO1138" t="s">
        <v>74</v>
      </c>
      <c r="BP1138" t="s">
        <v>74</v>
      </c>
      <c r="BQ1138" t="s">
        <v>74</v>
      </c>
      <c r="BR1138" t="s">
        <v>74</v>
      </c>
      <c r="BS1138" t="s">
        <v>6882</v>
      </c>
      <c r="BT1138" t="str">
        <f>HYPERLINK("https%3A%2F%2Fwww.webofscience.com%2Fwos%2Fwoscc%2Ffull-record%2FWOS:000434280000009","View Full Record in Web of Science")</f>
        <v>View Full Record in Web of Science</v>
      </c>
    </row>
    <row r="1139" spans="1:72" x14ac:dyDescent="0.4">
      <c r="A1139" t="s">
        <v>72</v>
      </c>
      <c r="B1139" t="s">
        <v>1181</v>
      </c>
      <c r="C1139" t="s">
        <v>74</v>
      </c>
      <c r="D1139" t="s">
        <v>74</v>
      </c>
      <c r="E1139" t="s">
        <v>74</v>
      </c>
      <c r="F1139" t="s">
        <v>1182</v>
      </c>
      <c r="G1139" t="s">
        <v>74</v>
      </c>
      <c r="H1139" t="s">
        <v>74</v>
      </c>
      <c r="I1139" t="s">
        <v>1183</v>
      </c>
      <c r="J1139" t="s">
        <v>229</v>
      </c>
      <c r="K1139" t="s">
        <v>74</v>
      </c>
      <c r="L1139" t="s">
        <v>74</v>
      </c>
      <c r="M1139" t="s">
        <v>74</v>
      </c>
      <c r="N1139" t="s">
        <v>74</v>
      </c>
      <c r="O1139" t="s">
        <v>74</v>
      </c>
      <c r="P1139" t="s">
        <v>74</v>
      </c>
      <c r="Q1139" t="s">
        <v>74</v>
      </c>
      <c r="R1139" t="s">
        <v>74</v>
      </c>
      <c r="S1139" t="s">
        <v>74</v>
      </c>
      <c r="T1139" t="s">
        <v>74</v>
      </c>
      <c r="U1139" t="s">
        <v>74</v>
      </c>
      <c r="V1139" s="3" t="s">
        <v>1184</v>
      </c>
      <c r="W1139" t="s">
        <v>74</v>
      </c>
      <c r="X1139" t="s">
        <v>74</v>
      </c>
      <c r="Y1139" t="s">
        <v>74</v>
      </c>
      <c r="Z1139" t="s">
        <v>74</v>
      </c>
      <c r="AA1139" t="s">
        <v>1185</v>
      </c>
      <c r="AB1139" t="s">
        <v>74</v>
      </c>
      <c r="AC1139" t="s">
        <v>74</v>
      </c>
      <c r="AD1139" t="s">
        <v>74</v>
      </c>
      <c r="AE1139" t="s">
        <v>74</v>
      </c>
      <c r="AF1139" t="s">
        <v>74</v>
      </c>
      <c r="AG1139" t="s">
        <v>74</v>
      </c>
      <c r="AH1139" t="s">
        <v>74</v>
      </c>
      <c r="AI1139" t="s">
        <v>74</v>
      </c>
      <c r="AJ1139" t="s">
        <v>74</v>
      </c>
      <c r="AK1139" t="s">
        <v>74</v>
      </c>
      <c r="AL1139" t="s">
        <v>74</v>
      </c>
      <c r="AM1139" t="s">
        <v>74</v>
      </c>
      <c r="AN1139" t="s">
        <v>74</v>
      </c>
      <c r="AO1139" t="s">
        <v>233</v>
      </c>
      <c r="AP1139" t="s">
        <v>234</v>
      </c>
      <c r="AQ1139" t="s">
        <v>74</v>
      </c>
      <c r="AR1139" t="s">
        <v>74</v>
      </c>
      <c r="AS1139" t="s">
        <v>74</v>
      </c>
      <c r="AT1139" t="s">
        <v>1075</v>
      </c>
      <c r="AU1139">
        <v>2014</v>
      </c>
      <c r="AV1139">
        <v>40</v>
      </c>
      <c r="AW1139">
        <v>6</v>
      </c>
      <c r="AX1139" t="s">
        <v>74</v>
      </c>
      <c r="AY1139" t="s">
        <v>74</v>
      </c>
      <c r="AZ1139" t="s">
        <v>74</v>
      </c>
      <c r="BA1139" t="s">
        <v>74</v>
      </c>
      <c r="BB1139">
        <v>537</v>
      </c>
      <c r="BC1139">
        <v>541</v>
      </c>
      <c r="BD1139" t="s">
        <v>74</v>
      </c>
      <c r="BE1139" t="s">
        <v>1186</v>
      </c>
      <c r="BF1139" t="str">
        <f>HYPERLINK("http://dx.doi.org/10.1002/ab.21551","http://dx.doi.org/10.1002/ab.21551")</f>
        <v>http://dx.doi.org/10.1002/ab.21551</v>
      </c>
      <c r="BG1139" t="s">
        <v>74</v>
      </c>
      <c r="BH1139" t="s">
        <v>74</v>
      </c>
      <c r="BI1139" t="s">
        <v>74</v>
      </c>
      <c r="BJ1139" t="s">
        <v>74</v>
      </c>
      <c r="BK1139" t="s">
        <v>74</v>
      </c>
      <c r="BL1139" t="s">
        <v>74</v>
      </c>
      <c r="BM1139" t="s">
        <v>74</v>
      </c>
      <c r="BN1139">
        <v>25043905</v>
      </c>
      <c r="BO1139" t="s">
        <v>74</v>
      </c>
      <c r="BP1139" t="s">
        <v>74</v>
      </c>
      <c r="BQ1139" t="s">
        <v>74</v>
      </c>
      <c r="BR1139" t="s">
        <v>74</v>
      </c>
      <c r="BS1139" t="s">
        <v>1187</v>
      </c>
      <c r="BT1139" t="str">
        <f>HYPERLINK("https%3A%2F%2Fwww.webofscience.com%2Fwos%2Fwoscc%2Ffull-record%2FWOS:000344002600005","View Full Record in Web of Science")</f>
        <v>View Full Record in Web of Science</v>
      </c>
    </row>
    <row r="1140" spans="1:72" x14ac:dyDescent="0.4">
      <c r="A1140" t="s">
        <v>72</v>
      </c>
      <c r="B1140" t="s">
        <v>2435</v>
      </c>
      <c r="C1140" t="s">
        <v>74</v>
      </c>
      <c r="D1140" t="s">
        <v>74</v>
      </c>
      <c r="E1140" t="s">
        <v>74</v>
      </c>
      <c r="F1140" t="s">
        <v>2436</v>
      </c>
      <c r="G1140" t="s">
        <v>74</v>
      </c>
      <c r="H1140" t="s">
        <v>74</v>
      </c>
      <c r="I1140" t="s">
        <v>2437</v>
      </c>
      <c r="J1140" t="s">
        <v>2438</v>
      </c>
      <c r="K1140" t="s">
        <v>74</v>
      </c>
      <c r="L1140" t="s">
        <v>74</v>
      </c>
      <c r="M1140" t="s">
        <v>74</v>
      </c>
      <c r="N1140" t="s">
        <v>74</v>
      </c>
      <c r="O1140" t="s">
        <v>74</v>
      </c>
      <c r="P1140" t="s">
        <v>74</v>
      </c>
      <c r="Q1140" t="s">
        <v>74</v>
      </c>
      <c r="R1140" t="s">
        <v>74</v>
      </c>
      <c r="S1140" t="s">
        <v>74</v>
      </c>
      <c r="T1140" t="s">
        <v>74</v>
      </c>
      <c r="U1140" t="s">
        <v>74</v>
      </c>
      <c r="V1140" s="3" t="s">
        <v>2439</v>
      </c>
      <c r="W1140" t="s">
        <v>74</v>
      </c>
      <c r="X1140" t="s">
        <v>74</v>
      </c>
      <c r="Y1140" t="s">
        <v>74</v>
      </c>
      <c r="Z1140" t="s">
        <v>74</v>
      </c>
      <c r="AA1140" t="s">
        <v>2440</v>
      </c>
      <c r="AB1140" t="s">
        <v>2441</v>
      </c>
      <c r="AC1140" t="s">
        <v>74</v>
      </c>
      <c r="AD1140" t="s">
        <v>74</v>
      </c>
      <c r="AE1140" t="s">
        <v>74</v>
      </c>
      <c r="AF1140" t="s">
        <v>74</v>
      </c>
      <c r="AG1140" t="s">
        <v>74</v>
      </c>
      <c r="AH1140" t="s">
        <v>74</v>
      </c>
      <c r="AI1140" t="s">
        <v>74</v>
      </c>
      <c r="AJ1140" t="s">
        <v>74</v>
      </c>
      <c r="AK1140" t="s">
        <v>74</v>
      </c>
      <c r="AL1140" t="s">
        <v>74</v>
      </c>
      <c r="AM1140" t="s">
        <v>74</v>
      </c>
      <c r="AN1140" t="s">
        <v>74</v>
      </c>
      <c r="AO1140" t="s">
        <v>2442</v>
      </c>
      <c r="AP1140" t="s">
        <v>74</v>
      </c>
      <c r="AQ1140" t="s">
        <v>74</v>
      </c>
      <c r="AR1140" t="s">
        <v>74</v>
      </c>
      <c r="AS1140" t="s">
        <v>74</v>
      </c>
      <c r="AT1140" t="s">
        <v>2443</v>
      </c>
      <c r="AU1140">
        <v>2019</v>
      </c>
      <c r="AV1140">
        <v>8</v>
      </c>
      <c r="AW1140" t="s">
        <v>74</v>
      </c>
      <c r="AX1140" t="s">
        <v>74</v>
      </c>
      <c r="AY1140" t="s">
        <v>74</v>
      </c>
      <c r="AZ1140" t="s">
        <v>74</v>
      </c>
      <c r="BA1140" t="s">
        <v>74</v>
      </c>
      <c r="BB1140" t="s">
        <v>74</v>
      </c>
      <c r="BC1140" t="s">
        <v>74</v>
      </c>
      <c r="BD1140" t="s">
        <v>2444</v>
      </c>
      <c r="BE1140" t="s">
        <v>2445</v>
      </c>
      <c r="BF1140" t="str">
        <f>HYPERLINK("http://dx.doi.org/10.7554/eLife.41362","http://dx.doi.org/10.7554/eLife.41362")</f>
        <v>http://dx.doi.org/10.7554/eLife.41362</v>
      </c>
      <c r="BG1140" t="s">
        <v>74</v>
      </c>
      <c r="BH1140" t="s">
        <v>74</v>
      </c>
      <c r="BI1140" t="s">
        <v>74</v>
      </c>
      <c r="BJ1140" t="s">
        <v>74</v>
      </c>
      <c r="BK1140" t="s">
        <v>74</v>
      </c>
      <c r="BL1140" t="s">
        <v>74</v>
      </c>
      <c r="BM1140" t="s">
        <v>74</v>
      </c>
      <c r="BN1140">
        <v>30616714</v>
      </c>
      <c r="BO1140" t="s">
        <v>74</v>
      </c>
      <c r="BP1140" t="s">
        <v>74</v>
      </c>
      <c r="BQ1140" t="s">
        <v>74</v>
      </c>
      <c r="BR1140" t="s">
        <v>74</v>
      </c>
      <c r="BS1140" t="s">
        <v>2446</v>
      </c>
      <c r="BT1140" t="str">
        <f>HYPERLINK("https%3A%2F%2Fwww.webofscience.com%2Fwos%2Fwoscc%2Ffull-record%2FWOS:000455079700001","View Full Record in Web of Science")</f>
        <v>View Full Record in Web of Science</v>
      </c>
    </row>
    <row r="1141" spans="1:72" x14ac:dyDescent="0.4">
      <c r="A1141" t="s">
        <v>72</v>
      </c>
      <c r="B1141" t="s">
        <v>585</v>
      </c>
      <c r="C1141" t="s">
        <v>74</v>
      </c>
      <c r="D1141" t="s">
        <v>74</v>
      </c>
      <c r="E1141" t="s">
        <v>74</v>
      </c>
      <c r="F1141" t="s">
        <v>586</v>
      </c>
      <c r="G1141" t="s">
        <v>74</v>
      </c>
      <c r="H1141" t="s">
        <v>74</v>
      </c>
      <c r="I1141" t="s">
        <v>587</v>
      </c>
      <c r="J1141" t="s">
        <v>218</v>
      </c>
      <c r="K1141" t="s">
        <v>74</v>
      </c>
      <c r="L1141" t="s">
        <v>74</v>
      </c>
      <c r="M1141" t="s">
        <v>74</v>
      </c>
      <c r="N1141" t="s">
        <v>74</v>
      </c>
      <c r="O1141" t="s">
        <v>74</v>
      </c>
      <c r="P1141" t="s">
        <v>74</v>
      </c>
      <c r="Q1141" t="s">
        <v>74</v>
      </c>
      <c r="R1141" t="s">
        <v>74</v>
      </c>
      <c r="S1141" t="s">
        <v>74</v>
      </c>
      <c r="T1141" t="s">
        <v>74</v>
      </c>
      <c r="U1141" t="s">
        <v>74</v>
      </c>
      <c r="V1141" s="3" t="s">
        <v>588</v>
      </c>
      <c r="W1141" t="s">
        <v>74</v>
      </c>
      <c r="X1141" t="s">
        <v>74</v>
      </c>
      <c r="Y1141" t="s">
        <v>74</v>
      </c>
      <c r="Z1141" t="s">
        <v>74</v>
      </c>
      <c r="AA1141" t="s">
        <v>589</v>
      </c>
      <c r="AB1141" t="s">
        <v>590</v>
      </c>
      <c r="AC1141" t="s">
        <v>74</v>
      </c>
      <c r="AD1141" t="s">
        <v>74</v>
      </c>
      <c r="AE1141" t="s">
        <v>74</v>
      </c>
      <c r="AF1141" t="s">
        <v>74</v>
      </c>
      <c r="AG1141" t="s">
        <v>74</v>
      </c>
      <c r="AH1141" t="s">
        <v>74</v>
      </c>
      <c r="AI1141" t="s">
        <v>74</v>
      </c>
      <c r="AJ1141" t="s">
        <v>74</v>
      </c>
      <c r="AK1141" t="s">
        <v>74</v>
      </c>
      <c r="AL1141" t="s">
        <v>74</v>
      </c>
      <c r="AM1141" t="s">
        <v>74</v>
      </c>
      <c r="AN1141" t="s">
        <v>74</v>
      </c>
      <c r="AO1141" t="s">
        <v>221</v>
      </c>
      <c r="AP1141" t="s">
        <v>222</v>
      </c>
      <c r="AQ1141" t="s">
        <v>74</v>
      </c>
      <c r="AR1141" t="s">
        <v>74</v>
      </c>
      <c r="AS1141" t="s">
        <v>74</v>
      </c>
      <c r="AT1141" t="s">
        <v>123</v>
      </c>
      <c r="AU1141">
        <v>2018</v>
      </c>
      <c r="AV1141">
        <v>31</v>
      </c>
      <c r="AW1141">
        <v>3</v>
      </c>
      <c r="AX1141" t="s">
        <v>74</v>
      </c>
      <c r="AY1141" t="s">
        <v>74</v>
      </c>
      <c r="AZ1141" t="s">
        <v>74</v>
      </c>
      <c r="BA1141" t="s">
        <v>74</v>
      </c>
      <c r="BB1141">
        <v>457</v>
      </c>
      <c r="BC1141">
        <v>468</v>
      </c>
      <c r="BD1141" t="s">
        <v>74</v>
      </c>
      <c r="BE1141" t="s">
        <v>591</v>
      </c>
      <c r="BF1141" t="str">
        <f>HYPERLINK("http://dx.doi.org/10.1111/jeb.13243","http://dx.doi.org/10.1111/jeb.13243")</f>
        <v>http://dx.doi.org/10.1111/jeb.13243</v>
      </c>
      <c r="BG1141" t="s">
        <v>74</v>
      </c>
      <c r="BH1141" t="s">
        <v>74</v>
      </c>
      <c r="BI1141" t="s">
        <v>74</v>
      </c>
      <c r="BJ1141" t="s">
        <v>74</v>
      </c>
      <c r="BK1141" t="s">
        <v>74</v>
      </c>
      <c r="BL1141" t="s">
        <v>74</v>
      </c>
      <c r="BM1141" t="s">
        <v>74</v>
      </c>
      <c r="BN1141">
        <v>29345026</v>
      </c>
      <c r="BO1141" t="s">
        <v>74</v>
      </c>
      <c r="BP1141" t="s">
        <v>74</v>
      </c>
      <c r="BQ1141" t="s">
        <v>74</v>
      </c>
      <c r="BR1141" t="s">
        <v>74</v>
      </c>
      <c r="BS1141" t="s">
        <v>592</v>
      </c>
      <c r="BT1141" t="str">
        <f>HYPERLINK("https%3A%2F%2Fwww.webofscience.com%2Fwos%2Fwoscc%2Ffull-record%2FWOS:000426731400012","View Full Record in Web of Science")</f>
        <v>View Full Record in Web of Science</v>
      </c>
    </row>
    <row r="1142" spans="1:72" x14ac:dyDescent="0.4">
      <c r="A1142" t="s">
        <v>72</v>
      </c>
      <c r="B1142" t="s">
        <v>1734</v>
      </c>
      <c r="C1142" t="s">
        <v>74</v>
      </c>
      <c r="D1142" t="s">
        <v>74</v>
      </c>
      <c r="E1142" t="s">
        <v>74</v>
      </c>
      <c r="F1142" t="s">
        <v>1735</v>
      </c>
      <c r="G1142" t="s">
        <v>74</v>
      </c>
      <c r="H1142" t="s">
        <v>74</v>
      </c>
      <c r="I1142" t="s">
        <v>1736</v>
      </c>
      <c r="J1142" t="s">
        <v>610</v>
      </c>
      <c r="K1142" t="s">
        <v>74</v>
      </c>
      <c r="L1142" t="s">
        <v>74</v>
      </c>
      <c r="M1142" t="s">
        <v>74</v>
      </c>
      <c r="N1142" t="s">
        <v>74</v>
      </c>
      <c r="O1142" t="s">
        <v>74</v>
      </c>
      <c r="P1142" t="s">
        <v>74</v>
      </c>
      <c r="Q1142" t="s">
        <v>74</v>
      </c>
      <c r="R1142" t="s">
        <v>74</v>
      </c>
      <c r="S1142" t="s">
        <v>74</v>
      </c>
      <c r="T1142" t="s">
        <v>74</v>
      </c>
      <c r="U1142" t="s">
        <v>74</v>
      </c>
      <c r="V1142" s="3" t="s">
        <v>1737</v>
      </c>
      <c r="W1142" t="s">
        <v>74</v>
      </c>
      <c r="X1142" t="s">
        <v>74</v>
      </c>
      <c r="Y1142" t="s">
        <v>74</v>
      </c>
      <c r="Z1142" t="s">
        <v>74</v>
      </c>
      <c r="AA1142" t="s">
        <v>589</v>
      </c>
      <c r="AB1142" t="s">
        <v>590</v>
      </c>
      <c r="AC1142" t="s">
        <v>74</v>
      </c>
      <c r="AD1142" t="s">
        <v>74</v>
      </c>
      <c r="AE1142" t="s">
        <v>74</v>
      </c>
      <c r="AF1142" t="s">
        <v>74</v>
      </c>
      <c r="AG1142" t="s">
        <v>74</v>
      </c>
      <c r="AH1142" t="s">
        <v>74</v>
      </c>
      <c r="AI1142" t="s">
        <v>74</v>
      </c>
      <c r="AJ1142" t="s">
        <v>74</v>
      </c>
      <c r="AK1142" t="s">
        <v>74</v>
      </c>
      <c r="AL1142" t="s">
        <v>74</v>
      </c>
      <c r="AM1142" t="s">
        <v>74</v>
      </c>
      <c r="AN1142" t="s">
        <v>74</v>
      </c>
      <c r="AO1142" t="s">
        <v>614</v>
      </c>
      <c r="AP1142" t="s">
        <v>615</v>
      </c>
      <c r="AQ1142" t="s">
        <v>74</v>
      </c>
      <c r="AR1142" t="s">
        <v>74</v>
      </c>
      <c r="AS1142" t="s">
        <v>74</v>
      </c>
      <c r="AT1142" t="s">
        <v>305</v>
      </c>
      <c r="AU1142">
        <v>2020</v>
      </c>
      <c r="AV1142">
        <v>126</v>
      </c>
      <c r="AW1142">
        <v>12</v>
      </c>
      <c r="AX1142" t="s">
        <v>74</v>
      </c>
      <c r="AY1142" t="s">
        <v>74</v>
      </c>
      <c r="AZ1142" t="s">
        <v>74</v>
      </c>
      <c r="BA1142" t="s">
        <v>74</v>
      </c>
      <c r="BB1142">
        <v>1131</v>
      </c>
      <c r="BC1142">
        <v>1140</v>
      </c>
      <c r="BD1142" t="s">
        <v>74</v>
      </c>
      <c r="BE1142" t="s">
        <v>1738</v>
      </c>
      <c r="BF1142" t="str">
        <f>HYPERLINK("http://dx.doi.org/10.1111/eth.13093","http://dx.doi.org/10.1111/eth.13093")</f>
        <v>http://dx.doi.org/10.1111/eth.13093</v>
      </c>
      <c r="BG1142" t="s">
        <v>74</v>
      </c>
      <c r="BH1142" t="s">
        <v>1067</v>
      </c>
      <c r="BI1142" t="s">
        <v>74</v>
      </c>
      <c r="BJ1142" t="s">
        <v>74</v>
      </c>
      <c r="BK1142" t="s">
        <v>74</v>
      </c>
      <c r="BL1142" t="s">
        <v>74</v>
      </c>
      <c r="BM1142" t="s">
        <v>74</v>
      </c>
      <c r="BN1142" t="s">
        <v>74</v>
      </c>
      <c r="BO1142" t="s">
        <v>74</v>
      </c>
      <c r="BP1142" t="s">
        <v>74</v>
      </c>
      <c r="BQ1142" t="s">
        <v>74</v>
      </c>
      <c r="BR1142" t="s">
        <v>74</v>
      </c>
      <c r="BS1142" t="s">
        <v>1739</v>
      </c>
      <c r="BT1142" t="str">
        <f>HYPERLINK("https%3A%2F%2Fwww.webofscience.com%2Fwos%2Fwoscc%2Ffull-record%2FWOS:000572325900001","View Full Record in Web of Science")</f>
        <v>View Full Record in Web of Science</v>
      </c>
    </row>
    <row r="1143" spans="1:72" x14ac:dyDescent="0.4">
      <c r="A1143" t="s">
        <v>72</v>
      </c>
      <c r="B1143" t="s">
        <v>2300</v>
      </c>
      <c r="C1143" t="s">
        <v>74</v>
      </c>
      <c r="D1143" t="s">
        <v>74</v>
      </c>
      <c r="E1143" t="s">
        <v>74</v>
      </c>
      <c r="F1143" t="s">
        <v>2301</v>
      </c>
      <c r="G1143" t="s">
        <v>74</v>
      </c>
      <c r="H1143" t="s">
        <v>74</v>
      </c>
      <c r="I1143" t="s">
        <v>2302</v>
      </c>
      <c r="J1143" t="s">
        <v>140</v>
      </c>
      <c r="K1143" t="s">
        <v>74</v>
      </c>
      <c r="L1143" t="s">
        <v>74</v>
      </c>
      <c r="M1143" t="s">
        <v>74</v>
      </c>
      <c r="N1143" t="s">
        <v>74</v>
      </c>
      <c r="O1143" t="s">
        <v>74</v>
      </c>
      <c r="P1143" t="s">
        <v>74</v>
      </c>
      <c r="Q1143" t="s">
        <v>74</v>
      </c>
      <c r="R1143" t="s">
        <v>74</v>
      </c>
      <c r="S1143" t="s">
        <v>74</v>
      </c>
      <c r="T1143" t="s">
        <v>74</v>
      </c>
      <c r="U1143" t="s">
        <v>74</v>
      </c>
      <c r="V1143" s="3" t="s">
        <v>2303</v>
      </c>
      <c r="W1143" t="s">
        <v>74</v>
      </c>
      <c r="X1143" t="s">
        <v>74</v>
      </c>
      <c r="Y1143" t="s">
        <v>74</v>
      </c>
      <c r="Z1143" t="s">
        <v>74</v>
      </c>
      <c r="AA1143" t="s">
        <v>74</v>
      </c>
      <c r="AB1143" t="s">
        <v>2304</v>
      </c>
      <c r="AC1143" t="s">
        <v>74</v>
      </c>
      <c r="AD1143" t="s">
        <v>74</v>
      </c>
      <c r="AE1143" t="s">
        <v>74</v>
      </c>
      <c r="AF1143" t="s">
        <v>74</v>
      </c>
      <c r="AG1143" t="s">
        <v>74</v>
      </c>
      <c r="AH1143" t="s">
        <v>74</v>
      </c>
      <c r="AI1143" t="s">
        <v>74</v>
      </c>
      <c r="AJ1143" t="s">
        <v>74</v>
      </c>
      <c r="AK1143" t="s">
        <v>74</v>
      </c>
      <c r="AL1143" t="s">
        <v>74</v>
      </c>
      <c r="AM1143" t="s">
        <v>74</v>
      </c>
      <c r="AN1143" t="s">
        <v>74</v>
      </c>
      <c r="AO1143" t="s">
        <v>143</v>
      </c>
      <c r="AP1143" t="s">
        <v>144</v>
      </c>
      <c r="AQ1143" t="s">
        <v>74</v>
      </c>
      <c r="AR1143" t="s">
        <v>74</v>
      </c>
      <c r="AS1143" t="s">
        <v>74</v>
      </c>
      <c r="AT1143" t="s">
        <v>964</v>
      </c>
      <c r="AU1143">
        <v>2009</v>
      </c>
      <c r="AV1143">
        <v>77</v>
      </c>
      <c r="AW1143">
        <v>2</v>
      </c>
      <c r="AX1143" t="s">
        <v>74</v>
      </c>
      <c r="AY1143" t="s">
        <v>74</v>
      </c>
      <c r="AZ1143" t="s">
        <v>74</v>
      </c>
      <c r="BA1143" t="s">
        <v>74</v>
      </c>
      <c r="BB1143">
        <v>531</v>
      </c>
      <c r="BC1143">
        <v>540</v>
      </c>
      <c r="BD1143" t="s">
        <v>74</v>
      </c>
      <c r="BE1143" t="s">
        <v>2305</v>
      </c>
      <c r="BF1143" t="str">
        <f>HYPERLINK("http://dx.doi.org/10.1016/j.anbehav.2008.11.013","http://dx.doi.org/10.1016/j.anbehav.2008.11.013")</f>
        <v>http://dx.doi.org/10.1016/j.anbehav.2008.11.013</v>
      </c>
      <c r="BG1143" t="s">
        <v>74</v>
      </c>
      <c r="BH1143" t="s">
        <v>74</v>
      </c>
      <c r="BI1143" t="s">
        <v>74</v>
      </c>
      <c r="BJ1143" t="s">
        <v>74</v>
      </c>
      <c r="BK1143" t="s">
        <v>74</v>
      </c>
      <c r="BL1143" t="s">
        <v>74</v>
      </c>
      <c r="BM1143" t="s">
        <v>74</v>
      </c>
      <c r="BN1143" t="s">
        <v>74</v>
      </c>
      <c r="BO1143" t="s">
        <v>74</v>
      </c>
      <c r="BP1143" t="s">
        <v>74</v>
      </c>
      <c r="BQ1143" t="s">
        <v>74</v>
      </c>
      <c r="BR1143" t="s">
        <v>74</v>
      </c>
      <c r="BS1143" t="s">
        <v>2306</v>
      </c>
      <c r="BT1143" t="str">
        <f>HYPERLINK("https%3A%2F%2Fwww.webofscience.com%2Fwos%2Fwoscc%2Ffull-record%2FWOS:000262709400033","View Full Record in Web of Science")</f>
        <v>View Full Record in Web of Science</v>
      </c>
    </row>
    <row r="1144" spans="1:72" x14ac:dyDescent="0.4">
      <c r="A1144" t="s">
        <v>72</v>
      </c>
      <c r="B1144" t="s">
        <v>3282</v>
      </c>
      <c r="C1144" t="s">
        <v>74</v>
      </c>
      <c r="D1144" t="s">
        <v>74</v>
      </c>
      <c r="E1144" t="s">
        <v>74</v>
      </c>
      <c r="F1144" t="s">
        <v>3283</v>
      </c>
      <c r="G1144" t="s">
        <v>74</v>
      </c>
      <c r="H1144" t="s">
        <v>74</v>
      </c>
      <c r="I1144" t="s">
        <v>3284</v>
      </c>
      <c r="J1144" t="s">
        <v>1526</v>
      </c>
      <c r="K1144" t="s">
        <v>74</v>
      </c>
      <c r="L1144" t="s">
        <v>74</v>
      </c>
      <c r="M1144" t="s">
        <v>74</v>
      </c>
      <c r="N1144" t="s">
        <v>74</v>
      </c>
      <c r="O1144" t="s">
        <v>74</v>
      </c>
      <c r="P1144" t="s">
        <v>74</v>
      </c>
      <c r="Q1144" t="s">
        <v>74</v>
      </c>
      <c r="R1144" t="s">
        <v>74</v>
      </c>
      <c r="S1144" t="s">
        <v>74</v>
      </c>
      <c r="T1144" t="s">
        <v>74</v>
      </c>
      <c r="U1144" t="s">
        <v>74</v>
      </c>
      <c r="V1144" s="3" t="s">
        <v>3285</v>
      </c>
      <c r="W1144" t="s">
        <v>74</v>
      </c>
      <c r="X1144" t="s">
        <v>74</v>
      </c>
      <c r="Y1144" t="s">
        <v>74</v>
      </c>
      <c r="Z1144" t="s">
        <v>74</v>
      </c>
      <c r="AA1144" t="s">
        <v>74</v>
      </c>
      <c r="AB1144" t="s">
        <v>2304</v>
      </c>
      <c r="AC1144" t="s">
        <v>74</v>
      </c>
      <c r="AD1144" t="s">
        <v>74</v>
      </c>
      <c r="AE1144" t="s">
        <v>74</v>
      </c>
      <c r="AF1144" t="s">
        <v>74</v>
      </c>
      <c r="AG1144" t="s">
        <v>74</v>
      </c>
      <c r="AH1144" t="s">
        <v>74</v>
      </c>
      <c r="AI1144" t="s">
        <v>74</v>
      </c>
      <c r="AJ1144" t="s">
        <v>74</v>
      </c>
      <c r="AK1144" t="s">
        <v>74</v>
      </c>
      <c r="AL1144" t="s">
        <v>74</v>
      </c>
      <c r="AM1144" t="s">
        <v>74</v>
      </c>
      <c r="AN1144" t="s">
        <v>74</v>
      </c>
      <c r="AO1144" t="s">
        <v>1528</v>
      </c>
      <c r="AP1144" t="s">
        <v>2131</v>
      </c>
      <c r="AQ1144" t="s">
        <v>74</v>
      </c>
      <c r="AR1144" t="s">
        <v>74</v>
      </c>
      <c r="AS1144" t="s">
        <v>74</v>
      </c>
      <c r="AT1144" t="s">
        <v>213</v>
      </c>
      <c r="AU1144">
        <v>2009</v>
      </c>
      <c r="AV1144">
        <v>111</v>
      </c>
      <c r="AW1144">
        <v>4</v>
      </c>
      <c r="AX1144" t="s">
        <v>74</v>
      </c>
      <c r="AY1144" t="s">
        <v>74</v>
      </c>
      <c r="AZ1144" t="s">
        <v>74</v>
      </c>
      <c r="BA1144" t="s">
        <v>74</v>
      </c>
      <c r="BB1144">
        <v>740</v>
      </c>
      <c r="BC1144">
        <v>751</v>
      </c>
      <c r="BD1144" t="s">
        <v>74</v>
      </c>
      <c r="BE1144" t="s">
        <v>3286</v>
      </c>
      <c r="BF1144" t="str">
        <f>HYPERLINK("http://dx.doi.org/10.1525/cond.2009.090058","http://dx.doi.org/10.1525/cond.2009.090058")</f>
        <v>http://dx.doi.org/10.1525/cond.2009.090058</v>
      </c>
      <c r="BG1144" t="s">
        <v>74</v>
      </c>
      <c r="BH1144" t="s">
        <v>74</v>
      </c>
      <c r="BI1144" t="s">
        <v>74</v>
      </c>
      <c r="BJ1144" t="s">
        <v>74</v>
      </c>
      <c r="BK1144" t="s">
        <v>74</v>
      </c>
      <c r="BL1144" t="s">
        <v>74</v>
      </c>
      <c r="BM1144" t="s">
        <v>74</v>
      </c>
      <c r="BN1144" t="s">
        <v>74</v>
      </c>
      <c r="BO1144" t="s">
        <v>74</v>
      </c>
      <c r="BP1144" t="s">
        <v>74</v>
      </c>
      <c r="BQ1144" t="s">
        <v>74</v>
      </c>
      <c r="BR1144" t="s">
        <v>74</v>
      </c>
      <c r="BS1144" t="s">
        <v>3287</v>
      </c>
      <c r="BT1144" t="str">
        <f>HYPERLINK("https%3A%2F%2Fwww.webofscience.com%2Fwos%2Fwoscc%2Ffull-record%2FWOS:000272325600018","View Full Record in Web of Science")</f>
        <v>View Full Record in Web of Science</v>
      </c>
    </row>
    <row r="1145" spans="1:72" x14ac:dyDescent="0.4">
      <c r="A1145" t="s">
        <v>72</v>
      </c>
      <c r="B1145" t="s">
        <v>4892</v>
      </c>
      <c r="C1145" t="s">
        <v>74</v>
      </c>
      <c r="D1145" t="s">
        <v>74</v>
      </c>
      <c r="E1145" t="s">
        <v>74</v>
      </c>
      <c r="F1145" t="s">
        <v>4893</v>
      </c>
      <c r="G1145" t="s">
        <v>74</v>
      </c>
      <c r="H1145" t="s">
        <v>74</v>
      </c>
      <c r="I1145" t="s">
        <v>4894</v>
      </c>
      <c r="J1145" t="s">
        <v>4895</v>
      </c>
      <c r="K1145" t="s">
        <v>74</v>
      </c>
      <c r="L1145" t="s">
        <v>74</v>
      </c>
      <c r="M1145" t="s">
        <v>74</v>
      </c>
      <c r="N1145" t="s">
        <v>74</v>
      </c>
      <c r="O1145" t="s">
        <v>74</v>
      </c>
      <c r="P1145" t="s">
        <v>74</v>
      </c>
      <c r="Q1145" t="s">
        <v>74</v>
      </c>
      <c r="R1145" t="s">
        <v>74</v>
      </c>
      <c r="S1145" t="s">
        <v>74</v>
      </c>
      <c r="T1145" t="s">
        <v>74</v>
      </c>
      <c r="U1145" t="s">
        <v>74</v>
      </c>
      <c r="V1145" s="3" t="s">
        <v>4896</v>
      </c>
      <c r="W1145" t="s">
        <v>74</v>
      </c>
      <c r="X1145" t="s">
        <v>74</v>
      </c>
      <c r="Y1145" t="s">
        <v>74</v>
      </c>
      <c r="Z1145" t="s">
        <v>74</v>
      </c>
      <c r="AA1145" t="s">
        <v>4897</v>
      </c>
      <c r="AB1145" t="s">
        <v>4898</v>
      </c>
      <c r="AC1145" t="s">
        <v>74</v>
      </c>
      <c r="AD1145" t="s">
        <v>74</v>
      </c>
      <c r="AE1145" t="s">
        <v>74</v>
      </c>
      <c r="AF1145" t="s">
        <v>74</v>
      </c>
      <c r="AG1145" t="s">
        <v>74</v>
      </c>
      <c r="AH1145" t="s">
        <v>74</v>
      </c>
      <c r="AI1145" t="s">
        <v>74</v>
      </c>
      <c r="AJ1145" t="s">
        <v>74</v>
      </c>
      <c r="AK1145" t="s">
        <v>74</v>
      </c>
      <c r="AL1145" t="s">
        <v>74</v>
      </c>
      <c r="AM1145" t="s">
        <v>74</v>
      </c>
      <c r="AN1145" t="s">
        <v>74</v>
      </c>
      <c r="AO1145" t="s">
        <v>4899</v>
      </c>
      <c r="AP1145" t="s">
        <v>4900</v>
      </c>
      <c r="AQ1145" t="s">
        <v>74</v>
      </c>
      <c r="AR1145" t="s">
        <v>74</v>
      </c>
      <c r="AS1145" t="s">
        <v>74</v>
      </c>
      <c r="AT1145" t="s">
        <v>213</v>
      </c>
      <c r="AU1145">
        <v>2018</v>
      </c>
      <c r="AV1145">
        <v>304</v>
      </c>
      <c r="AW1145">
        <v>9</v>
      </c>
      <c r="AX1145" t="s">
        <v>74</v>
      </c>
      <c r="AY1145" t="s">
        <v>74</v>
      </c>
      <c r="AZ1145" t="s">
        <v>74</v>
      </c>
      <c r="BA1145" t="s">
        <v>74</v>
      </c>
      <c r="BB1145">
        <v>1165</v>
      </c>
      <c r="BC1145">
        <v>1180</v>
      </c>
      <c r="BD1145" t="s">
        <v>74</v>
      </c>
      <c r="BE1145" t="s">
        <v>4901</v>
      </c>
      <c r="BF1145" t="str">
        <f>HYPERLINK("http://dx.doi.org/10.1007/s00606-018-1539-7","http://dx.doi.org/10.1007/s00606-018-1539-7")</f>
        <v>http://dx.doi.org/10.1007/s00606-018-1539-7</v>
      </c>
      <c r="BG1145" t="s">
        <v>74</v>
      </c>
      <c r="BH1145" t="s">
        <v>74</v>
      </c>
      <c r="BI1145" t="s">
        <v>74</v>
      </c>
      <c r="BJ1145" t="s">
        <v>74</v>
      </c>
      <c r="BK1145" t="s">
        <v>74</v>
      </c>
      <c r="BL1145" t="s">
        <v>74</v>
      </c>
      <c r="BM1145" t="s">
        <v>74</v>
      </c>
      <c r="BN1145" t="s">
        <v>74</v>
      </c>
      <c r="BO1145" t="s">
        <v>74</v>
      </c>
      <c r="BP1145" t="s">
        <v>74</v>
      </c>
      <c r="BQ1145" t="s">
        <v>74</v>
      </c>
      <c r="BR1145" t="s">
        <v>74</v>
      </c>
      <c r="BS1145" t="s">
        <v>4902</v>
      </c>
      <c r="BT1145" t="str">
        <f>HYPERLINK("https%3A%2F%2Fwww.webofscience.com%2Fwos%2Fwoscc%2Ffull-record%2FWOS:000447531400008","View Full Record in Web of Science")</f>
        <v>View Full Record in Web of Science</v>
      </c>
    </row>
    <row r="1146" spans="1:72" x14ac:dyDescent="0.4">
      <c r="A1146" t="s">
        <v>72</v>
      </c>
      <c r="B1146" t="s">
        <v>4878</v>
      </c>
      <c r="C1146" t="s">
        <v>74</v>
      </c>
      <c r="D1146" t="s">
        <v>74</v>
      </c>
      <c r="E1146" t="s">
        <v>74</v>
      </c>
      <c r="F1146" t="s">
        <v>4879</v>
      </c>
      <c r="G1146" t="s">
        <v>74</v>
      </c>
      <c r="H1146" t="s">
        <v>74</v>
      </c>
      <c r="I1146" t="s">
        <v>4880</v>
      </c>
      <c r="J1146" t="s">
        <v>2017</v>
      </c>
      <c r="K1146" t="s">
        <v>74</v>
      </c>
      <c r="L1146" t="s">
        <v>74</v>
      </c>
      <c r="M1146" t="s">
        <v>74</v>
      </c>
      <c r="N1146" t="s">
        <v>74</v>
      </c>
      <c r="O1146" t="s">
        <v>74</v>
      </c>
      <c r="P1146" t="s">
        <v>74</v>
      </c>
      <c r="Q1146" t="s">
        <v>74</v>
      </c>
      <c r="R1146" t="s">
        <v>74</v>
      </c>
      <c r="S1146" t="s">
        <v>74</v>
      </c>
      <c r="T1146" t="s">
        <v>74</v>
      </c>
      <c r="U1146" t="s">
        <v>74</v>
      </c>
      <c r="V1146" s="3" t="s">
        <v>4881</v>
      </c>
      <c r="W1146" t="s">
        <v>74</v>
      </c>
      <c r="X1146" t="s">
        <v>74</v>
      </c>
      <c r="Y1146" t="s">
        <v>74</v>
      </c>
      <c r="Z1146" t="s">
        <v>74</v>
      </c>
      <c r="AA1146" t="s">
        <v>4882</v>
      </c>
      <c r="AB1146" t="s">
        <v>4883</v>
      </c>
      <c r="AC1146" t="s">
        <v>74</v>
      </c>
      <c r="AD1146" t="s">
        <v>74</v>
      </c>
      <c r="AE1146" t="s">
        <v>74</v>
      </c>
      <c r="AF1146" t="s">
        <v>74</v>
      </c>
      <c r="AG1146" t="s">
        <v>74</v>
      </c>
      <c r="AH1146" t="s">
        <v>74</v>
      </c>
      <c r="AI1146" t="s">
        <v>74</v>
      </c>
      <c r="AJ1146" t="s">
        <v>74</v>
      </c>
      <c r="AK1146" t="s">
        <v>74</v>
      </c>
      <c r="AL1146" t="s">
        <v>74</v>
      </c>
      <c r="AM1146" t="s">
        <v>74</v>
      </c>
      <c r="AN1146" t="s">
        <v>74</v>
      </c>
      <c r="AO1146" t="s">
        <v>2021</v>
      </c>
      <c r="AP1146" t="s">
        <v>74</v>
      </c>
      <c r="AQ1146" t="s">
        <v>74</v>
      </c>
      <c r="AR1146" t="s">
        <v>74</v>
      </c>
      <c r="AS1146" t="s">
        <v>74</v>
      </c>
      <c r="AT1146" t="s">
        <v>3833</v>
      </c>
      <c r="AU1146">
        <v>2022</v>
      </c>
      <c r="AV1146">
        <v>10</v>
      </c>
      <c r="AW1146" t="s">
        <v>74</v>
      </c>
      <c r="AX1146" t="s">
        <v>74</v>
      </c>
      <c r="AY1146" t="s">
        <v>74</v>
      </c>
      <c r="AZ1146" t="s">
        <v>74</v>
      </c>
      <c r="BA1146" t="s">
        <v>74</v>
      </c>
      <c r="BB1146" t="s">
        <v>74</v>
      </c>
      <c r="BC1146" t="s">
        <v>74</v>
      </c>
      <c r="BD1146">
        <v>803996</v>
      </c>
      <c r="BE1146" t="s">
        <v>4884</v>
      </c>
      <c r="BF1146" t="str">
        <f>HYPERLINK("http://dx.doi.org/10.3389/fevo.2022.803996","http://dx.doi.org/10.3389/fevo.2022.803996")</f>
        <v>http://dx.doi.org/10.3389/fevo.2022.803996</v>
      </c>
      <c r="BG1146" t="s">
        <v>74</v>
      </c>
      <c r="BH1146" t="s">
        <v>74</v>
      </c>
      <c r="BI1146" t="s">
        <v>74</v>
      </c>
      <c r="BJ1146" t="s">
        <v>74</v>
      </c>
      <c r="BK1146" t="s">
        <v>74</v>
      </c>
      <c r="BL1146" t="s">
        <v>74</v>
      </c>
      <c r="BM1146" t="s">
        <v>74</v>
      </c>
      <c r="BN1146" t="s">
        <v>74</v>
      </c>
      <c r="BO1146" t="s">
        <v>74</v>
      </c>
      <c r="BP1146" t="s">
        <v>74</v>
      </c>
      <c r="BQ1146" t="s">
        <v>74</v>
      </c>
      <c r="BR1146" t="s">
        <v>74</v>
      </c>
      <c r="BS1146" t="s">
        <v>4885</v>
      </c>
      <c r="BT1146" t="str">
        <f>HYPERLINK("https%3A%2F%2Fwww.webofscience.com%2Fwos%2Fwoscc%2Ffull-record%2FWOS:000775231200001","View Full Record in Web of Science")</f>
        <v>View Full Record in Web of Science</v>
      </c>
    </row>
    <row r="1147" spans="1:72" x14ac:dyDescent="0.4">
      <c r="A1147" t="s">
        <v>72</v>
      </c>
      <c r="B1147" t="s">
        <v>2049</v>
      </c>
      <c r="C1147" t="s">
        <v>74</v>
      </c>
      <c r="D1147" t="s">
        <v>74</v>
      </c>
      <c r="E1147" t="s">
        <v>74</v>
      </c>
      <c r="F1147" t="s">
        <v>2049</v>
      </c>
      <c r="G1147" t="s">
        <v>74</v>
      </c>
      <c r="H1147" t="s">
        <v>74</v>
      </c>
      <c r="I1147" t="s">
        <v>2050</v>
      </c>
      <c r="J1147" t="s">
        <v>1549</v>
      </c>
      <c r="K1147" t="s">
        <v>74</v>
      </c>
      <c r="L1147" t="s">
        <v>74</v>
      </c>
      <c r="M1147" t="s">
        <v>74</v>
      </c>
      <c r="N1147" t="s">
        <v>74</v>
      </c>
      <c r="O1147" t="s">
        <v>74</v>
      </c>
      <c r="P1147" t="s">
        <v>74</v>
      </c>
      <c r="Q1147" t="s">
        <v>74</v>
      </c>
      <c r="R1147" t="s">
        <v>74</v>
      </c>
      <c r="S1147" t="s">
        <v>74</v>
      </c>
      <c r="T1147" t="s">
        <v>74</v>
      </c>
      <c r="U1147" t="s">
        <v>74</v>
      </c>
      <c r="V1147" s="3" t="s">
        <v>2051</v>
      </c>
      <c r="W1147" t="s">
        <v>74</v>
      </c>
      <c r="X1147" t="s">
        <v>74</v>
      </c>
      <c r="Y1147" t="s">
        <v>74</v>
      </c>
      <c r="Z1147" t="s">
        <v>74</v>
      </c>
      <c r="AA1147" t="s">
        <v>74</v>
      </c>
      <c r="AB1147" t="s">
        <v>74</v>
      </c>
      <c r="AC1147" t="s">
        <v>74</v>
      </c>
      <c r="AD1147" t="s">
        <v>74</v>
      </c>
      <c r="AE1147" t="s">
        <v>74</v>
      </c>
      <c r="AF1147" t="s">
        <v>74</v>
      </c>
      <c r="AG1147" t="s">
        <v>74</v>
      </c>
      <c r="AH1147" t="s">
        <v>74</v>
      </c>
      <c r="AI1147" t="s">
        <v>74</v>
      </c>
      <c r="AJ1147" t="s">
        <v>74</v>
      </c>
      <c r="AK1147" t="s">
        <v>74</v>
      </c>
      <c r="AL1147" t="s">
        <v>74</v>
      </c>
      <c r="AM1147" t="s">
        <v>74</v>
      </c>
      <c r="AN1147" t="s">
        <v>74</v>
      </c>
      <c r="AO1147" t="s">
        <v>1551</v>
      </c>
      <c r="AP1147" t="s">
        <v>74</v>
      </c>
      <c r="AQ1147" t="s">
        <v>74</v>
      </c>
      <c r="AR1147" t="s">
        <v>74</v>
      </c>
      <c r="AS1147" t="s">
        <v>74</v>
      </c>
      <c r="AT1147" t="s">
        <v>102</v>
      </c>
      <c r="AU1147">
        <v>2000</v>
      </c>
      <c r="AV1147">
        <v>25</v>
      </c>
      <c r="AW1147">
        <v>2</v>
      </c>
      <c r="AX1147" t="s">
        <v>74</v>
      </c>
      <c r="AY1147" t="s">
        <v>74</v>
      </c>
      <c r="AZ1147" t="s">
        <v>74</v>
      </c>
      <c r="BA1147" t="s">
        <v>74</v>
      </c>
      <c r="BB1147">
        <v>127</v>
      </c>
      <c r="BC1147">
        <v>132</v>
      </c>
      <c r="BD1147" t="s">
        <v>74</v>
      </c>
      <c r="BE1147" t="s">
        <v>2052</v>
      </c>
      <c r="BF1147" t="str">
        <f>HYPERLINK("http://dx.doi.org/10.1046/j.1365-3032.2000.00174.x","http://dx.doi.org/10.1046/j.1365-3032.2000.00174.x")</f>
        <v>http://dx.doi.org/10.1046/j.1365-3032.2000.00174.x</v>
      </c>
      <c r="BG1147" t="s">
        <v>74</v>
      </c>
      <c r="BH1147" t="s">
        <v>74</v>
      </c>
      <c r="BI1147" t="s">
        <v>74</v>
      </c>
      <c r="BJ1147" t="s">
        <v>74</v>
      </c>
      <c r="BK1147" t="s">
        <v>74</v>
      </c>
      <c r="BL1147" t="s">
        <v>74</v>
      </c>
      <c r="BM1147" t="s">
        <v>74</v>
      </c>
      <c r="BN1147" t="s">
        <v>74</v>
      </c>
      <c r="BO1147" t="s">
        <v>74</v>
      </c>
      <c r="BP1147" t="s">
        <v>74</v>
      </c>
      <c r="BQ1147" t="s">
        <v>74</v>
      </c>
      <c r="BR1147" t="s">
        <v>74</v>
      </c>
      <c r="BS1147" t="s">
        <v>2053</v>
      </c>
      <c r="BT1147" t="str">
        <f>HYPERLINK("https%3A%2F%2Fwww.webofscience.com%2Fwos%2Fwoscc%2Ffull-record%2FWOS:000087985900004","View Full Record in Web of Science")</f>
        <v>View Full Record in Web of Science</v>
      </c>
    </row>
    <row r="1148" spans="1:72" x14ac:dyDescent="0.4">
      <c r="A1148" t="s">
        <v>72</v>
      </c>
      <c r="B1148" t="s">
        <v>1547</v>
      </c>
      <c r="C1148" t="s">
        <v>74</v>
      </c>
      <c r="D1148" t="s">
        <v>74</v>
      </c>
      <c r="E1148" t="s">
        <v>74</v>
      </c>
      <c r="F1148" t="s">
        <v>1547</v>
      </c>
      <c r="G1148" t="s">
        <v>74</v>
      </c>
      <c r="H1148" t="s">
        <v>74</v>
      </c>
      <c r="I1148" t="s">
        <v>1548</v>
      </c>
      <c r="J1148" t="s">
        <v>1549</v>
      </c>
      <c r="K1148" t="s">
        <v>74</v>
      </c>
      <c r="L1148" t="s">
        <v>74</v>
      </c>
      <c r="M1148" t="s">
        <v>74</v>
      </c>
      <c r="N1148" t="s">
        <v>74</v>
      </c>
      <c r="O1148" t="s">
        <v>74</v>
      </c>
      <c r="P1148" t="s">
        <v>74</v>
      </c>
      <c r="Q1148" t="s">
        <v>74</v>
      </c>
      <c r="R1148" t="s">
        <v>74</v>
      </c>
      <c r="S1148" t="s">
        <v>74</v>
      </c>
      <c r="T1148" t="s">
        <v>74</v>
      </c>
      <c r="U1148" t="s">
        <v>74</v>
      </c>
      <c r="V1148" s="3" t="s">
        <v>1550</v>
      </c>
      <c r="W1148" t="s">
        <v>74</v>
      </c>
      <c r="X1148" t="s">
        <v>74</v>
      </c>
      <c r="Y1148" t="s">
        <v>74</v>
      </c>
      <c r="Z1148" t="s">
        <v>74</v>
      </c>
      <c r="AA1148" t="s">
        <v>74</v>
      </c>
      <c r="AB1148" t="s">
        <v>74</v>
      </c>
      <c r="AC1148" t="s">
        <v>74</v>
      </c>
      <c r="AD1148" t="s">
        <v>74</v>
      </c>
      <c r="AE1148" t="s">
        <v>74</v>
      </c>
      <c r="AF1148" t="s">
        <v>74</v>
      </c>
      <c r="AG1148" t="s">
        <v>74</v>
      </c>
      <c r="AH1148" t="s">
        <v>74</v>
      </c>
      <c r="AI1148" t="s">
        <v>74</v>
      </c>
      <c r="AJ1148" t="s">
        <v>74</v>
      </c>
      <c r="AK1148" t="s">
        <v>74</v>
      </c>
      <c r="AL1148" t="s">
        <v>74</v>
      </c>
      <c r="AM1148" t="s">
        <v>74</v>
      </c>
      <c r="AN1148" t="s">
        <v>74</v>
      </c>
      <c r="AO1148" t="s">
        <v>1551</v>
      </c>
      <c r="AP1148" t="s">
        <v>74</v>
      </c>
      <c r="AQ1148" t="s">
        <v>74</v>
      </c>
      <c r="AR1148" t="s">
        <v>74</v>
      </c>
      <c r="AS1148" t="s">
        <v>74</v>
      </c>
      <c r="AT1148" t="s">
        <v>102</v>
      </c>
      <c r="AU1148">
        <v>2002</v>
      </c>
      <c r="AV1148">
        <v>27</v>
      </c>
      <c r="AW1148">
        <v>2</v>
      </c>
      <c r="AX1148" t="s">
        <v>74</v>
      </c>
      <c r="AY1148" t="s">
        <v>74</v>
      </c>
      <c r="AZ1148" t="s">
        <v>74</v>
      </c>
      <c r="BA1148" t="s">
        <v>74</v>
      </c>
      <c r="BB1148">
        <v>165</v>
      </c>
      <c r="BC1148">
        <v>169</v>
      </c>
      <c r="BD1148" t="s">
        <v>74</v>
      </c>
      <c r="BE1148" t="s">
        <v>1552</v>
      </c>
      <c r="BF1148" t="str">
        <f>HYPERLINK("http://dx.doi.org/10.1046/j.1365-3032.2002.00283.x","http://dx.doi.org/10.1046/j.1365-3032.2002.00283.x")</f>
        <v>http://dx.doi.org/10.1046/j.1365-3032.2002.00283.x</v>
      </c>
      <c r="BG1148" t="s">
        <v>74</v>
      </c>
      <c r="BH1148" t="s">
        <v>74</v>
      </c>
      <c r="BI1148" t="s">
        <v>74</v>
      </c>
      <c r="BJ1148" t="s">
        <v>74</v>
      </c>
      <c r="BK1148" t="s">
        <v>74</v>
      </c>
      <c r="BL1148" t="s">
        <v>74</v>
      </c>
      <c r="BM1148" t="s">
        <v>74</v>
      </c>
      <c r="BN1148" t="s">
        <v>74</v>
      </c>
      <c r="BO1148" t="s">
        <v>74</v>
      </c>
      <c r="BP1148" t="s">
        <v>74</v>
      </c>
      <c r="BQ1148" t="s">
        <v>74</v>
      </c>
      <c r="BR1148" t="s">
        <v>74</v>
      </c>
      <c r="BS1148" t="s">
        <v>1553</v>
      </c>
      <c r="BT1148" t="str">
        <f>HYPERLINK("https%3A%2F%2Fwww.webofscience.com%2Fwos%2Fwoscc%2Ffull-record%2FWOS:000175861800011","View Full Record in Web of Science")</f>
        <v>View Full Record in Web of Science</v>
      </c>
    </row>
    <row r="1149" spans="1:72" x14ac:dyDescent="0.4">
      <c r="A1149" t="s">
        <v>72</v>
      </c>
      <c r="B1149" t="s">
        <v>871</v>
      </c>
      <c r="C1149" t="s">
        <v>74</v>
      </c>
      <c r="D1149" t="s">
        <v>74</v>
      </c>
      <c r="E1149" t="s">
        <v>74</v>
      </c>
      <c r="F1149" t="s">
        <v>872</v>
      </c>
      <c r="G1149" t="s">
        <v>74</v>
      </c>
      <c r="H1149" t="s">
        <v>74</v>
      </c>
      <c r="I1149" t="s">
        <v>873</v>
      </c>
      <c r="J1149" t="s">
        <v>509</v>
      </c>
      <c r="K1149" t="s">
        <v>74</v>
      </c>
      <c r="L1149" t="s">
        <v>74</v>
      </c>
      <c r="M1149" t="s">
        <v>74</v>
      </c>
      <c r="N1149" t="s">
        <v>74</v>
      </c>
      <c r="O1149" t="s">
        <v>74</v>
      </c>
      <c r="P1149" t="s">
        <v>74</v>
      </c>
      <c r="Q1149" t="s">
        <v>74</v>
      </c>
      <c r="R1149" t="s">
        <v>74</v>
      </c>
      <c r="S1149" t="s">
        <v>74</v>
      </c>
      <c r="T1149" t="s">
        <v>74</v>
      </c>
      <c r="U1149" t="s">
        <v>74</v>
      </c>
      <c r="V1149" s="3" t="s">
        <v>874</v>
      </c>
      <c r="W1149" t="s">
        <v>74</v>
      </c>
      <c r="X1149" t="s">
        <v>74</v>
      </c>
      <c r="Y1149" t="s">
        <v>74</v>
      </c>
      <c r="Z1149" t="s">
        <v>74</v>
      </c>
      <c r="AA1149" t="s">
        <v>875</v>
      </c>
      <c r="AB1149" t="s">
        <v>876</v>
      </c>
      <c r="AC1149" t="s">
        <v>74</v>
      </c>
      <c r="AD1149" t="s">
        <v>74</v>
      </c>
      <c r="AE1149" t="s">
        <v>74</v>
      </c>
      <c r="AF1149" t="s">
        <v>74</v>
      </c>
      <c r="AG1149" t="s">
        <v>74</v>
      </c>
      <c r="AH1149" t="s">
        <v>74</v>
      </c>
      <c r="AI1149" t="s">
        <v>74</v>
      </c>
      <c r="AJ1149" t="s">
        <v>74</v>
      </c>
      <c r="AK1149" t="s">
        <v>74</v>
      </c>
      <c r="AL1149" t="s">
        <v>74</v>
      </c>
      <c r="AM1149" t="s">
        <v>74</v>
      </c>
      <c r="AN1149" t="s">
        <v>74</v>
      </c>
      <c r="AO1149" t="s">
        <v>511</v>
      </c>
      <c r="AP1149" t="s">
        <v>512</v>
      </c>
      <c r="AQ1149" t="s">
        <v>74</v>
      </c>
      <c r="AR1149" t="s">
        <v>74</v>
      </c>
      <c r="AS1149" t="s">
        <v>74</v>
      </c>
      <c r="AT1149" t="s">
        <v>204</v>
      </c>
      <c r="AU1149">
        <v>2017</v>
      </c>
      <c r="AV1149">
        <v>93</v>
      </c>
      <c r="AW1149" t="s">
        <v>74</v>
      </c>
      <c r="AX1149" t="s">
        <v>74</v>
      </c>
      <c r="AY1149" t="s">
        <v>74</v>
      </c>
      <c r="AZ1149" t="s">
        <v>74</v>
      </c>
      <c r="BA1149" t="s">
        <v>74</v>
      </c>
      <c r="BB1149">
        <v>118</v>
      </c>
      <c r="BC1149">
        <v>127</v>
      </c>
      <c r="BD1149" t="s">
        <v>74</v>
      </c>
      <c r="BE1149" t="s">
        <v>877</v>
      </c>
      <c r="BF1149" t="str">
        <f>HYPERLINK("http://dx.doi.org/10.1016/j.yhbeh.2017.05.001","http://dx.doi.org/10.1016/j.yhbeh.2017.05.001")</f>
        <v>http://dx.doi.org/10.1016/j.yhbeh.2017.05.001</v>
      </c>
      <c r="BG1149" t="s">
        <v>74</v>
      </c>
      <c r="BH1149" t="s">
        <v>74</v>
      </c>
      <c r="BI1149" t="s">
        <v>74</v>
      </c>
      <c r="BJ1149" t="s">
        <v>74</v>
      </c>
      <c r="BK1149" t="s">
        <v>74</v>
      </c>
      <c r="BL1149" t="s">
        <v>74</v>
      </c>
      <c r="BM1149" t="s">
        <v>74</v>
      </c>
      <c r="BN1149">
        <v>28478216</v>
      </c>
      <c r="BO1149" t="s">
        <v>74</v>
      </c>
      <c r="BP1149" t="s">
        <v>74</v>
      </c>
      <c r="BQ1149" t="s">
        <v>74</v>
      </c>
      <c r="BR1149" t="s">
        <v>74</v>
      </c>
      <c r="BS1149" t="s">
        <v>878</v>
      </c>
      <c r="BT1149" t="str">
        <f>HYPERLINK("https%3A%2F%2Fwww.webofscience.com%2Fwos%2Fwoscc%2Ffull-record%2FWOS:000407528300014","View Full Record in Web of Science")</f>
        <v>View Full Record in Web of Science</v>
      </c>
    </row>
    <row r="1150" spans="1:72" x14ac:dyDescent="0.4">
      <c r="A1150" t="s">
        <v>72</v>
      </c>
      <c r="B1150" t="s">
        <v>258</v>
      </c>
      <c r="C1150" t="s">
        <v>74</v>
      </c>
      <c r="D1150" t="s">
        <v>74</v>
      </c>
      <c r="E1150" t="s">
        <v>74</v>
      </c>
      <c r="F1150" t="s">
        <v>259</v>
      </c>
      <c r="G1150" t="s">
        <v>74</v>
      </c>
      <c r="H1150" t="s">
        <v>74</v>
      </c>
      <c r="I1150" t="s">
        <v>260</v>
      </c>
      <c r="J1150" t="s">
        <v>140</v>
      </c>
      <c r="K1150" t="s">
        <v>74</v>
      </c>
      <c r="L1150" t="s">
        <v>74</v>
      </c>
      <c r="M1150" t="s">
        <v>74</v>
      </c>
      <c r="N1150" t="s">
        <v>74</v>
      </c>
      <c r="O1150" t="s">
        <v>74</v>
      </c>
      <c r="P1150" t="s">
        <v>74</v>
      </c>
      <c r="Q1150" t="s">
        <v>74</v>
      </c>
      <c r="R1150" t="s">
        <v>74</v>
      </c>
      <c r="S1150" t="s">
        <v>74</v>
      </c>
      <c r="T1150" t="s">
        <v>74</v>
      </c>
      <c r="U1150" t="s">
        <v>74</v>
      </c>
      <c r="V1150" s="3" t="s">
        <v>261</v>
      </c>
      <c r="W1150" t="s">
        <v>74</v>
      </c>
      <c r="X1150" t="s">
        <v>74</v>
      </c>
      <c r="Y1150" t="s">
        <v>74</v>
      </c>
      <c r="Z1150" t="s">
        <v>74</v>
      </c>
      <c r="AA1150" t="s">
        <v>74</v>
      </c>
      <c r="AB1150" t="s">
        <v>262</v>
      </c>
      <c r="AC1150" t="s">
        <v>74</v>
      </c>
      <c r="AD1150" t="s">
        <v>74</v>
      </c>
      <c r="AE1150" t="s">
        <v>74</v>
      </c>
      <c r="AF1150" t="s">
        <v>74</v>
      </c>
      <c r="AG1150" t="s">
        <v>74</v>
      </c>
      <c r="AH1150" t="s">
        <v>74</v>
      </c>
      <c r="AI1150" t="s">
        <v>74</v>
      </c>
      <c r="AJ1150" t="s">
        <v>74</v>
      </c>
      <c r="AK1150" t="s">
        <v>74</v>
      </c>
      <c r="AL1150" t="s">
        <v>74</v>
      </c>
      <c r="AM1150" t="s">
        <v>74</v>
      </c>
      <c r="AN1150" t="s">
        <v>74</v>
      </c>
      <c r="AO1150" t="s">
        <v>143</v>
      </c>
      <c r="AP1150" t="s">
        <v>144</v>
      </c>
      <c r="AQ1150" t="s">
        <v>74</v>
      </c>
      <c r="AR1150" t="s">
        <v>74</v>
      </c>
      <c r="AS1150" t="s">
        <v>74</v>
      </c>
      <c r="AT1150" t="s">
        <v>255</v>
      </c>
      <c r="AU1150">
        <v>2016</v>
      </c>
      <c r="AV1150">
        <v>111</v>
      </c>
      <c r="AW1150" t="s">
        <v>74</v>
      </c>
      <c r="AX1150" t="s">
        <v>74</v>
      </c>
      <c r="AY1150" t="s">
        <v>74</v>
      </c>
      <c r="AZ1150" t="s">
        <v>74</v>
      </c>
      <c r="BA1150" t="s">
        <v>74</v>
      </c>
      <c r="BB1150">
        <v>329</v>
      </c>
      <c r="BC1150">
        <v>339</v>
      </c>
      <c r="BD1150" t="s">
        <v>74</v>
      </c>
      <c r="BE1150" t="s">
        <v>263</v>
      </c>
      <c r="BF1150" t="str">
        <f>HYPERLINK("http://dx.doi.org/10.1016/j.anbehav.2015.10.029","http://dx.doi.org/10.1016/j.anbehav.2015.10.029")</f>
        <v>http://dx.doi.org/10.1016/j.anbehav.2015.10.029</v>
      </c>
      <c r="BG1150" t="s">
        <v>74</v>
      </c>
      <c r="BH1150" t="s">
        <v>74</v>
      </c>
      <c r="BI1150" t="s">
        <v>74</v>
      </c>
      <c r="BJ1150" t="s">
        <v>74</v>
      </c>
      <c r="BK1150" t="s">
        <v>74</v>
      </c>
      <c r="BL1150" t="s">
        <v>74</v>
      </c>
      <c r="BM1150" t="s">
        <v>74</v>
      </c>
      <c r="BN1150" t="s">
        <v>74</v>
      </c>
      <c r="BO1150" t="s">
        <v>74</v>
      </c>
      <c r="BP1150" t="s">
        <v>74</v>
      </c>
      <c r="BQ1150" t="s">
        <v>74</v>
      </c>
      <c r="BR1150" t="s">
        <v>74</v>
      </c>
      <c r="BS1150" t="s">
        <v>264</v>
      </c>
      <c r="BT1150" t="str">
        <f>HYPERLINK("https%3A%2F%2Fwww.webofscience.com%2Fwos%2Fwoscc%2Ffull-record%2FWOS:000367374000038","View Full Record in Web of Science")</f>
        <v>View Full Record in Web of Science</v>
      </c>
    </row>
    <row r="1151" spans="1:72" x14ac:dyDescent="0.4">
      <c r="A1151" t="s">
        <v>72</v>
      </c>
      <c r="B1151" t="s">
        <v>772</v>
      </c>
      <c r="C1151" t="s">
        <v>74</v>
      </c>
      <c r="D1151" t="s">
        <v>74</v>
      </c>
      <c r="E1151" t="s">
        <v>74</v>
      </c>
      <c r="F1151" t="s">
        <v>773</v>
      </c>
      <c r="G1151" t="s">
        <v>74</v>
      </c>
      <c r="H1151" t="s">
        <v>74</v>
      </c>
      <c r="I1151" t="s">
        <v>774</v>
      </c>
      <c r="J1151" t="s">
        <v>775</v>
      </c>
      <c r="K1151" t="s">
        <v>74</v>
      </c>
      <c r="L1151" t="s">
        <v>74</v>
      </c>
      <c r="M1151" t="s">
        <v>74</v>
      </c>
      <c r="N1151" t="s">
        <v>74</v>
      </c>
      <c r="O1151" t="s">
        <v>74</v>
      </c>
      <c r="P1151" t="s">
        <v>74</v>
      </c>
      <c r="Q1151" t="s">
        <v>74</v>
      </c>
      <c r="R1151" t="s">
        <v>74</v>
      </c>
      <c r="S1151" t="s">
        <v>74</v>
      </c>
      <c r="T1151" t="s">
        <v>74</v>
      </c>
      <c r="U1151" t="s">
        <v>74</v>
      </c>
      <c r="V1151" s="3" t="s">
        <v>776</v>
      </c>
      <c r="W1151" t="s">
        <v>74</v>
      </c>
      <c r="X1151" t="s">
        <v>74</v>
      </c>
      <c r="Y1151" t="s">
        <v>74</v>
      </c>
      <c r="Z1151" t="s">
        <v>74</v>
      </c>
      <c r="AA1151" t="s">
        <v>74</v>
      </c>
      <c r="AB1151" t="s">
        <v>777</v>
      </c>
      <c r="AC1151" t="s">
        <v>74</v>
      </c>
      <c r="AD1151" t="s">
        <v>74</v>
      </c>
      <c r="AE1151" t="s">
        <v>74</v>
      </c>
      <c r="AF1151" t="s">
        <v>74</v>
      </c>
      <c r="AG1151" t="s">
        <v>74</v>
      </c>
      <c r="AH1151" t="s">
        <v>74</v>
      </c>
      <c r="AI1151" t="s">
        <v>74</v>
      </c>
      <c r="AJ1151" t="s">
        <v>74</v>
      </c>
      <c r="AK1151" t="s">
        <v>74</v>
      </c>
      <c r="AL1151" t="s">
        <v>74</v>
      </c>
      <c r="AM1151" t="s">
        <v>74</v>
      </c>
      <c r="AN1151" t="s">
        <v>74</v>
      </c>
      <c r="AO1151" t="s">
        <v>778</v>
      </c>
      <c r="AP1151" t="s">
        <v>779</v>
      </c>
      <c r="AQ1151" t="s">
        <v>74</v>
      </c>
      <c r="AR1151" t="s">
        <v>74</v>
      </c>
      <c r="AS1151" t="s">
        <v>74</v>
      </c>
      <c r="AT1151" t="s">
        <v>102</v>
      </c>
      <c r="AU1151">
        <v>2018</v>
      </c>
      <c r="AV1151">
        <v>64</v>
      </c>
      <c r="AW1151">
        <v>3</v>
      </c>
      <c r="AX1151" t="s">
        <v>74</v>
      </c>
      <c r="AY1151" t="s">
        <v>74</v>
      </c>
      <c r="AZ1151" t="s">
        <v>74</v>
      </c>
      <c r="BA1151" t="s">
        <v>74</v>
      </c>
      <c r="BB1151">
        <v>345</v>
      </c>
      <c r="BC1151">
        <v>350</v>
      </c>
      <c r="BD1151" t="s">
        <v>74</v>
      </c>
      <c r="BE1151" t="s">
        <v>780</v>
      </c>
      <c r="BF1151" t="str">
        <f>HYPERLINK("http://dx.doi.org/10.1093/cz/zoy020","http://dx.doi.org/10.1093/cz/zoy020")</f>
        <v>http://dx.doi.org/10.1093/cz/zoy020</v>
      </c>
      <c r="BG1151" t="s">
        <v>74</v>
      </c>
      <c r="BH1151" t="s">
        <v>74</v>
      </c>
      <c r="BI1151" t="s">
        <v>74</v>
      </c>
      <c r="BJ1151" t="s">
        <v>74</v>
      </c>
      <c r="BK1151" t="s">
        <v>74</v>
      </c>
      <c r="BL1151" t="s">
        <v>74</v>
      </c>
      <c r="BM1151" t="s">
        <v>74</v>
      </c>
      <c r="BN1151">
        <v>30402077</v>
      </c>
      <c r="BO1151" t="s">
        <v>74</v>
      </c>
      <c r="BP1151" t="s">
        <v>74</v>
      </c>
      <c r="BQ1151" t="s">
        <v>74</v>
      </c>
      <c r="BR1151" t="s">
        <v>74</v>
      </c>
      <c r="BS1151" t="s">
        <v>781</v>
      </c>
      <c r="BT1151" t="str">
        <f>HYPERLINK("https%3A%2F%2Fwww.webofscience.com%2Fwos%2Fwoscc%2Ffull-record%2FWOS:000436421000011","View Full Record in Web of Science")</f>
        <v>View Full Record in Web of Science</v>
      </c>
    </row>
    <row r="1152" spans="1:72" x14ac:dyDescent="0.4">
      <c r="A1152" t="s">
        <v>72</v>
      </c>
      <c r="B1152" t="s">
        <v>1785</v>
      </c>
      <c r="C1152" t="s">
        <v>74</v>
      </c>
      <c r="D1152" t="s">
        <v>74</v>
      </c>
      <c r="E1152" t="s">
        <v>74</v>
      </c>
      <c r="F1152" t="s">
        <v>1786</v>
      </c>
      <c r="G1152" t="s">
        <v>74</v>
      </c>
      <c r="H1152" t="s">
        <v>74</v>
      </c>
      <c r="I1152" t="s">
        <v>1787</v>
      </c>
      <c r="J1152" t="s">
        <v>333</v>
      </c>
      <c r="K1152" t="s">
        <v>74</v>
      </c>
      <c r="L1152" t="s">
        <v>74</v>
      </c>
      <c r="M1152" t="s">
        <v>74</v>
      </c>
      <c r="N1152" t="s">
        <v>74</v>
      </c>
      <c r="O1152" t="s">
        <v>74</v>
      </c>
      <c r="P1152" t="s">
        <v>74</v>
      </c>
      <c r="Q1152" t="s">
        <v>74</v>
      </c>
      <c r="R1152" t="s">
        <v>74</v>
      </c>
      <c r="S1152" t="s">
        <v>74</v>
      </c>
      <c r="T1152" t="s">
        <v>74</v>
      </c>
      <c r="U1152" t="s">
        <v>74</v>
      </c>
      <c r="V1152" s="3" t="s">
        <v>1788</v>
      </c>
      <c r="W1152" t="s">
        <v>74</v>
      </c>
      <c r="X1152" t="s">
        <v>74</v>
      </c>
      <c r="Y1152" t="s">
        <v>74</v>
      </c>
      <c r="Z1152" t="s">
        <v>74</v>
      </c>
      <c r="AA1152" t="s">
        <v>1789</v>
      </c>
      <c r="AB1152" t="s">
        <v>1790</v>
      </c>
      <c r="AC1152" t="s">
        <v>74</v>
      </c>
      <c r="AD1152" t="s">
        <v>74</v>
      </c>
      <c r="AE1152" t="s">
        <v>74</v>
      </c>
      <c r="AF1152" t="s">
        <v>74</v>
      </c>
      <c r="AG1152" t="s">
        <v>74</v>
      </c>
      <c r="AH1152" t="s">
        <v>74</v>
      </c>
      <c r="AI1152" t="s">
        <v>74</v>
      </c>
      <c r="AJ1152" t="s">
        <v>74</v>
      </c>
      <c r="AK1152" t="s">
        <v>74</v>
      </c>
      <c r="AL1152" t="s">
        <v>74</v>
      </c>
      <c r="AM1152" t="s">
        <v>74</v>
      </c>
      <c r="AN1152" t="s">
        <v>74</v>
      </c>
      <c r="AO1152" t="s">
        <v>337</v>
      </c>
      <c r="AP1152" t="s">
        <v>338</v>
      </c>
      <c r="AQ1152" t="s">
        <v>74</v>
      </c>
      <c r="AR1152" t="s">
        <v>74</v>
      </c>
      <c r="AS1152" t="s">
        <v>74</v>
      </c>
      <c r="AT1152" t="s">
        <v>339</v>
      </c>
      <c r="AU1152">
        <v>2015</v>
      </c>
      <c r="AV1152">
        <v>26</v>
      </c>
      <c r="AW1152">
        <v>4</v>
      </c>
      <c r="AX1152" t="s">
        <v>74</v>
      </c>
      <c r="AY1152" t="s">
        <v>74</v>
      </c>
      <c r="AZ1152" t="s">
        <v>74</v>
      </c>
      <c r="BA1152" t="s">
        <v>74</v>
      </c>
      <c r="BB1152">
        <v>1030</v>
      </c>
      <c r="BC1152">
        <v>1038</v>
      </c>
      <c r="BD1152" t="s">
        <v>74</v>
      </c>
      <c r="BE1152" t="s">
        <v>1791</v>
      </c>
      <c r="BF1152" t="str">
        <f>HYPERLINK("http://dx.doi.org/10.1093/beheco/arv037","http://dx.doi.org/10.1093/beheco/arv037")</f>
        <v>http://dx.doi.org/10.1093/beheco/arv037</v>
      </c>
      <c r="BG1152" t="s">
        <v>74</v>
      </c>
      <c r="BH1152" t="s">
        <v>74</v>
      </c>
      <c r="BI1152" t="s">
        <v>74</v>
      </c>
      <c r="BJ1152" t="s">
        <v>74</v>
      </c>
      <c r="BK1152" t="s">
        <v>74</v>
      </c>
      <c r="BL1152" t="s">
        <v>74</v>
      </c>
      <c r="BM1152" t="s">
        <v>74</v>
      </c>
      <c r="BN1152" t="s">
        <v>74</v>
      </c>
      <c r="BO1152" t="s">
        <v>74</v>
      </c>
      <c r="BP1152" t="s">
        <v>74</v>
      </c>
      <c r="BQ1152" t="s">
        <v>74</v>
      </c>
      <c r="BR1152" t="s">
        <v>74</v>
      </c>
      <c r="BS1152" t="s">
        <v>1792</v>
      </c>
      <c r="BT1152" t="str">
        <f>HYPERLINK("https%3A%2F%2Fwww.webofscience.com%2Fwos%2Fwoscc%2Ffull-record%2FWOS:000358171600013","View Full Record in Web of Science")</f>
        <v>View Full Record in Web of Science</v>
      </c>
    </row>
    <row r="1153" spans="1:72" x14ac:dyDescent="0.4">
      <c r="A1153" t="s">
        <v>72</v>
      </c>
      <c r="B1153" t="s">
        <v>6609</v>
      </c>
      <c r="C1153" t="s">
        <v>74</v>
      </c>
      <c r="D1153" t="s">
        <v>74</v>
      </c>
      <c r="E1153" t="s">
        <v>74</v>
      </c>
      <c r="F1153" t="s">
        <v>6610</v>
      </c>
      <c r="G1153" t="s">
        <v>74</v>
      </c>
      <c r="H1153" t="s">
        <v>74</v>
      </c>
      <c r="I1153" t="s">
        <v>6611</v>
      </c>
      <c r="J1153" t="s">
        <v>1743</v>
      </c>
      <c r="K1153" t="s">
        <v>74</v>
      </c>
      <c r="L1153" t="s">
        <v>74</v>
      </c>
      <c r="M1153" t="s">
        <v>74</v>
      </c>
      <c r="N1153" t="s">
        <v>74</v>
      </c>
      <c r="O1153" t="s">
        <v>74</v>
      </c>
      <c r="P1153" t="s">
        <v>74</v>
      </c>
      <c r="Q1153" t="s">
        <v>74</v>
      </c>
      <c r="R1153" t="s">
        <v>74</v>
      </c>
      <c r="S1153" t="s">
        <v>74</v>
      </c>
      <c r="T1153" t="s">
        <v>74</v>
      </c>
      <c r="U1153" t="s">
        <v>74</v>
      </c>
      <c r="V1153" s="3" t="s">
        <v>6612</v>
      </c>
      <c r="W1153" t="s">
        <v>74</v>
      </c>
      <c r="X1153" t="s">
        <v>74</v>
      </c>
      <c r="Y1153" t="s">
        <v>74</v>
      </c>
      <c r="Z1153" t="s">
        <v>74</v>
      </c>
      <c r="AA1153" t="s">
        <v>74</v>
      </c>
      <c r="AB1153" t="s">
        <v>6613</v>
      </c>
      <c r="AC1153" t="s">
        <v>74</v>
      </c>
      <c r="AD1153" t="s">
        <v>74</v>
      </c>
      <c r="AE1153" t="s">
        <v>74</v>
      </c>
      <c r="AF1153" t="s">
        <v>74</v>
      </c>
      <c r="AG1153" t="s">
        <v>74</v>
      </c>
      <c r="AH1153" t="s">
        <v>74</v>
      </c>
      <c r="AI1153" t="s">
        <v>74</v>
      </c>
      <c r="AJ1153" t="s">
        <v>74</v>
      </c>
      <c r="AK1153" t="s">
        <v>74</v>
      </c>
      <c r="AL1153" t="s">
        <v>74</v>
      </c>
      <c r="AM1153" t="s">
        <v>74</v>
      </c>
      <c r="AN1153" t="s">
        <v>74</v>
      </c>
      <c r="AO1153" t="s">
        <v>1746</v>
      </c>
      <c r="AP1153" t="s">
        <v>74</v>
      </c>
      <c r="AQ1153" t="s">
        <v>74</v>
      </c>
      <c r="AR1153" t="s">
        <v>74</v>
      </c>
      <c r="AS1153" t="s">
        <v>74</v>
      </c>
      <c r="AT1153" t="s">
        <v>145</v>
      </c>
      <c r="AU1153">
        <v>2019</v>
      </c>
      <c r="AV1153">
        <v>36</v>
      </c>
      <c r="AW1153">
        <v>4</v>
      </c>
      <c r="AX1153" t="s">
        <v>74</v>
      </c>
      <c r="AY1153" t="s">
        <v>74</v>
      </c>
      <c r="AZ1153" t="s">
        <v>74</v>
      </c>
      <c r="BA1153" t="s">
        <v>74</v>
      </c>
      <c r="BB1153">
        <v>284</v>
      </c>
      <c r="BC1153">
        <v>293</v>
      </c>
      <c r="BD1153" t="s">
        <v>74</v>
      </c>
      <c r="BE1153" t="s">
        <v>6614</v>
      </c>
      <c r="BF1153" t="str">
        <f>HYPERLINK("http://dx.doi.org/10.2108/zs180167","http://dx.doi.org/10.2108/zs180167")</f>
        <v>http://dx.doi.org/10.2108/zs180167</v>
      </c>
      <c r="BG1153" t="s">
        <v>74</v>
      </c>
      <c r="BH1153" t="s">
        <v>74</v>
      </c>
      <c r="BI1153" t="s">
        <v>74</v>
      </c>
      <c r="BJ1153" t="s">
        <v>74</v>
      </c>
      <c r="BK1153" t="s">
        <v>74</v>
      </c>
      <c r="BL1153" t="s">
        <v>74</v>
      </c>
      <c r="BM1153" t="s">
        <v>74</v>
      </c>
      <c r="BN1153">
        <v>34664898</v>
      </c>
      <c r="BO1153" t="s">
        <v>74</v>
      </c>
      <c r="BP1153" t="s">
        <v>74</v>
      </c>
      <c r="BQ1153" t="s">
        <v>74</v>
      </c>
      <c r="BR1153" t="s">
        <v>74</v>
      </c>
      <c r="BS1153" t="s">
        <v>6615</v>
      </c>
      <c r="BT1153" t="str">
        <f>HYPERLINK("https%3A%2F%2Fwww.webofscience.com%2Fwos%2Fwoscc%2Ffull-record%2FWOS:000477900300003","View Full Record in Web of Science")</f>
        <v>View Full Record in Web of Science</v>
      </c>
    </row>
    <row r="1154" spans="1:72" x14ac:dyDescent="0.4">
      <c r="A1154" t="s">
        <v>72</v>
      </c>
      <c r="B1154" t="s">
        <v>832</v>
      </c>
      <c r="C1154" t="s">
        <v>74</v>
      </c>
      <c r="D1154" t="s">
        <v>74</v>
      </c>
      <c r="E1154" t="s">
        <v>74</v>
      </c>
      <c r="F1154" t="s">
        <v>833</v>
      </c>
      <c r="G1154" t="s">
        <v>74</v>
      </c>
      <c r="H1154" t="s">
        <v>74</v>
      </c>
      <c r="I1154" t="s">
        <v>834</v>
      </c>
      <c r="J1154" t="s">
        <v>119</v>
      </c>
      <c r="K1154" t="s">
        <v>74</v>
      </c>
      <c r="L1154" t="s">
        <v>74</v>
      </c>
      <c r="M1154" t="s">
        <v>74</v>
      </c>
      <c r="N1154" t="s">
        <v>74</v>
      </c>
      <c r="O1154" t="s">
        <v>74</v>
      </c>
      <c r="P1154" t="s">
        <v>74</v>
      </c>
      <c r="Q1154" t="s">
        <v>74</v>
      </c>
      <c r="R1154" t="s">
        <v>74</v>
      </c>
      <c r="S1154" t="s">
        <v>74</v>
      </c>
      <c r="T1154" t="s">
        <v>74</v>
      </c>
      <c r="U1154" t="s">
        <v>74</v>
      </c>
      <c r="V1154" s="3" t="s">
        <v>835</v>
      </c>
      <c r="W1154" t="s">
        <v>74</v>
      </c>
      <c r="X1154" t="s">
        <v>74</v>
      </c>
      <c r="Y1154" t="s">
        <v>74</v>
      </c>
      <c r="Z1154" t="s">
        <v>74</v>
      </c>
      <c r="AA1154" t="s">
        <v>836</v>
      </c>
      <c r="AB1154" t="s">
        <v>74</v>
      </c>
      <c r="AC1154" t="s">
        <v>74</v>
      </c>
      <c r="AD1154" t="s">
        <v>74</v>
      </c>
      <c r="AE1154" t="s">
        <v>74</v>
      </c>
      <c r="AF1154" t="s">
        <v>74</v>
      </c>
      <c r="AG1154" t="s">
        <v>74</v>
      </c>
      <c r="AH1154" t="s">
        <v>74</v>
      </c>
      <c r="AI1154" t="s">
        <v>74</v>
      </c>
      <c r="AJ1154" t="s">
        <v>74</v>
      </c>
      <c r="AK1154" t="s">
        <v>74</v>
      </c>
      <c r="AL1154" t="s">
        <v>74</v>
      </c>
      <c r="AM1154" t="s">
        <v>74</v>
      </c>
      <c r="AN1154" t="s">
        <v>74</v>
      </c>
      <c r="AO1154" t="s">
        <v>121</v>
      </c>
      <c r="AP1154" t="s">
        <v>122</v>
      </c>
      <c r="AQ1154" t="s">
        <v>74</v>
      </c>
      <c r="AR1154" t="s">
        <v>74</v>
      </c>
      <c r="AS1154" t="s">
        <v>74</v>
      </c>
      <c r="AT1154" t="s">
        <v>134</v>
      </c>
      <c r="AU1154">
        <v>2017</v>
      </c>
      <c r="AV1154">
        <v>138</v>
      </c>
      <c r="AW1154" t="s">
        <v>74</v>
      </c>
      <c r="AX1154" t="s">
        <v>74</v>
      </c>
      <c r="AY1154" t="s">
        <v>74</v>
      </c>
      <c r="AZ1154" t="s">
        <v>74</v>
      </c>
      <c r="BA1154" t="s">
        <v>74</v>
      </c>
      <c r="BB1154">
        <v>41</v>
      </c>
      <c r="BC1154">
        <v>48</v>
      </c>
      <c r="BD1154" t="s">
        <v>74</v>
      </c>
      <c r="BE1154" t="s">
        <v>837</v>
      </c>
      <c r="BF1154" t="str">
        <f>HYPERLINK("http://dx.doi.org/10.1016/j.beproc.2017.01.017","http://dx.doi.org/10.1016/j.beproc.2017.01.017")</f>
        <v>http://dx.doi.org/10.1016/j.beproc.2017.01.017</v>
      </c>
      <c r="BG1154" t="s">
        <v>74</v>
      </c>
      <c r="BH1154" t="s">
        <v>74</v>
      </c>
      <c r="BI1154" t="s">
        <v>74</v>
      </c>
      <c r="BJ1154" t="s">
        <v>74</v>
      </c>
      <c r="BK1154" t="s">
        <v>74</v>
      </c>
      <c r="BL1154" t="s">
        <v>74</v>
      </c>
      <c r="BM1154" t="s">
        <v>74</v>
      </c>
      <c r="BN1154">
        <v>28159653</v>
      </c>
      <c r="BO1154" t="s">
        <v>74</v>
      </c>
      <c r="BP1154" t="s">
        <v>74</v>
      </c>
      <c r="BQ1154" t="s">
        <v>74</v>
      </c>
      <c r="BR1154" t="s">
        <v>74</v>
      </c>
      <c r="BS1154" t="s">
        <v>838</v>
      </c>
      <c r="BT1154" t="str">
        <f>HYPERLINK("https%3A%2F%2Fwww.webofscience.com%2Fwos%2Fwoscc%2Ffull-record%2FWOS:000400878800007","View Full Record in Web of Science")</f>
        <v>View Full Record in Web of Science</v>
      </c>
    </row>
    <row r="1155" spans="1:72" x14ac:dyDescent="0.4">
      <c r="A1155" t="s">
        <v>72</v>
      </c>
      <c r="B1155" t="s">
        <v>5404</v>
      </c>
      <c r="C1155" t="s">
        <v>74</v>
      </c>
      <c r="D1155" t="s">
        <v>74</v>
      </c>
      <c r="E1155" t="s">
        <v>74</v>
      </c>
      <c r="F1155" t="s">
        <v>5405</v>
      </c>
      <c r="G1155" t="s">
        <v>74</v>
      </c>
      <c r="H1155" t="s">
        <v>74</v>
      </c>
      <c r="I1155" t="s">
        <v>5406</v>
      </c>
      <c r="J1155" t="s">
        <v>2207</v>
      </c>
      <c r="K1155" t="s">
        <v>74</v>
      </c>
      <c r="L1155" t="s">
        <v>74</v>
      </c>
      <c r="M1155" t="s">
        <v>74</v>
      </c>
      <c r="N1155" t="s">
        <v>74</v>
      </c>
      <c r="O1155" t="s">
        <v>74</v>
      </c>
      <c r="P1155" t="s">
        <v>74</v>
      </c>
      <c r="Q1155" t="s">
        <v>74</v>
      </c>
      <c r="R1155" t="s">
        <v>74</v>
      </c>
      <c r="S1155" t="s">
        <v>74</v>
      </c>
      <c r="T1155" t="s">
        <v>74</v>
      </c>
      <c r="U1155" t="s">
        <v>74</v>
      </c>
      <c r="V1155" s="3" t="s">
        <v>5407</v>
      </c>
      <c r="W1155" t="s">
        <v>74</v>
      </c>
      <c r="X1155" t="s">
        <v>74</v>
      </c>
      <c r="Y1155" t="s">
        <v>74</v>
      </c>
      <c r="Z1155" t="s">
        <v>74</v>
      </c>
      <c r="AA1155" t="s">
        <v>836</v>
      </c>
      <c r="AB1155" t="s">
        <v>5408</v>
      </c>
      <c r="AC1155" t="s">
        <v>74</v>
      </c>
      <c r="AD1155" t="s">
        <v>74</v>
      </c>
      <c r="AE1155" t="s">
        <v>74</v>
      </c>
      <c r="AF1155" t="s">
        <v>74</v>
      </c>
      <c r="AG1155" t="s">
        <v>74</v>
      </c>
      <c r="AH1155" t="s">
        <v>74</v>
      </c>
      <c r="AI1155" t="s">
        <v>74</v>
      </c>
      <c r="AJ1155" t="s">
        <v>74</v>
      </c>
      <c r="AK1155" t="s">
        <v>74</v>
      </c>
      <c r="AL1155" t="s">
        <v>74</v>
      </c>
      <c r="AM1155" t="s">
        <v>74</v>
      </c>
      <c r="AN1155" t="s">
        <v>74</v>
      </c>
      <c r="AO1155" t="s">
        <v>2211</v>
      </c>
      <c r="AP1155" t="s">
        <v>2461</v>
      </c>
      <c r="AQ1155" t="s">
        <v>74</v>
      </c>
      <c r="AR1155" t="s">
        <v>74</v>
      </c>
      <c r="AS1155" t="s">
        <v>74</v>
      </c>
      <c r="AT1155" t="s">
        <v>123</v>
      </c>
      <c r="AU1155">
        <v>2016</v>
      </c>
      <c r="AV1155">
        <v>47</v>
      </c>
      <c r="AW1155">
        <v>2</v>
      </c>
      <c r="AX1155" t="s">
        <v>74</v>
      </c>
      <c r="AY1155" t="s">
        <v>74</v>
      </c>
      <c r="AZ1155" t="s">
        <v>74</v>
      </c>
      <c r="BA1155" t="s">
        <v>74</v>
      </c>
      <c r="BB1155">
        <v>167</v>
      </c>
      <c r="BC1155">
        <v>175</v>
      </c>
      <c r="BD1155" t="s">
        <v>74</v>
      </c>
      <c r="BE1155" t="s">
        <v>5409</v>
      </c>
      <c r="BF1155" t="str">
        <f>HYPERLINK("http://dx.doi.org/10.1111/jav.00742","http://dx.doi.org/10.1111/jav.00742")</f>
        <v>http://dx.doi.org/10.1111/jav.00742</v>
      </c>
      <c r="BG1155" t="s">
        <v>74</v>
      </c>
      <c r="BH1155" t="s">
        <v>74</v>
      </c>
      <c r="BI1155" t="s">
        <v>74</v>
      </c>
      <c r="BJ1155" t="s">
        <v>74</v>
      </c>
      <c r="BK1155" t="s">
        <v>74</v>
      </c>
      <c r="BL1155" t="s">
        <v>74</v>
      </c>
      <c r="BM1155" t="s">
        <v>74</v>
      </c>
      <c r="BN1155" t="s">
        <v>74</v>
      </c>
      <c r="BO1155" t="s">
        <v>74</v>
      </c>
      <c r="BP1155" t="s">
        <v>74</v>
      </c>
      <c r="BQ1155" t="s">
        <v>74</v>
      </c>
      <c r="BR1155" t="s">
        <v>74</v>
      </c>
      <c r="BS1155" t="s">
        <v>5410</v>
      </c>
      <c r="BT1155" t="str">
        <f>HYPERLINK("https%3A%2F%2Fwww.webofscience.com%2Fwos%2Fwoscc%2Ffull-record%2FWOS:000373014800005","View Full Record in Web of Science")</f>
        <v>View Full Record in Web of Science</v>
      </c>
    </row>
    <row r="1156" spans="1:72" x14ac:dyDescent="0.4">
      <c r="A1156" t="s">
        <v>72</v>
      </c>
      <c r="B1156" t="s">
        <v>6294</v>
      </c>
      <c r="C1156" t="s">
        <v>74</v>
      </c>
      <c r="D1156" t="s">
        <v>74</v>
      </c>
      <c r="E1156" t="s">
        <v>74</v>
      </c>
      <c r="F1156" t="s">
        <v>6295</v>
      </c>
      <c r="G1156" t="s">
        <v>74</v>
      </c>
      <c r="H1156" t="s">
        <v>74</v>
      </c>
      <c r="I1156" t="s">
        <v>6296</v>
      </c>
      <c r="J1156" t="s">
        <v>6297</v>
      </c>
      <c r="K1156" t="s">
        <v>74</v>
      </c>
      <c r="L1156" t="s">
        <v>74</v>
      </c>
      <c r="M1156" t="s">
        <v>74</v>
      </c>
      <c r="N1156" t="s">
        <v>74</v>
      </c>
      <c r="O1156" t="s">
        <v>74</v>
      </c>
      <c r="P1156" t="s">
        <v>74</v>
      </c>
      <c r="Q1156" t="s">
        <v>74</v>
      </c>
      <c r="R1156" t="s">
        <v>74</v>
      </c>
      <c r="S1156" t="s">
        <v>74</v>
      </c>
      <c r="T1156" t="s">
        <v>74</v>
      </c>
      <c r="U1156" t="s">
        <v>74</v>
      </c>
      <c r="V1156" s="3" t="s">
        <v>6298</v>
      </c>
      <c r="W1156" t="s">
        <v>74</v>
      </c>
      <c r="X1156" t="s">
        <v>74</v>
      </c>
      <c r="Y1156" t="s">
        <v>74</v>
      </c>
      <c r="Z1156" t="s">
        <v>74</v>
      </c>
      <c r="AA1156" t="s">
        <v>6299</v>
      </c>
      <c r="AB1156" t="s">
        <v>74</v>
      </c>
      <c r="AC1156" t="s">
        <v>74</v>
      </c>
      <c r="AD1156" t="s">
        <v>74</v>
      </c>
      <c r="AE1156" t="s">
        <v>74</v>
      </c>
      <c r="AF1156" t="s">
        <v>74</v>
      </c>
      <c r="AG1156" t="s">
        <v>74</v>
      </c>
      <c r="AH1156" t="s">
        <v>74</v>
      </c>
      <c r="AI1156" t="s">
        <v>74</v>
      </c>
      <c r="AJ1156" t="s">
        <v>74</v>
      </c>
      <c r="AK1156" t="s">
        <v>74</v>
      </c>
      <c r="AL1156" t="s">
        <v>74</v>
      </c>
      <c r="AM1156" t="s">
        <v>74</v>
      </c>
      <c r="AN1156" t="s">
        <v>74</v>
      </c>
      <c r="AO1156" t="s">
        <v>6300</v>
      </c>
      <c r="AP1156" t="s">
        <v>6301</v>
      </c>
      <c r="AQ1156" t="s">
        <v>74</v>
      </c>
      <c r="AR1156" t="s">
        <v>74</v>
      </c>
      <c r="AS1156" t="s">
        <v>74</v>
      </c>
      <c r="AT1156" t="s">
        <v>305</v>
      </c>
      <c r="AU1156">
        <v>2015</v>
      </c>
      <c r="AV1156">
        <v>69</v>
      </c>
      <c r="AW1156" t="s">
        <v>74</v>
      </c>
      <c r="AX1156" t="s">
        <v>74</v>
      </c>
      <c r="AY1156" t="s">
        <v>74</v>
      </c>
      <c r="AZ1156" t="s">
        <v>74</v>
      </c>
      <c r="BA1156" t="s">
        <v>74</v>
      </c>
      <c r="BB1156">
        <v>191</v>
      </c>
      <c r="BC1156">
        <v>195</v>
      </c>
      <c r="BD1156" t="s">
        <v>74</v>
      </c>
      <c r="BE1156" t="s">
        <v>6302</v>
      </c>
      <c r="BF1156" t="str">
        <f>HYPERLINK("http://dx.doi.org/10.1649/0010-065X-69.mo4.191","http://dx.doi.org/10.1649/0010-065X-69.mo4.191")</f>
        <v>http://dx.doi.org/10.1649/0010-065X-69.mo4.191</v>
      </c>
      <c r="BG1156" t="s">
        <v>74</v>
      </c>
      <c r="BH1156" t="s">
        <v>74</v>
      </c>
      <c r="BI1156" t="s">
        <v>74</v>
      </c>
      <c r="BJ1156" t="s">
        <v>74</v>
      </c>
      <c r="BK1156" t="s">
        <v>74</v>
      </c>
      <c r="BL1156" t="s">
        <v>74</v>
      </c>
      <c r="BM1156" t="s">
        <v>74</v>
      </c>
      <c r="BN1156" t="s">
        <v>74</v>
      </c>
      <c r="BO1156" t="s">
        <v>74</v>
      </c>
      <c r="BP1156" t="s">
        <v>74</v>
      </c>
      <c r="BQ1156" t="s">
        <v>74</v>
      </c>
      <c r="BR1156" t="s">
        <v>74</v>
      </c>
      <c r="BS1156" t="s">
        <v>6303</v>
      </c>
      <c r="BT1156" t="str">
        <f>HYPERLINK("https%3A%2F%2Fwww.webofscience.com%2Fwos%2Fwoscc%2Ffull-record%2FWOS:000370895200020","View Full Record in Web of Science")</f>
        <v>View Full Record in Web of Science</v>
      </c>
    </row>
    <row r="1157" spans="1:72" x14ac:dyDescent="0.4">
      <c r="A1157" t="s">
        <v>72</v>
      </c>
      <c r="B1157" t="s">
        <v>7196</v>
      </c>
      <c r="C1157" t="s">
        <v>74</v>
      </c>
      <c r="D1157" t="s">
        <v>74</v>
      </c>
      <c r="E1157" t="s">
        <v>74</v>
      </c>
      <c r="F1157" t="s">
        <v>7197</v>
      </c>
      <c r="G1157" t="s">
        <v>74</v>
      </c>
      <c r="H1157" t="s">
        <v>74</v>
      </c>
      <c r="I1157" t="s">
        <v>7198</v>
      </c>
      <c r="J1157" t="s">
        <v>7199</v>
      </c>
      <c r="K1157" t="s">
        <v>74</v>
      </c>
      <c r="L1157" t="s">
        <v>74</v>
      </c>
      <c r="M1157" t="s">
        <v>74</v>
      </c>
      <c r="N1157" t="s">
        <v>74</v>
      </c>
      <c r="O1157" t="s">
        <v>74</v>
      </c>
      <c r="P1157" t="s">
        <v>74</v>
      </c>
      <c r="Q1157" t="s">
        <v>74</v>
      </c>
      <c r="R1157" t="s">
        <v>74</v>
      </c>
      <c r="S1157" t="s">
        <v>74</v>
      </c>
      <c r="T1157" t="s">
        <v>74</v>
      </c>
      <c r="U1157" t="s">
        <v>74</v>
      </c>
      <c r="V1157" s="3" t="s">
        <v>7200</v>
      </c>
      <c r="W1157" t="s">
        <v>74</v>
      </c>
      <c r="X1157" t="s">
        <v>74</v>
      </c>
      <c r="Y1157" t="s">
        <v>74</v>
      </c>
      <c r="Z1157" t="s">
        <v>74</v>
      </c>
      <c r="AA1157" t="s">
        <v>74</v>
      </c>
      <c r="AB1157" t="s">
        <v>7201</v>
      </c>
      <c r="AC1157" t="s">
        <v>74</v>
      </c>
      <c r="AD1157" t="s">
        <v>74</v>
      </c>
      <c r="AE1157" t="s">
        <v>74</v>
      </c>
      <c r="AF1157" t="s">
        <v>74</v>
      </c>
      <c r="AG1157" t="s">
        <v>74</v>
      </c>
      <c r="AH1157" t="s">
        <v>74</v>
      </c>
      <c r="AI1157" t="s">
        <v>74</v>
      </c>
      <c r="AJ1157" t="s">
        <v>74</v>
      </c>
      <c r="AK1157" t="s">
        <v>74</v>
      </c>
      <c r="AL1157" t="s">
        <v>74</v>
      </c>
      <c r="AM1157" t="s">
        <v>74</v>
      </c>
      <c r="AN1157" t="s">
        <v>74</v>
      </c>
      <c r="AO1157" t="s">
        <v>7202</v>
      </c>
      <c r="AP1157" t="s">
        <v>74</v>
      </c>
      <c r="AQ1157" t="s">
        <v>74</v>
      </c>
      <c r="AR1157" t="s">
        <v>74</v>
      </c>
      <c r="AS1157" t="s">
        <v>74</v>
      </c>
      <c r="AT1157" t="s">
        <v>7203</v>
      </c>
      <c r="AU1157">
        <v>2019</v>
      </c>
      <c r="AV1157">
        <v>13</v>
      </c>
      <c r="AW1157" t="s">
        <v>74</v>
      </c>
      <c r="AX1157" t="s">
        <v>74</v>
      </c>
      <c r="AY1157" t="s">
        <v>74</v>
      </c>
      <c r="AZ1157" t="s">
        <v>74</v>
      </c>
      <c r="BA1157" t="s">
        <v>74</v>
      </c>
      <c r="BB1157" t="s">
        <v>74</v>
      </c>
      <c r="BC1157" t="s">
        <v>74</v>
      </c>
      <c r="BD1157">
        <v>36</v>
      </c>
      <c r="BE1157" t="s">
        <v>7204</v>
      </c>
      <c r="BF1157" t="str">
        <f>HYPERLINK("http://dx.doi.org/10.3389/fnint.2019.00036","http://dx.doi.org/10.3389/fnint.2019.00036")</f>
        <v>http://dx.doi.org/10.3389/fnint.2019.00036</v>
      </c>
      <c r="BG1157" t="s">
        <v>74</v>
      </c>
      <c r="BH1157" t="s">
        <v>74</v>
      </c>
      <c r="BI1157" t="s">
        <v>74</v>
      </c>
      <c r="BJ1157" t="s">
        <v>74</v>
      </c>
      <c r="BK1157" t="s">
        <v>74</v>
      </c>
      <c r="BL1157" t="s">
        <v>74</v>
      </c>
      <c r="BM1157" t="s">
        <v>74</v>
      </c>
      <c r="BN1157">
        <v>31417374</v>
      </c>
      <c r="BO1157" t="s">
        <v>74</v>
      </c>
      <c r="BP1157" t="s">
        <v>74</v>
      </c>
      <c r="BQ1157" t="s">
        <v>74</v>
      </c>
      <c r="BR1157" t="s">
        <v>74</v>
      </c>
      <c r="BS1157" t="s">
        <v>7205</v>
      </c>
      <c r="BT1157" t="str">
        <f>HYPERLINK("https%3A%2F%2Fwww.webofscience.com%2Fwos%2Fwoscc%2Ffull-record%2FWOS:000478020400001","View Full Record in Web of Science")</f>
        <v>View Full Record in Web of Science</v>
      </c>
    </row>
    <row r="1158" spans="1:72" x14ac:dyDescent="0.4">
      <c r="A1158" t="s">
        <v>72</v>
      </c>
      <c r="B1158" t="s">
        <v>8352</v>
      </c>
      <c r="C1158" t="s">
        <v>74</v>
      </c>
      <c r="D1158" t="s">
        <v>74</v>
      </c>
      <c r="E1158" t="s">
        <v>74</v>
      </c>
      <c r="F1158" t="s">
        <v>8353</v>
      </c>
      <c r="G1158" t="s">
        <v>74</v>
      </c>
      <c r="H1158" t="s">
        <v>74</v>
      </c>
      <c r="I1158" t="s">
        <v>8354</v>
      </c>
      <c r="J1158" t="s">
        <v>4836</v>
      </c>
      <c r="K1158" t="s">
        <v>74</v>
      </c>
      <c r="L1158" t="s">
        <v>74</v>
      </c>
      <c r="M1158" t="s">
        <v>74</v>
      </c>
      <c r="N1158" t="s">
        <v>74</v>
      </c>
      <c r="O1158" t="s">
        <v>74</v>
      </c>
      <c r="P1158" t="s">
        <v>74</v>
      </c>
      <c r="Q1158" t="s">
        <v>74</v>
      </c>
      <c r="R1158" t="s">
        <v>74</v>
      </c>
      <c r="S1158" t="s">
        <v>74</v>
      </c>
      <c r="T1158" t="s">
        <v>74</v>
      </c>
      <c r="U1158" t="s">
        <v>74</v>
      </c>
      <c r="V1158" s="3" t="s">
        <v>8355</v>
      </c>
      <c r="W1158" t="s">
        <v>74</v>
      </c>
      <c r="X1158" t="s">
        <v>74</v>
      </c>
      <c r="Y1158" t="s">
        <v>74</v>
      </c>
      <c r="Z1158" t="s">
        <v>74</v>
      </c>
      <c r="AA1158" t="s">
        <v>74</v>
      </c>
      <c r="AB1158" t="s">
        <v>74</v>
      </c>
      <c r="AC1158" t="s">
        <v>74</v>
      </c>
      <c r="AD1158" t="s">
        <v>74</v>
      </c>
      <c r="AE1158" t="s">
        <v>74</v>
      </c>
      <c r="AF1158" t="s">
        <v>74</v>
      </c>
      <c r="AG1158" t="s">
        <v>74</v>
      </c>
      <c r="AH1158" t="s">
        <v>74</v>
      </c>
      <c r="AI1158" t="s">
        <v>74</v>
      </c>
      <c r="AJ1158" t="s">
        <v>74</v>
      </c>
      <c r="AK1158" t="s">
        <v>74</v>
      </c>
      <c r="AL1158" t="s">
        <v>74</v>
      </c>
      <c r="AM1158" t="s">
        <v>74</v>
      </c>
      <c r="AN1158" t="s">
        <v>74</v>
      </c>
      <c r="AO1158" t="s">
        <v>4840</v>
      </c>
      <c r="AP1158" t="s">
        <v>74</v>
      </c>
      <c r="AQ1158" t="s">
        <v>74</v>
      </c>
      <c r="AR1158" t="s">
        <v>74</v>
      </c>
      <c r="AS1158" t="s">
        <v>74</v>
      </c>
      <c r="AT1158" t="s">
        <v>204</v>
      </c>
      <c r="AU1158">
        <v>2014</v>
      </c>
      <c r="AV1158">
        <v>64</v>
      </c>
      <c r="AW1158">
        <v>2</v>
      </c>
      <c r="AX1158" t="s">
        <v>74</v>
      </c>
      <c r="AY1158" t="s">
        <v>74</v>
      </c>
      <c r="AZ1158" t="s">
        <v>74</v>
      </c>
      <c r="BA1158" t="s">
        <v>74</v>
      </c>
      <c r="BB1158">
        <v>139</v>
      </c>
      <c r="BC1158">
        <v>167</v>
      </c>
      <c r="BD1158" t="s">
        <v>74</v>
      </c>
      <c r="BE1158" t="s">
        <v>74</v>
      </c>
      <c r="BF1158" t="s">
        <v>74</v>
      </c>
      <c r="BG1158" t="s">
        <v>74</v>
      </c>
      <c r="BH1158" t="s">
        <v>74</v>
      </c>
      <c r="BI1158" t="s">
        <v>74</v>
      </c>
      <c r="BJ1158" t="s">
        <v>74</v>
      </c>
      <c r="BK1158" t="s">
        <v>74</v>
      </c>
      <c r="BL1158" t="s">
        <v>74</v>
      </c>
      <c r="BM1158" t="s">
        <v>74</v>
      </c>
      <c r="BN1158" t="s">
        <v>74</v>
      </c>
      <c r="BO1158" t="s">
        <v>74</v>
      </c>
      <c r="BP1158" t="s">
        <v>74</v>
      </c>
      <c r="BQ1158" t="s">
        <v>74</v>
      </c>
      <c r="BR1158" t="s">
        <v>74</v>
      </c>
      <c r="BS1158" t="s">
        <v>8356</v>
      </c>
      <c r="BT1158" t="str">
        <f>HYPERLINK("https%3A%2F%2Fwww.webofscience.com%2Fwos%2Fwoscc%2Ffull-record%2FWOS:000341406400001","View Full Record in Web of Science")</f>
        <v>View Full Record in Web of Science</v>
      </c>
    </row>
    <row r="1159" spans="1:72" x14ac:dyDescent="0.4">
      <c r="A1159" t="s">
        <v>72</v>
      </c>
      <c r="B1159" t="s">
        <v>7571</v>
      </c>
      <c r="C1159" t="s">
        <v>74</v>
      </c>
      <c r="D1159" t="s">
        <v>74</v>
      </c>
      <c r="E1159" t="s">
        <v>74</v>
      </c>
      <c r="F1159" t="s">
        <v>7572</v>
      </c>
      <c r="G1159" t="s">
        <v>74</v>
      </c>
      <c r="H1159" t="s">
        <v>74</v>
      </c>
      <c r="I1159" t="s">
        <v>7573</v>
      </c>
      <c r="J1159" t="s">
        <v>77</v>
      </c>
      <c r="K1159" t="s">
        <v>74</v>
      </c>
      <c r="L1159" t="s">
        <v>74</v>
      </c>
      <c r="M1159" t="s">
        <v>74</v>
      </c>
      <c r="N1159" t="s">
        <v>74</v>
      </c>
      <c r="O1159" t="s">
        <v>74</v>
      </c>
      <c r="P1159" t="s">
        <v>74</v>
      </c>
      <c r="Q1159" t="s">
        <v>74</v>
      </c>
      <c r="R1159" t="s">
        <v>74</v>
      </c>
      <c r="S1159" t="s">
        <v>74</v>
      </c>
      <c r="T1159" t="s">
        <v>74</v>
      </c>
      <c r="U1159" t="s">
        <v>74</v>
      </c>
      <c r="V1159" s="3" t="s">
        <v>7574</v>
      </c>
      <c r="W1159" t="s">
        <v>74</v>
      </c>
      <c r="X1159" t="s">
        <v>74</v>
      </c>
      <c r="Y1159" t="s">
        <v>74</v>
      </c>
      <c r="Z1159" t="s">
        <v>74</v>
      </c>
      <c r="AA1159" t="s">
        <v>74</v>
      </c>
      <c r="AB1159" t="s">
        <v>7575</v>
      </c>
      <c r="AC1159" t="s">
        <v>74</v>
      </c>
      <c r="AD1159" t="s">
        <v>74</v>
      </c>
      <c r="AE1159" t="s">
        <v>74</v>
      </c>
      <c r="AF1159" t="s">
        <v>74</v>
      </c>
      <c r="AG1159" t="s">
        <v>74</v>
      </c>
      <c r="AH1159" t="s">
        <v>74</v>
      </c>
      <c r="AI1159" t="s">
        <v>74</v>
      </c>
      <c r="AJ1159" t="s">
        <v>74</v>
      </c>
      <c r="AK1159" t="s">
        <v>74</v>
      </c>
      <c r="AL1159" t="s">
        <v>74</v>
      </c>
      <c r="AM1159" t="s">
        <v>74</v>
      </c>
      <c r="AN1159" t="s">
        <v>74</v>
      </c>
      <c r="AO1159" t="s">
        <v>81</v>
      </c>
      <c r="AP1159" t="s">
        <v>82</v>
      </c>
      <c r="AQ1159" t="s">
        <v>74</v>
      </c>
      <c r="AR1159" t="s">
        <v>74</v>
      </c>
      <c r="AS1159" t="s">
        <v>74</v>
      </c>
      <c r="AT1159" t="s">
        <v>255</v>
      </c>
      <c r="AU1159">
        <v>2019</v>
      </c>
      <c r="AV1159">
        <v>156</v>
      </c>
      <c r="AW1159">
        <v>2</v>
      </c>
      <c r="AX1159" t="s">
        <v>74</v>
      </c>
      <c r="AY1159" t="s">
        <v>74</v>
      </c>
      <c r="AZ1159" t="s">
        <v>74</v>
      </c>
      <c r="BA1159" t="s">
        <v>74</v>
      </c>
      <c r="BB1159">
        <v>131</v>
      </c>
      <c r="BC1159">
        <v>153</v>
      </c>
      <c r="BD1159" t="s">
        <v>74</v>
      </c>
      <c r="BE1159" t="s">
        <v>7576</v>
      </c>
      <c r="BF1159" t="str">
        <f>HYPERLINK("http://dx.doi.org/10.1163/1568539X-00003533","http://dx.doi.org/10.1163/1568539X-00003533")</f>
        <v>http://dx.doi.org/10.1163/1568539X-00003533</v>
      </c>
      <c r="BG1159" t="s">
        <v>74</v>
      </c>
      <c r="BH1159" t="s">
        <v>74</v>
      </c>
      <c r="BI1159" t="s">
        <v>74</v>
      </c>
      <c r="BJ1159" t="s">
        <v>74</v>
      </c>
      <c r="BK1159" t="s">
        <v>74</v>
      </c>
      <c r="BL1159" t="s">
        <v>74</v>
      </c>
      <c r="BM1159" t="s">
        <v>74</v>
      </c>
      <c r="BN1159" t="s">
        <v>74</v>
      </c>
      <c r="BO1159" t="s">
        <v>74</v>
      </c>
      <c r="BP1159" t="s">
        <v>74</v>
      </c>
      <c r="BQ1159" t="s">
        <v>74</v>
      </c>
      <c r="BR1159" t="s">
        <v>74</v>
      </c>
      <c r="BS1159" t="s">
        <v>7577</v>
      </c>
      <c r="BT1159" t="str">
        <f>HYPERLINK("https%3A%2F%2Fwww.webofscience.com%2Fwos%2Fwoscc%2Ffull-record%2FWOS:000457844100002","View Full Record in Web of Science")</f>
        <v>View Full Record in Web of Science</v>
      </c>
    </row>
    <row r="1160" spans="1:72" x14ac:dyDescent="0.4">
      <c r="A1160" t="s">
        <v>72</v>
      </c>
      <c r="B1160" t="s">
        <v>6843</v>
      </c>
      <c r="C1160" t="s">
        <v>74</v>
      </c>
      <c r="D1160" t="s">
        <v>74</v>
      </c>
      <c r="E1160" t="s">
        <v>74</v>
      </c>
      <c r="F1160" t="s">
        <v>6844</v>
      </c>
      <c r="G1160" t="s">
        <v>74</v>
      </c>
      <c r="H1160" t="s">
        <v>74</v>
      </c>
      <c r="I1160" t="s">
        <v>6845</v>
      </c>
      <c r="J1160" t="s">
        <v>5684</v>
      </c>
      <c r="K1160" t="s">
        <v>74</v>
      </c>
      <c r="L1160" t="s">
        <v>74</v>
      </c>
      <c r="M1160" t="s">
        <v>74</v>
      </c>
      <c r="N1160" t="s">
        <v>74</v>
      </c>
      <c r="O1160" t="s">
        <v>74</v>
      </c>
      <c r="P1160" t="s">
        <v>74</v>
      </c>
      <c r="Q1160" t="s">
        <v>74</v>
      </c>
      <c r="R1160" t="s">
        <v>74</v>
      </c>
      <c r="S1160" t="s">
        <v>74</v>
      </c>
      <c r="T1160" t="s">
        <v>74</v>
      </c>
      <c r="U1160" t="s">
        <v>74</v>
      </c>
      <c r="V1160" s="3" t="s">
        <v>6846</v>
      </c>
      <c r="W1160" t="s">
        <v>74</v>
      </c>
      <c r="X1160" t="s">
        <v>74</v>
      </c>
      <c r="Y1160" t="s">
        <v>74</v>
      </c>
      <c r="Z1160" t="s">
        <v>74</v>
      </c>
      <c r="AA1160" t="s">
        <v>74</v>
      </c>
      <c r="AB1160" t="s">
        <v>74</v>
      </c>
      <c r="AC1160" t="s">
        <v>74</v>
      </c>
      <c r="AD1160" t="s">
        <v>74</v>
      </c>
      <c r="AE1160" t="s">
        <v>74</v>
      </c>
      <c r="AF1160" t="s">
        <v>74</v>
      </c>
      <c r="AG1160" t="s">
        <v>74</v>
      </c>
      <c r="AH1160" t="s">
        <v>74</v>
      </c>
      <c r="AI1160" t="s">
        <v>74</v>
      </c>
      <c r="AJ1160" t="s">
        <v>74</v>
      </c>
      <c r="AK1160" t="s">
        <v>74</v>
      </c>
      <c r="AL1160" t="s">
        <v>74</v>
      </c>
      <c r="AM1160" t="s">
        <v>74</v>
      </c>
      <c r="AN1160" t="s">
        <v>74</v>
      </c>
      <c r="AO1160" t="s">
        <v>5688</v>
      </c>
      <c r="AP1160" t="s">
        <v>5689</v>
      </c>
      <c r="AQ1160" t="s">
        <v>74</v>
      </c>
      <c r="AR1160" t="s">
        <v>74</v>
      </c>
      <c r="AS1160" t="s">
        <v>74</v>
      </c>
      <c r="AT1160" t="s">
        <v>964</v>
      </c>
      <c r="AU1160">
        <v>2011</v>
      </c>
      <c r="AV1160">
        <v>67</v>
      </c>
      <c r="AW1160">
        <v>2</v>
      </c>
      <c r="AX1160" t="s">
        <v>74</v>
      </c>
      <c r="AY1160" t="s">
        <v>74</v>
      </c>
      <c r="AZ1160" t="s">
        <v>74</v>
      </c>
      <c r="BA1160" t="s">
        <v>74</v>
      </c>
      <c r="BB1160">
        <v>162</v>
      </c>
      <c r="BC1160">
        <v>169</v>
      </c>
      <c r="BD1160" t="s">
        <v>74</v>
      </c>
      <c r="BE1160" t="s">
        <v>6847</v>
      </c>
      <c r="BF1160" t="str">
        <f>HYPERLINK("http://dx.doi.org/10.1002/ps.2045","http://dx.doi.org/10.1002/ps.2045")</f>
        <v>http://dx.doi.org/10.1002/ps.2045</v>
      </c>
      <c r="BG1160" t="s">
        <v>74</v>
      </c>
      <c r="BH1160" t="s">
        <v>74</v>
      </c>
      <c r="BI1160" t="s">
        <v>74</v>
      </c>
      <c r="BJ1160" t="s">
        <v>74</v>
      </c>
      <c r="BK1160" t="s">
        <v>74</v>
      </c>
      <c r="BL1160" t="s">
        <v>74</v>
      </c>
      <c r="BM1160" t="s">
        <v>74</v>
      </c>
      <c r="BN1160">
        <v>20981740</v>
      </c>
      <c r="BO1160" t="s">
        <v>74</v>
      </c>
      <c r="BP1160" t="s">
        <v>74</v>
      </c>
      <c r="BQ1160" t="s">
        <v>74</v>
      </c>
      <c r="BR1160" t="s">
        <v>74</v>
      </c>
      <c r="BS1160" t="s">
        <v>6848</v>
      </c>
      <c r="BT1160" t="str">
        <f>HYPERLINK("https%3A%2F%2Fwww.webofscience.com%2Fwos%2Fwoscc%2Ffull-record%2FWOS:000286071200005","View Full Record in Web of Science")</f>
        <v>View Full Record in Web of Science</v>
      </c>
    </row>
    <row r="1161" spans="1:72" x14ac:dyDescent="0.4">
      <c r="A1161" t="s">
        <v>72</v>
      </c>
      <c r="B1161" t="s">
        <v>7665</v>
      </c>
      <c r="C1161" t="s">
        <v>74</v>
      </c>
      <c r="D1161" t="s">
        <v>74</v>
      </c>
      <c r="E1161" t="s">
        <v>74</v>
      </c>
      <c r="F1161" t="s">
        <v>7666</v>
      </c>
      <c r="G1161" t="s">
        <v>74</v>
      </c>
      <c r="H1161" t="s">
        <v>74</v>
      </c>
      <c r="I1161" t="s">
        <v>7667</v>
      </c>
      <c r="J1161" t="s">
        <v>5937</v>
      </c>
      <c r="K1161" t="s">
        <v>74</v>
      </c>
      <c r="L1161" t="s">
        <v>74</v>
      </c>
      <c r="M1161" t="s">
        <v>74</v>
      </c>
      <c r="N1161" t="s">
        <v>74</v>
      </c>
      <c r="O1161" t="s">
        <v>74</v>
      </c>
      <c r="P1161" t="s">
        <v>74</v>
      </c>
      <c r="Q1161" t="s">
        <v>74</v>
      </c>
      <c r="R1161" t="s">
        <v>74</v>
      </c>
      <c r="S1161" t="s">
        <v>74</v>
      </c>
      <c r="T1161" t="s">
        <v>74</v>
      </c>
      <c r="U1161" t="s">
        <v>74</v>
      </c>
      <c r="V1161" s="3" t="s">
        <v>7668</v>
      </c>
      <c r="W1161" t="s">
        <v>74</v>
      </c>
      <c r="X1161" t="s">
        <v>74</v>
      </c>
      <c r="Y1161" t="s">
        <v>74</v>
      </c>
      <c r="Z1161" t="s">
        <v>74</v>
      </c>
      <c r="AA1161" t="s">
        <v>7669</v>
      </c>
      <c r="AB1161" t="s">
        <v>7670</v>
      </c>
      <c r="AC1161" t="s">
        <v>74</v>
      </c>
      <c r="AD1161" t="s">
        <v>74</v>
      </c>
      <c r="AE1161" t="s">
        <v>74</v>
      </c>
      <c r="AF1161" t="s">
        <v>74</v>
      </c>
      <c r="AG1161" t="s">
        <v>74</v>
      </c>
      <c r="AH1161" t="s">
        <v>74</v>
      </c>
      <c r="AI1161" t="s">
        <v>74</v>
      </c>
      <c r="AJ1161" t="s">
        <v>74</v>
      </c>
      <c r="AK1161" t="s">
        <v>74</v>
      </c>
      <c r="AL1161" t="s">
        <v>74</v>
      </c>
      <c r="AM1161" t="s">
        <v>74</v>
      </c>
      <c r="AN1161" t="s">
        <v>74</v>
      </c>
      <c r="AO1161" t="s">
        <v>5941</v>
      </c>
      <c r="AP1161" t="s">
        <v>74</v>
      </c>
      <c r="AQ1161" t="s">
        <v>74</v>
      </c>
      <c r="AR1161" t="s">
        <v>74</v>
      </c>
      <c r="AS1161" t="s">
        <v>74</v>
      </c>
      <c r="AT1161" t="s">
        <v>964</v>
      </c>
      <c r="AU1161">
        <v>2023</v>
      </c>
      <c r="AV1161">
        <v>13</v>
      </c>
      <c r="AW1161">
        <v>4</v>
      </c>
      <c r="AX1161" t="s">
        <v>74</v>
      </c>
      <c r="AY1161" t="s">
        <v>74</v>
      </c>
      <c r="AZ1161" t="s">
        <v>74</v>
      </c>
      <c r="BA1161" t="s">
        <v>74</v>
      </c>
      <c r="BB1161" t="s">
        <v>74</v>
      </c>
      <c r="BC1161" t="s">
        <v>74</v>
      </c>
      <c r="BD1161">
        <v>753</v>
      </c>
      <c r="BE1161" t="s">
        <v>7671</v>
      </c>
      <c r="BF1161" t="str">
        <f>HYPERLINK("http://dx.doi.org/10.3390/ani13040753","http://dx.doi.org/10.3390/ani13040753")</f>
        <v>http://dx.doi.org/10.3390/ani13040753</v>
      </c>
      <c r="BG1161" t="s">
        <v>74</v>
      </c>
      <c r="BH1161" t="s">
        <v>74</v>
      </c>
      <c r="BI1161" t="s">
        <v>74</v>
      </c>
      <c r="BJ1161" t="s">
        <v>74</v>
      </c>
      <c r="BK1161" t="s">
        <v>74</v>
      </c>
      <c r="BL1161" t="s">
        <v>74</v>
      </c>
      <c r="BM1161" t="s">
        <v>74</v>
      </c>
      <c r="BN1161">
        <v>36830540</v>
      </c>
      <c r="BO1161" t="s">
        <v>74</v>
      </c>
      <c r="BP1161" t="s">
        <v>74</v>
      </c>
      <c r="BQ1161" t="s">
        <v>74</v>
      </c>
      <c r="BR1161" t="s">
        <v>74</v>
      </c>
      <c r="BS1161" t="s">
        <v>7672</v>
      </c>
      <c r="BT1161" t="str">
        <f>HYPERLINK("https%3A%2F%2Fwww.webofscience.com%2Fwos%2Fwoscc%2Ffull-record%2FWOS:000938298300001","View Full Record in Web of Science")</f>
        <v>View Full Record in Web of Science</v>
      </c>
    </row>
    <row r="1162" spans="1:72" x14ac:dyDescent="0.4">
      <c r="A1162" t="s">
        <v>72</v>
      </c>
      <c r="B1162" t="s">
        <v>137</v>
      </c>
      <c r="C1162" t="s">
        <v>74</v>
      </c>
      <c r="D1162" t="s">
        <v>74</v>
      </c>
      <c r="E1162" t="s">
        <v>74</v>
      </c>
      <c r="F1162" t="s">
        <v>138</v>
      </c>
      <c r="G1162" t="s">
        <v>74</v>
      </c>
      <c r="H1162" t="s">
        <v>74</v>
      </c>
      <c r="I1162" t="s">
        <v>139</v>
      </c>
      <c r="J1162" t="s">
        <v>140</v>
      </c>
      <c r="K1162" t="s">
        <v>74</v>
      </c>
      <c r="L1162" t="s">
        <v>74</v>
      </c>
      <c r="M1162" t="s">
        <v>74</v>
      </c>
      <c r="N1162" t="s">
        <v>74</v>
      </c>
      <c r="O1162" t="s">
        <v>74</v>
      </c>
      <c r="P1162" t="s">
        <v>74</v>
      </c>
      <c r="Q1162" t="s">
        <v>74</v>
      </c>
      <c r="R1162" t="s">
        <v>74</v>
      </c>
      <c r="S1162" t="s">
        <v>74</v>
      </c>
      <c r="T1162" t="s">
        <v>74</v>
      </c>
      <c r="U1162" t="s">
        <v>74</v>
      </c>
      <c r="V1162" s="3" t="s">
        <v>141</v>
      </c>
      <c r="W1162" t="s">
        <v>74</v>
      </c>
      <c r="X1162" t="s">
        <v>74</v>
      </c>
      <c r="Y1162" t="s">
        <v>74</v>
      </c>
      <c r="Z1162" t="s">
        <v>74</v>
      </c>
      <c r="AA1162" t="s">
        <v>74</v>
      </c>
      <c r="AB1162" t="s">
        <v>142</v>
      </c>
      <c r="AC1162" t="s">
        <v>74</v>
      </c>
      <c r="AD1162" t="s">
        <v>74</v>
      </c>
      <c r="AE1162" t="s">
        <v>74</v>
      </c>
      <c r="AF1162" t="s">
        <v>74</v>
      </c>
      <c r="AG1162" t="s">
        <v>74</v>
      </c>
      <c r="AH1162" t="s">
        <v>74</v>
      </c>
      <c r="AI1162" t="s">
        <v>74</v>
      </c>
      <c r="AJ1162" t="s">
        <v>74</v>
      </c>
      <c r="AK1162" t="s">
        <v>74</v>
      </c>
      <c r="AL1162" t="s">
        <v>74</v>
      </c>
      <c r="AM1162" t="s">
        <v>74</v>
      </c>
      <c r="AN1162" t="s">
        <v>74</v>
      </c>
      <c r="AO1162" t="s">
        <v>143</v>
      </c>
      <c r="AP1162" t="s">
        <v>144</v>
      </c>
      <c r="AQ1162" t="s">
        <v>74</v>
      </c>
      <c r="AR1162" t="s">
        <v>74</v>
      </c>
      <c r="AS1162" t="s">
        <v>74</v>
      </c>
      <c r="AT1162" t="s">
        <v>145</v>
      </c>
      <c r="AU1162">
        <v>2015</v>
      </c>
      <c r="AV1162">
        <v>106</v>
      </c>
      <c r="AW1162" t="s">
        <v>74</v>
      </c>
      <c r="AX1162" t="s">
        <v>74</v>
      </c>
      <c r="AY1162" t="s">
        <v>74</v>
      </c>
      <c r="AZ1162" t="s">
        <v>74</v>
      </c>
      <c r="BA1162" t="s">
        <v>74</v>
      </c>
      <c r="BB1162">
        <v>171</v>
      </c>
      <c r="BC1162">
        <v>179</v>
      </c>
      <c r="BD1162" t="s">
        <v>74</v>
      </c>
      <c r="BE1162" t="s">
        <v>146</v>
      </c>
      <c r="BF1162" t="str">
        <f>HYPERLINK("http://dx.doi.org/10.1016/j.anbehav.2015.05.016","http://dx.doi.org/10.1016/j.anbehav.2015.05.016")</f>
        <v>http://dx.doi.org/10.1016/j.anbehav.2015.05.016</v>
      </c>
      <c r="BG1162" t="s">
        <v>74</v>
      </c>
      <c r="BH1162" t="s">
        <v>74</v>
      </c>
      <c r="BI1162" t="s">
        <v>74</v>
      </c>
      <c r="BJ1162" t="s">
        <v>74</v>
      </c>
      <c r="BK1162" t="s">
        <v>74</v>
      </c>
      <c r="BL1162" t="s">
        <v>74</v>
      </c>
      <c r="BM1162" t="s">
        <v>74</v>
      </c>
      <c r="BN1162" t="s">
        <v>74</v>
      </c>
      <c r="BO1162" t="s">
        <v>74</v>
      </c>
      <c r="BP1162" t="s">
        <v>74</v>
      </c>
      <c r="BQ1162" t="s">
        <v>74</v>
      </c>
      <c r="BR1162" t="s">
        <v>74</v>
      </c>
      <c r="BS1162" t="s">
        <v>147</v>
      </c>
      <c r="BT1162" t="str">
        <f>HYPERLINK("https%3A%2F%2Fwww.webofscience.com%2Fwos%2Fwoscc%2Ffull-record%2FWOS:000358315700022","View Full Record in Web of Science")</f>
        <v>View Full Record in Web of Science</v>
      </c>
    </row>
    <row r="1163" spans="1:72" x14ac:dyDescent="0.4">
      <c r="A1163" t="s">
        <v>72</v>
      </c>
      <c r="B1163" t="s">
        <v>4665</v>
      </c>
      <c r="C1163" t="s">
        <v>74</v>
      </c>
      <c r="D1163" t="s">
        <v>74</v>
      </c>
      <c r="E1163" t="s">
        <v>74</v>
      </c>
      <c r="F1163" t="s">
        <v>4666</v>
      </c>
      <c r="G1163" t="s">
        <v>74</v>
      </c>
      <c r="H1163" t="s">
        <v>74</v>
      </c>
      <c r="I1163" t="s">
        <v>4667</v>
      </c>
      <c r="J1163" t="s">
        <v>397</v>
      </c>
      <c r="K1163" t="s">
        <v>74</v>
      </c>
      <c r="L1163" t="s">
        <v>74</v>
      </c>
      <c r="M1163" t="s">
        <v>74</v>
      </c>
      <c r="N1163" t="s">
        <v>74</v>
      </c>
      <c r="O1163" t="s">
        <v>74</v>
      </c>
      <c r="P1163" t="s">
        <v>74</v>
      </c>
      <c r="Q1163" t="s">
        <v>74</v>
      </c>
      <c r="R1163" t="s">
        <v>74</v>
      </c>
      <c r="S1163" t="s">
        <v>74</v>
      </c>
      <c r="T1163" t="s">
        <v>74</v>
      </c>
      <c r="U1163" t="s">
        <v>74</v>
      </c>
      <c r="V1163" s="3" t="s">
        <v>4668</v>
      </c>
      <c r="W1163" t="s">
        <v>74</v>
      </c>
      <c r="X1163" t="s">
        <v>74</v>
      </c>
      <c r="Y1163" t="s">
        <v>74</v>
      </c>
      <c r="Z1163" t="s">
        <v>74</v>
      </c>
      <c r="AA1163" t="s">
        <v>4669</v>
      </c>
      <c r="AB1163" t="s">
        <v>4670</v>
      </c>
      <c r="AC1163" t="s">
        <v>74</v>
      </c>
      <c r="AD1163" t="s">
        <v>74</v>
      </c>
      <c r="AE1163" t="s">
        <v>74</v>
      </c>
      <c r="AF1163" t="s">
        <v>74</v>
      </c>
      <c r="AG1163" t="s">
        <v>74</v>
      </c>
      <c r="AH1163" t="s">
        <v>74</v>
      </c>
      <c r="AI1163" t="s">
        <v>74</v>
      </c>
      <c r="AJ1163" t="s">
        <v>74</v>
      </c>
      <c r="AK1163" t="s">
        <v>74</v>
      </c>
      <c r="AL1163" t="s">
        <v>74</v>
      </c>
      <c r="AM1163" t="s">
        <v>74</v>
      </c>
      <c r="AN1163" t="s">
        <v>74</v>
      </c>
      <c r="AO1163" t="s">
        <v>401</v>
      </c>
      <c r="AP1163" t="s">
        <v>402</v>
      </c>
      <c r="AQ1163" t="s">
        <v>74</v>
      </c>
      <c r="AR1163" t="s">
        <v>74</v>
      </c>
      <c r="AS1163" t="s">
        <v>74</v>
      </c>
      <c r="AT1163" t="s">
        <v>213</v>
      </c>
      <c r="AU1163">
        <v>2015</v>
      </c>
      <c r="AV1163">
        <v>14</v>
      </c>
      <c r="AW1163">
        <v>8</v>
      </c>
      <c r="AX1163" t="s">
        <v>74</v>
      </c>
      <c r="AY1163" t="s">
        <v>74</v>
      </c>
      <c r="AZ1163" t="s">
        <v>74</v>
      </c>
      <c r="BA1163" t="s">
        <v>74</v>
      </c>
      <c r="BB1163">
        <v>641</v>
      </c>
      <c r="BC1163">
        <v>654</v>
      </c>
      <c r="BD1163" t="s">
        <v>74</v>
      </c>
      <c r="BE1163" t="s">
        <v>4671</v>
      </c>
      <c r="BF1163" t="str">
        <f>HYPERLINK("http://dx.doi.org/10.1111/gbb.12252","http://dx.doi.org/10.1111/gbb.12252")</f>
        <v>http://dx.doi.org/10.1111/gbb.12252</v>
      </c>
      <c r="BG1163" t="s">
        <v>74</v>
      </c>
      <c r="BH1163" t="s">
        <v>74</v>
      </c>
      <c r="BI1163" t="s">
        <v>74</v>
      </c>
      <c r="BJ1163" t="s">
        <v>74</v>
      </c>
      <c r="BK1163" t="s">
        <v>74</v>
      </c>
      <c r="BL1163" t="s">
        <v>74</v>
      </c>
      <c r="BM1163" t="s">
        <v>74</v>
      </c>
      <c r="BN1163">
        <v>26463687</v>
      </c>
      <c r="BO1163" t="s">
        <v>74</v>
      </c>
      <c r="BP1163" t="s">
        <v>74</v>
      </c>
      <c r="BQ1163" t="s">
        <v>74</v>
      </c>
      <c r="BR1163" t="s">
        <v>74</v>
      </c>
      <c r="BS1163" t="s">
        <v>4672</v>
      </c>
      <c r="BT1163" t="str">
        <f>HYPERLINK("https%3A%2F%2Fwww.webofscience.com%2Fwos%2Fwoscc%2Ffull-record%2FWOS:000368248600008","View Full Record in Web of Science")</f>
        <v>View Full Record in Web of Science</v>
      </c>
    </row>
  </sheetData>
  <sortState xmlns:xlrd2="http://schemas.microsoft.com/office/spreadsheetml/2017/richdata2" ref="A2:BV1163">
    <sortCondition ref="F2:F1163"/>
  </sortState>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F301A-CE6F-4374-A75E-95D958653195}">
  <dimension ref="A1:BT1163"/>
  <sheetViews>
    <sheetView topLeftCell="F1" zoomScaleNormal="100" workbookViewId="0">
      <selection activeCell="F4" sqref="F4"/>
    </sheetView>
  </sheetViews>
  <sheetFormatPr defaultRowHeight="15" x14ac:dyDescent="0.4"/>
  <cols>
    <col min="1" max="5" width="0" hidden="1" customWidth="1"/>
    <col min="6" max="6" width="19.06640625" customWidth="1"/>
    <col min="7" max="8" width="0" hidden="1" customWidth="1"/>
    <col min="9" max="9" width="245.73046875" bestFit="1" customWidth="1"/>
    <col min="11" max="21" width="0" hidden="1" customWidth="1"/>
    <col min="22" max="22" width="255.59765625" style="3" bestFit="1" customWidth="1"/>
    <col min="23" max="45" width="0" hidden="1" customWidth="1"/>
    <col min="59" max="73" width="0" hidden="1" customWidth="1"/>
  </cols>
  <sheetData>
    <row r="1" spans="1:72"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3"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spans="1:72" s="7" customFormat="1" x14ac:dyDescent="0.4">
      <c r="A2" s="1" t="s">
        <v>72</v>
      </c>
      <c r="B2" s="1" t="s">
        <v>3477</v>
      </c>
      <c r="C2" s="1" t="s">
        <v>74</v>
      </c>
      <c r="D2" s="1" t="s">
        <v>74</v>
      </c>
      <c r="E2" s="1" t="s">
        <v>74</v>
      </c>
      <c r="F2" s="1" t="s">
        <v>3477</v>
      </c>
      <c r="G2" s="1" t="s">
        <v>74</v>
      </c>
      <c r="H2" s="1" t="s">
        <v>74</v>
      </c>
      <c r="I2" s="1" t="s">
        <v>3478</v>
      </c>
      <c r="J2" s="1" t="s">
        <v>77</v>
      </c>
      <c r="K2" s="1" t="s">
        <v>74</v>
      </c>
      <c r="L2" s="1" t="s">
        <v>74</v>
      </c>
      <c r="M2" s="1" t="s">
        <v>74</v>
      </c>
      <c r="N2" s="1" t="s">
        <v>74</v>
      </c>
      <c r="O2" s="1" t="s">
        <v>74</v>
      </c>
      <c r="P2" s="1" t="s">
        <v>74</v>
      </c>
      <c r="Q2" s="1" t="s">
        <v>74</v>
      </c>
      <c r="R2" s="1" t="s">
        <v>74</v>
      </c>
      <c r="S2" s="1" t="s">
        <v>74</v>
      </c>
      <c r="T2" s="1" t="s">
        <v>74</v>
      </c>
      <c r="U2" s="1" t="s">
        <v>74</v>
      </c>
      <c r="V2" s="4" t="s">
        <v>3479</v>
      </c>
      <c r="W2" s="1" t="s">
        <v>74</v>
      </c>
      <c r="X2" s="1" t="s">
        <v>74</v>
      </c>
      <c r="Y2" s="1" t="s">
        <v>74</v>
      </c>
      <c r="Z2" s="1" t="s">
        <v>74</v>
      </c>
      <c r="AA2" s="1" t="s">
        <v>74</v>
      </c>
      <c r="AB2" s="1" t="s">
        <v>1774</v>
      </c>
      <c r="AC2" s="1" t="s">
        <v>74</v>
      </c>
      <c r="AD2" s="1" t="s">
        <v>74</v>
      </c>
      <c r="AE2" s="1" t="s">
        <v>74</v>
      </c>
      <c r="AF2" s="1" t="s">
        <v>74</v>
      </c>
      <c r="AG2" s="1" t="s">
        <v>74</v>
      </c>
      <c r="AH2" s="1" t="s">
        <v>74</v>
      </c>
      <c r="AI2" s="1" t="s">
        <v>74</v>
      </c>
      <c r="AJ2" s="1" t="s">
        <v>74</v>
      </c>
      <c r="AK2" s="1" t="s">
        <v>74</v>
      </c>
      <c r="AL2" s="1" t="s">
        <v>74</v>
      </c>
      <c r="AM2" s="1" t="s">
        <v>74</v>
      </c>
      <c r="AN2" s="1" t="s">
        <v>74</v>
      </c>
      <c r="AO2" s="1" t="s">
        <v>81</v>
      </c>
      <c r="AP2" s="1" t="s">
        <v>74</v>
      </c>
      <c r="AQ2" s="1" t="s">
        <v>74</v>
      </c>
      <c r="AR2" s="1" t="s">
        <v>74</v>
      </c>
      <c r="AS2" s="1" t="s">
        <v>74</v>
      </c>
      <c r="AT2" s="1" t="s">
        <v>305</v>
      </c>
      <c r="AU2" s="1">
        <v>1996</v>
      </c>
      <c r="AV2" s="1">
        <v>133</v>
      </c>
      <c r="AW2" s="1" t="s">
        <v>74</v>
      </c>
      <c r="AX2" s="1" t="s">
        <v>3480</v>
      </c>
      <c r="AY2" s="1" t="s">
        <v>74</v>
      </c>
      <c r="AZ2" s="1" t="s">
        <v>74</v>
      </c>
      <c r="BA2" s="1" t="s">
        <v>74</v>
      </c>
      <c r="BB2" s="1">
        <v>1265</v>
      </c>
      <c r="BC2" s="1">
        <v>1279</v>
      </c>
      <c r="BD2" s="1" t="s">
        <v>74</v>
      </c>
      <c r="BE2" s="1" t="s">
        <v>3481</v>
      </c>
      <c r="BF2" s="1" t="str">
        <f>HYPERLINK("http://dx.doi.org/10.1163/156853996X00396","http://dx.doi.org/10.1163/156853996X00396")</f>
        <v>http://dx.doi.org/10.1163/156853996X00396</v>
      </c>
      <c r="BG2" s="1" t="s">
        <v>74</v>
      </c>
      <c r="BH2" s="1" t="s">
        <v>74</v>
      </c>
      <c r="BI2" s="1" t="s">
        <v>74</v>
      </c>
      <c r="BJ2" s="1" t="s">
        <v>74</v>
      </c>
      <c r="BK2" s="1" t="s">
        <v>74</v>
      </c>
      <c r="BL2" s="1" t="s">
        <v>74</v>
      </c>
      <c r="BM2" s="1" t="s">
        <v>74</v>
      </c>
      <c r="BN2" s="1" t="s">
        <v>74</v>
      </c>
      <c r="BO2" s="1" t="s">
        <v>74</v>
      </c>
      <c r="BP2" s="1" t="s">
        <v>74</v>
      </c>
      <c r="BQ2" s="1" t="s">
        <v>74</v>
      </c>
      <c r="BR2" s="1" t="s">
        <v>74</v>
      </c>
      <c r="BS2" s="1" t="s">
        <v>3482</v>
      </c>
      <c r="BT2" s="1" t="str">
        <f>HYPERLINK("https%3A%2F%2Fwww.webofscience.com%2Fwos%2Fwoscc%2Ffull-record%2FWOS:A1996WF81400008","View Full Record in Web of Science")</f>
        <v>View Full Record in Web of Science</v>
      </c>
    </row>
    <row r="3" spans="1:72" s="2" customFormat="1" x14ac:dyDescent="0.4">
      <c r="A3" s="1" t="s">
        <v>72</v>
      </c>
      <c r="B3" s="1" t="s">
        <v>1585</v>
      </c>
      <c r="C3" s="1" t="s">
        <v>74</v>
      </c>
      <c r="D3" s="1" t="s">
        <v>74</v>
      </c>
      <c r="E3" s="1" t="s">
        <v>74</v>
      </c>
      <c r="F3" s="1" t="s">
        <v>1586</v>
      </c>
      <c r="G3" s="1" t="s">
        <v>74</v>
      </c>
      <c r="H3" s="1" t="s">
        <v>74</v>
      </c>
      <c r="I3" s="1" t="s">
        <v>1587</v>
      </c>
      <c r="J3" s="1" t="s">
        <v>775</v>
      </c>
      <c r="K3" s="1" t="s">
        <v>74</v>
      </c>
      <c r="L3" s="1" t="s">
        <v>74</v>
      </c>
      <c r="M3" s="1" t="s">
        <v>74</v>
      </c>
      <c r="N3" s="1" t="s">
        <v>74</v>
      </c>
      <c r="O3" s="1" t="s">
        <v>74</v>
      </c>
      <c r="P3" s="1" t="s">
        <v>74</v>
      </c>
      <c r="Q3" s="1" t="s">
        <v>74</v>
      </c>
      <c r="R3" s="1" t="s">
        <v>74</v>
      </c>
      <c r="S3" s="1" t="s">
        <v>74</v>
      </c>
      <c r="T3" s="1" t="s">
        <v>74</v>
      </c>
      <c r="U3" s="1" t="s">
        <v>74</v>
      </c>
      <c r="V3" s="4" t="s">
        <v>1588</v>
      </c>
      <c r="W3" s="1" t="s">
        <v>74</v>
      </c>
      <c r="X3" s="1" t="s">
        <v>74</v>
      </c>
      <c r="Y3" s="1" t="s">
        <v>74</v>
      </c>
      <c r="Z3" s="1" t="s">
        <v>74</v>
      </c>
      <c r="AA3" s="1" t="s">
        <v>1589</v>
      </c>
      <c r="AB3" s="1" t="s">
        <v>1590</v>
      </c>
      <c r="AC3" s="1" t="s">
        <v>74</v>
      </c>
      <c r="AD3" s="1" t="s">
        <v>74</v>
      </c>
      <c r="AE3" s="1" t="s">
        <v>74</v>
      </c>
      <c r="AF3" s="1" t="s">
        <v>74</v>
      </c>
      <c r="AG3" s="1" t="s">
        <v>74</v>
      </c>
      <c r="AH3" s="1" t="s">
        <v>74</v>
      </c>
      <c r="AI3" s="1" t="s">
        <v>74</v>
      </c>
      <c r="AJ3" s="1" t="s">
        <v>74</v>
      </c>
      <c r="AK3" s="1" t="s">
        <v>74</v>
      </c>
      <c r="AL3" s="1" t="s">
        <v>74</v>
      </c>
      <c r="AM3" s="1" t="s">
        <v>74</v>
      </c>
      <c r="AN3" s="1" t="s">
        <v>74</v>
      </c>
      <c r="AO3" s="1" t="s">
        <v>778</v>
      </c>
      <c r="AP3" s="1" t="s">
        <v>779</v>
      </c>
      <c r="AQ3" s="1" t="s">
        <v>74</v>
      </c>
      <c r="AR3" s="1" t="s">
        <v>74</v>
      </c>
      <c r="AS3" s="1" t="s">
        <v>74</v>
      </c>
      <c r="AT3" s="1" t="s">
        <v>964</v>
      </c>
      <c r="AU3" s="1">
        <v>2017</v>
      </c>
      <c r="AV3" s="1">
        <v>63</v>
      </c>
      <c r="AW3" s="1">
        <v>1</v>
      </c>
      <c r="AX3" s="1" t="s">
        <v>74</v>
      </c>
      <c r="AY3" s="1" t="s">
        <v>74</v>
      </c>
      <c r="AZ3" s="1" t="s">
        <v>74</v>
      </c>
      <c r="BA3" s="1" t="s">
        <v>74</v>
      </c>
      <c r="BB3" s="1">
        <v>45</v>
      </c>
      <c r="BC3" s="1">
        <v>54</v>
      </c>
      <c r="BD3" s="1" t="s">
        <v>74</v>
      </c>
      <c r="BE3" s="1" t="s">
        <v>1591</v>
      </c>
      <c r="BF3" s="1" t="str">
        <f>HYPERLINK("http://dx.doi.org/10.1093/cz/zow086","http://dx.doi.org/10.1093/cz/zow086")</f>
        <v>http://dx.doi.org/10.1093/cz/zow086</v>
      </c>
      <c r="BG3" s="1" t="s">
        <v>74</v>
      </c>
      <c r="BH3" s="1" t="s">
        <v>74</v>
      </c>
      <c r="BI3" s="1" t="s">
        <v>74</v>
      </c>
      <c r="BJ3" s="1" t="s">
        <v>74</v>
      </c>
      <c r="BK3" s="1" t="s">
        <v>74</v>
      </c>
      <c r="BL3" s="1" t="s">
        <v>74</v>
      </c>
      <c r="BM3" s="1" t="s">
        <v>74</v>
      </c>
      <c r="BN3" s="1">
        <v>29491962</v>
      </c>
      <c r="BO3" s="1" t="s">
        <v>74</v>
      </c>
      <c r="BP3" s="1" t="s">
        <v>74</v>
      </c>
      <c r="BQ3" s="1" t="s">
        <v>74</v>
      </c>
      <c r="BR3" s="1" t="s">
        <v>74</v>
      </c>
      <c r="BS3" s="1" t="s">
        <v>1592</v>
      </c>
      <c r="BT3" s="1" t="str">
        <f>HYPERLINK("https%3A%2F%2Fwww.webofscience.com%2Fwos%2Fwoscc%2Ffull-record%2FWOS:000396213400006","View Full Record in Web of Science")</f>
        <v>View Full Record in Web of Science</v>
      </c>
    </row>
    <row r="4" spans="1:72" s="2" customFormat="1" x14ac:dyDescent="0.4">
      <c r="A4" s="1" t="s">
        <v>72</v>
      </c>
      <c r="B4" s="1" t="s">
        <v>3178</v>
      </c>
      <c r="C4" s="1" t="s">
        <v>74</v>
      </c>
      <c r="D4" s="1" t="s">
        <v>74</v>
      </c>
      <c r="E4" s="1" t="s">
        <v>74</v>
      </c>
      <c r="F4" s="1" t="s">
        <v>3178</v>
      </c>
      <c r="G4" s="1" t="s">
        <v>74</v>
      </c>
      <c r="H4" s="1" t="s">
        <v>74</v>
      </c>
      <c r="I4" s="1" t="s">
        <v>3179</v>
      </c>
      <c r="J4" s="1" t="s">
        <v>77</v>
      </c>
      <c r="K4" s="1" t="s">
        <v>74</v>
      </c>
      <c r="L4" s="1" t="s">
        <v>74</v>
      </c>
      <c r="M4" s="1" t="s">
        <v>74</v>
      </c>
      <c r="N4" s="1" t="s">
        <v>74</v>
      </c>
      <c r="O4" s="1" t="s">
        <v>74</v>
      </c>
      <c r="P4" s="1" t="s">
        <v>74</v>
      </c>
      <c r="Q4" s="1" t="s">
        <v>74</v>
      </c>
      <c r="R4" s="1" t="s">
        <v>74</v>
      </c>
      <c r="S4" s="1" t="s">
        <v>74</v>
      </c>
      <c r="T4" s="1" t="s">
        <v>74</v>
      </c>
      <c r="U4" s="1" t="s">
        <v>74</v>
      </c>
      <c r="V4" s="4" t="s">
        <v>3180</v>
      </c>
      <c r="W4" s="1" t="s">
        <v>74</v>
      </c>
      <c r="X4" s="1" t="s">
        <v>74</v>
      </c>
      <c r="Y4" s="1" t="s">
        <v>74</v>
      </c>
      <c r="Z4" s="1" t="s">
        <v>74</v>
      </c>
      <c r="AA4" s="1" t="s">
        <v>74</v>
      </c>
      <c r="AB4" s="1" t="s">
        <v>74</v>
      </c>
      <c r="AC4" s="1" t="s">
        <v>74</v>
      </c>
      <c r="AD4" s="1" t="s">
        <v>74</v>
      </c>
      <c r="AE4" s="1" t="s">
        <v>74</v>
      </c>
      <c r="AF4" s="1" t="s">
        <v>74</v>
      </c>
      <c r="AG4" s="1" t="s">
        <v>74</v>
      </c>
      <c r="AH4" s="1" t="s">
        <v>74</v>
      </c>
      <c r="AI4" s="1" t="s">
        <v>74</v>
      </c>
      <c r="AJ4" s="1" t="s">
        <v>74</v>
      </c>
      <c r="AK4" s="1" t="s">
        <v>74</v>
      </c>
      <c r="AL4" s="1" t="s">
        <v>74</v>
      </c>
      <c r="AM4" s="1" t="s">
        <v>74</v>
      </c>
      <c r="AN4" s="1" t="s">
        <v>74</v>
      </c>
      <c r="AO4" s="1" t="s">
        <v>81</v>
      </c>
      <c r="AP4" s="1" t="s">
        <v>74</v>
      </c>
      <c r="AQ4" s="1" t="s">
        <v>74</v>
      </c>
      <c r="AR4" s="1" t="s">
        <v>74</v>
      </c>
      <c r="AS4" s="1" t="s">
        <v>74</v>
      </c>
      <c r="AT4" s="1" t="s">
        <v>145</v>
      </c>
      <c r="AU4" s="1">
        <v>1994</v>
      </c>
      <c r="AV4" s="1">
        <v>130</v>
      </c>
      <c r="AW4" s="1" t="s">
        <v>74</v>
      </c>
      <c r="AX4" s="1" t="s">
        <v>548</v>
      </c>
      <c r="AY4" s="1" t="s">
        <v>74</v>
      </c>
      <c r="AZ4" s="1" t="s">
        <v>74</v>
      </c>
      <c r="BA4" s="1" t="s">
        <v>74</v>
      </c>
      <c r="BB4" s="1">
        <v>77</v>
      </c>
      <c r="BC4" s="1">
        <v>112</v>
      </c>
      <c r="BD4" s="1" t="s">
        <v>74</v>
      </c>
      <c r="BE4" s="1" t="s">
        <v>3181</v>
      </c>
      <c r="BF4" s="1" t="str">
        <f>HYPERLINK("http://dx.doi.org/10.1163/156853994X00154","http://dx.doi.org/10.1163/156853994X00154")</f>
        <v>http://dx.doi.org/10.1163/156853994X00154</v>
      </c>
      <c r="BG4" s="1" t="s">
        <v>74</v>
      </c>
      <c r="BH4" s="1" t="s">
        <v>74</v>
      </c>
      <c r="BI4" s="1" t="s">
        <v>74</v>
      </c>
      <c r="BJ4" s="1" t="s">
        <v>74</v>
      </c>
      <c r="BK4" s="1" t="s">
        <v>74</v>
      </c>
      <c r="BL4" s="1" t="s">
        <v>74</v>
      </c>
      <c r="BM4" s="1" t="s">
        <v>74</v>
      </c>
      <c r="BN4" s="1" t="s">
        <v>74</v>
      </c>
      <c r="BO4" s="1" t="s">
        <v>74</v>
      </c>
      <c r="BP4" s="1" t="s">
        <v>74</v>
      </c>
      <c r="BQ4" s="1" t="s">
        <v>74</v>
      </c>
      <c r="BR4" s="1" t="s">
        <v>74</v>
      </c>
      <c r="BS4" s="1" t="s">
        <v>3182</v>
      </c>
      <c r="BT4" s="1" t="str">
        <f>HYPERLINK("https%3A%2F%2Fwww.webofscience.com%2Fwos%2Fwoscc%2Ffull-record%2FWOS:A1994PR38500006","View Full Record in Web of Science")</f>
        <v>View Full Record in Web of Science</v>
      </c>
    </row>
    <row r="5" spans="1:72" s="2" customFormat="1" x14ac:dyDescent="0.4">
      <c r="A5" s="1" t="s">
        <v>72</v>
      </c>
      <c r="B5" s="1" t="s">
        <v>6484</v>
      </c>
      <c r="C5" s="1" t="s">
        <v>74</v>
      </c>
      <c r="D5" s="1" t="s">
        <v>74</v>
      </c>
      <c r="E5" s="1" t="s">
        <v>74</v>
      </c>
      <c r="F5" s="1" t="s">
        <v>6485</v>
      </c>
      <c r="G5" s="1" t="s">
        <v>74</v>
      </c>
      <c r="H5" s="1" t="s">
        <v>74</v>
      </c>
      <c r="I5" s="1" t="s">
        <v>6486</v>
      </c>
      <c r="J5" s="1" t="s">
        <v>140</v>
      </c>
      <c r="K5" s="1" t="s">
        <v>74</v>
      </c>
      <c r="L5" s="1" t="s">
        <v>74</v>
      </c>
      <c r="M5" s="1" t="s">
        <v>74</v>
      </c>
      <c r="N5" s="1" t="s">
        <v>74</v>
      </c>
      <c r="O5" s="1" t="s">
        <v>74</v>
      </c>
      <c r="P5" s="1" t="s">
        <v>74</v>
      </c>
      <c r="Q5" s="1" t="s">
        <v>74</v>
      </c>
      <c r="R5" s="1" t="s">
        <v>74</v>
      </c>
      <c r="S5" s="1" t="s">
        <v>74</v>
      </c>
      <c r="T5" s="1" t="s">
        <v>74</v>
      </c>
      <c r="U5" s="1" t="s">
        <v>74</v>
      </c>
      <c r="V5" s="4" t="s">
        <v>6487</v>
      </c>
      <c r="W5" s="1" t="s">
        <v>74</v>
      </c>
      <c r="X5" s="1" t="s">
        <v>74</v>
      </c>
      <c r="Y5" s="1" t="s">
        <v>74</v>
      </c>
      <c r="Z5" s="1" t="s">
        <v>74</v>
      </c>
      <c r="AA5" s="1" t="s">
        <v>6488</v>
      </c>
      <c r="AB5" s="1" t="s">
        <v>6489</v>
      </c>
      <c r="AC5" s="1" t="s">
        <v>74</v>
      </c>
      <c r="AD5" s="1" t="s">
        <v>74</v>
      </c>
      <c r="AE5" s="1" t="s">
        <v>74</v>
      </c>
      <c r="AF5" s="1" t="s">
        <v>74</v>
      </c>
      <c r="AG5" s="1" t="s">
        <v>74</v>
      </c>
      <c r="AH5" s="1" t="s">
        <v>74</v>
      </c>
      <c r="AI5" s="1" t="s">
        <v>74</v>
      </c>
      <c r="AJ5" s="1" t="s">
        <v>74</v>
      </c>
      <c r="AK5" s="1" t="s">
        <v>74</v>
      </c>
      <c r="AL5" s="1" t="s">
        <v>74</v>
      </c>
      <c r="AM5" s="1" t="s">
        <v>74</v>
      </c>
      <c r="AN5" s="1" t="s">
        <v>74</v>
      </c>
      <c r="AO5" s="1" t="s">
        <v>143</v>
      </c>
      <c r="AP5" s="1" t="s">
        <v>144</v>
      </c>
      <c r="AQ5" s="1" t="s">
        <v>74</v>
      </c>
      <c r="AR5" s="1" t="s">
        <v>74</v>
      </c>
      <c r="AS5" s="1" t="s">
        <v>74</v>
      </c>
      <c r="AT5" s="1" t="s">
        <v>964</v>
      </c>
      <c r="AU5" s="1">
        <v>2015</v>
      </c>
      <c r="AV5" s="1">
        <v>100</v>
      </c>
      <c r="AW5" s="1" t="s">
        <v>74</v>
      </c>
      <c r="AX5" s="1" t="s">
        <v>74</v>
      </c>
      <c r="AY5" s="1" t="s">
        <v>74</v>
      </c>
      <c r="AZ5" s="1" t="s">
        <v>74</v>
      </c>
      <c r="BA5" s="1" t="s">
        <v>74</v>
      </c>
      <c r="BB5" s="1">
        <v>116</v>
      </c>
      <c r="BC5" s="1">
        <v>124</v>
      </c>
      <c r="BD5" s="1" t="s">
        <v>74</v>
      </c>
      <c r="BE5" s="1" t="s">
        <v>6490</v>
      </c>
      <c r="BF5" s="1" t="str">
        <f>HYPERLINK("http://dx.doi.org/10.1016/j.anbehav.2014.11.016","http://dx.doi.org/10.1016/j.anbehav.2014.11.016")</f>
        <v>http://dx.doi.org/10.1016/j.anbehav.2014.11.016</v>
      </c>
      <c r="BG5" s="1" t="s">
        <v>74</v>
      </c>
      <c r="BH5" s="1" t="s">
        <v>74</v>
      </c>
      <c r="BI5" s="1" t="s">
        <v>74</v>
      </c>
      <c r="BJ5" s="1" t="s">
        <v>74</v>
      </c>
      <c r="BK5" s="1" t="s">
        <v>74</v>
      </c>
      <c r="BL5" s="1" t="s">
        <v>74</v>
      </c>
      <c r="BM5" s="1" t="s">
        <v>74</v>
      </c>
      <c r="BN5" s="1" t="s">
        <v>74</v>
      </c>
      <c r="BO5" s="1" t="s">
        <v>74</v>
      </c>
      <c r="BP5" s="1" t="s">
        <v>74</v>
      </c>
      <c r="BQ5" s="1" t="s">
        <v>74</v>
      </c>
      <c r="BR5" s="1" t="s">
        <v>74</v>
      </c>
      <c r="BS5" s="1" t="s">
        <v>6491</v>
      </c>
      <c r="BT5" s="1" t="str">
        <f>HYPERLINK("https%3A%2F%2Fwww.webofscience.com%2Fwos%2Fwoscc%2Ffull-record%2FWOS:000348449000017","View Full Record in Web of Science")</f>
        <v>View Full Record in Web of Science</v>
      </c>
    </row>
    <row r="6" spans="1:72" s="2" customFormat="1" x14ac:dyDescent="0.4">
      <c r="A6" s="1" t="s">
        <v>72</v>
      </c>
      <c r="B6" s="1" t="s">
        <v>7654</v>
      </c>
      <c r="C6" s="1" t="s">
        <v>74</v>
      </c>
      <c r="D6" s="1" t="s">
        <v>74</v>
      </c>
      <c r="E6" s="1" t="s">
        <v>74</v>
      </c>
      <c r="F6" s="1" t="s">
        <v>7654</v>
      </c>
      <c r="G6" s="1" t="s">
        <v>74</v>
      </c>
      <c r="H6" s="1" t="s">
        <v>74</v>
      </c>
      <c r="I6" s="1" t="s">
        <v>7655</v>
      </c>
      <c r="J6" s="1" t="s">
        <v>140</v>
      </c>
      <c r="K6" s="1" t="s">
        <v>74</v>
      </c>
      <c r="L6" s="1" t="s">
        <v>74</v>
      </c>
      <c r="M6" s="1" t="s">
        <v>74</v>
      </c>
      <c r="N6" s="1" t="s">
        <v>74</v>
      </c>
      <c r="O6" s="1" t="s">
        <v>74</v>
      </c>
      <c r="P6" s="1" t="s">
        <v>74</v>
      </c>
      <c r="Q6" s="1" t="s">
        <v>74</v>
      </c>
      <c r="R6" s="1" t="s">
        <v>74</v>
      </c>
      <c r="S6" s="1" t="s">
        <v>74</v>
      </c>
      <c r="T6" s="1" t="s">
        <v>74</v>
      </c>
      <c r="U6" s="1" t="s">
        <v>74</v>
      </c>
      <c r="V6" s="4" t="s">
        <v>7656</v>
      </c>
      <c r="W6" s="1" t="s">
        <v>74</v>
      </c>
      <c r="X6" s="1" t="s">
        <v>74</v>
      </c>
      <c r="Y6" s="1" t="s">
        <v>74</v>
      </c>
      <c r="Z6" s="1" t="s">
        <v>74</v>
      </c>
      <c r="AA6" s="1" t="s">
        <v>74</v>
      </c>
      <c r="AB6" s="1" t="s">
        <v>74</v>
      </c>
      <c r="AC6" s="1" t="s">
        <v>74</v>
      </c>
      <c r="AD6" s="1" t="s">
        <v>74</v>
      </c>
      <c r="AE6" s="1" t="s">
        <v>74</v>
      </c>
      <c r="AF6" s="1" t="s">
        <v>74</v>
      </c>
      <c r="AG6" s="1" t="s">
        <v>74</v>
      </c>
      <c r="AH6" s="1" t="s">
        <v>74</v>
      </c>
      <c r="AI6" s="1" t="s">
        <v>74</v>
      </c>
      <c r="AJ6" s="1" t="s">
        <v>74</v>
      </c>
      <c r="AK6" s="1" t="s">
        <v>74</v>
      </c>
      <c r="AL6" s="1" t="s">
        <v>74</v>
      </c>
      <c r="AM6" s="1" t="s">
        <v>74</v>
      </c>
      <c r="AN6" s="1" t="s">
        <v>74</v>
      </c>
      <c r="AO6" s="1" t="s">
        <v>143</v>
      </c>
      <c r="AP6" s="1" t="s">
        <v>144</v>
      </c>
      <c r="AQ6" s="1" t="s">
        <v>74</v>
      </c>
      <c r="AR6" s="1" t="s">
        <v>74</v>
      </c>
      <c r="AS6" s="1" t="s">
        <v>74</v>
      </c>
      <c r="AT6" s="1" t="s">
        <v>633</v>
      </c>
      <c r="AU6" s="1">
        <v>1997</v>
      </c>
      <c r="AV6" s="1">
        <v>53</v>
      </c>
      <c r="AW6" s="1" t="s">
        <v>74</v>
      </c>
      <c r="AX6" s="1">
        <v>4</v>
      </c>
      <c r="AY6" s="1" t="s">
        <v>74</v>
      </c>
      <c r="AZ6" s="1" t="s">
        <v>74</v>
      </c>
      <c r="BA6" s="1" t="s">
        <v>74</v>
      </c>
      <c r="BB6" s="1">
        <v>819</v>
      </c>
      <c r="BC6" s="1">
        <v>833</v>
      </c>
      <c r="BD6" s="1" t="s">
        <v>74</v>
      </c>
      <c r="BE6" s="1" t="s">
        <v>7657</v>
      </c>
      <c r="BF6" s="1" t="str">
        <f>HYPERLINK("http://dx.doi.org/10.1006/anbe.1996.0347","http://dx.doi.org/10.1006/anbe.1996.0347")</f>
        <v>http://dx.doi.org/10.1006/anbe.1996.0347</v>
      </c>
      <c r="BG6" s="1" t="s">
        <v>74</v>
      </c>
      <c r="BH6" s="1" t="s">
        <v>74</v>
      </c>
      <c r="BI6" s="1" t="s">
        <v>74</v>
      </c>
      <c r="BJ6" s="1" t="s">
        <v>74</v>
      </c>
      <c r="BK6" s="1" t="s">
        <v>74</v>
      </c>
      <c r="BL6" s="1" t="s">
        <v>74</v>
      </c>
      <c r="BM6" s="1" t="s">
        <v>74</v>
      </c>
      <c r="BN6" s="1" t="s">
        <v>74</v>
      </c>
      <c r="BO6" s="1" t="s">
        <v>74</v>
      </c>
      <c r="BP6" s="1" t="s">
        <v>74</v>
      </c>
      <c r="BQ6" s="1" t="s">
        <v>74</v>
      </c>
      <c r="BR6" s="1" t="s">
        <v>74</v>
      </c>
      <c r="BS6" s="1" t="s">
        <v>7658</v>
      </c>
      <c r="BT6" s="1" t="str">
        <f>HYPERLINK("https%3A%2F%2Fwww.webofscience.com%2Fwos%2Fwoscc%2Ffull-record%2FWOS:A1997WW45300013","View Full Record in Web of Science")</f>
        <v>View Full Record in Web of Science</v>
      </c>
    </row>
    <row r="7" spans="1:72" s="2" customFormat="1" x14ac:dyDescent="0.4">
      <c r="A7" s="1" t="s">
        <v>72</v>
      </c>
      <c r="B7" s="1" t="s">
        <v>1016</v>
      </c>
      <c r="C7" s="1" t="s">
        <v>74</v>
      </c>
      <c r="D7" s="1" t="s">
        <v>74</v>
      </c>
      <c r="E7" s="1" t="s">
        <v>74</v>
      </c>
      <c r="F7" s="1" t="s">
        <v>1017</v>
      </c>
      <c r="G7" s="1" t="s">
        <v>74</v>
      </c>
      <c r="H7" s="1" t="s">
        <v>74</v>
      </c>
      <c r="I7" s="1" t="s">
        <v>1018</v>
      </c>
      <c r="J7" s="1" t="s">
        <v>140</v>
      </c>
      <c r="K7" s="1" t="s">
        <v>74</v>
      </c>
      <c r="L7" s="1" t="s">
        <v>74</v>
      </c>
      <c r="M7" s="1" t="s">
        <v>74</v>
      </c>
      <c r="N7" s="1" t="s">
        <v>74</v>
      </c>
      <c r="O7" s="1" t="s">
        <v>74</v>
      </c>
      <c r="P7" s="1" t="s">
        <v>74</v>
      </c>
      <c r="Q7" s="1" t="s">
        <v>74</v>
      </c>
      <c r="R7" s="1" t="s">
        <v>74</v>
      </c>
      <c r="S7" s="1" t="s">
        <v>74</v>
      </c>
      <c r="T7" s="1" t="s">
        <v>74</v>
      </c>
      <c r="U7" s="1" t="s">
        <v>74</v>
      </c>
      <c r="V7" s="4" t="s">
        <v>1019</v>
      </c>
      <c r="W7" s="1" t="s">
        <v>74</v>
      </c>
      <c r="X7" s="1" t="s">
        <v>74</v>
      </c>
      <c r="Y7" s="1" t="s">
        <v>74</v>
      </c>
      <c r="Z7" s="1" t="s">
        <v>74</v>
      </c>
      <c r="AA7" s="1" t="s">
        <v>74</v>
      </c>
      <c r="AB7" s="1" t="s">
        <v>1020</v>
      </c>
      <c r="AC7" s="1" t="s">
        <v>74</v>
      </c>
      <c r="AD7" s="1" t="s">
        <v>74</v>
      </c>
      <c r="AE7" s="1" t="s">
        <v>74</v>
      </c>
      <c r="AF7" s="1" t="s">
        <v>74</v>
      </c>
      <c r="AG7" s="1" t="s">
        <v>74</v>
      </c>
      <c r="AH7" s="1" t="s">
        <v>74</v>
      </c>
      <c r="AI7" s="1" t="s">
        <v>74</v>
      </c>
      <c r="AJ7" s="1" t="s">
        <v>74</v>
      </c>
      <c r="AK7" s="1" t="s">
        <v>74</v>
      </c>
      <c r="AL7" s="1" t="s">
        <v>74</v>
      </c>
      <c r="AM7" s="1" t="s">
        <v>74</v>
      </c>
      <c r="AN7" s="1" t="s">
        <v>74</v>
      </c>
      <c r="AO7" s="1" t="s">
        <v>143</v>
      </c>
      <c r="AP7" s="1" t="s">
        <v>144</v>
      </c>
      <c r="AQ7" s="1" t="s">
        <v>74</v>
      </c>
      <c r="AR7" s="1" t="s">
        <v>74</v>
      </c>
      <c r="AS7" s="1" t="s">
        <v>74</v>
      </c>
      <c r="AT7" s="1" t="s">
        <v>145</v>
      </c>
      <c r="AU7" s="1">
        <v>2018</v>
      </c>
      <c r="AV7" s="1">
        <v>142</v>
      </c>
      <c r="AW7" s="1" t="s">
        <v>74</v>
      </c>
      <c r="AX7" s="1" t="s">
        <v>74</v>
      </c>
      <c r="AY7" s="1" t="s">
        <v>74</v>
      </c>
      <c r="AZ7" s="1" t="s">
        <v>74</v>
      </c>
      <c r="BA7" s="1" t="s">
        <v>74</v>
      </c>
      <c r="BB7" s="1">
        <v>119</v>
      </c>
      <c r="BC7" s="1">
        <v>128</v>
      </c>
      <c r="BD7" s="1" t="s">
        <v>74</v>
      </c>
      <c r="BE7" s="1" t="s">
        <v>1021</v>
      </c>
      <c r="BF7" s="1" t="str">
        <f>HYPERLINK("http://dx.doi.org/10.1016/j.anbehav.2018.06.012","http://dx.doi.org/10.1016/j.anbehav.2018.06.012")</f>
        <v>http://dx.doi.org/10.1016/j.anbehav.2018.06.012</v>
      </c>
      <c r="BG7" s="1" t="s">
        <v>74</v>
      </c>
      <c r="BH7" s="1" t="s">
        <v>74</v>
      </c>
      <c r="BI7" s="1" t="s">
        <v>74</v>
      </c>
      <c r="BJ7" s="1" t="s">
        <v>74</v>
      </c>
      <c r="BK7" s="1" t="s">
        <v>74</v>
      </c>
      <c r="BL7" s="1" t="s">
        <v>74</v>
      </c>
      <c r="BM7" s="1" t="s">
        <v>74</v>
      </c>
      <c r="BN7" s="1" t="s">
        <v>74</v>
      </c>
      <c r="BO7" s="1" t="s">
        <v>74</v>
      </c>
      <c r="BP7" s="1" t="s">
        <v>74</v>
      </c>
      <c r="BQ7" s="1" t="s">
        <v>74</v>
      </c>
      <c r="BR7" s="1" t="s">
        <v>74</v>
      </c>
      <c r="BS7" s="1" t="s">
        <v>1022</v>
      </c>
      <c r="BT7" s="1" t="str">
        <f>HYPERLINK("https%3A%2F%2Fwww.webofscience.com%2Fwos%2Fwoscc%2Ffull-record%2FWOS:000441515500014","View Full Record in Web of Science")</f>
        <v>View Full Record in Web of Science</v>
      </c>
    </row>
    <row r="8" spans="1:72" s="2" customFormat="1" x14ac:dyDescent="0.4">
      <c r="A8" s="1" t="s">
        <v>72</v>
      </c>
      <c r="B8" s="1" t="s">
        <v>3874</v>
      </c>
      <c r="C8" s="1" t="s">
        <v>74</v>
      </c>
      <c r="D8" s="1" t="s">
        <v>74</v>
      </c>
      <c r="E8" s="1" t="s">
        <v>74</v>
      </c>
      <c r="F8" s="1" t="s">
        <v>3874</v>
      </c>
      <c r="G8" s="1" t="s">
        <v>74</v>
      </c>
      <c r="H8" s="1" t="s">
        <v>74</v>
      </c>
      <c r="I8" s="1" t="s">
        <v>3875</v>
      </c>
      <c r="J8" s="1" t="s">
        <v>140</v>
      </c>
      <c r="K8" s="1" t="s">
        <v>74</v>
      </c>
      <c r="L8" s="1" t="s">
        <v>74</v>
      </c>
      <c r="M8" s="1" t="s">
        <v>74</v>
      </c>
      <c r="N8" s="1" t="s">
        <v>74</v>
      </c>
      <c r="O8" s="1" t="s">
        <v>74</v>
      </c>
      <c r="P8" s="1" t="s">
        <v>74</v>
      </c>
      <c r="Q8" s="1" t="s">
        <v>74</v>
      </c>
      <c r="R8" s="1" t="s">
        <v>74</v>
      </c>
      <c r="S8" s="1" t="s">
        <v>74</v>
      </c>
      <c r="T8" s="1" t="s">
        <v>74</v>
      </c>
      <c r="U8" s="1" t="s">
        <v>74</v>
      </c>
      <c r="V8" s="4" t="s">
        <v>3876</v>
      </c>
      <c r="W8" s="1" t="s">
        <v>74</v>
      </c>
      <c r="X8" s="1" t="s">
        <v>74</v>
      </c>
      <c r="Y8" s="1" t="s">
        <v>74</v>
      </c>
      <c r="Z8" s="1" t="s">
        <v>74</v>
      </c>
      <c r="AA8" s="1" t="s">
        <v>74</v>
      </c>
      <c r="AB8" s="1" t="s">
        <v>74</v>
      </c>
      <c r="AC8" s="1" t="s">
        <v>74</v>
      </c>
      <c r="AD8" s="1" t="s">
        <v>74</v>
      </c>
      <c r="AE8" s="1" t="s">
        <v>74</v>
      </c>
      <c r="AF8" s="1" t="s">
        <v>74</v>
      </c>
      <c r="AG8" s="1" t="s">
        <v>74</v>
      </c>
      <c r="AH8" s="1" t="s">
        <v>74</v>
      </c>
      <c r="AI8" s="1" t="s">
        <v>74</v>
      </c>
      <c r="AJ8" s="1" t="s">
        <v>74</v>
      </c>
      <c r="AK8" s="1" t="s">
        <v>74</v>
      </c>
      <c r="AL8" s="1" t="s">
        <v>74</v>
      </c>
      <c r="AM8" s="1" t="s">
        <v>74</v>
      </c>
      <c r="AN8" s="1" t="s">
        <v>74</v>
      </c>
      <c r="AO8" s="1" t="s">
        <v>143</v>
      </c>
      <c r="AP8" s="1" t="s">
        <v>74</v>
      </c>
      <c r="AQ8" s="1" t="s">
        <v>74</v>
      </c>
      <c r="AR8" s="1" t="s">
        <v>74</v>
      </c>
      <c r="AS8" s="1" t="s">
        <v>74</v>
      </c>
      <c r="AT8" s="1" t="s">
        <v>175</v>
      </c>
      <c r="AU8" s="1">
        <v>1998</v>
      </c>
      <c r="AV8" s="1">
        <v>56</v>
      </c>
      <c r="AW8" s="1" t="s">
        <v>74</v>
      </c>
      <c r="AX8" s="1">
        <v>4</v>
      </c>
      <c r="AY8" s="1" t="s">
        <v>74</v>
      </c>
      <c r="AZ8" s="1" t="s">
        <v>74</v>
      </c>
      <c r="BA8" s="1" t="s">
        <v>74</v>
      </c>
      <c r="BB8" s="1">
        <v>1021</v>
      </c>
      <c r="BC8" s="1">
        <v>1026</v>
      </c>
      <c r="BD8" s="1" t="s">
        <v>74</v>
      </c>
      <c r="BE8" s="1" t="s">
        <v>3877</v>
      </c>
      <c r="BF8" s="1" t="str">
        <f>HYPERLINK("http://dx.doi.org/10.1006/anbe.1998.0868","http://dx.doi.org/10.1006/anbe.1998.0868")</f>
        <v>http://dx.doi.org/10.1006/anbe.1998.0868</v>
      </c>
      <c r="BG8" s="1" t="s">
        <v>74</v>
      </c>
      <c r="BH8" s="1" t="s">
        <v>74</v>
      </c>
      <c r="BI8" s="1" t="s">
        <v>74</v>
      </c>
      <c r="BJ8" s="1" t="s">
        <v>74</v>
      </c>
      <c r="BK8" s="1" t="s">
        <v>74</v>
      </c>
      <c r="BL8" s="1" t="s">
        <v>74</v>
      </c>
      <c r="BM8" s="1" t="s">
        <v>74</v>
      </c>
      <c r="BN8" s="1">
        <v>9790714</v>
      </c>
      <c r="BO8" s="1" t="s">
        <v>74</v>
      </c>
      <c r="BP8" s="1" t="s">
        <v>74</v>
      </c>
      <c r="BQ8" s="1" t="s">
        <v>74</v>
      </c>
      <c r="BR8" s="1" t="s">
        <v>74</v>
      </c>
      <c r="BS8" s="1" t="s">
        <v>3878</v>
      </c>
      <c r="BT8" s="1" t="str">
        <f>HYPERLINK("https%3A%2F%2Fwww.webofscience.com%2Fwos%2Fwoscc%2Ffull-record%2FWOS:000076755700025","View Full Record in Web of Science")</f>
        <v>View Full Record in Web of Science</v>
      </c>
    </row>
    <row r="9" spans="1:72" s="2" customFormat="1" x14ac:dyDescent="0.4">
      <c r="A9" s="1" t="s">
        <v>72</v>
      </c>
      <c r="B9" s="1" t="s">
        <v>1485</v>
      </c>
      <c r="C9" s="1" t="s">
        <v>74</v>
      </c>
      <c r="D9" s="1" t="s">
        <v>74</v>
      </c>
      <c r="E9" s="1" t="s">
        <v>74</v>
      </c>
      <c r="F9" s="1" t="s">
        <v>1486</v>
      </c>
      <c r="G9" s="1" t="s">
        <v>74</v>
      </c>
      <c r="H9" s="1" t="s">
        <v>74</v>
      </c>
      <c r="I9" s="1" t="s">
        <v>1487</v>
      </c>
      <c r="J9" s="1" t="s">
        <v>333</v>
      </c>
      <c r="K9" s="1" t="s">
        <v>74</v>
      </c>
      <c r="L9" s="1" t="s">
        <v>74</v>
      </c>
      <c r="M9" s="1" t="s">
        <v>74</v>
      </c>
      <c r="N9" s="1" t="s">
        <v>74</v>
      </c>
      <c r="O9" s="1" t="s">
        <v>74</v>
      </c>
      <c r="P9" s="1" t="s">
        <v>74</v>
      </c>
      <c r="Q9" s="1" t="s">
        <v>74</v>
      </c>
      <c r="R9" s="1" t="s">
        <v>74</v>
      </c>
      <c r="S9" s="1" t="s">
        <v>74</v>
      </c>
      <c r="T9" s="1" t="s">
        <v>74</v>
      </c>
      <c r="U9" s="1" t="s">
        <v>74</v>
      </c>
      <c r="V9" s="4" t="s">
        <v>1488</v>
      </c>
      <c r="W9" s="1" t="s">
        <v>74</v>
      </c>
      <c r="X9" s="1" t="s">
        <v>74</v>
      </c>
      <c r="Y9" s="1" t="s">
        <v>74</v>
      </c>
      <c r="Z9" s="1" t="s">
        <v>74</v>
      </c>
      <c r="AA9" s="1" t="s">
        <v>74</v>
      </c>
      <c r="AB9" s="1" t="s">
        <v>74</v>
      </c>
      <c r="AC9" s="1" t="s">
        <v>74</v>
      </c>
      <c r="AD9" s="1" t="s">
        <v>74</v>
      </c>
      <c r="AE9" s="1" t="s">
        <v>74</v>
      </c>
      <c r="AF9" s="1" t="s">
        <v>74</v>
      </c>
      <c r="AG9" s="1" t="s">
        <v>74</v>
      </c>
      <c r="AH9" s="1" t="s">
        <v>74</v>
      </c>
      <c r="AI9" s="1" t="s">
        <v>74</v>
      </c>
      <c r="AJ9" s="1" t="s">
        <v>74</v>
      </c>
      <c r="AK9" s="1" t="s">
        <v>74</v>
      </c>
      <c r="AL9" s="1" t="s">
        <v>74</v>
      </c>
      <c r="AM9" s="1" t="s">
        <v>74</v>
      </c>
      <c r="AN9" s="1" t="s">
        <v>74</v>
      </c>
      <c r="AO9" s="1" t="s">
        <v>337</v>
      </c>
      <c r="AP9" s="1" t="s">
        <v>338</v>
      </c>
      <c r="AQ9" s="1" t="s">
        <v>74</v>
      </c>
      <c r="AR9" s="1" t="s">
        <v>74</v>
      </c>
      <c r="AS9" s="1" t="s">
        <v>74</v>
      </c>
      <c r="AT9" s="1" t="s">
        <v>1475</v>
      </c>
      <c r="AU9" s="1">
        <v>2009</v>
      </c>
      <c r="AV9" s="1">
        <v>20</v>
      </c>
      <c r="AW9" s="1">
        <v>1</v>
      </c>
      <c r="AX9" s="1" t="s">
        <v>74</v>
      </c>
      <c r="AY9" s="1" t="s">
        <v>74</v>
      </c>
      <c r="AZ9" s="1" t="s">
        <v>74</v>
      </c>
      <c r="BA9" s="1" t="s">
        <v>74</v>
      </c>
      <c r="BB9" s="1">
        <v>180</v>
      </c>
      <c r="BC9" s="1">
        <v>185</v>
      </c>
      <c r="BD9" s="1" t="s">
        <v>74</v>
      </c>
      <c r="BE9" s="1" t="s">
        <v>1489</v>
      </c>
      <c r="BF9" s="1" t="str">
        <f>HYPERLINK("http://dx.doi.org/10.1093/beheco/arn132","http://dx.doi.org/10.1093/beheco/arn132")</f>
        <v>http://dx.doi.org/10.1093/beheco/arn132</v>
      </c>
      <c r="BG9" s="1" t="s">
        <v>74</v>
      </c>
      <c r="BH9" s="1" t="s">
        <v>74</v>
      </c>
      <c r="BI9" s="1" t="s">
        <v>74</v>
      </c>
      <c r="BJ9" s="1" t="s">
        <v>74</v>
      </c>
      <c r="BK9" s="1" t="s">
        <v>74</v>
      </c>
      <c r="BL9" s="1" t="s">
        <v>74</v>
      </c>
      <c r="BM9" s="1" t="s">
        <v>74</v>
      </c>
      <c r="BN9" s="1" t="s">
        <v>74</v>
      </c>
      <c r="BO9" s="1" t="s">
        <v>74</v>
      </c>
      <c r="BP9" s="1" t="s">
        <v>74</v>
      </c>
      <c r="BQ9" s="1" t="s">
        <v>74</v>
      </c>
      <c r="BR9" s="1" t="s">
        <v>74</v>
      </c>
      <c r="BS9" s="1" t="s">
        <v>1490</v>
      </c>
      <c r="BT9" s="1" t="str">
        <f>HYPERLINK("https%3A%2F%2Fwww.webofscience.com%2Fwos%2Fwoscc%2Ffull-record%2FWOS:000262152300024","View Full Record in Web of Science")</f>
        <v>View Full Record in Web of Science</v>
      </c>
    </row>
    <row r="10" spans="1:72" s="2" customFormat="1" x14ac:dyDescent="0.4">
      <c r="A10" s="1" t="s">
        <v>72</v>
      </c>
      <c r="B10" s="1" t="s">
        <v>528</v>
      </c>
      <c r="C10" s="1" t="s">
        <v>74</v>
      </c>
      <c r="D10" s="1" t="s">
        <v>74</v>
      </c>
      <c r="E10" s="1" t="s">
        <v>74</v>
      </c>
      <c r="F10" s="1" t="s">
        <v>528</v>
      </c>
      <c r="G10" s="1" t="s">
        <v>74</v>
      </c>
      <c r="H10" s="1" t="s">
        <v>74</v>
      </c>
      <c r="I10" s="1" t="s">
        <v>529</v>
      </c>
      <c r="J10" s="1" t="s">
        <v>530</v>
      </c>
      <c r="K10" s="1" t="s">
        <v>74</v>
      </c>
      <c r="L10" s="1" t="s">
        <v>74</v>
      </c>
      <c r="M10" s="1" t="s">
        <v>74</v>
      </c>
      <c r="N10" s="1" t="s">
        <v>74</v>
      </c>
      <c r="O10" s="1" t="s">
        <v>74</v>
      </c>
      <c r="P10" s="1" t="s">
        <v>74</v>
      </c>
      <c r="Q10" s="1" t="s">
        <v>74</v>
      </c>
      <c r="R10" s="1" t="s">
        <v>74</v>
      </c>
      <c r="S10" s="1" t="s">
        <v>74</v>
      </c>
      <c r="T10" s="1" t="s">
        <v>74</v>
      </c>
      <c r="U10" s="1" t="s">
        <v>74</v>
      </c>
      <c r="V10" s="4" t="s">
        <v>531</v>
      </c>
      <c r="W10" s="1" t="s">
        <v>74</v>
      </c>
      <c r="X10" s="1" t="s">
        <v>74</v>
      </c>
      <c r="Y10" s="1" t="s">
        <v>74</v>
      </c>
      <c r="Z10" s="1" t="s">
        <v>74</v>
      </c>
      <c r="AA10" s="1" t="s">
        <v>74</v>
      </c>
      <c r="AB10" s="1" t="s">
        <v>74</v>
      </c>
      <c r="AC10" s="1" t="s">
        <v>74</v>
      </c>
      <c r="AD10" s="1" t="s">
        <v>74</v>
      </c>
      <c r="AE10" s="1" t="s">
        <v>74</v>
      </c>
      <c r="AF10" s="1" t="s">
        <v>74</v>
      </c>
      <c r="AG10" s="1" t="s">
        <v>74</v>
      </c>
      <c r="AH10" s="1" t="s">
        <v>74</v>
      </c>
      <c r="AI10" s="1" t="s">
        <v>74</v>
      </c>
      <c r="AJ10" s="1" t="s">
        <v>74</v>
      </c>
      <c r="AK10" s="1" t="s">
        <v>74</v>
      </c>
      <c r="AL10" s="1" t="s">
        <v>74</v>
      </c>
      <c r="AM10" s="1" t="s">
        <v>74</v>
      </c>
      <c r="AN10" s="1" t="s">
        <v>74</v>
      </c>
      <c r="AO10" s="1" t="s">
        <v>532</v>
      </c>
      <c r="AP10" s="1" t="s">
        <v>533</v>
      </c>
      <c r="AQ10" s="1" t="s">
        <v>74</v>
      </c>
      <c r="AR10" s="1" t="s">
        <v>74</v>
      </c>
      <c r="AS10" s="1" t="s">
        <v>74</v>
      </c>
      <c r="AT10" s="1" t="s">
        <v>74</v>
      </c>
      <c r="AU10" s="1">
        <v>1981</v>
      </c>
      <c r="AV10" s="1">
        <v>64</v>
      </c>
      <c r="AW10" s="1">
        <v>1</v>
      </c>
      <c r="AX10" s="1" t="s">
        <v>74</v>
      </c>
      <c r="AY10" s="1" t="s">
        <v>74</v>
      </c>
      <c r="AZ10" s="1" t="s">
        <v>74</v>
      </c>
      <c r="BA10" s="1" t="s">
        <v>74</v>
      </c>
      <c r="BB10" s="1">
        <v>85</v>
      </c>
      <c r="BC10" s="1">
        <v>93</v>
      </c>
      <c r="BD10" s="1" t="s">
        <v>74</v>
      </c>
      <c r="BE10" s="1" t="s">
        <v>534</v>
      </c>
      <c r="BF10" s="1" t="str">
        <f>HYPERLINK("http://dx.doi.org/10.1007/BF00394084","http://dx.doi.org/10.1007/BF00394084")</f>
        <v>http://dx.doi.org/10.1007/BF00394084</v>
      </c>
      <c r="BG10" s="1" t="s">
        <v>74</v>
      </c>
      <c r="BH10" s="1" t="s">
        <v>74</v>
      </c>
      <c r="BI10" s="1" t="s">
        <v>74</v>
      </c>
      <c r="BJ10" s="1" t="s">
        <v>74</v>
      </c>
      <c r="BK10" s="1" t="s">
        <v>74</v>
      </c>
      <c r="BL10" s="1" t="s">
        <v>74</v>
      </c>
      <c r="BM10" s="1" t="s">
        <v>74</v>
      </c>
      <c r="BN10" s="1" t="s">
        <v>74</v>
      </c>
      <c r="BO10" s="1" t="s">
        <v>74</v>
      </c>
      <c r="BP10" s="1" t="s">
        <v>74</v>
      </c>
      <c r="BQ10" s="1" t="s">
        <v>74</v>
      </c>
      <c r="BR10" s="1" t="s">
        <v>74</v>
      </c>
      <c r="BS10" s="1" t="s">
        <v>535</v>
      </c>
      <c r="BT10" s="1" t="str">
        <f>HYPERLINK("https%3A%2F%2Fwww.webofscience.com%2Fwos%2Fwoscc%2Ffull-record%2FWOS:A1981MG93600010","View Full Record in Web of Science")</f>
        <v>View Full Record in Web of Science</v>
      </c>
    </row>
    <row r="11" spans="1:72" s="2" customFormat="1" x14ac:dyDescent="0.4">
      <c r="A11" s="1" t="s">
        <v>72</v>
      </c>
      <c r="B11" s="1" t="s">
        <v>1862</v>
      </c>
      <c r="C11" s="1" t="s">
        <v>74</v>
      </c>
      <c r="D11" s="1" t="s">
        <v>74</v>
      </c>
      <c r="E11" s="1" t="s">
        <v>74</v>
      </c>
      <c r="F11" s="1" t="s">
        <v>1863</v>
      </c>
      <c r="G11" s="1" t="s">
        <v>74</v>
      </c>
      <c r="H11" s="1" t="s">
        <v>74</v>
      </c>
      <c r="I11" s="1" t="s">
        <v>1864</v>
      </c>
      <c r="J11" s="1" t="s">
        <v>77</v>
      </c>
      <c r="K11" s="1" t="s">
        <v>74</v>
      </c>
      <c r="L11" s="1" t="s">
        <v>74</v>
      </c>
      <c r="M11" s="1" t="s">
        <v>74</v>
      </c>
      <c r="N11" s="1" t="s">
        <v>74</v>
      </c>
      <c r="O11" s="1" t="s">
        <v>74</v>
      </c>
      <c r="P11" s="1" t="s">
        <v>74</v>
      </c>
      <c r="Q11" s="1" t="s">
        <v>74</v>
      </c>
      <c r="R11" s="1" t="s">
        <v>74</v>
      </c>
      <c r="S11" s="1" t="s">
        <v>74</v>
      </c>
      <c r="T11" s="1" t="s">
        <v>74</v>
      </c>
      <c r="U11" s="1" t="s">
        <v>74</v>
      </c>
      <c r="V11" s="4" t="s">
        <v>1865</v>
      </c>
      <c r="W11" s="1" t="s">
        <v>74</v>
      </c>
      <c r="X11" s="1" t="s">
        <v>74</v>
      </c>
      <c r="Y11" s="1" t="s">
        <v>74</v>
      </c>
      <c r="Z11" s="1" t="s">
        <v>74</v>
      </c>
      <c r="AA11" s="1" t="s">
        <v>74</v>
      </c>
      <c r="AB11" s="1" t="s">
        <v>74</v>
      </c>
      <c r="AC11" s="1" t="s">
        <v>74</v>
      </c>
      <c r="AD11" s="1" t="s">
        <v>74</v>
      </c>
      <c r="AE11" s="1" t="s">
        <v>74</v>
      </c>
      <c r="AF11" s="1" t="s">
        <v>74</v>
      </c>
      <c r="AG11" s="1" t="s">
        <v>74</v>
      </c>
      <c r="AH11" s="1" t="s">
        <v>74</v>
      </c>
      <c r="AI11" s="1" t="s">
        <v>74</v>
      </c>
      <c r="AJ11" s="1" t="s">
        <v>74</v>
      </c>
      <c r="AK11" s="1" t="s">
        <v>74</v>
      </c>
      <c r="AL11" s="1" t="s">
        <v>74</v>
      </c>
      <c r="AM11" s="1" t="s">
        <v>74</v>
      </c>
      <c r="AN11" s="1" t="s">
        <v>74</v>
      </c>
      <c r="AO11" s="1" t="s">
        <v>81</v>
      </c>
      <c r="AP11" s="1" t="s">
        <v>82</v>
      </c>
      <c r="AQ11" s="1" t="s">
        <v>74</v>
      </c>
      <c r="AR11" s="1" t="s">
        <v>74</v>
      </c>
      <c r="AS11" s="1" t="s">
        <v>74</v>
      </c>
      <c r="AT11" s="1" t="s">
        <v>74</v>
      </c>
      <c r="AU11" s="1">
        <v>2018</v>
      </c>
      <c r="AV11" s="1">
        <v>155</v>
      </c>
      <c r="AW11" s="1">
        <v>6</v>
      </c>
      <c r="AX11" s="1" t="s">
        <v>74</v>
      </c>
      <c r="AY11" s="1" t="s">
        <v>74</v>
      </c>
      <c r="AZ11" s="1" t="s">
        <v>74</v>
      </c>
      <c r="BA11" s="1" t="s">
        <v>74</v>
      </c>
      <c r="BB11" s="1">
        <v>443</v>
      </c>
      <c r="BC11" s="1">
        <v>463</v>
      </c>
      <c r="BD11" s="1" t="s">
        <v>74</v>
      </c>
      <c r="BE11" s="1" t="s">
        <v>1866</v>
      </c>
      <c r="BF11" s="1" t="str">
        <f>HYPERLINK("http://dx.doi.org/10.1163/1568539X-00003498","http://dx.doi.org/10.1163/1568539X-00003498")</f>
        <v>http://dx.doi.org/10.1163/1568539X-00003498</v>
      </c>
      <c r="BG11" s="1" t="s">
        <v>74</v>
      </c>
      <c r="BH11" s="1" t="s">
        <v>74</v>
      </c>
      <c r="BI11" s="1" t="s">
        <v>74</v>
      </c>
      <c r="BJ11" s="1" t="s">
        <v>74</v>
      </c>
      <c r="BK11" s="1" t="s">
        <v>74</v>
      </c>
      <c r="BL11" s="1" t="s">
        <v>74</v>
      </c>
      <c r="BM11" s="1" t="s">
        <v>74</v>
      </c>
      <c r="BN11" s="1" t="s">
        <v>74</v>
      </c>
      <c r="BO11" s="1" t="s">
        <v>74</v>
      </c>
      <c r="BP11" s="1" t="s">
        <v>74</v>
      </c>
      <c r="BQ11" s="1" t="s">
        <v>74</v>
      </c>
      <c r="BR11" s="1" t="s">
        <v>74</v>
      </c>
      <c r="BS11" s="1" t="s">
        <v>1867</v>
      </c>
      <c r="BT11" s="1" t="str">
        <f>HYPERLINK("https%3A%2F%2Fwww.webofscience.com%2Fwos%2Fwoscc%2Ffull-record%2FWOS:000437348800001","View Full Record in Web of Science")</f>
        <v>View Full Record in Web of Science</v>
      </c>
    </row>
    <row r="12" spans="1:72" s="2" customFormat="1" x14ac:dyDescent="0.4">
      <c r="A12" s="1" t="s">
        <v>72</v>
      </c>
      <c r="B12" s="1" t="s">
        <v>643</v>
      </c>
      <c r="C12" s="1" t="s">
        <v>74</v>
      </c>
      <c r="D12" s="1" t="s">
        <v>74</v>
      </c>
      <c r="E12" s="1" t="s">
        <v>74</v>
      </c>
      <c r="F12" s="1" t="s">
        <v>644</v>
      </c>
      <c r="G12" s="1" t="s">
        <v>74</v>
      </c>
      <c r="H12" s="1" t="s">
        <v>74</v>
      </c>
      <c r="I12" s="1" t="s">
        <v>645</v>
      </c>
      <c r="J12" s="1" t="s">
        <v>129</v>
      </c>
      <c r="K12" s="1" t="s">
        <v>74</v>
      </c>
      <c r="L12" s="1" t="s">
        <v>74</v>
      </c>
      <c r="M12" s="1" t="s">
        <v>74</v>
      </c>
      <c r="N12" s="1" t="s">
        <v>74</v>
      </c>
      <c r="O12" s="1" t="s">
        <v>74</v>
      </c>
      <c r="P12" s="1" t="s">
        <v>74</v>
      </c>
      <c r="Q12" s="1" t="s">
        <v>74</v>
      </c>
      <c r="R12" s="1" t="s">
        <v>74</v>
      </c>
      <c r="S12" s="1" t="s">
        <v>74</v>
      </c>
      <c r="T12" s="1" t="s">
        <v>74</v>
      </c>
      <c r="U12" s="1" t="s">
        <v>74</v>
      </c>
      <c r="V12" s="4" t="s">
        <v>646</v>
      </c>
      <c r="W12" s="1" t="s">
        <v>74</v>
      </c>
      <c r="X12" s="1" t="s">
        <v>74</v>
      </c>
      <c r="Y12" s="1" t="s">
        <v>74</v>
      </c>
      <c r="Z12" s="1" t="s">
        <v>74</v>
      </c>
      <c r="AA12" s="1" t="s">
        <v>647</v>
      </c>
      <c r="AB12" s="1" t="s">
        <v>648</v>
      </c>
      <c r="AC12" s="1" t="s">
        <v>74</v>
      </c>
      <c r="AD12" s="1" t="s">
        <v>74</v>
      </c>
      <c r="AE12" s="1" t="s">
        <v>74</v>
      </c>
      <c r="AF12" s="1" t="s">
        <v>74</v>
      </c>
      <c r="AG12" s="1" t="s">
        <v>74</v>
      </c>
      <c r="AH12" s="1" t="s">
        <v>74</v>
      </c>
      <c r="AI12" s="1" t="s">
        <v>74</v>
      </c>
      <c r="AJ12" s="1" t="s">
        <v>74</v>
      </c>
      <c r="AK12" s="1" t="s">
        <v>74</v>
      </c>
      <c r="AL12" s="1" t="s">
        <v>74</v>
      </c>
      <c r="AM12" s="1" t="s">
        <v>74</v>
      </c>
      <c r="AN12" s="1" t="s">
        <v>74</v>
      </c>
      <c r="AO12" s="1" t="s">
        <v>132</v>
      </c>
      <c r="AP12" s="1" t="s">
        <v>133</v>
      </c>
      <c r="AQ12" s="1" t="s">
        <v>74</v>
      </c>
      <c r="AR12" s="1" t="s">
        <v>74</v>
      </c>
      <c r="AS12" s="1" t="s">
        <v>74</v>
      </c>
      <c r="AT12" s="1" t="s">
        <v>102</v>
      </c>
      <c r="AU12" s="1">
        <v>2019</v>
      </c>
      <c r="AV12" s="1">
        <v>73</v>
      </c>
      <c r="AW12" s="1">
        <v>6</v>
      </c>
      <c r="AX12" s="1" t="s">
        <v>74</v>
      </c>
      <c r="AY12" s="1" t="s">
        <v>74</v>
      </c>
      <c r="AZ12" s="1" t="s">
        <v>74</v>
      </c>
      <c r="BA12" s="1" t="s">
        <v>74</v>
      </c>
      <c r="BB12" s="1" t="s">
        <v>74</v>
      </c>
      <c r="BC12" s="1" t="s">
        <v>74</v>
      </c>
      <c r="BD12" s="1">
        <v>72</v>
      </c>
      <c r="BE12" s="1" t="s">
        <v>649</v>
      </c>
      <c r="BF12" s="1" t="str">
        <f>HYPERLINK("http://dx.doi.org/10.1007/s00265-019-2673-0","http://dx.doi.org/10.1007/s00265-019-2673-0")</f>
        <v>http://dx.doi.org/10.1007/s00265-019-2673-0</v>
      </c>
      <c r="BG12" s="1" t="s">
        <v>74</v>
      </c>
      <c r="BH12" s="1" t="s">
        <v>74</v>
      </c>
      <c r="BI12" s="1" t="s">
        <v>74</v>
      </c>
      <c r="BJ12" s="1" t="s">
        <v>74</v>
      </c>
      <c r="BK12" s="1" t="s">
        <v>74</v>
      </c>
      <c r="BL12" s="1" t="s">
        <v>74</v>
      </c>
      <c r="BM12" s="1" t="s">
        <v>74</v>
      </c>
      <c r="BN12" s="1" t="s">
        <v>74</v>
      </c>
      <c r="BO12" s="1" t="s">
        <v>74</v>
      </c>
      <c r="BP12" s="1" t="s">
        <v>74</v>
      </c>
      <c r="BQ12" s="1" t="s">
        <v>74</v>
      </c>
      <c r="BR12" s="1" t="s">
        <v>74</v>
      </c>
      <c r="BS12" s="1" t="s">
        <v>650</v>
      </c>
      <c r="BT12" s="1" t="str">
        <f>HYPERLINK("https%3A%2F%2Fwww.webofscience.com%2Fwos%2Fwoscc%2Ffull-record%2FWOS:000467390400001","View Full Record in Web of Science")</f>
        <v>View Full Record in Web of Science</v>
      </c>
    </row>
    <row r="13" spans="1:72" s="2" customFormat="1" x14ac:dyDescent="0.4">
      <c r="A13" s="1" t="s">
        <v>72</v>
      </c>
      <c r="B13" s="1" t="s">
        <v>8739</v>
      </c>
      <c r="C13" s="1" t="s">
        <v>74</v>
      </c>
      <c r="D13" s="1" t="s">
        <v>74</v>
      </c>
      <c r="E13" s="1" t="s">
        <v>74</v>
      </c>
      <c r="F13" s="1" t="s">
        <v>8740</v>
      </c>
      <c r="G13" s="1" t="s">
        <v>74</v>
      </c>
      <c r="H13" s="1" t="s">
        <v>74</v>
      </c>
      <c r="I13" s="1" t="s">
        <v>8741</v>
      </c>
      <c r="J13" s="1" t="s">
        <v>8742</v>
      </c>
      <c r="K13" s="1" t="s">
        <v>74</v>
      </c>
      <c r="L13" s="1" t="s">
        <v>74</v>
      </c>
      <c r="M13" s="1" t="s">
        <v>74</v>
      </c>
      <c r="N13" s="1" t="s">
        <v>74</v>
      </c>
      <c r="O13" s="1" t="s">
        <v>74</v>
      </c>
      <c r="P13" s="1" t="s">
        <v>74</v>
      </c>
      <c r="Q13" s="1" t="s">
        <v>74</v>
      </c>
      <c r="R13" s="1" t="s">
        <v>74</v>
      </c>
      <c r="S13" s="1" t="s">
        <v>74</v>
      </c>
      <c r="T13" s="1" t="s">
        <v>74</v>
      </c>
      <c r="U13" s="1" t="s">
        <v>74</v>
      </c>
      <c r="V13" s="4" t="s">
        <v>8743</v>
      </c>
      <c r="W13" s="1" t="s">
        <v>74</v>
      </c>
      <c r="X13" s="1" t="s">
        <v>74</v>
      </c>
      <c r="Y13" s="1" t="s">
        <v>74</v>
      </c>
      <c r="Z13" s="1" t="s">
        <v>74</v>
      </c>
      <c r="AA13" s="1" t="s">
        <v>8744</v>
      </c>
      <c r="AB13" s="1" t="s">
        <v>74</v>
      </c>
      <c r="AC13" s="1" t="s">
        <v>74</v>
      </c>
      <c r="AD13" s="1" t="s">
        <v>74</v>
      </c>
      <c r="AE13" s="1" t="s">
        <v>74</v>
      </c>
      <c r="AF13" s="1" t="s">
        <v>74</v>
      </c>
      <c r="AG13" s="1" t="s">
        <v>74</v>
      </c>
      <c r="AH13" s="1" t="s">
        <v>74</v>
      </c>
      <c r="AI13" s="1" t="s">
        <v>74</v>
      </c>
      <c r="AJ13" s="1" t="s">
        <v>74</v>
      </c>
      <c r="AK13" s="1" t="s">
        <v>74</v>
      </c>
      <c r="AL13" s="1" t="s">
        <v>74</v>
      </c>
      <c r="AM13" s="1" t="s">
        <v>74</v>
      </c>
      <c r="AN13" s="1" t="s">
        <v>74</v>
      </c>
      <c r="AO13" s="1" t="s">
        <v>8745</v>
      </c>
      <c r="AP13" s="1" t="s">
        <v>74</v>
      </c>
      <c r="AQ13" s="1" t="s">
        <v>74</v>
      </c>
      <c r="AR13" s="1" t="s">
        <v>74</v>
      </c>
      <c r="AS13" s="1" t="s">
        <v>74</v>
      </c>
      <c r="AT13" s="1" t="s">
        <v>1146</v>
      </c>
      <c r="AU13" s="1">
        <v>2014</v>
      </c>
      <c r="AV13" s="1">
        <v>8</v>
      </c>
      <c r="AW13" s="1" t="s">
        <v>74</v>
      </c>
      <c r="AX13" s="1" t="s">
        <v>74</v>
      </c>
      <c r="AY13" s="1" t="s">
        <v>74</v>
      </c>
      <c r="AZ13" s="1" t="s">
        <v>74</v>
      </c>
      <c r="BA13" s="1" t="s">
        <v>74</v>
      </c>
      <c r="BB13" s="1" t="s">
        <v>74</v>
      </c>
      <c r="BC13" s="1" t="s">
        <v>74</v>
      </c>
      <c r="BD13" s="1">
        <v>259</v>
      </c>
      <c r="BE13" s="1" t="s">
        <v>8746</v>
      </c>
      <c r="BF13" s="1" t="str">
        <f>HYPERLINK("http://dx.doi.org/10.3389/fnbeh.2014.00259","http://dx.doi.org/10.3389/fnbeh.2014.00259")</f>
        <v>http://dx.doi.org/10.3389/fnbeh.2014.00259</v>
      </c>
      <c r="BG13" s="1" t="s">
        <v>74</v>
      </c>
      <c r="BH13" s="1" t="s">
        <v>74</v>
      </c>
      <c r="BI13" s="1" t="s">
        <v>74</v>
      </c>
      <c r="BJ13" s="1" t="s">
        <v>74</v>
      </c>
      <c r="BK13" s="1" t="s">
        <v>74</v>
      </c>
      <c r="BL13" s="1" t="s">
        <v>74</v>
      </c>
      <c r="BM13" s="1" t="s">
        <v>74</v>
      </c>
      <c r="BN13" s="1">
        <v>25136298</v>
      </c>
      <c r="BO13" s="1" t="s">
        <v>74</v>
      </c>
      <c r="BP13" s="1" t="s">
        <v>74</v>
      </c>
      <c r="BQ13" s="1" t="s">
        <v>74</v>
      </c>
      <c r="BR13" s="1" t="s">
        <v>74</v>
      </c>
      <c r="BS13" s="1" t="s">
        <v>8747</v>
      </c>
      <c r="BT13" s="1" t="str">
        <f>HYPERLINK("https%3A%2F%2Fwww.webofscience.com%2Fwos%2Fwoscc%2Ffull-record%2FWOS:000340901400001","View Full Record in Web of Science")</f>
        <v>View Full Record in Web of Science</v>
      </c>
    </row>
    <row r="14" spans="1:72" s="2" customFormat="1" x14ac:dyDescent="0.4">
      <c r="A14" s="1" t="s">
        <v>72</v>
      </c>
      <c r="B14" s="1" t="s">
        <v>4026</v>
      </c>
      <c r="C14" s="1" t="s">
        <v>74</v>
      </c>
      <c r="D14" s="1" t="s">
        <v>74</v>
      </c>
      <c r="E14" s="1" t="s">
        <v>74</v>
      </c>
      <c r="F14" s="1" t="s">
        <v>4027</v>
      </c>
      <c r="G14" s="1" t="s">
        <v>74</v>
      </c>
      <c r="H14" s="1" t="s">
        <v>74</v>
      </c>
      <c r="I14" s="1" t="s">
        <v>4028</v>
      </c>
      <c r="J14" s="1" t="s">
        <v>140</v>
      </c>
      <c r="K14" s="1" t="s">
        <v>74</v>
      </c>
      <c r="L14" s="1" t="s">
        <v>74</v>
      </c>
      <c r="M14" s="1" t="s">
        <v>74</v>
      </c>
      <c r="N14" s="1" t="s">
        <v>74</v>
      </c>
      <c r="O14" s="1" t="s">
        <v>74</v>
      </c>
      <c r="P14" s="1" t="s">
        <v>74</v>
      </c>
      <c r="Q14" s="1" t="s">
        <v>74</v>
      </c>
      <c r="R14" s="1" t="s">
        <v>74</v>
      </c>
      <c r="S14" s="1" t="s">
        <v>74</v>
      </c>
      <c r="T14" s="1" t="s">
        <v>74</v>
      </c>
      <c r="U14" s="1" t="s">
        <v>74</v>
      </c>
      <c r="V14" s="4" t="s">
        <v>4029</v>
      </c>
      <c r="W14" s="1" t="s">
        <v>74</v>
      </c>
      <c r="X14" s="1" t="s">
        <v>74</v>
      </c>
      <c r="Y14" s="1" t="s">
        <v>74</v>
      </c>
      <c r="Z14" s="1" t="s">
        <v>74</v>
      </c>
      <c r="AA14" s="1" t="s">
        <v>4030</v>
      </c>
      <c r="AB14" s="1" t="s">
        <v>74</v>
      </c>
      <c r="AC14" s="1" t="s">
        <v>74</v>
      </c>
      <c r="AD14" s="1" t="s">
        <v>74</v>
      </c>
      <c r="AE14" s="1" t="s">
        <v>74</v>
      </c>
      <c r="AF14" s="1" t="s">
        <v>74</v>
      </c>
      <c r="AG14" s="1" t="s">
        <v>74</v>
      </c>
      <c r="AH14" s="1" t="s">
        <v>74</v>
      </c>
      <c r="AI14" s="1" t="s">
        <v>74</v>
      </c>
      <c r="AJ14" s="1" t="s">
        <v>74</v>
      </c>
      <c r="AK14" s="1" t="s">
        <v>74</v>
      </c>
      <c r="AL14" s="1" t="s">
        <v>74</v>
      </c>
      <c r="AM14" s="1" t="s">
        <v>74</v>
      </c>
      <c r="AN14" s="1" t="s">
        <v>74</v>
      </c>
      <c r="AO14" s="1" t="s">
        <v>143</v>
      </c>
      <c r="AP14" s="1" t="s">
        <v>144</v>
      </c>
      <c r="AQ14" s="1" t="s">
        <v>74</v>
      </c>
      <c r="AR14" s="1" t="s">
        <v>74</v>
      </c>
      <c r="AS14" s="1" t="s">
        <v>74</v>
      </c>
      <c r="AT14" s="1" t="s">
        <v>352</v>
      </c>
      <c r="AU14" s="1">
        <v>2008</v>
      </c>
      <c r="AV14" s="1">
        <v>76</v>
      </c>
      <c r="AW14" s="1" t="s">
        <v>74</v>
      </c>
      <c r="AX14" s="1">
        <v>3</v>
      </c>
      <c r="AY14" s="1" t="s">
        <v>74</v>
      </c>
      <c r="AZ14" s="1" t="s">
        <v>74</v>
      </c>
      <c r="BA14" s="1" t="s">
        <v>74</v>
      </c>
      <c r="BB14" s="1">
        <v>657</v>
      </c>
      <c r="BC14" s="1">
        <v>667</v>
      </c>
      <c r="BD14" s="1" t="s">
        <v>74</v>
      </c>
      <c r="BE14" s="1" t="s">
        <v>4031</v>
      </c>
      <c r="BF14" s="1" t="str">
        <f>HYPERLINK("http://dx.doi.org/10.1016/j.anbehav.2008.03.014","http://dx.doi.org/10.1016/j.anbehav.2008.03.014")</f>
        <v>http://dx.doi.org/10.1016/j.anbehav.2008.03.014</v>
      </c>
      <c r="BG14" s="1" t="s">
        <v>74</v>
      </c>
      <c r="BH14" s="1" t="s">
        <v>74</v>
      </c>
      <c r="BI14" s="1" t="s">
        <v>74</v>
      </c>
      <c r="BJ14" s="1" t="s">
        <v>74</v>
      </c>
      <c r="BK14" s="1" t="s">
        <v>74</v>
      </c>
      <c r="BL14" s="1" t="s">
        <v>74</v>
      </c>
      <c r="BM14" s="1" t="s">
        <v>74</v>
      </c>
      <c r="BN14" s="1" t="s">
        <v>74</v>
      </c>
      <c r="BO14" s="1" t="s">
        <v>74</v>
      </c>
      <c r="BP14" s="1" t="s">
        <v>74</v>
      </c>
      <c r="BQ14" s="1" t="s">
        <v>74</v>
      </c>
      <c r="BR14" s="1" t="s">
        <v>74</v>
      </c>
      <c r="BS14" s="1" t="s">
        <v>4032</v>
      </c>
      <c r="BT14" s="1" t="str">
        <f>HYPERLINK("https%3A%2F%2Fwww.webofscience.com%2Fwos%2Fwoscc%2Ffull-record%2FWOS:000258490800016","View Full Record in Web of Science")</f>
        <v>View Full Record in Web of Science</v>
      </c>
    </row>
    <row r="15" spans="1:72" s="2" customFormat="1" x14ac:dyDescent="0.4">
      <c r="A15" s="1" t="s">
        <v>72</v>
      </c>
      <c r="B15" s="1" t="s">
        <v>3203</v>
      </c>
      <c r="C15" s="1" t="s">
        <v>74</v>
      </c>
      <c r="D15" s="1" t="s">
        <v>74</v>
      </c>
      <c r="E15" s="1" t="s">
        <v>74</v>
      </c>
      <c r="F15" s="1" t="s">
        <v>3203</v>
      </c>
      <c r="G15" s="1" t="s">
        <v>74</v>
      </c>
      <c r="H15" s="1" t="s">
        <v>74</v>
      </c>
      <c r="I15" s="1" t="s">
        <v>3204</v>
      </c>
      <c r="J15" s="1" t="s">
        <v>509</v>
      </c>
      <c r="K15" s="1" t="s">
        <v>74</v>
      </c>
      <c r="L15" s="1" t="s">
        <v>74</v>
      </c>
      <c r="M15" s="1" t="s">
        <v>74</v>
      </c>
      <c r="N15" s="1" t="s">
        <v>74</v>
      </c>
      <c r="O15" s="1" t="s">
        <v>74</v>
      </c>
      <c r="P15" s="1" t="s">
        <v>74</v>
      </c>
      <c r="Q15" s="1" t="s">
        <v>74</v>
      </c>
      <c r="R15" s="1" t="s">
        <v>74</v>
      </c>
      <c r="S15" s="1" t="s">
        <v>74</v>
      </c>
      <c r="T15" s="1" t="s">
        <v>74</v>
      </c>
      <c r="U15" s="1" t="s">
        <v>74</v>
      </c>
      <c r="V15" s="4" t="s">
        <v>3205</v>
      </c>
      <c r="W15" s="1" t="s">
        <v>74</v>
      </c>
      <c r="X15" s="1" t="s">
        <v>74</v>
      </c>
      <c r="Y15" s="1" t="s">
        <v>74</v>
      </c>
      <c r="Z15" s="1" t="s">
        <v>74</v>
      </c>
      <c r="AA15" s="1" t="s">
        <v>74</v>
      </c>
      <c r="AB15" s="1" t="s">
        <v>74</v>
      </c>
      <c r="AC15" s="1" t="s">
        <v>74</v>
      </c>
      <c r="AD15" s="1" t="s">
        <v>74</v>
      </c>
      <c r="AE15" s="1" t="s">
        <v>74</v>
      </c>
      <c r="AF15" s="1" t="s">
        <v>74</v>
      </c>
      <c r="AG15" s="1" t="s">
        <v>74</v>
      </c>
      <c r="AH15" s="1" t="s">
        <v>74</v>
      </c>
      <c r="AI15" s="1" t="s">
        <v>74</v>
      </c>
      <c r="AJ15" s="1" t="s">
        <v>74</v>
      </c>
      <c r="AK15" s="1" t="s">
        <v>74</v>
      </c>
      <c r="AL15" s="1" t="s">
        <v>74</v>
      </c>
      <c r="AM15" s="1" t="s">
        <v>74</v>
      </c>
      <c r="AN15" s="1" t="s">
        <v>74</v>
      </c>
      <c r="AO15" s="1" t="s">
        <v>511</v>
      </c>
      <c r="AP15" s="1" t="s">
        <v>512</v>
      </c>
      <c r="AQ15" s="1" t="s">
        <v>74</v>
      </c>
      <c r="AR15" s="1" t="s">
        <v>74</v>
      </c>
      <c r="AS15" s="1" t="s">
        <v>74</v>
      </c>
      <c r="AT15" s="1" t="s">
        <v>123</v>
      </c>
      <c r="AU15" s="1">
        <v>2005</v>
      </c>
      <c r="AV15" s="1">
        <v>47</v>
      </c>
      <c r="AW15" s="1">
        <v>3</v>
      </c>
      <c r="AX15" s="1" t="s">
        <v>74</v>
      </c>
      <c r="AY15" s="1" t="s">
        <v>74</v>
      </c>
      <c r="AZ15" s="1" t="s">
        <v>74</v>
      </c>
      <c r="BA15" s="1" t="s">
        <v>74</v>
      </c>
      <c r="BB15" s="1">
        <v>336</v>
      </c>
      <c r="BC15" s="1">
        <v>342</v>
      </c>
      <c r="BD15" s="1" t="s">
        <v>74</v>
      </c>
      <c r="BE15" s="1" t="s">
        <v>3206</v>
      </c>
      <c r="BF15" s="1" t="str">
        <f>HYPERLINK("http://dx.doi.org/10.1016/j.yhbeh.2004.11.014","http://dx.doi.org/10.1016/j.yhbeh.2004.11.014")</f>
        <v>http://dx.doi.org/10.1016/j.yhbeh.2004.11.014</v>
      </c>
      <c r="BG15" s="1" t="s">
        <v>74</v>
      </c>
      <c r="BH15" s="1" t="s">
        <v>74</v>
      </c>
      <c r="BI15" s="1" t="s">
        <v>74</v>
      </c>
      <c r="BJ15" s="1" t="s">
        <v>74</v>
      </c>
      <c r="BK15" s="1" t="s">
        <v>74</v>
      </c>
      <c r="BL15" s="1" t="s">
        <v>74</v>
      </c>
      <c r="BM15" s="1" t="s">
        <v>74</v>
      </c>
      <c r="BN15" s="1">
        <v>15708763</v>
      </c>
      <c r="BO15" s="1" t="s">
        <v>74</v>
      </c>
      <c r="BP15" s="1" t="s">
        <v>74</v>
      </c>
      <c r="BQ15" s="1" t="s">
        <v>74</v>
      </c>
      <c r="BR15" s="1" t="s">
        <v>74</v>
      </c>
      <c r="BS15" s="1" t="s">
        <v>3207</v>
      </c>
      <c r="BT15" s="1" t="str">
        <f>HYPERLINK("https%3A%2F%2Fwww.webofscience.com%2Fwos%2Fwoscc%2Ffull-record%2FWOS:000227326100013","View Full Record in Web of Science")</f>
        <v>View Full Record in Web of Science</v>
      </c>
    </row>
    <row r="16" spans="1:72" s="2" customFormat="1" x14ac:dyDescent="0.4">
      <c r="A16" s="1" t="s">
        <v>72</v>
      </c>
      <c r="B16" s="1" t="s">
        <v>1524</v>
      </c>
      <c r="C16" s="1" t="s">
        <v>74</v>
      </c>
      <c r="D16" s="1" t="s">
        <v>74</v>
      </c>
      <c r="E16" s="1" t="s">
        <v>74</v>
      </c>
      <c r="F16" s="1" t="s">
        <v>1524</v>
      </c>
      <c r="G16" s="1" t="s">
        <v>74</v>
      </c>
      <c r="H16" s="1" t="s">
        <v>74</v>
      </c>
      <c r="I16" s="1" t="s">
        <v>1525</v>
      </c>
      <c r="J16" s="1" t="s">
        <v>1526</v>
      </c>
      <c r="K16" s="1" t="s">
        <v>74</v>
      </c>
      <c r="L16" s="1" t="s">
        <v>74</v>
      </c>
      <c r="M16" s="1" t="s">
        <v>74</v>
      </c>
      <c r="N16" s="1" t="s">
        <v>74</v>
      </c>
      <c r="O16" s="1" t="s">
        <v>74</v>
      </c>
      <c r="P16" s="1" t="s">
        <v>74</v>
      </c>
      <c r="Q16" s="1" t="s">
        <v>74</v>
      </c>
      <c r="R16" s="1" t="s">
        <v>74</v>
      </c>
      <c r="S16" s="1" t="s">
        <v>74</v>
      </c>
      <c r="T16" s="1" t="s">
        <v>74</v>
      </c>
      <c r="U16" s="1" t="s">
        <v>74</v>
      </c>
      <c r="V16" s="4" t="s">
        <v>1527</v>
      </c>
      <c r="W16" s="1" t="s">
        <v>74</v>
      </c>
      <c r="X16" s="1" t="s">
        <v>74</v>
      </c>
      <c r="Y16" s="1" t="s">
        <v>74</v>
      </c>
      <c r="Z16" s="1" t="s">
        <v>74</v>
      </c>
      <c r="AA16" s="1" t="s">
        <v>74</v>
      </c>
      <c r="AB16" s="1" t="s">
        <v>74</v>
      </c>
      <c r="AC16" s="1" t="s">
        <v>74</v>
      </c>
      <c r="AD16" s="1" t="s">
        <v>74</v>
      </c>
      <c r="AE16" s="1" t="s">
        <v>74</v>
      </c>
      <c r="AF16" s="1" t="s">
        <v>74</v>
      </c>
      <c r="AG16" s="1" t="s">
        <v>74</v>
      </c>
      <c r="AH16" s="1" t="s">
        <v>74</v>
      </c>
      <c r="AI16" s="1" t="s">
        <v>74</v>
      </c>
      <c r="AJ16" s="1" t="s">
        <v>74</v>
      </c>
      <c r="AK16" s="1" t="s">
        <v>74</v>
      </c>
      <c r="AL16" s="1" t="s">
        <v>74</v>
      </c>
      <c r="AM16" s="1" t="s">
        <v>74</v>
      </c>
      <c r="AN16" s="1" t="s">
        <v>74</v>
      </c>
      <c r="AO16" s="1" t="s">
        <v>1528</v>
      </c>
      <c r="AP16" s="1" t="s">
        <v>74</v>
      </c>
      <c r="AQ16" s="1" t="s">
        <v>74</v>
      </c>
      <c r="AR16" s="1" t="s">
        <v>74</v>
      </c>
      <c r="AS16" s="1" t="s">
        <v>74</v>
      </c>
      <c r="AT16" s="1" t="s">
        <v>213</v>
      </c>
      <c r="AU16" s="1">
        <v>1999</v>
      </c>
      <c r="AV16" s="1">
        <v>101</v>
      </c>
      <c r="AW16" s="1">
        <v>4</v>
      </c>
      <c r="AX16" s="1" t="s">
        <v>74</v>
      </c>
      <c r="AY16" s="1" t="s">
        <v>74</v>
      </c>
      <c r="AZ16" s="1" t="s">
        <v>74</v>
      </c>
      <c r="BA16" s="1" t="s">
        <v>74</v>
      </c>
      <c r="BB16" s="1">
        <v>842</v>
      </c>
      <c r="BC16" s="1">
        <v>845</v>
      </c>
      <c r="BD16" s="1" t="s">
        <v>74</v>
      </c>
      <c r="BE16" s="1" t="s">
        <v>1529</v>
      </c>
      <c r="BF16" s="1" t="str">
        <f>HYPERLINK("http://dx.doi.org/10.2307/1370072","http://dx.doi.org/10.2307/1370072")</f>
        <v>http://dx.doi.org/10.2307/1370072</v>
      </c>
      <c r="BG16" s="1" t="s">
        <v>74</v>
      </c>
      <c r="BH16" s="1" t="s">
        <v>74</v>
      </c>
      <c r="BI16" s="1" t="s">
        <v>74</v>
      </c>
      <c r="BJ16" s="1" t="s">
        <v>74</v>
      </c>
      <c r="BK16" s="1" t="s">
        <v>74</v>
      </c>
      <c r="BL16" s="1" t="s">
        <v>74</v>
      </c>
      <c r="BM16" s="1" t="s">
        <v>74</v>
      </c>
      <c r="BN16" s="1" t="s">
        <v>74</v>
      </c>
      <c r="BO16" s="1" t="s">
        <v>74</v>
      </c>
      <c r="BP16" s="1" t="s">
        <v>74</v>
      </c>
      <c r="BQ16" s="1" t="s">
        <v>74</v>
      </c>
      <c r="BR16" s="1" t="s">
        <v>74</v>
      </c>
      <c r="BS16" s="1" t="s">
        <v>1530</v>
      </c>
      <c r="BT16" s="1" t="str">
        <f>HYPERLINK("https%3A%2F%2Fwww.webofscience.com%2Fwos%2Fwoscc%2Ffull-record%2FWOS:000083884100014","View Full Record in Web of Science")</f>
        <v>View Full Record in Web of Science</v>
      </c>
    </row>
    <row r="17" spans="1:72" s="2" customFormat="1" x14ac:dyDescent="0.4">
      <c r="A17" s="1" t="s">
        <v>72</v>
      </c>
      <c r="B17" s="1" t="s">
        <v>3983</v>
      </c>
      <c r="C17" s="1" t="s">
        <v>74</v>
      </c>
      <c r="D17" s="1" t="s">
        <v>74</v>
      </c>
      <c r="E17" s="1" t="s">
        <v>74</v>
      </c>
      <c r="F17" s="1" t="s">
        <v>3984</v>
      </c>
      <c r="G17" s="1" t="s">
        <v>74</v>
      </c>
      <c r="H17" s="1" t="s">
        <v>74</v>
      </c>
      <c r="I17" s="1" t="s">
        <v>3985</v>
      </c>
      <c r="J17" s="1" t="s">
        <v>333</v>
      </c>
      <c r="K17" s="1" t="s">
        <v>74</v>
      </c>
      <c r="L17" s="1" t="s">
        <v>74</v>
      </c>
      <c r="M17" s="1" t="s">
        <v>74</v>
      </c>
      <c r="N17" s="1" t="s">
        <v>74</v>
      </c>
      <c r="O17" s="1" t="s">
        <v>74</v>
      </c>
      <c r="P17" s="1" t="s">
        <v>74</v>
      </c>
      <c r="Q17" s="1" t="s">
        <v>74</v>
      </c>
      <c r="R17" s="1" t="s">
        <v>74</v>
      </c>
      <c r="S17" s="1" t="s">
        <v>74</v>
      </c>
      <c r="T17" s="1" t="s">
        <v>74</v>
      </c>
      <c r="U17" s="1" t="s">
        <v>74</v>
      </c>
      <c r="V17" s="4" t="s">
        <v>3986</v>
      </c>
      <c r="W17" s="1" t="s">
        <v>74</v>
      </c>
      <c r="X17" s="1" t="s">
        <v>74</v>
      </c>
      <c r="Y17" s="1" t="s">
        <v>74</v>
      </c>
      <c r="Z17" s="1" t="s">
        <v>74</v>
      </c>
      <c r="AA17" s="1" t="s">
        <v>74</v>
      </c>
      <c r="AB17" s="1" t="s">
        <v>74</v>
      </c>
      <c r="AC17" s="1" t="s">
        <v>74</v>
      </c>
      <c r="AD17" s="1" t="s">
        <v>74</v>
      </c>
      <c r="AE17" s="1" t="s">
        <v>74</v>
      </c>
      <c r="AF17" s="1" t="s">
        <v>74</v>
      </c>
      <c r="AG17" s="1" t="s">
        <v>74</v>
      </c>
      <c r="AH17" s="1" t="s">
        <v>74</v>
      </c>
      <c r="AI17" s="1" t="s">
        <v>74</v>
      </c>
      <c r="AJ17" s="1" t="s">
        <v>74</v>
      </c>
      <c r="AK17" s="1" t="s">
        <v>74</v>
      </c>
      <c r="AL17" s="1" t="s">
        <v>74</v>
      </c>
      <c r="AM17" s="1" t="s">
        <v>74</v>
      </c>
      <c r="AN17" s="1" t="s">
        <v>74</v>
      </c>
      <c r="AO17" s="1" t="s">
        <v>337</v>
      </c>
      <c r="AP17" s="1" t="s">
        <v>338</v>
      </c>
      <c r="AQ17" s="1" t="s">
        <v>74</v>
      </c>
      <c r="AR17" s="1" t="s">
        <v>74</v>
      </c>
      <c r="AS17" s="1" t="s">
        <v>74</v>
      </c>
      <c r="AT17" s="1" t="s">
        <v>1038</v>
      </c>
      <c r="AU17" s="1">
        <v>2015</v>
      </c>
      <c r="AV17" s="1">
        <v>26</v>
      </c>
      <c r="AW17" s="1">
        <v>2</v>
      </c>
      <c r="AX17" s="1" t="s">
        <v>74</v>
      </c>
      <c r="AY17" s="1" t="s">
        <v>74</v>
      </c>
      <c r="AZ17" s="1" t="s">
        <v>74</v>
      </c>
      <c r="BA17" s="1" t="s">
        <v>74</v>
      </c>
      <c r="BB17" s="1">
        <v>560</v>
      </c>
      <c r="BC17" s="1">
        <v>568</v>
      </c>
      <c r="BD17" s="1" t="s">
        <v>74</v>
      </c>
      <c r="BE17" s="1" t="s">
        <v>3987</v>
      </c>
      <c r="BF17" s="1" t="str">
        <f>HYPERLINK("http://dx.doi.org/10.1093/beheco/aru231","http://dx.doi.org/10.1093/beheco/aru231")</f>
        <v>http://dx.doi.org/10.1093/beheco/aru231</v>
      </c>
      <c r="BG17" s="1" t="s">
        <v>74</v>
      </c>
      <c r="BH17" s="1" t="s">
        <v>74</v>
      </c>
      <c r="BI17" s="1" t="s">
        <v>74</v>
      </c>
      <c r="BJ17" s="1" t="s">
        <v>74</v>
      </c>
      <c r="BK17" s="1" t="s">
        <v>74</v>
      </c>
      <c r="BL17" s="1" t="s">
        <v>74</v>
      </c>
      <c r="BM17" s="1" t="s">
        <v>74</v>
      </c>
      <c r="BN17" s="1" t="s">
        <v>74</v>
      </c>
      <c r="BO17" s="1" t="s">
        <v>74</v>
      </c>
      <c r="BP17" s="1" t="s">
        <v>74</v>
      </c>
      <c r="BQ17" s="1" t="s">
        <v>74</v>
      </c>
      <c r="BR17" s="1" t="s">
        <v>74</v>
      </c>
      <c r="BS17" s="1" t="s">
        <v>3988</v>
      </c>
      <c r="BT17" s="1" t="str">
        <f>HYPERLINK("https%3A%2F%2Fwww.webofscience.com%2Fwos%2Fwoscc%2Ffull-record%2FWOS:000352271800037","View Full Record in Web of Science")</f>
        <v>View Full Record in Web of Science</v>
      </c>
    </row>
    <row r="18" spans="1:72" s="2" customFormat="1" x14ac:dyDescent="0.4">
      <c r="A18" s="1" t="s">
        <v>72</v>
      </c>
      <c r="B18" s="1" t="s">
        <v>7079</v>
      </c>
      <c r="C18" s="1" t="s">
        <v>74</v>
      </c>
      <c r="D18" s="1" t="s">
        <v>74</v>
      </c>
      <c r="E18" s="1" t="s">
        <v>74</v>
      </c>
      <c r="F18" s="1" t="s">
        <v>7080</v>
      </c>
      <c r="G18" s="1" t="s">
        <v>74</v>
      </c>
      <c r="H18" s="1" t="s">
        <v>74</v>
      </c>
      <c r="I18" s="1" t="s">
        <v>7081</v>
      </c>
      <c r="J18" s="1" t="s">
        <v>171</v>
      </c>
      <c r="K18" s="1" t="s">
        <v>74</v>
      </c>
      <c r="L18" s="1" t="s">
        <v>74</v>
      </c>
      <c r="M18" s="1" t="s">
        <v>74</v>
      </c>
      <c r="N18" s="1" t="s">
        <v>74</v>
      </c>
      <c r="O18" s="1" t="s">
        <v>74</v>
      </c>
      <c r="P18" s="1" t="s">
        <v>74</v>
      </c>
      <c r="Q18" s="1" t="s">
        <v>74</v>
      </c>
      <c r="R18" s="1" t="s">
        <v>74</v>
      </c>
      <c r="S18" s="1" t="s">
        <v>74</v>
      </c>
      <c r="T18" s="1" t="s">
        <v>74</v>
      </c>
      <c r="U18" s="1" t="s">
        <v>74</v>
      </c>
      <c r="V18" s="4" t="s">
        <v>7082</v>
      </c>
      <c r="W18" s="1" t="s">
        <v>74</v>
      </c>
      <c r="X18" s="1" t="s">
        <v>74</v>
      </c>
      <c r="Y18" s="1" t="s">
        <v>74</v>
      </c>
      <c r="Z18" s="1" t="s">
        <v>74</v>
      </c>
      <c r="AA18" s="1" t="s">
        <v>74</v>
      </c>
      <c r="AB18" s="1" t="s">
        <v>74</v>
      </c>
      <c r="AC18" s="1" t="s">
        <v>74</v>
      </c>
      <c r="AD18" s="1" t="s">
        <v>74</v>
      </c>
      <c r="AE18" s="1" t="s">
        <v>74</v>
      </c>
      <c r="AF18" s="1" t="s">
        <v>74</v>
      </c>
      <c r="AG18" s="1" t="s">
        <v>74</v>
      </c>
      <c r="AH18" s="1" t="s">
        <v>74</v>
      </c>
      <c r="AI18" s="1" t="s">
        <v>74</v>
      </c>
      <c r="AJ18" s="1" t="s">
        <v>74</v>
      </c>
      <c r="AK18" s="1" t="s">
        <v>74</v>
      </c>
      <c r="AL18" s="1" t="s">
        <v>74</v>
      </c>
      <c r="AM18" s="1" t="s">
        <v>74</v>
      </c>
      <c r="AN18" s="1" t="s">
        <v>74</v>
      </c>
      <c r="AO18" s="1" t="s">
        <v>173</v>
      </c>
      <c r="AP18" s="1" t="s">
        <v>174</v>
      </c>
      <c r="AQ18" s="1" t="s">
        <v>74</v>
      </c>
      <c r="AR18" s="1" t="s">
        <v>74</v>
      </c>
      <c r="AS18" s="1" t="s">
        <v>74</v>
      </c>
      <c r="AT18" s="1" t="s">
        <v>964</v>
      </c>
      <c r="AU18" s="1">
        <v>2011</v>
      </c>
      <c r="AV18" s="1">
        <v>65</v>
      </c>
      <c r="AW18" s="1">
        <v>2</v>
      </c>
      <c r="AX18" s="1" t="s">
        <v>74</v>
      </c>
      <c r="AY18" s="1" t="s">
        <v>74</v>
      </c>
      <c r="AZ18" s="1" t="s">
        <v>74</v>
      </c>
      <c r="BA18" s="1" t="s">
        <v>74</v>
      </c>
      <c r="BB18" s="1">
        <v>599</v>
      </c>
      <c r="BC18" s="1">
        <v>605</v>
      </c>
      <c r="BD18" s="1" t="s">
        <v>74</v>
      </c>
      <c r="BE18" s="1" t="s">
        <v>7083</v>
      </c>
      <c r="BF18" s="1" t="str">
        <f>HYPERLINK("http://dx.doi.org/10.1111/j.1558-5646.2010.01154.x","http://dx.doi.org/10.1111/j.1558-5646.2010.01154.x")</f>
        <v>http://dx.doi.org/10.1111/j.1558-5646.2010.01154.x</v>
      </c>
      <c r="BG18" s="1" t="s">
        <v>74</v>
      </c>
      <c r="BH18" s="1" t="s">
        <v>74</v>
      </c>
      <c r="BI18" s="1" t="s">
        <v>74</v>
      </c>
      <c r="BJ18" s="1" t="s">
        <v>74</v>
      </c>
      <c r="BK18" s="1" t="s">
        <v>74</v>
      </c>
      <c r="BL18" s="1" t="s">
        <v>74</v>
      </c>
      <c r="BM18" s="1" t="s">
        <v>74</v>
      </c>
      <c r="BN18" s="1">
        <v>21271999</v>
      </c>
      <c r="BO18" s="1" t="s">
        <v>74</v>
      </c>
      <c r="BP18" s="1" t="s">
        <v>74</v>
      </c>
      <c r="BQ18" s="1" t="s">
        <v>74</v>
      </c>
      <c r="BR18" s="1" t="s">
        <v>74</v>
      </c>
      <c r="BS18" s="1" t="s">
        <v>7084</v>
      </c>
      <c r="BT18" s="1" t="str">
        <f>HYPERLINK("https%3A%2F%2Fwww.webofscience.com%2Fwos%2Fwoscc%2Ffull-record%2FWOS:000286629100024","View Full Record in Web of Science")</f>
        <v>View Full Record in Web of Science</v>
      </c>
    </row>
    <row r="19" spans="1:72" s="2" customFormat="1" x14ac:dyDescent="0.4">
      <c r="A19" s="1" t="s">
        <v>72</v>
      </c>
      <c r="B19" s="1" t="s">
        <v>5785</v>
      </c>
      <c r="C19" s="1" t="s">
        <v>74</v>
      </c>
      <c r="D19" s="1" t="s">
        <v>74</v>
      </c>
      <c r="E19" s="1" t="s">
        <v>74</v>
      </c>
      <c r="F19" s="1" t="s">
        <v>5785</v>
      </c>
      <c r="G19" s="1" t="s">
        <v>74</v>
      </c>
      <c r="H19" s="1" t="s">
        <v>74</v>
      </c>
      <c r="I19" s="1" t="s">
        <v>5786</v>
      </c>
      <c r="J19" s="1" t="s">
        <v>431</v>
      </c>
      <c r="K19" s="1" t="s">
        <v>74</v>
      </c>
      <c r="L19" s="1" t="s">
        <v>74</v>
      </c>
      <c r="M19" s="1" t="s">
        <v>74</v>
      </c>
      <c r="N19" s="1" t="s">
        <v>74</v>
      </c>
      <c r="O19" s="1" t="s">
        <v>74</v>
      </c>
      <c r="P19" s="1" t="s">
        <v>74</v>
      </c>
      <c r="Q19" s="1" t="s">
        <v>74</v>
      </c>
      <c r="R19" s="1" t="s">
        <v>74</v>
      </c>
      <c r="S19" s="1" t="s">
        <v>74</v>
      </c>
      <c r="T19" s="1" t="s">
        <v>74</v>
      </c>
      <c r="U19" s="1" t="s">
        <v>74</v>
      </c>
      <c r="V19" s="4" t="s">
        <v>5787</v>
      </c>
      <c r="W19" s="1" t="s">
        <v>74</v>
      </c>
      <c r="X19" s="1" t="s">
        <v>74</v>
      </c>
      <c r="Y19" s="1" t="s">
        <v>74</v>
      </c>
      <c r="Z19" s="1" t="s">
        <v>74</v>
      </c>
      <c r="AA19" s="1" t="s">
        <v>74</v>
      </c>
      <c r="AB19" s="1" t="s">
        <v>74</v>
      </c>
      <c r="AC19" s="1" t="s">
        <v>74</v>
      </c>
      <c r="AD19" s="1" t="s">
        <v>74</v>
      </c>
      <c r="AE19" s="1" t="s">
        <v>74</v>
      </c>
      <c r="AF19" s="1" t="s">
        <v>74</v>
      </c>
      <c r="AG19" s="1" t="s">
        <v>74</v>
      </c>
      <c r="AH19" s="1" t="s">
        <v>74</v>
      </c>
      <c r="AI19" s="1" t="s">
        <v>74</v>
      </c>
      <c r="AJ19" s="1" t="s">
        <v>74</v>
      </c>
      <c r="AK19" s="1" t="s">
        <v>74</v>
      </c>
      <c r="AL19" s="1" t="s">
        <v>74</v>
      </c>
      <c r="AM19" s="1" t="s">
        <v>74</v>
      </c>
      <c r="AN19" s="1" t="s">
        <v>74</v>
      </c>
      <c r="AO19" s="1" t="s">
        <v>1458</v>
      </c>
      <c r="AP19" s="1" t="s">
        <v>435</v>
      </c>
      <c r="AQ19" s="1" t="s">
        <v>74</v>
      </c>
      <c r="AR19" s="1" t="s">
        <v>74</v>
      </c>
      <c r="AS19" s="1" t="s">
        <v>74</v>
      </c>
      <c r="AT19" s="1" t="s">
        <v>175</v>
      </c>
      <c r="AU19" s="1">
        <v>1996</v>
      </c>
      <c r="AV19" s="1">
        <v>113</v>
      </c>
      <c r="AW19" s="1">
        <v>4</v>
      </c>
      <c r="AX19" s="1" t="s">
        <v>74</v>
      </c>
      <c r="AY19" s="1" t="s">
        <v>74</v>
      </c>
      <c r="AZ19" s="1" t="s">
        <v>74</v>
      </c>
      <c r="BA19" s="1" t="s">
        <v>74</v>
      </c>
      <c r="BB19" s="1">
        <v>849</v>
      </c>
      <c r="BC19" s="1">
        <v>857</v>
      </c>
      <c r="BD19" s="1" t="s">
        <v>74</v>
      </c>
      <c r="BE19" s="1" t="s">
        <v>5788</v>
      </c>
      <c r="BF19" s="1" t="str">
        <f>HYPERLINK("http://dx.doi.org/10.2307/4088863","http://dx.doi.org/10.2307/4088863")</f>
        <v>http://dx.doi.org/10.2307/4088863</v>
      </c>
      <c r="BG19" s="1" t="s">
        <v>74</v>
      </c>
      <c r="BH19" s="1" t="s">
        <v>74</v>
      </c>
      <c r="BI19" s="1" t="s">
        <v>74</v>
      </c>
      <c r="BJ19" s="1" t="s">
        <v>74</v>
      </c>
      <c r="BK19" s="1" t="s">
        <v>74</v>
      </c>
      <c r="BL19" s="1" t="s">
        <v>74</v>
      </c>
      <c r="BM19" s="1" t="s">
        <v>74</v>
      </c>
      <c r="BN19" s="1" t="s">
        <v>74</v>
      </c>
      <c r="BO19" s="1" t="s">
        <v>74</v>
      </c>
      <c r="BP19" s="1" t="s">
        <v>74</v>
      </c>
      <c r="BQ19" s="1" t="s">
        <v>74</v>
      </c>
      <c r="BR19" s="1" t="s">
        <v>74</v>
      </c>
      <c r="BS19" s="1" t="s">
        <v>5789</v>
      </c>
      <c r="BT19" s="1" t="str">
        <f>HYPERLINK("https%3A%2F%2Fwww.webofscience.com%2Fwos%2Fwoscc%2Ffull-record%2FWOS:A1996VN96300011","View Full Record in Web of Science")</f>
        <v>View Full Record in Web of Science</v>
      </c>
    </row>
    <row r="20" spans="1:72" s="2" customFormat="1" x14ac:dyDescent="0.4">
      <c r="A20" s="1" t="s">
        <v>72</v>
      </c>
      <c r="B20" s="1" t="s">
        <v>4789</v>
      </c>
      <c r="C20" s="1" t="s">
        <v>74</v>
      </c>
      <c r="D20" s="1" t="s">
        <v>74</v>
      </c>
      <c r="E20" s="1" t="s">
        <v>74</v>
      </c>
      <c r="F20" s="1" t="s">
        <v>4789</v>
      </c>
      <c r="G20" s="1" t="s">
        <v>74</v>
      </c>
      <c r="H20" s="1" t="s">
        <v>74</v>
      </c>
      <c r="I20" s="1" t="s">
        <v>4790</v>
      </c>
      <c r="J20" s="1" t="s">
        <v>4791</v>
      </c>
      <c r="K20" s="1" t="s">
        <v>74</v>
      </c>
      <c r="L20" s="1" t="s">
        <v>74</v>
      </c>
      <c r="M20" s="1" t="s">
        <v>74</v>
      </c>
      <c r="N20" s="1" t="s">
        <v>74</v>
      </c>
      <c r="O20" s="1" t="s">
        <v>74</v>
      </c>
      <c r="P20" s="1" t="s">
        <v>74</v>
      </c>
      <c r="Q20" s="1" t="s">
        <v>74</v>
      </c>
      <c r="R20" s="1" t="s">
        <v>74</v>
      </c>
      <c r="S20" s="1" t="s">
        <v>74</v>
      </c>
      <c r="T20" s="1" t="s">
        <v>74</v>
      </c>
      <c r="U20" s="1" t="s">
        <v>74</v>
      </c>
      <c r="V20" s="4" t="s">
        <v>4792</v>
      </c>
      <c r="W20" s="1" t="s">
        <v>74</v>
      </c>
      <c r="X20" s="1" t="s">
        <v>74</v>
      </c>
      <c r="Y20" s="1" t="s">
        <v>74</v>
      </c>
      <c r="Z20" s="1" t="s">
        <v>74</v>
      </c>
      <c r="AA20" s="1" t="s">
        <v>74</v>
      </c>
      <c r="AB20" s="1" t="s">
        <v>74</v>
      </c>
      <c r="AC20" s="1" t="s">
        <v>74</v>
      </c>
      <c r="AD20" s="1" t="s">
        <v>74</v>
      </c>
      <c r="AE20" s="1" t="s">
        <v>74</v>
      </c>
      <c r="AF20" s="1" t="s">
        <v>74</v>
      </c>
      <c r="AG20" s="1" t="s">
        <v>74</v>
      </c>
      <c r="AH20" s="1" t="s">
        <v>74</v>
      </c>
      <c r="AI20" s="1" t="s">
        <v>74</v>
      </c>
      <c r="AJ20" s="1" t="s">
        <v>74</v>
      </c>
      <c r="AK20" s="1" t="s">
        <v>74</v>
      </c>
      <c r="AL20" s="1" t="s">
        <v>74</v>
      </c>
      <c r="AM20" s="1" t="s">
        <v>74</v>
      </c>
      <c r="AN20" s="1" t="s">
        <v>74</v>
      </c>
      <c r="AO20" s="1" t="s">
        <v>4793</v>
      </c>
      <c r="AP20" s="1" t="s">
        <v>74</v>
      </c>
      <c r="AQ20" s="1" t="s">
        <v>74</v>
      </c>
      <c r="AR20" s="1" t="s">
        <v>74</v>
      </c>
      <c r="AS20" s="1" t="s">
        <v>74</v>
      </c>
      <c r="AT20" s="1" t="s">
        <v>361</v>
      </c>
      <c r="AU20" s="1">
        <v>1997</v>
      </c>
      <c r="AV20" s="1">
        <v>278</v>
      </c>
      <c r="AW20" s="1">
        <v>1</v>
      </c>
      <c r="AX20" s="1" t="s">
        <v>74</v>
      </c>
      <c r="AY20" s="1" t="s">
        <v>74</v>
      </c>
      <c r="AZ20" s="1" t="s">
        <v>74</v>
      </c>
      <c r="BA20" s="1" t="s">
        <v>74</v>
      </c>
      <c r="BB20" s="1">
        <v>9</v>
      </c>
      <c r="BC20" s="1">
        <v>21</v>
      </c>
      <c r="BD20" s="1" t="s">
        <v>74</v>
      </c>
      <c r="BE20" s="1" t="s">
        <v>4794</v>
      </c>
      <c r="BF20" s="1" t="str">
        <f>HYPERLINK("http://dx.doi.org/10.1002/(SICI)1097-010X(19970501)278:1&lt;9::AID-JEZ2&gt;3.0.CO;2-T","http://dx.doi.org/10.1002/(SICI)1097-010X(19970501)278:1&lt;9::AID-JEZ2&gt;3.0.CO;2-T")</f>
        <v>http://dx.doi.org/10.1002/(SICI)1097-010X(19970501)278:1&lt;9::AID-JEZ2&gt;3.0.CO;2-T</v>
      </c>
      <c r="BG20" s="1" t="s">
        <v>74</v>
      </c>
      <c r="BH20" s="1" t="s">
        <v>74</v>
      </c>
      <c r="BI20" s="1" t="s">
        <v>74</v>
      </c>
      <c r="BJ20" s="1" t="s">
        <v>74</v>
      </c>
      <c r="BK20" s="1" t="s">
        <v>74</v>
      </c>
      <c r="BL20" s="1" t="s">
        <v>74</v>
      </c>
      <c r="BM20" s="1" t="s">
        <v>74</v>
      </c>
      <c r="BN20" s="1" t="s">
        <v>74</v>
      </c>
      <c r="BO20" s="1" t="s">
        <v>74</v>
      </c>
      <c r="BP20" s="1" t="s">
        <v>74</v>
      </c>
      <c r="BQ20" s="1" t="s">
        <v>74</v>
      </c>
      <c r="BR20" s="1" t="s">
        <v>74</v>
      </c>
      <c r="BS20" s="1" t="s">
        <v>4795</v>
      </c>
      <c r="BT20" s="1" t="str">
        <f>HYPERLINK("https%3A%2F%2Fwww.webofscience.com%2Fwos%2Fwoscc%2Ffull-record%2FWOS:A1997WW30700002","View Full Record in Web of Science")</f>
        <v>View Full Record in Web of Science</v>
      </c>
    </row>
    <row r="21" spans="1:72" s="2" customFormat="1" x14ac:dyDescent="0.4">
      <c r="A21" s="1" t="s">
        <v>72</v>
      </c>
      <c r="B21" s="1" t="s">
        <v>1469</v>
      </c>
      <c r="C21" s="1" t="s">
        <v>74</v>
      </c>
      <c r="D21" s="1" t="s">
        <v>74</v>
      </c>
      <c r="E21" s="1" t="s">
        <v>74</v>
      </c>
      <c r="F21" s="1" t="s">
        <v>1470</v>
      </c>
      <c r="G21" s="1" t="s">
        <v>74</v>
      </c>
      <c r="H21" s="1" t="s">
        <v>74</v>
      </c>
      <c r="I21" s="1" t="s">
        <v>1471</v>
      </c>
      <c r="J21" s="1" t="s">
        <v>333</v>
      </c>
      <c r="K21" s="1" t="s">
        <v>74</v>
      </c>
      <c r="L21" s="1" t="s">
        <v>74</v>
      </c>
      <c r="M21" s="1" t="s">
        <v>74</v>
      </c>
      <c r="N21" s="1" t="s">
        <v>74</v>
      </c>
      <c r="O21" s="1" t="s">
        <v>74</v>
      </c>
      <c r="P21" s="1" t="s">
        <v>74</v>
      </c>
      <c r="Q21" s="1" t="s">
        <v>74</v>
      </c>
      <c r="R21" s="1" t="s">
        <v>74</v>
      </c>
      <c r="S21" s="1" t="s">
        <v>74</v>
      </c>
      <c r="T21" s="1" t="s">
        <v>74</v>
      </c>
      <c r="U21" s="1" t="s">
        <v>74</v>
      </c>
      <c r="V21" s="4" t="s">
        <v>1472</v>
      </c>
      <c r="W21" s="1" t="s">
        <v>74</v>
      </c>
      <c r="X21" s="1" t="s">
        <v>74</v>
      </c>
      <c r="Y21" s="1" t="s">
        <v>74</v>
      </c>
      <c r="Z21" s="1" t="s">
        <v>74</v>
      </c>
      <c r="AA21" s="1" t="s">
        <v>1473</v>
      </c>
      <c r="AB21" s="1" t="s">
        <v>1474</v>
      </c>
      <c r="AC21" s="1" t="s">
        <v>74</v>
      </c>
      <c r="AD21" s="1" t="s">
        <v>74</v>
      </c>
      <c r="AE21" s="1" t="s">
        <v>74</v>
      </c>
      <c r="AF21" s="1" t="s">
        <v>74</v>
      </c>
      <c r="AG21" s="1" t="s">
        <v>74</v>
      </c>
      <c r="AH21" s="1" t="s">
        <v>74</v>
      </c>
      <c r="AI21" s="1" t="s">
        <v>74</v>
      </c>
      <c r="AJ21" s="1" t="s">
        <v>74</v>
      </c>
      <c r="AK21" s="1" t="s">
        <v>74</v>
      </c>
      <c r="AL21" s="1" t="s">
        <v>74</v>
      </c>
      <c r="AM21" s="1" t="s">
        <v>74</v>
      </c>
      <c r="AN21" s="1" t="s">
        <v>74</v>
      </c>
      <c r="AO21" s="1" t="s">
        <v>337</v>
      </c>
      <c r="AP21" s="1" t="s">
        <v>338</v>
      </c>
      <c r="AQ21" s="1" t="s">
        <v>74</v>
      </c>
      <c r="AR21" s="1" t="s">
        <v>74</v>
      </c>
      <c r="AS21" s="1" t="s">
        <v>74</v>
      </c>
      <c r="AT21" s="1" t="s">
        <v>1475</v>
      </c>
      <c r="AU21" s="1">
        <v>2009</v>
      </c>
      <c r="AV21" s="1">
        <v>20</v>
      </c>
      <c r="AW21" s="1">
        <v>1</v>
      </c>
      <c r="AX21" s="1" t="s">
        <v>74</v>
      </c>
      <c r="AY21" s="1" t="s">
        <v>74</v>
      </c>
      <c r="AZ21" s="1" t="s">
        <v>74</v>
      </c>
      <c r="BA21" s="1" t="s">
        <v>74</v>
      </c>
      <c r="BB21" s="1">
        <v>138</v>
      </c>
      <c r="BC21" s="1">
        <v>144</v>
      </c>
      <c r="BD21" s="1" t="s">
        <v>74</v>
      </c>
      <c r="BE21" s="1" t="s">
        <v>1476</v>
      </c>
      <c r="BF21" s="1" t="str">
        <f>HYPERLINK("http://dx.doi.org/10.1093/beheco/arn125","http://dx.doi.org/10.1093/beheco/arn125")</f>
        <v>http://dx.doi.org/10.1093/beheco/arn125</v>
      </c>
      <c r="BG21" s="1" t="s">
        <v>74</v>
      </c>
      <c r="BH21" s="1" t="s">
        <v>74</v>
      </c>
      <c r="BI21" s="1" t="s">
        <v>74</v>
      </c>
      <c r="BJ21" s="1" t="s">
        <v>74</v>
      </c>
      <c r="BK21" s="1" t="s">
        <v>74</v>
      </c>
      <c r="BL21" s="1" t="s">
        <v>74</v>
      </c>
      <c r="BM21" s="1" t="s">
        <v>74</v>
      </c>
      <c r="BN21" s="1" t="s">
        <v>74</v>
      </c>
      <c r="BO21" s="1" t="s">
        <v>74</v>
      </c>
      <c r="BP21" s="1" t="s">
        <v>74</v>
      </c>
      <c r="BQ21" s="1" t="s">
        <v>74</v>
      </c>
      <c r="BR21" s="1" t="s">
        <v>74</v>
      </c>
      <c r="BS21" s="1" t="s">
        <v>1477</v>
      </c>
      <c r="BT21" s="1" t="str">
        <f>HYPERLINK("https%3A%2F%2Fwww.webofscience.com%2Fwos%2Fwoscc%2Ffull-record%2FWOS:000262152300018","View Full Record in Web of Science")</f>
        <v>View Full Record in Web of Science</v>
      </c>
    </row>
    <row r="22" spans="1:72" s="2" customFormat="1" x14ac:dyDescent="0.4">
      <c r="A22" s="1" t="s">
        <v>72</v>
      </c>
      <c r="B22" s="1" t="s">
        <v>1360</v>
      </c>
      <c r="C22" s="1" t="s">
        <v>74</v>
      </c>
      <c r="D22" s="1" t="s">
        <v>74</v>
      </c>
      <c r="E22" s="1" t="s">
        <v>74</v>
      </c>
      <c r="F22" s="1" t="s">
        <v>1361</v>
      </c>
      <c r="G22" s="1" t="s">
        <v>74</v>
      </c>
      <c r="H22" s="1" t="s">
        <v>74</v>
      </c>
      <c r="I22" s="1" t="s">
        <v>1362</v>
      </c>
      <c r="J22" s="1" t="s">
        <v>333</v>
      </c>
      <c r="K22" s="1" t="s">
        <v>74</v>
      </c>
      <c r="L22" s="1" t="s">
        <v>74</v>
      </c>
      <c r="M22" s="1" t="s">
        <v>74</v>
      </c>
      <c r="N22" s="1" t="s">
        <v>74</v>
      </c>
      <c r="O22" s="1" t="s">
        <v>74</v>
      </c>
      <c r="P22" s="1" t="s">
        <v>74</v>
      </c>
      <c r="Q22" s="1" t="s">
        <v>74</v>
      </c>
      <c r="R22" s="1" t="s">
        <v>74</v>
      </c>
      <c r="S22" s="1" t="s">
        <v>74</v>
      </c>
      <c r="T22" s="1" t="s">
        <v>74</v>
      </c>
      <c r="U22" s="1" t="s">
        <v>74</v>
      </c>
      <c r="V22" s="4" t="s">
        <v>1363</v>
      </c>
      <c r="W22" s="1" t="s">
        <v>74</v>
      </c>
      <c r="X22" s="1" t="s">
        <v>74</v>
      </c>
      <c r="Y22" s="1" t="s">
        <v>74</v>
      </c>
      <c r="Z22" s="1" t="s">
        <v>74</v>
      </c>
      <c r="AA22" s="1" t="s">
        <v>484</v>
      </c>
      <c r="AB22" s="1" t="s">
        <v>485</v>
      </c>
      <c r="AC22" s="1" t="s">
        <v>74</v>
      </c>
      <c r="AD22" s="1" t="s">
        <v>74</v>
      </c>
      <c r="AE22" s="1" t="s">
        <v>74</v>
      </c>
      <c r="AF22" s="1" t="s">
        <v>74</v>
      </c>
      <c r="AG22" s="1" t="s">
        <v>74</v>
      </c>
      <c r="AH22" s="1" t="s">
        <v>74</v>
      </c>
      <c r="AI22" s="1" t="s">
        <v>74</v>
      </c>
      <c r="AJ22" s="1" t="s">
        <v>74</v>
      </c>
      <c r="AK22" s="1" t="s">
        <v>74</v>
      </c>
      <c r="AL22" s="1" t="s">
        <v>74</v>
      </c>
      <c r="AM22" s="1" t="s">
        <v>74</v>
      </c>
      <c r="AN22" s="1" t="s">
        <v>74</v>
      </c>
      <c r="AO22" s="1" t="s">
        <v>337</v>
      </c>
      <c r="AP22" s="1" t="s">
        <v>338</v>
      </c>
      <c r="AQ22" s="1" t="s">
        <v>74</v>
      </c>
      <c r="AR22" s="1" t="s">
        <v>74</v>
      </c>
      <c r="AS22" s="1" t="s">
        <v>74</v>
      </c>
      <c r="AT22" s="1" t="s">
        <v>808</v>
      </c>
      <c r="AU22" s="1">
        <v>2009</v>
      </c>
      <c r="AV22" s="1">
        <v>20</v>
      </c>
      <c r="AW22" s="1">
        <v>3</v>
      </c>
      <c r="AX22" s="1" t="s">
        <v>74</v>
      </c>
      <c r="AY22" s="1" t="s">
        <v>74</v>
      </c>
      <c r="AZ22" s="1" t="s">
        <v>74</v>
      </c>
      <c r="BA22" s="1" t="s">
        <v>74</v>
      </c>
      <c r="BB22" s="1">
        <v>593</v>
      </c>
      <c r="BC22" s="1">
        <v>600</v>
      </c>
      <c r="BD22" s="1" t="s">
        <v>74</v>
      </c>
      <c r="BE22" s="1" t="s">
        <v>1364</v>
      </c>
      <c r="BF22" s="1" t="str">
        <f>HYPERLINK("http://dx.doi.org/10.1093/beheco/arp036","http://dx.doi.org/10.1093/beheco/arp036")</f>
        <v>http://dx.doi.org/10.1093/beheco/arp036</v>
      </c>
      <c r="BG22" s="1" t="s">
        <v>74</v>
      </c>
      <c r="BH22" s="1" t="s">
        <v>74</v>
      </c>
      <c r="BI22" s="1" t="s">
        <v>74</v>
      </c>
      <c r="BJ22" s="1" t="s">
        <v>74</v>
      </c>
      <c r="BK22" s="1" t="s">
        <v>74</v>
      </c>
      <c r="BL22" s="1" t="s">
        <v>74</v>
      </c>
      <c r="BM22" s="1" t="s">
        <v>74</v>
      </c>
      <c r="BN22" s="1" t="s">
        <v>74</v>
      </c>
      <c r="BO22" s="1" t="s">
        <v>74</v>
      </c>
      <c r="BP22" s="1" t="s">
        <v>74</v>
      </c>
      <c r="BQ22" s="1" t="s">
        <v>74</v>
      </c>
      <c r="BR22" s="1" t="s">
        <v>74</v>
      </c>
      <c r="BS22" s="1" t="s">
        <v>1365</v>
      </c>
      <c r="BT22" s="1" t="str">
        <f>HYPERLINK("https%3A%2F%2Fwww.webofscience.com%2Fwos%2Fwoscc%2Ffull-record%2FWOS:000265950200018","View Full Record in Web of Science")</f>
        <v>View Full Record in Web of Science</v>
      </c>
    </row>
    <row r="23" spans="1:72" s="2" customFormat="1" x14ac:dyDescent="0.4">
      <c r="A23" s="1" t="s">
        <v>72</v>
      </c>
      <c r="B23" s="1" t="s">
        <v>8064</v>
      </c>
      <c r="C23" s="1" t="s">
        <v>74</v>
      </c>
      <c r="D23" s="1" t="s">
        <v>74</v>
      </c>
      <c r="E23" s="1" t="s">
        <v>74</v>
      </c>
      <c r="F23" s="1" t="s">
        <v>8065</v>
      </c>
      <c r="G23" s="1" t="s">
        <v>74</v>
      </c>
      <c r="H23" s="1" t="s">
        <v>74</v>
      </c>
      <c r="I23" s="1" t="s">
        <v>8066</v>
      </c>
      <c r="J23" s="1" t="s">
        <v>8067</v>
      </c>
      <c r="K23" s="1" t="s">
        <v>74</v>
      </c>
      <c r="L23" s="1" t="s">
        <v>74</v>
      </c>
      <c r="M23" s="1" t="s">
        <v>74</v>
      </c>
      <c r="N23" s="1" t="s">
        <v>74</v>
      </c>
      <c r="O23" s="1" t="s">
        <v>74</v>
      </c>
      <c r="P23" s="1" t="s">
        <v>74</v>
      </c>
      <c r="Q23" s="1" t="s">
        <v>74</v>
      </c>
      <c r="R23" s="1" t="s">
        <v>74</v>
      </c>
      <c r="S23" s="1" t="s">
        <v>74</v>
      </c>
      <c r="T23" s="1" t="s">
        <v>74</v>
      </c>
      <c r="U23" s="1" t="s">
        <v>74</v>
      </c>
      <c r="V23" s="4" t="s">
        <v>8068</v>
      </c>
      <c r="W23" s="1" t="s">
        <v>74</v>
      </c>
      <c r="X23" s="1" t="s">
        <v>74</v>
      </c>
      <c r="Y23" s="1" t="s">
        <v>74</v>
      </c>
      <c r="Z23" s="1" t="s">
        <v>74</v>
      </c>
      <c r="AA23" s="1" t="s">
        <v>8069</v>
      </c>
      <c r="AB23" s="1" t="s">
        <v>8070</v>
      </c>
      <c r="AC23" s="1" t="s">
        <v>74</v>
      </c>
      <c r="AD23" s="1" t="s">
        <v>74</v>
      </c>
      <c r="AE23" s="1" t="s">
        <v>74</v>
      </c>
      <c r="AF23" s="1" t="s">
        <v>74</v>
      </c>
      <c r="AG23" s="1" t="s">
        <v>74</v>
      </c>
      <c r="AH23" s="1" t="s">
        <v>74</v>
      </c>
      <c r="AI23" s="1" t="s">
        <v>74</v>
      </c>
      <c r="AJ23" s="1" t="s">
        <v>74</v>
      </c>
      <c r="AK23" s="1" t="s">
        <v>74</v>
      </c>
      <c r="AL23" s="1" t="s">
        <v>74</v>
      </c>
      <c r="AM23" s="1" t="s">
        <v>74</v>
      </c>
      <c r="AN23" s="1" t="s">
        <v>74</v>
      </c>
      <c r="AO23" s="1" t="s">
        <v>8071</v>
      </c>
      <c r="AP23" s="1" t="s">
        <v>8072</v>
      </c>
      <c r="AQ23" s="1" t="s">
        <v>74</v>
      </c>
      <c r="AR23" s="1" t="s">
        <v>74</v>
      </c>
      <c r="AS23" s="1" t="s">
        <v>74</v>
      </c>
      <c r="AT23" s="1" t="s">
        <v>769</v>
      </c>
      <c r="AU23" s="1">
        <v>2019</v>
      </c>
      <c r="AV23" s="1">
        <v>236</v>
      </c>
      <c r="AW23" s="1">
        <v>1</v>
      </c>
      <c r="AX23" s="1" t="s">
        <v>74</v>
      </c>
      <c r="AY23" s="1" t="s">
        <v>74</v>
      </c>
      <c r="AZ23" s="1" t="s">
        <v>74</v>
      </c>
      <c r="BA23" s="1" t="s">
        <v>74</v>
      </c>
      <c r="BB23" s="1">
        <v>43</v>
      </c>
      <c r="BC23" s="1">
        <v>54</v>
      </c>
      <c r="BD23" s="1" t="s">
        <v>74</v>
      </c>
      <c r="BE23" s="1" t="s">
        <v>8073</v>
      </c>
      <c r="BF23" s="1" t="str">
        <f>HYPERLINK("http://dx.doi.org/10.1086/700836","http://dx.doi.org/10.1086/700836")</f>
        <v>http://dx.doi.org/10.1086/700836</v>
      </c>
      <c r="BG23" s="1" t="s">
        <v>74</v>
      </c>
      <c r="BH23" s="1" t="s">
        <v>74</v>
      </c>
      <c r="BI23" s="1" t="s">
        <v>74</v>
      </c>
      <c r="BJ23" s="1" t="s">
        <v>74</v>
      </c>
      <c r="BK23" s="1" t="s">
        <v>74</v>
      </c>
      <c r="BL23" s="1" t="s">
        <v>74</v>
      </c>
      <c r="BM23" s="1" t="s">
        <v>74</v>
      </c>
      <c r="BN23" s="1">
        <v>30707606</v>
      </c>
      <c r="BO23" s="1" t="s">
        <v>74</v>
      </c>
      <c r="BP23" s="1" t="s">
        <v>74</v>
      </c>
      <c r="BQ23" s="1" t="s">
        <v>74</v>
      </c>
      <c r="BR23" s="1" t="s">
        <v>74</v>
      </c>
      <c r="BS23" s="1" t="s">
        <v>8074</v>
      </c>
      <c r="BT23" s="1" t="str">
        <f>HYPERLINK("https%3A%2F%2Fwww.webofscience.com%2Fwos%2Fwoscc%2Ffull-record%2FWOS:000457792100004","View Full Record in Web of Science")</f>
        <v>View Full Record in Web of Science</v>
      </c>
    </row>
    <row r="24" spans="1:72" s="2" customFormat="1" x14ac:dyDescent="0.4">
      <c r="A24" s="1" t="s">
        <v>72</v>
      </c>
      <c r="B24" s="1" t="s">
        <v>3298</v>
      </c>
      <c r="C24" s="1" t="s">
        <v>74</v>
      </c>
      <c r="D24" s="1" t="s">
        <v>74</v>
      </c>
      <c r="E24" s="1" t="s">
        <v>74</v>
      </c>
      <c r="F24" s="1" t="s">
        <v>3298</v>
      </c>
      <c r="G24" s="1" t="s">
        <v>74</v>
      </c>
      <c r="H24" s="1" t="s">
        <v>74</v>
      </c>
      <c r="I24" s="1" t="s">
        <v>3299</v>
      </c>
      <c r="J24" s="1" t="s">
        <v>1244</v>
      </c>
      <c r="K24" s="1" t="s">
        <v>74</v>
      </c>
      <c r="L24" s="1" t="s">
        <v>74</v>
      </c>
      <c r="M24" s="1" t="s">
        <v>74</v>
      </c>
      <c r="N24" s="1" t="s">
        <v>74</v>
      </c>
      <c r="O24" s="1" t="s">
        <v>74</v>
      </c>
      <c r="P24" s="1" t="s">
        <v>74</v>
      </c>
      <c r="Q24" s="1" t="s">
        <v>74</v>
      </c>
      <c r="R24" s="1" t="s">
        <v>74</v>
      </c>
      <c r="S24" s="1" t="s">
        <v>74</v>
      </c>
      <c r="T24" s="1" t="s">
        <v>74</v>
      </c>
      <c r="U24" s="1" t="s">
        <v>74</v>
      </c>
      <c r="V24" s="4" t="s">
        <v>3300</v>
      </c>
      <c r="W24" s="1" t="s">
        <v>74</v>
      </c>
      <c r="X24" s="1" t="s">
        <v>74</v>
      </c>
      <c r="Y24" s="1" t="s">
        <v>74</v>
      </c>
      <c r="Z24" s="1" t="s">
        <v>74</v>
      </c>
      <c r="AA24" s="1" t="s">
        <v>3301</v>
      </c>
      <c r="AB24" s="1" t="s">
        <v>74</v>
      </c>
      <c r="AC24" s="1" t="s">
        <v>74</v>
      </c>
      <c r="AD24" s="1" t="s">
        <v>74</v>
      </c>
      <c r="AE24" s="1" t="s">
        <v>74</v>
      </c>
      <c r="AF24" s="1" t="s">
        <v>74</v>
      </c>
      <c r="AG24" s="1" t="s">
        <v>74</v>
      </c>
      <c r="AH24" s="1" t="s">
        <v>74</v>
      </c>
      <c r="AI24" s="1" t="s">
        <v>74</v>
      </c>
      <c r="AJ24" s="1" t="s">
        <v>74</v>
      </c>
      <c r="AK24" s="1" t="s">
        <v>74</v>
      </c>
      <c r="AL24" s="1" t="s">
        <v>74</v>
      </c>
      <c r="AM24" s="1" t="s">
        <v>74</v>
      </c>
      <c r="AN24" s="1" t="s">
        <v>74</v>
      </c>
      <c r="AO24" s="1" t="s">
        <v>1246</v>
      </c>
      <c r="AP24" s="1" t="s">
        <v>74</v>
      </c>
      <c r="AQ24" s="1" t="s">
        <v>74</v>
      </c>
      <c r="AR24" s="1" t="s">
        <v>74</v>
      </c>
      <c r="AS24" s="1" t="s">
        <v>74</v>
      </c>
      <c r="AT24" s="1" t="s">
        <v>3302</v>
      </c>
      <c r="AU24" s="1">
        <v>2006</v>
      </c>
      <c r="AV24" s="1">
        <v>35</v>
      </c>
      <c r="AW24" s="1">
        <v>1</v>
      </c>
      <c r="AX24" s="1" t="s">
        <v>74</v>
      </c>
      <c r="AY24" s="1" t="s">
        <v>74</v>
      </c>
      <c r="AZ24" s="1" t="s">
        <v>74</v>
      </c>
      <c r="BA24" s="1" t="s">
        <v>74</v>
      </c>
      <c r="BB24" s="1">
        <v>15</v>
      </c>
      <c r="BC24" s="1">
        <v>22</v>
      </c>
      <c r="BD24" s="1" t="s">
        <v>74</v>
      </c>
      <c r="BE24" s="1" t="s">
        <v>74</v>
      </c>
      <c r="BF24" s="1" t="s">
        <v>74</v>
      </c>
      <c r="BG24" s="1" t="s">
        <v>74</v>
      </c>
      <c r="BH24" s="1" t="s">
        <v>74</v>
      </c>
      <c r="BI24" s="1" t="s">
        <v>74</v>
      </c>
      <c r="BJ24" s="1" t="s">
        <v>74</v>
      </c>
      <c r="BK24" s="1" t="s">
        <v>74</v>
      </c>
      <c r="BL24" s="1" t="s">
        <v>74</v>
      </c>
      <c r="BM24" s="1" t="s">
        <v>74</v>
      </c>
      <c r="BN24" s="1" t="s">
        <v>74</v>
      </c>
      <c r="BO24" s="1" t="s">
        <v>74</v>
      </c>
      <c r="BP24" s="1" t="s">
        <v>74</v>
      </c>
      <c r="BQ24" s="1" t="s">
        <v>74</v>
      </c>
      <c r="BR24" s="1" t="s">
        <v>74</v>
      </c>
      <c r="BS24" s="1" t="s">
        <v>3303</v>
      </c>
      <c r="BT24" s="1" t="str">
        <f>HYPERLINK("https%3A%2F%2Fwww.webofscience.com%2Fwos%2Fwoscc%2Ffull-record%2FWOS:000235795700002","View Full Record in Web of Science")</f>
        <v>View Full Record in Web of Science</v>
      </c>
    </row>
    <row r="25" spans="1:72" s="2" customFormat="1" x14ac:dyDescent="0.4">
      <c r="A25" s="1" t="s">
        <v>72</v>
      </c>
      <c r="B25" s="1" t="s">
        <v>2342</v>
      </c>
      <c r="C25" s="1" t="s">
        <v>74</v>
      </c>
      <c r="D25" s="1" t="s">
        <v>74</v>
      </c>
      <c r="E25" s="1" t="s">
        <v>74</v>
      </c>
      <c r="F25" s="1" t="s">
        <v>2342</v>
      </c>
      <c r="G25" s="1" t="s">
        <v>74</v>
      </c>
      <c r="H25" s="1" t="s">
        <v>74</v>
      </c>
      <c r="I25" s="1" t="s">
        <v>2343</v>
      </c>
      <c r="J25" s="1" t="s">
        <v>108</v>
      </c>
      <c r="K25" s="1" t="s">
        <v>74</v>
      </c>
      <c r="L25" s="1" t="s">
        <v>74</v>
      </c>
      <c r="M25" s="1" t="s">
        <v>74</v>
      </c>
      <c r="N25" s="1" t="s">
        <v>74</v>
      </c>
      <c r="O25" s="1" t="s">
        <v>74</v>
      </c>
      <c r="P25" s="1" t="s">
        <v>74</v>
      </c>
      <c r="Q25" s="1" t="s">
        <v>74</v>
      </c>
      <c r="R25" s="1" t="s">
        <v>74</v>
      </c>
      <c r="S25" s="1" t="s">
        <v>74</v>
      </c>
      <c r="T25" s="1" t="s">
        <v>74</v>
      </c>
      <c r="U25" s="1" t="s">
        <v>74</v>
      </c>
      <c r="V25" s="4" t="s">
        <v>2344</v>
      </c>
      <c r="W25" s="1" t="s">
        <v>74</v>
      </c>
      <c r="X25" s="1" t="s">
        <v>74</v>
      </c>
      <c r="Y25" s="1" t="s">
        <v>74</v>
      </c>
      <c r="Z25" s="1" t="s">
        <v>74</v>
      </c>
      <c r="AA25" s="1" t="s">
        <v>74</v>
      </c>
      <c r="AB25" s="1" t="s">
        <v>74</v>
      </c>
      <c r="AC25" s="1" t="s">
        <v>74</v>
      </c>
      <c r="AD25" s="1" t="s">
        <v>74</v>
      </c>
      <c r="AE25" s="1" t="s">
        <v>74</v>
      </c>
      <c r="AF25" s="1" t="s">
        <v>74</v>
      </c>
      <c r="AG25" s="1" t="s">
        <v>74</v>
      </c>
      <c r="AH25" s="1" t="s">
        <v>74</v>
      </c>
      <c r="AI25" s="1" t="s">
        <v>74</v>
      </c>
      <c r="AJ25" s="1" t="s">
        <v>74</v>
      </c>
      <c r="AK25" s="1" t="s">
        <v>74</v>
      </c>
      <c r="AL25" s="1" t="s">
        <v>74</v>
      </c>
      <c r="AM25" s="1" t="s">
        <v>74</v>
      </c>
      <c r="AN25" s="1" t="s">
        <v>74</v>
      </c>
      <c r="AO25" s="1" t="s">
        <v>111</v>
      </c>
      <c r="AP25" s="1" t="s">
        <v>112</v>
      </c>
      <c r="AQ25" s="1" t="s">
        <v>74</v>
      </c>
      <c r="AR25" s="1" t="s">
        <v>74</v>
      </c>
      <c r="AS25" s="1" t="s">
        <v>74</v>
      </c>
      <c r="AT25" s="1" t="s">
        <v>2345</v>
      </c>
      <c r="AU25" s="1">
        <v>2003</v>
      </c>
      <c r="AV25" s="1">
        <v>270</v>
      </c>
      <c r="AW25" s="1">
        <v>1519</v>
      </c>
      <c r="AX25" s="1" t="s">
        <v>74</v>
      </c>
      <c r="AY25" s="1" t="s">
        <v>74</v>
      </c>
      <c r="AZ25" s="1" t="s">
        <v>74</v>
      </c>
      <c r="BA25" s="1" t="s">
        <v>74</v>
      </c>
      <c r="BB25" s="1">
        <v>1033</v>
      </c>
      <c r="BC25" s="1">
        <v>1040</v>
      </c>
      <c r="BD25" s="1" t="s">
        <v>74</v>
      </c>
      <c r="BE25" s="1" t="s">
        <v>2346</v>
      </c>
      <c r="BF25" s="1" t="str">
        <f>HYPERLINK("http://dx.doi.org/10.1098/rspb.2003.2348","http://dx.doi.org/10.1098/rspb.2003.2348")</f>
        <v>http://dx.doi.org/10.1098/rspb.2003.2348</v>
      </c>
      <c r="BG25" s="1" t="s">
        <v>74</v>
      </c>
      <c r="BH25" s="1" t="s">
        <v>74</v>
      </c>
      <c r="BI25" s="1" t="s">
        <v>74</v>
      </c>
      <c r="BJ25" s="1" t="s">
        <v>74</v>
      </c>
      <c r="BK25" s="1" t="s">
        <v>74</v>
      </c>
      <c r="BL25" s="1" t="s">
        <v>74</v>
      </c>
      <c r="BM25" s="1" t="s">
        <v>74</v>
      </c>
      <c r="BN25" s="1">
        <v>12803892</v>
      </c>
      <c r="BO25" s="1" t="s">
        <v>74</v>
      </c>
      <c r="BP25" s="1" t="s">
        <v>74</v>
      </c>
      <c r="BQ25" s="1" t="s">
        <v>74</v>
      </c>
      <c r="BR25" s="1" t="s">
        <v>74</v>
      </c>
      <c r="BS25" s="1" t="s">
        <v>2347</v>
      </c>
      <c r="BT25" s="1" t="str">
        <f>HYPERLINK("https%3A%2F%2Fwww.webofscience.com%2Fwos%2Fwoscc%2Ffull-record%2FWOS:000182969100005","View Full Record in Web of Science")</f>
        <v>View Full Record in Web of Science</v>
      </c>
    </row>
    <row r="26" spans="1:72" s="2" customFormat="1" x14ac:dyDescent="0.4">
      <c r="A26" s="1" t="s">
        <v>72</v>
      </c>
      <c r="B26" s="1" t="s">
        <v>3689</v>
      </c>
      <c r="C26" s="1" t="s">
        <v>74</v>
      </c>
      <c r="D26" s="1" t="s">
        <v>74</v>
      </c>
      <c r="E26" s="1" t="s">
        <v>74</v>
      </c>
      <c r="F26" s="1" t="s">
        <v>3690</v>
      </c>
      <c r="G26" s="1" t="s">
        <v>74</v>
      </c>
      <c r="H26" s="1" t="s">
        <v>74</v>
      </c>
      <c r="I26" s="1" t="s">
        <v>3691</v>
      </c>
      <c r="J26" s="1" t="s">
        <v>140</v>
      </c>
      <c r="K26" s="1" t="s">
        <v>74</v>
      </c>
      <c r="L26" s="1" t="s">
        <v>74</v>
      </c>
      <c r="M26" s="1" t="s">
        <v>74</v>
      </c>
      <c r="N26" s="1" t="s">
        <v>74</v>
      </c>
      <c r="O26" s="1" t="s">
        <v>74</v>
      </c>
      <c r="P26" s="1" t="s">
        <v>74</v>
      </c>
      <c r="Q26" s="1" t="s">
        <v>74</v>
      </c>
      <c r="R26" s="1" t="s">
        <v>74</v>
      </c>
      <c r="S26" s="1" t="s">
        <v>74</v>
      </c>
      <c r="T26" s="1" t="s">
        <v>74</v>
      </c>
      <c r="U26" s="1" t="s">
        <v>74</v>
      </c>
      <c r="V26" s="4" t="s">
        <v>3692</v>
      </c>
      <c r="W26" s="1" t="s">
        <v>74</v>
      </c>
      <c r="X26" s="1" t="s">
        <v>74</v>
      </c>
      <c r="Y26" s="1" t="s">
        <v>74</v>
      </c>
      <c r="Z26" s="1" t="s">
        <v>74</v>
      </c>
      <c r="AA26" s="1" t="s">
        <v>3693</v>
      </c>
      <c r="AB26" s="1" t="s">
        <v>3694</v>
      </c>
      <c r="AC26" s="1" t="s">
        <v>74</v>
      </c>
      <c r="AD26" s="1" t="s">
        <v>74</v>
      </c>
      <c r="AE26" s="1" t="s">
        <v>74</v>
      </c>
      <c r="AF26" s="1" t="s">
        <v>74</v>
      </c>
      <c r="AG26" s="1" t="s">
        <v>74</v>
      </c>
      <c r="AH26" s="1" t="s">
        <v>74</v>
      </c>
      <c r="AI26" s="1" t="s">
        <v>74</v>
      </c>
      <c r="AJ26" s="1" t="s">
        <v>74</v>
      </c>
      <c r="AK26" s="1" t="s">
        <v>74</v>
      </c>
      <c r="AL26" s="1" t="s">
        <v>74</v>
      </c>
      <c r="AM26" s="1" t="s">
        <v>74</v>
      </c>
      <c r="AN26" s="1" t="s">
        <v>74</v>
      </c>
      <c r="AO26" s="1" t="s">
        <v>143</v>
      </c>
      <c r="AP26" s="1" t="s">
        <v>144</v>
      </c>
      <c r="AQ26" s="1" t="s">
        <v>74</v>
      </c>
      <c r="AR26" s="1" t="s">
        <v>74</v>
      </c>
      <c r="AS26" s="1" t="s">
        <v>74</v>
      </c>
      <c r="AT26" s="1" t="s">
        <v>204</v>
      </c>
      <c r="AU26" s="1">
        <v>2014</v>
      </c>
      <c r="AV26" s="1">
        <v>93</v>
      </c>
      <c r="AW26" s="1" t="s">
        <v>74</v>
      </c>
      <c r="AX26" s="1" t="s">
        <v>74</v>
      </c>
      <c r="AY26" s="1" t="s">
        <v>74</v>
      </c>
      <c r="AZ26" s="1" t="s">
        <v>74</v>
      </c>
      <c r="BA26" s="1" t="s">
        <v>74</v>
      </c>
      <c r="BB26" s="1">
        <v>207</v>
      </c>
      <c r="BC26" s="1">
        <v>219</v>
      </c>
      <c r="BD26" s="1" t="s">
        <v>74</v>
      </c>
      <c r="BE26" s="1" t="s">
        <v>3695</v>
      </c>
      <c r="BF26" s="1" t="str">
        <f>HYPERLINK("http://dx.doi.org/10.1016/j.anbehav.2014.04.015","http://dx.doi.org/10.1016/j.anbehav.2014.04.015")</f>
        <v>http://dx.doi.org/10.1016/j.anbehav.2014.04.015</v>
      </c>
      <c r="BG26" s="1" t="s">
        <v>74</v>
      </c>
      <c r="BH26" s="1" t="s">
        <v>74</v>
      </c>
      <c r="BI26" s="1" t="s">
        <v>74</v>
      </c>
      <c r="BJ26" s="1" t="s">
        <v>74</v>
      </c>
      <c r="BK26" s="1" t="s">
        <v>74</v>
      </c>
      <c r="BL26" s="1" t="s">
        <v>74</v>
      </c>
      <c r="BM26" s="1" t="s">
        <v>74</v>
      </c>
      <c r="BN26" s="1">
        <v>25045171</v>
      </c>
      <c r="BO26" s="1" t="s">
        <v>74</v>
      </c>
      <c r="BP26" s="1" t="s">
        <v>74</v>
      </c>
      <c r="BQ26" s="1" t="s">
        <v>74</v>
      </c>
      <c r="BR26" s="1" t="s">
        <v>74</v>
      </c>
      <c r="BS26" s="1" t="s">
        <v>3696</v>
      </c>
      <c r="BT26" s="1" t="str">
        <f>HYPERLINK("https%3A%2F%2Fwww.webofscience.com%2Fwos%2Fwoscc%2Ffull-record%2FWOS:000338712900026","View Full Record in Web of Science")</f>
        <v>View Full Record in Web of Science</v>
      </c>
    </row>
    <row r="27" spans="1:72" s="2" customFormat="1" x14ac:dyDescent="0.4">
      <c r="A27" s="1" t="s">
        <v>72</v>
      </c>
      <c r="B27" s="1" t="s">
        <v>4844</v>
      </c>
      <c r="C27" s="1" t="s">
        <v>74</v>
      </c>
      <c r="D27" s="1" t="s">
        <v>74</v>
      </c>
      <c r="E27" s="1" t="s">
        <v>74</v>
      </c>
      <c r="F27" s="1" t="s">
        <v>4844</v>
      </c>
      <c r="G27" s="1" t="s">
        <v>74</v>
      </c>
      <c r="H27" s="1" t="s">
        <v>74</v>
      </c>
      <c r="I27" s="1" t="s">
        <v>4845</v>
      </c>
      <c r="J27" s="1" t="s">
        <v>140</v>
      </c>
      <c r="K27" s="1" t="s">
        <v>74</v>
      </c>
      <c r="L27" s="1" t="s">
        <v>74</v>
      </c>
      <c r="M27" s="1" t="s">
        <v>74</v>
      </c>
      <c r="N27" s="1" t="s">
        <v>74</v>
      </c>
      <c r="O27" s="1" t="s">
        <v>74</v>
      </c>
      <c r="P27" s="1" t="s">
        <v>74</v>
      </c>
      <c r="Q27" s="1" t="s">
        <v>74</v>
      </c>
      <c r="R27" s="1" t="s">
        <v>74</v>
      </c>
      <c r="S27" s="1" t="s">
        <v>74</v>
      </c>
      <c r="T27" s="1" t="s">
        <v>74</v>
      </c>
      <c r="U27" s="1" t="s">
        <v>74</v>
      </c>
      <c r="V27" s="4" t="s">
        <v>74</v>
      </c>
      <c r="W27" s="1" t="s">
        <v>74</v>
      </c>
      <c r="X27" s="1" t="s">
        <v>74</v>
      </c>
      <c r="Y27" s="1" t="s">
        <v>74</v>
      </c>
      <c r="Z27" s="1" t="s">
        <v>74</v>
      </c>
      <c r="AA27" s="1" t="s">
        <v>74</v>
      </c>
      <c r="AB27" s="1" t="s">
        <v>74</v>
      </c>
      <c r="AC27" s="1" t="s">
        <v>74</v>
      </c>
      <c r="AD27" s="1" t="s">
        <v>74</v>
      </c>
      <c r="AE27" s="1" t="s">
        <v>74</v>
      </c>
      <c r="AF27" s="1" t="s">
        <v>74</v>
      </c>
      <c r="AG27" s="1" t="s">
        <v>74</v>
      </c>
      <c r="AH27" s="1" t="s">
        <v>74</v>
      </c>
      <c r="AI27" s="1" t="s">
        <v>74</v>
      </c>
      <c r="AJ27" s="1" t="s">
        <v>74</v>
      </c>
      <c r="AK27" s="1" t="s">
        <v>74</v>
      </c>
      <c r="AL27" s="1" t="s">
        <v>74</v>
      </c>
      <c r="AM27" s="1" t="s">
        <v>74</v>
      </c>
      <c r="AN27" s="1" t="s">
        <v>74</v>
      </c>
      <c r="AO27" s="1" t="s">
        <v>143</v>
      </c>
      <c r="AP27" s="1" t="s">
        <v>144</v>
      </c>
      <c r="AQ27" s="1" t="s">
        <v>74</v>
      </c>
      <c r="AR27" s="1" t="s">
        <v>74</v>
      </c>
      <c r="AS27" s="1" t="s">
        <v>74</v>
      </c>
      <c r="AT27" s="1" t="s">
        <v>123</v>
      </c>
      <c r="AU27" s="1">
        <v>1993</v>
      </c>
      <c r="AV27" s="1">
        <v>45</v>
      </c>
      <c r="AW27" s="1">
        <v>3</v>
      </c>
      <c r="AX27" s="1" t="s">
        <v>74</v>
      </c>
      <c r="AY27" s="1" t="s">
        <v>74</v>
      </c>
      <c r="AZ27" s="1" t="s">
        <v>74</v>
      </c>
      <c r="BA27" s="1" t="s">
        <v>74</v>
      </c>
      <c r="BB27" s="1">
        <v>511</v>
      </c>
      <c r="BC27" s="1">
        <v>518</v>
      </c>
      <c r="BD27" s="1" t="s">
        <v>74</v>
      </c>
      <c r="BE27" s="1" t="s">
        <v>4846</v>
      </c>
      <c r="BF27" s="1" t="str">
        <f>HYPERLINK("http://dx.doi.org/10.1006/anbe.1993.1062","http://dx.doi.org/10.1006/anbe.1993.1062")</f>
        <v>http://dx.doi.org/10.1006/anbe.1993.1062</v>
      </c>
      <c r="BG27" s="1" t="s">
        <v>74</v>
      </c>
      <c r="BH27" s="1" t="s">
        <v>74</v>
      </c>
      <c r="BI27" s="1" t="s">
        <v>74</v>
      </c>
      <c r="BJ27" s="1" t="s">
        <v>74</v>
      </c>
      <c r="BK27" s="1" t="s">
        <v>74</v>
      </c>
      <c r="BL27" s="1" t="s">
        <v>74</v>
      </c>
      <c r="BM27" s="1" t="s">
        <v>74</v>
      </c>
      <c r="BN27" s="1" t="s">
        <v>74</v>
      </c>
      <c r="BO27" s="1" t="s">
        <v>74</v>
      </c>
      <c r="BP27" s="1" t="s">
        <v>74</v>
      </c>
      <c r="BQ27" s="1" t="s">
        <v>74</v>
      </c>
      <c r="BR27" s="1" t="s">
        <v>74</v>
      </c>
      <c r="BS27" s="1" t="s">
        <v>4847</v>
      </c>
      <c r="BT27" s="1" t="str">
        <f>HYPERLINK("https%3A%2F%2Fwww.webofscience.com%2Fwos%2Fwoscc%2Ffull-record%2FWOS:A1993KW24700009","View Full Record in Web of Science")</f>
        <v>View Full Record in Web of Science</v>
      </c>
    </row>
    <row r="28" spans="1:72" s="1" customFormat="1" x14ac:dyDescent="0.4">
      <c r="A28" s="1" t="s">
        <v>72</v>
      </c>
      <c r="B28" s="1" t="s">
        <v>5544</v>
      </c>
      <c r="C28" s="1" t="s">
        <v>74</v>
      </c>
      <c r="D28" s="1" t="s">
        <v>74</v>
      </c>
      <c r="E28" s="1" t="s">
        <v>74</v>
      </c>
      <c r="F28" s="1" t="s">
        <v>5544</v>
      </c>
      <c r="G28" s="1" t="s">
        <v>74</v>
      </c>
      <c r="H28" s="1" t="s">
        <v>74</v>
      </c>
      <c r="I28" s="1" t="s">
        <v>5545</v>
      </c>
      <c r="J28" s="1" t="s">
        <v>140</v>
      </c>
      <c r="K28" s="1" t="s">
        <v>74</v>
      </c>
      <c r="L28" s="1" t="s">
        <v>74</v>
      </c>
      <c r="M28" s="1" t="s">
        <v>74</v>
      </c>
      <c r="N28" s="1" t="s">
        <v>74</v>
      </c>
      <c r="O28" s="1" t="s">
        <v>74</v>
      </c>
      <c r="P28" s="1" t="s">
        <v>74</v>
      </c>
      <c r="Q28" s="1" t="s">
        <v>74</v>
      </c>
      <c r="R28" s="1" t="s">
        <v>74</v>
      </c>
      <c r="S28" s="1" t="s">
        <v>74</v>
      </c>
      <c r="T28" s="1" t="s">
        <v>74</v>
      </c>
      <c r="U28" s="1" t="s">
        <v>74</v>
      </c>
      <c r="V28" s="4" t="s">
        <v>5546</v>
      </c>
      <c r="W28" s="1" t="s">
        <v>74</v>
      </c>
      <c r="X28" s="1" t="s">
        <v>74</v>
      </c>
      <c r="Y28" s="1" t="s">
        <v>74</v>
      </c>
      <c r="Z28" s="1" t="s">
        <v>74</v>
      </c>
      <c r="AA28" s="1" t="s">
        <v>74</v>
      </c>
      <c r="AB28" s="1" t="s">
        <v>74</v>
      </c>
      <c r="AC28" s="1" t="s">
        <v>74</v>
      </c>
      <c r="AD28" s="1" t="s">
        <v>74</v>
      </c>
      <c r="AE28" s="1" t="s">
        <v>74</v>
      </c>
      <c r="AF28" s="1" t="s">
        <v>74</v>
      </c>
      <c r="AG28" s="1" t="s">
        <v>74</v>
      </c>
      <c r="AH28" s="1" t="s">
        <v>74</v>
      </c>
      <c r="AI28" s="1" t="s">
        <v>74</v>
      </c>
      <c r="AJ28" s="1" t="s">
        <v>74</v>
      </c>
      <c r="AK28" s="1" t="s">
        <v>74</v>
      </c>
      <c r="AL28" s="1" t="s">
        <v>74</v>
      </c>
      <c r="AM28" s="1" t="s">
        <v>74</v>
      </c>
      <c r="AN28" s="1" t="s">
        <v>74</v>
      </c>
      <c r="AO28" s="1" t="s">
        <v>143</v>
      </c>
      <c r="AP28" s="1" t="s">
        <v>144</v>
      </c>
      <c r="AQ28" s="1" t="s">
        <v>74</v>
      </c>
      <c r="AR28" s="1" t="s">
        <v>74</v>
      </c>
      <c r="AS28" s="1" t="s">
        <v>74</v>
      </c>
      <c r="AT28" s="1" t="s">
        <v>134</v>
      </c>
      <c r="AU28" s="1">
        <v>2004</v>
      </c>
      <c r="AV28" s="1">
        <v>67</v>
      </c>
      <c r="AW28" s="1" t="s">
        <v>74</v>
      </c>
      <c r="AX28" s="1">
        <v>5</v>
      </c>
      <c r="AY28" s="1" t="s">
        <v>74</v>
      </c>
      <c r="AZ28" s="1" t="s">
        <v>74</v>
      </c>
      <c r="BA28" s="1" t="s">
        <v>74</v>
      </c>
      <c r="BB28" s="1">
        <v>875</v>
      </c>
      <c r="BC28" s="1">
        <v>882</v>
      </c>
      <c r="BD28" s="1" t="s">
        <v>74</v>
      </c>
      <c r="BE28" s="1" t="s">
        <v>5547</v>
      </c>
      <c r="BF28" s="1" t="str">
        <f>HYPERLINK("http://dx.doi.org/10.1016/j.anbehav.2003.05.015","http://dx.doi.org/10.1016/j.anbehav.2003.05.015")</f>
        <v>http://dx.doi.org/10.1016/j.anbehav.2003.05.015</v>
      </c>
      <c r="BG28" s="1" t="s">
        <v>74</v>
      </c>
      <c r="BH28" s="1" t="s">
        <v>74</v>
      </c>
      <c r="BI28" s="1" t="s">
        <v>74</v>
      </c>
      <c r="BJ28" s="1" t="s">
        <v>74</v>
      </c>
      <c r="BK28" s="1" t="s">
        <v>74</v>
      </c>
      <c r="BL28" s="1" t="s">
        <v>74</v>
      </c>
      <c r="BM28" s="1" t="s">
        <v>74</v>
      </c>
      <c r="BN28" s="1" t="s">
        <v>74</v>
      </c>
      <c r="BO28" s="1" t="s">
        <v>74</v>
      </c>
      <c r="BP28" s="1" t="s">
        <v>74</v>
      </c>
      <c r="BQ28" s="1" t="s">
        <v>74</v>
      </c>
      <c r="BR28" s="1" t="s">
        <v>74</v>
      </c>
      <c r="BS28" s="1" t="s">
        <v>5548</v>
      </c>
      <c r="BT28" s="1" t="str">
        <f>HYPERLINK("https%3A%2F%2Fwww.webofscience.com%2Fwos%2Fwoscc%2Ffull-record%2FWOS:000221541600007","View Full Record in Web of Science")</f>
        <v>View Full Record in Web of Science</v>
      </c>
    </row>
    <row r="29" spans="1:72" s="2" customFormat="1" x14ac:dyDescent="0.4">
      <c r="A29" s="1" t="s">
        <v>72</v>
      </c>
      <c r="B29" s="1" t="s">
        <v>8663</v>
      </c>
      <c r="C29" s="1" t="s">
        <v>74</v>
      </c>
      <c r="D29" s="1" t="s">
        <v>74</v>
      </c>
      <c r="E29" s="1" t="s">
        <v>74</v>
      </c>
      <c r="F29" s="1" t="s">
        <v>8664</v>
      </c>
      <c r="G29" s="1" t="s">
        <v>74</v>
      </c>
      <c r="H29" s="1" t="s">
        <v>74</v>
      </c>
      <c r="I29" s="1" t="s">
        <v>8665</v>
      </c>
      <c r="J29" s="1" t="s">
        <v>8666</v>
      </c>
      <c r="K29" s="1" t="s">
        <v>74</v>
      </c>
      <c r="L29" s="1" t="s">
        <v>74</v>
      </c>
      <c r="M29" s="1" t="s">
        <v>74</v>
      </c>
      <c r="N29" s="1" t="s">
        <v>74</v>
      </c>
      <c r="O29" s="1" t="s">
        <v>74</v>
      </c>
      <c r="P29" s="1" t="s">
        <v>74</v>
      </c>
      <c r="Q29" s="1" t="s">
        <v>74</v>
      </c>
      <c r="R29" s="1" t="s">
        <v>74</v>
      </c>
      <c r="S29" s="1" t="s">
        <v>74</v>
      </c>
      <c r="T29" s="1" t="s">
        <v>74</v>
      </c>
      <c r="U29" s="1" t="s">
        <v>74</v>
      </c>
      <c r="V29" s="4" t="s">
        <v>8667</v>
      </c>
      <c r="W29" s="1" t="s">
        <v>74</v>
      </c>
      <c r="X29" s="1" t="s">
        <v>74</v>
      </c>
      <c r="Y29" s="1" t="s">
        <v>74</v>
      </c>
      <c r="Z29" s="1" t="s">
        <v>74</v>
      </c>
      <c r="AA29" s="1" t="s">
        <v>8668</v>
      </c>
      <c r="AB29" s="1" t="s">
        <v>8669</v>
      </c>
      <c r="AC29" s="1" t="s">
        <v>74</v>
      </c>
      <c r="AD29" s="1" t="s">
        <v>74</v>
      </c>
      <c r="AE29" s="1" t="s">
        <v>74</v>
      </c>
      <c r="AF29" s="1" t="s">
        <v>74</v>
      </c>
      <c r="AG29" s="1" t="s">
        <v>74</v>
      </c>
      <c r="AH29" s="1" t="s">
        <v>74</v>
      </c>
      <c r="AI29" s="1" t="s">
        <v>74</v>
      </c>
      <c r="AJ29" s="1" t="s">
        <v>74</v>
      </c>
      <c r="AK29" s="1" t="s">
        <v>74</v>
      </c>
      <c r="AL29" s="1" t="s">
        <v>74</v>
      </c>
      <c r="AM29" s="1" t="s">
        <v>74</v>
      </c>
      <c r="AN29" s="1" t="s">
        <v>74</v>
      </c>
      <c r="AO29" s="1" t="s">
        <v>8670</v>
      </c>
      <c r="AP29" s="1" t="s">
        <v>8671</v>
      </c>
      <c r="AQ29" s="1" t="s">
        <v>74</v>
      </c>
      <c r="AR29" s="1" t="s">
        <v>74</v>
      </c>
      <c r="AS29" s="1" t="s">
        <v>74</v>
      </c>
      <c r="AT29" s="1" t="s">
        <v>123</v>
      </c>
      <c r="AU29" s="1">
        <v>2011</v>
      </c>
      <c r="AV29" s="1">
        <v>41</v>
      </c>
      <c r="AW29" s="1">
        <v>2</v>
      </c>
      <c r="AX29" s="1" t="s">
        <v>74</v>
      </c>
      <c r="AY29" s="1" t="s">
        <v>74</v>
      </c>
      <c r="AZ29" s="1" t="s">
        <v>74</v>
      </c>
      <c r="BA29" s="1" t="s">
        <v>74</v>
      </c>
      <c r="BB29" s="1">
        <v>312</v>
      </c>
      <c r="BC29" s="1">
        <v>322</v>
      </c>
      <c r="BD29" s="1" t="s">
        <v>74</v>
      </c>
      <c r="BE29" s="1" t="s">
        <v>8672</v>
      </c>
      <c r="BF29" s="1" t="str">
        <f>HYPERLINK("http://dx.doi.org/10.1007/s10519-010-9379-4","http://dx.doi.org/10.1007/s10519-010-9379-4")</f>
        <v>http://dx.doi.org/10.1007/s10519-010-9379-4</v>
      </c>
      <c r="BG29" s="1" t="s">
        <v>74</v>
      </c>
      <c r="BH29" s="1" t="s">
        <v>74</v>
      </c>
      <c r="BI29" s="1" t="s">
        <v>74</v>
      </c>
      <c r="BJ29" s="1" t="s">
        <v>74</v>
      </c>
      <c r="BK29" s="1" t="s">
        <v>74</v>
      </c>
      <c r="BL29" s="1" t="s">
        <v>74</v>
      </c>
      <c r="BM29" s="1" t="s">
        <v>74</v>
      </c>
      <c r="BN29" s="1">
        <v>20623330</v>
      </c>
      <c r="BO29" s="1" t="s">
        <v>74</v>
      </c>
      <c r="BP29" s="1" t="s">
        <v>74</v>
      </c>
      <c r="BQ29" s="1" t="s">
        <v>74</v>
      </c>
      <c r="BR29" s="1" t="s">
        <v>74</v>
      </c>
      <c r="BS29" s="1" t="s">
        <v>8673</v>
      </c>
      <c r="BT29" s="1" t="str">
        <f>HYPERLINK("https%3A%2F%2Fwww.webofscience.com%2Fwos%2Fwoscc%2Ffull-record%2FWOS:000287749700015","View Full Record in Web of Science")</f>
        <v>View Full Record in Web of Science</v>
      </c>
    </row>
    <row r="30" spans="1:72" s="2" customFormat="1" x14ac:dyDescent="0.4">
      <c r="A30" s="1" t="s">
        <v>72</v>
      </c>
      <c r="B30" s="1" t="s">
        <v>1166</v>
      </c>
      <c r="C30" s="1" t="s">
        <v>74</v>
      </c>
      <c r="D30" s="1" t="s">
        <v>74</v>
      </c>
      <c r="E30" s="1" t="s">
        <v>74</v>
      </c>
      <c r="F30" s="1" t="s">
        <v>1167</v>
      </c>
      <c r="G30" s="1" t="s">
        <v>74</v>
      </c>
      <c r="H30" s="1" t="s">
        <v>74</v>
      </c>
      <c r="I30" s="1" t="s">
        <v>1168</v>
      </c>
      <c r="J30" s="1" t="s">
        <v>119</v>
      </c>
      <c r="K30" s="1" t="s">
        <v>74</v>
      </c>
      <c r="L30" s="1" t="s">
        <v>74</v>
      </c>
      <c r="M30" s="1" t="s">
        <v>74</v>
      </c>
      <c r="N30" s="1" t="s">
        <v>74</v>
      </c>
      <c r="O30" s="1" t="s">
        <v>74</v>
      </c>
      <c r="P30" s="1" t="s">
        <v>74</v>
      </c>
      <c r="Q30" s="1" t="s">
        <v>74</v>
      </c>
      <c r="R30" s="1" t="s">
        <v>74</v>
      </c>
      <c r="S30" s="1" t="s">
        <v>74</v>
      </c>
      <c r="T30" s="1" t="s">
        <v>74</v>
      </c>
      <c r="U30" s="1" t="s">
        <v>74</v>
      </c>
      <c r="V30" s="4" t="s">
        <v>1169</v>
      </c>
      <c r="W30" s="1" t="s">
        <v>74</v>
      </c>
      <c r="X30" s="1" t="s">
        <v>74</v>
      </c>
      <c r="Y30" s="1" t="s">
        <v>74</v>
      </c>
      <c r="Z30" s="1" t="s">
        <v>74</v>
      </c>
      <c r="AA30" s="1" t="s">
        <v>74</v>
      </c>
      <c r="AB30" s="1" t="s">
        <v>74</v>
      </c>
      <c r="AC30" s="1" t="s">
        <v>74</v>
      </c>
      <c r="AD30" s="1" t="s">
        <v>74</v>
      </c>
      <c r="AE30" s="1" t="s">
        <v>74</v>
      </c>
      <c r="AF30" s="1" t="s">
        <v>74</v>
      </c>
      <c r="AG30" s="1" t="s">
        <v>74</v>
      </c>
      <c r="AH30" s="1" t="s">
        <v>74</v>
      </c>
      <c r="AI30" s="1" t="s">
        <v>74</v>
      </c>
      <c r="AJ30" s="1" t="s">
        <v>74</v>
      </c>
      <c r="AK30" s="1" t="s">
        <v>74</v>
      </c>
      <c r="AL30" s="1" t="s">
        <v>74</v>
      </c>
      <c r="AM30" s="1" t="s">
        <v>74</v>
      </c>
      <c r="AN30" s="1" t="s">
        <v>74</v>
      </c>
      <c r="AO30" s="1" t="s">
        <v>121</v>
      </c>
      <c r="AP30" s="1" t="s">
        <v>122</v>
      </c>
      <c r="AQ30" s="1" t="s">
        <v>74</v>
      </c>
      <c r="AR30" s="1" t="s">
        <v>74</v>
      </c>
      <c r="AS30" s="1" t="s">
        <v>74</v>
      </c>
      <c r="AT30" s="1" t="s">
        <v>102</v>
      </c>
      <c r="AU30" s="1">
        <v>2010</v>
      </c>
      <c r="AV30" s="1">
        <v>84</v>
      </c>
      <c r="AW30" s="1">
        <v>2</v>
      </c>
      <c r="AX30" s="1" t="s">
        <v>74</v>
      </c>
      <c r="AY30" s="1" t="s">
        <v>74</v>
      </c>
      <c r="AZ30" s="1" t="s">
        <v>74</v>
      </c>
      <c r="BA30" s="1" t="s">
        <v>74</v>
      </c>
      <c r="BB30" s="1">
        <v>568</v>
      </c>
      <c r="BC30" s="1">
        <v>572</v>
      </c>
      <c r="BD30" s="1" t="s">
        <v>74</v>
      </c>
      <c r="BE30" s="1" t="s">
        <v>1170</v>
      </c>
      <c r="BF30" s="1" t="str">
        <f>HYPERLINK("http://dx.doi.org/10.1016/j.beproc.2010.02.012","http://dx.doi.org/10.1016/j.beproc.2010.02.012")</f>
        <v>http://dx.doi.org/10.1016/j.beproc.2010.02.012</v>
      </c>
      <c r="BG30" s="1" t="s">
        <v>74</v>
      </c>
      <c r="BH30" s="1" t="s">
        <v>74</v>
      </c>
      <c r="BI30" s="1" t="s">
        <v>74</v>
      </c>
      <c r="BJ30" s="1" t="s">
        <v>74</v>
      </c>
      <c r="BK30" s="1" t="s">
        <v>74</v>
      </c>
      <c r="BL30" s="1" t="s">
        <v>74</v>
      </c>
      <c r="BM30" s="1" t="s">
        <v>74</v>
      </c>
      <c r="BN30" s="1">
        <v>20176091</v>
      </c>
      <c r="BO30" s="1" t="s">
        <v>74</v>
      </c>
      <c r="BP30" s="1" t="s">
        <v>74</v>
      </c>
      <c r="BQ30" s="1" t="s">
        <v>74</v>
      </c>
      <c r="BR30" s="1" t="s">
        <v>74</v>
      </c>
      <c r="BS30" s="1" t="s">
        <v>1171</v>
      </c>
      <c r="BT30" s="1" t="str">
        <f>HYPERLINK("https%3A%2F%2Fwww.webofscience.com%2Fwos%2Fwoscc%2Ffull-record%2FWOS:000279096400004","View Full Record in Web of Science")</f>
        <v>View Full Record in Web of Science</v>
      </c>
    </row>
    <row r="31" spans="1:72" s="2" customFormat="1" x14ac:dyDescent="0.4">
      <c r="A31" s="1" t="s">
        <v>72</v>
      </c>
      <c r="B31" s="1" t="s">
        <v>3217</v>
      </c>
      <c r="C31" s="1" t="s">
        <v>74</v>
      </c>
      <c r="D31" s="1" t="s">
        <v>74</v>
      </c>
      <c r="E31" s="1" t="s">
        <v>74</v>
      </c>
      <c r="F31" s="1" t="s">
        <v>3218</v>
      </c>
      <c r="G31" s="1" t="s">
        <v>74</v>
      </c>
      <c r="H31" s="1" t="s">
        <v>74</v>
      </c>
      <c r="I31" s="1" t="s">
        <v>3219</v>
      </c>
      <c r="J31" s="1" t="s">
        <v>77</v>
      </c>
      <c r="K31" s="1" t="s">
        <v>74</v>
      </c>
      <c r="L31" s="1" t="s">
        <v>74</v>
      </c>
      <c r="M31" s="1" t="s">
        <v>74</v>
      </c>
      <c r="N31" s="1" t="s">
        <v>74</v>
      </c>
      <c r="O31" s="1" t="s">
        <v>74</v>
      </c>
      <c r="P31" s="1" t="s">
        <v>74</v>
      </c>
      <c r="Q31" s="1" t="s">
        <v>74</v>
      </c>
      <c r="R31" s="1" t="s">
        <v>74</v>
      </c>
      <c r="S31" s="1" t="s">
        <v>74</v>
      </c>
      <c r="T31" s="1" t="s">
        <v>74</v>
      </c>
      <c r="U31" s="1" t="s">
        <v>74</v>
      </c>
      <c r="V31" s="4" t="s">
        <v>3220</v>
      </c>
      <c r="W31" s="1" t="s">
        <v>74</v>
      </c>
      <c r="X31" s="1" t="s">
        <v>74</v>
      </c>
      <c r="Y31" s="1" t="s">
        <v>74</v>
      </c>
      <c r="Z31" s="1" t="s">
        <v>74</v>
      </c>
      <c r="AA31" s="1" t="s">
        <v>3221</v>
      </c>
      <c r="AB31" s="1" t="s">
        <v>3222</v>
      </c>
      <c r="AC31" s="1" t="s">
        <v>74</v>
      </c>
      <c r="AD31" s="1" t="s">
        <v>74</v>
      </c>
      <c r="AE31" s="1" t="s">
        <v>74</v>
      </c>
      <c r="AF31" s="1" t="s">
        <v>74</v>
      </c>
      <c r="AG31" s="1" t="s">
        <v>74</v>
      </c>
      <c r="AH31" s="1" t="s">
        <v>74</v>
      </c>
      <c r="AI31" s="1" t="s">
        <v>74</v>
      </c>
      <c r="AJ31" s="1" t="s">
        <v>74</v>
      </c>
      <c r="AK31" s="1" t="s">
        <v>74</v>
      </c>
      <c r="AL31" s="1" t="s">
        <v>74</v>
      </c>
      <c r="AM31" s="1" t="s">
        <v>74</v>
      </c>
      <c r="AN31" s="1" t="s">
        <v>74</v>
      </c>
      <c r="AO31" s="1" t="s">
        <v>81</v>
      </c>
      <c r="AP31" s="1" t="s">
        <v>82</v>
      </c>
      <c r="AQ31" s="1" t="s">
        <v>74</v>
      </c>
      <c r="AR31" s="1" t="s">
        <v>74</v>
      </c>
      <c r="AS31" s="1" t="s">
        <v>74</v>
      </c>
      <c r="AT31" s="1" t="s">
        <v>633</v>
      </c>
      <c r="AU31" s="1">
        <v>2007</v>
      </c>
      <c r="AV31" s="1">
        <v>144</v>
      </c>
      <c r="AW31" s="1" t="s">
        <v>74</v>
      </c>
      <c r="AX31" s="1">
        <v>4</v>
      </c>
      <c r="AY31" s="1" t="s">
        <v>74</v>
      </c>
      <c r="AZ31" s="1" t="s">
        <v>74</v>
      </c>
      <c r="BA31" s="1" t="s">
        <v>74</v>
      </c>
      <c r="BB31" s="1">
        <v>447</v>
      </c>
      <c r="BC31" s="1">
        <v>470</v>
      </c>
      <c r="BD31" s="1" t="s">
        <v>74</v>
      </c>
      <c r="BE31" s="1" t="s">
        <v>3223</v>
      </c>
      <c r="BF31" s="1" t="str">
        <f>HYPERLINK("http://dx.doi.org/10.1163/156853907780756030","http://dx.doi.org/10.1163/156853907780756030")</f>
        <v>http://dx.doi.org/10.1163/156853907780756030</v>
      </c>
      <c r="BG31" s="1" t="s">
        <v>74</v>
      </c>
      <c r="BH31" s="1" t="s">
        <v>74</v>
      </c>
      <c r="BI31" s="1" t="s">
        <v>74</v>
      </c>
      <c r="BJ31" s="1" t="s">
        <v>74</v>
      </c>
      <c r="BK31" s="1" t="s">
        <v>74</v>
      </c>
      <c r="BL31" s="1" t="s">
        <v>74</v>
      </c>
      <c r="BM31" s="1" t="s">
        <v>74</v>
      </c>
      <c r="BN31" s="1" t="s">
        <v>74</v>
      </c>
      <c r="BO31" s="1" t="s">
        <v>74</v>
      </c>
      <c r="BP31" s="1" t="s">
        <v>74</v>
      </c>
      <c r="BQ31" s="1" t="s">
        <v>74</v>
      </c>
      <c r="BR31" s="1" t="s">
        <v>74</v>
      </c>
      <c r="BS31" s="1" t="s">
        <v>3224</v>
      </c>
      <c r="BT31" s="1" t="str">
        <f>HYPERLINK("https%3A%2F%2Fwww.webofscience.com%2Fwos%2Fwoscc%2Ffull-record%2FWOS:000247125600005","View Full Record in Web of Science")</f>
        <v>View Full Record in Web of Science</v>
      </c>
    </row>
    <row r="32" spans="1:72" s="2" customFormat="1" x14ac:dyDescent="0.4">
      <c r="A32" s="1" t="s">
        <v>72</v>
      </c>
      <c r="B32" s="1" t="s">
        <v>851</v>
      </c>
      <c r="C32" s="1" t="s">
        <v>74</v>
      </c>
      <c r="D32" s="1" t="s">
        <v>74</v>
      </c>
      <c r="E32" s="1" t="s">
        <v>74</v>
      </c>
      <c r="F32" s="1" t="s">
        <v>852</v>
      </c>
      <c r="G32" s="1" t="s">
        <v>74</v>
      </c>
      <c r="H32" s="1" t="s">
        <v>74</v>
      </c>
      <c r="I32" s="1" t="s">
        <v>853</v>
      </c>
      <c r="J32" s="1" t="s">
        <v>509</v>
      </c>
      <c r="K32" s="1" t="s">
        <v>74</v>
      </c>
      <c r="L32" s="1" t="s">
        <v>74</v>
      </c>
      <c r="M32" s="1" t="s">
        <v>74</v>
      </c>
      <c r="N32" s="1" t="s">
        <v>74</v>
      </c>
      <c r="O32" s="1" t="s">
        <v>74</v>
      </c>
      <c r="P32" s="1" t="s">
        <v>74</v>
      </c>
      <c r="Q32" s="1" t="s">
        <v>74</v>
      </c>
      <c r="R32" s="1" t="s">
        <v>74</v>
      </c>
      <c r="S32" s="1" t="s">
        <v>74</v>
      </c>
      <c r="T32" s="1" t="s">
        <v>74</v>
      </c>
      <c r="U32" s="1" t="s">
        <v>74</v>
      </c>
      <c r="V32" s="4" t="s">
        <v>854</v>
      </c>
      <c r="W32" s="1" t="s">
        <v>74</v>
      </c>
      <c r="X32" s="1" t="s">
        <v>74</v>
      </c>
      <c r="Y32" s="1" t="s">
        <v>74</v>
      </c>
      <c r="Z32" s="1" t="s">
        <v>74</v>
      </c>
      <c r="AA32" s="1" t="s">
        <v>855</v>
      </c>
      <c r="AB32" s="1" t="s">
        <v>856</v>
      </c>
      <c r="AC32" s="1" t="s">
        <v>74</v>
      </c>
      <c r="AD32" s="1" t="s">
        <v>74</v>
      </c>
      <c r="AE32" s="1" t="s">
        <v>74</v>
      </c>
      <c r="AF32" s="1" t="s">
        <v>74</v>
      </c>
      <c r="AG32" s="1" t="s">
        <v>74</v>
      </c>
      <c r="AH32" s="1" t="s">
        <v>74</v>
      </c>
      <c r="AI32" s="1" t="s">
        <v>74</v>
      </c>
      <c r="AJ32" s="1" t="s">
        <v>74</v>
      </c>
      <c r="AK32" s="1" t="s">
        <v>74</v>
      </c>
      <c r="AL32" s="1" t="s">
        <v>74</v>
      </c>
      <c r="AM32" s="1" t="s">
        <v>74</v>
      </c>
      <c r="AN32" s="1" t="s">
        <v>74</v>
      </c>
      <c r="AO32" s="1" t="s">
        <v>511</v>
      </c>
      <c r="AP32" s="1" t="s">
        <v>512</v>
      </c>
      <c r="AQ32" s="1" t="s">
        <v>74</v>
      </c>
      <c r="AR32" s="1" t="s">
        <v>74</v>
      </c>
      <c r="AS32" s="1" t="s">
        <v>74</v>
      </c>
      <c r="AT32" s="1" t="s">
        <v>145</v>
      </c>
      <c r="AU32" s="1">
        <v>2008</v>
      </c>
      <c r="AV32" s="1">
        <v>54</v>
      </c>
      <c r="AW32" s="1">
        <v>3</v>
      </c>
      <c r="AX32" s="1" t="s">
        <v>74</v>
      </c>
      <c r="AY32" s="1" t="s">
        <v>74</v>
      </c>
      <c r="AZ32" s="1" t="s">
        <v>74</v>
      </c>
      <c r="BA32" s="1" t="s">
        <v>74</v>
      </c>
      <c r="BB32" s="1">
        <v>463</v>
      </c>
      <c r="BC32" s="1">
        <v>470</v>
      </c>
      <c r="BD32" s="1" t="s">
        <v>74</v>
      </c>
      <c r="BE32" s="1" t="s">
        <v>857</v>
      </c>
      <c r="BF32" s="1" t="str">
        <f>HYPERLINK("http://dx.doi.org/10.1016/j.yhbeh.2008.05.006","http://dx.doi.org/10.1016/j.yhbeh.2008.05.006")</f>
        <v>http://dx.doi.org/10.1016/j.yhbeh.2008.05.006</v>
      </c>
      <c r="BG32" s="1" t="s">
        <v>74</v>
      </c>
      <c r="BH32" s="1" t="s">
        <v>74</v>
      </c>
      <c r="BI32" s="1" t="s">
        <v>74</v>
      </c>
      <c r="BJ32" s="1" t="s">
        <v>74</v>
      </c>
      <c r="BK32" s="1" t="s">
        <v>74</v>
      </c>
      <c r="BL32" s="1" t="s">
        <v>74</v>
      </c>
      <c r="BM32" s="1" t="s">
        <v>74</v>
      </c>
      <c r="BN32" s="1">
        <v>18586245</v>
      </c>
      <c r="BO32" s="1" t="s">
        <v>74</v>
      </c>
      <c r="BP32" s="1" t="s">
        <v>74</v>
      </c>
      <c r="BQ32" s="1" t="s">
        <v>74</v>
      </c>
      <c r="BR32" s="1" t="s">
        <v>74</v>
      </c>
      <c r="BS32" s="1" t="s">
        <v>858</v>
      </c>
      <c r="BT32" s="1" t="str">
        <f>HYPERLINK("https%3A%2F%2Fwww.webofscience.com%2Fwos%2Fwoscc%2Ffull-record%2FWOS:000258812900017","View Full Record in Web of Science")</f>
        <v>View Full Record in Web of Science</v>
      </c>
    </row>
    <row r="33" spans="1:72" s="7" customFormat="1" x14ac:dyDescent="0.4">
      <c r="A33" s="1" t="s">
        <v>72</v>
      </c>
      <c r="B33" s="1" t="s">
        <v>6344</v>
      </c>
      <c r="C33" s="1" t="s">
        <v>74</v>
      </c>
      <c r="D33" s="1" t="s">
        <v>74</v>
      </c>
      <c r="E33" s="1" t="s">
        <v>74</v>
      </c>
      <c r="F33" s="1" t="s">
        <v>6345</v>
      </c>
      <c r="G33" s="1" t="s">
        <v>74</v>
      </c>
      <c r="H33" s="1" t="s">
        <v>74</v>
      </c>
      <c r="I33" s="1" t="s">
        <v>6346</v>
      </c>
      <c r="J33" s="1" t="s">
        <v>140</v>
      </c>
      <c r="K33" s="1" t="s">
        <v>74</v>
      </c>
      <c r="L33" s="1" t="s">
        <v>74</v>
      </c>
      <c r="M33" s="1" t="s">
        <v>74</v>
      </c>
      <c r="N33" s="1" t="s">
        <v>74</v>
      </c>
      <c r="O33" s="1" t="s">
        <v>74</v>
      </c>
      <c r="P33" s="1" t="s">
        <v>74</v>
      </c>
      <c r="Q33" s="1" t="s">
        <v>74</v>
      </c>
      <c r="R33" s="1" t="s">
        <v>74</v>
      </c>
      <c r="S33" s="1" t="s">
        <v>74</v>
      </c>
      <c r="T33" s="1" t="s">
        <v>74</v>
      </c>
      <c r="U33" s="1" t="s">
        <v>74</v>
      </c>
      <c r="V33" s="4" t="s">
        <v>6347</v>
      </c>
      <c r="W33" s="1" t="s">
        <v>74</v>
      </c>
      <c r="X33" s="1" t="s">
        <v>74</v>
      </c>
      <c r="Y33" s="1" t="s">
        <v>74</v>
      </c>
      <c r="Z33" s="1" t="s">
        <v>74</v>
      </c>
      <c r="AA33" s="1" t="s">
        <v>6348</v>
      </c>
      <c r="AB33" s="1" t="s">
        <v>6349</v>
      </c>
      <c r="AC33" s="1" t="s">
        <v>74</v>
      </c>
      <c r="AD33" s="1" t="s">
        <v>74</v>
      </c>
      <c r="AE33" s="1" t="s">
        <v>74</v>
      </c>
      <c r="AF33" s="1" t="s">
        <v>74</v>
      </c>
      <c r="AG33" s="1" t="s">
        <v>74</v>
      </c>
      <c r="AH33" s="1" t="s">
        <v>74</v>
      </c>
      <c r="AI33" s="1" t="s">
        <v>74</v>
      </c>
      <c r="AJ33" s="1" t="s">
        <v>74</v>
      </c>
      <c r="AK33" s="1" t="s">
        <v>74</v>
      </c>
      <c r="AL33" s="1" t="s">
        <v>74</v>
      </c>
      <c r="AM33" s="1" t="s">
        <v>74</v>
      </c>
      <c r="AN33" s="1" t="s">
        <v>74</v>
      </c>
      <c r="AO33" s="1" t="s">
        <v>143</v>
      </c>
      <c r="AP33" s="1" t="s">
        <v>144</v>
      </c>
      <c r="AQ33" s="1" t="s">
        <v>74</v>
      </c>
      <c r="AR33" s="1" t="s">
        <v>74</v>
      </c>
      <c r="AS33" s="1" t="s">
        <v>74</v>
      </c>
      <c r="AT33" s="1" t="s">
        <v>305</v>
      </c>
      <c r="AU33" s="1">
        <v>2015</v>
      </c>
      <c r="AV33" s="1">
        <v>110</v>
      </c>
      <c r="AW33" s="1" t="s">
        <v>74</v>
      </c>
      <c r="AX33" s="1" t="s">
        <v>74</v>
      </c>
      <c r="AY33" s="1" t="s">
        <v>74</v>
      </c>
      <c r="AZ33" s="1" t="s">
        <v>74</v>
      </c>
      <c r="BA33" s="1" t="s">
        <v>74</v>
      </c>
      <c r="BB33" s="1">
        <v>155</v>
      </c>
      <c r="BC33" s="1">
        <v>161</v>
      </c>
      <c r="BD33" s="1" t="s">
        <v>74</v>
      </c>
      <c r="BE33" s="1" t="s">
        <v>6350</v>
      </c>
      <c r="BF33" s="1" t="str">
        <f>HYPERLINK("http://dx.doi.org/10.1016/j.anbehav.2015.09.025","http://dx.doi.org/10.1016/j.anbehav.2015.09.025")</f>
        <v>http://dx.doi.org/10.1016/j.anbehav.2015.09.025</v>
      </c>
      <c r="BG33" s="1" t="s">
        <v>74</v>
      </c>
      <c r="BH33" s="1" t="s">
        <v>74</v>
      </c>
      <c r="BI33" s="1" t="s">
        <v>74</v>
      </c>
      <c r="BJ33" s="1" t="s">
        <v>74</v>
      </c>
      <c r="BK33" s="1" t="s">
        <v>74</v>
      </c>
      <c r="BL33" s="1" t="s">
        <v>74</v>
      </c>
      <c r="BM33" s="1" t="s">
        <v>74</v>
      </c>
      <c r="BN33" s="1" t="s">
        <v>74</v>
      </c>
      <c r="BO33" s="1" t="s">
        <v>74</v>
      </c>
      <c r="BP33" s="1" t="s">
        <v>74</v>
      </c>
      <c r="BQ33" s="1" t="s">
        <v>74</v>
      </c>
      <c r="BR33" s="1" t="s">
        <v>74</v>
      </c>
      <c r="BS33" s="1" t="s">
        <v>6351</v>
      </c>
      <c r="BT33" s="1" t="str">
        <f>HYPERLINK("https%3A%2F%2Fwww.webofscience.com%2Fwos%2Fwoscc%2Ffull-record%2FWOS:000366731500022","View Full Record in Web of Science")</f>
        <v>View Full Record in Web of Science</v>
      </c>
    </row>
    <row r="34" spans="1:72" s="2" customFormat="1" x14ac:dyDescent="0.4">
      <c r="A34" s="1" t="s">
        <v>72</v>
      </c>
      <c r="B34" s="1" t="s">
        <v>627</v>
      </c>
      <c r="C34" s="1" t="s">
        <v>74</v>
      </c>
      <c r="D34" s="1" t="s">
        <v>74</v>
      </c>
      <c r="E34" s="1" t="s">
        <v>74</v>
      </c>
      <c r="F34" s="1" t="s">
        <v>628</v>
      </c>
      <c r="G34" s="1" t="s">
        <v>74</v>
      </c>
      <c r="H34" s="1" t="s">
        <v>74</v>
      </c>
      <c r="I34" s="1" t="s">
        <v>629</v>
      </c>
      <c r="J34" s="1" t="s">
        <v>140</v>
      </c>
      <c r="K34" s="1" t="s">
        <v>74</v>
      </c>
      <c r="L34" s="1" t="s">
        <v>74</v>
      </c>
      <c r="M34" s="1" t="s">
        <v>74</v>
      </c>
      <c r="N34" s="1" t="s">
        <v>74</v>
      </c>
      <c r="O34" s="1" t="s">
        <v>74</v>
      </c>
      <c r="P34" s="1" t="s">
        <v>74</v>
      </c>
      <c r="Q34" s="1" t="s">
        <v>74</v>
      </c>
      <c r="R34" s="1" t="s">
        <v>74</v>
      </c>
      <c r="S34" s="1" t="s">
        <v>74</v>
      </c>
      <c r="T34" s="1" t="s">
        <v>74</v>
      </c>
      <c r="U34" s="1" t="s">
        <v>74</v>
      </c>
      <c r="V34" s="4" t="s">
        <v>630</v>
      </c>
      <c r="W34" s="1" t="s">
        <v>74</v>
      </c>
      <c r="X34" s="1" t="s">
        <v>74</v>
      </c>
      <c r="Y34" s="1" t="s">
        <v>74</v>
      </c>
      <c r="Z34" s="1" t="s">
        <v>74</v>
      </c>
      <c r="AA34" s="1" t="s">
        <v>631</v>
      </c>
      <c r="AB34" s="1" t="s">
        <v>632</v>
      </c>
      <c r="AC34" s="1" t="s">
        <v>74</v>
      </c>
      <c r="AD34" s="1" t="s">
        <v>74</v>
      </c>
      <c r="AE34" s="1" t="s">
        <v>74</v>
      </c>
      <c r="AF34" s="1" t="s">
        <v>74</v>
      </c>
      <c r="AG34" s="1" t="s">
        <v>74</v>
      </c>
      <c r="AH34" s="1" t="s">
        <v>74</v>
      </c>
      <c r="AI34" s="1" t="s">
        <v>74</v>
      </c>
      <c r="AJ34" s="1" t="s">
        <v>74</v>
      </c>
      <c r="AK34" s="1" t="s">
        <v>74</v>
      </c>
      <c r="AL34" s="1" t="s">
        <v>74</v>
      </c>
      <c r="AM34" s="1" t="s">
        <v>74</v>
      </c>
      <c r="AN34" s="1" t="s">
        <v>74</v>
      </c>
      <c r="AO34" s="1" t="s">
        <v>143</v>
      </c>
      <c r="AP34" s="1" t="s">
        <v>144</v>
      </c>
      <c r="AQ34" s="1" t="s">
        <v>74</v>
      </c>
      <c r="AR34" s="1" t="s">
        <v>74</v>
      </c>
      <c r="AS34" s="1" t="s">
        <v>74</v>
      </c>
      <c r="AT34" s="1" t="s">
        <v>633</v>
      </c>
      <c r="AU34" s="1">
        <v>2019</v>
      </c>
      <c r="AV34" s="1">
        <v>150</v>
      </c>
      <c r="AW34" s="1" t="s">
        <v>74</v>
      </c>
      <c r="AX34" s="1" t="s">
        <v>74</v>
      </c>
      <c r="AY34" s="1" t="s">
        <v>74</v>
      </c>
      <c r="AZ34" s="1" t="s">
        <v>74</v>
      </c>
      <c r="BA34" s="1" t="s">
        <v>74</v>
      </c>
      <c r="BB34" s="1">
        <v>285</v>
      </c>
      <c r="BC34" s="1">
        <v>301</v>
      </c>
      <c r="BD34" s="1" t="s">
        <v>74</v>
      </c>
      <c r="BE34" s="1" t="s">
        <v>634</v>
      </c>
      <c r="BF34" s="1" t="str">
        <f>HYPERLINK("http://dx.doi.org/10.1016/j.anbehav.2019.01.025","http://dx.doi.org/10.1016/j.anbehav.2019.01.025")</f>
        <v>http://dx.doi.org/10.1016/j.anbehav.2019.01.025</v>
      </c>
      <c r="BG34" s="1" t="s">
        <v>74</v>
      </c>
      <c r="BH34" s="1" t="s">
        <v>74</v>
      </c>
      <c r="BI34" s="1" t="s">
        <v>74</v>
      </c>
      <c r="BJ34" s="1" t="s">
        <v>74</v>
      </c>
      <c r="BK34" s="1" t="s">
        <v>74</v>
      </c>
      <c r="BL34" s="1" t="s">
        <v>74</v>
      </c>
      <c r="BM34" s="1" t="s">
        <v>74</v>
      </c>
      <c r="BN34" s="1" t="s">
        <v>74</v>
      </c>
      <c r="BO34" s="1" t="s">
        <v>74</v>
      </c>
      <c r="BP34" s="1" t="s">
        <v>74</v>
      </c>
      <c r="BQ34" s="1" t="s">
        <v>74</v>
      </c>
      <c r="BR34" s="1" t="s">
        <v>74</v>
      </c>
      <c r="BS34" s="1" t="s">
        <v>635</v>
      </c>
      <c r="BT34" s="1" t="str">
        <f>HYPERLINK("https%3A%2F%2Fwww.webofscience.com%2Fwos%2Fwoscc%2Ffull-record%2FWOS:000463590000025","View Full Record in Web of Science")</f>
        <v>View Full Record in Web of Science</v>
      </c>
    </row>
    <row r="35" spans="1:72" s="2" customFormat="1" x14ac:dyDescent="0.4">
      <c r="A35" s="1" t="s">
        <v>72</v>
      </c>
      <c r="B35" s="1" t="s">
        <v>1119</v>
      </c>
      <c r="C35" s="1" t="s">
        <v>74</v>
      </c>
      <c r="D35" s="1" t="s">
        <v>74</v>
      </c>
      <c r="E35" s="1" t="s">
        <v>74</v>
      </c>
      <c r="F35" s="1" t="s">
        <v>1119</v>
      </c>
      <c r="G35" s="1" t="s">
        <v>74</v>
      </c>
      <c r="H35" s="1" t="s">
        <v>74</v>
      </c>
      <c r="I35" s="1" t="s">
        <v>1120</v>
      </c>
      <c r="J35" s="1" t="s">
        <v>140</v>
      </c>
      <c r="K35" s="1" t="s">
        <v>74</v>
      </c>
      <c r="L35" s="1" t="s">
        <v>74</v>
      </c>
      <c r="M35" s="1" t="s">
        <v>74</v>
      </c>
      <c r="N35" s="1" t="s">
        <v>74</v>
      </c>
      <c r="O35" s="1" t="s">
        <v>74</v>
      </c>
      <c r="P35" s="1" t="s">
        <v>74</v>
      </c>
      <c r="Q35" s="1" t="s">
        <v>74</v>
      </c>
      <c r="R35" s="1" t="s">
        <v>74</v>
      </c>
      <c r="S35" s="1" t="s">
        <v>74</v>
      </c>
      <c r="T35" s="1" t="s">
        <v>74</v>
      </c>
      <c r="U35" s="1" t="s">
        <v>74</v>
      </c>
      <c r="V35" s="4" t="s">
        <v>1121</v>
      </c>
      <c r="W35" s="1" t="s">
        <v>74</v>
      </c>
      <c r="X35" s="1" t="s">
        <v>74</v>
      </c>
      <c r="Y35" s="1" t="s">
        <v>74</v>
      </c>
      <c r="Z35" s="1" t="s">
        <v>74</v>
      </c>
      <c r="AA35" s="1" t="s">
        <v>74</v>
      </c>
      <c r="AB35" s="1" t="s">
        <v>1122</v>
      </c>
      <c r="AC35" s="1" t="s">
        <v>74</v>
      </c>
      <c r="AD35" s="1" t="s">
        <v>74</v>
      </c>
      <c r="AE35" s="1" t="s">
        <v>74</v>
      </c>
      <c r="AF35" s="1" t="s">
        <v>74</v>
      </c>
      <c r="AG35" s="1" t="s">
        <v>74</v>
      </c>
      <c r="AH35" s="1" t="s">
        <v>74</v>
      </c>
      <c r="AI35" s="1" t="s">
        <v>74</v>
      </c>
      <c r="AJ35" s="1" t="s">
        <v>74</v>
      </c>
      <c r="AK35" s="1" t="s">
        <v>74</v>
      </c>
      <c r="AL35" s="1" t="s">
        <v>74</v>
      </c>
      <c r="AM35" s="1" t="s">
        <v>74</v>
      </c>
      <c r="AN35" s="1" t="s">
        <v>74</v>
      </c>
      <c r="AO35" s="1" t="s">
        <v>143</v>
      </c>
      <c r="AP35" s="1" t="s">
        <v>144</v>
      </c>
      <c r="AQ35" s="1" t="s">
        <v>74</v>
      </c>
      <c r="AR35" s="1" t="s">
        <v>74</v>
      </c>
      <c r="AS35" s="1" t="s">
        <v>74</v>
      </c>
      <c r="AT35" s="1" t="s">
        <v>74</v>
      </c>
      <c r="AU35" s="1">
        <v>1981</v>
      </c>
      <c r="AV35" s="1">
        <v>29</v>
      </c>
      <c r="AW35" s="1" t="s">
        <v>134</v>
      </c>
      <c r="AX35" s="1" t="s">
        <v>74</v>
      </c>
      <c r="AY35" s="1" t="s">
        <v>74</v>
      </c>
      <c r="AZ35" s="1" t="s">
        <v>74</v>
      </c>
      <c r="BA35" s="1" t="s">
        <v>74</v>
      </c>
      <c r="BB35" s="1">
        <v>325</v>
      </c>
      <c r="BC35" s="1">
        <v>331</v>
      </c>
      <c r="BD35" s="1" t="s">
        <v>74</v>
      </c>
      <c r="BE35" s="1" t="s">
        <v>1123</v>
      </c>
      <c r="BF35" s="1" t="str">
        <f>HYPERLINK("http://dx.doi.org/10.1016/S0003-3472(81)80092-9","http://dx.doi.org/10.1016/S0003-3472(81)80092-9")</f>
        <v>http://dx.doi.org/10.1016/S0003-3472(81)80092-9</v>
      </c>
      <c r="BG35" s="1" t="s">
        <v>74</v>
      </c>
      <c r="BH35" s="1" t="s">
        <v>74</v>
      </c>
      <c r="BI35" s="1" t="s">
        <v>74</v>
      </c>
      <c r="BJ35" s="1" t="s">
        <v>74</v>
      </c>
      <c r="BK35" s="1" t="s">
        <v>74</v>
      </c>
      <c r="BL35" s="1" t="s">
        <v>74</v>
      </c>
      <c r="BM35" s="1" t="s">
        <v>74</v>
      </c>
      <c r="BN35" s="1" t="s">
        <v>74</v>
      </c>
      <c r="BO35" s="1" t="s">
        <v>74</v>
      </c>
      <c r="BP35" s="1" t="s">
        <v>74</v>
      </c>
      <c r="BQ35" s="1" t="s">
        <v>74</v>
      </c>
      <c r="BR35" s="1" t="s">
        <v>74</v>
      </c>
      <c r="BS35" s="1" t="s">
        <v>1124</v>
      </c>
      <c r="BT35" s="1" t="str">
        <f>HYPERLINK("https%3A%2F%2Fwww.webofscience.com%2Fwos%2Fwoscc%2Ffull-record%2FWOS:A1981LQ60200001","View Full Record in Web of Science")</f>
        <v>View Full Record in Web of Science</v>
      </c>
    </row>
    <row r="36" spans="1:72" s="2" customFormat="1" x14ac:dyDescent="0.4">
      <c r="A36" s="1" t="s">
        <v>72</v>
      </c>
      <c r="B36" s="1" t="s">
        <v>4634</v>
      </c>
      <c r="C36" s="1" t="s">
        <v>74</v>
      </c>
      <c r="D36" s="1" t="s">
        <v>74</v>
      </c>
      <c r="E36" s="1" t="s">
        <v>74</v>
      </c>
      <c r="F36" s="1" t="s">
        <v>4634</v>
      </c>
      <c r="G36" s="1" t="s">
        <v>74</v>
      </c>
      <c r="H36" s="1" t="s">
        <v>74</v>
      </c>
      <c r="I36" s="1" t="s">
        <v>4635</v>
      </c>
      <c r="J36" s="1" t="s">
        <v>171</v>
      </c>
      <c r="K36" s="1" t="s">
        <v>74</v>
      </c>
      <c r="L36" s="1" t="s">
        <v>74</v>
      </c>
      <c r="M36" s="1" t="s">
        <v>74</v>
      </c>
      <c r="N36" s="1" t="s">
        <v>74</v>
      </c>
      <c r="O36" s="1" t="s">
        <v>74</v>
      </c>
      <c r="P36" s="1" t="s">
        <v>74</v>
      </c>
      <c r="Q36" s="1" t="s">
        <v>74</v>
      </c>
      <c r="R36" s="1" t="s">
        <v>74</v>
      </c>
      <c r="S36" s="1" t="s">
        <v>74</v>
      </c>
      <c r="T36" s="1" t="s">
        <v>74</v>
      </c>
      <c r="U36" s="1" t="s">
        <v>74</v>
      </c>
      <c r="V36" s="4" t="s">
        <v>4636</v>
      </c>
      <c r="W36" s="1" t="s">
        <v>74</v>
      </c>
      <c r="X36" s="1" t="s">
        <v>74</v>
      </c>
      <c r="Y36" s="1" t="s">
        <v>74</v>
      </c>
      <c r="Z36" s="1" t="s">
        <v>74</v>
      </c>
      <c r="AA36" s="1" t="s">
        <v>4637</v>
      </c>
      <c r="AB36" s="1" t="s">
        <v>4638</v>
      </c>
      <c r="AC36" s="1" t="s">
        <v>74</v>
      </c>
      <c r="AD36" s="1" t="s">
        <v>74</v>
      </c>
      <c r="AE36" s="1" t="s">
        <v>74</v>
      </c>
      <c r="AF36" s="1" t="s">
        <v>74</v>
      </c>
      <c r="AG36" s="1" t="s">
        <v>74</v>
      </c>
      <c r="AH36" s="1" t="s">
        <v>74</v>
      </c>
      <c r="AI36" s="1" t="s">
        <v>74</v>
      </c>
      <c r="AJ36" s="1" t="s">
        <v>74</v>
      </c>
      <c r="AK36" s="1" t="s">
        <v>74</v>
      </c>
      <c r="AL36" s="1" t="s">
        <v>74</v>
      </c>
      <c r="AM36" s="1" t="s">
        <v>74</v>
      </c>
      <c r="AN36" s="1" t="s">
        <v>74</v>
      </c>
      <c r="AO36" s="1" t="s">
        <v>173</v>
      </c>
      <c r="AP36" s="1" t="s">
        <v>174</v>
      </c>
      <c r="AQ36" s="1" t="s">
        <v>74</v>
      </c>
      <c r="AR36" s="1" t="s">
        <v>74</v>
      </c>
      <c r="AS36" s="1" t="s">
        <v>74</v>
      </c>
      <c r="AT36" s="1" t="s">
        <v>204</v>
      </c>
      <c r="AU36" s="1">
        <v>2001</v>
      </c>
      <c r="AV36" s="1">
        <v>55</v>
      </c>
      <c r="AW36" s="1">
        <v>7</v>
      </c>
      <c r="AX36" s="1" t="s">
        <v>74</v>
      </c>
      <c r="AY36" s="1" t="s">
        <v>74</v>
      </c>
      <c r="AZ36" s="1" t="s">
        <v>74</v>
      </c>
      <c r="BA36" s="1" t="s">
        <v>74</v>
      </c>
      <c r="BB36" s="1">
        <v>1443</v>
      </c>
      <c r="BC36" s="1">
        <v>1451</v>
      </c>
      <c r="BD36" s="1" t="s">
        <v>74</v>
      </c>
      <c r="BE36" s="1" t="s">
        <v>74</v>
      </c>
      <c r="BF36" s="1" t="s">
        <v>74</v>
      </c>
      <c r="BG36" s="1" t="s">
        <v>74</v>
      </c>
      <c r="BH36" s="1" t="s">
        <v>74</v>
      </c>
      <c r="BI36" s="1" t="s">
        <v>74</v>
      </c>
      <c r="BJ36" s="1" t="s">
        <v>74</v>
      </c>
      <c r="BK36" s="1" t="s">
        <v>74</v>
      </c>
      <c r="BL36" s="1" t="s">
        <v>74</v>
      </c>
      <c r="BM36" s="1" t="s">
        <v>74</v>
      </c>
      <c r="BN36" s="1">
        <v>11525466</v>
      </c>
      <c r="BO36" s="1" t="s">
        <v>74</v>
      </c>
      <c r="BP36" s="1" t="s">
        <v>74</v>
      </c>
      <c r="BQ36" s="1" t="s">
        <v>74</v>
      </c>
      <c r="BR36" s="1" t="s">
        <v>74</v>
      </c>
      <c r="BS36" s="1" t="s">
        <v>4639</v>
      </c>
      <c r="BT36" s="1" t="str">
        <f>HYPERLINK("https%3A%2F%2Fwww.webofscience.com%2Fwos%2Fwoscc%2Ffull-record%2FWOS:000170699300015","View Full Record in Web of Science")</f>
        <v>View Full Record in Web of Science</v>
      </c>
    </row>
    <row r="37" spans="1:72" s="2" customFormat="1" x14ac:dyDescent="0.4">
      <c r="A37" s="1" t="s">
        <v>72</v>
      </c>
      <c r="B37" s="1" t="s">
        <v>4172</v>
      </c>
      <c r="C37" s="1" t="s">
        <v>74</v>
      </c>
      <c r="D37" s="1" t="s">
        <v>74</v>
      </c>
      <c r="E37" s="1" t="s">
        <v>74</v>
      </c>
      <c r="F37" s="1" t="s">
        <v>4173</v>
      </c>
      <c r="G37" s="1" t="s">
        <v>74</v>
      </c>
      <c r="H37" s="1" t="s">
        <v>74</v>
      </c>
      <c r="I37" s="1" t="s">
        <v>4174</v>
      </c>
      <c r="J37" s="1" t="s">
        <v>610</v>
      </c>
      <c r="K37" s="1" t="s">
        <v>74</v>
      </c>
      <c r="L37" s="1" t="s">
        <v>74</v>
      </c>
      <c r="M37" s="1" t="s">
        <v>74</v>
      </c>
      <c r="N37" s="1" t="s">
        <v>74</v>
      </c>
      <c r="O37" s="1" t="s">
        <v>74</v>
      </c>
      <c r="P37" s="1" t="s">
        <v>74</v>
      </c>
      <c r="Q37" s="1" t="s">
        <v>74</v>
      </c>
      <c r="R37" s="1" t="s">
        <v>74</v>
      </c>
      <c r="S37" s="1" t="s">
        <v>74</v>
      </c>
      <c r="T37" s="1" t="s">
        <v>74</v>
      </c>
      <c r="U37" s="1" t="s">
        <v>74</v>
      </c>
      <c r="V37" s="4" t="s">
        <v>4175</v>
      </c>
      <c r="W37" s="1" t="s">
        <v>74</v>
      </c>
      <c r="X37" s="1" t="s">
        <v>74</v>
      </c>
      <c r="Y37" s="1" t="s">
        <v>74</v>
      </c>
      <c r="Z37" s="1" t="s">
        <v>74</v>
      </c>
      <c r="AA37" s="1" t="s">
        <v>74</v>
      </c>
      <c r="AB37" s="1" t="s">
        <v>74</v>
      </c>
      <c r="AC37" s="1" t="s">
        <v>74</v>
      </c>
      <c r="AD37" s="1" t="s">
        <v>74</v>
      </c>
      <c r="AE37" s="1" t="s">
        <v>74</v>
      </c>
      <c r="AF37" s="1" t="s">
        <v>74</v>
      </c>
      <c r="AG37" s="1" t="s">
        <v>74</v>
      </c>
      <c r="AH37" s="1" t="s">
        <v>74</v>
      </c>
      <c r="AI37" s="1" t="s">
        <v>74</v>
      </c>
      <c r="AJ37" s="1" t="s">
        <v>74</v>
      </c>
      <c r="AK37" s="1" t="s">
        <v>74</v>
      </c>
      <c r="AL37" s="1" t="s">
        <v>74</v>
      </c>
      <c r="AM37" s="1" t="s">
        <v>74</v>
      </c>
      <c r="AN37" s="1" t="s">
        <v>74</v>
      </c>
      <c r="AO37" s="1" t="s">
        <v>614</v>
      </c>
      <c r="AP37" s="1" t="s">
        <v>615</v>
      </c>
      <c r="AQ37" s="1" t="s">
        <v>74</v>
      </c>
      <c r="AR37" s="1" t="s">
        <v>74</v>
      </c>
      <c r="AS37" s="1" t="s">
        <v>74</v>
      </c>
      <c r="AT37" s="1" t="s">
        <v>213</v>
      </c>
      <c r="AU37" s="1">
        <v>2007</v>
      </c>
      <c r="AV37" s="1">
        <v>113</v>
      </c>
      <c r="AW37" s="1">
        <v>11</v>
      </c>
      <c r="AX37" s="1" t="s">
        <v>74</v>
      </c>
      <c r="AY37" s="1" t="s">
        <v>74</v>
      </c>
      <c r="AZ37" s="1" t="s">
        <v>74</v>
      </c>
      <c r="BA37" s="1" t="s">
        <v>74</v>
      </c>
      <c r="BB37" s="1">
        <v>1113</v>
      </c>
      <c r="BC37" s="1">
        <v>1122</v>
      </c>
      <c r="BD37" s="1" t="s">
        <v>74</v>
      </c>
      <c r="BE37" s="1" t="s">
        <v>4176</v>
      </c>
      <c r="BF37" s="1" t="str">
        <f>HYPERLINK("http://dx.doi.org/10.1111/j.1439-0310.2007.01420.x","http://dx.doi.org/10.1111/j.1439-0310.2007.01420.x")</f>
        <v>http://dx.doi.org/10.1111/j.1439-0310.2007.01420.x</v>
      </c>
      <c r="BG37" s="1" t="s">
        <v>74</v>
      </c>
      <c r="BH37" s="1" t="s">
        <v>74</v>
      </c>
      <c r="BI37" s="1" t="s">
        <v>74</v>
      </c>
      <c r="BJ37" s="1" t="s">
        <v>74</v>
      </c>
      <c r="BK37" s="1" t="s">
        <v>74</v>
      </c>
      <c r="BL37" s="1" t="s">
        <v>74</v>
      </c>
      <c r="BM37" s="1" t="s">
        <v>74</v>
      </c>
      <c r="BN37" s="1" t="s">
        <v>74</v>
      </c>
      <c r="BO37" s="1" t="s">
        <v>74</v>
      </c>
      <c r="BP37" s="1" t="s">
        <v>74</v>
      </c>
      <c r="BQ37" s="1" t="s">
        <v>74</v>
      </c>
      <c r="BR37" s="1" t="s">
        <v>74</v>
      </c>
      <c r="BS37" s="1" t="s">
        <v>4177</v>
      </c>
      <c r="BT37" s="1" t="str">
        <f>HYPERLINK("https%3A%2F%2Fwww.webofscience.com%2Fwos%2Fwoscc%2Ffull-record%2FWOS:000250262400011","View Full Record in Web of Science")</f>
        <v>View Full Record in Web of Science</v>
      </c>
    </row>
    <row r="38" spans="1:72" s="2" customFormat="1" x14ac:dyDescent="0.4">
      <c r="A38" s="1" t="s">
        <v>72</v>
      </c>
      <c r="B38" s="1" t="s">
        <v>1825</v>
      </c>
      <c r="C38" s="1" t="s">
        <v>74</v>
      </c>
      <c r="D38" s="1" t="s">
        <v>74</v>
      </c>
      <c r="E38" s="1" t="s">
        <v>74</v>
      </c>
      <c r="F38" s="1" t="s">
        <v>1826</v>
      </c>
      <c r="G38" s="1" t="s">
        <v>74</v>
      </c>
      <c r="H38" s="1" t="s">
        <v>74</v>
      </c>
      <c r="I38" s="1" t="s">
        <v>1827</v>
      </c>
      <c r="J38" s="1" t="s">
        <v>77</v>
      </c>
      <c r="K38" s="1" t="s">
        <v>74</v>
      </c>
      <c r="L38" s="1" t="s">
        <v>74</v>
      </c>
      <c r="M38" s="1" t="s">
        <v>74</v>
      </c>
      <c r="N38" s="1" t="s">
        <v>74</v>
      </c>
      <c r="O38" s="1" t="s">
        <v>74</v>
      </c>
      <c r="P38" s="1" t="s">
        <v>74</v>
      </c>
      <c r="Q38" s="1" t="s">
        <v>74</v>
      </c>
      <c r="R38" s="1" t="s">
        <v>74</v>
      </c>
      <c r="S38" s="1" t="s">
        <v>74</v>
      </c>
      <c r="T38" s="1" t="s">
        <v>74</v>
      </c>
      <c r="U38" s="1" t="s">
        <v>74</v>
      </c>
      <c r="V38" s="4" t="s">
        <v>1828</v>
      </c>
      <c r="W38" s="1" t="s">
        <v>74</v>
      </c>
      <c r="X38" s="1" t="s">
        <v>74</v>
      </c>
      <c r="Y38" s="1" t="s">
        <v>74</v>
      </c>
      <c r="Z38" s="1" t="s">
        <v>74</v>
      </c>
      <c r="AA38" s="1" t="s">
        <v>74</v>
      </c>
      <c r="AB38" s="1" t="s">
        <v>74</v>
      </c>
      <c r="AC38" s="1" t="s">
        <v>74</v>
      </c>
      <c r="AD38" s="1" t="s">
        <v>74</v>
      </c>
      <c r="AE38" s="1" t="s">
        <v>74</v>
      </c>
      <c r="AF38" s="1" t="s">
        <v>74</v>
      </c>
      <c r="AG38" s="1" t="s">
        <v>74</v>
      </c>
      <c r="AH38" s="1" t="s">
        <v>74</v>
      </c>
      <c r="AI38" s="1" t="s">
        <v>74</v>
      </c>
      <c r="AJ38" s="1" t="s">
        <v>74</v>
      </c>
      <c r="AK38" s="1" t="s">
        <v>74</v>
      </c>
      <c r="AL38" s="1" t="s">
        <v>74</v>
      </c>
      <c r="AM38" s="1" t="s">
        <v>74</v>
      </c>
      <c r="AN38" s="1" t="s">
        <v>74</v>
      </c>
      <c r="AO38" s="1" t="s">
        <v>81</v>
      </c>
      <c r="AP38" s="1" t="s">
        <v>74</v>
      </c>
      <c r="AQ38" s="1" t="s">
        <v>74</v>
      </c>
      <c r="AR38" s="1" t="s">
        <v>74</v>
      </c>
      <c r="AS38" s="1" t="s">
        <v>74</v>
      </c>
      <c r="AT38" s="1" t="s">
        <v>964</v>
      </c>
      <c r="AU38" s="1">
        <v>2007</v>
      </c>
      <c r="AV38" s="1">
        <v>144</v>
      </c>
      <c r="AW38" s="1" t="s">
        <v>74</v>
      </c>
      <c r="AX38" s="1">
        <v>2</v>
      </c>
      <c r="AY38" s="1" t="s">
        <v>74</v>
      </c>
      <c r="AZ38" s="1" t="s">
        <v>74</v>
      </c>
      <c r="BA38" s="1" t="s">
        <v>74</v>
      </c>
      <c r="BB38" s="1">
        <v>165</v>
      </c>
      <c r="BC38" s="1">
        <v>178</v>
      </c>
      <c r="BD38" s="1" t="s">
        <v>74</v>
      </c>
      <c r="BE38" s="1" t="s">
        <v>1829</v>
      </c>
      <c r="BF38" s="1" t="str">
        <f>HYPERLINK("http://dx.doi.org/10.1163/156853907779947328","http://dx.doi.org/10.1163/156853907779947328")</f>
        <v>http://dx.doi.org/10.1163/156853907779947328</v>
      </c>
      <c r="BG38" s="1" t="s">
        <v>74</v>
      </c>
      <c r="BH38" s="1" t="s">
        <v>74</v>
      </c>
      <c r="BI38" s="1" t="s">
        <v>74</v>
      </c>
      <c r="BJ38" s="1" t="s">
        <v>74</v>
      </c>
      <c r="BK38" s="1" t="s">
        <v>74</v>
      </c>
      <c r="BL38" s="1" t="s">
        <v>74</v>
      </c>
      <c r="BM38" s="1" t="s">
        <v>74</v>
      </c>
      <c r="BN38" s="1" t="s">
        <v>74</v>
      </c>
      <c r="BO38" s="1" t="s">
        <v>74</v>
      </c>
      <c r="BP38" s="1" t="s">
        <v>74</v>
      </c>
      <c r="BQ38" s="1" t="s">
        <v>74</v>
      </c>
      <c r="BR38" s="1" t="s">
        <v>74</v>
      </c>
      <c r="BS38" s="1" t="s">
        <v>1830</v>
      </c>
      <c r="BT38" s="1" t="str">
        <f>HYPERLINK("https%3A%2F%2Fwww.webofscience.com%2Fwos%2Fwoscc%2Ffull-record%2FWOS:000245544800002","View Full Record in Web of Science")</f>
        <v>View Full Record in Web of Science</v>
      </c>
    </row>
    <row r="39" spans="1:72" s="2" customFormat="1" x14ac:dyDescent="0.4">
      <c r="A39" s="1" t="s">
        <v>72</v>
      </c>
      <c r="B39" s="1" t="s">
        <v>6764</v>
      </c>
      <c r="C39" s="1" t="s">
        <v>74</v>
      </c>
      <c r="D39" s="1" t="s">
        <v>74</v>
      </c>
      <c r="E39" s="1" t="s">
        <v>74</v>
      </c>
      <c r="F39" s="1" t="s">
        <v>6764</v>
      </c>
      <c r="G39" s="1" t="s">
        <v>74</v>
      </c>
      <c r="H39" s="1" t="s">
        <v>74</v>
      </c>
      <c r="I39" s="1" t="s">
        <v>6765</v>
      </c>
      <c r="J39" s="1" t="s">
        <v>129</v>
      </c>
      <c r="K39" s="1" t="s">
        <v>74</v>
      </c>
      <c r="L39" s="1" t="s">
        <v>74</v>
      </c>
      <c r="M39" s="1" t="s">
        <v>74</v>
      </c>
      <c r="N39" s="1" t="s">
        <v>74</v>
      </c>
      <c r="O39" s="1" t="s">
        <v>74</v>
      </c>
      <c r="P39" s="1" t="s">
        <v>74</v>
      </c>
      <c r="Q39" s="1" t="s">
        <v>74</v>
      </c>
      <c r="R39" s="1" t="s">
        <v>74</v>
      </c>
      <c r="S39" s="1" t="s">
        <v>74</v>
      </c>
      <c r="T39" s="1" t="s">
        <v>74</v>
      </c>
      <c r="U39" s="1" t="s">
        <v>74</v>
      </c>
      <c r="V39" s="4" t="s">
        <v>6766</v>
      </c>
      <c r="W39" s="1" t="s">
        <v>74</v>
      </c>
      <c r="X39" s="1" t="s">
        <v>74</v>
      </c>
      <c r="Y39" s="1" t="s">
        <v>74</v>
      </c>
      <c r="Z39" s="1" t="s">
        <v>74</v>
      </c>
      <c r="AA39" s="1" t="s">
        <v>6220</v>
      </c>
      <c r="AB39" s="1" t="s">
        <v>6221</v>
      </c>
      <c r="AC39" s="1" t="s">
        <v>74</v>
      </c>
      <c r="AD39" s="1" t="s">
        <v>74</v>
      </c>
      <c r="AE39" s="1" t="s">
        <v>74</v>
      </c>
      <c r="AF39" s="1" t="s">
        <v>74</v>
      </c>
      <c r="AG39" s="1" t="s">
        <v>74</v>
      </c>
      <c r="AH39" s="1" t="s">
        <v>74</v>
      </c>
      <c r="AI39" s="1" t="s">
        <v>74</v>
      </c>
      <c r="AJ39" s="1" t="s">
        <v>74</v>
      </c>
      <c r="AK39" s="1" t="s">
        <v>74</v>
      </c>
      <c r="AL39" s="1" t="s">
        <v>74</v>
      </c>
      <c r="AM39" s="1" t="s">
        <v>74</v>
      </c>
      <c r="AN39" s="1" t="s">
        <v>74</v>
      </c>
      <c r="AO39" s="1" t="s">
        <v>132</v>
      </c>
      <c r="AP39" s="1" t="s">
        <v>133</v>
      </c>
      <c r="AQ39" s="1" t="s">
        <v>74</v>
      </c>
      <c r="AR39" s="1" t="s">
        <v>74</v>
      </c>
      <c r="AS39" s="1" t="s">
        <v>74</v>
      </c>
      <c r="AT39" s="1" t="s">
        <v>255</v>
      </c>
      <c r="AU39" s="1">
        <v>2003</v>
      </c>
      <c r="AV39" s="1">
        <v>53</v>
      </c>
      <c r="AW39" s="1">
        <v>2</v>
      </c>
      <c r="AX39" s="1" t="s">
        <v>74</v>
      </c>
      <c r="AY39" s="1" t="s">
        <v>74</v>
      </c>
      <c r="AZ39" s="1" t="s">
        <v>74</v>
      </c>
      <c r="BA39" s="1" t="s">
        <v>74</v>
      </c>
      <c r="BB39" s="1">
        <v>116</v>
      </c>
      <c r="BC39" s="1">
        <v>122</v>
      </c>
      <c r="BD39" s="1" t="s">
        <v>74</v>
      </c>
      <c r="BE39" s="1" t="s">
        <v>6767</v>
      </c>
      <c r="BF39" s="1" t="str">
        <f>HYPERLINK("http://dx.doi.org/10.1007/s00265-002-0558-z","http://dx.doi.org/10.1007/s00265-002-0558-z")</f>
        <v>http://dx.doi.org/10.1007/s00265-002-0558-z</v>
      </c>
      <c r="BG39" s="1" t="s">
        <v>74</v>
      </c>
      <c r="BH39" s="1" t="s">
        <v>74</v>
      </c>
      <c r="BI39" s="1" t="s">
        <v>74</v>
      </c>
      <c r="BJ39" s="1" t="s">
        <v>74</v>
      </c>
      <c r="BK39" s="1" t="s">
        <v>74</v>
      </c>
      <c r="BL39" s="1" t="s">
        <v>74</v>
      </c>
      <c r="BM39" s="1" t="s">
        <v>74</v>
      </c>
      <c r="BN39" s="1" t="s">
        <v>74</v>
      </c>
      <c r="BO39" s="1" t="s">
        <v>74</v>
      </c>
      <c r="BP39" s="1" t="s">
        <v>74</v>
      </c>
      <c r="BQ39" s="1" t="s">
        <v>74</v>
      </c>
      <c r="BR39" s="1" t="s">
        <v>74</v>
      </c>
      <c r="BS39" s="1" t="s">
        <v>6768</v>
      </c>
      <c r="BT39" s="1" t="str">
        <f>HYPERLINK("https%3A%2F%2Fwww.webofscience.com%2Fwos%2Fwoscc%2Ffull-record%2FWOS:000180871900007","View Full Record in Web of Science")</f>
        <v>View Full Record in Web of Science</v>
      </c>
    </row>
    <row r="40" spans="1:72" s="2" customFormat="1" x14ac:dyDescent="0.4">
      <c r="A40" s="1" t="s">
        <v>72</v>
      </c>
      <c r="B40" s="1" t="s">
        <v>2447</v>
      </c>
      <c r="C40" s="1" t="s">
        <v>74</v>
      </c>
      <c r="D40" s="1" t="s">
        <v>74</v>
      </c>
      <c r="E40" s="1" t="s">
        <v>74</v>
      </c>
      <c r="F40" s="1" t="s">
        <v>2448</v>
      </c>
      <c r="G40" s="1" t="s">
        <v>74</v>
      </c>
      <c r="H40" s="1" t="s">
        <v>74</v>
      </c>
      <c r="I40" s="1" t="s">
        <v>2449</v>
      </c>
      <c r="J40" s="1" t="s">
        <v>218</v>
      </c>
      <c r="K40" s="1" t="s">
        <v>74</v>
      </c>
      <c r="L40" s="1" t="s">
        <v>74</v>
      </c>
      <c r="M40" s="1" t="s">
        <v>74</v>
      </c>
      <c r="N40" s="1" t="s">
        <v>74</v>
      </c>
      <c r="O40" s="1" t="s">
        <v>74</v>
      </c>
      <c r="P40" s="1" t="s">
        <v>74</v>
      </c>
      <c r="Q40" s="1" t="s">
        <v>74</v>
      </c>
      <c r="R40" s="1" t="s">
        <v>74</v>
      </c>
      <c r="S40" s="1" t="s">
        <v>74</v>
      </c>
      <c r="T40" s="1" t="s">
        <v>74</v>
      </c>
      <c r="U40" s="1" t="s">
        <v>74</v>
      </c>
      <c r="V40" s="4" t="s">
        <v>2450</v>
      </c>
      <c r="W40" s="1" t="s">
        <v>74</v>
      </c>
      <c r="X40" s="1" t="s">
        <v>74</v>
      </c>
      <c r="Y40" s="1" t="s">
        <v>74</v>
      </c>
      <c r="Z40" s="1" t="s">
        <v>74</v>
      </c>
      <c r="AA40" s="1" t="s">
        <v>2451</v>
      </c>
      <c r="AB40" s="1" t="s">
        <v>2452</v>
      </c>
      <c r="AC40" s="1" t="s">
        <v>74</v>
      </c>
      <c r="AD40" s="1" t="s">
        <v>74</v>
      </c>
      <c r="AE40" s="1" t="s">
        <v>74</v>
      </c>
      <c r="AF40" s="1" t="s">
        <v>74</v>
      </c>
      <c r="AG40" s="1" t="s">
        <v>74</v>
      </c>
      <c r="AH40" s="1" t="s">
        <v>74</v>
      </c>
      <c r="AI40" s="1" t="s">
        <v>74</v>
      </c>
      <c r="AJ40" s="1" t="s">
        <v>74</v>
      </c>
      <c r="AK40" s="1" t="s">
        <v>74</v>
      </c>
      <c r="AL40" s="1" t="s">
        <v>74</v>
      </c>
      <c r="AM40" s="1" t="s">
        <v>74</v>
      </c>
      <c r="AN40" s="1" t="s">
        <v>74</v>
      </c>
      <c r="AO40" s="1" t="s">
        <v>221</v>
      </c>
      <c r="AP40" s="1" t="s">
        <v>222</v>
      </c>
      <c r="AQ40" s="1" t="s">
        <v>74</v>
      </c>
      <c r="AR40" s="1" t="s">
        <v>74</v>
      </c>
      <c r="AS40" s="1" t="s">
        <v>74</v>
      </c>
      <c r="AT40" s="1" t="s">
        <v>213</v>
      </c>
      <c r="AU40" s="1">
        <v>2016</v>
      </c>
      <c r="AV40" s="1">
        <v>29</v>
      </c>
      <c r="AW40" s="1">
        <v>11</v>
      </c>
      <c r="AX40" s="1" t="s">
        <v>74</v>
      </c>
      <c r="AY40" s="1" t="s">
        <v>74</v>
      </c>
      <c r="AZ40" s="1" t="s">
        <v>74</v>
      </c>
      <c r="BA40" s="1" t="s">
        <v>74</v>
      </c>
      <c r="BB40" s="1">
        <v>2256</v>
      </c>
      <c r="BC40" s="1">
        <v>2265</v>
      </c>
      <c r="BD40" s="1" t="s">
        <v>74</v>
      </c>
      <c r="BE40" s="1" t="s">
        <v>2453</v>
      </c>
      <c r="BF40" s="1" t="str">
        <f>HYPERLINK("http://dx.doi.org/10.1111/jeb.12953","http://dx.doi.org/10.1111/jeb.12953")</f>
        <v>http://dx.doi.org/10.1111/jeb.12953</v>
      </c>
      <c r="BG40" s="1" t="s">
        <v>74</v>
      </c>
      <c r="BH40" s="1" t="s">
        <v>74</v>
      </c>
      <c r="BI40" s="1" t="s">
        <v>74</v>
      </c>
      <c r="BJ40" s="1" t="s">
        <v>74</v>
      </c>
      <c r="BK40" s="1" t="s">
        <v>74</v>
      </c>
      <c r="BL40" s="1" t="s">
        <v>74</v>
      </c>
      <c r="BM40" s="1" t="s">
        <v>74</v>
      </c>
      <c r="BN40" s="1">
        <v>27467980</v>
      </c>
      <c r="BO40" s="1" t="s">
        <v>74</v>
      </c>
      <c r="BP40" s="1" t="s">
        <v>74</v>
      </c>
      <c r="BQ40" s="1" t="s">
        <v>74</v>
      </c>
      <c r="BR40" s="1" t="s">
        <v>74</v>
      </c>
      <c r="BS40" s="1" t="s">
        <v>2454</v>
      </c>
      <c r="BT40" s="1" t="str">
        <f>HYPERLINK("https%3A%2F%2Fwww.webofscience.com%2Fwos%2Fwoscc%2Ffull-record%2FWOS:000388312300013","View Full Record in Web of Science")</f>
        <v>View Full Record in Web of Science</v>
      </c>
    </row>
    <row r="41" spans="1:72" s="2" customFormat="1" x14ac:dyDescent="0.4">
      <c r="A41" s="1" t="s">
        <v>72</v>
      </c>
      <c r="B41" s="1" t="s">
        <v>4710</v>
      </c>
      <c r="C41" s="1" t="s">
        <v>74</v>
      </c>
      <c r="D41" s="1" t="s">
        <v>74</v>
      </c>
      <c r="E41" s="1" t="s">
        <v>74</v>
      </c>
      <c r="F41" s="1" t="s">
        <v>4711</v>
      </c>
      <c r="G41" s="1" t="s">
        <v>74</v>
      </c>
      <c r="H41" s="1" t="s">
        <v>74</v>
      </c>
      <c r="I41" s="1" t="s">
        <v>4712</v>
      </c>
      <c r="J41" s="1" t="s">
        <v>1112</v>
      </c>
      <c r="K41" s="1" t="s">
        <v>74</v>
      </c>
      <c r="L41" s="1" t="s">
        <v>74</v>
      </c>
      <c r="M41" s="1" t="s">
        <v>74</v>
      </c>
      <c r="N41" s="1" t="s">
        <v>74</v>
      </c>
      <c r="O41" s="1" t="s">
        <v>74</v>
      </c>
      <c r="P41" s="1" t="s">
        <v>74</v>
      </c>
      <c r="Q41" s="1" t="s">
        <v>74</v>
      </c>
      <c r="R41" s="1" t="s">
        <v>74</v>
      </c>
      <c r="S41" s="1" t="s">
        <v>74</v>
      </c>
      <c r="T41" s="1" t="s">
        <v>74</v>
      </c>
      <c r="U41" s="1" t="s">
        <v>74</v>
      </c>
      <c r="V41" s="4" t="s">
        <v>4713</v>
      </c>
      <c r="W41" s="1" t="s">
        <v>74</v>
      </c>
      <c r="X41" s="1" t="s">
        <v>74</v>
      </c>
      <c r="Y41" s="1" t="s">
        <v>74</v>
      </c>
      <c r="Z41" s="1" t="s">
        <v>74</v>
      </c>
      <c r="AA41" s="1" t="s">
        <v>4714</v>
      </c>
      <c r="AB41" s="1" t="s">
        <v>4715</v>
      </c>
      <c r="AC41" s="1" t="s">
        <v>74</v>
      </c>
      <c r="AD41" s="1" t="s">
        <v>74</v>
      </c>
      <c r="AE41" s="1" t="s">
        <v>74</v>
      </c>
      <c r="AF41" s="1" t="s">
        <v>74</v>
      </c>
      <c r="AG41" s="1" t="s">
        <v>74</v>
      </c>
      <c r="AH41" s="1" t="s">
        <v>74</v>
      </c>
      <c r="AI41" s="1" t="s">
        <v>74</v>
      </c>
      <c r="AJ41" s="1" t="s">
        <v>74</v>
      </c>
      <c r="AK41" s="1" t="s">
        <v>74</v>
      </c>
      <c r="AL41" s="1" t="s">
        <v>74</v>
      </c>
      <c r="AM41" s="1" t="s">
        <v>74</v>
      </c>
      <c r="AN41" s="1" t="s">
        <v>74</v>
      </c>
      <c r="AO41" s="1" t="s">
        <v>1114</v>
      </c>
      <c r="AP41" s="1" t="s">
        <v>74</v>
      </c>
      <c r="AQ41" s="1" t="s">
        <v>74</v>
      </c>
      <c r="AR41" s="1" t="s">
        <v>74</v>
      </c>
      <c r="AS41" s="1" t="s">
        <v>74</v>
      </c>
      <c r="AT41" s="1" t="s">
        <v>4716</v>
      </c>
      <c r="AU41" s="1">
        <v>2011</v>
      </c>
      <c r="AV41" s="1">
        <v>135</v>
      </c>
      <c r="AW41" s="1">
        <v>4</v>
      </c>
      <c r="AX41" s="1" t="s">
        <v>74</v>
      </c>
      <c r="AY41" s="1" t="s">
        <v>74</v>
      </c>
      <c r="AZ41" s="1" t="s">
        <v>74</v>
      </c>
      <c r="BA41" s="1" t="s">
        <v>74</v>
      </c>
      <c r="BB41" s="1">
        <v>293</v>
      </c>
      <c r="BC41" s="1">
        <v>299</v>
      </c>
      <c r="BD41" s="1" t="s">
        <v>74</v>
      </c>
      <c r="BE41" s="1" t="s">
        <v>4717</v>
      </c>
      <c r="BF41" s="1" t="str">
        <f>HYPERLINK("http://dx.doi.org/10.1016/j.applanim.2011.09.011","http://dx.doi.org/10.1016/j.applanim.2011.09.011")</f>
        <v>http://dx.doi.org/10.1016/j.applanim.2011.09.011</v>
      </c>
      <c r="BG41" s="1" t="s">
        <v>74</v>
      </c>
      <c r="BH41" s="1" t="s">
        <v>74</v>
      </c>
      <c r="BI41" s="1" t="s">
        <v>74</v>
      </c>
      <c r="BJ41" s="1" t="s">
        <v>74</v>
      </c>
      <c r="BK41" s="1" t="s">
        <v>74</v>
      </c>
      <c r="BL41" s="1" t="s">
        <v>74</v>
      </c>
      <c r="BM41" s="1" t="s">
        <v>74</v>
      </c>
      <c r="BN41" s="1" t="s">
        <v>74</v>
      </c>
      <c r="BO41" s="1" t="s">
        <v>74</v>
      </c>
      <c r="BP41" s="1" t="s">
        <v>74</v>
      </c>
      <c r="BQ41" s="1" t="s">
        <v>74</v>
      </c>
      <c r="BR41" s="1" t="s">
        <v>74</v>
      </c>
      <c r="BS41" s="1" t="s">
        <v>4718</v>
      </c>
      <c r="BT41" s="1" t="str">
        <f>HYPERLINK("https%3A%2F%2Fwww.webofscience.com%2Fwos%2Fwoscc%2Ffull-record%2FWOS:000298775100005","View Full Record in Web of Science")</f>
        <v>View Full Record in Web of Science</v>
      </c>
    </row>
    <row r="42" spans="1:72" s="2" customFormat="1" x14ac:dyDescent="0.4">
      <c r="A42" s="1" t="s">
        <v>72</v>
      </c>
      <c r="B42" s="1" t="s">
        <v>6919</v>
      </c>
      <c r="C42" s="1" t="s">
        <v>74</v>
      </c>
      <c r="D42" s="1" t="s">
        <v>74</v>
      </c>
      <c r="E42" s="1" t="s">
        <v>74</v>
      </c>
      <c r="F42" s="1" t="s">
        <v>6919</v>
      </c>
      <c r="G42" s="1" t="s">
        <v>74</v>
      </c>
      <c r="H42" s="1" t="s">
        <v>74</v>
      </c>
      <c r="I42" s="1" t="s">
        <v>6920</v>
      </c>
      <c r="J42" s="1" t="s">
        <v>140</v>
      </c>
      <c r="K42" s="1" t="s">
        <v>74</v>
      </c>
      <c r="L42" s="1" t="s">
        <v>74</v>
      </c>
      <c r="M42" s="1" t="s">
        <v>74</v>
      </c>
      <c r="N42" s="1" t="s">
        <v>74</v>
      </c>
      <c r="O42" s="1" t="s">
        <v>74</v>
      </c>
      <c r="P42" s="1" t="s">
        <v>74</v>
      </c>
      <c r="Q42" s="1" t="s">
        <v>74</v>
      </c>
      <c r="R42" s="1" t="s">
        <v>74</v>
      </c>
      <c r="S42" s="1" t="s">
        <v>74</v>
      </c>
      <c r="T42" s="1" t="s">
        <v>74</v>
      </c>
      <c r="U42" s="1" t="s">
        <v>74</v>
      </c>
      <c r="V42" s="4" t="s">
        <v>6921</v>
      </c>
      <c r="W42" s="1" t="s">
        <v>74</v>
      </c>
      <c r="X42" s="1" t="s">
        <v>74</v>
      </c>
      <c r="Y42" s="1" t="s">
        <v>74</v>
      </c>
      <c r="Z42" s="1" t="s">
        <v>74</v>
      </c>
      <c r="AA42" s="1" t="s">
        <v>1295</v>
      </c>
      <c r="AB42" s="1" t="s">
        <v>6922</v>
      </c>
      <c r="AC42" s="1" t="s">
        <v>74</v>
      </c>
      <c r="AD42" s="1" t="s">
        <v>74</v>
      </c>
      <c r="AE42" s="1" t="s">
        <v>74</v>
      </c>
      <c r="AF42" s="1" t="s">
        <v>74</v>
      </c>
      <c r="AG42" s="1" t="s">
        <v>74</v>
      </c>
      <c r="AH42" s="1" t="s">
        <v>74</v>
      </c>
      <c r="AI42" s="1" t="s">
        <v>74</v>
      </c>
      <c r="AJ42" s="1" t="s">
        <v>74</v>
      </c>
      <c r="AK42" s="1" t="s">
        <v>74</v>
      </c>
      <c r="AL42" s="1" t="s">
        <v>74</v>
      </c>
      <c r="AM42" s="1" t="s">
        <v>74</v>
      </c>
      <c r="AN42" s="1" t="s">
        <v>74</v>
      </c>
      <c r="AO42" s="1" t="s">
        <v>143</v>
      </c>
      <c r="AP42" s="1" t="s">
        <v>144</v>
      </c>
      <c r="AQ42" s="1" t="s">
        <v>74</v>
      </c>
      <c r="AR42" s="1" t="s">
        <v>74</v>
      </c>
      <c r="AS42" s="1" t="s">
        <v>74</v>
      </c>
      <c r="AT42" s="1" t="s">
        <v>305</v>
      </c>
      <c r="AU42" s="1">
        <v>1999</v>
      </c>
      <c r="AV42" s="1">
        <v>58</v>
      </c>
      <c r="AW42" s="1" t="s">
        <v>74</v>
      </c>
      <c r="AX42" s="1">
        <v>6</v>
      </c>
      <c r="AY42" s="1" t="s">
        <v>74</v>
      </c>
      <c r="AZ42" s="1" t="s">
        <v>74</v>
      </c>
      <c r="BA42" s="1" t="s">
        <v>74</v>
      </c>
      <c r="BB42" s="1">
        <v>1269</v>
      </c>
      <c r="BC42" s="1">
        <v>1276</v>
      </c>
      <c r="BD42" s="1" t="s">
        <v>74</v>
      </c>
      <c r="BE42" s="1" t="s">
        <v>6923</v>
      </c>
      <c r="BF42" s="1" t="str">
        <f>HYPERLINK("http://dx.doi.org/10.1006/anbe.1999.1260","http://dx.doi.org/10.1006/anbe.1999.1260")</f>
        <v>http://dx.doi.org/10.1006/anbe.1999.1260</v>
      </c>
      <c r="BG42" s="1" t="s">
        <v>74</v>
      </c>
      <c r="BH42" s="1" t="s">
        <v>74</v>
      </c>
      <c r="BI42" s="1" t="s">
        <v>74</v>
      </c>
      <c r="BJ42" s="1" t="s">
        <v>74</v>
      </c>
      <c r="BK42" s="1" t="s">
        <v>74</v>
      </c>
      <c r="BL42" s="1" t="s">
        <v>74</v>
      </c>
      <c r="BM42" s="1" t="s">
        <v>74</v>
      </c>
      <c r="BN42" s="1">
        <v>10600149</v>
      </c>
      <c r="BO42" s="1" t="s">
        <v>74</v>
      </c>
      <c r="BP42" s="1" t="s">
        <v>74</v>
      </c>
      <c r="BQ42" s="1" t="s">
        <v>74</v>
      </c>
      <c r="BR42" s="1" t="s">
        <v>74</v>
      </c>
      <c r="BS42" s="1" t="s">
        <v>6924</v>
      </c>
      <c r="BT42" s="1" t="str">
        <f>HYPERLINK("https%3A%2F%2Fwww.webofscience.com%2Fwos%2Fwoscc%2Ffull-record%2FWOS:000085094300014","View Full Record in Web of Science")</f>
        <v>View Full Record in Web of Science</v>
      </c>
    </row>
    <row r="43" spans="1:72" s="2" customFormat="1" x14ac:dyDescent="0.4">
      <c r="A43" s="1" t="s">
        <v>72</v>
      </c>
      <c r="B43" s="1" t="s">
        <v>3008</v>
      </c>
      <c r="C43" s="1" t="s">
        <v>74</v>
      </c>
      <c r="D43" s="1" t="s">
        <v>74</v>
      </c>
      <c r="E43" s="1" t="s">
        <v>74</v>
      </c>
      <c r="F43" s="1" t="s">
        <v>3009</v>
      </c>
      <c r="G43" s="1" t="s">
        <v>74</v>
      </c>
      <c r="H43" s="1" t="s">
        <v>74</v>
      </c>
      <c r="I43" s="1" t="s">
        <v>3010</v>
      </c>
      <c r="J43" s="1" t="s">
        <v>610</v>
      </c>
      <c r="K43" s="1" t="s">
        <v>74</v>
      </c>
      <c r="L43" s="1" t="s">
        <v>74</v>
      </c>
      <c r="M43" s="1" t="s">
        <v>74</v>
      </c>
      <c r="N43" s="1" t="s">
        <v>74</v>
      </c>
      <c r="O43" s="1" t="s">
        <v>74</v>
      </c>
      <c r="P43" s="1" t="s">
        <v>74</v>
      </c>
      <c r="Q43" s="1" t="s">
        <v>74</v>
      </c>
      <c r="R43" s="1" t="s">
        <v>74</v>
      </c>
      <c r="S43" s="1" t="s">
        <v>74</v>
      </c>
      <c r="T43" s="1" t="s">
        <v>74</v>
      </c>
      <c r="U43" s="1" t="s">
        <v>74</v>
      </c>
      <c r="V43" s="4" t="s">
        <v>3011</v>
      </c>
      <c r="W43" s="1" t="s">
        <v>74</v>
      </c>
      <c r="X43" s="1" t="s">
        <v>74</v>
      </c>
      <c r="Y43" s="1" t="s">
        <v>74</v>
      </c>
      <c r="Z43" s="1" t="s">
        <v>74</v>
      </c>
      <c r="AA43" s="1" t="s">
        <v>3012</v>
      </c>
      <c r="AB43" s="1" t="s">
        <v>3013</v>
      </c>
      <c r="AC43" s="1" t="s">
        <v>74</v>
      </c>
      <c r="AD43" s="1" t="s">
        <v>74</v>
      </c>
      <c r="AE43" s="1" t="s">
        <v>74</v>
      </c>
      <c r="AF43" s="1" t="s">
        <v>74</v>
      </c>
      <c r="AG43" s="1" t="s">
        <v>74</v>
      </c>
      <c r="AH43" s="1" t="s">
        <v>74</v>
      </c>
      <c r="AI43" s="1" t="s">
        <v>74</v>
      </c>
      <c r="AJ43" s="1" t="s">
        <v>74</v>
      </c>
      <c r="AK43" s="1" t="s">
        <v>74</v>
      </c>
      <c r="AL43" s="1" t="s">
        <v>74</v>
      </c>
      <c r="AM43" s="1" t="s">
        <v>74</v>
      </c>
      <c r="AN43" s="1" t="s">
        <v>74</v>
      </c>
      <c r="AO43" s="1" t="s">
        <v>614</v>
      </c>
      <c r="AP43" s="1" t="s">
        <v>615</v>
      </c>
      <c r="AQ43" s="1" t="s">
        <v>74</v>
      </c>
      <c r="AR43" s="1" t="s">
        <v>74</v>
      </c>
      <c r="AS43" s="1" t="s">
        <v>74</v>
      </c>
      <c r="AT43" s="1" t="s">
        <v>123</v>
      </c>
      <c r="AU43" s="1">
        <v>2015</v>
      </c>
      <c r="AV43" s="1">
        <v>121</v>
      </c>
      <c r="AW43" s="1">
        <v>3</v>
      </c>
      <c r="AX43" s="1" t="s">
        <v>74</v>
      </c>
      <c r="AY43" s="1" t="s">
        <v>74</v>
      </c>
      <c r="AZ43" s="1" t="s">
        <v>74</v>
      </c>
      <c r="BA43" s="1" t="s">
        <v>74</v>
      </c>
      <c r="BB43" s="1">
        <v>300</v>
      </c>
      <c r="BC43" s="1">
        <v>307</v>
      </c>
      <c r="BD43" s="1" t="s">
        <v>74</v>
      </c>
      <c r="BE43" s="1" t="s">
        <v>3014</v>
      </c>
      <c r="BF43" s="1" t="str">
        <f>HYPERLINK("http://dx.doi.org/10.1111/eth.12339","http://dx.doi.org/10.1111/eth.12339")</f>
        <v>http://dx.doi.org/10.1111/eth.12339</v>
      </c>
      <c r="BG43" s="1" t="s">
        <v>74</v>
      </c>
      <c r="BH43" s="1" t="s">
        <v>74</v>
      </c>
      <c r="BI43" s="1" t="s">
        <v>74</v>
      </c>
      <c r="BJ43" s="1" t="s">
        <v>74</v>
      </c>
      <c r="BK43" s="1" t="s">
        <v>74</v>
      </c>
      <c r="BL43" s="1" t="s">
        <v>74</v>
      </c>
      <c r="BM43" s="1" t="s">
        <v>74</v>
      </c>
      <c r="BN43" s="1" t="s">
        <v>74</v>
      </c>
      <c r="BO43" s="1" t="s">
        <v>74</v>
      </c>
      <c r="BP43" s="1" t="s">
        <v>74</v>
      </c>
      <c r="BQ43" s="1" t="s">
        <v>74</v>
      </c>
      <c r="BR43" s="1" t="s">
        <v>74</v>
      </c>
      <c r="BS43" s="1" t="s">
        <v>3015</v>
      </c>
      <c r="BT43" s="1" t="str">
        <f>HYPERLINK("https%3A%2F%2Fwww.webofscience.com%2Fwos%2Fwoscc%2Ffull-record%2FWOS:000348908100009","View Full Record in Web of Science")</f>
        <v>View Full Record in Web of Science</v>
      </c>
    </row>
    <row r="44" spans="1:72" s="2" customFormat="1" x14ac:dyDescent="0.4">
      <c r="A44" s="1" t="s">
        <v>72</v>
      </c>
      <c r="B44" s="1" t="s">
        <v>2429</v>
      </c>
      <c r="C44" s="1" t="s">
        <v>74</v>
      </c>
      <c r="D44" s="1" t="s">
        <v>74</v>
      </c>
      <c r="E44" s="1" t="s">
        <v>74</v>
      </c>
      <c r="F44" s="1" t="s">
        <v>2429</v>
      </c>
      <c r="G44" s="1" t="s">
        <v>74</v>
      </c>
      <c r="H44" s="1" t="s">
        <v>74</v>
      </c>
      <c r="I44" s="1" t="s">
        <v>3771</v>
      </c>
      <c r="J44" s="1" t="s">
        <v>1112</v>
      </c>
      <c r="K44" s="1" t="s">
        <v>74</v>
      </c>
      <c r="L44" s="1" t="s">
        <v>74</v>
      </c>
      <c r="M44" s="1" t="s">
        <v>74</v>
      </c>
      <c r="N44" s="1" t="s">
        <v>74</v>
      </c>
      <c r="O44" s="1" t="s">
        <v>74</v>
      </c>
      <c r="P44" s="1" t="s">
        <v>74</v>
      </c>
      <c r="Q44" s="1" t="s">
        <v>74</v>
      </c>
      <c r="R44" s="1" t="s">
        <v>74</v>
      </c>
      <c r="S44" s="1" t="s">
        <v>74</v>
      </c>
      <c r="T44" s="1" t="s">
        <v>74</v>
      </c>
      <c r="U44" s="1" t="s">
        <v>74</v>
      </c>
      <c r="V44" s="4" t="s">
        <v>3772</v>
      </c>
      <c r="W44" s="1" t="s">
        <v>74</v>
      </c>
      <c r="X44" s="1" t="s">
        <v>74</v>
      </c>
      <c r="Y44" s="1" t="s">
        <v>74</v>
      </c>
      <c r="Z44" s="1" t="s">
        <v>74</v>
      </c>
      <c r="AA44" s="1" t="s">
        <v>805</v>
      </c>
      <c r="AB44" s="1" t="s">
        <v>2432</v>
      </c>
      <c r="AC44" s="1" t="s">
        <v>74</v>
      </c>
      <c r="AD44" s="1" t="s">
        <v>74</v>
      </c>
      <c r="AE44" s="1" t="s">
        <v>74</v>
      </c>
      <c r="AF44" s="1" t="s">
        <v>74</v>
      </c>
      <c r="AG44" s="1" t="s">
        <v>74</v>
      </c>
      <c r="AH44" s="1" t="s">
        <v>74</v>
      </c>
      <c r="AI44" s="1" t="s">
        <v>74</v>
      </c>
      <c r="AJ44" s="1" t="s">
        <v>74</v>
      </c>
      <c r="AK44" s="1" t="s">
        <v>74</v>
      </c>
      <c r="AL44" s="1" t="s">
        <v>74</v>
      </c>
      <c r="AM44" s="1" t="s">
        <v>74</v>
      </c>
      <c r="AN44" s="1" t="s">
        <v>74</v>
      </c>
      <c r="AO44" s="1" t="s">
        <v>1114</v>
      </c>
      <c r="AP44" s="1" t="s">
        <v>74</v>
      </c>
      <c r="AQ44" s="1" t="s">
        <v>74</v>
      </c>
      <c r="AR44" s="1" t="s">
        <v>74</v>
      </c>
      <c r="AS44" s="1" t="s">
        <v>74</v>
      </c>
      <c r="AT44" s="1" t="s">
        <v>633</v>
      </c>
      <c r="AU44" s="1">
        <v>1996</v>
      </c>
      <c r="AV44" s="1">
        <v>47</v>
      </c>
      <c r="AW44" s="1" t="s">
        <v>548</v>
      </c>
      <c r="AX44" s="1" t="s">
        <v>74</v>
      </c>
      <c r="AY44" s="1" t="s">
        <v>74</v>
      </c>
      <c r="AZ44" s="1" t="s">
        <v>74</v>
      </c>
      <c r="BA44" s="1" t="s">
        <v>74</v>
      </c>
      <c r="BB44" s="1">
        <v>75</v>
      </c>
      <c r="BC44" s="1">
        <v>89</v>
      </c>
      <c r="BD44" s="1" t="s">
        <v>74</v>
      </c>
      <c r="BE44" s="1" t="s">
        <v>3773</v>
      </c>
      <c r="BF44" s="1" t="str">
        <f>HYPERLINK("http://dx.doi.org/10.1016/0168-1591(95)01012-2","http://dx.doi.org/10.1016/0168-1591(95)01012-2")</f>
        <v>http://dx.doi.org/10.1016/0168-1591(95)01012-2</v>
      </c>
      <c r="BG44" s="1" t="s">
        <v>74</v>
      </c>
      <c r="BH44" s="1" t="s">
        <v>74</v>
      </c>
      <c r="BI44" s="1" t="s">
        <v>74</v>
      </c>
      <c r="BJ44" s="1" t="s">
        <v>74</v>
      </c>
      <c r="BK44" s="1" t="s">
        <v>74</v>
      </c>
      <c r="BL44" s="1" t="s">
        <v>74</v>
      </c>
      <c r="BM44" s="1" t="s">
        <v>74</v>
      </c>
      <c r="BN44" s="1" t="s">
        <v>74</v>
      </c>
      <c r="BO44" s="1" t="s">
        <v>74</v>
      </c>
      <c r="BP44" s="1" t="s">
        <v>74</v>
      </c>
      <c r="BQ44" s="1" t="s">
        <v>74</v>
      </c>
      <c r="BR44" s="1" t="s">
        <v>74</v>
      </c>
      <c r="BS44" s="1" t="s">
        <v>3774</v>
      </c>
      <c r="BT44" s="1" t="str">
        <f>HYPERLINK("https%3A%2F%2Fwww.webofscience.com%2Fwos%2Fwoscc%2Ffull-record%2FWOS:A1996UR65000008","View Full Record in Web of Science")</f>
        <v>View Full Record in Web of Science</v>
      </c>
    </row>
    <row r="45" spans="1:72" s="2" customFormat="1" x14ac:dyDescent="0.4">
      <c r="A45" s="1" t="s">
        <v>72</v>
      </c>
      <c r="B45" s="1" t="s">
        <v>1153</v>
      </c>
      <c r="C45" s="1" t="s">
        <v>74</v>
      </c>
      <c r="D45" s="1" t="s">
        <v>74</v>
      </c>
      <c r="E45" s="1" t="s">
        <v>74</v>
      </c>
      <c r="F45" s="1" t="s">
        <v>1154</v>
      </c>
      <c r="G45" s="1" t="s">
        <v>74</v>
      </c>
      <c r="H45" s="1" t="s">
        <v>74</v>
      </c>
      <c r="I45" s="1" t="s">
        <v>1155</v>
      </c>
      <c r="J45" s="1" t="s">
        <v>312</v>
      </c>
      <c r="K45" s="1" t="s">
        <v>74</v>
      </c>
      <c r="L45" s="1" t="s">
        <v>74</v>
      </c>
      <c r="M45" s="1" t="s">
        <v>74</v>
      </c>
      <c r="N45" s="1" t="s">
        <v>74</v>
      </c>
      <c r="O45" s="1" t="s">
        <v>74</v>
      </c>
      <c r="P45" s="1" t="s">
        <v>74</v>
      </c>
      <c r="Q45" s="1" t="s">
        <v>74</v>
      </c>
      <c r="R45" s="1" t="s">
        <v>74</v>
      </c>
      <c r="S45" s="1" t="s">
        <v>74</v>
      </c>
      <c r="T45" s="1" t="s">
        <v>74</v>
      </c>
      <c r="U45" s="1" t="s">
        <v>74</v>
      </c>
      <c r="V45" s="4" t="s">
        <v>1156</v>
      </c>
      <c r="W45" s="1" t="s">
        <v>74</v>
      </c>
      <c r="X45" s="1" t="s">
        <v>74</v>
      </c>
      <c r="Y45" s="1" t="s">
        <v>74</v>
      </c>
      <c r="Z45" s="1" t="s">
        <v>74</v>
      </c>
      <c r="AA45" s="1" t="s">
        <v>433</v>
      </c>
      <c r="AB45" s="1" t="s">
        <v>434</v>
      </c>
      <c r="AC45" s="1" t="s">
        <v>74</v>
      </c>
      <c r="AD45" s="1" t="s">
        <v>74</v>
      </c>
      <c r="AE45" s="1" t="s">
        <v>74</v>
      </c>
      <c r="AF45" s="1" t="s">
        <v>74</v>
      </c>
      <c r="AG45" s="1" t="s">
        <v>74</v>
      </c>
      <c r="AH45" s="1" t="s">
        <v>74</v>
      </c>
      <c r="AI45" s="1" t="s">
        <v>74</v>
      </c>
      <c r="AJ45" s="1" t="s">
        <v>74</v>
      </c>
      <c r="AK45" s="1" t="s">
        <v>74</v>
      </c>
      <c r="AL45" s="1" t="s">
        <v>74</v>
      </c>
      <c r="AM45" s="1" t="s">
        <v>74</v>
      </c>
      <c r="AN45" s="1" t="s">
        <v>74</v>
      </c>
      <c r="AO45" s="1" t="s">
        <v>314</v>
      </c>
      <c r="AP45" s="1" t="s">
        <v>315</v>
      </c>
      <c r="AQ45" s="1" t="s">
        <v>74</v>
      </c>
      <c r="AR45" s="1" t="s">
        <v>74</v>
      </c>
      <c r="AS45" s="1" t="s">
        <v>74</v>
      </c>
      <c r="AT45" s="1" t="s">
        <v>175</v>
      </c>
      <c r="AU45" s="1">
        <v>2009</v>
      </c>
      <c r="AV45" s="1">
        <v>174</v>
      </c>
      <c r="AW45" s="1">
        <v>4</v>
      </c>
      <c r="AX45" s="1" t="s">
        <v>74</v>
      </c>
      <c r="AY45" s="1" t="s">
        <v>74</v>
      </c>
      <c r="AZ45" s="1" t="s">
        <v>74</v>
      </c>
      <c r="BA45" s="1" t="s">
        <v>74</v>
      </c>
      <c r="BB45" s="1">
        <v>455</v>
      </c>
      <c r="BC45" s="1">
        <v>464</v>
      </c>
      <c r="BD45" s="1" t="s">
        <v>74</v>
      </c>
      <c r="BE45" s="1" t="s">
        <v>1157</v>
      </c>
      <c r="BF45" s="1" t="str">
        <f>HYPERLINK("http://dx.doi.org/10.1086/605376","http://dx.doi.org/10.1086/605376")</f>
        <v>http://dx.doi.org/10.1086/605376</v>
      </c>
      <c r="BG45" s="1" t="s">
        <v>74</v>
      </c>
      <c r="BH45" s="1" t="s">
        <v>74</v>
      </c>
      <c r="BI45" s="1" t="s">
        <v>74</v>
      </c>
      <c r="BJ45" s="1" t="s">
        <v>74</v>
      </c>
      <c r="BK45" s="1" t="s">
        <v>74</v>
      </c>
      <c r="BL45" s="1" t="s">
        <v>74</v>
      </c>
      <c r="BM45" s="1" t="s">
        <v>74</v>
      </c>
      <c r="BN45" s="1">
        <v>19689213</v>
      </c>
      <c r="BO45" s="1" t="s">
        <v>74</v>
      </c>
      <c r="BP45" s="1" t="s">
        <v>74</v>
      </c>
      <c r="BQ45" s="1" t="s">
        <v>74</v>
      </c>
      <c r="BR45" s="1" t="s">
        <v>74</v>
      </c>
      <c r="BS45" s="1" t="s">
        <v>1158</v>
      </c>
      <c r="BT45" s="1" t="str">
        <f>HYPERLINK("https%3A%2F%2Fwww.webofscience.com%2Fwos%2Fwoscc%2Ffull-record%2FWOS:000269824800004","View Full Record in Web of Science")</f>
        <v>View Full Record in Web of Science</v>
      </c>
    </row>
    <row r="46" spans="1:72" s="2" customFormat="1" x14ac:dyDescent="0.4">
      <c r="A46" s="1" t="s">
        <v>72</v>
      </c>
      <c r="B46" s="1" t="s">
        <v>1836</v>
      </c>
      <c r="C46" s="1" t="s">
        <v>74</v>
      </c>
      <c r="D46" s="1" t="s">
        <v>74</v>
      </c>
      <c r="E46" s="1" t="s">
        <v>74</v>
      </c>
      <c r="F46" s="1" t="s">
        <v>1836</v>
      </c>
      <c r="G46" s="1" t="s">
        <v>74</v>
      </c>
      <c r="H46" s="1" t="s">
        <v>74</v>
      </c>
      <c r="I46" s="1" t="s">
        <v>1837</v>
      </c>
      <c r="J46" s="1" t="s">
        <v>140</v>
      </c>
      <c r="K46" s="1" t="s">
        <v>74</v>
      </c>
      <c r="L46" s="1" t="s">
        <v>74</v>
      </c>
      <c r="M46" s="1" t="s">
        <v>74</v>
      </c>
      <c r="N46" s="1" t="s">
        <v>74</v>
      </c>
      <c r="O46" s="1" t="s">
        <v>74</v>
      </c>
      <c r="P46" s="1" t="s">
        <v>74</v>
      </c>
      <c r="Q46" s="1" t="s">
        <v>74</v>
      </c>
      <c r="R46" s="1" t="s">
        <v>74</v>
      </c>
      <c r="S46" s="1" t="s">
        <v>74</v>
      </c>
      <c r="T46" s="1" t="s">
        <v>74</v>
      </c>
      <c r="U46" s="1" t="s">
        <v>74</v>
      </c>
      <c r="V46" s="4" t="s">
        <v>1838</v>
      </c>
      <c r="W46" s="1" t="s">
        <v>74</v>
      </c>
      <c r="X46" s="1" t="s">
        <v>74</v>
      </c>
      <c r="Y46" s="1" t="s">
        <v>74</v>
      </c>
      <c r="Z46" s="1" t="s">
        <v>74</v>
      </c>
      <c r="AA46" s="1" t="s">
        <v>1839</v>
      </c>
      <c r="AB46" s="1" t="s">
        <v>1840</v>
      </c>
      <c r="AC46" s="1" t="s">
        <v>74</v>
      </c>
      <c r="AD46" s="1" t="s">
        <v>74</v>
      </c>
      <c r="AE46" s="1" t="s">
        <v>74</v>
      </c>
      <c r="AF46" s="1" t="s">
        <v>74</v>
      </c>
      <c r="AG46" s="1" t="s">
        <v>74</v>
      </c>
      <c r="AH46" s="1" t="s">
        <v>74</v>
      </c>
      <c r="AI46" s="1" t="s">
        <v>74</v>
      </c>
      <c r="AJ46" s="1" t="s">
        <v>74</v>
      </c>
      <c r="AK46" s="1" t="s">
        <v>74</v>
      </c>
      <c r="AL46" s="1" t="s">
        <v>74</v>
      </c>
      <c r="AM46" s="1" t="s">
        <v>74</v>
      </c>
      <c r="AN46" s="1" t="s">
        <v>74</v>
      </c>
      <c r="AO46" s="1" t="s">
        <v>143</v>
      </c>
      <c r="AP46" s="1" t="s">
        <v>144</v>
      </c>
      <c r="AQ46" s="1" t="s">
        <v>74</v>
      </c>
      <c r="AR46" s="1" t="s">
        <v>74</v>
      </c>
      <c r="AS46" s="1" t="s">
        <v>74</v>
      </c>
      <c r="AT46" s="1" t="s">
        <v>175</v>
      </c>
      <c r="AU46" s="1">
        <v>2001</v>
      </c>
      <c r="AV46" s="1">
        <v>62</v>
      </c>
      <c r="AW46" s="1" t="s">
        <v>74</v>
      </c>
      <c r="AX46" s="1">
        <v>4</v>
      </c>
      <c r="AY46" s="1" t="s">
        <v>74</v>
      </c>
      <c r="AZ46" s="1" t="s">
        <v>74</v>
      </c>
      <c r="BA46" s="1" t="s">
        <v>74</v>
      </c>
      <c r="BB46" s="1">
        <v>695</v>
      </c>
      <c r="BC46" s="1">
        <v>704</v>
      </c>
      <c r="BD46" s="1" t="s">
        <v>74</v>
      </c>
      <c r="BE46" s="1" t="s">
        <v>1841</v>
      </c>
      <c r="BF46" s="1" t="str">
        <f>HYPERLINK("http://dx.doi.org/10.1006/anbe.2001.1804","http://dx.doi.org/10.1006/anbe.2001.1804")</f>
        <v>http://dx.doi.org/10.1006/anbe.2001.1804</v>
      </c>
      <c r="BG46" s="1" t="s">
        <v>74</v>
      </c>
      <c r="BH46" s="1" t="s">
        <v>74</v>
      </c>
      <c r="BI46" s="1" t="s">
        <v>74</v>
      </c>
      <c r="BJ46" s="1" t="s">
        <v>74</v>
      </c>
      <c r="BK46" s="1" t="s">
        <v>74</v>
      </c>
      <c r="BL46" s="1" t="s">
        <v>74</v>
      </c>
      <c r="BM46" s="1" t="s">
        <v>74</v>
      </c>
      <c r="BN46" s="1" t="s">
        <v>74</v>
      </c>
      <c r="BO46" s="1" t="s">
        <v>74</v>
      </c>
      <c r="BP46" s="1" t="s">
        <v>74</v>
      </c>
      <c r="BQ46" s="1" t="s">
        <v>74</v>
      </c>
      <c r="BR46" s="1" t="s">
        <v>74</v>
      </c>
      <c r="BS46" s="1" t="s">
        <v>1842</v>
      </c>
      <c r="BT46" s="1" t="str">
        <f>HYPERLINK("https%3A%2F%2Fwww.webofscience.com%2Fwos%2Fwoscc%2Ffull-record%2FWOS:000172189400010","View Full Record in Web of Science")</f>
        <v>View Full Record in Web of Science</v>
      </c>
    </row>
    <row r="47" spans="1:72" s="2" customFormat="1" x14ac:dyDescent="0.4">
      <c r="A47" s="1" t="s">
        <v>72</v>
      </c>
      <c r="B47" s="1" t="s">
        <v>5549</v>
      </c>
      <c r="C47" s="1" t="s">
        <v>74</v>
      </c>
      <c r="D47" s="1" t="s">
        <v>74</v>
      </c>
      <c r="E47" s="1" t="s">
        <v>74</v>
      </c>
      <c r="F47" s="1" t="s">
        <v>5550</v>
      </c>
      <c r="G47" s="1" t="s">
        <v>74</v>
      </c>
      <c r="H47" s="1" t="s">
        <v>74</v>
      </c>
      <c r="I47" s="1" t="s">
        <v>5551</v>
      </c>
      <c r="J47" s="1" t="s">
        <v>1126</v>
      </c>
      <c r="K47" s="1" t="s">
        <v>74</v>
      </c>
      <c r="L47" s="1" t="s">
        <v>74</v>
      </c>
      <c r="M47" s="1" t="s">
        <v>74</v>
      </c>
      <c r="N47" s="1" t="s">
        <v>74</v>
      </c>
      <c r="O47" s="1" t="s">
        <v>74</v>
      </c>
      <c r="P47" s="1" t="s">
        <v>74</v>
      </c>
      <c r="Q47" s="1" t="s">
        <v>74</v>
      </c>
      <c r="R47" s="1" t="s">
        <v>74</v>
      </c>
      <c r="S47" s="1" t="s">
        <v>74</v>
      </c>
      <c r="T47" s="1" t="s">
        <v>74</v>
      </c>
      <c r="U47" s="1" t="s">
        <v>74</v>
      </c>
      <c r="V47" s="4" t="s">
        <v>5552</v>
      </c>
      <c r="W47" s="1" t="s">
        <v>74</v>
      </c>
      <c r="X47" s="1" t="s">
        <v>74</v>
      </c>
      <c r="Y47" s="1" t="s">
        <v>74</v>
      </c>
      <c r="Z47" s="1" t="s">
        <v>74</v>
      </c>
      <c r="AA47" s="1" t="s">
        <v>74</v>
      </c>
      <c r="AB47" s="1" t="s">
        <v>74</v>
      </c>
      <c r="AC47" s="1" t="s">
        <v>74</v>
      </c>
      <c r="AD47" s="1" t="s">
        <v>74</v>
      </c>
      <c r="AE47" s="1" t="s">
        <v>74</v>
      </c>
      <c r="AF47" s="1" t="s">
        <v>74</v>
      </c>
      <c r="AG47" s="1" t="s">
        <v>74</v>
      </c>
      <c r="AH47" s="1" t="s">
        <v>74</v>
      </c>
      <c r="AI47" s="1" t="s">
        <v>74</v>
      </c>
      <c r="AJ47" s="1" t="s">
        <v>74</v>
      </c>
      <c r="AK47" s="1" t="s">
        <v>74</v>
      </c>
      <c r="AL47" s="1" t="s">
        <v>74</v>
      </c>
      <c r="AM47" s="1" t="s">
        <v>74</v>
      </c>
      <c r="AN47" s="1" t="s">
        <v>74</v>
      </c>
      <c r="AO47" s="1" t="s">
        <v>1128</v>
      </c>
      <c r="AP47" s="1" t="s">
        <v>1129</v>
      </c>
      <c r="AQ47" s="1" t="s">
        <v>74</v>
      </c>
      <c r="AR47" s="1" t="s">
        <v>74</v>
      </c>
      <c r="AS47" s="1" t="s">
        <v>74</v>
      </c>
      <c r="AT47" s="1" t="s">
        <v>305</v>
      </c>
      <c r="AU47" s="1">
        <v>2014</v>
      </c>
      <c r="AV47" s="1" t="s">
        <v>74</v>
      </c>
      <c r="AW47" s="1">
        <v>3</v>
      </c>
      <c r="AX47" s="1" t="s">
        <v>74</v>
      </c>
      <c r="AY47" s="1" t="s">
        <v>74</v>
      </c>
      <c r="AZ47" s="1" t="s">
        <v>74</v>
      </c>
      <c r="BA47" s="1" t="s">
        <v>74</v>
      </c>
      <c r="BB47" s="1">
        <v>481</v>
      </c>
      <c r="BC47" s="1">
        <v>488</v>
      </c>
      <c r="BD47" s="1" t="s">
        <v>74</v>
      </c>
      <c r="BE47" s="1" t="s">
        <v>5553</v>
      </c>
      <c r="BF47" s="1" t="str">
        <f>HYPERLINK("http://dx.doi.org/10.1643/CE-13-154","http://dx.doi.org/10.1643/CE-13-154")</f>
        <v>http://dx.doi.org/10.1643/CE-13-154</v>
      </c>
      <c r="BG47" s="1" t="s">
        <v>74</v>
      </c>
      <c r="BH47" s="1" t="s">
        <v>74</v>
      </c>
      <c r="BI47" s="1" t="s">
        <v>74</v>
      </c>
      <c r="BJ47" s="1" t="s">
        <v>74</v>
      </c>
      <c r="BK47" s="1" t="s">
        <v>74</v>
      </c>
      <c r="BL47" s="1" t="s">
        <v>74</v>
      </c>
      <c r="BM47" s="1" t="s">
        <v>74</v>
      </c>
      <c r="BN47" s="1" t="s">
        <v>74</v>
      </c>
      <c r="BO47" s="1" t="s">
        <v>74</v>
      </c>
      <c r="BP47" s="1" t="s">
        <v>74</v>
      </c>
      <c r="BQ47" s="1" t="s">
        <v>74</v>
      </c>
      <c r="BR47" s="1" t="s">
        <v>74</v>
      </c>
      <c r="BS47" s="1" t="s">
        <v>5554</v>
      </c>
      <c r="BT47" s="1" t="str">
        <f>HYPERLINK("https%3A%2F%2Fwww.webofscience.com%2Fwos%2Fwoscc%2Ffull-record%2FWOS:000348516300003","View Full Record in Web of Science")</f>
        <v>View Full Record in Web of Science</v>
      </c>
    </row>
    <row r="48" spans="1:72" s="7" customFormat="1" x14ac:dyDescent="0.4">
      <c r="A48" s="1" t="s">
        <v>72</v>
      </c>
      <c r="B48" s="1" t="s">
        <v>4949</v>
      </c>
      <c r="C48" s="1" t="s">
        <v>74</v>
      </c>
      <c r="D48" s="1" t="s">
        <v>74</v>
      </c>
      <c r="E48" s="1" t="s">
        <v>74</v>
      </c>
      <c r="F48" s="1" t="s">
        <v>4950</v>
      </c>
      <c r="G48" s="1" t="s">
        <v>74</v>
      </c>
      <c r="H48" s="1" t="s">
        <v>74</v>
      </c>
      <c r="I48" s="1" t="s">
        <v>4951</v>
      </c>
      <c r="J48" s="1" t="s">
        <v>509</v>
      </c>
      <c r="K48" s="1" t="s">
        <v>74</v>
      </c>
      <c r="L48" s="1" t="s">
        <v>74</v>
      </c>
      <c r="M48" s="1" t="s">
        <v>74</v>
      </c>
      <c r="N48" s="1" t="s">
        <v>74</v>
      </c>
      <c r="O48" s="1" t="s">
        <v>74</v>
      </c>
      <c r="P48" s="1" t="s">
        <v>74</v>
      </c>
      <c r="Q48" s="1" t="s">
        <v>74</v>
      </c>
      <c r="R48" s="1" t="s">
        <v>74</v>
      </c>
      <c r="S48" s="1" t="s">
        <v>74</v>
      </c>
      <c r="T48" s="1" t="s">
        <v>74</v>
      </c>
      <c r="U48" s="1" t="s">
        <v>74</v>
      </c>
      <c r="V48" s="4" t="s">
        <v>4952</v>
      </c>
      <c r="W48" s="1" t="s">
        <v>74</v>
      </c>
      <c r="X48" s="1" t="s">
        <v>74</v>
      </c>
      <c r="Y48" s="1" t="s">
        <v>74</v>
      </c>
      <c r="Z48" s="1" t="s">
        <v>74</v>
      </c>
      <c r="AA48" s="1" t="s">
        <v>4953</v>
      </c>
      <c r="AB48" s="1" t="s">
        <v>4954</v>
      </c>
      <c r="AC48" s="1" t="s">
        <v>74</v>
      </c>
      <c r="AD48" s="1" t="s">
        <v>74</v>
      </c>
      <c r="AE48" s="1" t="s">
        <v>74</v>
      </c>
      <c r="AF48" s="1" t="s">
        <v>74</v>
      </c>
      <c r="AG48" s="1" t="s">
        <v>74</v>
      </c>
      <c r="AH48" s="1" t="s">
        <v>74</v>
      </c>
      <c r="AI48" s="1" t="s">
        <v>74</v>
      </c>
      <c r="AJ48" s="1" t="s">
        <v>74</v>
      </c>
      <c r="AK48" s="1" t="s">
        <v>74</v>
      </c>
      <c r="AL48" s="1" t="s">
        <v>74</v>
      </c>
      <c r="AM48" s="1" t="s">
        <v>74</v>
      </c>
      <c r="AN48" s="1" t="s">
        <v>74</v>
      </c>
      <c r="AO48" s="1" t="s">
        <v>511</v>
      </c>
      <c r="AP48" s="1" t="s">
        <v>74</v>
      </c>
      <c r="AQ48" s="1" t="s">
        <v>74</v>
      </c>
      <c r="AR48" s="1" t="s">
        <v>74</v>
      </c>
      <c r="AS48" s="1" t="s">
        <v>74</v>
      </c>
      <c r="AT48" s="1" t="s">
        <v>633</v>
      </c>
      <c r="AU48" s="1">
        <v>2012</v>
      </c>
      <c r="AV48" s="1">
        <v>61</v>
      </c>
      <c r="AW48" s="1">
        <v>4</v>
      </c>
      <c r="AX48" s="1" t="s">
        <v>74</v>
      </c>
      <c r="AY48" s="1" t="s">
        <v>74</v>
      </c>
      <c r="AZ48" s="1" t="s">
        <v>74</v>
      </c>
      <c r="BA48" s="1" t="s">
        <v>74</v>
      </c>
      <c r="BB48" s="1">
        <v>496</v>
      </c>
      <c r="BC48" s="1">
        <v>503</v>
      </c>
      <c r="BD48" s="1" t="s">
        <v>74</v>
      </c>
      <c r="BE48" s="1" t="s">
        <v>4955</v>
      </c>
      <c r="BF48" s="1" t="str">
        <f>HYPERLINK("http://dx.doi.org/10.1016/j.yhbeh.2012.01.006","http://dx.doi.org/10.1016/j.yhbeh.2012.01.006")</f>
        <v>http://dx.doi.org/10.1016/j.yhbeh.2012.01.006</v>
      </c>
      <c r="BG48" s="1" t="s">
        <v>74</v>
      </c>
      <c r="BH48" s="1" t="s">
        <v>74</v>
      </c>
      <c r="BI48" s="1" t="s">
        <v>74</v>
      </c>
      <c r="BJ48" s="1" t="s">
        <v>74</v>
      </c>
      <c r="BK48" s="1" t="s">
        <v>74</v>
      </c>
      <c r="BL48" s="1" t="s">
        <v>74</v>
      </c>
      <c r="BM48" s="1" t="s">
        <v>74</v>
      </c>
      <c r="BN48" s="1">
        <v>22285646</v>
      </c>
      <c r="BO48" s="1" t="s">
        <v>74</v>
      </c>
      <c r="BP48" s="1" t="s">
        <v>74</v>
      </c>
      <c r="BQ48" s="1" t="s">
        <v>74</v>
      </c>
      <c r="BR48" s="1" t="s">
        <v>74</v>
      </c>
      <c r="BS48" s="1" t="s">
        <v>4956</v>
      </c>
      <c r="BT48" s="1" t="str">
        <f>HYPERLINK("https%3A%2F%2Fwww.webofscience.com%2Fwos%2Fwoscc%2Ffull-record%2FWOS:000302763700005","View Full Record in Web of Science")</f>
        <v>View Full Record in Web of Science</v>
      </c>
    </row>
    <row r="49" spans="1:72" s="2" customFormat="1" x14ac:dyDescent="0.4">
      <c r="A49" s="1" t="s">
        <v>72</v>
      </c>
      <c r="B49" s="1" t="s">
        <v>3119</v>
      </c>
      <c r="C49" s="1" t="s">
        <v>74</v>
      </c>
      <c r="D49" s="1" t="s">
        <v>74</v>
      </c>
      <c r="E49" s="1" t="s">
        <v>74</v>
      </c>
      <c r="F49" s="1" t="s">
        <v>3120</v>
      </c>
      <c r="G49" s="1" t="s">
        <v>74</v>
      </c>
      <c r="H49" s="1" t="s">
        <v>74</v>
      </c>
      <c r="I49" s="1" t="s">
        <v>3121</v>
      </c>
      <c r="J49" s="1" t="s">
        <v>218</v>
      </c>
      <c r="K49" s="1" t="s">
        <v>74</v>
      </c>
      <c r="L49" s="1" t="s">
        <v>74</v>
      </c>
      <c r="M49" s="1" t="s">
        <v>74</v>
      </c>
      <c r="N49" s="1" t="s">
        <v>74</v>
      </c>
      <c r="O49" s="1" t="s">
        <v>74</v>
      </c>
      <c r="P49" s="1" t="s">
        <v>74</v>
      </c>
      <c r="Q49" s="1" t="s">
        <v>74</v>
      </c>
      <c r="R49" s="1" t="s">
        <v>74</v>
      </c>
      <c r="S49" s="1" t="s">
        <v>74</v>
      </c>
      <c r="T49" s="1" t="s">
        <v>74</v>
      </c>
      <c r="U49" s="1" t="s">
        <v>74</v>
      </c>
      <c r="V49" s="4" t="s">
        <v>3122</v>
      </c>
      <c r="W49" s="1" t="s">
        <v>74</v>
      </c>
      <c r="X49" s="1" t="s">
        <v>74</v>
      </c>
      <c r="Y49" s="1" t="s">
        <v>74</v>
      </c>
      <c r="Z49" s="1" t="s">
        <v>74</v>
      </c>
      <c r="AA49" s="1" t="s">
        <v>74</v>
      </c>
      <c r="AB49" s="1" t="s">
        <v>74</v>
      </c>
      <c r="AC49" s="1" t="s">
        <v>74</v>
      </c>
      <c r="AD49" s="1" t="s">
        <v>74</v>
      </c>
      <c r="AE49" s="1" t="s">
        <v>74</v>
      </c>
      <c r="AF49" s="1" t="s">
        <v>74</v>
      </c>
      <c r="AG49" s="1" t="s">
        <v>74</v>
      </c>
      <c r="AH49" s="1" t="s">
        <v>74</v>
      </c>
      <c r="AI49" s="1" t="s">
        <v>74</v>
      </c>
      <c r="AJ49" s="1" t="s">
        <v>74</v>
      </c>
      <c r="AK49" s="1" t="s">
        <v>74</v>
      </c>
      <c r="AL49" s="1" t="s">
        <v>74</v>
      </c>
      <c r="AM49" s="1" t="s">
        <v>74</v>
      </c>
      <c r="AN49" s="1" t="s">
        <v>74</v>
      </c>
      <c r="AO49" s="1" t="s">
        <v>221</v>
      </c>
      <c r="AP49" s="1" t="s">
        <v>74</v>
      </c>
      <c r="AQ49" s="1" t="s">
        <v>74</v>
      </c>
      <c r="AR49" s="1" t="s">
        <v>74</v>
      </c>
      <c r="AS49" s="1" t="s">
        <v>74</v>
      </c>
      <c r="AT49" s="1" t="s">
        <v>352</v>
      </c>
      <c r="AU49" s="1">
        <v>2010</v>
      </c>
      <c r="AV49" s="1">
        <v>23</v>
      </c>
      <c r="AW49" s="1">
        <v>9</v>
      </c>
      <c r="AX49" s="1" t="s">
        <v>74</v>
      </c>
      <c r="AY49" s="1" t="s">
        <v>74</v>
      </c>
      <c r="AZ49" s="1" t="s">
        <v>74</v>
      </c>
      <c r="BA49" s="1" t="s">
        <v>74</v>
      </c>
      <c r="BB49" s="1">
        <v>1928</v>
      </c>
      <c r="BC49" s="1">
        <v>1936</v>
      </c>
      <c r="BD49" s="1" t="s">
        <v>74</v>
      </c>
      <c r="BE49" s="1" t="s">
        <v>3123</v>
      </c>
      <c r="BF49" s="1" t="str">
        <f>HYPERLINK("http://dx.doi.org/10.1111/j.1420-9101.2010.02063.x","http://dx.doi.org/10.1111/j.1420-9101.2010.02063.x")</f>
        <v>http://dx.doi.org/10.1111/j.1420-9101.2010.02063.x</v>
      </c>
      <c r="BG49" s="1" t="s">
        <v>74</v>
      </c>
      <c r="BH49" s="1" t="s">
        <v>74</v>
      </c>
      <c r="BI49" s="1" t="s">
        <v>74</v>
      </c>
      <c r="BJ49" s="1" t="s">
        <v>74</v>
      </c>
      <c r="BK49" s="1" t="s">
        <v>74</v>
      </c>
      <c r="BL49" s="1" t="s">
        <v>74</v>
      </c>
      <c r="BM49" s="1" t="s">
        <v>74</v>
      </c>
      <c r="BN49" s="1">
        <v>20695966</v>
      </c>
      <c r="BO49" s="1" t="s">
        <v>74</v>
      </c>
      <c r="BP49" s="1" t="s">
        <v>74</v>
      </c>
      <c r="BQ49" s="1" t="s">
        <v>74</v>
      </c>
      <c r="BR49" s="1" t="s">
        <v>74</v>
      </c>
      <c r="BS49" s="1" t="s">
        <v>3124</v>
      </c>
      <c r="BT49" s="1" t="str">
        <f>HYPERLINK("https%3A%2F%2Fwww.webofscience.com%2Fwos%2Fwoscc%2Ffull-record%2FWOS:000281141800011","View Full Record in Web of Science")</f>
        <v>View Full Record in Web of Science</v>
      </c>
    </row>
    <row r="50" spans="1:72" s="2" customFormat="1" x14ac:dyDescent="0.4">
      <c r="A50" s="1" t="s">
        <v>72</v>
      </c>
      <c r="B50" s="1" t="s">
        <v>3753</v>
      </c>
      <c r="C50" s="1" t="s">
        <v>74</v>
      </c>
      <c r="D50" s="1" t="s">
        <v>74</v>
      </c>
      <c r="E50" s="1" t="s">
        <v>74</v>
      </c>
      <c r="F50" s="1" t="s">
        <v>3754</v>
      </c>
      <c r="G50" s="1" t="s">
        <v>74</v>
      </c>
      <c r="H50" s="1" t="s">
        <v>74</v>
      </c>
      <c r="I50" s="1" t="s">
        <v>3755</v>
      </c>
      <c r="J50" s="1" t="s">
        <v>3756</v>
      </c>
      <c r="K50" s="1" t="s">
        <v>74</v>
      </c>
      <c r="L50" s="1" t="s">
        <v>74</v>
      </c>
      <c r="M50" s="1" t="s">
        <v>74</v>
      </c>
      <c r="N50" s="1" t="s">
        <v>74</v>
      </c>
      <c r="O50" s="1" t="s">
        <v>74</v>
      </c>
      <c r="P50" s="1" t="s">
        <v>74</v>
      </c>
      <c r="Q50" s="1" t="s">
        <v>74</v>
      </c>
      <c r="R50" s="1" t="s">
        <v>74</v>
      </c>
      <c r="S50" s="1" t="s">
        <v>74</v>
      </c>
      <c r="T50" s="1" t="s">
        <v>74</v>
      </c>
      <c r="U50" s="1" t="s">
        <v>74</v>
      </c>
      <c r="V50" s="4" t="s">
        <v>3757</v>
      </c>
      <c r="W50" s="1" t="s">
        <v>74</v>
      </c>
      <c r="X50" s="1" t="s">
        <v>74</v>
      </c>
      <c r="Y50" s="1" t="s">
        <v>74</v>
      </c>
      <c r="Z50" s="1" t="s">
        <v>74</v>
      </c>
      <c r="AA50" s="1" t="s">
        <v>3758</v>
      </c>
      <c r="AB50" s="1" t="s">
        <v>3759</v>
      </c>
      <c r="AC50" s="1" t="s">
        <v>74</v>
      </c>
      <c r="AD50" s="1" t="s">
        <v>74</v>
      </c>
      <c r="AE50" s="1" t="s">
        <v>74</v>
      </c>
      <c r="AF50" s="1" t="s">
        <v>74</v>
      </c>
      <c r="AG50" s="1" t="s">
        <v>74</v>
      </c>
      <c r="AH50" s="1" t="s">
        <v>74</v>
      </c>
      <c r="AI50" s="1" t="s">
        <v>74</v>
      </c>
      <c r="AJ50" s="1" t="s">
        <v>74</v>
      </c>
      <c r="AK50" s="1" t="s">
        <v>74</v>
      </c>
      <c r="AL50" s="1" t="s">
        <v>74</v>
      </c>
      <c r="AM50" s="1" t="s">
        <v>74</v>
      </c>
      <c r="AN50" s="1" t="s">
        <v>74</v>
      </c>
      <c r="AO50" s="1" t="s">
        <v>3760</v>
      </c>
      <c r="AP50" s="1" t="s">
        <v>74</v>
      </c>
      <c r="AQ50" s="1" t="s">
        <v>74</v>
      </c>
      <c r="AR50" s="1" t="s">
        <v>74</v>
      </c>
      <c r="AS50" s="1" t="s">
        <v>74</v>
      </c>
      <c r="AT50" s="1" t="s">
        <v>175</v>
      </c>
      <c r="AU50" s="1">
        <v>2019</v>
      </c>
      <c r="AV50" s="1">
        <v>12</v>
      </c>
      <c r="AW50" s="1">
        <v>9</v>
      </c>
      <c r="AX50" s="1" t="s">
        <v>74</v>
      </c>
      <c r="AY50" s="1" t="s">
        <v>74</v>
      </c>
      <c r="AZ50" s="1" t="s">
        <v>74</v>
      </c>
      <c r="BA50" s="1" t="s">
        <v>74</v>
      </c>
      <c r="BB50" s="1">
        <v>1757</v>
      </c>
      <c r="BC50" s="1">
        <v>1771</v>
      </c>
      <c r="BD50" s="1" t="s">
        <v>74</v>
      </c>
      <c r="BE50" s="1" t="s">
        <v>3761</v>
      </c>
      <c r="BF50" s="1" t="str">
        <f>HYPERLINK("http://dx.doi.org/10.1111/eva.12830","http://dx.doi.org/10.1111/eva.12830")</f>
        <v>http://dx.doi.org/10.1111/eva.12830</v>
      </c>
      <c r="BG50" s="1" t="s">
        <v>74</v>
      </c>
      <c r="BH50" s="1" t="s">
        <v>3762</v>
      </c>
      <c r="BI50" s="1" t="s">
        <v>74</v>
      </c>
      <c r="BJ50" s="1" t="s">
        <v>74</v>
      </c>
      <c r="BK50" s="1" t="s">
        <v>74</v>
      </c>
      <c r="BL50" s="1" t="s">
        <v>74</v>
      </c>
      <c r="BM50" s="1" t="s">
        <v>74</v>
      </c>
      <c r="BN50" s="1">
        <v>31548855</v>
      </c>
      <c r="BO50" s="1" t="s">
        <v>74</v>
      </c>
      <c r="BP50" s="1" t="s">
        <v>74</v>
      </c>
      <c r="BQ50" s="1" t="s">
        <v>74</v>
      </c>
      <c r="BR50" s="1" t="s">
        <v>74</v>
      </c>
      <c r="BS50" s="1" t="s">
        <v>3763</v>
      </c>
      <c r="BT50" s="1" t="str">
        <f>HYPERLINK("https%3A%2F%2Fwww.webofscience.com%2Fwos%2Fwoscc%2Ffull-record%2FWOS:000476434800001","View Full Record in Web of Science")</f>
        <v>View Full Record in Web of Science</v>
      </c>
    </row>
    <row r="51" spans="1:72" s="2" customFormat="1" x14ac:dyDescent="0.4">
      <c r="A51" s="1" t="s">
        <v>72</v>
      </c>
      <c r="B51" s="1" t="s">
        <v>607</v>
      </c>
      <c r="C51" s="1" t="s">
        <v>74</v>
      </c>
      <c r="D51" s="1" t="s">
        <v>74</v>
      </c>
      <c r="E51" s="1" t="s">
        <v>74</v>
      </c>
      <c r="F51" s="1" t="s">
        <v>608</v>
      </c>
      <c r="G51" s="1" t="s">
        <v>74</v>
      </c>
      <c r="H51" s="1" t="s">
        <v>74</v>
      </c>
      <c r="I51" s="1" t="s">
        <v>609</v>
      </c>
      <c r="J51" s="1" t="s">
        <v>610</v>
      </c>
      <c r="K51" s="1" t="s">
        <v>74</v>
      </c>
      <c r="L51" s="1" t="s">
        <v>74</v>
      </c>
      <c r="M51" s="1" t="s">
        <v>74</v>
      </c>
      <c r="N51" s="1" t="s">
        <v>74</v>
      </c>
      <c r="O51" s="1" t="s">
        <v>74</v>
      </c>
      <c r="P51" s="1" t="s">
        <v>74</v>
      </c>
      <c r="Q51" s="1" t="s">
        <v>74</v>
      </c>
      <c r="R51" s="1" t="s">
        <v>74</v>
      </c>
      <c r="S51" s="1" t="s">
        <v>74</v>
      </c>
      <c r="T51" s="1" t="s">
        <v>74</v>
      </c>
      <c r="U51" s="1" t="s">
        <v>74</v>
      </c>
      <c r="V51" s="4" t="s">
        <v>611</v>
      </c>
      <c r="W51" s="1" t="s">
        <v>74</v>
      </c>
      <c r="X51" s="1" t="s">
        <v>74</v>
      </c>
      <c r="Y51" s="1" t="s">
        <v>74</v>
      </c>
      <c r="Z51" s="1" t="s">
        <v>74</v>
      </c>
      <c r="AA51" s="1" t="s">
        <v>612</v>
      </c>
      <c r="AB51" s="1" t="s">
        <v>613</v>
      </c>
      <c r="AC51" s="1" t="s">
        <v>74</v>
      </c>
      <c r="AD51" s="1" t="s">
        <v>74</v>
      </c>
      <c r="AE51" s="1" t="s">
        <v>74</v>
      </c>
      <c r="AF51" s="1" t="s">
        <v>74</v>
      </c>
      <c r="AG51" s="1" t="s">
        <v>74</v>
      </c>
      <c r="AH51" s="1" t="s">
        <v>74</v>
      </c>
      <c r="AI51" s="1" t="s">
        <v>74</v>
      </c>
      <c r="AJ51" s="1" t="s">
        <v>74</v>
      </c>
      <c r="AK51" s="1" t="s">
        <v>74</v>
      </c>
      <c r="AL51" s="1" t="s">
        <v>74</v>
      </c>
      <c r="AM51" s="1" t="s">
        <v>74</v>
      </c>
      <c r="AN51" s="1" t="s">
        <v>74</v>
      </c>
      <c r="AO51" s="1" t="s">
        <v>614</v>
      </c>
      <c r="AP51" s="1" t="s">
        <v>615</v>
      </c>
      <c r="AQ51" s="1" t="s">
        <v>74</v>
      </c>
      <c r="AR51" s="1" t="s">
        <v>74</v>
      </c>
      <c r="AS51" s="1" t="s">
        <v>74</v>
      </c>
      <c r="AT51" s="1" t="s">
        <v>352</v>
      </c>
      <c r="AU51" s="1">
        <v>2020</v>
      </c>
      <c r="AV51" s="1">
        <v>126</v>
      </c>
      <c r="AW51" s="1">
        <v>9</v>
      </c>
      <c r="AX51" s="1" t="s">
        <v>74</v>
      </c>
      <c r="AY51" s="1" t="s">
        <v>74</v>
      </c>
      <c r="AZ51" s="1" t="s">
        <v>74</v>
      </c>
      <c r="BA51" s="1" t="s">
        <v>74</v>
      </c>
      <c r="BB51" s="1">
        <v>900</v>
      </c>
      <c r="BC51" s="1">
        <v>913</v>
      </c>
      <c r="BD51" s="1" t="s">
        <v>74</v>
      </c>
      <c r="BE51" s="1" t="s">
        <v>616</v>
      </c>
      <c r="BF51" s="1" t="str">
        <f>HYPERLINK("http://dx.doi.org/10.1111/eth.13067","http://dx.doi.org/10.1111/eth.13067")</f>
        <v>http://dx.doi.org/10.1111/eth.13067</v>
      </c>
      <c r="BG51" s="1" t="s">
        <v>74</v>
      </c>
      <c r="BH51" s="1" t="s">
        <v>617</v>
      </c>
      <c r="BI51" s="1" t="s">
        <v>74</v>
      </c>
      <c r="BJ51" s="1" t="s">
        <v>74</v>
      </c>
      <c r="BK51" s="1" t="s">
        <v>74</v>
      </c>
      <c r="BL51" s="1" t="s">
        <v>74</v>
      </c>
      <c r="BM51" s="1" t="s">
        <v>74</v>
      </c>
      <c r="BN51" s="1" t="s">
        <v>74</v>
      </c>
      <c r="BO51" s="1" t="s">
        <v>74</v>
      </c>
      <c r="BP51" s="1" t="s">
        <v>74</v>
      </c>
      <c r="BQ51" s="1" t="s">
        <v>74</v>
      </c>
      <c r="BR51" s="1" t="s">
        <v>74</v>
      </c>
      <c r="BS51" s="1" t="s">
        <v>618</v>
      </c>
      <c r="BT51" s="1" t="str">
        <f>HYPERLINK("https%3A%2F%2Fwww.webofscience.com%2Fwos%2Fwoscc%2Ffull-record%2FWOS:000538660200001","View Full Record in Web of Science")</f>
        <v>View Full Record in Web of Science</v>
      </c>
    </row>
    <row r="52" spans="1:72" s="2" customFormat="1" x14ac:dyDescent="0.4">
      <c r="A52" s="1" t="s">
        <v>72</v>
      </c>
      <c r="B52" s="1" t="s">
        <v>2197</v>
      </c>
      <c r="C52" s="1" t="s">
        <v>74</v>
      </c>
      <c r="D52" s="1" t="s">
        <v>74</v>
      </c>
      <c r="E52" s="1" t="s">
        <v>74</v>
      </c>
      <c r="F52" s="1" t="s">
        <v>2198</v>
      </c>
      <c r="G52" s="1" t="s">
        <v>74</v>
      </c>
      <c r="H52" s="1" t="s">
        <v>74</v>
      </c>
      <c r="I52" s="1" t="s">
        <v>2199</v>
      </c>
      <c r="J52" s="1" t="s">
        <v>408</v>
      </c>
      <c r="K52" s="1" t="s">
        <v>74</v>
      </c>
      <c r="L52" s="1" t="s">
        <v>74</v>
      </c>
      <c r="M52" s="1" t="s">
        <v>74</v>
      </c>
      <c r="N52" s="1" t="s">
        <v>74</v>
      </c>
      <c r="O52" s="1" t="s">
        <v>74</v>
      </c>
      <c r="P52" s="1" t="s">
        <v>74</v>
      </c>
      <c r="Q52" s="1" t="s">
        <v>74</v>
      </c>
      <c r="R52" s="1" t="s">
        <v>74</v>
      </c>
      <c r="S52" s="1" t="s">
        <v>74</v>
      </c>
      <c r="T52" s="1" t="s">
        <v>74</v>
      </c>
      <c r="U52" s="1" t="s">
        <v>74</v>
      </c>
      <c r="V52" s="4" t="s">
        <v>2200</v>
      </c>
      <c r="W52" s="1" t="s">
        <v>74</v>
      </c>
      <c r="X52" s="1" t="s">
        <v>74</v>
      </c>
      <c r="Y52" s="1" t="s">
        <v>74</v>
      </c>
      <c r="Z52" s="1" t="s">
        <v>74</v>
      </c>
      <c r="AA52" s="1" t="s">
        <v>2201</v>
      </c>
      <c r="AB52" s="1" t="s">
        <v>2202</v>
      </c>
      <c r="AC52" s="1" t="s">
        <v>74</v>
      </c>
      <c r="AD52" s="1" t="s">
        <v>74</v>
      </c>
      <c r="AE52" s="1" t="s">
        <v>74</v>
      </c>
      <c r="AF52" s="1" t="s">
        <v>74</v>
      </c>
      <c r="AG52" s="1" t="s">
        <v>74</v>
      </c>
      <c r="AH52" s="1" t="s">
        <v>74</v>
      </c>
      <c r="AI52" s="1" t="s">
        <v>74</v>
      </c>
      <c r="AJ52" s="1" t="s">
        <v>74</v>
      </c>
      <c r="AK52" s="1" t="s">
        <v>74</v>
      </c>
      <c r="AL52" s="1" t="s">
        <v>74</v>
      </c>
      <c r="AM52" s="1" t="s">
        <v>74</v>
      </c>
      <c r="AN52" s="1" t="s">
        <v>74</v>
      </c>
      <c r="AO52" s="1" t="s">
        <v>412</v>
      </c>
      <c r="AP52" s="1" t="s">
        <v>413</v>
      </c>
      <c r="AQ52" s="1" t="s">
        <v>74</v>
      </c>
      <c r="AR52" s="1" t="s">
        <v>74</v>
      </c>
      <c r="AS52" s="1" t="s">
        <v>74</v>
      </c>
      <c r="AT52" s="1" t="s">
        <v>255</v>
      </c>
      <c r="AU52" s="1">
        <v>2013</v>
      </c>
      <c r="AV52" s="1">
        <v>108</v>
      </c>
      <c r="AW52" s="1">
        <v>1</v>
      </c>
      <c r="AX52" s="1" t="s">
        <v>74</v>
      </c>
      <c r="AY52" s="1" t="s">
        <v>74</v>
      </c>
      <c r="AZ52" s="1" t="s">
        <v>74</v>
      </c>
      <c r="BA52" s="1" t="s">
        <v>74</v>
      </c>
      <c r="BB52" s="1">
        <v>116</v>
      </c>
      <c r="BC52" s="1">
        <v>126</v>
      </c>
      <c r="BD52" s="1" t="s">
        <v>74</v>
      </c>
      <c r="BE52" s="1" t="s">
        <v>2203</v>
      </c>
      <c r="BF52" s="1" t="str">
        <f>HYPERLINK("http://dx.doi.org/10.1111/j.1095-8312.2012.02006.x","http://dx.doi.org/10.1111/j.1095-8312.2012.02006.x")</f>
        <v>http://dx.doi.org/10.1111/j.1095-8312.2012.02006.x</v>
      </c>
      <c r="BG52" s="1" t="s">
        <v>74</v>
      </c>
      <c r="BH52" s="1" t="s">
        <v>74</v>
      </c>
      <c r="BI52" s="1" t="s">
        <v>74</v>
      </c>
      <c r="BJ52" s="1" t="s">
        <v>74</v>
      </c>
      <c r="BK52" s="1" t="s">
        <v>74</v>
      </c>
      <c r="BL52" s="1" t="s">
        <v>74</v>
      </c>
      <c r="BM52" s="1" t="s">
        <v>74</v>
      </c>
      <c r="BN52" s="1" t="s">
        <v>74</v>
      </c>
      <c r="BO52" s="1" t="s">
        <v>74</v>
      </c>
      <c r="BP52" s="1" t="s">
        <v>74</v>
      </c>
      <c r="BQ52" s="1" t="s">
        <v>74</v>
      </c>
      <c r="BR52" s="1" t="s">
        <v>74</v>
      </c>
      <c r="BS52" s="1" t="s">
        <v>2204</v>
      </c>
      <c r="BT52" s="1" t="str">
        <f>HYPERLINK("https%3A%2F%2Fwww.webofscience.com%2Fwos%2Fwoscc%2Ffull-record%2FWOS:000312543100011","View Full Record in Web of Science")</f>
        <v>View Full Record in Web of Science</v>
      </c>
    </row>
    <row r="53" spans="1:72" s="2" customFormat="1" x14ac:dyDescent="0.4">
      <c r="A53" s="1" t="s">
        <v>72</v>
      </c>
      <c r="B53" s="1" t="s">
        <v>1501</v>
      </c>
      <c r="C53" s="1" t="s">
        <v>74</v>
      </c>
      <c r="D53" s="1" t="s">
        <v>74</v>
      </c>
      <c r="E53" s="1" t="s">
        <v>74</v>
      </c>
      <c r="F53" s="1" t="s">
        <v>1502</v>
      </c>
      <c r="G53" s="1" t="s">
        <v>74</v>
      </c>
      <c r="H53" s="1" t="s">
        <v>74</v>
      </c>
      <c r="I53" s="1" t="s">
        <v>1503</v>
      </c>
      <c r="J53" s="1" t="s">
        <v>814</v>
      </c>
      <c r="K53" s="1" t="s">
        <v>74</v>
      </c>
      <c r="L53" s="1" t="s">
        <v>74</v>
      </c>
      <c r="M53" s="1" t="s">
        <v>74</v>
      </c>
      <c r="N53" s="1" t="s">
        <v>74</v>
      </c>
      <c r="O53" s="1" t="s">
        <v>74</v>
      </c>
      <c r="P53" s="1" t="s">
        <v>74</v>
      </c>
      <c r="Q53" s="1" t="s">
        <v>74</v>
      </c>
      <c r="R53" s="1" t="s">
        <v>74</v>
      </c>
      <c r="S53" s="1" t="s">
        <v>74</v>
      </c>
      <c r="T53" s="1" t="s">
        <v>74</v>
      </c>
      <c r="U53" s="1" t="s">
        <v>74</v>
      </c>
      <c r="V53" s="4" t="s">
        <v>1504</v>
      </c>
      <c r="W53" s="1" t="s">
        <v>74</v>
      </c>
      <c r="X53" s="1" t="s">
        <v>74</v>
      </c>
      <c r="Y53" s="1" t="s">
        <v>74</v>
      </c>
      <c r="Z53" s="1" t="s">
        <v>74</v>
      </c>
      <c r="AA53" s="1" t="s">
        <v>74</v>
      </c>
      <c r="AB53" s="1" t="s">
        <v>74</v>
      </c>
      <c r="AC53" s="1" t="s">
        <v>74</v>
      </c>
      <c r="AD53" s="1" t="s">
        <v>74</v>
      </c>
      <c r="AE53" s="1" t="s">
        <v>74</v>
      </c>
      <c r="AF53" s="1" t="s">
        <v>74</v>
      </c>
      <c r="AG53" s="1" t="s">
        <v>74</v>
      </c>
      <c r="AH53" s="1" t="s">
        <v>74</v>
      </c>
      <c r="AI53" s="1" t="s">
        <v>74</v>
      </c>
      <c r="AJ53" s="1" t="s">
        <v>74</v>
      </c>
      <c r="AK53" s="1" t="s">
        <v>74</v>
      </c>
      <c r="AL53" s="1" t="s">
        <v>74</v>
      </c>
      <c r="AM53" s="1" t="s">
        <v>74</v>
      </c>
      <c r="AN53" s="1" t="s">
        <v>74</v>
      </c>
      <c r="AO53" s="1" t="s">
        <v>818</v>
      </c>
      <c r="AP53" s="1" t="s">
        <v>1505</v>
      </c>
      <c r="AQ53" s="1" t="s">
        <v>74</v>
      </c>
      <c r="AR53" s="1" t="s">
        <v>74</v>
      </c>
      <c r="AS53" s="1" t="s">
        <v>74</v>
      </c>
      <c r="AT53" s="1" t="s">
        <v>102</v>
      </c>
      <c r="AU53" s="1">
        <v>2017</v>
      </c>
      <c r="AV53" s="1">
        <v>122</v>
      </c>
      <c r="AW53" s="1" t="s">
        <v>74</v>
      </c>
      <c r="AX53" s="1" t="s">
        <v>74</v>
      </c>
      <c r="AY53" s="1" t="s">
        <v>74</v>
      </c>
      <c r="AZ53" s="1" t="s">
        <v>74</v>
      </c>
      <c r="BA53" s="1" t="s">
        <v>74</v>
      </c>
      <c r="BB53" s="1">
        <v>115</v>
      </c>
      <c r="BC53" s="1">
        <v>125</v>
      </c>
      <c r="BD53" s="1" t="s">
        <v>74</v>
      </c>
      <c r="BE53" s="1" t="s">
        <v>1506</v>
      </c>
      <c r="BF53" s="1" t="str">
        <f>HYPERLINK("http://dx.doi.org/10.1016/j.zool.2017.05.002","http://dx.doi.org/10.1016/j.zool.2017.05.002")</f>
        <v>http://dx.doi.org/10.1016/j.zool.2017.05.002</v>
      </c>
      <c r="BG53" s="1" t="s">
        <v>74</v>
      </c>
      <c r="BH53" s="1" t="s">
        <v>74</v>
      </c>
      <c r="BI53" s="1" t="s">
        <v>74</v>
      </c>
      <c r="BJ53" s="1" t="s">
        <v>74</v>
      </c>
      <c r="BK53" s="1" t="s">
        <v>74</v>
      </c>
      <c r="BL53" s="1" t="s">
        <v>74</v>
      </c>
      <c r="BM53" s="1" t="s">
        <v>74</v>
      </c>
      <c r="BN53" s="1">
        <v>28546067</v>
      </c>
      <c r="BO53" s="1" t="s">
        <v>74</v>
      </c>
      <c r="BP53" s="1" t="s">
        <v>74</v>
      </c>
      <c r="BQ53" s="1" t="s">
        <v>74</v>
      </c>
      <c r="BR53" s="1" t="s">
        <v>74</v>
      </c>
      <c r="BS53" s="1" t="s">
        <v>1507</v>
      </c>
      <c r="BT53" s="1" t="str">
        <f>HYPERLINK("https%3A%2F%2Fwww.webofscience.com%2Fwos%2Fwoscc%2Ffull-record%2FWOS:000404310700015","View Full Record in Web of Science")</f>
        <v>View Full Record in Web of Science</v>
      </c>
    </row>
    <row r="54" spans="1:72" s="2" customFormat="1" x14ac:dyDescent="0.4">
      <c r="A54" s="1" t="s">
        <v>72</v>
      </c>
      <c r="B54" s="1" t="s">
        <v>4740</v>
      </c>
      <c r="C54" s="1" t="s">
        <v>74</v>
      </c>
      <c r="D54" s="1" t="s">
        <v>74</v>
      </c>
      <c r="E54" s="1" t="s">
        <v>74</v>
      </c>
      <c r="F54" s="1" t="s">
        <v>4741</v>
      </c>
      <c r="G54" s="1" t="s">
        <v>74</v>
      </c>
      <c r="H54" s="1" t="s">
        <v>74</v>
      </c>
      <c r="I54" s="1" t="s">
        <v>4742</v>
      </c>
      <c r="J54" s="1" t="s">
        <v>691</v>
      </c>
      <c r="K54" s="1" t="s">
        <v>74</v>
      </c>
      <c r="L54" s="1" t="s">
        <v>74</v>
      </c>
      <c r="M54" s="1" t="s">
        <v>74</v>
      </c>
      <c r="N54" s="1" t="s">
        <v>74</v>
      </c>
      <c r="O54" s="1" t="s">
        <v>74</v>
      </c>
      <c r="P54" s="1" t="s">
        <v>74</v>
      </c>
      <c r="Q54" s="1" t="s">
        <v>74</v>
      </c>
      <c r="R54" s="1" t="s">
        <v>74</v>
      </c>
      <c r="S54" s="1" t="s">
        <v>74</v>
      </c>
      <c r="T54" s="1" t="s">
        <v>74</v>
      </c>
      <c r="U54" s="1" t="s">
        <v>74</v>
      </c>
      <c r="V54" s="4" t="s">
        <v>4743</v>
      </c>
      <c r="W54" s="1" t="s">
        <v>74</v>
      </c>
      <c r="X54" s="1" t="s">
        <v>74</v>
      </c>
      <c r="Y54" s="1" t="s">
        <v>74</v>
      </c>
      <c r="Z54" s="1" t="s">
        <v>74</v>
      </c>
      <c r="AA54" s="1" t="s">
        <v>74</v>
      </c>
      <c r="AB54" s="1" t="s">
        <v>74</v>
      </c>
      <c r="AC54" s="1" t="s">
        <v>74</v>
      </c>
      <c r="AD54" s="1" t="s">
        <v>74</v>
      </c>
      <c r="AE54" s="1" t="s">
        <v>74</v>
      </c>
      <c r="AF54" s="1" t="s">
        <v>74</v>
      </c>
      <c r="AG54" s="1" t="s">
        <v>74</v>
      </c>
      <c r="AH54" s="1" t="s">
        <v>74</v>
      </c>
      <c r="AI54" s="1" t="s">
        <v>74</v>
      </c>
      <c r="AJ54" s="1" t="s">
        <v>74</v>
      </c>
      <c r="AK54" s="1" t="s">
        <v>74</v>
      </c>
      <c r="AL54" s="1" t="s">
        <v>74</v>
      </c>
      <c r="AM54" s="1" t="s">
        <v>74</v>
      </c>
      <c r="AN54" s="1" t="s">
        <v>74</v>
      </c>
      <c r="AO54" s="1" t="s">
        <v>695</v>
      </c>
      <c r="AP54" s="1" t="s">
        <v>74</v>
      </c>
      <c r="AQ54" s="1" t="s">
        <v>74</v>
      </c>
      <c r="AR54" s="1" t="s">
        <v>74</v>
      </c>
      <c r="AS54" s="1" t="s">
        <v>74</v>
      </c>
      <c r="AT54" s="1" t="s">
        <v>4744</v>
      </c>
      <c r="AU54" s="1">
        <v>2016</v>
      </c>
      <c r="AV54" s="1">
        <v>163</v>
      </c>
      <c r="AW54" s="1" t="s">
        <v>74</v>
      </c>
      <c r="AX54" s="1" t="s">
        <v>74</v>
      </c>
      <c r="AY54" s="1" t="s">
        <v>74</v>
      </c>
      <c r="AZ54" s="1" t="s">
        <v>74</v>
      </c>
      <c r="BA54" s="1" t="s">
        <v>74</v>
      </c>
      <c r="BB54" s="1">
        <v>70</v>
      </c>
      <c r="BC54" s="1">
        <v>80</v>
      </c>
      <c r="BD54" s="1" t="s">
        <v>74</v>
      </c>
      <c r="BE54" s="1" t="s">
        <v>4745</v>
      </c>
      <c r="BF54" s="1" t="str">
        <f>HYPERLINK("http://dx.doi.org/10.1016/j.physbeh.2016.04.039","http://dx.doi.org/10.1016/j.physbeh.2016.04.039")</f>
        <v>http://dx.doi.org/10.1016/j.physbeh.2016.04.039</v>
      </c>
      <c r="BG54" s="1" t="s">
        <v>74</v>
      </c>
      <c r="BH54" s="1" t="s">
        <v>74</v>
      </c>
      <c r="BI54" s="1" t="s">
        <v>74</v>
      </c>
      <c r="BJ54" s="1" t="s">
        <v>74</v>
      </c>
      <c r="BK54" s="1" t="s">
        <v>74</v>
      </c>
      <c r="BL54" s="1" t="s">
        <v>74</v>
      </c>
      <c r="BM54" s="1" t="s">
        <v>74</v>
      </c>
      <c r="BN54" s="1">
        <v>27137079</v>
      </c>
      <c r="BO54" s="1" t="s">
        <v>74</v>
      </c>
      <c r="BP54" s="1" t="s">
        <v>74</v>
      </c>
      <c r="BQ54" s="1" t="s">
        <v>74</v>
      </c>
      <c r="BR54" s="1" t="s">
        <v>74</v>
      </c>
      <c r="BS54" s="1" t="s">
        <v>4746</v>
      </c>
      <c r="BT54" s="1" t="str">
        <f>HYPERLINK("https%3A%2F%2Fwww.webofscience.com%2Fwos%2Fwoscc%2Ffull-record%2FWOS:000380597400010","View Full Record in Web of Science")</f>
        <v>View Full Record in Web of Science</v>
      </c>
    </row>
    <row r="55" spans="1:72" s="2" customFormat="1" x14ac:dyDescent="0.4">
      <c r="A55" s="1" t="s">
        <v>72</v>
      </c>
      <c r="B55" s="1" t="s">
        <v>4740</v>
      </c>
      <c r="C55" s="1" t="s">
        <v>74</v>
      </c>
      <c r="D55" s="1" t="s">
        <v>74</v>
      </c>
      <c r="E55" s="1" t="s">
        <v>74</v>
      </c>
      <c r="F55" s="1" t="s">
        <v>4741</v>
      </c>
      <c r="G55" s="1" t="s">
        <v>74</v>
      </c>
      <c r="H55" s="1" t="s">
        <v>74</v>
      </c>
      <c r="I55" s="1" t="s">
        <v>6585</v>
      </c>
      <c r="J55" s="1" t="s">
        <v>6042</v>
      </c>
      <c r="K55" s="1" t="s">
        <v>74</v>
      </c>
      <c r="L55" s="1" t="s">
        <v>74</v>
      </c>
      <c r="M55" s="1" t="s">
        <v>74</v>
      </c>
      <c r="N55" s="1" t="s">
        <v>74</v>
      </c>
      <c r="O55" s="1" t="s">
        <v>74</v>
      </c>
      <c r="P55" s="1" t="s">
        <v>74</v>
      </c>
      <c r="Q55" s="1" t="s">
        <v>74</v>
      </c>
      <c r="R55" s="1" t="s">
        <v>74</v>
      </c>
      <c r="S55" s="1" t="s">
        <v>74</v>
      </c>
      <c r="T55" s="1" t="s">
        <v>74</v>
      </c>
      <c r="U55" s="1" t="s">
        <v>74</v>
      </c>
      <c r="V55" s="4" t="s">
        <v>6586</v>
      </c>
      <c r="W55" s="1" t="s">
        <v>74</v>
      </c>
      <c r="X55" s="1" t="s">
        <v>74</v>
      </c>
      <c r="Y55" s="1" t="s">
        <v>74</v>
      </c>
      <c r="Z55" s="1" t="s">
        <v>74</v>
      </c>
      <c r="AA55" s="1" t="s">
        <v>74</v>
      </c>
      <c r="AB55" s="1" t="s">
        <v>274</v>
      </c>
      <c r="AC55" s="1" t="s">
        <v>74</v>
      </c>
      <c r="AD55" s="1" t="s">
        <v>74</v>
      </c>
      <c r="AE55" s="1" t="s">
        <v>74</v>
      </c>
      <c r="AF55" s="1" t="s">
        <v>74</v>
      </c>
      <c r="AG55" s="1" t="s">
        <v>74</v>
      </c>
      <c r="AH55" s="1" t="s">
        <v>74</v>
      </c>
      <c r="AI55" s="1" t="s">
        <v>74</v>
      </c>
      <c r="AJ55" s="1" t="s">
        <v>74</v>
      </c>
      <c r="AK55" s="1" t="s">
        <v>74</v>
      </c>
      <c r="AL55" s="1" t="s">
        <v>74</v>
      </c>
      <c r="AM55" s="1" t="s">
        <v>74</v>
      </c>
      <c r="AN55" s="1" t="s">
        <v>74</v>
      </c>
      <c r="AO55" s="1" t="s">
        <v>6045</v>
      </c>
      <c r="AP55" s="1" t="s">
        <v>74</v>
      </c>
      <c r="AQ55" s="1" t="s">
        <v>74</v>
      </c>
      <c r="AR55" s="1" t="s">
        <v>74</v>
      </c>
      <c r="AS55" s="1" t="s">
        <v>74</v>
      </c>
      <c r="AT55" s="1" t="s">
        <v>175</v>
      </c>
      <c r="AU55" s="1">
        <v>2017</v>
      </c>
      <c r="AV55" s="1">
        <v>327</v>
      </c>
      <c r="AW55" s="1">
        <v>8</v>
      </c>
      <c r="AX55" s="1" t="s">
        <v>74</v>
      </c>
      <c r="AY55" s="1" t="s">
        <v>74</v>
      </c>
      <c r="AZ55" s="1" t="s">
        <v>74</v>
      </c>
      <c r="BA55" s="1" t="s">
        <v>74</v>
      </c>
      <c r="BB55" s="1">
        <v>481</v>
      </c>
      <c r="BC55" s="1">
        <v>492</v>
      </c>
      <c r="BD55" s="1" t="s">
        <v>74</v>
      </c>
      <c r="BE55" s="1" t="s">
        <v>6587</v>
      </c>
      <c r="BF55" s="1" t="str">
        <f>HYPERLINK("http://dx.doi.org/10.1002/jez.2133","http://dx.doi.org/10.1002/jez.2133")</f>
        <v>http://dx.doi.org/10.1002/jez.2133</v>
      </c>
      <c r="BG55" s="1" t="s">
        <v>74</v>
      </c>
      <c r="BH55" s="1" t="s">
        <v>74</v>
      </c>
      <c r="BI55" s="1" t="s">
        <v>74</v>
      </c>
      <c r="BJ55" s="1" t="s">
        <v>74</v>
      </c>
      <c r="BK55" s="1" t="s">
        <v>74</v>
      </c>
      <c r="BL55" s="1" t="s">
        <v>74</v>
      </c>
      <c r="BM55" s="1" t="s">
        <v>74</v>
      </c>
      <c r="BN55" s="1">
        <v>29356435</v>
      </c>
      <c r="BO55" s="1" t="s">
        <v>74</v>
      </c>
      <c r="BP55" s="1" t="s">
        <v>74</v>
      </c>
      <c r="BQ55" s="1" t="s">
        <v>74</v>
      </c>
      <c r="BR55" s="1" t="s">
        <v>74</v>
      </c>
      <c r="BS55" s="1" t="s">
        <v>6588</v>
      </c>
      <c r="BT55" s="1" t="str">
        <f>HYPERLINK("https%3A%2F%2Fwww.webofscience.com%2Fwos%2Fwoscc%2Ffull-record%2FWOS:000422728900001","View Full Record in Web of Science")</f>
        <v>View Full Record in Web of Science</v>
      </c>
    </row>
    <row r="56" spans="1:72" s="2" customFormat="1" x14ac:dyDescent="0.4">
      <c r="A56" s="1" t="s">
        <v>72</v>
      </c>
      <c r="B56" s="1" t="s">
        <v>2420</v>
      </c>
      <c r="C56" s="1" t="s">
        <v>74</v>
      </c>
      <c r="D56" s="1" t="s">
        <v>74</v>
      </c>
      <c r="E56" s="1" t="s">
        <v>74</v>
      </c>
      <c r="F56" s="1" t="s">
        <v>2420</v>
      </c>
      <c r="G56" s="1" t="s">
        <v>74</v>
      </c>
      <c r="H56" s="1" t="s">
        <v>74</v>
      </c>
      <c r="I56" s="1" t="s">
        <v>2421</v>
      </c>
      <c r="J56" s="1" t="s">
        <v>2422</v>
      </c>
      <c r="K56" s="1" t="s">
        <v>74</v>
      </c>
      <c r="L56" s="1" t="s">
        <v>74</v>
      </c>
      <c r="M56" s="1" t="s">
        <v>74</v>
      </c>
      <c r="N56" s="1" t="s">
        <v>74</v>
      </c>
      <c r="O56" s="1" t="s">
        <v>74</v>
      </c>
      <c r="P56" s="1" t="s">
        <v>74</v>
      </c>
      <c r="Q56" s="1" t="s">
        <v>74</v>
      </c>
      <c r="R56" s="1" t="s">
        <v>74</v>
      </c>
      <c r="S56" s="1" t="s">
        <v>74</v>
      </c>
      <c r="T56" s="1" t="s">
        <v>74</v>
      </c>
      <c r="U56" s="1" t="s">
        <v>74</v>
      </c>
      <c r="V56" s="4" t="s">
        <v>2423</v>
      </c>
      <c r="W56" s="1" t="s">
        <v>74</v>
      </c>
      <c r="X56" s="1" t="s">
        <v>74</v>
      </c>
      <c r="Y56" s="1" t="s">
        <v>74</v>
      </c>
      <c r="Z56" s="1" t="s">
        <v>74</v>
      </c>
      <c r="AA56" s="1" t="s">
        <v>2424</v>
      </c>
      <c r="AB56" s="1" t="s">
        <v>2425</v>
      </c>
      <c r="AC56" s="1" t="s">
        <v>74</v>
      </c>
      <c r="AD56" s="1" t="s">
        <v>74</v>
      </c>
      <c r="AE56" s="1" t="s">
        <v>74</v>
      </c>
      <c r="AF56" s="1" t="s">
        <v>74</v>
      </c>
      <c r="AG56" s="1" t="s">
        <v>74</v>
      </c>
      <c r="AH56" s="1" t="s">
        <v>74</v>
      </c>
      <c r="AI56" s="1" t="s">
        <v>74</v>
      </c>
      <c r="AJ56" s="1" t="s">
        <v>74</v>
      </c>
      <c r="AK56" s="1" t="s">
        <v>74</v>
      </c>
      <c r="AL56" s="1" t="s">
        <v>74</v>
      </c>
      <c r="AM56" s="1" t="s">
        <v>74</v>
      </c>
      <c r="AN56" s="1" t="s">
        <v>74</v>
      </c>
      <c r="AO56" s="1" t="s">
        <v>2426</v>
      </c>
      <c r="AP56" s="1" t="s">
        <v>74</v>
      </c>
      <c r="AQ56" s="1" t="s">
        <v>74</v>
      </c>
      <c r="AR56" s="1" t="s">
        <v>74</v>
      </c>
      <c r="AS56" s="1" t="s">
        <v>74</v>
      </c>
      <c r="AT56" s="1" t="s">
        <v>134</v>
      </c>
      <c r="AU56" s="1">
        <v>2006</v>
      </c>
      <c r="AV56" s="1">
        <v>31</v>
      </c>
      <c r="AW56" s="1">
        <v>4</v>
      </c>
      <c r="AX56" s="1" t="s">
        <v>74</v>
      </c>
      <c r="AY56" s="1" t="s">
        <v>74</v>
      </c>
      <c r="AZ56" s="1" t="s">
        <v>74</v>
      </c>
      <c r="BA56" s="1" t="s">
        <v>74</v>
      </c>
      <c r="BB56" s="1">
        <v>362</v>
      </c>
      <c r="BC56" s="1">
        <v>369</v>
      </c>
      <c r="BD56" s="1" t="s">
        <v>74</v>
      </c>
      <c r="BE56" s="1" t="s">
        <v>2427</v>
      </c>
      <c r="BF56" s="1" t="str">
        <f>HYPERLINK("http://dx.doi.org/10.1016/j.jtherbio.2006.01.008","http://dx.doi.org/10.1016/j.jtherbio.2006.01.008")</f>
        <v>http://dx.doi.org/10.1016/j.jtherbio.2006.01.008</v>
      </c>
      <c r="BG56" s="1" t="s">
        <v>74</v>
      </c>
      <c r="BH56" s="1" t="s">
        <v>74</v>
      </c>
      <c r="BI56" s="1" t="s">
        <v>74</v>
      </c>
      <c r="BJ56" s="1" t="s">
        <v>74</v>
      </c>
      <c r="BK56" s="1" t="s">
        <v>74</v>
      </c>
      <c r="BL56" s="1" t="s">
        <v>74</v>
      </c>
      <c r="BM56" s="1" t="s">
        <v>74</v>
      </c>
      <c r="BN56" s="1" t="s">
        <v>74</v>
      </c>
      <c r="BO56" s="1" t="s">
        <v>74</v>
      </c>
      <c r="BP56" s="1" t="s">
        <v>74</v>
      </c>
      <c r="BQ56" s="1" t="s">
        <v>74</v>
      </c>
      <c r="BR56" s="1" t="s">
        <v>74</v>
      </c>
      <c r="BS56" s="1" t="s">
        <v>2428</v>
      </c>
      <c r="BT56" s="1" t="str">
        <f>HYPERLINK("https%3A%2F%2Fwww.webofscience.com%2Fwos%2Fwoscc%2Ffull-record%2FWOS:000237171000013","View Full Record in Web of Science")</f>
        <v>View Full Record in Web of Science</v>
      </c>
    </row>
    <row r="57" spans="1:72" s="2" customFormat="1" x14ac:dyDescent="0.4">
      <c r="A57" s="1" t="s">
        <v>72</v>
      </c>
      <c r="B57" s="1" t="s">
        <v>349</v>
      </c>
      <c r="C57" s="1" t="s">
        <v>74</v>
      </c>
      <c r="D57" s="1" t="s">
        <v>74</v>
      </c>
      <c r="E57" s="1" t="s">
        <v>74</v>
      </c>
      <c r="F57" s="1" t="s">
        <v>349</v>
      </c>
      <c r="G57" s="1" t="s">
        <v>74</v>
      </c>
      <c r="H57" s="1" t="s">
        <v>74</v>
      </c>
      <c r="I57" s="1" t="s">
        <v>350</v>
      </c>
      <c r="J57" s="1" t="s">
        <v>201</v>
      </c>
      <c r="K57" s="1" t="s">
        <v>74</v>
      </c>
      <c r="L57" s="1" t="s">
        <v>74</v>
      </c>
      <c r="M57" s="1" t="s">
        <v>74</v>
      </c>
      <c r="N57" s="1" t="s">
        <v>74</v>
      </c>
      <c r="O57" s="1" t="s">
        <v>74</v>
      </c>
      <c r="P57" s="1" t="s">
        <v>74</v>
      </c>
      <c r="Q57" s="1" t="s">
        <v>74</v>
      </c>
      <c r="R57" s="1" t="s">
        <v>74</v>
      </c>
      <c r="S57" s="1" t="s">
        <v>74</v>
      </c>
      <c r="T57" s="1" t="s">
        <v>74</v>
      </c>
      <c r="U57" s="1" t="s">
        <v>74</v>
      </c>
      <c r="V57" s="4" t="s">
        <v>351</v>
      </c>
      <c r="W57" s="1" t="s">
        <v>74</v>
      </c>
      <c r="X57" s="1" t="s">
        <v>74</v>
      </c>
      <c r="Y57" s="1" t="s">
        <v>74</v>
      </c>
      <c r="Z57" s="1" t="s">
        <v>74</v>
      </c>
      <c r="AA57" s="1" t="s">
        <v>74</v>
      </c>
      <c r="AB57" s="1" t="s">
        <v>74</v>
      </c>
      <c r="AC57" s="1" t="s">
        <v>74</v>
      </c>
      <c r="AD57" s="1" t="s">
        <v>74</v>
      </c>
      <c r="AE57" s="1" t="s">
        <v>74</v>
      </c>
      <c r="AF57" s="1" t="s">
        <v>74</v>
      </c>
      <c r="AG57" s="1" t="s">
        <v>74</v>
      </c>
      <c r="AH57" s="1" t="s">
        <v>74</v>
      </c>
      <c r="AI57" s="1" t="s">
        <v>74</v>
      </c>
      <c r="AJ57" s="1" t="s">
        <v>74</v>
      </c>
      <c r="AK57" s="1" t="s">
        <v>74</v>
      </c>
      <c r="AL57" s="1" t="s">
        <v>74</v>
      </c>
      <c r="AM57" s="1" t="s">
        <v>74</v>
      </c>
      <c r="AN57" s="1" t="s">
        <v>74</v>
      </c>
      <c r="AO57" s="1" t="s">
        <v>203</v>
      </c>
      <c r="AP57" s="1" t="s">
        <v>74</v>
      </c>
      <c r="AQ57" s="1" t="s">
        <v>74</v>
      </c>
      <c r="AR57" s="1" t="s">
        <v>74</v>
      </c>
      <c r="AS57" s="1" t="s">
        <v>74</v>
      </c>
      <c r="AT57" s="1" t="s">
        <v>352</v>
      </c>
      <c r="AU57" s="1">
        <v>2002</v>
      </c>
      <c r="AV57" s="1">
        <v>61</v>
      </c>
      <c r="AW57" s="1">
        <v>3</v>
      </c>
      <c r="AX57" s="1" t="s">
        <v>74</v>
      </c>
      <c r="AY57" s="1" t="s">
        <v>74</v>
      </c>
      <c r="AZ57" s="1" t="s">
        <v>74</v>
      </c>
      <c r="BA57" s="1" t="s">
        <v>74</v>
      </c>
      <c r="BB57" s="1">
        <v>606</v>
      </c>
      <c r="BC57" s="1">
        <v>614</v>
      </c>
      <c r="BD57" s="1" t="s">
        <v>74</v>
      </c>
      <c r="BE57" s="1" t="s">
        <v>353</v>
      </c>
      <c r="BF57" s="1" t="str">
        <f>HYPERLINK("http://dx.doi.org/10.1006/jfbi.2002.2084","http://dx.doi.org/10.1006/jfbi.2002.2084")</f>
        <v>http://dx.doi.org/10.1006/jfbi.2002.2084</v>
      </c>
      <c r="BG57" s="1" t="s">
        <v>74</v>
      </c>
      <c r="BH57" s="1" t="s">
        <v>74</v>
      </c>
      <c r="BI57" s="1" t="s">
        <v>74</v>
      </c>
      <c r="BJ57" s="1" t="s">
        <v>74</v>
      </c>
      <c r="BK57" s="1" t="s">
        <v>74</v>
      </c>
      <c r="BL57" s="1" t="s">
        <v>74</v>
      </c>
      <c r="BM57" s="1" t="s">
        <v>74</v>
      </c>
      <c r="BN57" s="1" t="s">
        <v>74</v>
      </c>
      <c r="BO57" s="1" t="s">
        <v>74</v>
      </c>
      <c r="BP57" s="1" t="s">
        <v>74</v>
      </c>
      <c r="BQ57" s="1" t="s">
        <v>74</v>
      </c>
      <c r="BR57" s="1" t="s">
        <v>74</v>
      </c>
      <c r="BS57" s="1" t="s">
        <v>354</v>
      </c>
      <c r="BT57" s="1" t="str">
        <f>HYPERLINK("https%3A%2F%2Fwww.webofscience.com%2Fwos%2Fwoscc%2Ffull-record%2FWOS:000179168400007","View Full Record in Web of Science")</f>
        <v>View Full Record in Web of Science</v>
      </c>
    </row>
    <row r="58" spans="1:72" s="1" customFormat="1" x14ac:dyDescent="0.4">
      <c r="A58" s="1" t="s">
        <v>72</v>
      </c>
      <c r="B58" s="1" t="s">
        <v>3275</v>
      </c>
      <c r="C58" s="1" t="s">
        <v>74</v>
      </c>
      <c r="D58" s="1" t="s">
        <v>74</v>
      </c>
      <c r="E58" s="1" t="s">
        <v>74</v>
      </c>
      <c r="F58" s="1" t="s">
        <v>3276</v>
      </c>
      <c r="G58" s="1" t="s">
        <v>74</v>
      </c>
      <c r="H58" s="1" t="s">
        <v>74</v>
      </c>
      <c r="I58" s="1" t="s">
        <v>3277</v>
      </c>
      <c r="J58" s="1" t="s">
        <v>610</v>
      </c>
      <c r="K58" s="1" t="s">
        <v>74</v>
      </c>
      <c r="L58" s="1" t="s">
        <v>74</v>
      </c>
      <c r="M58" s="1" t="s">
        <v>74</v>
      </c>
      <c r="N58" s="1" t="s">
        <v>74</v>
      </c>
      <c r="O58" s="1" t="s">
        <v>74</v>
      </c>
      <c r="P58" s="1" t="s">
        <v>74</v>
      </c>
      <c r="Q58" s="1" t="s">
        <v>74</v>
      </c>
      <c r="R58" s="1" t="s">
        <v>74</v>
      </c>
      <c r="S58" s="1" t="s">
        <v>74</v>
      </c>
      <c r="T58" s="1" t="s">
        <v>74</v>
      </c>
      <c r="U58" s="1" t="s">
        <v>74</v>
      </c>
      <c r="V58" s="4" t="s">
        <v>3278</v>
      </c>
      <c r="W58" s="1" t="s">
        <v>74</v>
      </c>
      <c r="X58" s="1" t="s">
        <v>74</v>
      </c>
      <c r="Y58" s="1" t="s">
        <v>74</v>
      </c>
      <c r="Z58" s="1" t="s">
        <v>74</v>
      </c>
      <c r="AA58" s="1" t="s">
        <v>74</v>
      </c>
      <c r="AB58" s="1" t="s">
        <v>3279</v>
      </c>
      <c r="AC58" s="1" t="s">
        <v>74</v>
      </c>
      <c r="AD58" s="1" t="s">
        <v>74</v>
      </c>
      <c r="AE58" s="1" t="s">
        <v>74</v>
      </c>
      <c r="AF58" s="1" t="s">
        <v>74</v>
      </c>
      <c r="AG58" s="1" t="s">
        <v>74</v>
      </c>
      <c r="AH58" s="1" t="s">
        <v>74</v>
      </c>
      <c r="AI58" s="1" t="s">
        <v>74</v>
      </c>
      <c r="AJ58" s="1" t="s">
        <v>74</v>
      </c>
      <c r="AK58" s="1" t="s">
        <v>74</v>
      </c>
      <c r="AL58" s="1" t="s">
        <v>74</v>
      </c>
      <c r="AM58" s="1" t="s">
        <v>74</v>
      </c>
      <c r="AN58" s="1" t="s">
        <v>74</v>
      </c>
      <c r="AO58" s="1" t="s">
        <v>614</v>
      </c>
      <c r="AP58" s="1" t="s">
        <v>615</v>
      </c>
      <c r="AQ58" s="1" t="s">
        <v>74</v>
      </c>
      <c r="AR58" s="1" t="s">
        <v>74</v>
      </c>
      <c r="AS58" s="1" t="s">
        <v>74</v>
      </c>
      <c r="AT58" s="1" t="s">
        <v>213</v>
      </c>
      <c r="AU58" s="1">
        <v>2016</v>
      </c>
      <c r="AV58" s="1">
        <v>122</v>
      </c>
      <c r="AW58" s="1">
        <v>11</v>
      </c>
      <c r="AX58" s="1" t="s">
        <v>74</v>
      </c>
      <c r="AY58" s="1" t="s">
        <v>74</v>
      </c>
      <c r="AZ58" s="1" t="s">
        <v>74</v>
      </c>
      <c r="BA58" s="1" t="s">
        <v>74</v>
      </c>
      <c r="BB58" s="1">
        <v>892</v>
      </c>
      <c r="BC58" s="1">
        <v>901</v>
      </c>
      <c r="BD58" s="1" t="s">
        <v>74</v>
      </c>
      <c r="BE58" s="1" t="s">
        <v>3280</v>
      </c>
      <c r="BF58" s="1" t="str">
        <f>HYPERLINK("http://dx.doi.org/10.1111/eth.12534","http://dx.doi.org/10.1111/eth.12534")</f>
        <v>http://dx.doi.org/10.1111/eth.12534</v>
      </c>
      <c r="BG58" s="1" t="s">
        <v>74</v>
      </c>
      <c r="BH58" s="1" t="s">
        <v>74</v>
      </c>
      <c r="BI58" s="1" t="s">
        <v>74</v>
      </c>
      <c r="BJ58" s="1" t="s">
        <v>74</v>
      </c>
      <c r="BK58" s="1" t="s">
        <v>74</v>
      </c>
      <c r="BL58" s="1" t="s">
        <v>74</v>
      </c>
      <c r="BM58" s="1" t="s">
        <v>74</v>
      </c>
      <c r="BN58" s="1" t="s">
        <v>74</v>
      </c>
      <c r="BO58" s="1" t="s">
        <v>74</v>
      </c>
      <c r="BP58" s="1" t="s">
        <v>74</v>
      </c>
      <c r="BQ58" s="1" t="s">
        <v>74</v>
      </c>
      <c r="BR58" s="1" t="s">
        <v>74</v>
      </c>
      <c r="BS58" s="1" t="s">
        <v>3281</v>
      </c>
      <c r="BT58" s="1" t="str">
        <f>HYPERLINK("https%3A%2F%2Fwww.webofscience.com%2Fwos%2Fwoscc%2Ffull-record%2FWOS:000385572700005","View Full Record in Web of Science")</f>
        <v>View Full Record in Web of Science</v>
      </c>
    </row>
    <row r="59" spans="1:72" s="7" customFormat="1" x14ac:dyDescent="0.4">
      <c r="A59" s="1" t="s">
        <v>72</v>
      </c>
      <c r="B59" s="1" t="s">
        <v>991</v>
      </c>
      <c r="C59" s="1" t="s">
        <v>74</v>
      </c>
      <c r="D59" s="1" t="s">
        <v>74</v>
      </c>
      <c r="E59" s="1" t="s">
        <v>74</v>
      </c>
      <c r="F59" s="1" t="s">
        <v>992</v>
      </c>
      <c r="G59" s="1" t="s">
        <v>74</v>
      </c>
      <c r="H59" s="1" t="s">
        <v>74</v>
      </c>
      <c r="I59" s="1" t="s">
        <v>993</v>
      </c>
      <c r="J59" s="1" t="s">
        <v>775</v>
      </c>
      <c r="K59" s="1" t="s">
        <v>74</v>
      </c>
      <c r="L59" s="1" t="s">
        <v>74</v>
      </c>
      <c r="M59" s="1" t="s">
        <v>74</v>
      </c>
      <c r="N59" s="1" t="s">
        <v>74</v>
      </c>
      <c r="O59" s="1" t="s">
        <v>74</v>
      </c>
      <c r="P59" s="1" t="s">
        <v>74</v>
      </c>
      <c r="Q59" s="1" t="s">
        <v>74</v>
      </c>
      <c r="R59" s="1" t="s">
        <v>74</v>
      </c>
      <c r="S59" s="1" t="s">
        <v>74</v>
      </c>
      <c r="T59" s="1" t="s">
        <v>74</v>
      </c>
      <c r="U59" s="1" t="s">
        <v>74</v>
      </c>
      <c r="V59" s="4" t="s">
        <v>994</v>
      </c>
      <c r="W59" s="1" t="s">
        <v>74</v>
      </c>
      <c r="X59" s="1" t="s">
        <v>74</v>
      </c>
      <c r="Y59" s="1" t="s">
        <v>74</v>
      </c>
      <c r="Z59" s="1" t="s">
        <v>74</v>
      </c>
      <c r="AA59" s="1" t="s">
        <v>995</v>
      </c>
      <c r="AB59" s="1" t="s">
        <v>996</v>
      </c>
      <c r="AC59" s="1" t="s">
        <v>74</v>
      </c>
      <c r="AD59" s="1" t="s">
        <v>74</v>
      </c>
      <c r="AE59" s="1" t="s">
        <v>74</v>
      </c>
      <c r="AF59" s="1" t="s">
        <v>74</v>
      </c>
      <c r="AG59" s="1" t="s">
        <v>74</v>
      </c>
      <c r="AH59" s="1" t="s">
        <v>74</v>
      </c>
      <c r="AI59" s="1" t="s">
        <v>74</v>
      </c>
      <c r="AJ59" s="1" t="s">
        <v>74</v>
      </c>
      <c r="AK59" s="1" t="s">
        <v>74</v>
      </c>
      <c r="AL59" s="1" t="s">
        <v>74</v>
      </c>
      <c r="AM59" s="1" t="s">
        <v>74</v>
      </c>
      <c r="AN59" s="1" t="s">
        <v>74</v>
      </c>
      <c r="AO59" s="1" t="s">
        <v>778</v>
      </c>
      <c r="AP59" s="1" t="s">
        <v>779</v>
      </c>
      <c r="AQ59" s="1" t="s">
        <v>74</v>
      </c>
      <c r="AR59" s="1" t="s">
        <v>74</v>
      </c>
      <c r="AS59" s="1" t="s">
        <v>74</v>
      </c>
      <c r="AT59" s="1" t="s">
        <v>964</v>
      </c>
      <c r="AU59" s="1">
        <v>2018</v>
      </c>
      <c r="AV59" s="1">
        <v>64</v>
      </c>
      <c r="AW59" s="1">
        <v>1</v>
      </c>
      <c r="AX59" s="1" t="s">
        <v>74</v>
      </c>
      <c r="AY59" s="1" t="s">
        <v>74</v>
      </c>
      <c r="AZ59" s="1" t="s">
        <v>74</v>
      </c>
      <c r="BA59" s="1" t="s">
        <v>74</v>
      </c>
      <c r="BB59" s="1">
        <v>115</v>
      </c>
      <c r="BC59" s="1">
        <v>123</v>
      </c>
      <c r="BD59" s="1" t="s">
        <v>74</v>
      </c>
      <c r="BE59" s="1" t="s">
        <v>997</v>
      </c>
      <c r="BF59" s="1" t="str">
        <f>HYPERLINK("http://dx.doi.org/10.1093/cz/zox070","http://dx.doi.org/10.1093/cz/zox070")</f>
        <v>http://dx.doi.org/10.1093/cz/zox070</v>
      </c>
      <c r="BG59" s="1" t="s">
        <v>74</v>
      </c>
      <c r="BH59" s="1" t="s">
        <v>74</v>
      </c>
      <c r="BI59" s="1" t="s">
        <v>74</v>
      </c>
      <c r="BJ59" s="1" t="s">
        <v>74</v>
      </c>
      <c r="BK59" s="1" t="s">
        <v>74</v>
      </c>
      <c r="BL59" s="1" t="s">
        <v>74</v>
      </c>
      <c r="BM59" s="1" t="s">
        <v>74</v>
      </c>
      <c r="BN59" s="1">
        <v>29492044</v>
      </c>
      <c r="BO59" s="1" t="s">
        <v>74</v>
      </c>
      <c r="BP59" s="1" t="s">
        <v>74</v>
      </c>
      <c r="BQ59" s="1" t="s">
        <v>74</v>
      </c>
      <c r="BR59" s="1" t="s">
        <v>74</v>
      </c>
      <c r="BS59" s="1" t="s">
        <v>998</v>
      </c>
      <c r="BT59" s="1" t="str">
        <f>HYPERLINK("https%3A%2F%2Fwww.webofscience.com%2Fwos%2Fwoscc%2Ffull-record%2FWOS:000425719000012","View Full Record in Web of Science")</f>
        <v>View Full Record in Web of Science</v>
      </c>
    </row>
    <row r="60" spans="1:72" s="2" customFormat="1" x14ac:dyDescent="0.4">
      <c r="A60" s="1" t="s">
        <v>72</v>
      </c>
      <c r="B60" s="1" t="s">
        <v>4578</v>
      </c>
      <c r="C60" s="1" t="s">
        <v>74</v>
      </c>
      <c r="D60" s="1" t="s">
        <v>74</v>
      </c>
      <c r="E60" s="1" t="s">
        <v>74</v>
      </c>
      <c r="F60" s="1" t="s">
        <v>4579</v>
      </c>
      <c r="G60" s="1" t="s">
        <v>74</v>
      </c>
      <c r="H60" s="1" t="s">
        <v>74</v>
      </c>
      <c r="I60" s="1" t="s">
        <v>4580</v>
      </c>
      <c r="J60" s="1" t="s">
        <v>333</v>
      </c>
      <c r="K60" s="1" t="s">
        <v>74</v>
      </c>
      <c r="L60" s="1" t="s">
        <v>74</v>
      </c>
      <c r="M60" s="1" t="s">
        <v>74</v>
      </c>
      <c r="N60" s="1" t="s">
        <v>74</v>
      </c>
      <c r="O60" s="1" t="s">
        <v>74</v>
      </c>
      <c r="P60" s="1" t="s">
        <v>74</v>
      </c>
      <c r="Q60" s="1" t="s">
        <v>74</v>
      </c>
      <c r="R60" s="1" t="s">
        <v>74</v>
      </c>
      <c r="S60" s="1" t="s">
        <v>74</v>
      </c>
      <c r="T60" s="1" t="s">
        <v>74</v>
      </c>
      <c r="U60" s="1" t="s">
        <v>74</v>
      </c>
      <c r="V60" s="4" t="s">
        <v>4581</v>
      </c>
      <c r="W60" s="1" t="s">
        <v>74</v>
      </c>
      <c r="X60" s="1" t="s">
        <v>74</v>
      </c>
      <c r="Y60" s="1" t="s">
        <v>74</v>
      </c>
      <c r="Z60" s="1" t="s">
        <v>74</v>
      </c>
      <c r="AA60" s="1" t="s">
        <v>995</v>
      </c>
      <c r="AB60" s="1" t="s">
        <v>4582</v>
      </c>
      <c r="AC60" s="1" t="s">
        <v>74</v>
      </c>
      <c r="AD60" s="1" t="s">
        <v>74</v>
      </c>
      <c r="AE60" s="1" t="s">
        <v>74</v>
      </c>
      <c r="AF60" s="1" t="s">
        <v>74</v>
      </c>
      <c r="AG60" s="1" t="s">
        <v>74</v>
      </c>
      <c r="AH60" s="1" t="s">
        <v>74</v>
      </c>
      <c r="AI60" s="1" t="s">
        <v>74</v>
      </c>
      <c r="AJ60" s="1" t="s">
        <v>74</v>
      </c>
      <c r="AK60" s="1" t="s">
        <v>74</v>
      </c>
      <c r="AL60" s="1" t="s">
        <v>74</v>
      </c>
      <c r="AM60" s="1" t="s">
        <v>74</v>
      </c>
      <c r="AN60" s="1" t="s">
        <v>74</v>
      </c>
      <c r="AO60" s="1" t="s">
        <v>337</v>
      </c>
      <c r="AP60" s="1" t="s">
        <v>338</v>
      </c>
      <c r="AQ60" s="1" t="s">
        <v>74</v>
      </c>
      <c r="AR60" s="1" t="s">
        <v>74</v>
      </c>
      <c r="AS60" s="1" t="s">
        <v>74</v>
      </c>
      <c r="AT60" s="1" t="s">
        <v>1038</v>
      </c>
      <c r="AU60" s="1">
        <v>2015</v>
      </c>
      <c r="AV60" s="1">
        <v>26</v>
      </c>
      <c r="AW60" s="1">
        <v>2</v>
      </c>
      <c r="AX60" s="1" t="s">
        <v>74</v>
      </c>
      <c r="AY60" s="1" t="s">
        <v>74</v>
      </c>
      <c r="AZ60" s="1" t="s">
        <v>74</v>
      </c>
      <c r="BA60" s="1" t="s">
        <v>74</v>
      </c>
      <c r="BB60" s="1">
        <v>609</v>
      </c>
      <c r="BC60" s="1">
        <v>616</v>
      </c>
      <c r="BD60" s="1" t="s">
        <v>74</v>
      </c>
      <c r="BE60" s="1" t="s">
        <v>4583</v>
      </c>
      <c r="BF60" s="1" t="str">
        <f>HYPERLINK("http://dx.doi.org/10.1093/beheco/aru242","http://dx.doi.org/10.1093/beheco/aru242")</f>
        <v>http://dx.doi.org/10.1093/beheco/aru242</v>
      </c>
      <c r="BG60" s="1" t="s">
        <v>74</v>
      </c>
      <c r="BH60" s="1" t="s">
        <v>74</v>
      </c>
      <c r="BI60" s="1" t="s">
        <v>74</v>
      </c>
      <c r="BJ60" s="1" t="s">
        <v>74</v>
      </c>
      <c r="BK60" s="1" t="s">
        <v>74</v>
      </c>
      <c r="BL60" s="1" t="s">
        <v>74</v>
      </c>
      <c r="BM60" s="1" t="s">
        <v>74</v>
      </c>
      <c r="BN60" s="1" t="s">
        <v>74</v>
      </c>
      <c r="BO60" s="1" t="s">
        <v>74</v>
      </c>
      <c r="BP60" s="1" t="s">
        <v>74</v>
      </c>
      <c r="BQ60" s="1" t="s">
        <v>74</v>
      </c>
      <c r="BR60" s="1" t="s">
        <v>74</v>
      </c>
      <c r="BS60" s="1" t="s">
        <v>4584</v>
      </c>
      <c r="BT60" s="1" t="str">
        <f>HYPERLINK("https%3A%2F%2Fwww.webofscience.com%2Fwos%2Fwoscc%2Ffull-record%2FWOS:000352271800043","View Full Record in Web of Science")</f>
        <v>View Full Record in Web of Science</v>
      </c>
    </row>
    <row r="61" spans="1:72" s="7" customFormat="1" x14ac:dyDescent="0.4">
      <c r="A61" s="1" t="s">
        <v>72</v>
      </c>
      <c r="B61" s="1" t="s">
        <v>714</v>
      </c>
      <c r="C61" s="1" t="s">
        <v>74</v>
      </c>
      <c r="D61" s="1" t="s">
        <v>74</v>
      </c>
      <c r="E61" s="1" t="s">
        <v>74</v>
      </c>
      <c r="F61" s="1" t="s">
        <v>715</v>
      </c>
      <c r="G61" s="1" t="s">
        <v>74</v>
      </c>
      <c r="H61" s="1" t="s">
        <v>74</v>
      </c>
      <c r="I61" s="1" t="s">
        <v>716</v>
      </c>
      <c r="J61" s="1" t="s">
        <v>456</v>
      </c>
      <c r="K61" s="1" t="s">
        <v>74</v>
      </c>
      <c r="L61" s="1" t="s">
        <v>74</v>
      </c>
      <c r="M61" s="1" t="s">
        <v>74</v>
      </c>
      <c r="N61" s="1" t="s">
        <v>74</v>
      </c>
      <c r="O61" s="1" t="s">
        <v>74</v>
      </c>
      <c r="P61" s="1" t="s">
        <v>74</v>
      </c>
      <c r="Q61" s="1" t="s">
        <v>74</v>
      </c>
      <c r="R61" s="1" t="s">
        <v>74</v>
      </c>
      <c r="S61" s="1" t="s">
        <v>74</v>
      </c>
      <c r="T61" s="1" t="s">
        <v>74</v>
      </c>
      <c r="U61" s="1" t="s">
        <v>74</v>
      </c>
      <c r="V61" s="4" t="s">
        <v>717</v>
      </c>
      <c r="W61" s="1" t="s">
        <v>74</v>
      </c>
      <c r="X61" s="1" t="s">
        <v>74</v>
      </c>
      <c r="Y61" s="1" t="s">
        <v>74</v>
      </c>
      <c r="Z61" s="1" t="s">
        <v>74</v>
      </c>
      <c r="AA61" s="1" t="s">
        <v>718</v>
      </c>
      <c r="AB61" s="1" t="s">
        <v>719</v>
      </c>
      <c r="AC61" s="1" t="s">
        <v>74</v>
      </c>
      <c r="AD61" s="1" t="s">
        <v>74</v>
      </c>
      <c r="AE61" s="1" t="s">
        <v>74</v>
      </c>
      <c r="AF61" s="1" t="s">
        <v>74</v>
      </c>
      <c r="AG61" s="1" t="s">
        <v>74</v>
      </c>
      <c r="AH61" s="1" t="s">
        <v>74</v>
      </c>
      <c r="AI61" s="1" t="s">
        <v>74</v>
      </c>
      <c r="AJ61" s="1" t="s">
        <v>74</v>
      </c>
      <c r="AK61" s="1" t="s">
        <v>74</v>
      </c>
      <c r="AL61" s="1" t="s">
        <v>74</v>
      </c>
      <c r="AM61" s="1" t="s">
        <v>74</v>
      </c>
      <c r="AN61" s="1" t="s">
        <v>74</v>
      </c>
      <c r="AO61" s="1" t="s">
        <v>460</v>
      </c>
      <c r="AP61" s="1" t="s">
        <v>461</v>
      </c>
      <c r="AQ61" s="1" t="s">
        <v>74</v>
      </c>
      <c r="AR61" s="1" t="s">
        <v>74</v>
      </c>
      <c r="AS61" s="1" t="s">
        <v>74</v>
      </c>
      <c r="AT61" s="1" t="s">
        <v>633</v>
      </c>
      <c r="AU61" s="1">
        <v>2018</v>
      </c>
      <c r="AV61" s="1">
        <v>304</v>
      </c>
      <c r="AW61" s="1">
        <v>4</v>
      </c>
      <c r="AX61" s="1" t="s">
        <v>74</v>
      </c>
      <c r="AY61" s="1" t="s">
        <v>74</v>
      </c>
      <c r="AZ61" s="1" t="s">
        <v>74</v>
      </c>
      <c r="BA61" s="1" t="s">
        <v>74</v>
      </c>
      <c r="BB61" s="1">
        <v>260</v>
      </c>
      <c r="BC61" s="1">
        <v>267</v>
      </c>
      <c r="BD61" s="1" t="s">
        <v>74</v>
      </c>
      <c r="BE61" s="1" t="s">
        <v>720</v>
      </c>
      <c r="BF61" s="1" t="str">
        <f>HYPERLINK("http://dx.doi.org/10.1111/jzo.12524","http://dx.doi.org/10.1111/jzo.12524")</f>
        <v>http://dx.doi.org/10.1111/jzo.12524</v>
      </c>
      <c r="BG61" s="1" t="s">
        <v>74</v>
      </c>
      <c r="BH61" s="1" t="s">
        <v>74</v>
      </c>
      <c r="BI61" s="1" t="s">
        <v>74</v>
      </c>
      <c r="BJ61" s="1" t="s">
        <v>74</v>
      </c>
      <c r="BK61" s="1" t="s">
        <v>74</v>
      </c>
      <c r="BL61" s="1" t="s">
        <v>74</v>
      </c>
      <c r="BM61" s="1" t="s">
        <v>74</v>
      </c>
      <c r="BN61" s="1" t="s">
        <v>74</v>
      </c>
      <c r="BO61" s="1" t="s">
        <v>74</v>
      </c>
      <c r="BP61" s="1" t="s">
        <v>74</v>
      </c>
      <c r="BQ61" s="1" t="s">
        <v>74</v>
      </c>
      <c r="BR61" s="1" t="s">
        <v>74</v>
      </c>
      <c r="BS61" s="1" t="s">
        <v>721</v>
      </c>
      <c r="BT61" s="1" t="str">
        <f>HYPERLINK("https%3A%2F%2Fwww.webofscience.com%2Fwos%2Fwoscc%2Ffull-record%2FWOS:000429420900005","View Full Record in Web of Science")</f>
        <v>View Full Record in Web of Science</v>
      </c>
    </row>
    <row r="62" spans="1:72" s="2" customFormat="1" x14ac:dyDescent="0.4">
      <c r="A62" s="1" t="s">
        <v>72</v>
      </c>
      <c r="B62" s="1" t="s">
        <v>2084</v>
      </c>
      <c r="C62" s="1" t="s">
        <v>74</v>
      </c>
      <c r="D62" s="1" t="s">
        <v>74</v>
      </c>
      <c r="E62" s="1" t="s">
        <v>74</v>
      </c>
      <c r="F62" s="1" t="s">
        <v>2085</v>
      </c>
      <c r="G62" s="1" t="s">
        <v>74</v>
      </c>
      <c r="H62" s="1" t="s">
        <v>74</v>
      </c>
      <c r="I62" s="1" t="s">
        <v>2086</v>
      </c>
      <c r="J62" s="1" t="s">
        <v>2087</v>
      </c>
      <c r="K62" s="1" t="s">
        <v>74</v>
      </c>
      <c r="L62" s="1" t="s">
        <v>74</v>
      </c>
      <c r="M62" s="1" t="s">
        <v>74</v>
      </c>
      <c r="N62" s="1" t="s">
        <v>74</v>
      </c>
      <c r="O62" s="1" t="s">
        <v>74</v>
      </c>
      <c r="P62" s="1" t="s">
        <v>74</v>
      </c>
      <c r="Q62" s="1" t="s">
        <v>74</v>
      </c>
      <c r="R62" s="1" t="s">
        <v>74</v>
      </c>
      <c r="S62" s="1" t="s">
        <v>74</v>
      </c>
      <c r="T62" s="1" t="s">
        <v>74</v>
      </c>
      <c r="U62" s="1" t="s">
        <v>74</v>
      </c>
      <c r="V62" s="4" t="s">
        <v>2088</v>
      </c>
      <c r="W62" s="1" t="s">
        <v>74</v>
      </c>
      <c r="X62" s="1" t="s">
        <v>74</v>
      </c>
      <c r="Y62" s="1" t="s">
        <v>74</v>
      </c>
      <c r="Z62" s="1" t="s">
        <v>74</v>
      </c>
      <c r="AA62" s="1" t="s">
        <v>74</v>
      </c>
      <c r="AB62" s="1" t="s">
        <v>74</v>
      </c>
      <c r="AC62" s="1" t="s">
        <v>74</v>
      </c>
      <c r="AD62" s="1" t="s">
        <v>74</v>
      </c>
      <c r="AE62" s="1" t="s">
        <v>74</v>
      </c>
      <c r="AF62" s="1" t="s">
        <v>74</v>
      </c>
      <c r="AG62" s="1" t="s">
        <v>74</v>
      </c>
      <c r="AH62" s="1" t="s">
        <v>74</v>
      </c>
      <c r="AI62" s="1" t="s">
        <v>74</v>
      </c>
      <c r="AJ62" s="1" t="s">
        <v>74</v>
      </c>
      <c r="AK62" s="1" t="s">
        <v>74</v>
      </c>
      <c r="AL62" s="1" t="s">
        <v>74</v>
      </c>
      <c r="AM62" s="1" t="s">
        <v>74</v>
      </c>
      <c r="AN62" s="1" t="s">
        <v>74</v>
      </c>
      <c r="AO62" s="1" t="s">
        <v>2089</v>
      </c>
      <c r="AP62" s="1" t="s">
        <v>74</v>
      </c>
      <c r="AQ62" s="1" t="s">
        <v>74</v>
      </c>
      <c r="AR62" s="1" t="s">
        <v>74</v>
      </c>
      <c r="AS62" s="1" t="s">
        <v>74</v>
      </c>
      <c r="AT62" s="1" t="s">
        <v>74</v>
      </c>
      <c r="AU62" s="1">
        <v>2008</v>
      </c>
      <c r="AV62" s="1">
        <v>15</v>
      </c>
      <c r="AW62" s="1">
        <v>3</v>
      </c>
      <c r="AX62" s="1" t="s">
        <v>74</v>
      </c>
      <c r="AY62" s="1" t="s">
        <v>74</v>
      </c>
      <c r="AZ62" s="1" t="s">
        <v>74</v>
      </c>
      <c r="BA62" s="1" t="s">
        <v>74</v>
      </c>
      <c r="BB62" s="1">
        <v>320</v>
      </c>
      <c r="BC62" s="1">
        <v>326</v>
      </c>
      <c r="BD62" s="1" t="s">
        <v>74</v>
      </c>
      <c r="BE62" s="1" t="s">
        <v>2090</v>
      </c>
      <c r="BF62" s="1" t="str">
        <f>HYPERLINK("http://dx.doi.org/10.2980/15-3-3135","http://dx.doi.org/10.2980/15-3-3135")</f>
        <v>http://dx.doi.org/10.2980/15-3-3135</v>
      </c>
      <c r="BG62" s="1" t="s">
        <v>74</v>
      </c>
      <c r="BH62" s="1" t="s">
        <v>74</v>
      </c>
      <c r="BI62" s="1" t="s">
        <v>74</v>
      </c>
      <c r="BJ62" s="1" t="s">
        <v>74</v>
      </c>
      <c r="BK62" s="1" t="s">
        <v>74</v>
      </c>
      <c r="BL62" s="1" t="s">
        <v>74</v>
      </c>
      <c r="BM62" s="1" t="s">
        <v>74</v>
      </c>
      <c r="BN62" s="1" t="s">
        <v>74</v>
      </c>
      <c r="BO62" s="1" t="s">
        <v>74</v>
      </c>
      <c r="BP62" s="1" t="s">
        <v>74</v>
      </c>
      <c r="BQ62" s="1" t="s">
        <v>74</v>
      </c>
      <c r="BR62" s="1" t="s">
        <v>74</v>
      </c>
      <c r="BS62" s="1" t="s">
        <v>2091</v>
      </c>
      <c r="BT62" s="1" t="str">
        <f>HYPERLINK("https%3A%2F%2Fwww.webofscience.com%2Fwos%2Fwoscc%2Ffull-record%2FWOS:000259841500005","View Full Record in Web of Science")</f>
        <v>View Full Record in Web of Science</v>
      </c>
    </row>
    <row r="63" spans="1:72" s="2" customFormat="1" x14ac:dyDescent="0.4">
      <c r="A63" s="1" t="s">
        <v>72</v>
      </c>
      <c r="B63" s="1" t="s">
        <v>1461</v>
      </c>
      <c r="C63" s="1" t="s">
        <v>74</v>
      </c>
      <c r="D63" s="1" t="s">
        <v>74</v>
      </c>
      <c r="E63" s="1" t="s">
        <v>74</v>
      </c>
      <c r="F63" s="1" t="s">
        <v>1462</v>
      </c>
      <c r="G63" s="1" t="s">
        <v>74</v>
      </c>
      <c r="H63" s="1" t="s">
        <v>74</v>
      </c>
      <c r="I63" s="1" t="s">
        <v>1463</v>
      </c>
      <c r="J63" s="1" t="s">
        <v>140</v>
      </c>
      <c r="K63" s="1" t="s">
        <v>74</v>
      </c>
      <c r="L63" s="1" t="s">
        <v>74</v>
      </c>
      <c r="M63" s="1" t="s">
        <v>74</v>
      </c>
      <c r="N63" s="1" t="s">
        <v>74</v>
      </c>
      <c r="O63" s="1" t="s">
        <v>74</v>
      </c>
      <c r="P63" s="1" t="s">
        <v>74</v>
      </c>
      <c r="Q63" s="1" t="s">
        <v>74</v>
      </c>
      <c r="R63" s="1" t="s">
        <v>74</v>
      </c>
      <c r="S63" s="1" t="s">
        <v>74</v>
      </c>
      <c r="T63" s="1" t="s">
        <v>74</v>
      </c>
      <c r="U63" s="1" t="s">
        <v>74</v>
      </c>
      <c r="V63" s="4" t="s">
        <v>1464</v>
      </c>
      <c r="W63" s="1" t="s">
        <v>74</v>
      </c>
      <c r="X63" s="1" t="s">
        <v>74</v>
      </c>
      <c r="Y63" s="1" t="s">
        <v>74</v>
      </c>
      <c r="Z63" s="1" t="s">
        <v>74</v>
      </c>
      <c r="AA63" s="1" t="s">
        <v>1465</v>
      </c>
      <c r="AB63" s="1" t="s">
        <v>1466</v>
      </c>
      <c r="AC63" s="1" t="s">
        <v>74</v>
      </c>
      <c r="AD63" s="1" t="s">
        <v>74</v>
      </c>
      <c r="AE63" s="1" t="s">
        <v>74</v>
      </c>
      <c r="AF63" s="1" t="s">
        <v>74</v>
      </c>
      <c r="AG63" s="1" t="s">
        <v>74</v>
      </c>
      <c r="AH63" s="1" t="s">
        <v>74</v>
      </c>
      <c r="AI63" s="1" t="s">
        <v>74</v>
      </c>
      <c r="AJ63" s="1" t="s">
        <v>74</v>
      </c>
      <c r="AK63" s="1" t="s">
        <v>74</v>
      </c>
      <c r="AL63" s="1" t="s">
        <v>74</v>
      </c>
      <c r="AM63" s="1" t="s">
        <v>74</v>
      </c>
      <c r="AN63" s="1" t="s">
        <v>74</v>
      </c>
      <c r="AO63" s="1" t="s">
        <v>143</v>
      </c>
      <c r="AP63" s="1" t="s">
        <v>144</v>
      </c>
      <c r="AQ63" s="1" t="s">
        <v>74</v>
      </c>
      <c r="AR63" s="1" t="s">
        <v>74</v>
      </c>
      <c r="AS63" s="1" t="s">
        <v>74</v>
      </c>
      <c r="AT63" s="1" t="s">
        <v>204</v>
      </c>
      <c r="AU63" s="1">
        <v>2012</v>
      </c>
      <c r="AV63" s="1">
        <v>84</v>
      </c>
      <c r="AW63" s="1">
        <v>1</v>
      </c>
      <c r="AX63" s="1" t="s">
        <v>74</v>
      </c>
      <c r="AY63" s="1" t="s">
        <v>74</v>
      </c>
      <c r="AZ63" s="1" t="s">
        <v>74</v>
      </c>
      <c r="BA63" s="1" t="s">
        <v>74</v>
      </c>
      <c r="BB63" s="1">
        <v>159</v>
      </c>
      <c r="BC63" s="1">
        <v>165</v>
      </c>
      <c r="BD63" s="1" t="s">
        <v>74</v>
      </c>
      <c r="BE63" s="1" t="s">
        <v>1467</v>
      </c>
      <c r="BF63" s="1" t="str">
        <f>HYPERLINK("http://dx.doi.org/10.1016/j.anbehav.2012.04.025","http://dx.doi.org/10.1016/j.anbehav.2012.04.025")</f>
        <v>http://dx.doi.org/10.1016/j.anbehav.2012.04.025</v>
      </c>
      <c r="BG63" s="1" t="s">
        <v>74</v>
      </c>
      <c r="BH63" s="1" t="s">
        <v>74</v>
      </c>
      <c r="BI63" s="1" t="s">
        <v>74</v>
      </c>
      <c r="BJ63" s="1" t="s">
        <v>74</v>
      </c>
      <c r="BK63" s="1" t="s">
        <v>74</v>
      </c>
      <c r="BL63" s="1" t="s">
        <v>74</v>
      </c>
      <c r="BM63" s="1" t="s">
        <v>74</v>
      </c>
      <c r="BN63" s="1" t="s">
        <v>74</v>
      </c>
      <c r="BO63" s="1" t="s">
        <v>74</v>
      </c>
      <c r="BP63" s="1" t="s">
        <v>74</v>
      </c>
      <c r="BQ63" s="1" t="s">
        <v>74</v>
      </c>
      <c r="BR63" s="1" t="s">
        <v>74</v>
      </c>
      <c r="BS63" s="1" t="s">
        <v>1468</v>
      </c>
      <c r="BT63" s="1" t="str">
        <f>HYPERLINK("https%3A%2F%2Fwww.webofscience.com%2Fwos%2Fwoscc%2Ffull-record%2FWOS:000305748000020","View Full Record in Web of Science")</f>
        <v>View Full Record in Web of Science</v>
      </c>
    </row>
    <row r="64" spans="1:72" s="2" customFormat="1" x14ac:dyDescent="0.4">
      <c r="A64" s="1" t="s">
        <v>72</v>
      </c>
      <c r="B64" s="1" t="s">
        <v>585</v>
      </c>
      <c r="C64" s="1" t="s">
        <v>74</v>
      </c>
      <c r="D64" s="1" t="s">
        <v>74</v>
      </c>
      <c r="E64" s="1" t="s">
        <v>74</v>
      </c>
      <c r="F64" s="1" t="s">
        <v>586</v>
      </c>
      <c r="G64" s="1" t="s">
        <v>74</v>
      </c>
      <c r="H64" s="1" t="s">
        <v>74</v>
      </c>
      <c r="I64" s="1" t="s">
        <v>587</v>
      </c>
      <c r="J64" s="1" t="s">
        <v>218</v>
      </c>
      <c r="K64" s="1" t="s">
        <v>74</v>
      </c>
      <c r="L64" s="1" t="s">
        <v>74</v>
      </c>
      <c r="M64" s="1" t="s">
        <v>74</v>
      </c>
      <c r="N64" s="1" t="s">
        <v>74</v>
      </c>
      <c r="O64" s="1" t="s">
        <v>74</v>
      </c>
      <c r="P64" s="1" t="s">
        <v>74</v>
      </c>
      <c r="Q64" s="1" t="s">
        <v>74</v>
      </c>
      <c r="R64" s="1" t="s">
        <v>74</v>
      </c>
      <c r="S64" s="1" t="s">
        <v>74</v>
      </c>
      <c r="T64" s="1" t="s">
        <v>74</v>
      </c>
      <c r="U64" s="1" t="s">
        <v>74</v>
      </c>
      <c r="V64" s="4" t="s">
        <v>588</v>
      </c>
      <c r="W64" s="1" t="s">
        <v>74</v>
      </c>
      <c r="X64" s="1" t="s">
        <v>74</v>
      </c>
      <c r="Y64" s="1" t="s">
        <v>74</v>
      </c>
      <c r="Z64" s="1" t="s">
        <v>74</v>
      </c>
      <c r="AA64" s="1" t="s">
        <v>589</v>
      </c>
      <c r="AB64" s="1" t="s">
        <v>590</v>
      </c>
      <c r="AC64" s="1" t="s">
        <v>74</v>
      </c>
      <c r="AD64" s="1" t="s">
        <v>74</v>
      </c>
      <c r="AE64" s="1" t="s">
        <v>74</v>
      </c>
      <c r="AF64" s="1" t="s">
        <v>74</v>
      </c>
      <c r="AG64" s="1" t="s">
        <v>74</v>
      </c>
      <c r="AH64" s="1" t="s">
        <v>74</v>
      </c>
      <c r="AI64" s="1" t="s">
        <v>74</v>
      </c>
      <c r="AJ64" s="1" t="s">
        <v>74</v>
      </c>
      <c r="AK64" s="1" t="s">
        <v>74</v>
      </c>
      <c r="AL64" s="1" t="s">
        <v>74</v>
      </c>
      <c r="AM64" s="1" t="s">
        <v>74</v>
      </c>
      <c r="AN64" s="1" t="s">
        <v>74</v>
      </c>
      <c r="AO64" s="1" t="s">
        <v>221</v>
      </c>
      <c r="AP64" s="1" t="s">
        <v>222</v>
      </c>
      <c r="AQ64" s="1" t="s">
        <v>74</v>
      </c>
      <c r="AR64" s="1" t="s">
        <v>74</v>
      </c>
      <c r="AS64" s="1" t="s">
        <v>74</v>
      </c>
      <c r="AT64" s="1" t="s">
        <v>123</v>
      </c>
      <c r="AU64" s="1">
        <v>2018</v>
      </c>
      <c r="AV64" s="1">
        <v>31</v>
      </c>
      <c r="AW64" s="1">
        <v>3</v>
      </c>
      <c r="AX64" s="1" t="s">
        <v>74</v>
      </c>
      <c r="AY64" s="1" t="s">
        <v>74</v>
      </c>
      <c r="AZ64" s="1" t="s">
        <v>74</v>
      </c>
      <c r="BA64" s="1" t="s">
        <v>74</v>
      </c>
      <c r="BB64" s="1">
        <v>457</v>
      </c>
      <c r="BC64" s="1">
        <v>468</v>
      </c>
      <c r="BD64" s="1" t="s">
        <v>74</v>
      </c>
      <c r="BE64" s="1" t="s">
        <v>591</v>
      </c>
      <c r="BF64" s="1" t="str">
        <f>HYPERLINK("http://dx.doi.org/10.1111/jeb.13243","http://dx.doi.org/10.1111/jeb.13243")</f>
        <v>http://dx.doi.org/10.1111/jeb.13243</v>
      </c>
      <c r="BG64" s="1" t="s">
        <v>74</v>
      </c>
      <c r="BH64" s="1" t="s">
        <v>74</v>
      </c>
      <c r="BI64" s="1" t="s">
        <v>74</v>
      </c>
      <c r="BJ64" s="1" t="s">
        <v>74</v>
      </c>
      <c r="BK64" s="1" t="s">
        <v>74</v>
      </c>
      <c r="BL64" s="1" t="s">
        <v>74</v>
      </c>
      <c r="BM64" s="1" t="s">
        <v>74</v>
      </c>
      <c r="BN64" s="1">
        <v>29345026</v>
      </c>
      <c r="BO64" s="1" t="s">
        <v>74</v>
      </c>
      <c r="BP64" s="1" t="s">
        <v>74</v>
      </c>
      <c r="BQ64" s="1" t="s">
        <v>74</v>
      </c>
      <c r="BR64" s="1" t="s">
        <v>74</v>
      </c>
      <c r="BS64" s="1" t="s">
        <v>592</v>
      </c>
      <c r="BT64" s="1" t="str">
        <f>HYPERLINK("https%3A%2F%2Fwww.webofscience.com%2Fwos%2Fwoscc%2Ffull-record%2FWOS:000426731400012","View Full Record in Web of Science")</f>
        <v>View Full Record in Web of Science</v>
      </c>
    </row>
    <row r="65" spans="1:72" s="2" customFormat="1" x14ac:dyDescent="0.4">
      <c r="A65" s="1" t="s">
        <v>72</v>
      </c>
      <c r="B65" s="1" t="s">
        <v>258</v>
      </c>
      <c r="C65" s="1" t="s">
        <v>74</v>
      </c>
      <c r="D65" s="1" t="s">
        <v>74</v>
      </c>
      <c r="E65" s="1" t="s">
        <v>74</v>
      </c>
      <c r="F65" s="1" t="s">
        <v>259</v>
      </c>
      <c r="G65" s="1" t="s">
        <v>74</v>
      </c>
      <c r="H65" s="1" t="s">
        <v>74</v>
      </c>
      <c r="I65" s="1" t="s">
        <v>260</v>
      </c>
      <c r="J65" s="1" t="s">
        <v>140</v>
      </c>
      <c r="K65" s="1" t="s">
        <v>74</v>
      </c>
      <c r="L65" s="1" t="s">
        <v>74</v>
      </c>
      <c r="M65" s="1" t="s">
        <v>74</v>
      </c>
      <c r="N65" s="1" t="s">
        <v>74</v>
      </c>
      <c r="O65" s="1" t="s">
        <v>74</v>
      </c>
      <c r="P65" s="1" t="s">
        <v>74</v>
      </c>
      <c r="Q65" s="1" t="s">
        <v>74</v>
      </c>
      <c r="R65" s="1" t="s">
        <v>74</v>
      </c>
      <c r="S65" s="1" t="s">
        <v>74</v>
      </c>
      <c r="T65" s="1" t="s">
        <v>74</v>
      </c>
      <c r="U65" s="1" t="s">
        <v>74</v>
      </c>
      <c r="V65" s="4" t="s">
        <v>261</v>
      </c>
      <c r="W65" s="1" t="s">
        <v>74</v>
      </c>
      <c r="X65" s="1" t="s">
        <v>74</v>
      </c>
      <c r="Y65" s="1" t="s">
        <v>74</v>
      </c>
      <c r="Z65" s="1" t="s">
        <v>74</v>
      </c>
      <c r="AA65" s="1" t="s">
        <v>74</v>
      </c>
      <c r="AB65" s="1" t="s">
        <v>262</v>
      </c>
      <c r="AC65" s="1" t="s">
        <v>74</v>
      </c>
      <c r="AD65" s="1" t="s">
        <v>74</v>
      </c>
      <c r="AE65" s="1" t="s">
        <v>74</v>
      </c>
      <c r="AF65" s="1" t="s">
        <v>74</v>
      </c>
      <c r="AG65" s="1" t="s">
        <v>74</v>
      </c>
      <c r="AH65" s="1" t="s">
        <v>74</v>
      </c>
      <c r="AI65" s="1" t="s">
        <v>74</v>
      </c>
      <c r="AJ65" s="1" t="s">
        <v>74</v>
      </c>
      <c r="AK65" s="1" t="s">
        <v>74</v>
      </c>
      <c r="AL65" s="1" t="s">
        <v>74</v>
      </c>
      <c r="AM65" s="1" t="s">
        <v>74</v>
      </c>
      <c r="AN65" s="1" t="s">
        <v>74</v>
      </c>
      <c r="AO65" s="1" t="s">
        <v>143</v>
      </c>
      <c r="AP65" s="1" t="s">
        <v>144</v>
      </c>
      <c r="AQ65" s="1" t="s">
        <v>74</v>
      </c>
      <c r="AR65" s="1" t="s">
        <v>74</v>
      </c>
      <c r="AS65" s="1" t="s">
        <v>74</v>
      </c>
      <c r="AT65" s="1" t="s">
        <v>255</v>
      </c>
      <c r="AU65" s="1">
        <v>2016</v>
      </c>
      <c r="AV65" s="1">
        <v>111</v>
      </c>
      <c r="AW65" s="1" t="s">
        <v>74</v>
      </c>
      <c r="AX65" s="1" t="s">
        <v>74</v>
      </c>
      <c r="AY65" s="1" t="s">
        <v>74</v>
      </c>
      <c r="AZ65" s="1" t="s">
        <v>74</v>
      </c>
      <c r="BA65" s="1" t="s">
        <v>74</v>
      </c>
      <c r="BB65" s="1">
        <v>329</v>
      </c>
      <c r="BC65" s="1">
        <v>339</v>
      </c>
      <c r="BD65" s="1" t="s">
        <v>74</v>
      </c>
      <c r="BE65" s="1" t="s">
        <v>263</v>
      </c>
      <c r="BF65" s="1" t="str">
        <f>HYPERLINK("http://dx.doi.org/10.1016/j.anbehav.2015.10.029","http://dx.doi.org/10.1016/j.anbehav.2015.10.029")</f>
        <v>http://dx.doi.org/10.1016/j.anbehav.2015.10.029</v>
      </c>
      <c r="BG65" s="1" t="s">
        <v>74</v>
      </c>
      <c r="BH65" s="1" t="s">
        <v>74</v>
      </c>
      <c r="BI65" s="1" t="s">
        <v>74</v>
      </c>
      <c r="BJ65" s="1" t="s">
        <v>74</v>
      </c>
      <c r="BK65" s="1" t="s">
        <v>74</v>
      </c>
      <c r="BL65" s="1" t="s">
        <v>74</v>
      </c>
      <c r="BM65" s="1" t="s">
        <v>74</v>
      </c>
      <c r="BN65" s="1" t="s">
        <v>74</v>
      </c>
      <c r="BO65" s="1" t="s">
        <v>74</v>
      </c>
      <c r="BP65" s="1" t="s">
        <v>74</v>
      </c>
      <c r="BQ65" s="1" t="s">
        <v>74</v>
      </c>
      <c r="BR65" s="1" t="s">
        <v>74</v>
      </c>
      <c r="BS65" s="1" t="s">
        <v>264</v>
      </c>
      <c r="BT65" s="1" t="str">
        <f>HYPERLINK("https%3A%2F%2Fwww.webofscience.com%2Fwos%2Fwoscc%2Ffull-record%2FWOS:000367374000038","View Full Record in Web of Science")</f>
        <v>View Full Record in Web of Science</v>
      </c>
    </row>
    <row r="66" spans="1:72" s="2" customFormat="1" x14ac:dyDescent="0.4">
      <c r="A66" s="1" t="s">
        <v>72</v>
      </c>
      <c r="B66" s="1" t="s">
        <v>772</v>
      </c>
      <c r="C66" s="1" t="s">
        <v>74</v>
      </c>
      <c r="D66" s="1" t="s">
        <v>74</v>
      </c>
      <c r="E66" s="1" t="s">
        <v>74</v>
      </c>
      <c r="F66" s="1" t="s">
        <v>773</v>
      </c>
      <c r="G66" s="1" t="s">
        <v>74</v>
      </c>
      <c r="H66" s="1" t="s">
        <v>74</v>
      </c>
      <c r="I66" s="1" t="s">
        <v>774</v>
      </c>
      <c r="J66" s="1" t="s">
        <v>775</v>
      </c>
      <c r="K66" s="1" t="s">
        <v>74</v>
      </c>
      <c r="L66" s="1" t="s">
        <v>74</v>
      </c>
      <c r="M66" s="1" t="s">
        <v>74</v>
      </c>
      <c r="N66" s="1" t="s">
        <v>74</v>
      </c>
      <c r="O66" s="1" t="s">
        <v>74</v>
      </c>
      <c r="P66" s="1" t="s">
        <v>74</v>
      </c>
      <c r="Q66" s="1" t="s">
        <v>74</v>
      </c>
      <c r="R66" s="1" t="s">
        <v>74</v>
      </c>
      <c r="S66" s="1" t="s">
        <v>74</v>
      </c>
      <c r="T66" s="1" t="s">
        <v>74</v>
      </c>
      <c r="U66" s="1" t="s">
        <v>74</v>
      </c>
      <c r="V66" s="4" t="s">
        <v>776</v>
      </c>
      <c r="W66" s="1" t="s">
        <v>74</v>
      </c>
      <c r="X66" s="1" t="s">
        <v>74</v>
      </c>
      <c r="Y66" s="1" t="s">
        <v>74</v>
      </c>
      <c r="Z66" s="1" t="s">
        <v>74</v>
      </c>
      <c r="AA66" s="1" t="s">
        <v>74</v>
      </c>
      <c r="AB66" s="1" t="s">
        <v>777</v>
      </c>
      <c r="AC66" s="1" t="s">
        <v>74</v>
      </c>
      <c r="AD66" s="1" t="s">
        <v>74</v>
      </c>
      <c r="AE66" s="1" t="s">
        <v>74</v>
      </c>
      <c r="AF66" s="1" t="s">
        <v>74</v>
      </c>
      <c r="AG66" s="1" t="s">
        <v>74</v>
      </c>
      <c r="AH66" s="1" t="s">
        <v>74</v>
      </c>
      <c r="AI66" s="1" t="s">
        <v>74</v>
      </c>
      <c r="AJ66" s="1" t="s">
        <v>74</v>
      </c>
      <c r="AK66" s="1" t="s">
        <v>74</v>
      </c>
      <c r="AL66" s="1" t="s">
        <v>74</v>
      </c>
      <c r="AM66" s="1" t="s">
        <v>74</v>
      </c>
      <c r="AN66" s="1" t="s">
        <v>74</v>
      </c>
      <c r="AO66" s="1" t="s">
        <v>778</v>
      </c>
      <c r="AP66" s="1" t="s">
        <v>779</v>
      </c>
      <c r="AQ66" s="1" t="s">
        <v>74</v>
      </c>
      <c r="AR66" s="1" t="s">
        <v>74</v>
      </c>
      <c r="AS66" s="1" t="s">
        <v>74</v>
      </c>
      <c r="AT66" s="1" t="s">
        <v>102</v>
      </c>
      <c r="AU66" s="1">
        <v>2018</v>
      </c>
      <c r="AV66" s="1">
        <v>64</v>
      </c>
      <c r="AW66" s="1">
        <v>3</v>
      </c>
      <c r="AX66" s="1" t="s">
        <v>74</v>
      </c>
      <c r="AY66" s="1" t="s">
        <v>74</v>
      </c>
      <c r="AZ66" s="1" t="s">
        <v>74</v>
      </c>
      <c r="BA66" s="1" t="s">
        <v>74</v>
      </c>
      <c r="BB66" s="1">
        <v>345</v>
      </c>
      <c r="BC66" s="1">
        <v>350</v>
      </c>
      <c r="BD66" s="1" t="s">
        <v>74</v>
      </c>
      <c r="BE66" s="1" t="s">
        <v>780</v>
      </c>
      <c r="BF66" s="1" t="str">
        <f>HYPERLINK("http://dx.doi.org/10.1093/cz/zoy020","http://dx.doi.org/10.1093/cz/zoy020")</f>
        <v>http://dx.doi.org/10.1093/cz/zoy020</v>
      </c>
      <c r="BG66" s="1" t="s">
        <v>74</v>
      </c>
      <c r="BH66" s="1" t="s">
        <v>74</v>
      </c>
      <c r="BI66" s="1" t="s">
        <v>74</v>
      </c>
      <c r="BJ66" s="1" t="s">
        <v>74</v>
      </c>
      <c r="BK66" s="1" t="s">
        <v>74</v>
      </c>
      <c r="BL66" s="1" t="s">
        <v>74</v>
      </c>
      <c r="BM66" s="1" t="s">
        <v>74</v>
      </c>
      <c r="BN66" s="1">
        <v>30402077</v>
      </c>
      <c r="BO66" s="1" t="s">
        <v>74</v>
      </c>
      <c r="BP66" s="1" t="s">
        <v>74</v>
      </c>
      <c r="BQ66" s="1" t="s">
        <v>74</v>
      </c>
      <c r="BR66" s="1" t="s">
        <v>74</v>
      </c>
      <c r="BS66" s="1" t="s">
        <v>781</v>
      </c>
      <c r="BT66" s="1" t="str">
        <f>HYPERLINK("https%3A%2F%2Fwww.webofscience.com%2Fwos%2Fwoscc%2Ffull-record%2FWOS:000436421000011","View Full Record in Web of Science")</f>
        <v>View Full Record in Web of Science</v>
      </c>
    </row>
    <row r="67" spans="1:72" s="2" customFormat="1" x14ac:dyDescent="0.4">
      <c r="A67" s="1" t="s">
        <v>72</v>
      </c>
      <c r="B67" s="1" t="s">
        <v>1785</v>
      </c>
      <c r="C67" s="1" t="s">
        <v>74</v>
      </c>
      <c r="D67" s="1" t="s">
        <v>74</v>
      </c>
      <c r="E67" s="1" t="s">
        <v>74</v>
      </c>
      <c r="F67" s="1" t="s">
        <v>1786</v>
      </c>
      <c r="G67" s="1" t="s">
        <v>74</v>
      </c>
      <c r="H67" s="1" t="s">
        <v>74</v>
      </c>
      <c r="I67" s="1" t="s">
        <v>1787</v>
      </c>
      <c r="J67" s="1" t="s">
        <v>333</v>
      </c>
      <c r="K67" s="1" t="s">
        <v>74</v>
      </c>
      <c r="L67" s="1" t="s">
        <v>74</v>
      </c>
      <c r="M67" s="1" t="s">
        <v>74</v>
      </c>
      <c r="N67" s="1" t="s">
        <v>74</v>
      </c>
      <c r="O67" s="1" t="s">
        <v>74</v>
      </c>
      <c r="P67" s="1" t="s">
        <v>74</v>
      </c>
      <c r="Q67" s="1" t="s">
        <v>74</v>
      </c>
      <c r="R67" s="1" t="s">
        <v>74</v>
      </c>
      <c r="S67" s="1" t="s">
        <v>74</v>
      </c>
      <c r="T67" s="1" t="s">
        <v>74</v>
      </c>
      <c r="U67" s="1" t="s">
        <v>74</v>
      </c>
      <c r="V67" s="4" t="s">
        <v>1788</v>
      </c>
      <c r="W67" s="1" t="s">
        <v>74</v>
      </c>
      <c r="X67" s="1" t="s">
        <v>74</v>
      </c>
      <c r="Y67" s="1" t="s">
        <v>74</v>
      </c>
      <c r="Z67" s="1" t="s">
        <v>74</v>
      </c>
      <c r="AA67" s="1" t="s">
        <v>1789</v>
      </c>
      <c r="AB67" s="1" t="s">
        <v>1790</v>
      </c>
      <c r="AC67" s="1" t="s">
        <v>74</v>
      </c>
      <c r="AD67" s="1" t="s">
        <v>74</v>
      </c>
      <c r="AE67" s="1" t="s">
        <v>74</v>
      </c>
      <c r="AF67" s="1" t="s">
        <v>74</v>
      </c>
      <c r="AG67" s="1" t="s">
        <v>74</v>
      </c>
      <c r="AH67" s="1" t="s">
        <v>74</v>
      </c>
      <c r="AI67" s="1" t="s">
        <v>74</v>
      </c>
      <c r="AJ67" s="1" t="s">
        <v>74</v>
      </c>
      <c r="AK67" s="1" t="s">
        <v>74</v>
      </c>
      <c r="AL67" s="1" t="s">
        <v>74</v>
      </c>
      <c r="AM67" s="1" t="s">
        <v>74</v>
      </c>
      <c r="AN67" s="1" t="s">
        <v>74</v>
      </c>
      <c r="AO67" s="1" t="s">
        <v>337</v>
      </c>
      <c r="AP67" s="1" t="s">
        <v>338</v>
      </c>
      <c r="AQ67" s="1" t="s">
        <v>74</v>
      </c>
      <c r="AR67" s="1" t="s">
        <v>74</v>
      </c>
      <c r="AS67" s="1" t="s">
        <v>74</v>
      </c>
      <c r="AT67" s="1" t="s">
        <v>339</v>
      </c>
      <c r="AU67" s="1">
        <v>2015</v>
      </c>
      <c r="AV67" s="1">
        <v>26</v>
      </c>
      <c r="AW67" s="1">
        <v>4</v>
      </c>
      <c r="AX67" s="1" t="s">
        <v>74</v>
      </c>
      <c r="AY67" s="1" t="s">
        <v>74</v>
      </c>
      <c r="AZ67" s="1" t="s">
        <v>74</v>
      </c>
      <c r="BA67" s="1" t="s">
        <v>74</v>
      </c>
      <c r="BB67" s="1">
        <v>1030</v>
      </c>
      <c r="BC67" s="1">
        <v>1038</v>
      </c>
      <c r="BD67" s="1" t="s">
        <v>74</v>
      </c>
      <c r="BE67" s="1" t="s">
        <v>1791</v>
      </c>
      <c r="BF67" s="1" t="str">
        <f>HYPERLINK("http://dx.doi.org/10.1093/beheco/arv037","http://dx.doi.org/10.1093/beheco/arv037")</f>
        <v>http://dx.doi.org/10.1093/beheco/arv037</v>
      </c>
      <c r="BG67" s="1" t="s">
        <v>74</v>
      </c>
      <c r="BH67" s="1" t="s">
        <v>74</v>
      </c>
      <c r="BI67" s="1" t="s">
        <v>74</v>
      </c>
      <c r="BJ67" s="1" t="s">
        <v>74</v>
      </c>
      <c r="BK67" s="1" t="s">
        <v>74</v>
      </c>
      <c r="BL67" s="1" t="s">
        <v>74</v>
      </c>
      <c r="BM67" s="1" t="s">
        <v>74</v>
      </c>
      <c r="BN67" s="1" t="s">
        <v>74</v>
      </c>
      <c r="BO67" s="1" t="s">
        <v>74</v>
      </c>
      <c r="BP67" s="1" t="s">
        <v>74</v>
      </c>
      <c r="BQ67" s="1" t="s">
        <v>74</v>
      </c>
      <c r="BR67" s="1" t="s">
        <v>74</v>
      </c>
      <c r="BS67" s="1" t="s">
        <v>1792</v>
      </c>
      <c r="BT67" s="1" t="str">
        <f>HYPERLINK("https%3A%2F%2Fwww.webofscience.com%2Fwos%2Fwoscc%2Ffull-record%2FWOS:000358171600013","View Full Record in Web of Science")</f>
        <v>View Full Record in Web of Science</v>
      </c>
    </row>
    <row r="68" spans="1:72" s="2" customFormat="1" x14ac:dyDescent="0.4">
      <c r="A68" s="1" t="s">
        <v>72</v>
      </c>
      <c r="B68" s="1" t="s">
        <v>4665</v>
      </c>
      <c r="C68" s="1" t="s">
        <v>74</v>
      </c>
      <c r="D68" s="1" t="s">
        <v>74</v>
      </c>
      <c r="E68" s="1" t="s">
        <v>74</v>
      </c>
      <c r="F68" s="1" t="s">
        <v>4666</v>
      </c>
      <c r="G68" s="1" t="s">
        <v>74</v>
      </c>
      <c r="H68" s="1" t="s">
        <v>74</v>
      </c>
      <c r="I68" s="1" t="s">
        <v>4667</v>
      </c>
      <c r="J68" s="1" t="s">
        <v>397</v>
      </c>
      <c r="K68" s="1" t="s">
        <v>74</v>
      </c>
      <c r="L68" s="1" t="s">
        <v>74</v>
      </c>
      <c r="M68" s="1" t="s">
        <v>74</v>
      </c>
      <c r="N68" s="1" t="s">
        <v>74</v>
      </c>
      <c r="O68" s="1" t="s">
        <v>74</v>
      </c>
      <c r="P68" s="1" t="s">
        <v>74</v>
      </c>
      <c r="Q68" s="1" t="s">
        <v>74</v>
      </c>
      <c r="R68" s="1" t="s">
        <v>74</v>
      </c>
      <c r="S68" s="1" t="s">
        <v>74</v>
      </c>
      <c r="T68" s="1" t="s">
        <v>74</v>
      </c>
      <c r="U68" s="1" t="s">
        <v>74</v>
      </c>
      <c r="V68" s="4" t="s">
        <v>4668</v>
      </c>
      <c r="W68" s="1" t="s">
        <v>74</v>
      </c>
      <c r="X68" s="1" t="s">
        <v>74</v>
      </c>
      <c r="Y68" s="1" t="s">
        <v>74</v>
      </c>
      <c r="Z68" s="1" t="s">
        <v>74</v>
      </c>
      <c r="AA68" s="1" t="s">
        <v>4669</v>
      </c>
      <c r="AB68" s="1" t="s">
        <v>4670</v>
      </c>
      <c r="AC68" s="1" t="s">
        <v>74</v>
      </c>
      <c r="AD68" s="1" t="s">
        <v>74</v>
      </c>
      <c r="AE68" s="1" t="s">
        <v>74</v>
      </c>
      <c r="AF68" s="1" t="s">
        <v>74</v>
      </c>
      <c r="AG68" s="1" t="s">
        <v>74</v>
      </c>
      <c r="AH68" s="1" t="s">
        <v>74</v>
      </c>
      <c r="AI68" s="1" t="s">
        <v>74</v>
      </c>
      <c r="AJ68" s="1" t="s">
        <v>74</v>
      </c>
      <c r="AK68" s="1" t="s">
        <v>74</v>
      </c>
      <c r="AL68" s="1" t="s">
        <v>74</v>
      </c>
      <c r="AM68" s="1" t="s">
        <v>74</v>
      </c>
      <c r="AN68" s="1" t="s">
        <v>74</v>
      </c>
      <c r="AO68" s="1" t="s">
        <v>401</v>
      </c>
      <c r="AP68" s="1" t="s">
        <v>402</v>
      </c>
      <c r="AQ68" s="1" t="s">
        <v>74</v>
      </c>
      <c r="AR68" s="1" t="s">
        <v>74</v>
      </c>
      <c r="AS68" s="1" t="s">
        <v>74</v>
      </c>
      <c r="AT68" s="1" t="s">
        <v>213</v>
      </c>
      <c r="AU68" s="1">
        <v>2015</v>
      </c>
      <c r="AV68" s="1">
        <v>14</v>
      </c>
      <c r="AW68" s="1">
        <v>8</v>
      </c>
      <c r="AX68" s="1" t="s">
        <v>74</v>
      </c>
      <c r="AY68" s="1" t="s">
        <v>74</v>
      </c>
      <c r="AZ68" s="1" t="s">
        <v>74</v>
      </c>
      <c r="BA68" s="1" t="s">
        <v>74</v>
      </c>
      <c r="BB68" s="1">
        <v>641</v>
      </c>
      <c r="BC68" s="1">
        <v>654</v>
      </c>
      <c r="BD68" s="1" t="s">
        <v>74</v>
      </c>
      <c r="BE68" s="1" t="s">
        <v>4671</v>
      </c>
      <c r="BF68" s="1" t="str">
        <f>HYPERLINK("http://dx.doi.org/10.1111/gbb.12252","http://dx.doi.org/10.1111/gbb.12252")</f>
        <v>http://dx.doi.org/10.1111/gbb.12252</v>
      </c>
      <c r="BG68" s="1" t="s">
        <v>74</v>
      </c>
      <c r="BH68" s="1" t="s">
        <v>74</v>
      </c>
      <c r="BI68" s="1" t="s">
        <v>74</v>
      </c>
      <c r="BJ68" s="1" t="s">
        <v>74</v>
      </c>
      <c r="BK68" s="1" t="s">
        <v>74</v>
      </c>
      <c r="BL68" s="1" t="s">
        <v>74</v>
      </c>
      <c r="BM68" s="1" t="s">
        <v>74</v>
      </c>
      <c r="BN68" s="1">
        <v>26463687</v>
      </c>
      <c r="BO68" s="1" t="s">
        <v>74</v>
      </c>
      <c r="BP68" s="1" t="s">
        <v>74</v>
      </c>
      <c r="BQ68" s="1" t="s">
        <v>74</v>
      </c>
      <c r="BR68" s="1" t="s">
        <v>74</v>
      </c>
      <c r="BS68" s="1" t="s">
        <v>4672</v>
      </c>
      <c r="BT68" s="1" t="str">
        <f>HYPERLINK("https%3A%2F%2Fwww.webofscience.com%2Fwos%2Fwoscc%2Ffull-record%2FWOS:000368248600008","View Full Record in Web of Science")</f>
        <v>View Full Record in Web of Science</v>
      </c>
    </row>
    <row r="69" spans="1:72" s="2" customFormat="1" x14ac:dyDescent="0.4">
      <c r="A69" s="7" t="s">
        <v>72</v>
      </c>
      <c r="B69" s="7" t="s">
        <v>1614</v>
      </c>
      <c r="C69" s="7" t="s">
        <v>74</v>
      </c>
      <c r="D69" s="7" t="s">
        <v>74</v>
      </c>
      <c r="E69" s="7" t="s">
        <v>74</v>
      </c>
      <c r="F69" s="7" t="s">
        <v>1615</v>
      </c>
      <c r="G69" s="7" t="s">
        <v>74</v>
      </c>
      <c r="H69" s="7" t="s">
        <v>74</v>
      </c>
      <c r="I69" s="7" t="s">
        <v>1616</v>
      </c>
      <c r="J69" s="7" t="s">
        <v>333</v>
      </c>
      <c r="K69" s="7" t="s">
        <v>74</v>
      </c>
      <c r="L69" s="7" t="s">
        <v>74</v>
      </c>
      <c r="M69" s="7" t="s">
        <v>74</v>
      </c>
      <c r="N69" s="7" t="s">
        <v>74</v>
      </c>
      <c r="O69" s="7" t="s">
        <v>74</v>
      </c>
      <c r="P69" s="7" t="s">
        <v>74</v>
      </c>
      <c r="Q69" s="7" t="s">
        <v>74</v>
      </c>
      <c r="R69" s="7" t="s">
        <v>74</v>
      </c>
      <c r="S69" s="7" t="s">
        <v>74</v>
      </c>
      <c r="T69" s="7" t="s">
        <v>74</v>
      </c>
      <c r="U69" s="7" t="s">
        <v>74</v>
      </c>
      <c r="V69" s="6" t="s">
        <v>1617</v>
      </c>
      <c r="W69" s="7" t="s">
        <v>74</v>
      </c>
      <c r="X69" s="7" t="s">
        <v>74</v>
      </c>
      <c r="Y69" s="7" t="s">
        <v>74</v>
      </c>
      <c r="Z69" s="7" t="s">
        <v>74</v>
      </c>
      <c r="AA69" s="7" t="s">
        <v>1618</v>
      </c>
      <c r="AB69" s="7" t="s">
        <v>1619</v>
      </c>
      <c r="AC69" s="7" t="s">
        <v>74</v>
      </c>
      <c r="AD69" s="7" t="s">
        <v>74</v>
      </c>
      <c r="AE69" s="7" t="s">
        <v>74</v>
      </c>
      <c r="AF69" s="7" t="s">
        <v>74</v>
      </c>
      <c r="AG69" s="7" t="s">
        <v>74</v>
      </c>
      <c r="AH69" s="7" t="s">
        <v>74</v>
      </c>
      <c r="AI69" s="7" t="s">
        <v>74</v>
      </c>
      <c r="AJ69" s="7" t="s">
        <v>74</v>
      </c>
      <c r="AK69" s="7" t="s">
        <v>74</v>
      </c>
      <c r="AL69" s="7" t="s">
        <v>74</v>
      </c>
      <c r="AM69" s="7" t="s">
        <v>74</v>
      </c>
      <c r="AN69" s="7" t="s">
        <v>74</v>
      </c>
      <c r="AO69" s="7" t="s">
        <v>337</v>
      </c>
      <c r="AP69" s="7" t="s">
        <v>338</v>
      </c>
      <c r="AQ69" s="7" t="s">
        <v>74</v>
      </c>
      <c r="AR69" s="7" t="s">
        <v>74</v>
      </c>
      <c r="AS69" s="7" t="s">
        <v>74</v>
      </c>
      <c r="AT69" s="7" t="s">
        <v>1620</v>
      </c>
      <c r="AU69" s="7">
        <v>2024</v>
      </c>
      <c r="AV69" s="7">
        <v>35</v>
      </c>
      <c r="AW69" s="7">
        <v>4</v>
      </c>
      <c r="AX69" s="7" t="s">
        <v>74</v>
      </c>
      <c r="AY69" s="7" t="s">
        <v>74</v>
      </c>
      <c r="AZ69" s="7" t="s">
        <v>74</v>
      </c>
      <c r="BA69" s="7" t="s">
        <v>74</v>
      </c>
      <c r="BB69" s="7" t="s">
        <v>74</v>
      </c>
      <c r="BC69" s="7" t="s">
        <v>74</v>
      </c>
      <c r="BD69" s="7" t="s">
        <v>1621</v>
      </c>
      <c r="BE69" s="7" t="s">
        <v>1622</v>
      </c>
      <c r="BF69" s="7" t="str">
        <f>HYPERLINK("http://dx.doi.org/10.1093/beheco/arae045","http://dx.doi.org/10.1093/beheco/arae045")</f>
        <v>http://dx.doi.org/10.1093/beheco/arae045</v>
      </c>
      <c r="BG69" s="7" t="s">
        <v>74</v>
      </c>
      <c r="BH69" s="7" t="s">
        <v>74</v>
      </c>
      <c r="BI69" s="7" t="s">
        <v>74</v>
      </c>
      <c r="BJ69" s="7" t="s">
        <v>74</v>
      </c>
      <c r="BK69" s="7" t="s">
        <v>74</v>
      </c>
      <c r="BL69" s="7" t="s">
        <v>74</v>
      </c>
      <c r="BM69" s="7" t="s">
        <v>74</v>
      </c>
      <c r="BN69" s="7" t="s">
        <v>74</v>
      </c>
      <c r="BO69" s="7" t="s">
        <v>74</v>
      </c>
      <c r="BP69" s="7" t="s">
        <v>74</v>
      </c>
      <c r="BQ69" s="7" t="s">
        <v>74</v>
      </c>
      <c r="BR69" s="7" t="s">
        <v>74</v>
      </c>
      <c r="BS69" s="7" t="s">
        <v>1623</v>
      </c>
      <c r="BT69" s="7" t="str">
        <f>HYPERLINK("https%3A%2F%2Fwww.webofscience.com%2Fwos%2Fwoscc%2Ffull-record%2FWOS:001258741000002","View Full Record in Web of Science")</f>
        <v>View Full Record in Web of Science</v>
      </c>
    </row>
    <row r="70" spans="1:72" s="7" customFormat="1" x14ac:dyDescent="0.4">
      <c r="A70" s="7" t="s">
        <v>72</v>
      </c>
      <c r="B70" s="7" t="s">
        <v>6707</v>
      </c>
      <c r="C70" s="7" t="s">
        <v>74</v>
      </c>
      <c r="D70" s="7" t="s">
        <v>74</v>
      </c>
      <c r="E70" s="7" t="s">
        <v>74</v>
      </c>
      <c r="F70" s="7" t="s">
        <v>6708</v>
      </c>
      <c r="G70" s="7" t="s">
        <v>74</v>
      </c>
      <c r="H70" s="7" t="s">
        <v>74</v>
      </c>
      <c r="I70" s="7" t="s">
        <v>6709</v>
      </c>
      <c r="J70" s="7" t="s">
        <v>970</v>
      </c>
      <c r="K70" s="7" t="s">
        <v>74</v>
      </c>
      <c r="L70" s="7" t="s">
        <v>74</v>
      </c>
      <c r="M70" s="7" t="s">
        <v>74</v>
      </c>
      <c r="N70" s="7" t="s">
        <v>74</v>
      </c>
      <c r="O70" s="7" t="s">
        <v>74</v>
      </c>
      <c r="P70" s="7" t="s">
        <v>74</v>
      </c>
      <c r="Q70" s="7" t="s">
        <v>74</v>
      </c>
      <c r="R70" s="7" t="s">
        <v>74</v>
      </c>
      <c r="S70" s="7" t="s">
        <v>74</v>
      </c>
      <c r="T70" s="7" t="s">
        <v>74</v>
      </c>
      <c r="U70" s="7" t="s">
        <v>74</v>
      </c>
      <c r="V70" s="6" t="s">
        <v>6710</v>
      </c>
      <c r="W70" s="7" t="s">
        <v>74</v>
      </c>
      <c r="X70" s="7" t="s">
        <v>74</v>
      </c>
      <c r="Y70" s="7" t="s">
        <v>74</v>
      </c>
      <c r="Z70" s="7" t="s">
        <v>74</v>
      </c>
      <c r="AA70" s="7" t="s">
        <v>6711</v>
      </c>
      <c r="AB70" s="7" t="s">
        <v>6712</v>
      </c>
      <c r="AC70" s="7" t="s">
        <v>74</v>
      </c>
      <c r="AD70" s="7" t="s">
        <v>74</v>
      </c>
      <c r="AE70" s="7" t="s">
        <v>74</v>
      </c>
      <c r="AF70" s="7" t="s">
        <v>74</v>
      </c>
      <c r="AG70" s="7" t="s">
        <v>74</v>
      </c>
      <c r="AH70" s="7" t="s">
        <v>74</v>
      </c>
      <c r="AI70" s="7" t="s">
        <v>74</v>
      </c>
      <c r="AJ70" s="7" t="s">
        <v>74</v>
      </c>
      <c r="AK70" s="7" t="s">
        <v>74</v>
      </c>
      <c r="AL70" s="7" t="s">
        <v>74</v>
      </c>
      <c r="AM70" s="7" t="s">
        <v>74</v>
      </c>
      <c r="AN70" s="7" t="s">
        <v>74</v>
      </c>
      <c r="AO70" s="7" t="s">
        <v>974</v>
      </c>
      <c r="AP70" s="7" t="s">
        <v>975</v>
      </c>
      <c r="AQ70" s="7" t="s">
        <v>74</v>
      </c>
      <c r="AR70" s="7" t="s">
        <v>74</v>
      </c>
      <c r="AS70" s="7" t="s">
        <v>74</v>
      </c>
      <c r="AT70" s="7" t="s">
        <v>633</v>
      </c>
      <c r="AU70" s="7">
        <v>2023</v>
      </c>
      <c r="AV70" s="7">
        <v>164</v>
      </c>
      <c r="AW70" s="7">
        <v>2</v>
      </c>
      <c r="AX70" s="7" t="s">
        <v>74</v>
      </c>
      <c r="AY70" s="7" t="s">
        <v>74</v>
      </c>
      <c r="AZ70" s="7" t="s">
        <v>74</v>
      </c>
      <c r="BA70" s="7" t="s">
        <v>74</v>
      </c>
      <c r="BB70" s="7">
        <v>417</v>
      </c>
      <c r="BC70" s="7">
        <v>431</v>
      </c>
      <c r="BD70" s="7" t="s">
        <v>74</v>
      </c>
      <c r="BE70" s="7" t="s">
        <v>6713</v>
      </c>
      <c r="BF70" s="7" t="str">
        <f>HYPERLINK("http://dx.doi.org/10.1007/s10336-022-02035-7","http://dx.doi.org/10.1007/s10336-022-02035-7")</f>
        <v>http://dx.doi.org/10.1007/s10336-022-02035-7</v>
      </c>
      <c r="BG70" s="7" t="s">
        <v>74</v>
      </c>
      <c r="BH70" s="7" t="s">
        <v>2298</v>
      </c>
      <c r="BI70" s="7" t="s">
        <v>74</v>
      </c>
      <c r="BJ70" s="7" t="s">
        <v>74</v>
      </c>
      <c r="BK70" s="7" t="s">
        <v>74</v>
      </c>
      <c r="BL70" s="7" t="s">
        <v>74</v>
      </c>
      <c r="BM70" s="7" t="s">
        <v>74</v>
      </c>
      <c r="BN70" s="7" t="s">
        <v>74</v>
      </c>
      <c r="BO70" s="7" t="s">
        <v>74</v>
      </c>
      <c r="BP70" s="7" t="s">
        <v>74</v>
      </c>
      <c r="BQ70" s="7" t="s">
        <v>74</v>
      </c>
      <c r="BR70" s="7" t="s">
        <v>74</v>
      </c>
      <c r="BS70" s="7" t="s">
        <v>6714</v>
      </c>
      <c r="BT70" s="7" t="str">
        <f>HYPERLINK("https%3A%2F%2Fwww.webofscience.com%2Fwos%2Fwoscc%2Ffull-record%2FWOS:000890108600001","View Full Record in Web of Science")</f>
        <v>View Full Record in Web of Science</v>
      </c>
    </row>
    <row r="71" spans="1:72" s="1" customFormat="1" x14ac:dyDescent="0.4">
      <c r="A71" s="7" t="s">
        <v>72</v>
      </c>
      <c r="B71" s="7" t="s">
        <v>6961</v>
      </c>
      <c r="C71" s="7" t="s">
        <v>74</v>
      </c>
      <c r="D71" s="7" t="s">
        <v>74</v>
      </c>
      <c r="E71" s="7" t="s">
        <v>74</v>
      </c>
      <c r="F71" s="7" t="s">
        <v>6961</v>
      </c>
      <c r="G71" s="7" t="s">
        <v>74</v>
      </c>
      <c r="H71" s="7" t="s">
        <v>74</v>
      </c>
      <c r="I71" s="7" t="s">
        <v>6962</v>
      </c>
      <c r="J71" s="7" t="s">
        <v>5129</v>
      </c>
      <c r="K71" s="7" t="s">
        <v>74</v>
      </c>
      <c r="L71" s="7" t="s">
        <v>74</v>
      </c>
      <c r="M71" s="7" t="s">
        <v>74</v>
      </c>
      <c r="N71" s="7" t="s">
        <v>74</v>
      </c>
      <c r="O71" s="7" t="s">
        <v>74</v>
      </c>
      <c r="P71" s="7" t="s">
        <v>74</v>
      </c>
      <c r="Q71" s="7" t="s">
        <v>74</v>
      </c>
      <c r="R71" s="7" t="s">
        <v>74</v>
      </c>
      <c r="S71" s="7" t="s">
        <v>74</v>
      </c>
      <c r="T71" s="7" t="s">
        <v>74</v>
      </c>
      <c r="U71" s="7" t="s">
        <v>74</v>
      </c>
      <c r="V71" s="6" t="s">
        <v>6963</v>
      </c>
      <c r="W71" s="7" t="s">
        <v>74</v>
      </c>
      <c r="X71" s="7" t="s">
        <v>74</v>
      </c>
      <c r="Y71" s="7" t="s">
        <v>74</v>
      </c>
      <c r="Z71" s="7" t="s">
        <v>74</v>
      </c>
      <c r="AA71" s="7" t="s">
        <v>74</v>
      </c>
      <c r="AB71" s="7" t="s">
        <v>74</v>
      </c>
      <c r="AC71" s="7" t="s">
        <v>74</v>
      </c>
      <c r="AD71" s="7" t="s">
        <v>74</v>
      </c>
      <c r="AE71" s="7" t="s">
        <v>74</v>
      </c>
      <c r="AF71" s="7" t="s">
        <v>74</v>
      </c>
      <c r="AG71" s="7" t="s">
        <v>74</v>
      </c>
      <c r="AH71" s="7" t="s">
        <v>74</v>
      </c>
      <c r="AI71" s="7" t="s">
        <v>74</v>
      </c>
      <c r="AJ71" s="7" t="s">
        <v>74</v>
      </c>
      <c r="AK71" s="7" t="s">
        <v>74</v>
      </c>
      <c r="AL71" s="7" t="s">
        <v>74</v>
      </c>
      <c r="AM71" s="7" t="s">
        <v>74</v>
      </c>
      <c r="AN71" s="7" t="s">
        <v>74</v>
      </c>
      <c r="AO71" s="7" t="s">
        <v>5131</v>
      </c>
      <c r="AP71" s="7" t="s">
        <v>5132</v>
      </c>
      <c r="AQ71" s="7" t="s">
        <v>74</v>
      </c>
      <c r="AR71" s="7" t="s">
        <v>74</v>
      </c>
      <c r="AS71" s="7" t="s">
        <v>74</v>
      </c>
      <c r="AT71" s="7" t="s">
        <v>74</v>
      </c>
      <c r="AU71" s="7">
        <v>1979</v>
      </c>
      <c r="AV71" s="7">
        <v>67</v>
      </c>
      <c r="AW71" s="7" t="s">
        <v>548</v>
      </c>
      <c r="AX71" s="7" t="s">
        <v>74</v>
      </c>
      <c r="AY71" s="7" t="s">
        <v>74</v>
      </c>
      <c r="AZ71" s="7" t="s">
        <v>74</v>
      </c>
      <c r="BA71" s="7" t="s">
        <v>74</v>
      </c>
      <c r="BB71" s="7">
        <v>28</v>
      </c>
      <c r="BC71" s="7">
        <v>41</v>
      </c>
      <c r="BD71" s="7" t="s">
        <v>74</v>
      </c>
      <c r="BE71" s="7" t="s">
        <v>74</v>
      </c>
      <c r="BF71" s="7" t="s">
        <v>74</v>
      </c>
      <c r="BG71" s="7" t="s">
        <v>74</v>
      </c>
      <c r="BH71" s="7" t="s">
        <v>74</v>
      </c>
      <c r="BI71" s="7" t="s">
        <v>74</v>
      </c>
      <c r="BJ71" s="7" t="s">
        <v>74</v>
      </c>
      <c r="BK71" s="7" t="s">
        <v>74</v>
      </c>
      <c r="BL71" s="7" t="s">
        <v>74</v>
      </c>
      <c r="BM71" s="7" t="s">
        <v>74</v>
      </c>
      <c r="BN71" s="7" t="s">
        <v>74</v>
      </c>
      <c r="BO71" s="7" t="s">
        <v>74</v>
      </c>
      <c r="BP71" s="7" t="s">
        <v>74</v>
      </c>
      <c r="BQ71" s="7" t="s">
        <v>74</v>
      </c>
      <c r="BR71" s="7" t="s">
        <v>74</v>
      </c>
      <c r="BS71" s="7" t="s">
        <v>6964</v>
      </c>
      <c r="BT71" s="7" t="str">
        <f>HYPERLINK("https%3A%2F%2Fwww.webofscience.com%2Fwos%2Fwoscc%2Ffull-record%2FWOS:A1979JH79300004","View Full Record in Web of Science")</f>
        <v>View Full Record in Web of Science</v>
      </c>
    </row>
    <row r="72" spans="1:72" s="2" customFormat="1" x14ac:dyDescent="0.4">
      <c r="A72" s="7" t="s">
        <v>72</v>
      </c>
      <c r="B72" s="7" t="s">
        <v>4593</v>
      </c>
      <c r="C72" s="7" t="s">
        <v>74</v>
      </c>
      <c r="D72" s="7" t="s">
        <v>74</v>
      </c>
      <c r="E72" s="7" t="s">
        <v>74</v>
      </c>
      <c r="F72" s="7" t="s">
        <v>4594</v>
      </c>
      <c r="G72" s="7" t="s">
        <v>74</v>
      </c>
      <c r="H72" s="7" t="s">
        <v>74</v>
      </c>
      <c r="I72" s="7" t="s">
        <v>4595</v>
      </c>
      <c r="J72" s="7" t="s">
        <v>201</v>
      </c>
      <c r="K72" s="7" t="s">
        <v>74</v>
      </c>
      <c r="L72" s="7" t="s">
        <v>74</v>
      </c>
      <c r="M72" s="7" t="s">
        <v>74</v>
      </c>
      <c r="N72" s="7" t="s">
        <v>74</v>
      </c>
      <c r="O72" s="7" t="s">
        <v>74</v>
      </c>
      <c r="P72" s="7" t="s">
        <v>74</v>
      </c>
      <c r="Q72" s="7" t="s">
        <v>74</v>
      </c>
      <c r="R72" s="7" t="s">
        <v>74</v>
      </c>
      <c r="S72" s="7" t="s">
        <v>74</v>
      </c>
      <c r="T72" s="7" t="s">
        <v>74</v>
      </c>
      <c r="U72" s="7" t="s">
        <v>74</v>
      </c>
      <c r="V72" s="6" t="s">
        <v>4596</v>
      </c>
      <c r="W72" s="7" t="s">
        <v>74</v>
      </c>
      <c r="X72" s="7" t="s">
        <v>74</v>
      </c>
      <c r="Y72" s="7" t="s">
        <v>74</v>
      </c>
      <c r="Z72" s="7" t="s">
        <v>74</v>
      </c>
      <c r="AA72" s="7" t="s">
        <v>4597</v>
      </c>
      <c r="AB72" s="7" t="s">
        <v>4598</v>
      </c>
      <c r="AC72" s="7" t="s">
        <v>74</v>
      </c>
      <c r="AD72" s="7" t="s">
        <v>74</v>
      </c>
      <c r="AE72" s="7" t="s">
        <v>74</v>
      </c>
      <c r="AF72" s="7" t="s">
        <v>74</v>
      </c>
      <c r="AG72" s="7" t="s">
        <v>74</v>
      </c>
      <c r="AH72" s="7" t="s">
        <v>74</v>
      </c>
      <c r="AI72" s="7" t="s">
        <v>74</v>
      </c>
      <c r="AJ72" s="7" t="s">
        <v>74</v>
      </c>
      <c r="AK72" s="7" t="s">
        <v>74</v>
      </c>
      <c r="AL72" s="7" t="s">
        <v>74</v>
      </c>
      <c r="AM72" s="7" t="s">
        <v>74</v>
      </c>
      <c r="AN72" s="7" t="s">
        <v>74</v>
      </c>
      <c r="AO72" s="7" t="s">
        <v>203</v>
      </c>
      <c r="AP72" s="7" t="s">
        <v>1192</v>
      </c>
      <c r="AQ72" s="7" t="s">
        <v>74</v>
      </c>
      <c r="AR72" s="7" t="s">
        <v>74</v>
      </c>
      <c r="AS72" s="7" t="s">
        <v>74</v>
      </c>
      <c r="AT72" s="7" t="s">
        <v>134</v>
      </c>
      <c r="AU72" s="7">
        <v>2022</v>
      </c>
      <c r="AV72" s="7">
        <v>100</v>
      </c>
      <c r="AW72" s="7">
        <v>5</v>
      </c>
      <c r="AX72" s="7" t="s">
        <v>74</v>
      </c>
      <c r="AY72" s="7" t="s">
        <v>74</v>
      </c>
      <c r="AZ72" s="7" t="s">
        <v>74</v>
      </c>
      <c r="BA72" s="7" t="s">
        <v>74</v>
      </c>
      <c r="BB72" s="7">
        <v>1264</v>
      </c>
      <c r="BC72" s="7">
        <v>1271</v>
      </c>
      <c r="BD72" s="7" t="s">
        <v>74</v>
      </c>
      <c r="BE72" s="7" t="s">
        <v>4599</v>
      </c>
      <c r="BF72" s="7" t="str">
        <f>HYPERLINK("http://dx.doi.org/10.1111/jfb.15040","http://dx.doi.org/10.1111/jfb.15040")</f>
        <v>http://dx.doi.org/10.1111/jfb.15040</v>
      </c>
      <c r="BG72" s="7" t="s">
        <v>74</v>
      </c>
      <c r="BH72" s="7" t="s">
        <v>415</v>
      </c>
      <c r="BI72" s="7" t="s">
        <v>74</v>
      </c>
      <c r="BJ72" s="7" t="s">
        <v>74</v>
      </c>
      <c r="BK72" s="7" t="s">
        <v>74</v>
      </c>
      <c r="BL72" s="7" t="s">
        <v>74</v>
      </c>
      <c r="BM72" s="7" t="s">
        <v>74</v>
      </c>
      <c r="BN72" s="7">
        <v>35289932</v>
      </c>
      <c r="BO72" s="7" t="s">
        <v>74</v>
      </c>
      <c r="BP72" s="7" t="s">
        <v>74</v>
      </c>
      <c r="BQ72" s="7" t="s">
        <v>74</v>
      </c>
      <c r="BR72" s="7" t="s">
        <v>74</v>
      </c>
      <c r="BS72" s="7" t="s">
        <v>4600</v>
      </c>
      <c r="BT72" s="7" t="str">
        <f>HYPERLINK("https%3A%2F%2Fwww.webofscience.com%2Fwos%2Fwoscc%2Ffull-record%2FWOS:000774829300001","View Full Record in Web of Science")</f>
        <v>View Full Record in Web of Science</v>
      </c>
    </row>
    <row r="73" spans="1:72" s="2" customFormat="1" x14ac:dyDescent="0.4">
      <c r="A73" s="7" t="s">
        <v>72</v>
      </c>
      <c r="B73" s="7" t="s">
        <v>5652</v>
      </c>
      <c r="C73" s="7" t="s">
        <v>74</v>
      </c>
      <c r="D73" s="7" t="s">
        <v>74</v>
      </c>
      <c r="E73" s="7" t="s">
        <v>74</v>
      </c>
      <c r="F73" s="7" t="s">
        <v>5653</v>
      </c>
      <c r="G73" s="7" t="s">
        <v>74</v>
      </c>
      <c r="H73" s="7" t="s">
        <v>74</v>
      </c>
      <c r="I73" s="7" t="s">
        <v>5654</v>
      </c>
      <c r="J73" s="7" t="s">
        <v>5655</v>
      </c>
      <c r="K73" s="7" t="s">
        <v>74</v>
      </c>
      <c r="L73" s="7" t="s">
        <v>74</v>
      </c>
      <c r="M73" s="7" t="s">
        <v>74</v>
      </c>
      <c r="N73" s="7" t="s">
        <v>74</v>
      </c>
      <c r="O73" s="7" t="s">
        <v>74</v>
      </c>
      <c r="P73" s="7" t="s">
        <v>74</v>
      </c>
      <c r="Q73" s="7" t="s">
        <v>74</v>
      </c>
      <c r="R73" s="7" t="s">
        <v>74</v>
      </c>
      <c r="S73" s="7" t="s">
        <v>74</v>
      </c>
      <c r="T73" s="7" t="s">
        <v>74</v>
      </c>
      <c r="U73" s="7" t="s">
        <v>74</v>
      </c>
      <c r="V73" s="6" t="s">
        <v>5656</v>
      </c>
      <c r="W73" s="7" t="s">
        <v>74</v>
      </c>
      <c r="X73" s="7" t="s">
        <v>74</v>
      </c>
      <c r="Y73" s="7" t="s">
        <v>74</v>
      </c>
      <c r="Z73" s="7" t="s">
        <v>74</v>
      </c>
      <c r="AA73" s="7" t="s">
        <v>74</v>
      </c>
      <c r="AB73" s="7" t="s">
        <v>74</v>
      </c>
      <c r="AC73" s="7" t="s">
        <v>74</v>
      </c>
      <c r="AD73" s="7" t="s">
        <v>74</v>
      </c>
      <c r="AE73" s="7" t="s">
        <v>74</v>
      </c>
      <c r="AF73" s="7" t="s">
        <v>74</v>
      </c>
      <c r="AG73" s="7" t="s">
        <v>74</v>
      </c>
      <c r="AH73" s="7" t="s">
        <v>74</v>
      </c>
      <c r="AI73" s="7" t="s">
        <v>74</v>
      </c>
      <c r="AJ73" s="7" t="s">
        <v>74</v>
      </c>
      <c r="AK73" s="7" t="s">
        <v>74</v>
      </c>
      <c r="AL73" s="7" t="s">
        <v>74</v>
      </c>
      <c r="AM73" s="7" t="s">
        <v>74</v>
      </c>
      <c r="AN73" s="7" t="s">
        <v>74</v>
      </c>
      <c r="AO73" s="7" t="s">
        <v>5657</v>
      </c>
      <c r="AP73" s="7" t="s">
        <v>74</v>
      </c>
      <c r="AQ73" s="7" t="s">
        <v>74</v>
      </c>
      <c r="AR73" s="7" t="s">
        <v>74</v>
      </c>
      <c r="AS73" s="7" t="s">
        <v>74</v>
      </c>
      <c r="AT73" s="7" t="s">
        <v>74</v>
      </c>
      <c r="AU73" s="7">
        <v>2020</v>
      </c>
      <c r="AV73" s="7">
        <v>19</v>
      </c>
      <c r="AW73" s="7">
        <v>6</v>
      </c>
      <c r="AX73" s="7" t="s">
        <v>74</v>
      </c>
      <c r="AY73" s="7" t="s">
        <v>74</v>
      </c>
      <c r="AZ73" s="7" t="s">
        <v>74</v>
      </c>
      <c r="BA73" s="7" t="s">
        <v>74</v>
      </c>
      <c r="BB73" s="7">
        <v>2770</v>
      </c>
      <c r="BC73" s="7">
        <v>2789</v>
      </c>
      <c r="BD73" s="7" t="s">
        <v>74</v>
      </c>
      <c r="BE73" s="7" t="s">
        <v>5658</v>
      </c>
      <c r="BF73" s="7" t="str">
        <f>HYPERLINK("http://dx.doi.org/10.22092/ijfs.2020.122739","http://dx.doi.org/10.22092/ijfs.2020.122739")</f>
        <v>http://dx.doi.org/10.22092/ijfs.2020.122739</v>
      </c>
      <c r="BG73" s="7" t="s">
        <v>74</v>
      </c>
      <c r="BH73" s="7" t="s">
        <v>74</v>
      </c>
      <c r="BI73" s="7" t="s">
        <v>74</v>
      </c>
      <c r="BJ73" s="7" t="s">
        <v>74</v>
      </c>
      <c r="BK73" s="7" t="s">
        <v>74</v>
      </c>
      <c r="BL73" s="7" t="s">
        <v>74</v>
      </c>
      <c r="BM73" s="7" t="s">
        <v>74</v>
      </c>
      <c r="BN73" s="7" t="s">
        <v>74</v>
      </c>
      <c r="BO73" s="7" t="s">
        <v>74</v>
      </c>
      <c r="BP73" s="7" t="s">
        <v>74</v>
      </c>
      <c r="BQ73" s="7" t="s">
        <v>74</v>
      </c>
      <c r="BR73" s="7" t="s">
        <v>74</v>
      </c>
      <c r="BS73" s="7" t="s">
        <v>5659</v>
      </c>
      <c r="BT73" s="7" t="str">
        <f>HYPERLINK("https%3A%2F%2Fwww.webofscience.com%2Fwos%2Fwoscc%2Ffull-record%2FWOS:000600344000002","View Full Record in Web of Science")</f>
        <v>View Full Record in Web of Science</v>
      </c>
    </row>
    <row r="74" spans="1:72" s="2" customFormat="1" x14ac:dyDescent="0.4">
      <c r="A74" s="7" t="s">
        <v>72</v>
      </c>
      <c r="B74" s="7" t="s">
        <v>6129</v>
      </c>
      <c r="C74" s="7" t="s">
        <v>74</v>
      </c>
      <c r="D74" s="7" t="s">
        <v>74</v>
      </c>
      <c r="E74" s="7" t="s">
        <v>74</v>
      </c>
      <c r="F74" s="7" t="s">
        <v>6129</v>
      </c>
      <c r="G74" s="7" t="s">
        <v>74</v>
      </c>
      <c r="H74" s="7" t="s">
        <v>74</v>
      </c>
      <c r="I74" s="7" t="s">
        <v>6130</v>
      </c>
      <c r="J74" s="7" t="s">
        <v>129</v>
      </c>
      <c r="K74" s="7" t="s">
        <v>74</v>
      </c>
      <c r="L74" s="7" t="s">
        <v>74</v>
      </c>
      <c r="M74" s="7" t="s">
        <v>74</v>
      </c>
      <c r="N74" s="7" t="s">
        <v>74</v>
      </c>
      <c r="O74" s="7" t="s">
        <v>74</v>
      </c>
      <c r="P74" s="7" t="s">
        <v>74</v>
      </c>
      <c r="Q74" s="7" t="s">
        <v>74</v>
      </c>
      <c r="R74" s="7" t="s">
        <v>74</v>
      </c>
      <c r="S74" s="7" t="s">
        <v>74</v>
      </c>
      <c r="T74" s="7" t="s">
        <v>74</v>
      </c>
      <c r="U74" s="7" t="s">
        <v>74</v>
      </c>
      <c r="V74" s="6" t="s">
        <v>6131</v>
      </c>
      <c r="W74" s="7" t="s">
        <v>74</v>
      </c>
      <c r="X74" s="7" t="s">
        <v>74</v>
      </c>
      <c r="Y74" s="7" t="s">
        <v>74</v>
      </c>
      <c r="Z74" s="7" t="s">
        <v>74</v>
      </c>
      <c r="AA74" s="7" t="s">
        <v>74</v>
      </c>
      <c r="AB74" s="7" t="s">
        <v>74</v>
      </c>
      <c r="AC74" s="7" t="s">
        <v>74</v>
      </c>
      <c r="AD74" s="7" t="s">
        <v>74</v>
      </c>
      <c r="AE74" s="7" t="s">
        <v>74</v>
      </c>
      <c r="AF74" s="7" t="s">
        <v>74</v>
      </c>
      <c r="AG74" s="7" t="s">
        <v>74</v>
      </c>
      <c r="AH74" s="7" t="s">
        <v>74</v>
      </c>
      <c r="AI74" s="7" t="s">
        <v>74</v>
      </c>
      <c r="AJ74" s="7" t="s">
        <v>74</v>
      </c>
      <c r="AK74" s="7" t="s">
        <v>74</v>
      </c>
      <c r="AL74" s="7" t="s">
        <v>74</v>
      </c>
      <c r="AM74" s="7" t="s">
        <v>74</v>
      </c>
      <c r="AN74" s="7" t="s">
        <v>74</v>
      </c>
      <c r="AO74" s="7" t="s">
        <v>132</v>
      </c>
      <c r="AP74" s="7" t="s">
        <v>133</v>
      </c>
      <c r="AQ74" s="7" t="s">
        <v>74</v>
      </c>
      <c r="AR74" s="7" t="s">
        <v>74</v>
      </c>
      <c r="AS74" s="7" t="s">
        <v>74</v>
      </c>
      <c r="AT74" s="7" t="s">
        <v>74</v>
      </c>
      <c r="AU74" s="7">
        <v>1986</v>
      </c>
      <c r="AV74" s="7">
        <v>19</v>
      </c>
      <c r="AW74" s="7">
        <v>1</v>
      </c>
      <c r="AX74" s="7" t="s">
        <v>74</v>
      </c>
      <c r="AY74" s="7" t="s">
        <v>74</v>
      </c>
      <c r="AZ74" s="7" t="s">
        <v>74</v>
      </c>
      <c r="BA74" s="7" t="s">
        <v>74</v>
      </c>
      <c r="BB74" s="7">
        <v>1</v>
      </c>
      <c r="BC74" s="7">
        <v>8</v>
      </c>
      <c r="BD74" s="7" t="s">
        <v>74</v>
      </c>
      <c r="BE74" s="7" t="s">
        <v>6132</v>
      </c>
      <c r="BF74" s="7" t="str">
        <f>HYPERLINK("http://dx.doi.org/10.1007/BF00303836","http://dx.doi.org/10.1007/BF00303836")</f>
        <v>http://dx.doi.org/10.1007/BF00303836</v>
      </c>
      <c r="BG74" s="7" t="s">
        <v>74</v>
      </c>
      <c r="BH74" s="7" t="s">
        <v>74</v>
      </c>
      <c r="BI74" s="7" t="s">
        <v>74</v>
      </c>
      <c r="BJ74" s="7" t="s">
        <v>74</v>
      </c>
      <c r="BK74" s="7" t="s">
        <v>74</v>
      </c>
      <c r="BL74" s="7" t="s">
        <v>74</v>
      </c>
      <c r="BM74" s="7" t="s">
        <v>74</v>
      </c>
      <c r="BN74" s="7" t="s">
        <v>74</v>
      </c>
      <c r="BO74" s="7" t="s">
        <v>74</v>
      </c>
      <c r="BP74" s="7" t="s">
        <v>74</v>
      </c>
      <c r="BQ74" s="7" t="s">
        <v>74</v>
      </c>
      <c r="BR74" s="7" t="s">
        <v>74</v>
      </c>
      <c r="BS74" s="7" t="s">
        <v>6133</v>
      </c>
      <c r="BT74" s="7" t="str">
        <f>HYPERLINK("https%3A%2F%2Fwww.webofscience.com%2Fwos%2Fwoscc%2Ffull-record%2FWOS:A1986C822500001","View Full Record in Web of Science")</f>
        <v>View Full Record in Web of Science</v>
      </c>
    </row>
    <row r="75" spans="1:72" s="2" customFormat="1" x14ac:dyDescent="0.4">
      <c r="A75" s="7" t="s">
        <v>72</v>
      </c>
      <c r="B75" s="7" t="s">
        <v>3570</v>
      </c>
      <c r="C75" s="7" t="s">
        <v>74</v>
      </c>
      <c r="D75" s="7" t="s">
        <v>74</v>
      </c>
      <c r="E75" s="7" t="s">
        <v>74</v>
      </c>
      <c r="F75" s="7" t="s">
        <v>3571</v>
      </c>
      <c r="G75" s="7" t="s">
        <v>74</v>
      </c>
      <c r="H75" s="7" t="s">
        <v>74</v>
      </c>
      <c r="I75" s="7" t="s">
        <v>3572</v>
      </c>
      <c r="J75" s="7" t="s">
        <v>140</v>
      </c>
      <c r="K75" s="7" t="s">
        <v>74</v>
      </c>
      <c r="L75" s="7" t="s">
        <v>74</v>
      </c>
      <c r="M75" s="7" t="s">
        <v>74</v>
      </c>
      <c r="N75" s="7" t="s">
        <v>74</v>
      </c>
      <c r="O75" s="7" t="s">
        <v>74</v>
      </c>
      <c r="P75" s="7" t="s">
        <v>74</v>
      </c>
      <c r="Q75" s="7" t="s">
        <v>74</v>
      </c>
      <c r="R75" s="7" t="s">
        <v>74</v>
      </c>
      <c r="S75" s="7" t="s">
        <v>74</v>
      </c>
      <c r="T75" s="7" t="s">
        <v>74</v>
      </c>
      <c r="U75" s="7" t="s">
        <v>74</v>
      </c>
      <c r="V75" s="6" t="s">
        <v>3573</v>
      </c>
      <c r="W75" s="7" t="s">
        <v>74</v>
      </c>
      <c r="X75" s="7" t="s">
        <v>74</v>
      </c>
      <c r="Y75" s="7" t="s">
        <v>74</v>
      </c>
      <c r="Z75" s="7" t="s">
        <v>74</v>
      </c>
      <c r="AA75" s="7" t="s">
        <v>3574</v>
      </c>
      <c r="AB75" s="7" t="s">
        <v>3575</v>
      </c>
      <c r="AC75" s="7" t="s">
        <v>74</v>
      </c>
      <c r="AD75" s="7" t="s">
        <v>74</v>
      </c>
      <c r="AE75" s="7" t="s">
        <v>74</v>
      </c>
      <c r="AF75" s="7" t="s">
        <v>74</v>
      </c>
      <c r="AG75" s="7" t="s">
        <v>74</v>
      </c>
      <c r="AH75" s="7" t="s">
        <v>74</v>
      </c>
      <c r="AI75" s="7" t="s">
        <v>74</v>
      </c>
      <c r="AJ75" s="7" t="s">
        <v>74</v>
      </c>
      <c r="AK75" s="7" t="s">
        <v>74</v>
      </c>
      <c r="AL75" s="7" t="s">
        <v>74</v>
      </c>
      <c r="AM75" s="7" t="s">
        <v>74</v>
      </c>
      <c r="AN75" s="7" t="s">
        <v>74</v>
      </c>
      <c r="AO75" s="7" t="s">
        <v>143</v>
      </c>
      <c r="AP75" s="7" t="s">
        <v>144</v>
      </c>
      <c r="AQ75" s="7" t="s">
        <v>74</v>
      </c>
      <c r="AR75" s="7" t="s">
        <v>74</v>
      </c>
      <c r="AS75" s="7" t="s">
        <v>74</v>
      </c>
      <c r="AT75" s="7" t="s">
        <v>305</v>
      </c>
      <c r="AU75" s="7">
        <v>2021</v>
      </c>
      <c r="AV75" s="7">
        <v>182</v>
      </c>
      <c r="AW75" s="7" t="s">
        <v>74</v>
      </c>
      <c r="AX75" s="7" t="s">
        <v>74</v>
      </c>
      <c r="AY75" s="7" t="s">
        <v>74</v>
      </c>
      <c r="AZ75" s="7" t="s">
        <v>74</v>
      </c>
      <c r="BA75" s="7" t="s">
        <v>74</v>
      </c>
      <c r="BB75" s="7">
        <v>239</v>
      </c>
      <c r="BC75" s="7">
        <v>250</v>
      </c>
      <c r="BD75" s="7" t="s">
        <v>74</v>
      </c>
      <c r="BE75" s="7" t="s">
        <v>3576</v>
      </c>
      <c r="BF75" s="7" t="str">
        <f>HYPERLINK("http://dx.doi.org/10.1016/j.anbehav.2021.09.011","http://dx.doi.org/10.1016/j.anbehav.2021.09.011")</f>
        <v>http://dx.doi.org/10.1016/j.anbehav.2021.09.011</v>
      </c>
      <c r="BG75" s="7" t="s">
        <v>74</v>
      </c>
      <c r="BH75" s="7" t="s">
        <v>74</v>
      </c>
      <c r="BI75" s="7" t="s">
        <v>74</v>
      </c>
      <c r="BJ75" s="7" t="s">
        <v>74</v>
      </c>
      <c r="BK75" s="7" t="s">
        <v>74</v>
      </c>
      <c r="BL75" s="7" t="s">
        <v>74</v>
      </c>
      <c r="BM75" s="7" t="s">
        <v>74</v>
      </c>
      <c r="BN75" s="7" t="s">
        <v>74</v>
      </c>
      <c r="BO75" s="7" t="s">
        <v>74</v>
      </c>
      <c r="BP75" s="7" t="s">
        <v>74</v>
      </c>
      <c r="BQ75" s="7" t="s">
        <v>74</v>
      </c>
      <c r="BR75" s="7" t="s">
        <v>74</v>
      </c>
      <c r="BS75" s="7" t="s">
        <v>3577</v>
      </c>
      <c r="BT75" s="7" t="str">
        <f>HYPERLINK("https%3A%2F%2Fwww.webofscience.com%2Fwos%2Fwoscc%2Ffull-record%2FWOS:000907004000003","View Full Record in Web of Science")</f>
        <v>View Full Record in Web of Science</v>
      </c>
    </row>
    <row r="76" spans="1:72" s="2" customFormat="1" x14ac:dyDescent="0.4">
      <c r="A76" s="7" t="s">
        <v>72</v>
      </c>
      <c r="B76" s="7" t="s">
        <v>573</v>
      </c>
      <c r="C76" s="7" t="s">
        <v>74</v>
      </c>
      <c r="D76" s="7" t="s">
        <v>74</v>
      </c>
      <c r="E76" s="7" t="s">
        <v>74</v>
      </c>
      <c r="F76" s="7" t="s">
        <v>574</v>
      </c>
      <c r="G76" s="7" t="s">
        <v>74</v>
      </c>
      <c r="H76" s="7" t="s">
        <v>74</v>
      </c>
      <c r="I76" s="7" t="s">
        <v>575</v>
      </c>
      <c r="J76" s="7" t="s">
        <v>576</v>
      </c>
      <c r="K76" s="7" t="s">
        <v>74</v>
      </c>
      <c r="L76" s="7" t="s">
        <v>74</v>
      </c>
      <c r="M76" s="7" t="s">
        <v>74</v>
      </c>
      <c r="N76" s="7" t="s">
        <v>74</v>
      </c>
      <c r="O76" s="7" t="s">
        <v>74</v>
      </c>
      <c r="P76" s="7" t="s">
        <v>74</v>
      </c>
      <c r="Q76" s="7" t="s">
        <v>74</v>
      </c>
      <c r="R76" s="7" t="s">
        <v>74</v>
      </c>
      <c r="S76" s="7" t="s">
        <v>74</v>
      </c>
      <c r="T76" s="7" t="s">
        <v>74</v>
      </c>
      <c r="U76" s="7" t="s">
        <v>74</v>
      </c>
      <c r="V76" s="6" t="s">
        <v>577</v>
      </c>
      <c r="W76" s="7" t="s">
        <v>74</v>
      </c>
      <c r="X76" s="7" t="s">
        <v>74</v>
      </c>
      <c r="Y76" s="7" t="s">
        <v>74</v>
      </c>
      <c r="Z76" s="7" t="s">
        <v>74</v>
      </c>
      <c r="AA76" s="7" t="s">
        <v>74</v>
      </c>
      <c r="AB76" s="7" t="s">
        <v>578</v>
      </c>
      <c r="AC76" s="7" t="s">
        <v>74</v>
      </c>
      <c r="AD76" s="7" t="s">
        <v>74</v>
      </c>
      <c r="AE76" s="7" t="s">
        <v>74</v>
      </c>
      <c r="AF76" s="7" t="s">
        <v>74</v>
      </c>
      <c r="AG76" s="7" t="s">
        <v>74</v>
      </c>
      <c r="AH76" s="7" t="s">
        <v>74</v>
      </c>
      <c r="AI76" s="7" t="s">
        <v>74</v>
      </c>
      <c r="AJ76" s="7" t="s">
        <v>74</v>
      </c>
      <c r="AK76" s="7" t="s">
        <v>74</v>
      </c>
      <c r="AL76" s="7" t="s">
        <v>74</v>
      </c>
      <c r="AM76" s="7" t="s">
        <v>74</v>
      </c>
      <c r="AN76" s="7" t="s">
        <v>74</v>
      </c>
      <c r="AO76" s="7" t="s">
        <v>579</v>
      </c>
      <c r="AP76" s="7" t="s">
        <v>580</v>
      </c>
      <c r="AQ76" s="7" t="s">
        <v>74</v>
      </c>
      <c r="AR76" s="7" t="s">
        <v>74</v>
      </c>
      <c r="AS76" s="7" t="s">
        <v>74</v>
      </c>
      <c r="AT76" s="7" t="s">
        <v>581</v>
      </c>
      <c r="AU76" s="7">
        <v>2024</v>
      </c>
      <c r="AV76" s="7" t="s">
        <v>74</v>
      </c>
      <c r="AW76" s="7" t="s">
        <v>74</v>
      </c>
      <c r="AX76" s="7" t="s">
        <v>74</v>
      </c>
      <c r="AY76" s="7" t="s">
        <v>74</v>
      </c>
      <c r="AZ76" s="7" t="s">
        <v>74</v>
      </c>
      <c r="BA76" s="7" t="s">
        <v>74</v>
      </c>
      <c r="BB76" s="7" t="s">
        <v>74</v>
      </c>
      <c r="BC76" s="7" t="s">
        <v>74</v>
      </c>
      <c r="BD76" s="7" t="s">
        <v>74</v>
      </c>
      <c r="BE76" s="7" t="s">
        <v>582</v>
      </c>
      <c r="BF76" s="7" t="str">
        <f>HYPERLINK("http://dx.doi.org/10.1007/s10682-023-10285-x","http://dx.doi.org/10.1007/s10682-023-10285-x")</f>
        <v>http://dx.doi.org/10.1007/s10682-023-10285-x</v>
      </c>
      <c r="BG76" s="7" t="s">
        <v>74</v>
      </c>
      <c r="BH76" s="7" t="s">
        <v>583</v>
      </c>
      <c r="BI76" s="7" t="s">
        <v>74</v>
      </c>
      <c r="BJ76" s="7" t="s">
        <v>74</v>
      </c>
      <c r="BK76" s="7" t="s">
        <v>74</v>
      </c>
      <c r="BL76" s="7" t="s">
        <v>74</v>
      </c>
      <c r="BM76" s="7" t="s">
        <v>74</v>
      </c>
      <c r="BN76" s="7" t="s">
        <v>74</v>
      </c>
      <c r="BO76" s="7" t="s">
        <v>74</v>
      </c>
      <c r="BP76" s="7" t="s">
        <v>74</v>
      </c>
      <c r="BQ76" s="7" t="s">
        <v>74</v>
      </c>
      <c r="BR76" s="7" t="s">
        <v>74</v>
      </c>
      <c r="BS76" s="7" t="s">
        <v>584</v>
      </c>
      <c r="BT76" s="7" t="str">
        <f>HYPERLINK("https%3A%2F%2Fwww.webofscience.com%2Fwos%2Fwoscc%2Ffull-record%2FWOS:001150340400001","View Full Record in Web of Science")</f>
        <v>View Full Record in Web of Science</v>
      </c>
    </row>
    <row r="77" spans="1:72" s="1" customFormat="1" x14ac:dyDescent="0.4">
      <c r="A77" s="7" t="s">
        <v>72</v>
      </c>
      <c r="B77" s="7" t="s">
        <v>5902</v>
      </c>
      <c r="C77" s="7" t="s">
        <v>74</v>
      </c>
      <c r="D77" s="7" t="s">
        <v>74</v>
      </c>
      <c r="E77" s="7" t="s">
        <v>74</v>
      </c>
      <c r="F77" s="7" t="s">
        <v>5903</v>
      </c>
      <c r="G77" s="7" t="s">
        <v>74</v>
      </c>
      <c r="H77" s="7" t="s">
        <v>74</v>
      </c>
      <c r="I77" s="7" t="s">
        <v>5904</v>
      </c>
      <c r="J77" s="7" t="s">
        <v>775</v>
      </c>
      <c r="K77" s="7" t="s">
        <v>74</v>
      </c>
      <c r="L77" s="7" t="s">
        <v>74</v>
      </c>
      <c r="M77" s="7" t="s">
        <v>74</v>
      </c>
      <c r="N77" s="7" t="s">
        <v>74</v>
      </c>
      <c r="O77" s="7" t="s">
        <v>74</v>
      </c>
      <c r="P77" s="7" t="s">
        <v>74</v>
      </c>
      <c r="Q77" s="7" t="s">
        <v>74</v>
      </c>
      <c r="R77" s="7" t="s">
        <v>74</v>
      </c>
      <c r="S77" s="7" t="s">
        <v>74</v>
      </c>
      <c r="T77" s="7" t="s">
        <v>74</v>
      </c>
      <c r="U77" s="7" t="s">
        <v>74</v>
      </c>
      <c r="V77" s="6" t="s">
        <v>5905</v>
      </c>
      <c r="W77" s="7" t="s">
        <v>74</v>
      </c>
      <c r="X77" s="7" t="s">
        <v>74</v>
      </c>
      <c r="Y77" s="7" t="s">
        <v>74</v>
      </c>
      <c r="Z77" s="7" t="s">
        <v>74</v>
      </c>
      <c r="AA77" s="7" t="s">
        <v>5906</v>
      </c>
      <c r="AB77" s="7" t="s">
        <v>5907</v>
      </c>
      <c r="AC77" s="7" t="s">
        <v>74</v>
      </c>
      <c r="AD77" s="7" t="s">
        <v>74</v>
      </c>
      <c r="AE77" s="7" t="s">
        <v>74</v>
      </c>
      <c r="AF77" s="7" t="s">
        <v>74</v>
      </c>
      <c r="AG77" s="7" t="s">
        <v>74</v>
      </c>
      <c r="AH77" s="7" t="s">
        <v>74</v>
      </c>
      <c r="AI77" s="7" t="s">
        <v>74</v>
      </c>
      <c r="AJ77" s="7" t="s">
        <v>74</v>
      </c>
      <c r="AK77" s="7" t="s">
        <v>74</v>
      </c>
      <c r="AL77" s="7" t="s">
        <v>74</v>
      </c>
      <c r="AM77" s="7" t="s">
        <v>74</v>
      </c>
      <c r="AN77" s="7" t="s">
        <v>74</v>
      </c>
      <c r="AO77" s="7" t="s">
        <v>778</v>
      </c>
      <c r="AP77" s="7" t="s">
        <v>779</v>
      </c>
      <c r="AQ77" s="7" t="s">
        <v>74</v>
      </c>
      <c r="AR77" s="7" t="s">
        <v>74</v>
      </c>
      <c r="AS77" s="7" t="s">
        <v>74</v>
      </c>
      <c r="AT77" s="7" t="s">
        <v>2296</v>
      </c>
      <c r="AU77" s="7">
        <v>2024</v>
      </c>
      <c r="AV77" s="7">
        <v>70</v>
      </c>
      <c r="AW77" s="7">
        <v>1</v>
      </c>
      <c r="AX77" s="7" t="s">
        <v>74</v>
      </c>
      <c r="AY77" s="7" t="s">
        <v>74</v>
      </c>
      <c r="AZ77" s="7" t="s">
        <v>74</v>
      </c>
      <c r="BA77" s="7" t="s">
        <v>74</v>
      </c>
      <c r="BB77" s="7">
        <v>70</v>
      </c>
      <c r="BC77" s="7">
        <v>78</v>
      </c>
      <c r="BD77" s="7" t="s">
        <v>74</v>
      </c>
      <c r="BE77" s="7" t="s">
        <v>5908</v>
      </c>
      <c r="BF77" s="7" t="str">
        <f>HYPERLINK("http://dx.doi.org/10.1093/cz/zoac100","http://dx.doi.org/10.1093/cz/zoac100")</f>
        <v>http://dx.doi.org/10.1093/cz/zoac100</v>
      </c>
      <c r="BG77" s="7" t="s">
        <v>74</v>
      </c>
      <c r="BH77" s="7" t="s">
        <v>5909</v>
      </c>
      <c r="BI77" s="7" t="s">
        <v>74</v>
      </c>
      <c r="BJ77" s="7" t="s">
        <v>74</v>
      </c>
      <c r="BK77" s="7" t="s">
        <v>74</v>
      </c>
      <c r="BL77" s="7" t="s">
        <v>74</v>
      </c>
      <c r="BM77" s="7" t="s">
        <v>74</v>
      </c>
      <c r="BN77" s="7">
        <v>38476131</v>
      </c>
      <c r="BO77" s="7" t="s">
        <v>74</v>
      </c>
      <c r="BP77" s="7" t="s">
        <v>74</v>
      </c>
      <c r="BQ77" s="7" t="s">
        <v>74</v>
      </c>
      <c r="BR77" s="7" t="s">
        <v>74</v>
      </c>
      <c r="BS77" s="7" t="s">
        <v>5910</v>
      </c>
      <c r="BT77" s="7" t="str">
        <f>HYPERLINK("https%3A%2F%2Fwww.webofscience.com%2Fwos%2Fwoscc%2Ffull-record%2FWOS:000941795100001","View Full Record in Web of Science")</f>
        <v>View Full Record in Web of Science</v>
      </c>
    </row>
    <row r="78" spans="1:72" s="2" customFormat="1" x14ac:dyDescent="0.4">
      <c r="A78" s="7" t="s">
        <v>72</v>
      </c>
      <c r="B78" s="7" t="s">
        <v>7116</v>
      </c>
      <c r="C78" s="7" t="s">
        <v>74</v>
      </c>
      <c r="D78" s="7" t="s">
        <v>74</v>
      </c>
      <c r="E78" s="7" t="s">
        <v>74</v>
      </c>
      <c r="F78" s="7" t="s">
        <v>7117</v>
      </c>
      <c r="G78" s="7" t="s">
        <v>74</v>
      </c>
      <c r="H78" s="7" t="s">
        <v>74</v>
      </c>
      <c r="I78" s="7" t="s">
        <v>7118</v>
      </c>
      <c r="J78" s="7" t="s">
        <v>5577</v>
      </c>
      <c r="K78" s="7" t="s">
        <v>74</v>
      </c>
      <c r="L78" s="7" t="s">
        <v>74</v>
      </c>
      <c r="M78" s="7" t="s">
        <v>74</v>
      </c>
      <c r="N78" s="7" t="s">
        <v>74</v>
      </c>
      <c r="O78" s="7" t="s">
        <v>74</v>
      </c>
      <c r="P78" s="7" t="s">
        <v>74</v>
      </c>
      <c r="Q78" s="7" t="s">
        <v>74</v>
      </c>
      <c r="R78" s="7" t="s">
        <v>74</v>
      </c>
      <c r="S78" s="7" t="s">
        <v>74</v>
      </c>
      <c r="T78" s="7" t="s">
        <v>74</v>
      </c>
      <c r="U78" s="7" t="s">
        <v>74</v>
      </c>
      <c r="V78" s="6" t="s">
        <v>7119</v>
      </c>
      <c r="W78" s="7" t="s">
        <v>74</v>
      </c>
      <c r="X78" s="7" t="s">
        <v>74</v>
      </c>
      <c r="Y78" s="7" t="s">
        <v>74</v>
      </c>
      <c r="Z78" s="7" t="s">
        <v>74</v>
      </c>
      <c r="AA78" s="7" t="s">
        <v>74</v>
      </c>
      <c r="AB78" s="7" t="s">
        <v>74</v>
      </c>
      <c r="AC78" s="7" t="s">
        <v>74</v>
      </c>
      <c r="AD78" s="7" t="s">
        <v>74</v>
      </c>
      <c r="AE78" s="7" t="s">
        <v>74</v>
      </c>
      <c r="AF78" s="7" t="s">
        <v>74</v>
      </c>
      <c r="AG78" s="7" t="s">
        <v>74</v>
      </c>
      <c r="AH78" s="7" t="s">
        <v>74</v>
      </c>
      <c r="AI78" s="7" t="s">
        <v>74</v>
      </c>
      <c r="AJ78" s="7" t="s">
        <v>74</v>
      </c>
      <c r="AK78" s="7" t="s">
        <v>74</v>
      </c>
      <c r="AL78" s="7" t="s">
        <v>74</v>
      </c>
      <c r="AM78" s="7" t="s">
        <v>74</v>
      </c>
      <c r="AN78" s="7" t="s">
        <v>74</v>
      </c>
      <c r="AO78" s="7" t="s">
        <v>5579</v>
      </c>
      <c r="AP78" s="7" t="s">
        <v>74</v>
      </c>
      <c r="AQ78" s="7" t="s">
        <v>74</v>
      </c>
      <c r="AR78" s="7" t="s">
        <v>74</v>
      </c>
      <c r="AS78" s="7" t="s">
        <v>74</v>
      </c>
      <c r="AT78" s="7" t="s">
        <v>123</v>
      </c>
      <c r="AU78" s="7">
        <v>2022</v>
      </c>
      <c r="AV78" s="7">
        <v>101</v>
      </c>
      <c r="AW78" s="7">
        <v>3</v>
      </c>
      <c r="AX78" s="7" t="s">
        <v>74</v>
      </c>
      <c r="AY78" s="7" t="s">
        <v>74</v>
      </c>
      <c r="AZ78" s="7" t="s">
        <v>74</v>
      </c>
      <c r="BA78" s="7" t="s">
        <v>74</v>
      </c>
      <c r="BB78" s="7">
        <v>326</v>
      </c>
      <c r="BC78" s="7">
        <v>335</v>
      </c>
      <c r="BD78" s="7" t="s">
        <v>74</v>
      </c>
      <c r="BE78" s="7" t="s">
        <v>7120</v>
      </c>
      <c r="BF78" s="7" t="str">
        <f>HYPERLINK("http://dx.doi.org/10.31857/S0044513422010056","http://dx.doi.org/10.31857/S0044513422010056")</f>
        <v>http://dx.doi.org/10.31857/S0044513422010056</v>
      </c>
      <c r="BG78" s="7" t="s">
        <v>74</v>
      </c>
      <c r="BH78" s="7" t="s">
        <v>74</v>
      </c>
      <c r="BI78" s="7" t="s">
        <v>74</v>
      </c>
      <c r="BJ78" s="7" t="s">
        <v>74</v>
      </c>
      <c r="BK78" s="7" t="s">
        <v>74</v>
      </c>
      <c r="BL78" s="7" t="s">
        <v>74</v>
      </c>
      <c r="BM78" s="7" t="s">
        <v>74</v>
      </c>
      <c r="BN78" s="7" t="s">
        <v>74</v>
      </c>
      <c r="BO78" s="7" t="s">
        <v>74</v>
      </c>
      <c r="BP78" s="7" t="s">
        <v>74</v>
      </c>
      <c r="BQ78" s="7" t="s">
        <v>74</v>
      </c>
      <c r="BR78" s="7" t="s">
        <v>74</v>
      </c>
      <c r="BS78" s="7" t="s">
        <v>7121</v>
      </c>
      <c r="BT78" s="7" t="str">
        <f>HYPERLINK("https%3A%2F%2Fwww.webofscience.com%2Fwos%2Fwoscc%2Ffull-record%2FWOS:000851044400007","View Full Record in Web of Science")</f>
        <v>View Full Record in Web of Science</v>
      </c>
    </row>
    <row r="79" spans="1:72" s="2" customFormat="1" x14ac:dyDescent="0.4">
      <c r="A79" s="7" t="s">
        <v>72</v>
      </c>
      <c r="B79" s="7" t="s">
        <v>3892</v>
      </c>
      <c r="C79" s="7" t="s">
        <v>74</v>
      </c>
      <c r="D79" s="7" t="s">
        <v>74</v>
      </c>
      <c r="E79" s="7" t="s">
        <v>74</v>
      </c>
      <c r="F79" s="7" t="s">
        <v>3893</v>
      </c>
      <c r="G79" s="7" t="s">
        <v>74</v>
      </c>
      <c r="H79" s="7" t="s">
        <v>74</v>
      </c>
      <c r="I79" s="7" t="s">
        <v>3894</v>
      </c>
      <c r="J79" s="7" t="s">
        <v>140</v>
      </c>
      <c r="K79" s="7" t="s">
        <v>74</v>
      </c>
      <c r="L79" s="7" t="s">
        <v>74</v>
      </c>
      <c r="M79" s="7" t="s">
        <v>74</v>
      </c>
      <c r="N79" s="7" t="s">
        <v>74</v>
      </c>
      <c r="O79" s="7" t="s">
        <v>74</v>
      </c>
      <c r="P79" s="7" t="s">
        <v>74</v>
      </c>
      <c r="Q79" s="7" t="s">
        <v>74</v>
      </c>
      <c r="R79" s="7" t="s">
        <v>74</v>
      </c>
      <c r="S79" s="7" t="s">
        <v>74</v>
      </c>
      <c r="T79" s="7" t="s">
        <v>74</v>
      </c>
      <c r="U79" s="7" t="s">
        <v>74</v>
      </c>
      <c r="V79" s="6" t="s">
        <v>3895</v>
      </c>
      <c r="W79" s="7" t="s">
        <v>74</v>
      </c>
      <c r="X79" s="7" t="s">
        <v>74</v>
      </c>
      <c r="Y79" s="7" t="s">
        <v>74</v>
      </c>
      <c r="Z79" s="7" t="s">
        <v>74</v>
      </c>
      <c r="AA79" s="7" t="s">
        <v>3896</v>
      </c>
      <c r="AB79" s="7" t="s">
        <v>3897</v>
      </c>
      <c r="AC79" s="7" t="s">
        <v>74</v>
      </c>
      <c r="AD79" s="7" t="s">
        <v>74</v>
      </c>
      <c r="AE79" s="7" t="s">
        <v>74</v>
      </c>
      <c r="AF79" s="7" t="s">
        <v>74</v>
      </c>
      <c r="AG79" s="7" t="s">
        <v>74</v>
      </c>
      <c r="AH79" s="7" t="s">
        <v>74</v>
      </c>
      <c r="AI79" s="7" t="s">
        <v>74</v>
      </c>
      <c r="AJ79" s="7" t="s">
        <v>74</v>
      </c>
      <c r="AK79" s="7" t="s">
        <v>74</v>
      </c>
      <c r="AL79" s="7" t="s">
        <v>74</v>
      </c>
      <c r="AM79" s="7" t="s">
        <v>74</v>
      </c>
      <c r="AN79" s="7" t="s">
        <v>74</v>
      </c>
      <c r="AO79" s="7" t="s">
        <v>143</v>
      </c>
      <c r="AP79" s="7" t="s">
        <v>144</v>
      </c>
      <c r="AQ79" s="7" t="s">
        <v>74</v>
      </c>
      <c r="AR79" s="7" t="s">
        <v>74</v>
      </c>
      <c r="AS79" s="7" t="s">
        <v>74</v>
      </c>
      <c r="AT79" s="7" t="s">
        <v>305</v>
      </c>
      <c r="AU79" s="7">
        <v>2020</v>
      </c>
      <c r="AV79" s="7">
        <v>170</v>
      </c>
      <c r="AW79" s="7" t="s">
        <v>74</v>
      </c>
      <c r="AX79" s="7" t="s">
        <v>74</v>
      </c>
      <c r="AY79" s="7" t="s">
        <v>74</v>
      </c>
      <c r="AZ79" s="7" t="s">
        <v>74</v>
      </c>
      <c r="BA79" s="7" t="s">
        <v>74</v>
      </c>
      <c r="BB79" s="7">
        <v>167</v>
      </c>
      <c r="BC79" s="7">
        <v>176</v>
      </c>
      <c r="BD79" s="7" t="s">
        <v>74</v>
      </c>
      <c r="BE79" s="7" t="s">
        <v>3898</v>
      </c>
      <c r="BF79" s="7" t="str">
        <f>HYPERLINK("http://dx.doi.org/10.1016/j.anbehav.2020.10.014","http://dx.doi.org/10.1016/j.anbehav.2020.10.014")</f>
        <v>http://dx.doi.org/10.1016/j.anbehav.2020.10.014</v>
      </c>
      <c r="BG79" s="7" t="s">
        <v>74</v>
      </c>
      <c r="BH79" s="7" t="s">
        <v>74</v>
      </c>
      <c r="BI79" s="7" t="s">
        <v>74</v>
      </c>
      <c r="BJ79" s="7" t="s">
        <v>74</v>
      </c>
      <c r="BK79" s="7" t="s">
        <v>74</v>
      </c>
      <c r="BL79" s="7" t="s">
        <v>74</v>
      </c>
      <c r="BM79" s="7" t="s">
        <v>74</v>
      </c>
      <c r="BN79" s="7" t="s">
        <v>74</v>
      </c>
      <c r="BO79" s="7" t="s">
        <v>74</v>
      </c>
      <c r="BP79" s="7" t="s">
        <v>74</v>
      </c>
      <c r="BQ79" s="7" t="s">
        <v>74</v>
      </c>
      <c r="BR79" s="7" t="s">
        <v>74</v>
      </c>
      <c r="BS79" s="7" t="s">
        <v>3899</v>
      </c>
      <c r="BT79" s="7" t="str">
        <f>HYPERLINK("https%3A%2F%2Fwww.webofscience.com%2Fwos%2Fwoscc%2Ffull-record%2FWOS:000598905300016","View Full Record in Web of Science")</f>
        <v>View Full Record in Web of Science</v>
      </c>
    </row>
    <row r="80" spans="1:72" s="2" customFormat="1" x14ac:dyDescent="0.4">
      <c r="A80" s="7" t="s">
        <v>72</v>
      </c>
      <c r="B80" s="7" t="s">
        <v>8700</v>
      </c>
      <c r="C80" s="7" t="s">
        <v>74</v>
      </c>
      <c r="D80" s="7" t="s">
        <v>74</v>
      </c>
      <c r="E80" s="7" t="s">
        <v>74</v>
      </c>
      <c r="F80" s="7" t="s">
        <v>8701</v>
      </c>
      <c r="G80" s="7" t="s">
        <v>74</v>
      </c>
      <c r="H80" s="7" t="s">
        <v>74</v>
      </c>
      <c r="I80" s="7" t="s">
        <v>8702</v>
      </c>
      <c r="J80" s="7" t="s">
        <v>610</v>
      </c>
      <c r="K80" s="7" t="s">
        <v>74</v>
      </c>
      <c r="L80" s="7" t="s">
        <v>74</v>
      </c>
      <c r="M80" s="7" t="s">
        <v>74</v>
      </c>
      <c r="N80" s="7" t="s">
        <v>74</v>
      </c>
      <c r="O80" s="7" t="s">
        <v>74</v>
      </c>
      <c r="P80" s="7" t="s">
        <v>74</v>
      </c>
      <c r="Q80" s="7" t="s">
        <v>74</v>
      </c>
      <c r="R80" s="7" t="s">
        <v>74</v>
      </c>
      <c r="S80" s="7" t="s">
        <v>74</v>
      </c>
      <c r="T80" s="7" t="s">
        <v>74</v>
      </c>
      <c r="U80" s="7" t="s">
        <v>74</v>
      </c>
      <c r="V80" s="6" t="s">
        <v>8703</v>
      </c>
      <c r="W80" s="7" t="s">
        <v>74</v>
      </c>
      <c r="X80" s="7" t="s">
        <v>74</v>
      </c>
      <c r="Y80" s="7" t="s">
        <v>74</v>
      </c>
      <c r="Z80" s="7" t="s">
        <v>74</v>
      </c>
      <c r="AA80" s="7" t="s">
        <v>74</v>
      </c>
      <c r="AB80" s="7" t="s">
        <v>74</v>
      </c>
      <c r="AC80" s="7" t="s">
        <v>74</v>
      </c>
      <c r="AD80" s="7" t="s">
        <v>74</v>
      </c>
      <c r="AE80" s="7" t="s">
        <v>74</v>
      </c>
      <c r="AF80" s="7" t="s">
        <v>74</v>
      </c>
      <c r="AG80" s="7" t="s">
        <v>74</v>
      </c>
      <c r="AH80" s="7" t="s">
        <v>74</v>
      </c>
      <c r="AI80" s="7" t="s">
        <v>74</v>
      </c>
      <c r="AJ80" s="7" t="s">
        <v>74</v>
      </c>
      <c r="AK80" s="7" t="s">
        <v>74</v>
      </c>
      <c r="AL80" s="7" t="s">
        <v>74</v>
      </c>
      <c r="AM80" s="7" t="s">
        <v>74</v>
      </c>
      <c r="AN80" s="7" t="s">
        <v>74</v>
      </c>
      <c r="AO80" s="7" t="s">
        <v>614</v>
      </c>
      <c r="AP80" s="7" t="s">
        <v>615</v>
      </c>
      <c r="AQ80" s="7" t="s">
        <v>74</v>
      </c>
      <c r="AR80" s="7" t="s">
        <v>74</v>
      </c>
      <c r="AS80" s="7" t="s">
        <v>74</v>
      </c>
      <c r="AT80" s="7" t="s">
        <v>255</v>
      </c>
      <c r="AU80" s="7">
        <v>2024</v>
      </c>
      <c r="AV80" s="7">
        <v>130</v>
      </c>
      <c r="AW80" s="7">
        <v>1</v>
      </c>
      <c r="AX80" s="7" t="s">
        <v>74</v>
      </c>
      <c r="AY80" s="7" t="s">
        <v>74</v>
      </c>
      <c r="AZ80" s="7" t="s">
        <v>74</v>
      </c>
      <c r="BA80" s="7" t="s">
        <v>74</v>
      </c>
      <c r="BB80" s="7" t="s">
        <v>74</v>
      </c>
      <c r="BC80" s="7" t="s">
        <v>74</v>
      </c>
      <c r="BD80" s="7" t="s">
        <v>74</v>
      </c>
      <c r="BE80" s="7" t="s">
        <v>8704</v>
      </c>
      <c r="BF80" s="7" t="str">
        <f>HYPERLINK("http://dx.doi.org/10.1111/eth.13410","http://dx.doi.org/10.1111/eth.13410")</f>
        <v>http://dx.doi.org/10.1111/eth.13410</v>
      </c>
      <c r="BG80" s="7" t="s">
        <v>74</v>
      </c>
      <c r="BH80" s="7" t="s">
        <v>902</v>
      </c>
      <c r="BI80" s="7" t="s">
        <v>74</v>
      </c>
      <c r="BJ80" s="7" t="s">
        <v>74</v>
      </c>
      <c r="BK80" s="7" t="s">
        <v>74</v>
      </c>
      <c r="BL80" s="7" t="s">
        <v>74</v>
      </c>
      <c r="BM80" s="7" t="s">
        <v>74</v>
      </c>
      <c r="BN80" s="7" t="s">
        <v>74</v>
      </c>
      <c r="BO80" s="7" t="s">
        <v>74</v>
      </c>
      <c r="BP80" s="7" t="s">
        <v>74</v>
      </c>
      <c r="BQ80" s="7" t="s">
        <v>74</v>
      </c>
      <c r="BR80" s="7" t="s">
        <v>74</v>
      </c>
      <c r="BS80" s="7" t="s">
        <v>8705</v>
      </c>
      <c r="BT80" s="7" t="str">
        <f>HYPERLINK("https%3A%2F%2Fwww.webofscience.com%2Fwos%2Fwoscc%2Ffull-record%2FWOS:001084830100001","View Full Record in Web of Science")</f>
        <v>View Full Record in Web of Science</v>
      </c>
    </row>
    <row r="81" spans="1:72" s="2" customFormat="1" x14ac:dyDescent="0.4">
      <c r="A81" s="7" t="s">
        <v>72</v>
      </c>
      <c r="B81" s="7" t="s">
        <v>2108</v>
      </c>
      <c r="C81" s="7" t="s">
        <v>74</v>
      </c>
      <c r="D81" s="7" t="s">
        <v>74</v>
      </c>
      <c r="E81" s="7" t="s">
        <v>74</v>
      </c>
      <c r="F81" s="7" t="s">
        <v>2108</v>
      </c>
      <c r="G81" s="7" t="s">
        <v>74</v>
      </c>
      <c r="H81" s="7" t="s">
        <v>74</v>
      </c>
      <c r="I81" s="7" t="s">
        <v>2109</v>
      </c>
      <c r="J81" s="7" t="s">
        <v>2110</v>
      </c>
      <c r="K81" s="7" t="s">
        <v>74</v>
      </c>
      <c r="L81" s="7" t="s">
        <v>74</v>
      </c>
      <c r="M81" s="7" t="s">
        <v>74</v>
      </c>
      <c r="N81" s="7" t="s">
        <v>74</v>
      </c>
      <c r="O81" s="7" t="s">
        <v>74</v>
      </c>
      <c r="P81" s="7" t="s">
        <v>74</v>
      </c>
      <c r="Q81" s="7" t="s">
        <v>74</v>
      </c>
      <c r="R81" s="7" t="s">
        <v>74</v>
      </c>
      <c r="S81" s="7" t="s">
        <v>74</v>
      </c>
      <c r="T81" s="7" t="s">
        <v>74</v>
      </c>
      <c r="U81" s="7" t="s">
        <v>74</v>
      </c>
      <c r="V81" s="6" t="s">
        <v>2111</v>
      </c>
      <c r="W81" s="7" t="s">
        <v>74</v>
      </c>
      <c r="X81" s="7" t="s">
        <v>74</v>
      </c>
      <c r="Y81" s="7" t="s">
        <v>74</v>
      </c>
      <c r="Z81" s="7" t="s">
        <v>74</v>
      </c>
      <c r="AA81" s="7" t="s">
        <v>74</v>
      </c>
      <c r="AB81" s="7" t="s">
        <v>74</v>
      </c>
      <c r="AC81" s="7" t="s">
        <v>74</v>
      </c>
      <c r="AD81" s="7" t="s">
        <v>74</v>
      </c>
      <c r="AE81" s="7" t="s">
        <v>74</v>
      </c>
      <c r="AF81" s="7" t="s">
        <v>74</v>
      </c>
      <c r="AG81" s="7" t="s">
        <v>74</v>
      </c>
      <c r="AH81" s="7" t="s">
        <v>74</v>
      </c>
      <c r="AI81" s="7" t="s">
        <v>74</v>
      </c>
      <c r="AJ81" s="7" t="s">
        <v>74</v>
      </c>
      <c r="AK81" s="7" t="s">
        <v>74</v>
      </c>
      <c r="AL81" s="7" t="s">
        <v>74</v>
      </c>
      <c r="AM81" s="7" t="s">
        <v>74</v>
      </c>
      <c r="AN81" s="7" t="s">
        <v>74</v>
      </c>
      <c r="AO81" s="7" t="s">
        <v>2112</v>
      </c>
      <c r="AP81" s="7" t="s">
        <v>74</v>
      </c>
      <c r="AQ81" s="7" t="s">
        <v>74</v>
      </c>
      <c r="AR81" s="7" t="s">
        <v>74</v>
      </c>
      <c r="AS81" s="7" t="s">
        <v>74</v>
      </c>
      <c r="AT81" s="7" t="s">
        <v>74</v>
      </c>
      <c r="AU81" s="7">
        <v>1978</v>
      </c>
      <c r="AV81" s="7">
        <v>46</v>
      </c>
      <c r="AW81" s="7">
        <v>1</v>
      </c>
      <c r="AX81" s="7" t="s">
        <v>74</v>
      </c>
      <c r="AY81" s="7" t="s">
        <v>74</v>
      </c>
      <c r="AZ81" s="7" t="s">
        <v>74</v>
      </c>
      <c r="BA81" s="7" t="s">
        <v>74</v>
      </c>
      <c r="BB81" s="7">
        <v>43</v>
      </c>
      <c r="BC81" s="7">
        <v>57</v>
      </c>
      <c r="BD81" s="7" t="s">
        <v>74</v>
      </c>
      <c r="BE81" s="7" t="s">
        <v>74</v>
      </c>
      <c r="BF81" s="7" t="s">
        <v>74</v>
      </c>
      <c r="BG81" s="7" t="s">
        <v>74</v>
      </c>
      <c r="BH81" s="7" t="s">
        <v>74</v>
      </c>
      <c r="BI81" s="7" t="s">
        <v>74</v>
      </c>
      <c r="BJ81" s="7" t="s">
        <v>74</v>
      </c>
      <c r="BK81" s="7" t="s">
        <v>74</v>
      </c>
      <c r="BL81" s="7" t="s">
        <v>74</v>
      </c>
      <c r="BM81" s="7" t="s">
        <v>74</v>
      </c>
      <c r="BN81" s="7">
        <v>566001</v>
      </c>
      <c r="BO81" s="7" t="s">
        <v>74</v>
      </c>
      <c r="BP81" s="7" t="s">
        <v>74</v>
      </c>
      <c r="BQ81" s="7" t="s">
        <v>74</v>
      </c>
      <c r="BR81" s="7" t="s">
        <v>74</v>
      </c>
      <c r="BS81" s="7" t="s">
        <v>2113</v>
      </c>
      <c r="BT81" s="7" t="str">
        <f>HYPERLINK("https%3A%2F%2Fwww.webofscience.com%2Fwos%2Fwoscc%2Ffull-record%2FWOS:A1978ES06300004","View Full Record in Web of Science")</f>
        <v>View Full Record in Web of Science</v>
      </c>
    </row>
    <row r="82" spans="1:72" s="2" customFormat="1" x14ac:dyDescent="0.4">
      <c r="A82" s="7" t="s">
        <v>72</v>
      </c>
      <c r="B82" s="7" t="s">
        <v>3431</v>
      </c>
      <c r="C82" s="7" t="s">
        <v>74</v>
      </c>
      <c r="D82" s="7" t="s">
        <v>74</v>
      </c>
      <c r="E82" s="7" t="s">
        <v>74</v>
      </c>
      <c r="F82" s="7" t="s">
        <v>3432</v>
      </c>
      <c r="G82" s="7" t="s">
        <v>74</v>
      </c>
      <c r="H82" s="7" t="s">
        <v>74</v>
      </c>
      <c r="I82" s="7" t="s">
        <v>3433</v>
      </c>
      <c r="J82" s="7" t="s">
        <v>610</v>
      </c>
      <c r="K82" s="7" t="s">
        <v>74</v>
      </c>
      <c r="L82" s="7" t="s">
        <v>74</v>
      </c>
      <c r="M82" s="7" t="s">
        <v>74</v>
      </c>
      <c r="N82" s="7" t="s">
        <v>74</v>
      </c>
      <c r="O82" s="7" t="s">
        <v>74</v>
      </c>
      <c r="P82" s="7" t="s">
        <v>74</v>
      </c>
      <c r="Q82" s="7" t="s">
        <v>74</v>
      </c>
      <c r="R82" s="7" t="s">
        <v>74</v>
      </c>
      <c r="S82" s="7" t="s">
        <v>74</v>
      </c>
      <c r="T82" s="7" t="s">
        <v>74</v>
      </c>
      <c r="U82" s="7" t="s">
        <v>74</v>
      </c>
      <c r="V82" s="6" t="s">
        <v>3434</v>
      </c>
      <c r="W82" s="7" t="s">
        <v>74</v>
      </c>
      <c r="X82" s="7" t="s">
        <v>74</v>
      </c>
      <c r="Y82" s="7" t="s">
        <v>74</v>
      </c>
      <c r="Z82" s="7" t="s">
        <v>74</v>
      </c>
      <c r="AA82" s="7" t="s">
        <v>3435</v>
      </c>
      <c r="AB82" s="7" t="s">
        <v>3436</v>
      </c>
      <c r="AC82" s="7" t="s">
        <v>74</v>
      </c>
      <c r="AD82" s="7" t="s">
        <v>74</v>
      </c>
      <c r="AE82" s="7" t="s">
        <v>74</v>
      </c>
      <c r="AF82" s="7" t="s">
        <v>74</v>
      </c>
      <c r="AG82" s="7" t="s">
        <v>74</v>
      </c>
      <c r="AH82" s="7" t="s">
        <v>74</v>
      </c>
      <c r="AI82" s="7" t="s">
        <v>74</v>
      </c>
      <c r="AJ82" s="7" t="s">
        <v>74</v>
      </c>
      <c r="AK82" s="7" t="s">
        <v>74</v>
      </c>
      <c r="AL82" s="7" t="s">
        <v>74</v>
      </c>
      <c r="AM82" s="7" t="s">
        <v>74</v>
      </c>
      <c r="AN82" s="7" t="s">
        <v>74</v>
      </c>
      <c r="AO82" s="7" t="s">
        <v>614</v>
      </c>
      <c r="AP82" s="7" t="s">
        <v>615</v>
      </c>
      <c r="AQ82" s="7" t="s">
        <v>74</v>
      </c>
      <c r="AR82" s="7" t="s">
        <v>74</v>
      </c>
      <c r="AS82" s="7" t="s">
        <v>74</v>
      </c>
      <c r="AT82" s="7" t="s">
        <v>305</v>
      </c>
      <c r="AU82" s="7">
        <v>2021</v>
      </c>
      <c r="AV82" s="7">
        <v>127</v>
      </c>
      <c r="AW82" s="7">
        <v>12</v>
      </c>
      <c r="AX82" s="7" t="s">
        <v>74</v>
      </c>
      <c r="AY82" s="7" t="s">
        <v>74</v>
      </c>
      <c r="AZ82" s="7" t="s">
        <v>74</v>
      </c>
      <c r="BA82" s="7" t="s">
        <v>74</v>
      </c>
      <c r="BB82" s="7">
        <v>1053</v>
      </c>
      <c r="BC82" s="7">
        <v>1063</v>
      </c>
      <c r="BD82" s="7" t="s">
        <v>74</v>
      </c>
      <c r="BE82" s="7" t="s">
        <v>3437</v>
      </c>
      <c r="BF82" s="7" t="str">
        <f>HYPERLINK("http://dx.doi.org/10.1111/eth.13228","http://dx.doi.org/10.1111/eth.13228")</f>
        <v>http://dx.doi.org/10.1111/eth.13228</v>
      </c>
      <c r="BG82" s="7" t="s">
        <v>74</v>
      </c>
      <c r="BH82" s="7" t="s">
        <v>675</v>
      </c>
      <c r="BI82" s="7" t="s">
        <v>74</v>
      </c>
      <c r="BJ82" s="7" t="s">
        <v>74</v>
      </c>
      <c r="BK82" s="7" t="s">
        <v>74</v>
      </c>
      <c r="BL82" s="7" t="s">
        <v>74</v>
      </c>
      <c r="BM82" s="7" t="s">
        <v>74</v>
      </c>
      <c r="BN82" s="7" t="s">
        <v>74</v>
      </c>
      <c r="BO82" s="7" t="s">
        <v>74</v>
      </c>
      <c r="BP82" s="7" t="s">
        <v>74</v>
      </c>
      <c r="BQ82" s="7" t="s">
        <v>74</v>
      </c>
      <c r="BR82" s="7" t="s">
        <v>74</v>
      </c>
      <c r="BS82" s="7" t="s">
        <v>3438</v>
      </c>
      <c r="BT82" s="7" t="str">
        <f>HYPERLINK("https%3A%2F%2Fwww.webofscience.com%2Fwos%2Fwoscc%2Ffull-record%2FWOS:000692844500001","View Full Record in Web of Science")</f>
        <v>View Full Record in Web of Science</v>
      </c>
    </row>
    <row r="83" spans="1:72" s="2" customFormat="1" x14ac:dyDescent="0.4">
      <c r="A83" s="7" t="s">
        <v>72</v>
      </c>
      <c r="B83" s="7" t="s">
        <v>6520</v>
      </c>
      <c r="C83" s="7" t="s">
        <v>74</v>
      </c>
      <c r="D83" s="7" t="s">
        <v>74</v>
      </c>
      <c r="E83" s="7" t="s">
        <v>74</v>
      </c>
      <c r="F83" s="7" t="s">
        <v>6521</v>
      </c>
      <c r="G83" s="7" t="s">
        <v>74</v>
      </c>
      <c r="H83" s="7" t="s">
        <v>74</v>
      </c>
      <c r="I83" s="7" t="s">
        <v>6522</v>
      </c>
      <c r="J83" s="7" t="s">
        <v>129</v>
      </c>
      <c r="K83" s="7" t="s">
        <v>74</v>
      </c>
      <c r="L83" s="7" t="s">
        <v>74</v>
      </c>
      <c r="M83" s="7" t="s">
        <v>74</v>
      </c>
      <c r="N83" s="7" t="s">
        <v>74</v>
      </c>
      <c r="O83" s="7" t="s">
        <v>74</v>
      </c>
      <c r="P83" s="7" t="s">
        <v>74</v>
      </c>
      <c r="Q83" s="7" t="s">
        <v>74</v>
      </c>
      <c r="R83" s="7" t="s">
        <v>74</v>
      </c>
      <c r="S83" s="7" t="s">
        <v>74</v>
      </c>
      <c r="T83" s="7" t="s">
        <v>74</v>
      </c>
      <c r="U83" s="7" t="s">
        <v>74</v>
      </c>
      <c r="V83" s="6" t="s">
        <v>6523</v>
      </c>
      <c r="W83" s="7" t="s">
        <v>74</v>
      </c>
      <c r="X83" s="7" t="s">
        <v>74</v>
      </c>
      <c r="Y83" s="7" t="s">
        <v>74</v>
      </c>
      <c r="Z83" s="7" t="s">
        <v>74</v>
      </c>
      <c r="AA83" s="7" t="s">
        <v>6524</v>
      </c>
      <c r="AB83" s="7" t="s">
        <v>6525</v>
      </c>
      <c r="AC83" s="7" t="s">
        <v>74</v>
      </c>
      <c r="AD83" s="7" t="s">
        <v>74</v>
      </c>
      <c r="AE83" s="7" t="s">
        <v>74</v>
      </c>
      <c r="AF83" s="7" t="s">
        <v>74</v>
      </c>
      <c r="AG83" s="7" t="s">
        <v>74</v>
      </c>
      <c r="AH83" s="7" t="s">
        <v>74</v>
      </c>
      <c r="AI83" s="7" t="s">
        <v>74</v>
      </c>
      <c r="AJ83" s="7" t="s">
        <v>74</v>
      </c>
      <c r="AK83" s="7" t="s">
        <v>74</v>
      </c>
      <c r="AL83" s="7" t="s">
        <v>74</v>
      </c>
      <c r="AM83" s="7" t="s">
        <v>74</v>
      </c>
      <c r="AN83" s="7" t="s">
        <v>74</v>
      </c>
      <c r="AO83" s="7" t="s">
        <v>132</v>
      </c>
      <c r="AP83" s="7" t="s">
        <v>133</v>
      </c>
      <c r="AQ83" s="7" t="s">
        <v>74</v>
      </c>
      <c r="AR83" s="7" t="s">
        <v>74</v>
      </c>
      <c r="AS83" s="7" t="s">
        <v>74</v>
      </c>
      <c r="AT83" s="7" t="s">
        <v>6526</v>
      </c>
      <c r="AU83" s="7">
        <v>2020</v>
      </c>
      <c r="AV83" s="7">
        <v>74</v>
      </c>
      <c r="AW83" s="7">
        <v>11</v>
      </c>
      <c r="AX83" s="7" t="s">
        <v>74</v>
      </c>
      <c r="AY83" s="7" t="s">
        <v>74</v>
      </c>
      <c r="AZ83" s="7" t="s">
        <v>74</v>
      </c>
      <c r="BA83" s="7" t="s">
        <v>74</v>
      </c>
      <c r="BB83" s="7" t="s">
        <v>74</v>
      </c>
      <c r="BC83" s="7" t="s">
        <v>74</v>
      </c>
      <c r="BD83" s="7">
        <v>137</v>
      </c>
      <c r="BE83" s="7" t="s">
        <v>6527</v>
      </c>
      <c r="BF83" s="7" t="str">
        <f>HYPERLINK("http://dx.doi.org/10.1007/s00265-020-02920-2","http://dx.doi.org/10.1007/s00265-020-02920-2")</f>
        <v>http://dx.doi.org/10.1007/s00265-020-02920-2</v>
      </c>
      <c r="BG83" s="7" t="s">
        <v>74</v>
      </c>
      <c r="BH83" s="7" t="s">
        <v>74</v>
      </c>
      <c r="BI83" s="7" t="s">
        <v>74</v>
      </c>
      <c r="BJ83" s="7" t="s">
        <v>74</v>
      </c>
      <c r="BK83" s="7" t="s">
        <v>74</v>
      </c>
      <c r="BL83" s="7" t="s">
        <v>74</v>
      </c>
      <c r="BM83" s="7" t="s">
        <v>74</v>
      </c>
      <c r="BN83" s="7" t="s">
        <v>74</v>
      </c>
      <c r="BO83" s="7" t="s">
        <v>74</v>
      </c>
      <c r="BP83" s="7" t="s">
        <v>74</v>
      </c>
      <c r="BQ83" s="7" t="s">
        <v>74</v>
      </c>
      <c r="BR83" s="7" t="s">
        <v>74</v>
      </c>
      <c r="BS83" s="7" t="s">
        <v>6528</v>
      </c>
      <c r="BT83" s="7" t="str">
        <f>HYPERLINK("https%3A%2F%2Fwww.webofscience.com%2Fwos%2Fwoscc%2Ffull-record%2FWOS:000588357200001","View Full Record in Web of Science")</f>
        <v>View Full Record in Web of Science</v>
      </c>
    </row>
    <row r="84" spans="1:72" s="2" customFormat="1" x14ac:dyDescent="0.4">
      <c r="A84" s="7" t="s">
        <v>72</v>
      </c>
      <c r="B84" s="7" t="s">
        <v>1443</v>
      </c>
      <c r="C84" s="7" t="s">
        <v>74</v>
      </c>
      <c r="D84" s="7" t="s">
        <v>74</v>
      </c>
      <c r="E84" s="7" t="s">
        <v>74</v>
      </c>
      <c r="F84" s="7" t="s">
        <v>1444</v>
      </c>
      <c r="G84" s="7" t="s">
        <v>74</v>
      </c>
      <c r="H84" s="7" t="s">
        <v>74</v>
      </c>
      <c r="I84" s="7" t="s">
        <v>1445</v>
      </c>
      <c r="J84" s="7" t="s">
        <v>1446</v>
      </c>
      <c r="K84" s="7" t="s">
        <v>74</v>
      </c>
      <c r="L84" s="7" t="s">
        <v>74</v>
      </c>
      <c r="M84" s="7" t="s">
        <v>74</v>
      </c>
      <c r="N84" s="7" t="s">
        <v>74</v>
      </c>
      <c r="O84" s="7" t="s">
        <v>74</v>
      </c>
      <c r="P84" s="7" t="s">
        <v>74</v>
      </c>
      <c r="Q84" s="7" t="s">
        <v>74</v>
      </c>
      <c r="R84" s="7" t="s">
        <v>74</v>
      </c>
      <c r="S84" s="7" t="s">
        <v>74</v>
      </c>
      <c r="T84" s="7" t="s">
        <v>74</v>
      </c>
      <c r="U84" s="7" t="s">
        <v>74</v>
      </c>
      <c r="V84" s="6" t="s">
        <v>1447</v>
      </c>
      <c r="W84" s="7" t="s">
        <v>74</v>
      </c>
      <c r="X84" s="7" t="s">
        <v>74</v>
      </c>
      <c r="Y84" s="7" t="s">
        <v>74</v>
      </c>
      <c r="Z84" s="7" t="s">
        <v>74</v>
      </c>
      <c r="AA84" s="7" t="s">
        <v>74</v>
      </c>
      <c r="AB84" s="7" t="s">
        <v>1448</v>
      </c>
      <c r="AC84" s="7" t="s">
        <v>74</v>
      </c>
      <c r="AD84" s="7" t="s">
        <v>74</v>
      </c>
      <c r="AE84" s="7" t="s">
        <v>74</v>
      </c>
      <c r="AF84" s="7" t="s">
        <v>74</v>
      </c>
      <c r="AG84" s="7" t="s">
        <v>74</v>
      </c>
      <c r="AH84" s="7" t="s">
        <v>74</v>
      </c>
      <c r="AI84" s="7" t="s">
        <v>74</v>
      </c>
      <c r="AJ84" s="7" t="s">
        <v>74</v>
      </c>
      <c r="AK84" s="7" t="s">
        <v>74</v>
      </c>
      <c r="AL84" s="7" t="s">
        <v>74</v>
      </c>
      <c r="AM84" s="7" t="s">
        <v>74</v>
      </c>
      <c r="AN84" s="7" t="s">
        <v>74</v>
      </c>
      <c r="AO84" s="7" t="s">
        <v>74</v>
      </c>
      <c r="AP84" s="7" t="s">
        <v>1449</v>
      </c>
      <c r="AQ84" s="7" t="s">
        <v>74</v>
      </c>
      <c r="AR84" s="7" t="s">
        <v>74</v>
      </c>
      <c r="AS84" s="7" t="s">
        <v>74</v>
      </c>
      <c r="AT84" s="7" t="s">
        <v>361</v>
      </c>
      <c r="AU84" s="7">
        <v>2021</v>
      </c>
      <c r="AV84" s="7">
        <v>6</v>
      </c>
      <c r="AW84" s="7">
        <v>1</v>
      </c>
      <c r="AX84" s="7" t="s">
        <v>74</v>
      </c>
      <c r="AY84" s="7" t="s">
        <v>74</v>
      </c>
      <c r="AZ84" s="7" t="s">
        <v>74</v>
      </c>
      <c r="BA84" s="7" t="s">
        <v>74</v>
      </c>
      <c r="BB84" s="7" t="s">
        <v>74</v>
      </c>
      <c r="BC84" s="7" t="s">
        <v>74</v>
      </c>
      <c r="BD84" s="7">
        <v>9</v>
      </c>
      <c r="BE84" s="7" t="s">
        <v>1450</v>
      </c>
      <c r="BF84" s="7" t="str">
        <f>HYPERLINK("http://dx.doi.org/10.1186/s40850-021-00075-9","http://dx.doi.org/10.1186/s40850-021-00075-9")</f>
        <v>http://dx.doi.org/10.1186/s40850-021-00075-9</v>
      </c>
      <c r="BG84" s="7" t="s">
        <v>74</v>
      </c>
      <c r="BH84" s="7" t="s">
        <v>74</v>
      </c>
      <c r="BI84" s="7" t="s">
        <v>74</v>
      </c>
      <c r="BJ84" s="7" t="s">
        <v>74</v>
      </c>
      <c r="BK84" s="7" t="s">
        <v>74</v>
      </c>
      <c r="BL84" s="7" t="s">
        <v>74</v>
      </c>
      <c r="BM84" s="7" t="s">
        <v>74</v>
      </c>
      <c r="BN84" s="7">
        <v>37170176</v>
      </c>
      <c r="BO84" s="7" t="s">
        <v>74</v>
      </c>
      <c r="BP84" s="7" t="s">
        <v>74</v>
      </c>
      <c r="BQ84" s="7" t="s">
        <v>74</v>
      </c>
      <c r="BR84" s="7" t="s">
        <v>74</v>
      </c>
      <c r="BS84" s="7" t="s">
        <v>1451</v>
      </c>
      <c r="BT84" s="7" t="str">
        <f>HYPERLINK("https%3A%2F%2Fwww.webofscience.com%2Fwos%2Fwoscc%2Ffull-record%2FWOS:000646554600001","View Full Record in Web of Science")</f>
        <v>View Full Record in Web of Science</v>
      </c>
    </row>
    <row r="85" spans="1:72" s="2" customFormat="1" x14ac:dyDescent="0.4">
      <c r="A85" s="7" t="s">
        <v>72</v>
      </c>
      <c r="B85" s="7" t="s">
        <v>6889</v>
      </c>
      <c r="C85" s="7" t="s">
        <v>74</v>
      </c>
      <c r="D85" s="7" t="s">
        <v>74</v>
      </c>
      <c r="E85" s="7" t="s">
        <v>74</v>
      </c>
      <c r="F85" s="7" t="s">
        <v>6890</v>
      </c>
      <c r="G85" s="7" t="s">
        <v>74</v>
      </c>
      <c r="H85" s="7" t="s">
        <v>74</v>
      </c>
      <c r="I85" s="7" t="s">
        <v>6891</v>
      </c>
      <c r="J85" s="7" t="s">
        <v>129</v>
      </c>
      <c r="K85" s="7" t="s">
        <v>74</v>
      </c>
      <c r="L85" s="7" t="s">
        <v>74</v>
      </c>
      <c r="M85" s="7" t="s">
        <v>74</v>
      </c>
      <c r="N85" s="7" t="s">
        <v>74</v>
      </c>
      <c r="O85" s="7" t="s">
        <v>74</v>
      </c>
      <c r="P85" s="7" t="s">
        <v>74</v>
      </c>
      <c r="Q85" s="7" t="s">
        <v>74</v>
      </c>
      <c r="R85" s="7" t="s">
        <v>74</v>
      </c>
      <c r="S85" s="7" t="s">
        <v>74</v>
      </c>
      <c r="T85" s="7" t="s">
        <v>74</v>
      </c>
      <c r="U85" s="7" t="s">
        <v>74</v>
      </c>
      <c r="V85" s="6" t="s">
        <v>6892</v>
      </c>
      <c r="W85" s="7" t="s">
        <v>74</v>
      </c>
      <c r="X85" s="7" t="s">
        <v>74</v>
      </c>
      <c r="Y85" s="7" t="s">
        <v>74</v>
      </c>
      <c r="Z85" s="7" t="s">
        <v>74</v>
      </c>
      <c r="AA85" s="7" t="s">
        <v>6893</v>
      </c>
      <c r="AB85" s="7" t="s">
        <v>6894</v>
      </c>
      <c r="AC85" s="7" t="s">
        <v>74</v>
      </c>
      <c r="AD85" s="7" t="s">
        <v>74</v>
      </c>
      <c r="AE85" s="7" t="s">
        <v>74</v>
      </c>
      <c r="AF85" s="7" t="s">
        <v>74</v>
      </c>
      <c r="AG85" s="7" t="s">
        <v>74</v>
      </c>
      <c r="AH85" s="7" t="s">
        <v>74</v>
      </c>
      <c r="AI85" s="7" t="s">
        <v>74</v>
      </c>
      <c r="AJ85" s="7" t="s">
        <v>74</v>
      </c>
      <c r="AK85" s="7" t="s">
        <v>74</v>
      </c>
      <c r="AL85" s="7" t="s">
        <v>74</v>
      </c>
      <c r="AM85" s="7" t="s">
        <v>74</v>
      </c>
      <c r="AN85" s="7" t="s">
        <v>74</v>
      </c>
      <c r="AO85" s="7" t="s">
        <v>132</v>
      </c>
      <c r="AP85" s="7" t="s">
        <v>133</v>
      </c>
      <c r="AQ85" s="7" t="s">
        <v>74</v>
      </c>
      <c r="AR85" s="7" t="s">
        <v>74</v>
      </c>
      <c r="AS85" s="7" t="s">
        <v>74</v>
      </c>
      <c r="AT85" s="7" t="s">
        <v>633</v>
      </c>
      <c r="AU85" s="7">
        <v>2008</v>
      </c>
      <c r="AV85" s="7">
        <v>62</v>
      </c>
      <c r="AW85" s="7">
        <v>8</v>
      </c>
      <c r="AX85" s="7" t="s">
        <v>74</v>
      </c>
      <c r="AY85" s="7" t="s">
        <v>74</v>
      </c>
      <c r="AZ85" s="7" t="s">
        <v>74</v>
      </c>
      <c r="BA85" s="7" t="s">
        <v>74</v>
      </c>
      <c r="BB85" s="7">
        <v>1277</v>
      </c>
      <c r="BC85" s="7">
        <v>1288</v>
      </c>
      <c r="BD85" s="7" t="s">
        <v>74</v>
      </c>
      <c r="BE85" s="7" t="s">
        <v>6895</v>
      </c>
      <c r="BF85" s="7" t="str">
        <f>HYPERLINK("http://dx.doi.org/10.1007/s00265-008-0556-x","http://dx.doi.org/10.1007/s00265-008-0556-x")</f>
        <v>http://dx.doi.org/10.1007/s00265-008-0556-x</v>
      </c>
      <c r="BG85" s="7" t="s">
        <v>74</v>
      </c>
      <c r="BH85" s="7" t="s">
        <v>74</v>
      </c>
      <c r="BI85" s="7" t="s">
        <v>74</v>
      </c>
      <c r="BJ85" s="7" t="s">
        <v>74</v>
      </c>
      <c r="BK85" s="7" t="s">
        <v>74</v>
      </c>
      <c r="BL85" s="7" t="s">
        <v>74</v>
      </c>
      <c r="BM85" s="7" t="s">
        <v>74</v>
      </c>
      <c r="BN85" s="7" t="s">
        <v>74</v>
      </c>
      <c r="BO85" s="7" t="s">
        <v>74</v>
      </c>
      <c r="BP85" s="7" t="s">
        <v>74</v>
      </c>
      <c r="BQ85" s="7" t="s">
        <v>74</v>
      </c>
      <c r="BR85" s="7" t="s">
        <v>74</v>
      </c>
      <c r="BS85" s="7" t="s">
        <v>6896</v>
      </c>
      <c r="BT85" s="7" t="str">
        <f>HYPERLINK("https%3A%2F%2Fwww.webofscience.com%2Fwos%2Fwoscc%2Ffull-record%2FWOS:000255851400007","View Full Record in Web of Science")</f>
        <v>View Full Record in Web of Science</v>
      </c>
    </row>
    <row r="86" spans="1:72" s="2" customFormat="1" x14ac:dyDescent="0.4">
      <c r="A86" s="7" t="s">
        <v>72</v>
      </c>
      <c r="B86" s="7" t="s">
        <v>405</v>
      </c>
      <c r="C86" s="7" t="s">
        <v>74</v>
      </c>
      <c r="D86" s="7" t="s">
        <v>74</v>
      </c>
      <c r="E86" s="7" t="s">
        <v>74</v>
      </c>
      <c r="F86" s="7" t="s">
        <v>406</v>
      </c>
      <c r="G86" s="7" t="s">
        <v>74</v>
      </c>
      <c r="H86" s="7" t="s">
        <v>74</v>
      </c>
      <c r="I86" s="7" t="s">
        <v>407</v>
      </c>
      <c r="J86" s="7" t="s">
        <v>408</v>
      </c>
      <c r="K86" s="7" t="s">
        <v>74</v>
      </c>
      <c r="L86" s="7" t="s">
        <v>74</v>
      </c>
      <c r="M86" s="7" t="s">
        <v>74</v>
      </c>
      <c r="N86" s="7" t="s">
        <v>74</v>
      </c>
      <c r="O86" s="7" t="s">
        <v>74</v>
      </c>
      <c r="P86" s="7" t="s">
        <v>74</v>
      </c>
      <c r="Q86" s="7" t="s">
        <v>74</v>
      </c>
      <c r="R86" s="7" t="s">
        <v>74</v>
      </c>
      <c r="S86" s="7" t="s">
        <v>74</v>
      </c>
      <c r="T86" s="7" t="s">
        <v>74</v>
      </c>
      <c r="U86" s="7" t="s">
        <v>74</v>
      </c>
      <c r="V86" s="6" t="s">
        <v>409</v>
      </c>
      <c r="W86" s="7" t="s">
        <v>74</v>
      </c>
      <c r="X86" s="7" t="s">
        <v>74</v>
      </c>
      <c r="Y86" s="7" t="s">
        <v>74</v>
      </c>
      <c r="Z86" s="7" t="s">
        <v>74</v>
      </c>
      <c r="AA86" s="7" t="s">
        <v>410</v>
      </c>
      <c r="AB86" s="7" t="s">
        <v>411</v>
      </c>
      <c r="AC86" s="7" t="s">
        <v>74</v>
      </c>
      <c r="AD86" s="7" t="s">
        <v>74</v>
      </c>
      <c r="AE86" s="7" t="s">
        <v>74</v>
      </c>
      <c r="AF86" s="7" t="s">
        <v>74</v>
      </c>
      <c r="AG86" s="7" t="s">
        <v>74</v>
      </c>
      <c r="AH86" s="7" t="s">
        <v>74</v>
      </c>
      <c r="AI86" s="7" t="s">
        <v>74</v>
      </c>
      <c r="AJ86" s="7" t="s">
        <v>74</v>
      </c>
      <c r="AK86" s="7" t="s">
        <v>74</v>
      </c>
      <c r="AL86" s="7" t="s">
        <v>74</v>
      </c>
      <c r="AM86" s="7" t="s">
        <v>74</v>
      </c>
      <c r="AN86" s="7" t="s">
        <v>74</v>
      </c>
      <c r="AO86" s="7" t="s">
        <v>412</v>
      </c>
      <c r="AP86" s="7" t="s">
        <v>413</v>
      </c>
      <c r="AQ86" s="7" t="s">
        <v>74</v>
      </c>
      <c r="AR86" s="7" t="s">
        <v>74</v>
      </c>
      <c r="AS86" s="7" t="s">
        <v>74</v>
      </c>
      <c r="AT86" s="7" t="s">
        <v>275</v>
      </c>
      <c r="AU86" s="7">
        <v>2022</v>
      </c>
      <c r="AV86" s="7">
        <v>136</v>
      </c>
      <c r="AW86" s="7">
        <v>1</v>
      </c>
      <c r="AX86" s="7" t="s">
        <v>74</v>
      </c>
      <c r="AY86" s="7" t="s">
        <v>74</v>
      </c>
      <c r="AZ86" s="7" t="s">
        <v>74</v>
      </c>
      <c r="BA86" s="7" t="s">
        <v>74</v>
      </c>
      <c r="BB86" s="7">
        <v>111</v>
      </c>
      <c r="BC86" s="7">
        <v>119</v>
      </c>
      <c r="BD86" s="7" t="s">
        <v>74</v>
      </c>
      <c r="BE86" s="7" t="s">
        <v>414</v>
      </c>
      <c r="BF86" s="7" t="str">
        <f>HYPERLINK("http://dx.doi.org/10.1093/biolinnean/blac014","http://dx.doi.org/10.1093/biolinnean/blac014")</f>
        <v>http://dx.doi.org/10.1093/biolinnean/blac014</v>
      </c>
      <c r="BG86" s="7" t="s">
        <v>74</v>
      </c>
      <c r="BH86" s="7" t="s">
        <v>415</v>
      </c>
      <c r="BI86" s="7" t="s">
        <v>74</v>
      </c>
      <c r="BJ86" s="7" t="s">
        <v>74</v>
      </c>
      <c r="BK86" s="7" t="s">
        <v>74</v>
      </c>
      <c r="BL86" s="7" t="s">
        <v>74</v>
      </c>
      <c r="BM86" s="7" t="s">
        <v>74</v>
      </c>
      <c r="BN86" s="7" t="s">
        <v>74</v>
      </c>
      <c r="BO86" s="7" t="s">
        <v>74</v>
      </c>
      <c r="BP86" s="7" t="s">
        <v>74</v>
      </c>
      <c r="BQ86" s="7" t="s">
        <v>74</v>
      </c>
      <c r="BR86" s="7" t="s">
        <v>74</v>
      </c>
      <c r="BS86" s="7" t="s">
        <v>416</v>
      </c>
      <c r="BT86" s="7" t="str">
        <f>HYPERLINK("https%3A%2F%2Fwww.webofscience.com%2Fwos%2Fwoscc%2Ffull-record%2FWOS:000768465800001","View Full Record in Web of Science")</f>
        <v>View Full Record in Web of Science</v>
      </c>
    </row>
    <row r="87" spans="1:72" s="2" customFormat="1" x14ac:dyDescent="0.4">
      <c r="A87" s="7" t="s">
        <v>72</v>
      </c>
      <c r="B87" s="7" t="s">
        <v>3483</v>
      </c>
      <c r="C87" s="7" t="s">
        <v>74</v>
      </c>
      <c r="D87" s="7" t="s">
        <v>74</v>
      </c>
      <c r="E87" s="7" t="s">
        <v>74</v>
      </c>
      <c r="F87" s="7" t="s">
        <v>3484</v>
      </c>
      <c r="G87" s="7" t="s">
        <v>74</v>
      </c>
      <c r="H87" s="7" t="s">
        <v>74</v>
      </c>
      <c r="I87" s="7" t="s">
        <v>3485</v>
      </c>
      <c r="J87" s="7" t="s">
        <v>333</v>
      </c>
      <c r="K87" s="7" t="s">
        <v>74</v>
      </c>
      <c r="L87" s="7" t="s">
        <v>74</v>
      </c>
      <c r="M87" s="7" t="s">
        <v>74</v>
      </c>
      <c r="N87" s="7" t="s">
        <v>74</v>
      </c>
      <c r="O87" s="7" t="s">
        <v>74</v>
      </c>
      <c r="P87" s="7" t="s">
        <v>74</v>
      </c>
      <c r="Q87" s="7" t="s">
        <v>74</v>
      </c>
      <c r="R87" s="7" t="s">
        <v>74</v>
      </c>
      <c r="S87" s="7" t="s">
        <v>74</v>
      </c>
      <c r="T87" s="7" t="s">
        <v>74</v>
      </c>
      <c r="U87" s="7" t="s">
        <v>74</v>
      </c>
      <c r="V87" s="6" t="s">
        <v>3486</v>
      </c>
      <c r="W87" s="7" t="s">
        <v>74</v>
      </c>
      <c r="X87" s="7" t="s">
        <v>74</v>
      </c>
      <c r="Y87" s="7" t="s">
        <v>74</v>
      </c>
      <c r="Z87" s="7" t="s">
        <v>74</v>
      </c>
      <c r="AA87" s="7" t="s">
        <v>3487</v>
      </c>
      <c r="AB87" s="7" t="s">
        <v>3488</v>
      </c>
      <c r="AC87" s="7" t="s">
        <v>74</v>
      </c>
      <c r="AD87" s="7" t="s">
        <v>74</v>
      </c>
      <c r="AE87" s="7" t="s">
        <v>74</v>
      </c>
      <c r="AF87" s="7" t="s">
        <v>74</v>
      </c>
      <c r="AG87" s="7" t="s">
        <v>74</v>
      </c>
      <c r="AH87" s="7" t="s">
        <v>74</v>
      </c>
      <c r="AI87" s="7" t="s">
        <v>74</v>
      </c>
      <c r="AJ87" s="7" t="s">
        <v>74</v>
      </c>
      <c r="AK87" s="7" t="s">
        <v>74</v>
      </c>
      <c r="AL87" s="7" t="s">
        <v>74</v>
      </c>
      <c r="AM87" s="7" t="s">
        <v>74</v>
      </c>
      <c r="AN87" s="7" t="s">
        <v>74</v>
      </c>
      <c r="AO87" s="7" t="s">
        <v>337</v>
      </c>
      <c r="AP87" s="7" t="s">
        <v>338</v>
      </c>
      <c r="AQ87" s="7" t="s">
        <v>74</v>
      </c>
      <c r="AR87" s="7" t="s">
        <v>74</v>
      </c>
      <c r="AS87" s="7" t="s">
        <v>74</v>
      </c>
      <c r="AT87" s="7" t="s">
        <v>1130</v>
      </c>
      <c r="AU87" s="7">
        <v>2023</v>
      </c>
      <c r="AV87" s="7">
        <v>34</v>
      </c>
      <c r="AW87" s="7">
        <v>1</v>
      </c>
      <c r="AX87" s="7" t="s">
        <v>74</v>
      </c>
      <c r="AY87" s="7" t="s">
        <v>74</v>
      </c>
      <c r="AZ87" s="7" t="s">
        <v>74</v>
      </c>
      <c r="BA87" s="7" t="s">
        <v>74</v>
      </c>
      <c r="BB87" s="7">
        <v>19</v>
      </c>
      <c r="BC87" s="7">
        <v>32</v>
      </c>
      <c r="BD87" s="7" t="s">
        <v>74</v>
      </c>
      <c r="BE87" s="7" t="s">
        <v>3489</v>
      </c>
      <c r="BF87" s="7" t="str">
        <f>HYPERLINK("http://dx.doi.org/10.1093/beheco/arac089","http://dx.doi.org/10.1093/beheco/arac089")</f>
        <v>http://dx.doi.org/10.1093/beheco/arac089</v>
      </c>
      <c r="BG87" s="7" t="s">
        <v>74</v>
      </c>
      <c r="BH87" s="7" t="s">
        <v>2298</v>
      </c>
      <c r="BI87" s="7" t="s">
        <v>74</v>
      </c>
      <c r="BJ87" s="7" t="s">
        <v>74</v>
      </c>
      <c r="BK87" s="7" t="s">
        <v>74</v>
      </c>
      <c r="BL87" s="7" t="s">
        <v>74</v>
      </c>
      <c r="BM87" s="7" t="s">
        <v>74</v>
      </c>
      <c r="BN87" s="7">
        <v>36789393</v>
      </c>
      <c r="BO87" s="7" t="s">
        <v>74</v>
      </c>
      <c r="BP87" s="7" t="s">
        <v>74</v>
      </c>
      <c r="BQ87" s="7" t="s">
        <v>74</v>
      </c>
      <c r="BR87" s="7" t="s">
        <v>74</v>
      </c>
      <c r="BS87" s="7" t="s">
        <v>3490</v>
      </c>
      <c r="BT87" s="7" t="str">
        <f>HYPERLINK("https%3A%2F%2Fwww.webofscience.com%2Fwos%2Fwoscc%2Ffull-record%2FWOS:000876657000001","View Full Record in Web of Science")</f>
        <v>View Full Record in Web of Science</v>
      </c>
    </row>
    <row r="88" spans="1:72" s="2" customFormat="1" x14ac:dyDescent="0.4">
      <c r="A88" s="7" t="s">
        <v>72</v>
      </c>
      <c r="B88" s="7" t="s">
        <v>2972</v>
      </c>
      <c r="C88" s="7" t="s">
        <v>74</v>
      </c>
      <c r="D88" s="7" t="s">
        <v>74</v>
      </c>
      <c r="E88" s="7" t="s">
        <v>74</v>
      </c>
      <c r="F88" s="7" t="s">
        <v>2973</v>
      </c>
      <c r="G88" s="7" t="s">
        <v>74</v>
      </c>
      <c r="H88" s="7" t="s">
        <v>74</v>
      </c>
      <c r="I88" s="7" t="s">
        <v>2974</v>
      </c>
      <c r="J88" s="7" t="s">
        <v>201</v>
      </c>
      <c r="K88" s="7" t="s">
        <v>74</v>
      </c>
      <c r="L88" s="7" t="s">
        <v>74</v>
      </c>
      <c r="M88" s="7" t="s">
        <v>74</v>
      </c>
      <c r="N88" s="7" t="s">
        <v>74</v>
      </c>
      <c r="O88" s="7" t="s">
        <v>74</v>
      </c>
      <c r="P88" s="7" t="s">
        <v>74</v>
      </c>
      <c r="Q88" s="7" t="s">
        <v>74</v>
      </c>
      <c r="R88" s="7" t="s">
        <v>74</v>
      </c>
      <c r="S88" s="7" t="s">
        <v>74</v>
      </c>
      <c r="T88" s="7" t="s">
        <v>74</v>
      </c>
      <c r="U88" s="7" t="s">
        <v>74</v>
      </c>
      <c r="V88" s="6" t="s">
        <v>2975</v>
      </c>
      <c r="W88" s="7" t="s">
        <v>74</v>
      </c>
      <c r="X88" s="7" t="s">
        <v>74</v>
      </c>
      <c r="Y88" s="7" t="s">
        <v>74</v>
      </c>
      <c r="Z88" s="7" t="s">
        <v>74</v>
      </c>
      <c r="AA88" s="7" t="s">
        <v>74</v>
      </c>
      <c r="AB88" s="7" t="s">
        <v>2976</v>
      </c>
      <c r="AC88" s="7" t="s">
        <v>74</v>
      </c>
      <c r="AD88" s="7" t="s">
        <v>74</v>
      </c>
      <c r="AE88" s="7" t="s">
        <v>74</v>
      </c>
      <c r="AF88" s="7" t="s">
        <v>74</v>
      </c>
      <c r="AG88" s="7" t="s">
        <v>74</v>
      </c>
      <c r="AH88" s="7" t="s">
        <v>74</v>
      </c>
      <c r="AI88" s="7" t="s">
        <v>74</v>
      </c>
      <c r="AJ88" s="7" t="s">
        <v>74</v>
      </c>
      <c r="AK88" s="7" t="s">
        <v>74</v>
      </c>
      <c r="AL88" s="7" t="s">
        <v>74</v>
      </c>
      <c r="AM88" s="7" t="s">
        <v>74</v>
      </c>
      <c r="AN88" s="7" t="s">
        <v>74</v>
      </c>
      <c r="AO88" s="7" t="s">
        <v>203</v>
      </c>
      <c r="AP88" s="7" t="s">
        <v>1192</v>
      </c>
      <c r="AQ88" s="7" t="s">
        <v>74</v>
      </c>
      <c r="AR88" s="7" t="s">
        <v>74</v>
      </c>
      <c r="AS88" s="7" t="s">
        <v>74</v>
      </c>
      <c r="AT88" s="7" t="s">
        <v>633</v>
      </c>
      <c r="AU88" s="7">
        <v>2023</v>
      </c>
      <c r="AV88" s="7">
        <v>102</v>
      </c>
      <c r="AW88" s="7">
        <v>4</v>
      </c>
      <c r="AX88" s="7" t="s">
        <v>74</v>
      </c>
      <c r="AY88" s="7" t="s">
        <v>74</v>
      </c>
      <c r="AZ88" s="7" t="s">
        <v>74</v>
      </c>
      <c r="BA88" s="7" t="s">
        <v>74</v>
      </c>
      <c r="BB88" s="7">
        <v>794</v>
      </c>
      <c r="BC88" s="7">
        <v>802</v>
      </c>
      <c r="BD88" s="7" t="s">
        <v>74</v>
      </c>
      <c r="BE88" s="7" t="s">
        <v>2977</v>
      </c>
      <c r="BF88" s="7" t="str">
        <f>HYPERLINK("http://dx.doi.org/10.1111/jfb.15316","http://dx.doi.org/10.1111/jfb.15316")</f>
        <v>http://dx.doi.org/10.1111/jfb.15316</v>
      </c>
      <c r="BG88" s="7" t="s">
        <v>74</v>
      </c>
      <c r="BH88" s="7" t="s">
        <v>2392</v>
      </c>
      <c r="BI88" s="7" t="s">
        <v>74</v>
      </c>
      <c r="BJ88" s="7" t="s">
        <v>74</v>
      </c>
      <c r="BK88" s="7" t="s">
        <v>74</v>
      </c>
      <c r="BL88" s="7" t="s">
        <v>74</v>
      </c>
      <c r="BM88" s="7" t="s">
        <v>74</v>
      </c>
      <c r="BN88" s="7">
        <v>36648014</v>
      </c>
      <c r="BO88" s="7" t="s">
        <v>74</v>
      </c>
      <c r="BP88" s="7" t="s">
        <v>74</v>
      </c>
      <c r="BQ88" s="7" t="s">
        <v>74</v>
      </c>
      <c r="BR88" s="7" t="s">
        <v>74</v>
      </c>
      <c r="BS88" s="7" t="s">
        <v>2978</v>
      </c>
      <c r="BT88" s="7" t="str">
        <f>HYPERLINK("https%3A%2F%2Fwww.webofscience.com%2Fwos%2Fwoscc%2Ffull-record%2FWOS:000924339000001","View Full Record in Web of Science")</f>
        <v>View Full Record in Web of Science</v>
      </c>
    </row>
    <row r="89" spans="1:72" s="1" customFormat="1" x14ac:dyDescent="0.4">
      <c r="A89" s="7" t="s">
        <v>72</v>
      </c>
      <c r="B89" s="7" t="s">
        <v>2620</v>
      </c>
      <c r="C89" s="7" t="s">
        <v>74</v>
      </c>
      <c r="D89" s="7" t="s">
        <v>74</v>
      </c>
      <c r="E89" s="7" t="s">
        <v>74</v>
      </c>
      <c r="F89" s="7" t="s">
        <v>2621</v>
      </c>
      <c r="G89" s="7" t="s">
        <v>74</v>
      </c>
      <c r="H89" s="7" t="s">
        <v>74</v>
      </c>
      <c r="I89" s="7" t="s">
        <v>2622</v>
      </c>
      <c r="J89" s="7" t="s">
        <v>129</v>
      </c>
      <c r="K89" s="7" t="s">
        <v>74</v>
      </c>
      <c r="L89" s="7" t="s">
        <v>74</v>
      </c>
      <c r="M89" s="7" t="s">
        <v>74</v>
      </c>
      <c r="N89" s="7" t="s">
        <v>74</v>
      </c>
      <c r="O89" s="7" t="s">
        <v>74</v>
      </c>
      <c r="P89" s="7" t="s">
        <v>74</v>
      </c>
      <c r="Q89" s="7" t="s">
        <v>74</v>
      </c>
      <c r="R89" s="7" t="s">
        <v>74</v>
      </c>
      <c r="S89" s="7" t="s">
        <v>74</v>
      </c>
      <c r="T89" s="7" t="s">
        <v>74</v>
      </c>
      <c r="U89" s="7" t="s">
        <v>74</v>
      </c>
      <c r="V89" s="6" t="s">
        <v>2623</v>
      </c>
      <c r="W89" s="7" t="s">
        <v>74</v>
      </c>
      <c r="X89" s="7" t="s">
        <v>74</v>
      </c>
      <c r="Y89" s="7" t="s">
        <v>74</v>
      </c>
      <c r="Z89" s="7" t="s">
        <v>74</v>
      </c>
      <c r="AA89" s="7" t="s">
        <v>74</v>
      </c>
      <c r="AB89" s="7" t="s">
        <v>2624</v>
      </c>
      <c r="AC89" s="7" t="s">
        <v>74</v>
      </c>
      <c r="AD89" s="7" t="s">
        <v>74</v>
      </c>
      <c r="AE89" s="7" t="s">
        <v>74</v>
      </c>
      <c r="AF89" s="7" t="s">
        <v>74</v>
      </c>
      <c r="AG89" s="7" t="s">
        <v>74</v>
      </c>
      <c r="AH89" s="7" t="s">
        <v>74</v>
      </c>
      <c r="AI89" s="7" t="s">
        <v>74</v>
      </c>
      <c r="AJ89" s="7" t="s">
        <v>74</v>
      </c>
      <c r="AK89" s="7" t="s">
        <v>74</v>
      </c>
      <c r="AL89" s="7" t="s">
        <v>74</v>
      </c>
      <c r="AM89" s="7" t="s">
        <v>74</v>
      </c>
      <c r="AN89" s="7" t="s">
        <v>74</v>
      </c>
      <c r="AO89" s="7" t="s">
        <v>132</v>
      </c>
      <c r="AP89" s="7" t="s">
        <v>133</v>
      </c>
      <c r="AQ89" s="7" t="s">
        <v>74</v>
      </c>
      <c r="AR89" s="7" t="s">
        <v>74</v>
      </c>
      <c r="AS89" s="7" t="s">
        <v>74</v>
      </c>
      <c r="AT89" s="7" t="s">
        <v>175</v>
      </c>
      <c r="AU89" s="7">
        <v>2023</v>
      </c>
      <c r="AV89" s="7">
        <v>77</v>
      </c>
      <c r="AW89" s="7">
        <v>10</v>
      </c>
      <c r="AX89" s="7" t="s">
        <v>74</v>
      </c>
      <c r="AY89" s="7" t="s">
        <v>74</v>
      </c>
      <c r="AZ89" s="7" t="s">
        <v>74</v>
      </c>
      <c r="BA89" s="7" t="s">
        <v>74</v>
      </c>
      <c r="BB89" s="7" t="s">
        <v>74</v>
      </c>
      <c r="BC89" s="7" t="s">
        <v>74</v>
      </c>
      <c r="BD89" s="7">
        <v>116</v>
      </c>
      <c r="BE89" s="7" t="s">
        <v>2625</v>
      </c>
      <c r="BF89" s="7" t="str">
        <f>HYPERLINK("http://dx.doi.org/10.1007/s00265-023-03389-5","http://dx.doi.org/10.1007/s00265-023-03389-5")</f>
        <v>http://dx.doi.org/10.1007/s00265-023-03389-5</v>
      </c>
      <c r="BG89" s="7" t="s">
        <v>74</v>
      </c>
      <c r="BH89" s="7" t="s">
        <v>74</v>
      </c>
      <c r="BI89" s="7" t="s">
        <v>74</v>
      </c>
      <c r="BJ89" s="7" t="s">
        <v>74</v>
      </c>
      <c r="BK89" s="7" t="s">
        <v>74</v>
      </c>
      <c r="BL89" s="7" t="s">
        <v>74</v>
      </c>
      <c r="BM89" s="7" t="s">
        <v>74</v>
      </c>
      <c r="BN89" s="7" t="s">
        <v>74</v>
      </c>
      <c r="BO89" s="7" t="s">
        <v>74</v>
      </c>
      <c r="BP89" s="7" t="s">
        <v>74</v>
      </c>
      <c r="BQ89" s="7" t="s">
        <v>74</v>
      </c>
      <c r="BR89" s="7" t="s">
        <v>74</v>
      </c>
      <c r="BS89" s="7" t="s">
        <v>2626</v>
      </c>
      <c r="BT89" s="7" t="str">
        <f>HYPERLINK("https%3A%2F%2Fwww.webofscience.com%2Fwos%2Fwoscc%2Ffull-record%2FWOS:001100527400001","View Full Record in Web of Science")</f>
        <v>View Full Record in Web of Science</v>
      </c>
    </row>
    <row r="90" spans="1:72" s="2" customFormat="1" x14ac:dyDescent="0.4">
      <c r="A90" s="7" t="s">
        <v>72</v>
      </c>
      <c r="B90" s="7" t="s">
        <v>2826</v>
      </c>
      <c r="C90" s="7" t="s">
        <v>74</v>
      </c>
      <c r="D90" s="7" t="s">
        <v>74</v>
      </c>
      <c r="E90" s="7" t="s">
        <v>74</v>
      </c>
      <c r="F90" s="7" t="s">
        <v>2827</v>
      </c>
      <c r="G90" s="7" t="s">
        <v>74</v>
      </c>
      <c r="H90" s="7" t="s">
        <v>74</v>
      </c>
      <c r="I90" s="7" t="s">
        <v>2828</v>
      </c>
      <c r="J90" s="7" t="s">
        <v>140</v>
      </c>
      <c r="K90" s="7" t="s">
        <v>74</v>
      </c>
      <c r="L90" s="7" t="s">
        <v>74</v>
      </c>
      <c r="M90" s="7" t="s">
        <v>74</v>
      </c>
      <c r="N90" s="7" t="s">
        <v>74</v>
      </c>
      <c r="O90" s="7" t="s">
        <v>74</v>
      </c>
      <c r="P90" s="7" t="s">
        <v>74</v>
      </c>
      <c r="Q90" s="7" t="s">
        <v>74</v>
      </c>
      <c r="R90" s="7" t="s">
        <v>74</v>
      </c>
      <c r="S90" s="7" t="s">
        <v>74</v>
      </c>
      <c r="T90" s="7" t="s">
        <v>74</v>
      </c>
      <c r="U90" s="7" t="s">
        <v>74</v>
      </c>
      <c r="V90" s="6" t="s">
        <v>2829</v>
      </c>
      <c r="W90" s="7" t="s">
        <v>74</v>
      </c>
      <c r="X90" s="7" t="s">
        <v>74</v>
      </c>
      <c r="Y90" s="7" t="s">
        <v>74</v>
      </c>
      <c r="Z90" s="7" t="s">
        <v>74</v>
      </c>
      <c r="AA90" s="7" t="s">
        <v>74</v>
      </c>
      <c r="AB90" s="7" t="s">
        <v>2830</v>
      </c>
      <c r="AC90" s="7" t="s">
        <v>74</v>
      </c>
      <c r="AD90" s="7" t="s">
        <v>74</v>
      </c>
      <c r="AE90" s="7" t="s">
        <v>74</v>
      </c>
      <c r="AF90" s="7" t="s">
        <v>74</v>
      </c>
      <c r="AG90" s="7" t="s">
        <v>74</v>
      </c>
      <c r="AH90" s="7" t="s">
        <v>74</v>
      </c>
      <c r="AI90" s="7" t="s">
        <v>74</v>
      </c>
      <c r="AJ90" s="7" t="s">
        <v>74</v>
      </c>
      <c r="AK90" s="7" t="s">
        <v>74</v>
      </c>
      <c r="AL90" s="7" t="s">
        <v>74</v>
      </c>
      <c r="AM90" s="7" t="s">
        <v>74</v>
      </c>
      <c r="AN90" s="7" t="s">
        <v>74</v>
      </c>
      <c r="AO90" s="7" t="s">
        <v>143</v>
      </c>
      <c r="AP90" s="7" t="s">
        <v>144</v>
      </c>
      <c r="AQ90" s="7" t="s">
        <v>74</v>
      </c>
      <c r="AR90" s="7" t="s">
        <v>74</v>
      </c>
      <c r="AS90" s="7" t="s">
        <v>74</v>
      </c>
      <c r="AT90" s="7" t="s">
        <v>145</v>
      </c>
      <c r="AU90" s="7">
        <v>2022</v>
      </c>
      <c r="AV90" s="7">
        <v>190</v>
      </c>
      <c r="AW90" s="7" t="s">
        <v>74</v>
      </c>
      <c r="AX90" s="7" t="s">
        <v>74</v>
      </c>
      <c r="AY90" s="7" t="s">
        <v>74</v>
      </c>
      <c r="AZ90" s="7" t="s">
        <v>74</v>
      </c>
      <c r="BA90" s="7" t="s">
        <v>74</v>
      </c>
      <c r="BB90" s="7">
        <v>233</v>
      </c>
      <c r="BC90" s="7">
        <v>240</v>
      </c>
      <c r="BD90" s="7" t="s">
        <v>74</v>
      </c>
      <c r="BE90" s="7" t="s">
        <v>2831</v>
      </c>
      <c r="BF90" s="7" t="str">
        <f>HYPERLINK("http://dx.doi.org/10.1016/j.anbehav.2022.05.018","http://dx.doi.org/10.1016/j.anbehav.2022.05.018")</f>
        <v>http://dx.doi.org/10.1016/j.anbehav.2022.05.018</v>
      </c>
      <c r="BG90" s="7" t="s">
        <v>74</v>
      </c>
      <c r="BH90" s="7" t="s">
        <v>2832</v>
      </c>
      <c r="BI90" s="7" t="s">
        <v>74</v>
      </c>
      <c r="BJ90" s="7" t="s">
        <v>74</v>
      </c>
      <c r="BK90" s="7" t="s">
        <v>74</v>
      </c>
      <c r="BL90" s="7" t="s">
        <v>74</v>
      </c>
      <c r="BM90" s="7" t="s">
        <v>74</v>
      </c>
      <c r="BN90" s="7" t="s">
        <v>74</v>
      </c>
      <c r="BO90" s="7" t="s">
        <v>74</v>
      </c>
      <c r="BP90" s="7" t="s">
        <v>74</v>
      </c>
      <c r="BQ90" s="7" t="s">
        <v>74</v>
      </c>
      <c r="BR90" s="7" t="s">
        <v>74</v>
      </c>
      <c r="BS90" s="7" t="s">
        <v>2833</v>
      </c>
      <c r="BT90" s="7" t="str">
        <f>HYPERLINK("https%3A%2F%2Fwww.webofscience.com%2Fwos%2Fwoscc%2Ffull-record%2FWOS:000863984000003","View Full Record in Web of Science")</f>
        <v>View Full Record in Web of Science</v>
      </c>
    </row>
    <row r="91" spans="1:72" s="2" customFormat="1" x14ac:dyDescent="0.4">
      <c r="A91" s="7" t="s">
        <v>72</v>
      </c>
      <c r="B91" s="7" t="s">
        <v>859</v>
      </c>
      <c r="C91" s="7" t="s">
        <v>74</v>
      </c>
      <c r="D91" s="7" t="s">
        <v>74</v>
      </c>
      <c r="E91" s="7" t="s">
        <v>74</v>
      </c>
      <c r="F91" s="7" t="s">
        <v>860</v>
      </c>
      <c r="G91" s="7" t="s">
        <v>74</v>
      </c>
      <c r="H91" s="7" t="s">
        <v>74</v>
      </c>
      <c r="I91" s="7" t="s">
        <v>861</v>
      </c>
      <c r="J91" s="7" t="s">
        <v>862</v>
      </c>
      <c r="K91" s="7" t="s">
        <v>74</v>
      </c>
      <c r="L91" s="7" t="s">
        <v>74</v>
      </c>
      <c r="M91" s="7" t="s">
        <v>74</v>
      </c>
      <c r="N91" s="7" t="s">
        <v>74</v>
      </c>
      <c r="O91" s="7" t="s">
        <v>74</v>
      </c>
      <c r="P91" s="7" t="s">
        <v>74</v>
      </c>
      <c r="Q91" s="7" t="s">
        <v>74</v>
      </c>
      <c r="R91" s="7" t="s">
        <v>74</v>
      </c>
      <c r="S91" s="7" t="s">
        <v>74</v>
      </c>
      <c r="T91" s="7" t="s">
        <v>74</v>
      </c>
      <c r="U91" s="7" t="s">
        <v>74</v>
      </c>
      <c r="V91" s="6" t="s">
        <v>863</v>
      </c>
      <c r="W91" s="7" t="s">
        <v>74</v>
      </c>
      <c r="X91" s="7" t="s">
        <v>74</v>
      </c>
      <c r="Y91" s="7" t="s">
        <v>74</v>
      </c>
      <c r="Z91" s="7" t="s">
        <v>74</v>
      </c>
      <c r="AA91" s="7" t="s">
        <v>74</v>
      </c>
      <c r="AB91" s="7" t="s">
        <v>864</v>
      </c>
      <c r="AC91" s="7" t="s">
        <v>74</v>
      </c>
      <c r="AD91" s="7" t="s">
        <v>74</v>
      </c>
      <c r="AE91" s="7" t="s">
        <v>74</v>
      </c>
      <c r="AF91" s="7" t="s">
        <v>74</v>
      </c>
      <c r="AG91" s="7" t="s">
        <v>74</v>
      </c>
      <c r="AH91" s="7" t="s">
        <v>74</v>
      </c>
      <c r="AI91" s="7" t="s">
        <v>74</v>
      </c>
      <c r="AJ91" s="7" t="s">
        <v>74</v>
      </c>
      <c r="AK91" s="7" t="s">
        <v>74</v>
      </c>
      <c r="AL91" s="7" t="s">
        <v>74</v>
      </c>
      <c r="AM91" s="7" t="s">
        <v>74</v>
      </c>
      <c r="AN91" s="7" t="s">
        <v>74</v>
      </c>
      <c r="AO91" s="7" t="s">
        <v>865</v>
      </c>
      <c r="AP91" s="7" t="s">
        <v>866</v>
      </c>
      <c r="AQ91" s="7" t="s">
        <v>74</v>
      </c>
      <c r="AR91" s="7" t="s">
        <v>74</v>
      </c>
      <c r="AS91" s="7" t="s">
        <v>74</v>
      </c>
      <c r="AT91" s="7" t="s">
        <v>867</v>
      </c>
      <c r="AU91" s="7">
        <v>2024</v>
      </c>
      <c r="AV91" s="7" t="s">
        <v>74</v>
      </c>
      <c r="AW91" s="7" t="s">
        <v>74</v>
      </c>
      <c r="AX91" s="7" t="s">
        <v>74</v>
      </c>
      <c r="AY91" s="7" t="s">
        <v>74</v>
      </c>
      <c r="AZ91" s="7" t="s">
        <v>74</v>
      </c>
      <c r="BA91" s="7" t="s">
        <v>74</v>
      </c>
      <c r="BB91" s="7" t="s">
        <v>74</v>
      </c>
      <c r="BC91" s="7" t="s">
        <v>74</v>
      </c>
      <c r="BD91" s="7" t="s">
        <v>74</v>
      </c>
      <c r="BE91" s="7" t="s">
        <v>868</v>
      </c>
      <c r="BF91" s="7" t="str">
        <f>HYPERLINK("http://dx.doi.org/10.1007/s10211-024-00444-w","http://dx.doi.org/10.1007/s10211-024-00444-w")</f>
        <v>http://dx.doi.org/10.1007/s10211-024-00444-w</v>
      </c>
      <c r="BG91" s="7" t="s">
        <v>74</v>
      </c>
      <c r="BH91" s="7" t="s">
        <v>869</v>
      </c>
      <c r="BI91" s="7" t="s">
        <v>74</v>
      </c>
      <c r="BJ91" s="7" t="s">
        <v>74</v>
      </c>
      <c r="BK91" s="7" t="s">
        <v>74</v>
      </c>
      <c r="BL91" s="7" t="s">
        <v>74</v>
      </c>
      <c r="BM91" s="7" t="s">
        <v>74</v>
      </c>
      <c r="BN91" s="7" t="s">
        <v>74</v>
      </c>
      <c r="BO91" s="7" t="s">
        <v>74</v>
      </c>
      <c r="BP91" s="7" t="s">
        <v>74</v>
      </c>
      <c r="BQ91" s="7" t="s">
        <v>74</v>
      </c>
      <c r="BR91" s="7" t="s">
        <v>74</v>
      </c>
      <c r="BS91" s="7" t="s">
        <v>870</v>
      </c>
      <c r="BT91" s="7" t="str">
        <f>HYPERLINK("https%3A%2F%2Fwww.webofscience.com%2Fwos%2Fwoscc%2Ffull-record%2FWOS:001274807200001","View Full Record in Web of Science")</f>
        <v>View Full Record in Web of Science</v>
      </c>
    </row>
    <row r="92" spans="1:72" s="2" customFormat="1" x14ac:dyDescent="0.4">
      <c r="A92" s="7" t="s">
        <v>72</v>
      </c>
      <c r="B92" s="7" t="s">
        <v>4315</v>
      </c>
      <c r="C92" s="7" t="s">
        <v>74</v>
      </c>
      <c r="D92" s="7" t="s">
        <v>74</v>
      </c>
      <c r="E92" s="7" t="s">
        <v>74</v>
      </c>
      <c r="F92" s="7" t="s">
        <v>4316</v>
      </c>
      <c r="G92" s="7" t="s">
        <v>74</v>
      </c>
      <c r="H92" s="7" t="s">
        <v>74</v>
      </c>
      <c r="I92" s="7" t="s">
        <v>4317</v>
      </c>
      <c r="J92" s="7" t="s">
        <v>4318</v>
      </c>
      <c r="K92" s="7" t="s">
        <v>74</v>
      </c>
      <c r="L92" s="7" t="s">
        <v>74</v>
      </c>
      <c r="M92" s="7" t="s">
        <v>74</v>
      </c>
      <c r="N92" s="7" t="s">
        <v>74</v>
      </c>
      <c r="O92" s="7" t="s">
        <v>74</v>
      </c>
      <c r="P92" s="7" t="s">
        <v>74</v>
      </c>
      <c r="Q92" s="7" t="s">
        <v>74</v>
      </c>
      <c r="R92" s="7" t="s">
        <v>74</v>
      </c>
      <c r="S92" s="7" t="s">
        <v>74</v>
      </c>
      <c r="T92" s="7" t="s">
        <v>74</v>
      </c>
      <c r="U92" s="7" t="s">
        <v>74</v>
      </c>
      <c r="V92" s="6" t="s">
        <v>4319</v>
      </c>
      <c r="W92" s="7" t="s">
        <v>74</v>
      </c>
      <c r="X92" s="7" t="s">
        <v>74</v>
      </c>
      <c r="Y92" s="7" t="s">
        <v>74</v>
      </c>
      <c r="Z92" s="7" t="s">
        <v>74</v>
      </c>
      <c r="AA92" s="7" t="s">
        <v>74</v>
      </c>
      <c r="AB92" s="7" t="s">
        <v>4320</v>
      </c>
      <c r="AC92" s="7" t="s">
        <v>74</v>
      </c>
      <c r="AD92" s="7" t="s">
        <v>74</v>
      </c>
      <c r="AE92" s="7" t="s">
        <v>74</v>
      </c>
      <c r="AF92" s="7" t="s">
        <v>74</v>
      </c>
      <c r="AG92" s="7" t="s">
        <v>74</v>
      </c>
      <c r="AH92" s="7" t="s">
        <v>74</v>
      </c>
      <c r="AI92" s="7" t="s">
        <v>74</v>
      </c>
      <c r="AJ92" s="7" t="s">
        <v>74</v>
      </c>
      <c r="AK92" s="7" t="s">
        <v>74</v>
      </c>
      <c r="AL92" s="7" t="s">
        <v>74</v>
      </c>
      <c r="AM92" s="7" t="s">
        <v>74</v>
      </c>
      <c r="AN92" s="7" t="s">
        <v>74</v>
      </c>
      <c r="AO92" s="7" t="s">
        <v>4321</v>
      </c>
      <c r="AP92" s="7" t="s">
        <v>4322</v>
      </c>
      <c r="AQ92" s="7" t="s">
        <v>74</v>
      </c>
      <c r="AR92" s="7" t="s">
        <v>74</v>
      </c>
      <c r="AS92" s="7" t="s">
        <v>74</v>
      </c>
      <c r="AT92" s="7" t="s">
        <v>204</v>
      </c>
      <c r="AU92" s="7">
        <v>2022</v>
      </c>
      <c r="AV92" s="7">
        <v>110</v>
      </c>
      <c r="AW92" s="7">
        <v>2</v>
      </c>
      <c r="AX92" s="7" t="s">
        <v>74</v>
      </c>
      <c r="AY92" s="7" t="s">
        <v>74</v>
      </c>
      <c r="AZ92" s="7" t="s">
        <v>74</v>
      </c>
      <c r="BA92" s="7" t="s">
        <v>74</v>
      </c>
      <c r="BB92" s="7">
        <v>340</v>
      </c>
      <c r="BC92" s="7">
        <v>349</v>
      </c>
      <c r="BD92" s="7" t="s">
        <v>74</v>
      </c>
      <c r="BE92" s="7" t="s">
        <v>4323</v>
      </c>
      <c r="BF92" s="7" t="str">
        <f>HYPERLINK("http://dx.doi.org/10.1643/h2021025","http://dx.doi.org/10.1643/h2021025")</f>
        <v>http://dx.doi.org/10.1643/h2021025</v>
      </c>
      <c r="BG92" s="7" t="s">
        <v>74</v>
      </c>
      <c r="BH92" s="7" t="s">
        <v>74</v>
      </c>
      <c r="BI92" s="7" t="s">
        <v>74</v>
      </c>
      <c r="BJ92" s="7" t="s">
        <v>74</v>
      </c>
      <c r="BK92" s="7" t="s">
        <v>74</v>
      </c>
      <c r="BL92" s="7" t="s">
        <v>74</v>
      </c>
      <c r="BM92" s="7" t="s">
        <v>74</v>
      </c>
      <c r="BN92" s="7" t="s">
        <v>74</v>
      </c>
      <c r="BO92" s="7" t="s">
        <v>74</v>
      </c>
      <c r="BP92" s="7" t="s">
        <v>74</v>
      </c>
      <c r="BQ92" s="7" t="s">
        <v>74</v>
      </c>
      <c r="BR92" s="7" t="s">
        <v>74</v>
      </c>
      <c r="BS92" s="7" t="s">
        <v>4324</v>
      </c>
      <c r="BT92" s="7" t="str">
        <f>HYPERLINK("https%3A%2F%2Fwww.webofscience.com%2Fwos%2Fwoscc%2Ffull-record%2FWOS:000836735000011","View Full Record in Web of Science")</f>
        <v>View Full Record in Web of Science</v>
      </c>
    </row>
    <row r="93" spans="1:72" s="1" customFormat="1" x14ac:dyDescent="0.4">
      <c r="A93" s="7" t="s">
        <v>72</v>
      </c>
      <c r="B93" s="7" t="s">
        <v>1671</v>
      </c>
      <c r="C93" s="7" t="s">
        <v>74</v>
      </c>
      <c r="D93" s="7" t="s">
        <v>74</v>
      </c>
      <c r="E93" s="7" t="s">
        <v>74</v>
      </c>
      <c r="F93" s="7" t="s">
        <v>1671</v>
      </c>
      <c r="G93" s="7" t="s">
        <v>74</v>
      </c>
      <c r="H93" s="7" t="s">
        <v>74</v>
      </c>
      <c r="I93" s="7" t="s">
        <v>1672</v>
      </c>
      <c r="J93" s="7" t="s">
        <v>1673</v>
      </c>
      <c r="K93" s="7" t="s">
        <v>74</v>
      </c>
      <c r="L93" s="7" t="s">
        <v>74</v>
      </c>
      <c r="M93" s="7" t="s">
        <v>74</v>
      </c>
      <c r="N93" s="7" t="s">
        <v>74</v>
      </c>
      <c r="O93" s="7" t="s">
        <v>74</v>
      </c>
      <c r="P93" s="7" t="s">
        <v>74</v>
      </c>
      <c r="Q93" s="7" t="s">
        <v>74</v>
      </c>
      <c r="R93" s="7" t="s">
        <v>74</v>
      </c>
      <c r="S93" s="7" t="s">
        <v>74</v>
      </c>
      <c r="T93" s="7" t="s">
        <v>74</v>
      </c>
      <c r="U93" s="7" t="s">
        <v>74</v>
      </c>
      <c r="V93" s="6" t="s">
        <v>1674</v>
      </c>
      <c r="W93" s="7" t="s">
        <v>74</v>
      </c>
      <c r="X93" s="7" t="s">
        <v>74</v>
      </c>
      <c r="Y93" s="7" t="s">
        <v>74</v>
      </c>
      <c r="Z93" s="7" t="s">
        <v>74</v>
      </c>
      <c r="AA93" s="7" t="s">
        <v>74</v>
      </c>
      <c r="AB93" s="7" t="s">
        <v>74</v>
      </c>
      <c r="AC93" s="7" t="s">
        <v>74</v>
      </c>
      <c r="AD93" s="7" t="s">
        <v>74</v>
      </c>
      <c r="AE93" s="7" t="s">
        <v>74</v>
      </c>
      <c r="AF93" s="7" t="s">
        <v>74</v>
      </c>
      <c r="AG93" s="7" t="s">
        <v>74</v>
      </c>
      <c r="AH93" s="7" t="s">
        <v>74</v>
      </c>
      <c r="AI93" s="7" t="s">
        <v>74</v>
      </c>
      <c r="AJ93" s="7" t="s">
        <v>74</v>
      </c>
      <c r="AK93" s="7" t="s">
        <v>74</v>
      </c>
      <c r="AL93" s="7" t="s">
        <v>74</v>
      </c>
      <c r="AM93" s="7" t="s">
        <v>74</v>
      </c>
      <c r="AN93" s="7" t="s">
        <v>74</v>
      </c>
      <c r="AO93" s="7" t="s">
        <v>1239</v>
      </c>
      <c r="AP93" s="7" t="s">
        <v>1675</v>
      </c>
      <c r="AQ93" s="7" t="s">
        <v>74</v>
      </c>
      <c r="AR93" s="7" t="s">
        <v>74</v>
      </c>
      <c r="AS93" s="7" t="s">
        <v>74</v>
      </c>
      <c r="AT93" s="7" t="s">
        <v>74</v>
      </c>
      <c r="AU93" s="7">
        <v>1984</v>
      </c>
      <c r="AV93" s="7">
        <v>62</v>
      </c>
      <c r="AW93" s="7">
        <v>6</v>
      </c>
      <c r="AX93" s="7" t="s">
        <v>74</v>
      </c>
      <c r="AY93" s="7" t="s">
        <v>74</v>
      </c>
      <c r="AZ93" s="7" t="s">
        <v>74</v>
      </c>
      <c r="BA93" s="7" t="s">
        <v>74</v>
      </c>
      <c r="BB93" s="7">
        <v>999</v>
      </c>
      <c r="BC93" s="7">
        <v>1004</v>
      </c>
      <c r="BD93" s="7" t="s">
        <v>74</v>
      </c>
      <c r="BE93" s="7" t="s">
        <v>1676</v>
      </c>
      <c r="BF93" s="7" t="str">
        <f>HYPERLINK("http://dx.doi.org/10.1139/z84-141","http://dx.doi.org/10.1139/z84-141")</f>
        <v>http://dx.doi.org/10.1139/z84-141</v>
      </c>
      <c r="BG93" s="7" t="s">
        <v>74</v>
      </c>
      <c r="BH93" s="7" t="s">
        <v>74</v>
      </c>
      <c r="BI93" s="7" t="s">
        <v>74</v>
      </c>
      <c r="BJ93" s="7" t="s">
        <v>74</v>
      </c>
      <c r="BK93" s="7" t="s">
        <v>74</v>
      </c>
      <c r="BL93" s="7" t="s">
        <v>74</v>
      </c>
      <c r="BM93" s="7" t="s">
        <v>74</v>
      </c>
      <c r="BN93" s="7" t="s">
        <v>74</v>
      </c>
      <c r="BO93" s="7" t="s">
        <v>74</v>
      </c>
      <c r="BP93" s="7" t="s">
        <v>74</v>
      </c>
      <c r="BQ93" s="7" t="s">
        <v>74</v>
      </c>
      <c r="BR93" s="7" t="s">
        <v>74</v>
      </c>
      <c r="BS93" s="7" t="s">
        <v>1677</v>
      </c>
      <c r="BT93" s="7" t="str">
        <f>HYPERLINK("https%3A%2F%2Fwww.webofscience.com%2Fwos%2Fwoscc%2Ffull-record%2FWOS:A1984TE15700001","View Full Record in Web of Science")</f>
        <v>View Full Record in Web of Science</v>
      </c>
    </row>
    <row r="94" spans="1:72" s="2" customFormat="1" x14ac:dyDescent="0.4">
      <c r="A94" s="7" t="s">
        <v>72</v>
      </c>
      <c r="B94" s="7" t="s">
        <v>3086</v>
      </c>
      <c r="C94" s="7" t="s">
        <v>74</v>
      </c>
      <c r="D94" s="7" t="s">
        <v>74</v>
      </c>
      <c r="E94" s="7" t="s">
        <v>74</v>
      </c>
      <c r="F94" s="7" t="s">
        <v>3087</v>
      </c>
      <c r="G94" s="7" t="s">
        <v>74</v>
      </c>
      <c r="H94" s="7" t="s">
        <v>74</v>
      </c>
      <c r="I94" s="7" t="s">
        <v>3088</v>
      </c>
      <c r="J94" s="7" t="s">
        <v>3089</v>
      </c>
      <c r="K94" s="7" t="s">
        <v>74</v>
      </c>
      <c r="L94" s="7" t="s">
        <v>74</v>
      </c>
      <c r="M94" s="7" t="s">
        <v>74</v>
      </c>
      <c r="N94" s="7" t="s">
        <v>74</v>
      </c>
      <c r="O94" s="7" t="s">
        <v>74</v>
      </c>
      <c r="P94" s="7" t="s">
        <v>74</v>
      </c>
      <c r="Q94" s="7" t="s">
        <v>74</v>
      </c>
      <c r="R94" s="7" t="s">
        <v>74</v>
      </c>
      <c r="S94" s="7" t="s">
        <v>74</v>
      </c>
      <c r="T94" s="7" t="s">
        <v>74</v>
      </c>
      <c r="U94" s="7" t="s">
        <v>74</v>
      </c>
      <c r="V94" s="6" t="s">
        <v>3090</v>
      </c>
      <c r="W94" s="7" t="s">
        <v>74</v>
      </c>
      <c r="X94" s="7" t="s">
        <v>74</v>
      </c>
      <c r="Y94" s="7" t="s">
        <v>74</v>
      </c>
      <c r="Z94" s="7" t="s">
        <v>74</v>
      </c>
      <c r="AA94" s="7" t="s">
        <v>3091</v>
      </c>
      <c r="AB94" s="7" t="s">
        <v>3092</v>
      </c>
      <c r="AC94" s="7" t="s">
        <v>74</v>
      </c>
      <c r="AD94" s="7" t="s">
        <v>74</v>
      </c>
      <c r="AE94" s="7" t="s">
        <v>74</v>
      </c>
      <c r="AF94" s="7" t="s">
        <v>74</v>
      </c>
      <c r="AG94" s="7" t="s">
        <v>74</v>
      </c>
      <c r="AH94" s="7" t="s">
        <v>74</v>
      </c>
      <c r="AI94" s="7" t="s">
        <v>74</v>
      </c>
      <c r="AJ94" s="7" t="s">
        <v>74</v>
      </c>
      <c r="AK94" s="7" t="s">
        <v>74</v>
      </c>
      <c r="AL94" s="7" t="s">
        <v>74</v>
      </c>
      <c r="AM94" s="7" t="s">
        <v>74</v>
      </c>
      <c r="AN94" s="7" t="s">
        <v>74</v>
      </c>
      <c r="AO94" s="7" t="s">
        <v>3093</v>
      </c>
      <c r="AP94" s="7" t="s">
        <v>3094</v>
      </c>
      <c r="AQ94" s="7" t="s">
        <v>74</v>
      </c>
      <c r="AR94" s="7" t="s">
        <v>74</v>
      </c>
      <c r="AS94" s="7" t="s">
        <v>74</v>
      </c>
      <c r="AT94" s="7" t="s">
        <v>134</v>
      </c>
      <c r="AU94" s="7">
        <v>2021</v>
      </c>
      <c r="AV94" s="7">
        <v>39</v>
      </c>
      <c r="AW94" s="7">
        <v>2</v>
      </c>
      <c r="AX94" s="7" t="s">
        <v>74</v>
      </c>
      <c r="AY94" s="7" t="s">
        <v>74</v>
      </c>
      <c r="AZ94" s="7" t="s">
        <v>74</v>
      </c>
      <c r="BA94" s="7" t="s">
        <v>74</v>
      </c>
      <c r="BB94" s="7">
        <v>179</v>
      </c>
      <c r="BC94" s="7">
        <v>189</v>
      </c>
      <c r="BD94" s="7" t="s">
        <v>74</v>
      </c>
      <c r="BE94" s="7" t="s">
        <v>3095</v>
      </c>
      <c r="BF94" s="7" t="str">
        <f>HYPERLINK("http://dx.doi.org/10.1007/s10164-021-00690-6","http://dx.doi.org/10.1007/s10164-021-00690-6")</f>
        <v>http://dx.doi.org/10.1007/s10164-021-00690-6</v>
      </c>
      <c r="BG94" s="7" t="s">
        <v>74</v>
      </c>
      <c r="BH94" s="7" t="s">
        <v>2411</v>
      </c>
      <c r="BI94" s="7" t="s">
        <v>74</v>
      </c>
      <c r="BJ94" s="7" t="s">
        <v>74</v>
      </c>
      <c r="BK94" s="7" t="s">
        <v>74</v>
      </c>
      <c r="BL94" s="7" t="s">
        <v>74</v>
      </c>
      <c r="BM94" s="7" t="s">
        <v>74</v>
      </c>
      <c r="BN94" s="7" t="s">
        <v>74</v>
      </c>
      <c r="BO94" s="7" t="s">
        <v>74</v>
      </c>
      <c r="BP94" s="7" t="s">
        <v>74</v>
      </c>
      <c r="BQ94" s="7" t="s">
        <v>74</v>
      </c>
      <c r="BR94" s="7" t="s">
        <v>74</v>
      </c>
      <c r="BS94" s="7" t="s">
        <v>3096</v>
      </c>
      <c r="BT94" s="7" t="str">
        <f>HYPERLINK("https%3A%2F%2Fwww.webofscience.com%2Fwos%2Fwoscc%2Ffull-record%2FWOS:000614674500001","View Full Record in Web of Science")</f>
        <v>View Full Record in Web of Science</v>
      </c>
    </row>
    <row r="95" spans="1:72" s="1" customFormat="1" x14ac:dyDescent="0.4">
      <c r="A95" s="7" t="s">
        <v>72</v>
      </c>
      <c r="B95" s="7" t="s">
        <v>226</v>
      </c>
      <c r="C95" s="7" t="s">
        <v>74</v>
      </c>
      <c r="D95" s="7" t="s">
        <v>74</v>
      </c>
      <c r="E95" s="7" t="s">
        <v>74</v>
      </c>
      <c r="F95" s="7" t="s">
        <v>227</v>
      </c>
      <c r="G95" s="7" t="s">
        <v>74</v>
      </c>
      <c r="H95" s="7" t="s">
        <v>74</v>
      </c>
      <c r="I95" s="7" t="s">
        <v>228</v>
      </c>
      <c r="J95" s="7" t="s">
        <v>229</v>
      </c>
      <c r="K95" s="7" t="s">
        <v>74</v>
      </c>
      <c r="L95" s="7" t="s">
        <v>74</v>
      </c>
      <c r="M95" s="7" t="s">
        <v>74</v>
      </c>
      <c r="N95" s="7" t="s">
        <v>74</v>
      </c>
      <c r="O95" s="7" t="s">
        <v>74</v>
      </c>
      <c r="P95" s="7" t="s">
        <v>74</v>
      </c>
      <c r="Q95" s="7" t="s">
        <v>74</v>
      </c>
      <c r="R95" s="7" t="s">
        <v>74</v>
      </c>
      <c r="S95" s="7" t="s">
        <v>74</v>
      </c>
      <c r="T95" s="7" t="s">
        <v>74</v>
      </c>
      <c r="U95" s="7" t="s">
        <v>74</v>
      </c>
      <c r="V95" s="6" t="s">
        <v>230</v>
      </c>
      <c r="W95" s="7" t="s">
        <v>74</v>
      </c>
      <c r="X95" s="7" t="s">
        <v>74</v>
      </c>
      <c r="Y95" s="7" t="s">
        <v>74</v>
      </c>
      <c r="Z95" s="7" t="s">
        <v>74</v>
      </c>
      <c r="AA95" s="7" t="s">
        <v>231</v>
      </c>
      <c r="AB95" s="7" t="s">
        <v>232</v>
      </c>
      <c r="AC95" s="7" t="s">
        <v>74</v>
      </c>
      <c r="AD95" s="7" t="s">
        <v>74</v>
      </c>
      <c r="AE95" s="7" t="s">
        <v>74</v>
      </c>
      <c r="AF95" s="7" t="s">
        <v>74</v>
      </c>
      <c r="AG95" s="7" t="s">
        <v>74</v>
      </c>
      <c r="AH95" s="7" t="s">
        <v>74</v>
      </c>
      <c r="AI95" s="7" t="s">
        <v>74</v>
      </c>
      <c r="AJ95" s="7" t="s">
        <v>74</v>
      </c>
      <c r="AK95" s="7" t="s">
        <v>74</v>
      </c>
      <c r="AL95" s="7" t="s">
        <v>74</v>
      </c>
      <c r="AM95" s="7" t="s">
        <v>74</v>
      </c>
      <c r="AN95" s="7" t="s">
        <v>74</v>
      </c>
      <c r="AO95" s="7" t="s">
        <v>233</v>
      </c>
      <c r="AP95" s="7" t="s">
        <v>234</v>
      </c>
      <c r="AQ95" s="7" t="s">
        <v>74</v>
      </c>
      <c r="AR95" s="7" t="s">
        <v>74</v>
      </c>
      <c r="AS95" s="7" t="s">
        <v>74</v>
      </c>
      <c r="AT95" s="7" t="s">
        <v>204</v>
      </c>
      <c r="AU95" s="7">
        <v>2021</v>
      </c>
      <c r="AV95" s="7">
        <v>47</v>
      </c>
      <c r="AW95" s="7">
        <v>4</v>
      </c>
      <c r="AX95" s="7" t="s">
        <v>74</v>
      </c>
      <c r="AY95" s="7" t="s">
        <v>74</v>
      </c>
      <c r="AZ95" s="7" t="s">
        <v>74</v>
      </c>
      <c r="BA95" s="7" t="s">
        <v>74</v>
      </c>
      <c r="BB95" s="7">
        <v>430</v>
      </c>
      <c r="BC95" s="7">
        <v>438</v>
      </c>
      <c r="BD95" s="7" t="s">
        <v>74</v>
      </c>
      <c r="BE95" s="7" t="s">
        <v>235</v>
      </c>
      <c r="BF95" s="7" t="str">
        <f>HYPERLINK("http://dx.doi.org/10.1002/ab.21961","http://dx.doi.org/10.1002/ab.21961")</f>
        <v>http://dx.doi.org/10.1002/ab.21961</v>
      </c>
      <c r="BG95" s="7" t="s">
        <v>74</v>
      </c>
      <c r="BH95" s="7" t="s">
        <v>236</v>
      </c>
      <c r="BI95" s="7" t="s">
        <v>74</v>
      </c>
      <c r="BJ95" s="7" t="s">
        <v>74</v>
      </c>
      <c r="BK95" s="7" t="s">
        <v>74</v>
      </c>
      <c r="BL95" s="7" t="s">
        <v>74</v>
      </c>
      <c r="BM95" s="7" t="s">
        <v>74</v>
      </c>
      <c r="BN95" s="7">
        <v>33682154</v>
      </c>
      <c r="BO95" s="7" t="s">
        <v>74</v>
      </c>
      <c r="BP95" s="7" t="s">
        <v>74</v>
      </c>
      <c r="BQ95" s="7" t="s">
        <v>74</v>
      </c>
      <c r="BR95" s="7" t="s">
        <v>74</v>
      </c>
      <c r="BS95" s="7" t="s">
        <v>237</v>
      </c>
      <c r="BT95" s="7" t="str">
        <f>HYPERLINK("https%3A%2F%2Fwww.webofscience.com%2Fwos%2Fwoscc%2Ffull-record%2FWOS:000625980800001","View Full Record in Web of Science")</f>
        <v>View Full Record in Web of Science</v>
      </c>
    </row>
    <row r="96" spans="1:72" s="2" customFormat="1" x14ac:dyDescent="0.4">
      <c r="A96" s="7" t="s">
        <v>72</v>
      </c>
      <c r="B96" s="7" t="s">
        <v>6676</v>
      </c>
      <c r="C96" s="7" t="s">
        <v>74</v>
      </c>
      <c r="D96" s="7" t="s">
        <v>74</v>
      </c>
      <c r="E96" s="7" t="s">
        <v>74</v>
      </c>
      <c r="F96" s="7" t="s">
        <v>6677</v>
      </c>
      <c r="G96" s="7" t="s">
        <v>74</v>
      </c>
      <c r="H96" s="7" t="s">
        <v>74</v>
      </c>
      <c r="I96" s="7" t="s">
        <v>6678</v>
      </c>
      <c r="J96" s="7" t="s">
        <v>140</v>
      </c>
      <c r="K96" s="7" t="s">
        <v>74</v>
      </c>
      <c r="L96" s="7" t="s">
        <v>74</v>
      </c>
      <c r="M96" s="7" t="s">
        <v>74</v>
      </c>
      <c r="N96" s="7" t="s">
        <v>74</v>
      </c>
      <c r="O96" s="7" t="s">
        <v>74</v>
      </c>
      <c r="P96" s="7" t="s">
        <v>74</v>
      </c>
      <c r="Q96" s="7" t="s">
        <v>74</v>
      </c>
      <c r="R96" s="7" t="s">
        <v>74</v>
      </c>
      <c r="S96" s="7" t="s">
        <v>74</v>
      </c>
      <c r="T96" s="7" t="s">
        <v>74</v>
      </c>
      <c r="U96" s="7" t="s">
        <v>74</v>
      </c>
      <c r="V96" s="6" t="s">
        <v>6679</v>
      </c>
      <c r="W96" s="7" t="s">
        <v>74</v>
      </c>
      <c r="X96" s="7" t="s">
        <v>74</v>
      </c>
      <c r="Y96" s="7" t="s">
        <v>74</v>
      </c>
      <c r="Z96" s="7" t="s">
        <v>74</v>
      </c>
      <c r="AA96" s="7" t="s">
        <v>6680</v>
      </c>
      <c r="AB96" s="7" t="s">
        <v>6681</v>
      </c>
      <c r="AC96" s="7" t="s">
        <v>74</v>
      </c>
      <c r="AD96" s="7" t="s">
        <v>74</v>
      </c>
      <c r="AE96" s="7" t="s">
        <v>74</v>
      </c>
      <c r="AF96" s="7" t="s">
        <v>74</v>
      </c>
      <c r="AG96" s="7" t="s">
        <v>74</v>
      </c>
      <c r="AH96" s="7" t="s">
        <v>74</v>
      </c>
      <c r="AI96" s="7" t="s">
        <v>74</v>
      </c>
      <c r="AJ96" s="7" t="s">
        <v>74</v>
      </c>
      <c r="AK96" s="7" t="s">
        <v>74</v>
      </c>
      <c r="AL96" s="7" t="s">
        <v>74</v>
      </c>
      <c r="AM96" s="7" t="s">
        <v>74</v>
      </c>
      <c r="AN96" s="7" t="s">
        <v>74</v>
      </c>
      <c r="AO96" s="7" t="s">
        <v>143</v>
      </c>
      <c r="AP96" s="7" t="s">
        <v>144</v>
      </c>
      <c r="AQ96" s="7" t="s">
        <v>74</v>
      </c>
      <c r="AR96" s="7" t="s">
        <v>74</v>
      </c>
      <c r="AS96" s="7" t="s">
        <v>74</v>
      </c>
      <c r="AT96" s="7" t="s">
        <v>204</v>
      </c>
      <c r="AU96" s="7">
        <v>2015</v>
      </c>
      <c r="AV96" s="7">
        <v>105</v>
      </c>
      <c r="AW96" s="7" t="s">
        <v>74</v>
      </c>
      <c r="AX96" s="7" t="s">
        <v>74</v>
      </c>
      <c r="AY96" s="7" t="s">
        <v>74</v>
      </c>
      <c r="AZ96" s="7" t="s">
        <v>74</v>
      </c>
      <c r="BA96" s="7" t="s">
        <v>74</v>
      </c>
      <c r="BB96" s="7">
        <v>201</v>
      </c>
      <c r="BC96" s="7">
        <v>209</v>
      </c>
      <c r="BD96" s="7" t="s">
        <v>74</v>
      </c>
      <c r="BE96" s="7" t="s">
        <v>6682</v>
      </c>
      <c r="BF96" s="7" t="str">
        <f>HYPERLINK("http://dx.doi.org/10.1016/j.anbehav.2015.04.024","http://dx.doi.org/10.1016/j.anbehav.2015.04.024")</f>
        <v>http://dx.doi.org/10.1016/j.anbehav.2015.04.024</v>
      </c>
      <c r="BG96" s="7" t="s">
        <v>74</v>
      </c>
      <c r="BH96" s="7" t="s">
        <v>74</v>
      </c>
      <c r="BI96" s="7" t="s">
        <v>74</v>
      </c>
      <c r="BJ96" s="7" t="s">
        <v>74</v>
      </c>
      <c r="BK96" s="7" t="s">
        <v>74</v>
      </c>
      <c r="BL96" s="7" t="s">
        <v>74</v>
      </c>
      <c r="BM96" s="7" t="s">
        <v>74</v>
      </c>
      <c r="BN96" s="7" t="s">
        <v>74</v>
      </c>
      <c r="BO96" s="7" t="s">
        <v>74</v>
      </c>
      <c r="BP96" s="7" t="s">
        <v>74</v>
      </c>
      <c r="BQ96" s="7" t="s">
        <v>74</v>
      </c>
      <c r="BR96" s="7" t="s">
        <v>74</v>
      </c>
      <c r="BS96" s="7" t="s">
        <v>6683</v>
      </c>
      <c r="BT96" s="7" t="str">
        <f>HYPERLINK("https%3A%2F%2Fwww.webofscience.com%2Fwos%2Fwoscc%2Ffull-record%2FWOS:000356611200022","View Full Record in Web of Science")</f>
        <v>View Full Record in Web of Science</v>
      </c>
    </row>
    <row r="97" spans="1:72" s="2" customFormat="1" x14ac:dyDescent="0.4">
      <c r="A97" s="7" t="s">
        <v>72</v>
      </c>
      <c r="B97" s="7" t="s">
        <v>2948</v>
      </c>
      <c r="C97" s="7" t="s">
        <v>74</v>
      </c>
      <c r="D97" s="7" t="s">
        <v>74</v>
      </c>
      <c r="E97" s="7" t="s">
        <v>74</v>
      </c>
      <c r="F97" s="7" t="s">
        <v>2948</v>
      </c>
      <c r="G97" s="7" t="s">
        <v>74</v>
      </c>
      <c r="H97" s="7" t="s">
        <v>74</v>
      </c>
      <c r="I97" s="7" t="s">
        <v>2949</v>
      </c>
      <c r="J97" s="7" t="s">
        <v>140</v>
      </c>
      <c r="K97" s="7" t="s">
        <v>74</v>
      </c>
      <c r="L97" s="7" t="s">
        <v>74</v>
      </c>
      <c r="M97" s="7" t="s">
        <v>74</v>
      </c>
      <c r="N97" s="7" t="s">
        <v>74</v>
      </c>
      <c r="O97" s="7" t="s">
        <v>74</v>
      </c>
      <c r="P97" s="7" t="s">
        <v>74</v>
      </c>
      <c r="Q97" s="7" t="s">
        <v>74</v>
      </c>
      <c r="R97" s="7" t="s">
        <v>74</v>
      </c>
      <c r="S97" s="7" t="s">
        <v>74</v>
      </c>
      <c r="T97" s="7" t="s">
        <v>74</v>
      </c>
      <c r="U97" s="7" t="s">
        <v>74</v>
      </c>
      <c r="V97" s="6" t="s">
        <v>2950</v>
      </c>
      <c r="W97" s="7" t="s">
        <v>74</v>
      </c>
      <c r="X97" s="7" t="s">
        <v>74</v>
      </c>
      <c r="Y97" s="7" t="s">
        <v>74</v>
      </c>
      <c r="Z97" s="7" t="s">
        <v>74</v>
      </c>
      <c r="AA97" s="7" t="s">
        <v>2951</v>
      </c>
      <c r="AB97" s="7" t="s">
        <v>2952</v>
      </c>
      <c r="AC97" s="7" t="s">
        <v>74</v>
      </c>
      <c r="AD97" s="7" t="s">
        <v>74</v>
      </c>
      <c r="AE97" s="7" t="s">
        <v>74</v>
      </c>
      <c r="AF97" s="7" t="s">
        <v>74</v>
      </c>
      <c r="AG97" s="7" t="s">
        <v>74</v>
      </c>
      <c r="AH97" s="7" t="s">
        <v>74</v>
      </c>
      <c r="AI97" s="7" t="s">
        <v>74</v>
      </c>
      <c r="AJ97" s="7" t="s">
        <v>74</v>
      </c>
      <c r="AK97" s="7" t="s">
        <v>74</v>
      </c>
      <c r="AL97" s="7" t="s">
        <v>74</v>
      </c>
      <c r="AM97" s="7" t="s">
        <v>74</v>
      </c>
      <c r="AN97" s="7" t="s">
        <v>74</v>
      </c>
      <c r="AO97" s="7" t="s">
        <v>143</v>
      </c>
      <c r="AP97" s="7" t="s">
        <v>74</v>
      </c>
      <c r="AQ97" s="7" t="s">
        <v>74</v>
      </c>
      <c r="AR97" s="7" t="s">
        <v>74</v>
      </c>
      <c r="AS97" s="7" t="s">
        <v>74</v>
      </c>
      <c r="AT97" s="7" t="s">
        <v>145</v>
      </c>
      <c r="AU97" s="7">
        <v>2004</v>
      </c>
      <c r="AV97" s="7">
        <v>68</v>
      </c>
      <c r="AW97" s="7" t="s">
        <v>74</v>
      </c>
      <c r="AX97" s="7">
        <v>2</v>
      </c>
      <c r="AY97" s="7" t="s">
        <v>74</v>
      </c>
      <c r="AZ97" s="7" t="s">
        <v>74</v>
      </c>
      <c r="BA97" s="7" t="s">
        <v>74</v>
      </c>
      <c r="BB97" s="7">
        <v>273</v>
      </c>
      <c r="BC97" s="7">
        <v>282</v>
      </c>
      <c r="BD97" s="7" t="s">
        <v>74</v>
      </c>
      <c r="BE97" s="7" t="s">
        <v>2953</v>
      </c>
      <c r="BF97" s="7" t="str">
        <f>HYPERLINK("http://dx.doi.org/10.1016/j.anbehav.2003.11.010","http://dx.doi.org/10.1016/j.anbehav.2003.11.010")</f>
        <v>http://dx.doi.org/10.1016/j.anbehav.2003.11.010</v>
      </c>
      <c r="BG97" s="7" t="s">
        <v>74</v>
      </c>
      <c r="BH97" s="7" t="s">
        <v>74</v>
      </c>
      <c r="BI97" s="7" t="s">
        <v>74</v>
      </c>
      <c r="BJ97" s="7" t="s">
        <v>74</v>
      </c>
      <c r="BK97" s="7" t="s">
        <v>74</v>
      </c>
      <c r="BL97" s="7" t="s">
        <v>74</v>
      </c>
      <c r="BM97" s="7" t="s">
        <v>74</v>
      </c>
      <c r="BN97" s="7" t="s">
        <v>74</v>
      </c>
      <c r="BO97" s="7" t="s">
        <v>74</v>
      </c>
      <c r="BP97" s="7" t="s">
        <v>74</v>
      </c>
      <c r="BQ97" s="7" t="s">
        <v>74</v>
      </c>
      <c r="BR97" s="7" t="s">
        <v>74</v>
      </c>
      <c r="BS97" s="7" t="s">
        <v>2954</v>
      </c>
      <c r="BT97" s="7" t="str">
        <f>HYPERLINK("https%3A%2F%2Fwww.webofscience.com%2Fwos%2Fwoscc%2Ffull-record%2FWOS:000223614300006","View Full Record in Web of Science")</f>
        <v>View Full Record in Web of Science</v>
      </c>
    </row>
    <row r="98" spans="1:72" s="2" customFormat="1" x14ac:dyDescent="0.4">
      <c r="A98" s="7" t="s">
        <v>72</v>
      </c>
      <c r="B98" s="7" t="s">
        <v>4227</v>
      </c>
      <c r="C98" s="7" t="s">
        <v>74</v>
      </c>
      <c r="D98" s="7" t="s">
        <v>74</v>
      </c>
      <c r="E98" s="7" t="s">
        <v>74</v>
      </c>
      <c r="F98" s="7" t="s">
        <v>4227</v>
      </c>
      <c r="G98" s="7" t="s">
        <v>74</v>
      </c>
      <c r="H98" s="7" t="s">
        <v>74</v>
      </c>
      <c r="I98" s="7" t="s">
        <v>4228</v>
      </c>
      <c r="J98" s="7" t="s">
        <v>77</v>
      </c>
      <c r="K98" s="7" t="s">
        <v>74</v>
      </c>
      <c r="L98" s="7" t="s">
        <v>74</v>
      </c>
      <c r="M98" s="7" t="s">
        <v>74</v>
      </c>
      <c r="N98" s="7" t="s">
        <v>74</v>
      </c>
      <c r="O98" s="7" t="s">
        <v>74</v>
      </c>
      <c r="P98" s="7" t="s">
        <v>74</v>
      </c>
      <c r="Q98" s="7" t="s">
        <v>74</v>
      </c>
      <c r="R98" s="7" t="s">
        <v>74</v>
      </c>
      <c r="S98" s="7" t="s">
        <v>74</v>
      </c>
      <c r="T98" s="7" t="s">
        <v>74</v>
      </c>
      <c r="U98" s="7" t="s">
        <v>74</v>
      </c>
      <c r="V98" s="6" t="s">
        <v>4229</v>
      </c>
      <c r="W98" s="7" t="s">
        <v>74</v>
      </c>
      <c r="X98" s="7" t="s">
        <v>74</v>
      </c>
      <c r="Y98" s="7" t="s">
        <v>74</v>
      </c>
      <c r="Z98" s="7" t="s">
        <v>74</v>
      </c>
      <c r="AA98" s="7" t="s">
        <v>74</v>
      </c>
      <c r="AB98" s="7" t="s">
        <v>74</v>
      </c>
      <c r="AC98" s="7" t="s">
        <v>74</v>
      </c>
      <c r="AD98" s="7" t="s">
        <v>74</v>
      </c>
      <c r="AE98" s="7" t="s">
        <v>74</v>
      </c>
      <c r="AF98" s="7" t="s">
        <v>74</v>
      </c>
      <c r="AG98" s="7" t="s">
        <v>74</v>
      </c>
      <c r="AH98" s="7" t="s">
        <v>74</v>
      </c>
      <c r="AI98" s="7" t="s">
        <v>74</v>
      </c>
      <c r="AJ98" s="7" t="s">
        <v>74</v>
      </c>
      <c r="AK98" s="7" t="s">
        <v>74</v>
      </c>
      <c r="AL98" s="7" t="s">
        <v>74</v>
      </c>
      <c r="AM98" s="7" t="s">
        <v>74</v>
      </c>
      <c r="AN98" s="7" t="s">
        <v>74</v>
      </c>
      <c r="AO98" s="7" t="s">
        <v>81</v>
      </c>
      <c r="AP98" s="7" t="s">
        <v>82</v>
      </c>
      <c r="AQ98" s="7" t="s">
        <v>74</v>
      </c>
      <c r="AR98" s="7" t="s">
        <v>74</v>
      </c>
      <c r="AS98" s="7" t="s">
        <v>74</v>
      </c>
      <c r="AT98" s="7" t="s">
        <v>74</v>
      </c>
      <c r="AU98" s="7">
        <v>1978</v>
      </c>
      <c r="AV98" s="7">
        <v>64</v>
      </c>
      <c r="AW98" s="7" t="s">
        <v>74</v>
      </c>
      <c r="AX98" s="7" t="s">
        <v>1276</v>
      </c>
      <c r="AY98" s="7" t="s">
        <v>74</v>
      </c>
      <c r="AZ98" s="7" t="s">
        <v>74</v>
      </c>
      <c r="BA98" s="7" t="s">
        <v>74</v>
      </c>
      <c r="BB98" s="7">
        <v>271</v>
      </c>
      <c r="BC98" s="7">
        <v>297</v>
      </c>
      <c r="BD98" s="7" t="s">
        <v>74</v>
      </c>
      <c r="BE98" s="7" t="s">
        <v>4230</v>
      </c>
      <c r="BF98" s="7" t="str">
        <f>HYPERLINK("http://dx.doi.org/10.1163/156853978X00062","http://dx.doi.org/10.1163/156853978X00062")</f>
        <v>http://dx.doi.org/10.1163/156853978X00062</v>
      </c>
      <c r="BG98" s="7" t="s">
        <v>74</v>
      </c>
      <c r="BH98" s="7" t="s">
        <v>74</v>
      </c>
      <c r="BI98" s="7" t="s">
        <v>74</v>
      </c>
      <c r="BJ98" s="7" t="s">
        <v>74</v>
      </c>
      <c r="BK98" s="7" t="s">
        <v>74</v>
      </c>
      <c r="BL98" s="7" t="s">
        <v>74</v>
      </c>
      <c r="BM98" s="7" t="s">
        <v>74</v>
      </c>
      <c r="BN98" s="7">
        <v>566542</v>
      </c>
      <c r="BO98" s="7" t="s">
        <v>74</v>
      </c>
      <c r="BP98" s="7" t="s">
        <v>74</v>
      </c>
      <c r="BQ98" s="7" t="s">
        <v>74</v>
      </c>
      <c r="BR98" s="7" t="s">
        <v>74</v>
      </c>
      <c r="BS98" s="7" t="s">
        <v>4231</v>
      </c>
      <c r="BT98" s="7" t="str">
        <f>HYPERLINK("https%3A%2F%2Fwww.webofscience.com%2Fwos%2Fwoscc%2Ffull-record%2FWOS:A1978EY03400006","View Full Record in Web of Science")</f>
        <v>View Full Record in Web of Science</v>
      </c>
    </row>
    <row r="99" spans="1:72" s="7" customFormat="1" x14ac:dyDescent="0.4">
      <c r="A99" s="7" t="s">
        <v>72</v>
      </c>
      <c r="B99" s="7" t="s">
        <v>6117</v>
      </c>
      <c r="C99" s="7" t="s">
        <v>74</v>
      </c>
      <c r="D99" s="7" t="s">
        <v>74</v>
      </c>
      <c r="E99" s="7" t="s">
        <v>74</v>
      </c>
      <c r="F99" s="7" t="s">
        <v>6117</v>
      </c>
      <c r="G99" s="7" t="s">
        <v>74</v>
      </c>
      <c r="H99" s="7" t="s">
        <v>74</v>
      </c>
      <c r="I99" s="7" t="s">
        <v>6118</v>
      </c>
      <c r="J99" s="7" t="s">
        <v>431</v>
      </c>
      <c r="K99" s="7" t="s">
        <v>74</v>
      </c>
      <c r="L99" s="7" t="s">
        <v>74</v>
      </c>
      <c r="M99" s="7" t="s">
        <v>74</v>
      </c>
      <c r="N99" s="7" t="s">
        <v>74</v>
      </c>
      <c r="O99" s="7" t="s">
        <v>74</v>
      </c>
      <c r="P99" s="7" t="s">
        <v>74</v>
      </c>
      <c r="Q99" s="7" t="s">
        <v>74</v>
      </c>
      <c r="R99" s="7" t="s">
        <v>74</v>
      </c>
      <c r="S99" s="7" t="s">
        <v>74</v>
      </c>
      <c r="T99" s="7" t="s">
        <v>74</v>
      </c>
      <c r="U99" s="7" t="s">
        <v>74</v>
      </c>
      <c r="V99" s="6" t="s">
        <v>6119</v>
      </c>
      <c r="W99" s="7" t="s">
        <v>74</v>
      </c>
      <c r="X99" s="7" t="s">
        <v>74</v>
      </c>
      <c r="Y99" s="7" t="s">
        <v>74</v>
      </c>
      <c r="Z99" s="7" t="s">
        <v>74</v>
      </c>
      <c r="AA99" s="7" t="s">
        <v>74</v>
      </c>
      <c r="AB99" s="7" t="s">
        <v>74</v>
      </c>
      <c r="AC99" s="7" t="s">
        <v>74</v>
      </c>
      <c r="AD99" s="7" t="s">
        <v>74</v>
      </c>
      <c r="AE99" s="7" t="s">
        <v>74</v>
      </c>
      <c r="AF99" s="7" t="s">
        <v>74</v>
      </c>
      <c r="AG99" s="7" t="s">
        <v>74</v>
      </c>
      <c r="AH99" s="7" t="s">
        <v>74</v>
      </c>
      <c r="AI99" s="7" t="s">
        <v>74</v>
      </c>
      <c r="AJ99" s="7" t="s">
        <v>74</v>
      </c>
      <c r="AK99" s="7" t="s">
        <v>74</v>
      </c>
      <c r="AL99" s="7" t="s">
        <v>74</v>
      </c>
      <c r="AM99" s="7" t="s">
        <v>74</v>
      </c>
      <c r="AN99" s="7" t="s">
        <v>74</v>
      </c>
      <c r="AO99" s="7" t="s">
        <v>74</v>
      </c>
      <c r="AP99" s="7" t="s">
        <v>435</v>
      </c>
      <c r="AQ99" s="7" t="s">
        <v>74</v>
      </c>
      <c r="AR99" s="7" t="s">
        <v>74</v>
      </c>
      <c r="AS99" s="7" t="s">
        <v>74</v>
      </c>
      <c r="AT99" s="7" t="s">
        <v>175</v>
      </c>
      <c r="AU99" s="7">
        <v>1987</v>
      </c>
      <c r="AV99" s="7">
        <v>104</v>
      </c>
      <c r="AW99" s="7">
        <v>4</v>
      </c>
      <c r="AX99" s="7" t="s">
        <v>74</v>
      </c>
      <c r="AY99" s="7" t="s">
        <v>74</v>
      </c>
      <c r="AZ99" s="7" t="s">
        <v>74</v>
      </c>
      <c r="BA99" s="7" t="s">
        <v>74</v>
      </c>
      <c r="BB99" s="7">
        <v>717</v>
      </c>
      <c r="BC99" s="7">
        <v>723</v>
      </c>
      <c r="BD99" s="7" t="s">
        <v>74</v>
      </c>
      <c r="BE99" s="7" t="s">
        <v>6120</v>
      </c>
      <c r="BF99" s="7" t="str">
        <f>HYPERLINK("http://dx.doi.org/10.1093/auk/104.4.717","http://dx.doi.org/10.1093/auk/104.4.717")</f>
        <v>http://dx.doi.org/10.1093/auk/104.4.717</v>
      </c>
      <c r="BG99" s="7" t="s">
        <v>74</v>
      </c>
      <c r="BH99" s="7" t="s">
        <v>74</v>
      </c>
      <c r="BI99" s="7" t="s">
        <v>74</v>
      </c>
      <c r="BJ99" s="7" t="s">
        <v>74</v>
      </c>
      <c r="BK99" s="7" t="s">
        <v>74</v>
      </c>
      <c r="BL99" s="7" t="s">
        <v>74</v>
      </c>
      <c r="BM99" s="7" t="s">
        <v>74</v>
      </c>
      <c r="BN99" s="7" t="s">
        <v>74</v>
      </c>
      <c r="BO99" s="7" t="s">
        <v>74</v>
      </c>
      <c r="BP99" s="7" t="s">
        <v>74</v>
      </c>
      <c r="BQ99" s="7" t="s">
        <v>74</v>
      </c>
      <c r="BR99" s="7" t="s">
        <v>74</v>
      </c>
      <c r="BS99" s="7" t="s">
        <v>6121</v>
      </c>
      <c r="BT99" s="7" t="str">
        <f>HYPERLINK("https%3A%2F%2Fwww.webofscience.com%2Fwos%2Fwoscc%2Ffull-record%2FWOS:A1987K764400015","View Full Record in Web of Science")</f>
        <v>View Full Record in Web of Science</v>
      </c>
    </row>
    <row r="100" spans="1:72" s="2" customFormat="1" x14ac:dyDescent="0.4">
      <c r="A100" s="7" t="s">
        <v>72</v>
      </c>
      <c r="B100" s="7" t="s">
        <v>6276</v>
      </c>
      <c r="C100" s="7" t="s">
        <v>74</v>
      </c>
      <c r="D100" s="7" t="s">
        <v>74</v>
      </c>
      <c r="E100" s="7" t="s">
        <v>74</v>
      </c>
      <c r="F100" s="7" t="s">
        <v>6276</v>
      </c>
      <c r="G100" s="7" t="s">
        <v>74</v>
      </c>
      <c r="H100" s="7" t="s">
        <v>74</v>
      </c>
      <c r="I100" s="7" t="s">
        <v>6277</v>
      </c>
      <c r="J100" s="7" t="s">
        <v>6278</v>
      </c>
      <c r="K100" s="7" t="s">
        <v>74</v>
      </c>
      <c r="L100" s="7" t="s">
        <v>74</v>
      </c>
      <c r="M100" s="7" t="s">
        <v>74</v>
      </c>
      <c r="N100" s="7" t="s">
        <v>74</v>
      </c>
      <c r="O100" s="7" t="s">
        <v>74</v>
      </c>
      <c r="P100" s="7" t="s">
        <v>74</v>
      </c>
      <c r="Q100" s="7" t="s">
        <v>74</v>
      </c>
      <c r="R100" s="7" t="s">
        <v>74</v>
      </c>
      <c r="S100" s="7" t="s">
        <v>74</v>
      </c>
      <c r="T100" s="7" t="s">
        <v>74</v>
      </c>
      <c r="U100" s="7" t="s">
        <v>74</v>
      </c>
      <c r="V100" s="6" t="s">
        <v>6279</v>
      </c>
      <c r="W100" s="7" t="s">
        <v>74</v>
      </c>
      <c r="X100" s="7" t="s">
        <v>74</v>
      </c>
      <c r="Y100" s="7" t="s">
        <v>74</v>
      </c>
      <c r="Z100" s="7" t="s">
        <v>74</v>
      </c>
      <c r="AA100" s="7" t="s">
        <v>74</v>
      </c>
      <c r="AB100" s="7" t="s">
        <v>74</v>
      </c>
      <c r="AC100" s="7" t="s">
        <v>74</v>
      </c>
      <c r="AD100" s="7" t="s">
        <v>74</v>
      </c>
      <c r="AE100" s="7" t="s">
        <v>74</v>
      </c>
      <c r="AF100" s="7" t="s">
        <v>74</v>
      </c>
      <c r="AG100" s="7" t="s">
        <v>74</v>
      </c>
      <c r="AH100" s="7" t="s">
        <v>74</v>
      </c>
      <c r="AI100" s="7" t="s">
        <v>74</v>
      </c>
      <c r="AJ100" s="7" t="s">
        <v>74</v>
      </c>
      <c r="AK100" s="7" t="s">
        <v>74</v>
      </c>
      <c r="AL100" s="7" t="s">
        <v>74</v>
      </c>
      <c r="AM100" s="7" t="s">
        <v>74</v>
      </c>
      <c r="AN100" s="7" t="s">
        <v>74</v>
      </c>
      <c r="AO100" s="7" t="s">
        <v>6280</v>
      </c>
      <c r="AP100" s="7" t="s">
        <v>6281</v>
      </c>
      <c r="AQ100" s="7" t="s">
        <v>74</v>
      </c>
      <c r="AR100" s="7" t="s">
        <v>74</v>
      </c>
      <c r="AS100" s="7" t="s">
        <v>74</v>
      </c>
      <c r="AT100" s="7" t="s">
        <v>145</v>
      </c>
      <c r="AU100" s="7">
        <v>1989</v>
      </c>
      <c r="AV100" s="7">
        <v>46</v>
      </c>
      <c r="AW100" s="7">
        <v>8</v>
      </c>
      <c r="AX100" s="7" t="s">
        <v>74</v>
      </c>
      <c r="AY100" s="7" t="s">
        <v>74</v>
      </c>
      <c r="AZ100" s="7" t="s">
        <v>74</v>
      </c>
      <c r="BA100" s="7" t="s">
        <v>74</v>
      </c>
      <c r="BB100" s="7">
        <v>1406</v>
      </c>
      <c r="BC100" s="7">
        <v>1414</v>
      </c>
      <c r="BD100" s="7" t="s">
        <v>74</v>
      </c>
      <c r="BE100" s="7" t="s">
        <v>6282</v>
      </c>
      <c r="BF100" s="7" t="str">
        <f>HYPERLINK("http://dx.doi.org/10.1139/f89-180","http://dx.doi.org/10.1139/f89-180")</f>
        <v>http://dx.doi.org/10.1139/f89-180</v>
      </c>
      <c r="BG100" s="7" t="s">
        <v>74</v>
      </c>
      <c r="BH100" s="7" t="s">
        <v>74</v>
      </c>
      <c r="BI100" s="7" t="s">
        <v>74</v>
      </c>
      <c r="BJ100" s="7" t="s">
        <v>74</v>
      </c>
      <c r="BK100" s="7" t="s">
        <v>74</v>
      </c>
      <c r="BL100" s="7" t="s">
        <v>74</v>
      </c>
      <c r="BM100" s="7" t="s">
        <v>74</v>
      </c>
      <c r="BN100" s="7" t="s">
        <v>74</v>
      </c>
      <c r="BO100" s="7" t="s">
        <v>74</v>
      </c>
      <c r="BP100" s="7" t="s">
        <v>74</v>
      </c>
      <c r="BQ100" s="7" t="s">
        <v>74</v>
      </c>
      <c r="BR100" s="7" t="s">
        <v>74</v>
      </c>
      <c r="BS100" s="7" t="s">
        <v>6283</v>
      </c>
      <c r="BT100" s="7" t="str">
        <f>HYPERLINK("https%3A%2F%2Fwww.webofscience.com%2Fwos%2Fwoscc%2Ffull-record%2FWOS:A1989AJ57000018","View Full Record in Web of Science")</f>
        <v>View Full Record in Web of Science</v>
      </c>
    </row>
    <row r="101" spans="1:72" s="2" customFormat="1" x14ac:dyDescent="0.4">
      <c r="A101" s="7" t="s">
        <v>72</v>
      </c>
      <c r="B101" s="7" t="s">
        <v>515</v>
      </c>
      <c r="C101" s="7" t="s">
        <v>74</v>
      </c>
      <c r="D101" s="7" t="s">
        <v>74</v>
      </c>
      <c r="E101" s="7" t="s">
        <v>74</v>
      </c>
      <c r="F101" s="7" t="s">
        <v>515</v>
      </c>
      <c r="G101" s="7" t="s">
        <v>74</v>
      </c>
      <c r="H101" s="7" t="s">
        <v>74</v>
      </c>
      <c r="I101" s="7" t="s">
        <v>516</v>
      </c>
      <c r="J101" s="7" t="s">
        <v>517</v>
      </c>
      <c r="K101" s="7" t="s">
        <v>74</v>
      </c>
      <c r="L101" s="7" t="s">
        <v>74</v>
      </c>
      <c r="M101" s="7" t="s">
        <v>74</v>
      </c>
      <c r="N101" s="7" t="s">
        <v>74</v>
      </c>
      <c r="O101" s="7" t="s">
        <v>518</v>
      </c>
      <c r="P101" s="7" t="s">
        <v>519</v>
      </c>
      <c r="Q101" s="7" t="s">
        <v>520</v>
      </c>
      <c r="R101" s="7" t="s">
        <v>521</v>
      </c>
      <c r="S101" s="7" t="s">
        <v>74</v>
      </c>
      <c r="T101" s="7" t="s">
        <v>74</v>
      </c>
      <c r="U101" s="7" t="s">
        <v>74</v>
      </c>
      <c r="V101" s="6" t="s">
        <v>522</v>
      </c>
      <c r="W101" s="7" t="s">
        <v>74</v>
      </c>
      <c r="X101" s="7" t="s">
        <v>74</v>
      </c>
      <c r="Y101" s="7" t="s">
        <v>74</v>
      </c>
      <c r="Z101" s="7" t="s">
        <v>74</v>
      </c>
      <c r="AA101" s="7" t="s">
        <v>523</v>
      </c>
      <c r="AB101" s="7" t="s">
        <v>524</v>
      </c>
      <c r="AC101" s="7" t="s">
        <v>74</v>
      </c>
      <c r="AD101" s="7" t="s">
        <v>74</v>
      </c>
      <c r="AE101" s="7" t="s">
        <v>74</v>
      </c>
      <c r="AF101" s="7" t="s">
        <v>74</v>
      </c>
      <c r="AG101" s="7" t="s">
        <v>74</v>
      </c>
      <c r="AH101" s="7" t="s">
        <v>74</v>
      </c>
      <c r="AI101" s="7" t="s">
        <v>74</v>
      </c>
      <c r="AJ101" s="7" t="s">
        <v>74</v>
      </c>
      <c r="AK101" s="7" t="s">
        <v>74</v>
      </c>
      <c r="AL101" s="7" t="s">
        <v>74</v>
      </c>
      <c r="AM101" s="7" t="s">
        <v>74</v>
      </c>
      <c r="AN101" s="7" t="s">
        <v>74</v>
      </c>
      <c r="AO101" s="7" t="s">
        <v>525</v>
      </c>
      <c r="AP101" s="7" t="s">
        <v>74</v>
      </c>
      <c r="AQ101" s="7" t="s">
        <v>74</v>
      </c>
      <c r="AR101" s="7" t="s">
        <v>74</v>
      </c>
      <c r="AS101" s="7" t="s">
        <v>74</v>
      </c>
      <c r="AT101" s="7" t="s">
        <v>305</v>
      </c>
      <c r="AU101" s="7">
        <v>2003</v>
      </c>
      <c r="AV101" s="7">
        <v>36</v>
      </c>
      <c r="AW101" s="7">
        <v>12</v>
      </c>
      <c r="AX101" s="7" t="s">
        <v>74</v>
      </c>
      <c r="AY101" s="7" t="s">
        <v>74</v>
      </c>
      <c r="AZ101" s="7" t="s">
        <v>74</v>
      </c>
      <c r="BA101" s="7" t="s">
        <v>74</v>
      </c>
      <c r="BB101" s="7">
        <v>1659</v>
      </c>
      <c r="BC101" s="7">
        <v>1663</v>
      </c>
      <c r="BD101" s="7" t="s">
        <v>74</v>
      </c>
      <c r="BE101" s="7" t="s">
        <v>526</v>
      </c>
      <c r="BF101" s="7" t="str">
        <f>HYPERLINK("http://dx.doi.org/10.1590/S0100-879X2003001200007","http://dx.doi.org/10.1590/S0100-879X2003001200007")</f>
        <v>http://dx.doi.org/10.1590/S0100-879X2003001200007</v>
      </c>
      <c r="BG101" s="7" t="s">
        <v>74</v>
      </c>
      <c r="BH101" s="7" t="s">
        <v>74</v>
      </c>
      <c r="BI101" s="7" t="s">
        <v>74</v>
      </c>
      <c r="BJ101" s="7" t="s">
        <v>74</v>
      </c>
      <c r="BK101" s="7" t="s">
        <v>74</v>
      </c>
      <c r="BL101" s="7" t="s">
        <v>74</v>
      </c>
      <c r="BM101" s="7" t="s">
        <v>74</v>
      </c>
      <c r="BN101" s="7">
        <v>14666250</v>
      </c>
      <c r="BO101" s="7" t="s">
        <v>74</v>
      </c>
      <c r="BP101" s="7" t="s">
        <v>74</v>
      </c>
      <c r="BQ101" s="7" t="s">
        <v>74</v>
      </c>
      <c r="BR101" s="7" t="s">
        <v>74</v>
      </c>
      <c r="BS101" s="7" t="s">
        <v>527</v>
      </c>
      <c r="BT101" s="7" t="str">
        <f>HYPERLINK("https%3A%2F%2Fwww.webofscience.com%2Fwos%2Fwoscc%2Ffull-record%2FWOS:000187175000007","View Full Record in Web of Science")</f>
        <v>View Full Record in Web of Science</v>
      </c>
    </row>
    <row r="102" spans="1:72" s="2" customFormat="1" x14ac:dyDescent="0.4">
      <c r="A102" s="7" t="s">
        <v>72</v>
      </c>
      <c r="B102" s="7" t="s">
        <v>1734</v>
      </c>
      <c r="C102" s="7" t="s">
        <v>74</v>
      </c>
      <c r="D102" s="7" t="s">
        <v>74</v>
      </c>
      <c r="E102" s="7" t="s">
        <v>74</v>
      </c>
      <c r="F102" s="7" t="s">
        <v>1735</v>
      </c>
      <c r="G102" s="7" t="s">
        <v>74</v>
      </c>
      <c r="H102" s="7" t="s">
        <v>74</v>
      </c>
      <c r="I102" s="7" t="s">
        <v>1736</v>
      </c>
      <c r="J102" s="7" t="s">
        <v>610</v>
      </c>
      <c r="K102" s="7" t="s">
        <v>74</v>
      </c>
      <c r="L102" s="7" t="s">
        <v>74</v>
      </c>
      <c r="M102" s="7" t="s">
        <v>74</v>
      </c>
      <c r="N102" s="7" t="s">
        <v>74</v>
      </c>
      <c r="O102" s="7" t="s">
        <v>74</v>
      </c>
      <c r="P102" s="7" t="s">
        <v>74</v>
      </c>
      <c r="Q102" s="7" t="s">
        <v>74</v>
      </c>
      <c r="R102" s="7" t="s">
        <v>74</v>
      </c>
      <c r="S102" s="7" t="s">
        <v>74</v>
      </c>
      <c r="T102" s="7" t="s">
        <v>74</v>
      </c>
      <c r="U102" s="7" t="s">
        <v>74</v>
      </c>
      <c r="V102" s="6" t="s">
        <v>1737</v>
      </c>
      <c r="W102" s="7" t="s">
        <v>74</v>
      </c>
      <c r="X102" s="7" t="s">
        <v>74</v>
      </c>
      <c r="Y102" s="7" t="s">
        <v>74</v>
      </c>
      <c r="Z102" s="7" t="s">
        <v>74</v>
      </c>
      <c r="AA102" s="7" t="s">
        <v>589</v>
      </c>
      <c r="AB102" s="7" t="s">
        <v>590</v>
      </c>
      <c r="AC102" s="7" t="s">
        <v>74</v>
      </c>
      <c r="AD102" s="7" t="s">
        <v>74</v>
      </c>
      <c r="AE102" s="7" t="s">
        <v>74</v>
      </c>
      <c r="AF102" s="7" t="s">
        <v>74</v>
      </c>
      <c r="AG102" s="7" t="s">
        <v>74</v>
      </c>
      <c r="AH102" s="7" t="s">
        <v>74</v>
      </c>
      <c r="AI102" s="7" t="s">
        <v>74</v>
      </c>
      <c r="AJ102" s="7" t="s">
        <v>74</v>
      </c>
      <c r="AK102" s="7" t="s">
        <v>74</v>
      </c>
      <c r="AL102" s="7" t="s">
        <v>74</v>
      </c>
      <c r="AM102" s="7" t="s">
        <v>74</v>
      </c>
      <c r="AN102" s="7" t="s">
        <v>74</v>
      </c>
      <c r="AO102" s="7" t="s">
        <v>614</v>
      </c>
      <c r="AP102" s="7" t="s">
        <v>615</v>
      </c>
      <c r="AQ102" s="7" t="s">
        <v>74</v>
      </c>
      <c r="AR102" s="7" t="s">
        <v>74</v>
      </c>
      <c r="AS102" s="7" t="s">
        <v>74</v>
      </c>
      <c r="AT102" s="7" t="s">
        <v>305</v>
      </c>
      <c r="AU102" s="7">
        <v>2020</v>
      </c>
      <c r="AV102" s="7">
        <v>126</v>
      </c>
      <c r="AW102" s="7">
        <v>12</v>
      </c>
      <c r="AX102" s="7" t="s">
        <v>74</v>
      </c>
      <c r="AY102" s="7" t="s">
        <v>74</v>
      </c>
      <c r="AZ102" s="7" t="s">
        <v>74</v>
      </c>
      <c r="BA102" s="7" t="s">
        <v>74</v>
      </c>
      <c r="BB102" s="7">
        <v>1131</v>
      </c>
      <c r="BC102" s="7">
        <v>1140</v>
      </c>
      <c r="BD102" s="7" t="s">
        <v>74</v>
      </c>
      <c r="BE102" s="7" t="s">
        <v>1738</v>
      </c>
      <c r="BF102" s="7" t="str">
        <f>HYPERLINK("http://dx.doi.org/10.1111/eth.13093","http://dx.doi.org/10.1111/eth.13093")</f>
        <v>http://dx.doi.org/10.1111/eth.13093</v>
      </c>
      <c r="BG102" s="7" t="s">
        <v>74</v>
      </c>
      <c r="BH102" s="7" t="s">
        <v>1067</v>
      </c>
      <c r="BI102" s="7" t="s">
        <v>74</v>
      </c>
      <c r="BJ102" s="7" t="s">
        <v>74</v>
      </c>
      <c r="BK102" s="7" t="s">
        <v>74</v>
      </c>
      <c r="BL102" s="7" t="s">
        <v>74</v>
      </c>
      <c r="BM102" s="7" t="s">
        <v>74</v>
      </c>
      <c r="BN102" s="7" t="s">
        <v>74</v>
      </c>
      <c r="BO102" s="7" t="s">
        <v>74</v>
      </c>
      <c r="BP102" s="7" t="s">
        <v>74</v>
      </c>
      <c r="BQ102" s="7" t="s">
        <v>74</v>
      </c>
      <c r="BR102" s="7" t="s">
        <v>74</v>
      </c>
      <c r="BS102" s="7" t="s">
        <v>1739</v>
      </c>
      <c r="BT102" s="7" t="str">
        <f>HYPERLINK("https%3A%2F%2Fwww.webofscience.com%2Fwos%2Fwoscc%2Ffull-record%2FWOS:000572325900001","View Full Record in Web of Science")</f>
        <v>View Full Record in Web of Science</v>
      </c>
    </row>
    <row r="103" spans="1:72" s="2" customFormat="1" x14ac:dyDescent="0.4">
      <c r="A103" s="2" t="s">
        <v>72</v>
      </c>
      <c r="B103" s="2" t="s">
        <v>3562</v>
      </c>
      <c r="C103" s="2" t="s">
        <v>74</v>
      </c>
      <c r="D103" s="2" t="s">
        <v>74</v>
      </c>
      <c r="E103" s="2" t="s">
        <v>74</v>
      </c>
      <c r="F103" s="2" t="s">
        <v>3563</v>
      </c>
      <c r="G103" s="2" t="s">
        <v>74</v>
      </c>
      <c r="H103" s="2" t="s">
        <v>74</v>
      </c>
      <c r="I103" s="2" t="s">
        <v>3564</v>
      </c>
      <c r="J103" s="2" t="s">
        <v>129</v>
      </c>
      <c r="K103" s="2" t="s">
        <v>74</v>
      </c>
      <c r="L103" s="2" t="s">
        <v>74</v>
      </c>
      <c r="M103" s="2" t="s">
        <v>74</v>
      </c>
      <c r="N103" s="2" t="s">
        <v>74</v>
      </c>
      <c r="O103" s="2" t="s">
        <v>74</v>
      </c>
      <c r="P103" s="2" t="s">
        <v>74</v>
      </c>
      <c r="Q103" s="2" t="s">
        <v>74</v>
      </c>
      <c r="R103" s="2" t="s">
        <v>74</v>
      </c>
      <c r="S103" s="2" t="s">
        <v>74</v>
      </c>
      <c r="T103" s="2" t="s">
        <v>74</v>
      </c>
      <c r="U103" s="2" t="s">
        <v>74</v>
      </c>
      <c r="V103" s="5" t="s">
        <v>3565</v>
      </c>
      <c r="W103" s="2" t="s">
        <v>74</v>
      </c>
      <c r="X103" s="2" t="s">
        <v>74</v>
      </c>
      <c r="Y103" s="2" t="s">
        <v>74</v>
      </c>
      <c r="Z103" s="2" t="s">
        <v>74</v>
      </c>
      <c r="AA103" s="2" t="s">
        <v>3566</v>
      </c>
      <c r="AB103" s="2" t="s">
        <v>3567</v>
      </c>
      <c r="AC103" s="2" t="s">
        <v>74</v>
      </c>
      <c r="AD103" s="2" t="s">
        <v>74</v>
      </c>
      <c r="AE103" s="2" t="s">
        <v>74</v>
      </c>
      <c r="AF103" s="2" t="s">
        <v>74</v>
      </c>
      <c r="AG103" s="2" t="s">
        <v>74</v>
      </c>
      <c r="AH103" s="2" t="s">
        <v>74</v>
      </c>
      <c r="AI103" s="2" t="s">
        <v>74</v>
      </c>
      <c r="AJ103" s="2" t="s">
        <v>74</v>
      </c>
      <c r="AK103" s="2" t="s">
        <v>74</v>
      </c>
      <c r="AL103" s="2" t="s">
        <v>74</v>
      </c>
      <c r="AM103" s="2" t="s">
        <v>74</v>
      </c>
      <c r="AN103" s="2" t="s">
        <v>74</v>
      </c>
      <c r="AO103" s="2" t="s">
        <v>132</v>
      </c>
      <c r="AP103" s="2" t="s">
        <v>133</v>
      </c>
      <c r="AQ103" s="2" t="s">
        <v>74</v>
      </c>
      <c r="AR103" s="2" t="s">
        <v>74</v>
      </c>
      <c r="AS103" s="2" t="s">
        <v>74</v>
      </c>
      <c r="AT103" s="2" t="s">
        <v>204</v>
      </c>
      <c r="AU103" s="2">
        <v>2018</v>
      </c>
      <c r="AV103" s="2">
        <v>72</v>
      </c>
      <c r="AW103" s="2">
        <v>7</v>
      </c>
      <c r="AX103" s="2" t="s">
        <v>74</v>
      </c>
      <c r="AY103" s="2" t="s">
        <v>74</v>
      </c>
      <c r="AZ103" s="2" t="s">
        <v>74</v>
      </c>
      <c r="BA103" s="2" t="s">
        <v>74</v>
      </c>
      <c r="BB103" s="2" t="s">
        <v>74</v>
      </c>
      <c r="BC103" s="2" t="s">
        <v>74</v>
      </c>
      <c r="BD103" s="2">
        <v>122</v>
      </c>
      <c r="BE103" s="2" t="s">
        <v>3568</v>
      </c>
      <c r="BF103" s="2" t="str">
        <f>HYPERLINK("http://dx.doi.org/10.1007/s00265-018-2537-z","http://dx.doi.org/10.1007/s00265-018-2537-z")</f>
        <v>http://dx.doi.org/10.1007/s00265-018-2537-z</v>
      </c>
      <c r="BG103" s="2" t="s">
        <v>74</v>
      </c>
      <c r="BH103" s="2" t="s">
        <v>74</v>
      </c>
      <c r="BI103" s="2" t="s">
        <v>74</v>
      </c>
      <c r="BJ103" s="2" t="s">
        <v>74</v>
      </c>
      <c r="BK103" s="2" t="s">
        <v>74</v>
      </c>
      <c r="BL103" s="2" t="s">
        <v>74</v>
      </c>
      <c r="BM103" s="2" t="s">
        <v>74</v>
      </c>
      <c r="BN103" s="2" t="s">
        <v>74</v>
      </c>
      <c r="BO103" s="2" t="s">
        <v>74</v>
      </c>
      <c r="BP103" s="2" t="s">
        <v>74</v>
      </c>
      <c r="BQ103" s="2" t="s">
        <v>74</v>
      </c>
      <c r="BR103" s="2" t="s">
        <v>74</v>
      </c>
      <c r="BS103" s="2" t="s">
        <v>3569</v>
      </c>
      <c r="BT103" s="2" t="str">
        <f>HYPERLINK("https%3A%2F%2Fwww.webofscience.com%2Fwos%2Fwoscc%2Ffull-record%2FWOS:000437169600001","View Full Record in Web of Science")</f>
        <v>View Full Record in Web of Science</v>
      </c>
    </row>
    <row r="104" spans="1:72" s="2" customFormat="1" x14ac:dyDescent="0.4">
      <c r="A104" s="2" t="s">
        <v>72</v>
      </c>
      <c r="B104" s="2" t="s">
        <v>5798</v>
      </c>
      <c r="C104" s="2" t="s">
        <v>74</v>
      </c>
      <c r="D104" s="2" t="s">
        <v>74</v>
      </c>
      <c r="E104" s="2" t="s">
        <v>74</v>
      </c>
      <c r="F104" s="2" t="s">
        <v>5799</v>
      </c>
      <c r="G104" s="2" t="s">
        <v>74</v>
      </c>
      <c r="H104" s="2" t="s">
        <v>74</v>
      </c>
      <c r="I104" s="2" t="s">
        <v>5800</v>
      </c>
      <c r="J104" s="2" t="s">
        <v>763</v>
      </c>
      <c r="K104" s="2" t="s">
        <v>74</v>
      </c>
      <c r="L104" s="2" t="s">
        <v>74</v>
      </c>
      <c r="M104" s="2" t="s">
        <v>74</v>
      </c>
      <c r="N104" s="2" t="s">
        <v>74</v>
      </c>
      <c r="O104" s="2" t="s">
        <v>74</v>
      </c>
      <c r="P104" s="2" t="s">
        <v>74</v>
      </c>
      <c r="Q104" s="2" t="s">
        <v>74</v>
      </c>
      <c r="R104" s="2" t="s">
        <v>74</v>
      </c>
      <c r="S104" s="2" t="s">
        <v>74</v>
      </c>
      <c r="T104" s="2" t="s">
        <v>74</v>
      </c>
      <c r="U104" s="2" t="s">
        <v>74</v>
      </c>
      <c r="V104" s="5" t="s">
        <v>5801</v>
      </c>
      <c r="W104" s="2" t="s">
        <v>74</v>
      </c>
      <c r="X104" s="2" t="s">
        <v>74</v>
      </c>
      <c r="Y104" s="2" t="s">
        <v>74</v>
      </c>
      <c r="Z104" s="2" t="s">
        <v>74</v>
      </c>
      <c r="AA104" s="2" t="s">
        <v>74</v>
      </c>
      <c r="AB104" s="2" t="s">
        <v>5802</v>
      </c>
      <c r="AC104" s="2" t="s">
        <v>74</v>
      </c>
      <c r="AD104" s="2" t="s">
        <v>74</v>
      </c>
      <c r="AE104" s="2" t="s">
        <v>74</v>
      </c>
      <c r="AF104" s="2" t="s">
        <v>74</v>
      </c>
      <c r="AG104" s="2" t="s">
        <v>74</v>
      </c>
      <c r="AH104" s="2" t="s">
        <v>74</v>
      </c>
      <c r="AI104" s="2" t="s">
        <v>74</v>
      </c>
      <c r="AJ104" s="2" t="s">
        <v>74</v>
      </c>
      <c r="AK104" s="2" t="s">
        <v>74</v>
      </c>
      <c r="AL104" s="2" t="s">
        <v>74</v>
      </c>
      <c r="AM104" s="2" t="s">
        <v>74</v>
      </c>
      <c r="AN104" s="2" t="s">
        <v>74</v>
      </c>
      <c r="AO104" s="2" t="s">
        <v>767</v>
      </c>
      <c r="AP104" s="2" t="s">
        <v>768</v>
      </c>
      <c r="AQ104" s="2" t="s">
        <v>74</v>
      </c>
      <c r="AR104" s="2" t="s">
        <v>74</v>
      </c>
      <c r="AS104" s="2" t="s">
        <v>74</v>
      </c>
      <c r="AT104" s="2" t="s">
        <v>145</v>
      </c>
      <c r="AU104" s="2">
        <v>2019</v>
      </c>
      <c r="AV104" s="2">
        <v>222</v>
      </c>
      <c r="AW104" s="2">
        <v>16</v>
      </c>
      <c r="AX104" s="2" t="s">
        <v>74</v>
      </c>
      <c r="AY104" s="2" t="s">
        <v>74</v>
      </c>
      <c r="AZ104" s="2" t="s">
        <v>74</v>
      </c>
      <c r="BA104" s="2" t="s">
        <v>74</v>
      </c>
      <c r="BB104" s="2" t="s">
        <v>74</v>
      </c>
      <c r="BC104" s="2" t="s">
        <v>74</v>
      </c>
      <c r="BD104" s="2" t="s">
        <v>5803</v>
      </c>
      <c r="BE104" s="2" t="s">
        <v>5804</v>
      </c>
      <c r="BF104" s="2" t="str">
        <f>HYPERLINK("http://dx.doi.org/10.1242/jeb.203414","http://dx.doi.org/10.1242/jeb.203414")</f>
        <v>http://dx.doi.org/10.1242/jeb.203414</v>
      </c>
      <c r="BG104" s="2" t="s">
        <v>74</v>
      </c>
      <c r="BH104" s="2" t="s">
        <v>74</v>
      </c>
      <c r="BI104" s="2" t="s">
        <v>74</v>
      </c>
      <c r="BJ104" s="2" t="s">
        <v>74</v>
      </c>
      <c r="BK104" s="2" t="s">
        <v>74</v>
      </c>
      <c r="BL104" s="2" t="s">
        <v>74</v>
      </c>
      <c r="BM104" s="2" t="s">
        <v>74</v>
      </c>
      <c r="BN104" s="2">
        <v>31315932</v>
      </c>
      <c r="BO104" s="2" t="s">
        <v>74</v>
      </c>
      <c r="BP104" s="2" t="s">
        <v>74</v>
      </c>
      <c r="BQ104" s="2" t="s">
        <v>74</v>
      </c>
      <c r="BR104" s="2" t="s">
        <v>74</v>
      </c>
      <c r="BS104" s="2" t="s">
        <v>5805</v>
      </c>
      <c r="BT104" s="2" t="str">
        <f>HYPERLINK("https%3A%2F%2Fwww.webofscience.com%2Fwos%2Fwoscc%2Ffull-record%2FWOS:000484368200006","View Full Record in Web of Science")</f>
        <v>View Full Record in Web of Science</v>
      </c>
    </row>
    <row r="105" spans="1:72" s="2" customFormat="1" x14ac:dyDescent="0.4">
      <c r="A105" s="2" t="s">
        <v>72</v>
      </c>
      <c r="B105" s="2" t="s">
        <v>6731</v>
      </c>
      <c r="C105" s="2" t="s">
        <v>74</v>
      </c>
      <c r="D105" s="2" t="s">
        <v>74</v>
      </c>
      <c r="E105" s="2" t="s">
        <v>74</v>
      </c>
      <c r="F105" s="2" t="s">
        <v>6732</v>
      </c>
      <c r="G105" s="2" t="s">
        <v>74</v>
      </c>
      <c r="H105" s="2" t="s">
        <v>74</v>
      </c>
      <c r="I105" s="2" t="s">
        <v>6733</v>
      </c>
      <c r="J105" s="2" t="s">
        <v>1656</v>
      </c>
      <c r="K105" s="2" t="s">
        <v>74</v>
      </c>
      <c r="L105" s="2" t="s">
        <v>74</v>
      </c>
      <c r="M105" s="2" t="s">
        <v>74</v>
      </c>
      <c r="N105" s="2" t="s">
        <v>74</v>
      </c>
      <c r="O105" s="2" t="s">
        <v>74</v>
      </c>
      <c r="P105" s="2" t="s">
        <v>74</v>
      </c>
      <c r="Q105" s="2" t="s">
        <v>74</v>
      </c>
      <c r="R105" s="2" t="s">
        <v>74</v>
      </c>
      <c r="S105" s="2" t="s">
        <v>74</v>
      </c>
      <c r="T105" s="2" t="s">
        <v>74</v>
      </c>
      <c r="U105" s="2" t="s">
        <v>74</v>
      </c>
      <c r="V105" s="5" t="s">
        <v>6734</v>
      </c>
      <c r="W105" s="2" t="s">
        <v>74</v>
      </c>
      <c r="X105" s="2" t="s">
        <v>74</v>
      </c>
      <c r="Y105" s="2" t="s">
        <v>74</v>
      </c>
      <c r="Z105" s="2" t="s">
        <v>74</v>
      </c>
      <c r="AA105" s="2" t="s">
        <v>6735</v>
      </c>
      <c r="AB105" s="2" t="s">
        <v>6736</v>
      </c>
      <c r="AC105" s="2" t="s">
        <v>74</v>
      </c>
      <c r="AD105" s="2" t="s">
        <v>74</v>
      </c>
      <c r="AE105" s="2" t="s">
        <v>74</v>
      </c>
      <c r="AF105" s="2" t="s">
        <v>74</v>
      </c>
      <c r="AG105" s="2" t="s">
        <v>74</v>
      </c>
      <c r="AH105" s="2" t="s">
        <v>74</v>
      </c>
      <c r="AI105" s="2" t="s">
        <v>74</v>
      </c>
      <c r="AJ105" s="2" t="s">
        <v>74</v>
      </c>
      <c r="AK105" s="2" t="s">
        <v>74</v>
      </c>
      <c r="AL105" s="2" t="s">
        <v>74</v>
      </c>
      <c r="AM105" s="2" t="s">
        <v>74</v>
      </c>
      <c r="AN105" s="2" t="s">
        <v>74</v>
      </c>
      <c r="AO105" s="2" t="s">
        <v>1658</v>
      </c>
      <c r="AP105" s="2" t="s">
        <v>1659</v>
      </c>
      <c r="AQ105" s="2" t="s">
        <v>74</v>
      </c>
      <c r="AR105" s="2" t="s">
        <v>74</v>
      </c>
      <c r="AS105" s="2" t="s">
        <v>74</v>
      </c>
      <c r="AT105" s="2" t="s">
        <v>4744</v>
      </c>
      <c r="AU105" s="2">
        <v>2017</v>
      </c>
      <c r="AV105" s="2">
        <v>4317</v>
      </c>
      <c r="AW105" s="2">
        <v>1</v>
      </c>
      <c r="AX105" s="2" t="s">
        <v>74</v>
      </c>
      <c r="AY105" s="2" t="s">
        <v>74</v>
      </c>
      <c r="AZ105" s="2" t="s">
        <v>74</v>
      </c>
      <c r="BA105" s="2" t="s">
        <v>74</v>
      </c>
      <c r="BB105" s="2">
        <v>1</v>
      </c>
      <c r="BC105" s="2">
        <v>44</v>
      </c>
      <c r="BD105" s="2" t="s">
        <v>74</v>
      </c>
      <c r="BE105" s="2" t="s">
        <v>6737</v>
      </c>
      <c r="BF105" s="2" t="str">
        <f>HYPERLINK("http://dx.doi.org/10.11646/zootaxa.4317.1.1","http://dx.doi.org/10.11646/zootaxa.4317.1.1")</f>
        <v>http://dx.doi.org/10.11646/zootaxa.4317.1.1</v>
      </c>
      <c r="BG105" s="2" t="s">
        <v>74</v>
      </c>
      <c r="BH105" s="2" t="s">
        <v>74</v>
      </c>
      <c r="BI105" s="2" t="s">
        <v>74</v>
      </c>
      <c r="BJ105" s="2" t="s">
        <v>74</v>
      </c>
      <c r="BK105" s="2" t="s">
        <v>74</v>
      </c>
      <c r="BL105" s="2" t="s">
        <v>74</v>
      </c>
      <c r="BM105" s="2" t="s">
        <v>74</v>
      </c>
      <c r="BN105" s="2" t="s">
        <v>74</v>
      </c>
      <c r="BO105" s="2" t="s">
        <v>74</v>
      </c>
      <c r="BP105" s="2" t="s">
        <v>74</v>
      </c>
      <c r="BQ105" s="2" t="s">
        <v>74</v>
      </c>
      <c r="BR105" s="2" t="s">
        <v>74</v>
      </c>
      <c r="BS105" s="2" t="s">
        <v>6738</v>
      </c>
      <c r="BT105" s="2" t="str">
        <f>HYPERLINK("https%3A%2F%2Fwww.webofscience.com%2Fwos%2Fwoscc%2Ffull-record%2FWOS:000408796800001","View Full Record in Web of Science")</f>
        <v>View Full Record in Web of Science</v>
      </c>
    </row>
    <row r="106" spans="1:72" s="2" customFormat="1" x14ac:dyDescent="0.4">
      <c r="A106" s="2" t="s">
        <v>72</v>
      </c>
      <c r="B106" s="2" t="s">
        <v>2386</v>
      </c>
      <c r="C106" s="2" t="s">
        <v>74</v>
      </c>
      <c r="D106" s="2" t="s">
        <v>74</v>
      </c>
      <c r="E106" s="2" t="s">
        <v>74</v>
      </c>
      <c r="F106" s="2" t="s">
        <v>2387</v>
      </c>
      <c r="G106" s="2" t="s">
        <v>74</v>
      </c>
      <c r="H106" s="2" t="s">
        <v>74</v>
      </c>
      <c r="I106" s="2" t="s">
        <v>2388</v>
      </c>
      <c r="J106" s="2" t="s">
        <v>1755</v>
      </c>
      <c r="K106" s="2" t="s">
        <v>74</v>
      </c>
      <c r="L106" s="2" t="s">
        <v>74</v>
      </c>
      <c r="M106" s="2" t="s">
        <v>74</v>
      </c>
      <c r="N106" s="2" t="s">
        <v>74</v>
      </c>
      <c r="O106" s="2" t="s">
        <v>74</v>
      </c>
      <c r="P106" s="2" t="s">
        <v>74</v>
      </c>
      <c r="Q106" s="2" t="s">
        <v>74</v>
      </c>
      <c r="R106" s="2" t="s">
        <v>74</v>
      </c>
      <c r="S106" s="2" t="s">
        <v>74</v>
      </c>
      <c r="T106" s="2" t="s">
        <v>74</v>
      </c>
      <c r="U106" s="2" t="s">
        <v>74</v>
      </c>
      <c r="V106" s="5" t="s">
        <v>2389</v>
      </c>
      <c r="W106" s="2" t="s">
        <v>74</v>
      </c>
      <c r="X106" s="2" t="s">
        <v>74</v>
      </c>
      <c r="Y106" s="2" t="s">
        <v>74</v>
      </c>
      <c r="Z106" s="2" t="s">
        <v>74</v>
      </c>
      <c r="AA106" s="2" t="s">
        <v>74</v>
      </c>
      <c r="AB106" s="2" t="s">
        <v>2390</v>
      </c>
      <c r="AC106" s="2" t="s">
        <v>74</v>
      </c>
      <c r="AD106" s="2" t="s">
        <v>74</v>
      </c>
      <c r="AE106" s="2" t="s">
        <v>74</v>
      </c>
      <c r="AF106" s="2" t="s">
        <v>74</v>
      </c>
      <c r="AG106" s="2" t="s">
        <v>74</v>
      </c>
      <c r="AH106" s="2" t="s">
        <v>74</v>
      </c>
      <c r="AI106" s="2" t="s">
        <v>74</v>
      </c>
      <c r="AJ106" s="2" t="s">
        <v>74</v>
      </c>
      <c r="AK106" s="2" t="s">
        <v>74</v>
      </c>
      <c r="AL106" s="2" t="s">
        <v>74</v>
      </c>
      <c r="AM106" s="2" t="s">
        <v>74</v>
      </c>
      <c r="AN106" s="2" t="s">
        <v>74</v>
      </c>
      <c r="AO106" s="2" t="s">
        <v>1759</v>
      </c>
      <c r="AP106" s="2" t="s">
        <v>1760</v>
      </c>
      <c r="AQ106" s="2" t="s">
        <v>74</v>
      </c>
      <c r="AR106" s="2" t="s">
        <v>74</v>
      </c>
      <c r="AS106" s="2" t="s">
        <v>74</v>
      </c>
      <c r="AT106" s="2" t="s">
        <v>123</v>
      </c>
      <c r="AU106" s="2">
        <v>2023</v>
      </c>
      <c r="AV106" s="2">
        <v>36</v>
      </c>
      <c r="AW106" s="2">
        <v>1</v>
      </c>
      <c r="AX106" s="2" t="s">
        <v>74</v>
      </c>
      <c r="AY106" s="2" t="s">
        <v>74</v>
      </c>
      <c r="AZ106" s="2" t="s">
        <v>74</v>
      </c>
      <c r="BA106" s="2" t="s">
        <v>74</v>
      </c>
      <c r="BB106" s="2">
        <v>33</v>
      </c>
      <c r="BC106" s="2">
        <v>44</v>
      </c>
      <c r="BD106" s="2" t="s">
        <v>74</v>
      </c>
      <c r="BE106" s="2" t="s">
        <v>2391</v>
      </c>
      <c r="BF106" s="2" t="str">
        <f>HYPERLINK("http://dx.doi.org/10.1007/s10905-023-09817-8","http://dx.doi.org/10.1007/s10905-023-09817-8")</f>
        <v>http://dx.doi.org/10.1007/s10905-023-09817-8</v>
      </c>
      <c r="BG106" s="2" t="s">
        <v>74</v>
      </c>
      <c r="BH106" s="2" t="s">
        <v>2392</v>
      </c>
      <c r="BI106" s="2" t="s">
        <v>74</v>
      </c>
      <c r="BJ106" s="2" t="s">
        <v>74</v>
      </c>
      <c r="BK106" s="2" t="s">
        <v>74</v>
      </c>
      <c r="BL106" s="2" t="s">
        <v>74</v>
      </c>
      <c r="BM106" s="2" t="s">
        <v>74</v>
      </c>
      <c r="BN106" s="2" t="s">
        <v>74</v>
      </c>
      <c r="BO106" s="2" t="s">
        <v>74</v>
      </c>
      <c r="BP106" s="2" t="s">
        <v>74</v>
      </c>
      <c r="BQ106" s="2" t="s">
        <v>74</v>
      </c>
      <c r="BR106" s="2" t="s">
        <v>74</v>
      </c>
      <c r="BS106" s="2" t="s">
        <v>2393</v>
      </c>
      <c r="BT106" s="2" t="str">
        <f>HYPERLINK("https%3A%2F%2Fwww.webofscience.com%2Fwos%2Fwoscc%2Ffull-record%2FWOS:000922274000001","View Full Record in Web of Science")</f>
        <v>View Full Record in Web of Science</v>
      </c>
    </row>
    <row r="107" spans="1:72" s="2" customFormat="1" x14ac:dyDescent="0.4">
      <c r="A107" s="2" t="s">
        <v>72</v>
      </c>
      <c r="B107" s="2" t="s">
        <v>3866</v>
      </c>
      <c r="C107" s="2" t="s">
        <v>74</v>
      </c>
      <c r="D107" s="2" t="s">
        <v>74</v>
      </c>
      <c r="E107" s="2" t="s">
        <v>74</v>
      </c>
      <c r="F107" s="2" t="s">
        <v>3867</v>
      </c>
      <c r="G107" s="2" t="s">
        <v>74</v>
      </c>
      <c r="H107" s="2" t="s">
        <v>74</v>
      </c>
      <c r="I107" s="2" t="s">
        <v>3868</v>
      </c>
      <c r="J107" s="2" t="s">
        <v>129</v>
      </c>
      <c r="K107" s="2" t="s">
        <v>74</v>
      </c>
      <c r="L107" s="2" t="s">
        <v>74</v>
      </c>
      <c r="M107" s="2" t="s">
        <v>74</v>
      </c>
      <c r="N107" s="2" t="s">
        <v>74</v>
      </c>
      <c r="O107" s="2" t="s">
        <v>74</v>
      </c>
      <c r="P107" s="2" t="s">
        <v>74</v>
      </c>
      <c r="Q107" s="2" t="s">
        <v>74</v>
      </c>
      <c r="R107" s="2" t="s">
        <v>74</v>
      </c>
      <c r="S107" s="2" t="s">
        <v>74</v>
      </c>
      <c r="T107" s="2" t="s">
        <v>74</v>
      </c>
      <c r="U107" s="2" t="s">
        <v>74</v>
      </c>
      <c r="V107" s="5" t="s">
        <v>3869</v>
      </c>
      <c r="W107" s="2" t="s">
        <v>74</v>
      </c>
      <c r="X107" s="2" t="s">
        <v>74</v>
      </c>
      <c r="Y107" s="2" t="s">
        <v>74</v>
      </c>
      <c r="Z107" s="2" t="s">
        <v>74</v>
      </c>
      <c r="AA107" s="2" t="s">
        <v>3870</v>
      </c>
      <c r="AB107" s="2" t="s">
        <v>3871</v>
      </c>
      <c r="AC107" s="2" t="s">
        <v>74</v>
      </c>
      <c r="AD107" s="2" t="s">
        <v>74</v>
      </c>
      <c r="AE107" s="2" t="s">
        <v>74</v>
      </c>
      <c r="AF107" s="2" t="s">
        <v>74</v>
      </c>
      <c r="AG107" s="2" t="s">
        <v>74</v>
      </c>
      <c r="AH107" s="2" t="s">
        <v>74</v>
      </c>
      <c r="AI107" s="2" t="s">
        <v>74</v>
      </c>
      <c r="AJ107" s="2" t="s">
        <v>74</v>
      </c>
      <c r="AK107" s="2" t="s">
        <v>74</v>
      </c>
      <c r="AL107" s="2" t="s">
        <v>74</v>
      </c>
      <c r="AM107" s="2" t="s">
        <v>74</v>
      </c>
      <c r="AN107" s="2" t="s">
        <v>74</v>
      </c>
      <c r="AO107" s="2" t="s">
        <v>132</v>
      </c>
      <c r="AP107" s="2" t="s">
        <v>133</v>
      </c>
      <c r="AQ107" s="2" t="s">
        <v>74</v>
      </c>
      <c r="AR107" s="2" t="s">
        <v>74</v>
      </c>
      <c r="AS107" s="2" t="s">
        <v>74</v>
      </c>
      <c r="AT107" s="2" t="s">
        <v>134</v>
      </c>
      <c r="AU107" s="2">
        <v>2023</v>
      </c>
      <c r="AV107" s="2">
        <v>77</v>
      </c>
      <c r="AW107" s="2">
        <v>5</v>
      </c>
      <c r="AX107" s="2" t="s">
        <v>74</v>
      </c>
      <c r="AY107" s="2" t="s">
        <v>74</v>
      </c>
      <c r="AZ107" s="2" t="s">
        <v>74</v>
      </c>
      <c r="BA107" s="2" t="s">
        <v>74</v>
      </c>
      <c r="BB107" s="2" t="s">
        <v>74</v>
      </c>
      <c r="BC107" s="2" t="s">
        <v>74</v>
      </c>
      <c r="BD107" s="2">
        <v>57</v>
      </c>
      <c r="BE107" s="2" t="s">
        <v>3872</v>
      </c>
      <c r="BF107" s="2" t="str">
        <f>HYPERLINK("http://dx.doi.org/10.1007/s00265-023-03336-4","http://dx.doi.org/10.1007/s00265-023-03336-4")</f>
        <v>http://dx.doi.org/10.1007/s00265-023-03336-4</v>
      </c>
      <c r="BG107" s="2" t="s">
        <v>74</v>
      </c>
      <c r="BH107" s="2" t="s">
        <v>74</v>
      </c>
      <c r="BI107" s="2" t="s">
        <v>74</v>
      </c>
      <c r="BJ107" s="2" t="s">
        <v>74</v>
      </c>
      <c r="BK107" s="2" t="s">
        <v>74</v>
      </c>
      <c r="BL107" s="2" t="s">
        <v>74</v>
      </c>
      <c r="BM107" s="2" t="s">
        <v>74</v>
      </c>
      <c r="BN107" s="2" t="s">
        <v>74</v>
      </c>
      <c r="BO107" s="2" t="s">
        <v>74</v>
      </c>
      <c r="BP107" s="2" t="s">
        <v>74</v>
      </c>
      <c r="BQ107" s="2" t="s">
        <v>74</v>
      </c>
      <c r="BR107" s="2" t="s">
        <v>74</v>
      </c>
      <c r="BS107" s="2" t="s">
        <v>3873</v>
      </c>
      <c r="BT107" s="2" t="str">
        <f>HYPERLINK("https%3A%2F%2Fwww.webofscience.com%2Fwos%2Fwoscc%2Ffull-record%2FWOS:000993946500002","View Full Record in Web of Science")</f>
        <v>View Full Record in Web of Science</v>
      </c>
    </row>
    <row r="108" spans="1:72" s="7" customFormat="1" x14ac:dyDescent="0.4">
      <c r="A108" s="2" t="s">
        <v>72</v>
      </c>
      <c r="B108" s="2" t="s">
        <v>5314</v>
      </c>
      <c r="C108" s="2" t="s">
        <v>74</v>
      </c>
      <c r="D108" s="2" t="s">
        <v>74</v>
      </c>
      <c r="E108" s="2" t="s">
        <v>74</v>
      </c>
      <c r="F108" s="2" t="s">
        <v>5314</v>
      </c>
      <c r="G108" s="2" t="s">
        <v>74</v>
      </c>
      <c r="H108" s="2" t="s">
        <v>74</v>
      </c>
      <c r="I108" s="2" t="s">
        <v>5315</v>
      </c>
      <c r="J108" s="2" t="s">
        <v>108</v>
      </c>
      <c r="K108" s="2" t="s">
        <v>74</v>
      </c>
      <c r="L108" s="2" t="s">
        <v>74</v>
      </c>
      <c r="M108" s="2" t="s">
        <v>74</v>
      </c>
      <c r="N108" s="2" t="s">
        <v>74</v>
      </c>
      <c r="O108" s="2" t="s">
        <v>74</v>
      </c>
      <c r="P108" s="2" t="s">
        <v>74</v>
      </c>
      <c r="Q108" s="2" t="s">
        <v>74</v>
      </c>
      <c r="R108" s="2" t="s">
        <v>74</v>
      </c>
      <c r="S108" s="2" t="s">
        <v>74</v>
      </c>
      <c r="T108" s="2" t="s">
        <v>74</v>
      </c>
      <c r="U108" s="2" t="s">
        <v>74</v>
      </c>
      <c r="V108" s="5" t="s">
        <v>5316</v>
      </c>
      <c r="W108" s="2" t="s">
        <v>74</v>
      </c>
      <c r="X108" s="2" t="s">
        <v>74</v>
      </c>
      <c r="Y108" s="2" t="s">
        <v>74</v>
      </c>
      <c r="Z108" s="2" t="s">
        <v>74</v>
      </c>
      <c r="AA108" s="2" t="s">
        <v>5317</v>
      </c>
      <c r="AB108" s="2" t="s">
        <v>5318</v>
      </c>
      <c r="AC108" s="2" t="s">
        <v>74</v>
      </c>
      <c r="AD108" s="2" t="s">
        <v>74</v>
      </c>
      <c r="AE108" s="2" t="s">
        <v>74</v>
      </c>
      <c r="AF108" s="2" t="s">
        <v>74</v>
      </c>
      <c r="AG108" s="2" t="s">
        <v>74</v>
      </c>
      <c r="AH108" s="2" t="s">
        <v>74</v>
      </c>
      <c r="AI108" s="2" t="s">
        <v>74</v>
      </c>
      <c r="AJ108" s="2" t="s">
        <v>74</v>
      </c>
      <c r="AK108" s="2" t="s">
        <v>74</v>
      </c>
      <c r="AL108" s="2" t="s">
        <v>74</v>
      </c>
      <c r="AM108" s="2" t="s">
        <v>74</v>
      </c>
      <c r="AN108" s="2" t="s">
        <v>74</v>
      </c>
      <c r="AO108" s="2" t="s">
        <v>111</v>
      </c>
      <c r="AP108" s="2" t="s">
        <v>74</v>
      </c>
      <c r="AQ108" s="2" t="s">
        <v>74</v>
      </c>
      <c r="AR108" s="2" t="s">
        <v>74</v>
      </c>
      <c r="AS108" s="2" t="s">
        <v>74</v>
      </c>
      <c r="AT108" s="2" t="s">
        <v>5319</v>
      </c>
      <c r="AU108" s="2">
        <v>1994</v>
      </c>
      <c r="AV108" s="2">
        <v>256</v>
      </c>
      <c r="AW108" s="2">
        <v>1346</v>
      </c>
      <c r="AX108" s="2" t="s">
        <v>74</v>
      </c>
      <c r="AY108" s="2" t="s">
        <v>74</v>
      </c>
      <c r="AZ108" s="2" t="s">
        <v>74</v>
      </c>
      <c r="BA108" s="2" t="s">
        <v>74</v>
      </c>
      <c r="BB108" s="2">
        <v>113</v>
      </c>
      <c r="BC108" s="2">
        <v>118</v>
      </c>
      <c r="BD108" s="2" t="s">
        <v>74</v>
      </c>
      <c r="BE108" s="2" t="s">
        <v>5320</v>
      </c>
      <c r="BF108" s="2" t="str">
        <f>HYPERLINK("http://dx.doi.org/10.1098/rspb.1994.0057","http://dx.doi.org/10.1098/rspb.1994.0057")</f>
        <v>http://dx.doi.org/10.1098/rspb.1994.0057</v>
      </c>
      <c r="BG108" s="2" t="s">
        <v>74</v>
      </c>
      <c r="BH108" s="2" t="s">
        <v>74</v>
      </c>
      <c r="BI108" s="2" t="s">
        <v>74</v>
      </c>
      <c r="BJ108" s="2" t="s">
        <v>74</v>
      </c>
      <c r="BK108" s="2" t="s">
        <v>74</v>
      </c>
      <c r="BL108" s="2" t="s">
        <v>74</v>
      </c>
      <c r="BM108" s="2" t="s">
        <v>74</v>
      </c>
      <c r="BN108" s="2" t="s">
        <v>74</v>
      </c>
      <c r="BO108" s="2" t="s">
        <v>74</v>
      </c>
      <c r="BP108" s="2" t="s">
        <v>74</v>
      </c>
      <c r="BQ108" s="2" t="s">
        <v>74</v>
      </c>
      <c r="BR108" s="2" t="s">
        <v>74</v>
      </c>
      <c r="BS108" s="2" t="s">
        <v>5321</v>
      </c>
      <c r="BT108" s="2" t="str">
        <f>HYPERLINK("https%3A%2F%2Fwww.webofscience.com%2Fwos%2Fwoscc%2Ffull-record%2FWOS:A1994NN67200002","View Full Record in Web of Science")</f>
        <v>View Full Record in Web of Science</v>
      </c>
    </row>
    <row r="109" spans="1:72" s="2" customFormat="1" x14ac:dyDescent="0.4">
      <c r="A109" s="2" t="s">
        <v>72</v>
      </c>
      <c r="B109" s="2" t="s">
        <v>3645</v>
      </c>
      <c r="C109" s="2" t="s">
        <v>74</v>
      </c>
      <c r="D109" s="2" t="s">
        <v>74</v>
      </c>
      <c r="E109" s="2" t="s">
        <v>74</v>
      </c>
      <c r="F109" s="2" t="s">
        <v>3646</v>
      </c>
      <c r="G109" s="2" t="s">
        <v>74</v>
      </c>
      <c r="H109" s="2" t="s">
        <v>74</v>
      </c>
      <c r="I109" s="2" t="s">
        <v>3647</v>
      </c>
      <c r="J109" s="2" t="s">
        <v>140</v>
      </c>
      <c r="K109" s="2" t="s">
        <v>74</v>
      </c>
      <c r="L109" s="2" t="s">
        <v>74</v>
      </c>
      <c r="M109" s="2" t="s">
        <v>74</v>
      </c>
      <c r="N109" s="2" t="s">
        <v>74</v>
      </c>
      <c r="O109" s="2" t="s">
        <v>74</v>
      </c>
      <c r="P109" s="2" t="s">
        <v>74</v>
      </c>
      <c r="Q109" s="2" t="s">
        <v>74</v>
      </c>
      <c r="R109" s="2" t="s">
        <v>74</v>
      </c>
      <c r="S109" s="2" t="s">
        <v>74</v>
      </c>
      <c r="T109" s="2" t="s">
        <v>74</v>
      </c>
      <c r="U109" s="2" t="s">
        <v>74</v>
      </c>
      <c r="V109" s="5" t="s">
        <v>3648</v>
      </c>
      <c r="W109" s="2" t="s">
        <v>74</v>
      </c>
      <c r="X109" s="2" t="s">
        <v>74</v>
      </c>
      <c r="Y109" s="2" t="s">
        <v>74</v>
      </c>
      <c r="Z109" s="2" t="s">
        <v>74</v>
      </c>
      <c r="AA109" s="2" t="s">
        <v>74</v>
      </c>
      <c r="AB109" s="2" t="s">
        <v>3649</v>
      </c>
      <c r="AC109" s="2" t="s">
        <v>74</v>
      </c>
      <c r="AD109" s="2" t="s">
        <v>74</v>
      </c>
      <c r="AE109" s="2" t="s">
        <v>74</v>
      </c>
      <c r="AF109" s="2" t="s">
        <v>74</v>
      </c>
      <c r="AG109" s="2" t="s">
        <v>74</v>
      </c>
      <c r="AH109" s="2" t="s">
        <v>74</v>
      </c>
      <c r="AI109" s="2" t="s">
        <v>74</v>
      </c>
      <c r="AJ109" s="2" t="s">
        <v>74</v>
      </c>
      <c r="AK109" s="2" t="s">
        <v>74</v>
      </c>
      <c r="AL109" s="2" t="s">
        <v>74</v>
      </c>
      <c r="AM109" s="2" t="s">
        <v>74</v>
      </c>
      <c r="AN109" s="2" t="s">
        <v>74</v>
      </c>
      <c r="AO109" s="2" t="s">
        <v>143</v>
      </c>
      <c r="AP109" s="2" t="s">
        <v>144</v>
      </c>
      <c r="AQ109" s="2" t="s">
        <v>74</v>
      </c>
      <c r="AR109" s="2" t="s">
        <v>74</v>
      </c>
      <c r="AS109" s="2" t="s">
        <v>74</v>
      </c>
      <c r="AT109" s="2" t="s">
        <v>352</v>
      </c>
      <c r="AU109" s="2">
        <v>2022</v>
      </c>
      <c r="AV109" s="2">
        <v>191</v>
      </c>
      <c r="AW109" s="2" t="s">
        <v>74</v>
      </c>
      <c r="AX109" s="2" t="s">
        <v>74</v>
      </c>
      <c r="AY109" s="2" t="s">
        <v>74</v>
      </c>
      <c r="AZ109" s="2" t="s">
        <v>74</v>
      </c>
      <c r="BA109" s="2" t="s">
        <v>74</v>
      </c>
      <c r="BB109" s="2">
        <v>1</v>
      </c>
      <c r="BC109" s="2">
        <v>13</v>
      </c>
      <c r="BD109" s="2" t="s">
        <v>74</v>
      </c>
      <c r="BE109" s="2" t="s">
        <v>3650</v>
      </c>
      <c r="BF109" s="2" t="str">
        <f>HYPERLINK("http://dx.doi.org/10.1016/j.anbehav.2022.06.013","http://dx.doi.org/10.1016/j.anbehav.2022.06.013")</f>
        <v>http://dx.doi.org/10.1016/j.anbehav.2022.06.013</v>
      </c>
      <c r="BG109" s="2" t="s">
        <v>74</v>
      </c>
      <c r="BH109" s="2" t="s">
        <v>2832</v>
      </c>
      <c r="BI109" s="2" t="s">
        <v>74</v>
      </c>
      <c r="BJ109" s="2" t="s">
        <v>74</v>
      </c>
      <c r="BK109" s="2" t="s">
        <v>74</v>
      </c>
      <c r="BL109" s="2" t="s">
        <v>74</v>
      </c>
      <c r="BM109" s="2" t="s">
        <v>74</v>
      </c>
      <c r="BN109" s="2" t="s">
        <v>74</v>
      </c>
      <c r="BO109" s="2" t="s">
        <v>74</v>
      </c>
      <c r="BP109" s="2" t="s">
        <v>74</v>
      </c>
      <c r="BQ109" s="2" t="s">
        <v>74</v>
      </c>
      <c r="BR109" s="2" t="s">
        <v>74</v>
      </c>
      <c r="BS109" s="2" t="s">
        <v>3651</v>
      </c>
      <c r="BT109" s="2" t="str">
        <f>HYPERLINK("https%3A%2F%2Fwww.webofscience.com%2Fwos%2Fwoscc%2Ffull-record%2FWOS:000860712600001","View Full Record in Web of Science")</f>
        <v>View Full Record in Web of Science</v>
      </c>
    </row>
    <row r="110" spans="1:72" s="2" customFormat="1" x14ac:dyDescent="0.4">
      <c r="A110" s="2" t="s">
        <v>72</v>
      </c>
      <c r="B110" s="2" t="s">
        <v>2740</v>
      </c>
      <c r="C110" s="2" t="s">
        <v>74</v>
      </c>
      <c r="D110" s="2" t="s">
        <v>74</v>
      </c>
      <c r="E110" s="2" t="s">
        <v>74</v>
      </c>
      <c r="F110" s="2" t="s">
        <v>2741</v>
      </c>
      <c r="G110" s="2" t="s">
        <v>74</v>
      </c>
      <c r="H110" s="2" t="s">
        <v>74</v>
      </c>
      <c r="I110" s="2" t="s">
        <v>2742</v>
      </c>
      <c r="J110" s="2" t="s">
        <v>408</v>
      </c>
      <c r="K110" s="2" t="s">
        <v>74</v>
      </c>
      <c r="L110" s="2" t="s">
        <v>74</v>
      </c>
      <c r="M110" s="2" t="s">
        <v>74</v>
      </c>
      <c r="N110" s="2" t="s">
        <v>74</v>
      </c>
      <c r="O110" s="2" t="s">
        <v>74</v>
      </c>
      <c r="P110" s="2" t="s">
        <v>74</v>
      </c>
      <c r="Q110" s="2" t="s">
        <v>74</v>
      </c>
      <c r="R110" s="2" t="s">
        <v>74</v>
      </c>
      <c r="S110" s="2" t="s">
        <v>74</v>
      </c>
      <c r="T110" s="2" t="s">
        <v>74</v>
      </c>
      <c r="U110" s="2" t="s">
        <v>74</v>
      </c>
      <c r="V110" s="5" t="s">
        <v>2743</v>
      </c>
      <c r="W110" s="2" t="s">
        <v>74</v>
      </c>
      <c r="X110" s="2" t="s">
        <v>74</v>
      </c>
      <c r="Y110" s="2" t="s">
        <v>74</v>
      </c>
      <c r="Z110" s="2" t="s">
        <v>74</v>
      </c>
      <c r="AA110" s="2" t="s">
        <v>2744</v>
      </c>
      <c r="AB110" s="2" t="s">
        <v>2745</v>
      </c>
      <c r="AC110" s="2" t="s">
        <v>74</v>
      </c>
      <c r="AD110" s="2" t="s">
        <v>74</v>
      </c>
      <c r="AE110" s="2" t="s">
        <v>74</v>
      </c>
      <c r="AF110" s="2" t="s">
        <v>74</v>
      </c>
      <c r="AG110" s="2" t="s">
        <v>74</v>
      </c>
      <c r="AH110" s="2" t="s">
        <v>74</v>
      </c>
      <c r="AI110" s="2" t="s">
        <v>74</v>
      </c>
      <c r="AJ110" s="2" t="s">
        <v>74</v>
      </c>
      <c r="AK110" s="2" t="s">
        <v>74</v>
      </c>
      <c r="AL110" s="2" t="s">
        <v>74</v>
      </c>
      <c r="AM110" s="2" t="s">
        <v>74</v>
      </c>
      <c r="AN110" s="2" t="s">
        <v>74</v>
      </c>
      <c r="AO110" s="2" t="s">
        <v>412</v>
      </c>
      <c r="AP110" s="2" t="s">
        <v>413</v>
      </c>
      <c r="AQ110" s="2" t="s">
        <v>74</v>
      </c>
      <c r="AR110" s="2" t="s">
        <v>74</v>
      </c>
      <c r="AS110" s="2" t="s">
        <v>74</v>
      </c>
      <c r="AT110" s="2" t="s">
        <v>134</v>
      </c>
      <c r="AU110" s="2">
        <v>2007</v>
      </c>
      <c r="AV110" s="2">
        <v>91</v>
      </c>
      <c r="AW110" s="2">
        <v>1</v>
      </c>
      <c r="AX110" s="2" t="s">
        <v>74</v>
      </c>
      <c r="AY110" s="2" t="s">
        <v>74</v>
      </c>
      <c r="AZ110" s="2" t="s">
        <v>74</v>
      </c>
      <c r="BA110" s="2" t="s">
        <v>74</v>
      </c>
      <c r="BB110" s="2">
        <v>37</v>
      </c>
      <c r="BC110" s="2">
        <v>48</v>
      </c>
      <c r="BD110" s="2" t="s">
        <v>74</v>
      </c>
      <c r="BE110" s="2" t="s">
        <v>2746</v>
      </c>
      <c r="BF110" s="2" t="str">
        <f>HYPERLINK("http://dx.doi.org/10.1111/j.1095-8312.2007.00777.x","http://dx.doi.org/10.1111/j.1095-8312.2007.00777.x")</f>
        <v>http://dx.doi.org/10.1111/j.1095-8312.2007.00777.x</v>
      </c>
      <c r="BG110" s="2" t="s">
        <v>74</v>
      </c>
      <c r="BH110" s="2" t="s">
        <v>74</v>
      </c>
      <c r="BI110" s="2" t="s">
        <v>74</v>
      </c>
      <c r="BJ110" s="2" t="s">
        <v>74</v>
      </c>
      <c r="BK110" s="2" t="s">
        <v>74</v>
      </c>
      <c r="BL110" s="2" t="s">
        <v>74</v>
      </c>
      <c r="BM110" s="2" t="s">
        <v>74</v>
      </c>
      <c r="BN110" s="2" t="s">
        <v>74</v>
      </c>
      <c r="BO110" s="2" t="s">
        <v>74</v>
      </c>
      <c r="BP110" s="2" t="s">
        <v>74</v>
      </c>
      <c r="BQ110" s="2" t="s">
        <v>74</v>
      </c>
      <c r="BR110" s="2" t="s">
        <v>74</v>
      </c>
      <c r="BS110" s="2" t="s">
        <v>2747</v>
      </c>
      <c r="BT110" s="2" t="str">
        <f>HYPERLINK("https%3A%2F%2Fwww.webofscience.com%2Fwos%2Fwoscc%2Ffull-record%2FWOS:000245938100004","View Full Record in Web of Science")</f>
        <v>View Full Record in Web of Science</v>
      </c>
    </row>
    <row r="111" spans="1:72" s="2" customFormat="1" x14ac:dyDescent="0.4">
      <c r="A111" s="2" t="s">
        <v>72</v>
      </c>
      <c r="B111" s="2" t="s">
        <v>7390</v>
      </c>
      <c r="C111" s="2" t="s">
        <v>74</v>
      </c>
      <c r="D111" s="2" t="s">
        <v>74</v>
      </c>
      <c r="E111" s="2" t="s">
        <v>74</v>
      </c>
      <c r="F111" s="2" t="s">
        <v>7391</v>
      </c>
      <c r="G111" s="2" t="s">
        <v>74</v>
      </c>
      <c r="H111" s="2" t="s">
        <v>74</v>
      </c>
      <c r="I111" s="2" t="s">
        <v>7392</v>
      </c>
      <c r="J111" s="2" t="s">
        <v>7393</v>
      </c>
      <c r="K111" s="2" t="s">
        <v>74</v>
      </c>
      <c r="L111" s="2" t="s">
        <v>74</v>
      </c>
      <c r="M111" s="2" t="s">
        <v>74</v>
      </c>
      <c r="N111" s="2" t="s">
        <v>74</v>
      </c>
      <c r="O111" s="2" t="s">
        <v>74</v>
      </c>
      <c r="P111" s="2" t="s">
        <v>74</v>
      </c>
      <c r="Q111" s="2" t="s">
        <v>74</v>
      </c>
      <c r="R111" s="2" t="s">
        <v>74</v>
      </c>
      <c r="S111" s="2" t="s">
        <v>74</v>
      </c>
      <c r="T111" s="2" t="s">
        <v>74</v>
      </c>
      <c r="U111" s="2" t="s">
        <v>74</v>
      </c>
      <c r="V111" s="5" t="s">
        <v>7394</v>
      </c>
      <c r="W111" s="2" t="s">
        <v>74</v>
      </c>
      <c r="X111" s="2" t="s">
        <v>74</v>
      </c>
      <c r="Y111" s="2" t="s">
        <v>74</v>
      </c>
      <c r="Z111" s="2" t="s">
        <v>74</v>
      </c>
      <c r="AA111" s="2" t="s">
        <v>7395</v>
      </c>
      <c r="AB111" s="2" t="s">
        <v>7396</v>
      </c>
      <c r="AC111" s="2" t="s">
        <v>74</v>
      </c>
      <c r="AD111" s="2" t="s">
        <v>74</v>
      </c>
      <c r="AE111" s="2" t="s">
        <v>74</v>
      </c>
      <c r="AF111" s="2" t="s">
        <v>74</v>
      </c>
      <c r="AG111" s="2" t="s">
        <v>74</v>
      </c>
      <c r="AH111" s="2" t="s">
        <v>74</v>
      </c>
      <c r="AI111" s="2" t="s">
        <v>74</v>
      </c>
      <c r="AJ111" s="2" t="s">
        <v>74</v>
      </c>
      <c r="AK111" s="2" t="s">
        <v>74</v>
      </c>
      <c r="AL111" s="2" t="s">
        <v>74</v>
      </c>
      <c r="AM111" s="2" t="s">
        <v>74</v>
      </c>
      <c r="AN111" s="2" t="s">
        <v>74</v>
      </c>
      <c r="AO111" s="2" t="s">
        <v>7397</v>
      </c>
      <c r="AP111" s="2" t="s">
        <v>7398</v>
      </c>
      <c r="AQ111" s="2" t="s">
        <v>74</v>
      </c>
      <c r="AR111" s="2" t="s">
        <v>74</v>
      </c>
      <c r="AS111" s="2" t="s">
        <v>74</v>
      </c>
      <c r="AT111" s="2" t="s">
        <v>352</v>
      </c>
      <c r="AU111" s="2">
        <v>2019</v>
      </c>
      <c r="AV111" s="2">
        <v>107</v>
      </c>
      <c r="AW111" s="2">
        <v>5</v>
      </c>
      <c r="AX111" s="2" t="s">
        <v>74</v>
      </c>
      <c r="AY111" s="2" t="s">
        <v>74</v>
      </c>
      <c r="AZ111" s="2" t="s">
        <v>74</v>
      </c>
      <c r="BA111" s="2" t="s">
        <v>74</v>
      </c>
      <c r="BB111" s="2">
        <v>2167</v>
      </c>
      <c r="BC111" s="2">
        <v>2181</v>
      </c>
      <c r="BD111" s="2" t="s">
        <v>74</v>
      </c>
      <c r="BE111" s="2" t="s">
        <v>7399</v>
      </c>
      <c r="BF111" s="2" t="str">
        <f>HYPERLINK("http://dx.doi.org/10.1111/1365-2745.13183","http://dx.doi.org/10.1111/1365-2745.13183")</f>
        <v>http://dx.doi.org/10.1111/1365-2745.13183</v>
      </c>
      <c r="BG111" s="2" t="s">
        <v>74</v>
      </c>
      <c r="BH111" s="2" t="s">
        <v>74</v>
      </c>
      <c r="BI111" s="2" t="s">
        <v>74</v>
      </c>
      <c r="BJ111" s="2" t="s">
        <v>74</v>
      </c>
      <c r="BK111" s="2" t="s">
        <v>74</v>
      </c>
      <c r="BL111" s="2" t="s">
        <v>74</v>
      </c>
      <c r="BM111" s="2" t="s">
        <v>74</v>
      </c>
      <c r="BN111" s="2" t="s">
        <v>74</v>
      </c>
      <c r="BO111" s="2" t="s">
        <v>74</v>
      </c>
      <c r="BP111" s="2" t="s">
        <v>74</v>
      </c>
      <c r="BQ111" s="2" t="s">
        <v>74</v>
      </c>
      <c r="BR111" s="2" t="s">
        <v>74</v>
      </c>
      <c r="BS111" s="2" t="s">
        <v>7400</v>
      </c>
      <c r="BT111" s="2" t="str">
        <f>HYPERLINK("https%3A%2F%2Fwww.webofscience.com%2Fwos%2Fwoscc%2Ffull-record%2FWOS:000484311000012","View Full Record in Web of Science")</f>
        <v>View Full Record in Web of Science</v>
      </c>
    </row>
    <row r="112" spans="1:72" s="2" customFormat="1" x14ac:dyDescent="0.4">
      <c r="A112" s="2" t="s">
        <v>72</v>
      </c>
      <c r="B112" s="2" t="s">
        <v>4653</v>
      </c>
      <c r="C112" s="2" t="s">
        <v>74</v>
      </c>
      <c r="D112" s="2" t="s">
        <v>74</v>
      </c>
      <c r="E112" s="2" t="s">
        <v>74</v>
      </c>
      <c r="F112" s="2" t="s">
        <v>4653</v>
      </c>
      <c r="G112" s="2" t="s">
        <v>74</v>
      </c>
      <c r="H112" s="2" t="s">
        <v>74</v>
      </c>
      <c r="I112" s="2" t="s">
        <v>4654</v>
      </c>
      <c r="J112" s="2" t="s">
        <v>4655</v>
      </c>
      <c r="K112" s="2" t="s">
        <v>74</v>
      </c>
      <c r="L112" s="2" t="s">
        <v>74</v>
      </c>
      <c r="M112" s="2" t="s">
        <v>74</v>
      </c>
      <c r="N112" s="2" t="s">
        <v>74</v>
      </c>
      <c r="O112" s="2" t="s">
        <v>74</v>
      </c>
      <c r="P112" s="2" t="s">
        <v>74</v>
      </c>
      <c r="Q112" s="2" t="s">
        <v>74</v>
      </c>
      <c r="R112" s="2" t="s">
        <v>74</v>
      </c>
      <c r="S112" s="2" t="s">
        <v>74</v>
      </c>
      <c r="T112" s="2" t="s">
        <v>74</v>
      </c>
      <c r="U112" s="2" t="s">
        <v>74</v>
      </c>
      <c r="V112" s="5" t="s">
        <v>4656</v>
      </c>
      <c r="W112" s="2" t="s">
        <v>74</v>
      </c>
      <c r="X112" s="2" t="s">
        <v>74</v>
      </c>
      <c r="Y112" s="2" t="s">
        <v>74</v>
      </c>
      <c r="Z112" s="2" t="s">
        <v>74</v>
      </c>
      <c r="AA112" s="2" t="s">
        <v>74</v>
      </c>
      <c r="AB112" s="2" t="s">
        <v>74</v>
      </c>
      <c r="AC112" s="2" t="s">
        <v>74</v>
      </c>
      <c r="AD112" s="2" t="s">
        <v>74</v>
      </c>
      <c r="AE112" s="2" t="s">
        <v>74</v>
      </c>
      <c r="AF112" s="2" t="s">
        <v>74</v>
      </c>
      <c r="AG112" s="2" t="s">
        <v>74</v>
      </c>
      <c r="AH112" s="2" t="s">
        <v>74</v>
      </c>
      <c r="AI112" s="2" t="s">
        <v>74</v>
      </c>
      <c r="AJ112" s="2" t="s">
        <v>74</v>
      </c>
      <c r="AK112" s="2" t="s">
        <v>74</v>
      </c>
      <c r="AL112" s="2" t="s">
        <v>74</v>
      </c>
      <c r="AM112" s="2" t="s">
        <v>74</v>
      </c>
      <c r="AN112" s="2" t="s">
        <v>74</v>
      </c>
      <c r="AO112" s="2" t="s">
        <v>4657</v>
      </c>
      <c r="AP112" s="2" t="s">
        <v>74</v>
      </c>
      <c r="AQ112" s="2" t="s">
        <v>74</v>
      </c>
      <c r="AR112" s="2" t="s">
        <v>74</v>
      </c>
      <c r="AS112" s="2" t="s">
        <v>74</v>
      </c>
      <c r="AT112" s="2" t="s">
        <v>74</v>
      </c>
      <c r="AU112" s="2">
        <v>1984</v>
      </c>
      <c r="AV112" s="2">
        <v>96</v>
      </c>
      <c r="AW112" s="2">
        <v>4</v>
      </c>
      <c r="AX112" s="2" t="s">
        <v>74</v>
      </c>
      <c r="AY112" s="2" t="s">
        <v>74</v>
      </c>
      <c r="AZ112" s="2" t="s">
        <v>74</v>
      </c>
      <c r="BA112" s="2" t="s">
        <v>74</v>
      </c>
      <c r="BB112" s="2">
        <v>603</v>
      </c>
      <c r="BC112" s="2">
        <v>618</v>
      </c>
      <c r="BD112" s="2" t="s">
        <v>74</v>
      </c>
      <c r="BE112" s="2" t="s">
        <v>74</v>
      </c>
      <c r="BF112" s="2" t="s">
        <v>74</v>
      </c>
      <c r="BG112" s="2" t="s">
        <v>74</v>
      </c>
      <c r="BH112" s="2" t="s">
        <v>74</v>
      </c>
      <c r="BI112" s="2" t="s">
        <v>74</v>
      </c>
      <c r="BJ112" s="2" t="s">
        <v>74</v>
      </c>
      <c r="BK112" s="2" t="s">
        <v>74</v>
      </c>
      <c r="BL112" s="2" t="s">
        <v>74</v>
      </c>
      <c r="BM112" s="2" t="s">
        <v>74</v>
      </c>
      <c r="BN112" s="2" t="s">
        <v>74</v>
      </c>
      <c r="BO112" s="2" t="s">
        <v>74</v>
      </c>
      <c r="BP112" s="2" t="s">
        <v>74</v>
      </c>
      <c r="BQ112" s="2" t="s">
        <v>74</v>
      </c>
      <c r="BR112" s="2" t="s">
        <v>74</v>
      </c>
      <c r="BS112" s="2" t="s">
        <v>4658</v>
      </c>
      <c r="BT112" s="2" t="str">
        <f>HYPERLINK("https%3A%2F%2Fwww.webofscience.com%2Fwos%2Fwoscc%2Ffull-record%2FWOS:A1984ACX3700007","View Full Record in Web of Science")</f>
        <v>View Full Record in Web of Science</v>
      </c>
    </row>
    <row r="113" spans="1:72" s="2" customFormat="1" x14ac:dyDescent="0.4">
      <c r="A113" s="2" t="s">
        <v>72</v>
      </c>
      <c r="B113" s="2" t="s">
        <v>5607</v>
      </c>
      <c r="C113" s="2" t="s">
        <v>74</v>
      </c>
      <c r="D113" s="2" t="s">
        <v>74</v>
      </c>
      <c r="E113" s="2" t="s">
        <v>74</v>
      </c>
      <c r="F113" s="2" t="s">
        <v>5608</v>
      </c>
      <c r="G113" s="2" t="s">
        <v>74</v>
      </c>
      <c r="H113" s="2" t="s">
        <v>74</v>
      </c>
      <c r="I113" s="2" t="s">
        <v>5609</v>
      </c>
      <c r="J113" s="2" t="s">
        <v>140</v>
      </c>
      <c r="K113" s="2" t="s">
        <v>74</v>
      </c>
      <c r="L113" s="2" t="s">
        <v>74</v>
      </c>
      <c r="M113" s="2" t="s">
        <v>74</v>
      </c>
      <c r="N113" s="2" t="s">
        <v>74</v>
      </c>
      <c r="O113" s="2" t="s">
        <v>74</v>
      </c>
      <c r="P113" s="2" t="s">
        <v>74</v>
      </c>
      <c r="Q113" s="2" t="s">
        <v>74</v>
      </c>
      <c r="R113" s="2" t="s">
        <v>74</v>
      </c>
      <c r="S113" s="2" t="s">
        <v>74</v>
      </c>
      <c r="T113" s="2" t="s">
        <v>74</v>
      </c>
      <c r="U113" s="2" t="s">
        <v>74</v>
      </c>
      <c r="V113" s="5" t="s">
        <v>5610</v>
      </c>
      <c r="W113" s="2" t="s">
        <v>74</v>
      </c>
      <c r="X113" s="2" t="s">
        <v>74</v>
      </c>
      <c r="Y113" s="2" t="s">
        <v>74</v>
      </c>
      <c r="Z113" s="2" t="s">
        <v>74</v>
      </c>
      <c r="AA113" s="2" t="s">
        <v>74</v>
      </c>
      <c r="AB113" s="2" t="s">
        <v>5611</v>
      </c>
      <c r="AC113" s="2" t="s">
        <v>74</v>
      </c>
      <c r="AD113" s="2" t="s">
        <v>74</v>
      </c>
      <c r="AE113" s="2" t="s">
        <v>74</v>
      </c>
      <c r="AF113" s="2" t="s">
        <v>74</v>
      </c>
      <c r="AG113" s="2" t="s">
        <v>74</v>
      </c>
      <c r="AH113" s="2" t="s">
        <v>74</v>
      </c>
      <c r="AI113" s="2" t="s">
        <v>74</v>
      </c>
      <c r="AJ113" s="2" t="s">
        <v>74</v>
      </c>
      <c r="AK113" s="2" t="s">
        <v>74</v>
      </c>
      <c r="AL113" s="2" t="s">
        <v>74</v>
      </c>
      <c r="AM113" s="2" t="s">
        <v>74</v>
      </c>
      <c r="AN113" s="2" t="s">
        <v>74</v>
      </c>
      <c r="AO113" s="2" t="s">
        <v>143</v>
      </c>
      <c r="AP113" s="2" t="s">
        <v>144</v>
      </c>
      <c r="AQ113" s="2" t="s">
        <v>74</v>
      </c>
      <c r="AR113" s="2" t="s">
        <v>74</v>
      </c>
      <c r="AS113" s="2" t="s">
        <v>74</v>
      </c>
      <c r="AT113" s="2" t="s">
        <v>175</v>
      </c>
      <c r="AU113" s="2">
        <v>2021</v>
      </c>
      <c r="AV113" s="2">
        <v>180</v>
      </c>
      <c r="AW113" s="2" t="s">
        <v>74</v>
      </c>
      <c r="AX113" s="2" t="s">
        <v>74</v>
      </c>
      <c r="AY113" s="2" t="s">
        <v>74</v>
      </c>
      <c r="AZ113" s="2" t="s">
        <v>74</v>
      </c>
      <c r="BA113" s="2" t="s">
        <v>74</v>
      </c>
      <c r="BB113" s="2">
        <v>337</v>
      </c>
      <c r="BC113" s="2">
        <v>361</v>
      </c>
      <c r="BD113" s="2" t="s">
        <v>74</v>
      </c>
      <c r="BE113" s="2" t="s">
        <v>5612</v>
      </c>
      <c r="BF113" s="2" t="str">
        <f>HYPERLINK("http://dx.doi.org/10.1016/j.anbehav.2021.08.018","http://dx.doi.org/10.1016/j.anbehav.2021.08.018")</f>
        <v>http://dx.doi.org/10.1016/j.anbehav.2021.08.018</v>
      </c>
      <c r="BG113" s="2" t="s">
        <v>74</v>
      </c>
      <c r="BH113" s="2" t="s">
        <v>675</v>
      </c>
      <c r="BI113" s="2" t="s">
        <v>74</v>
      </c>
      <c r="BJ113" s="2" t="s">
        <v>74</v>
      </c>
      <c r="BK113" s="2" t="s">
        <v>74</v>
      </c>
      <c r="BL113" s="2" t="s">
        <v>74</v>
      </c>
      <c r="BM113" s="2" t="s">
        <v>74</v>
      </c>
      <c r="BN113" s="2" t="s">
        <v>74</v>
      </c>
      <c r="BO113" s="2" t="s">
        <v>74</v>
      </c>
      <c r="BP113" s="2" t="s">
        <v>74</v>
      </c>
      <c r="BQ113" s="2" t="s">
        <v>74</v>
      </c>
      <c r="BR113" s="2" t="s">
        <v>74</v>
      </c>
      <c r="BS113" s="2" t="s">
        <v>5613</v>
      </c>
      <c r="BT113" s="2" t="str">
        <f>HYPERLINK("https%3A%2F%2Fwww.webofscience.com%2Fwos%2Fwoscc%2Ffull-record%2FWOS:000707744600009","View Full Record in Web of Science")</f>
        <v>View Full Record in Web of Science</v>
      </c>
    </row>
    <row r="114" spans="1:72" s="2" customFormat="1" x14ac:dyDescent="0.4">
      <c r="A114" s="2" t="s">
        <v>72</v>
      </c>
      <c r="B114" s="2" t="s">
        <v>6318</v>
      </c>
      <c r="C114" s="2" t="s">
        <v>74</v>
      </c>
      <c r="D114" s="2" t="s">
        <v>74</v>
      </c>
      <c r="E114" s="2" t="s">
        <v>74</v>
      </c>
      <c r="F114" s="2" t="s">
        <v>6319</v>
      </c>
      <c r="G114" s="2" t="s">
        <v>74</v>
      </c>
      <c r="H114" s="2" t="s">
        <v>74</v>
      </c>
      <c r="I114" s="2" t="s">
        <v>6320</v>
      </c>
      <c r="J114" s="2" t="s">
        <v>2207</v>
      </c>
      <c r="K114" s="2" t="s">
        <v>74</v>
      </c>
      <c r="L114" s="2" t="s">
        <v>74</v>
      </c>
      <c r="M114" s="2" t="s">
        <v>74</v>
      </c>
      <c r="N114" s="2" t="s">
        <v>74</v>
      </c>
      <c r="O114" s="2" t="s">
        <v>74</v>
      </c>
      <c r="P114" s="2" t="s">
        <v>74</v>
      </c>
      <c r="Q114" s="2" t="s">
        <v>74</v>
      </c>
      <c r="R114" s="2" t="s">
        <v>74</v>
      </c>
      <c r="S114" s="2" t="s">
        <v>74</v>
      </c>
      <c r="T114" s="2" t="s">
        <v>74</v>
      </c>
      <c r="U114" s="2" t="s">
        <v>74</v>
      </c>
      <c r="V114" s="5" t="s">
        <v>6321</v>
      </c>
      <c r="W114" s="2" t="s">
        <v>74</v>
      </c>
      <c r="X114" s="2" t="s">
        <v>74</v>
      </c>
      <c r="Y114" s="2" t="s">
        <v>74</v>
      </c>
      <c r="Z114" s="2" t="s">
        <v>74</v>
      </c>
      <c r="AA114" s="2" t="s">
        <v>6322</v>
      </c>
      <c r="AB114" s="2" t="s">
        <v>6323</v>
      </c>
      <c r="AC114" s="2" t="s">
        <v>74</v>
      </c>
      <c r="AD114" s="2" t="s">
        <v>74</v>
      </c>
      <c r="AE114" s="2" t="s">
        <v>74</v>
      </c>
      <c r="AF114" s="2" t="s">
        <v>74</v>
      </c>
      <c r="AG114" s="2" t="s">
        <v>74</v>
      </c>
      <c r="AH114" s="2" t="s">
        <v>74</v>
      </c>
      <c r="AI114" s="2" t="s">
        <v>74</v>
      </c>
      <c r="AJ114" s="2" t="s">
        <v>74</v>
      </c>
      <c r="AK114" s="2" t="s">
        <v>74</v>
      </c>
      <c r="AL114" s="2" t="s">
        <v>74</v>
      </c>
      <c r="AM114" s="2" t="s">
        <v>74</v>
      </c>
      <c r="AN114" s="2" t="s">
        <v>74</v>
      </c>
      <c r="AO114" s="2" t="s">
        <v>2211</v>
      </c>
      <c r="AP114" s="2" t="s">
        <v>2461</v>
      </c>
      <c r="AQ114" s="2" t="s">
        <v>74</v>
      </c>
      <c r="AR114" s="2" t="s">
        <v>74</v>
      </c>
      <c r="AS114" s="2" t="s">
        <v>74</v>
      </c>
      <c r="AT114" s="2" t="s">
        <v>255</v>
      </c>
      <c r="AU114" s="2">
        <v>2018</v>
      </c>
      <c r="AV114" s="2">
        <v>49</v>
      </c>
      <c r="AW114" s="2">
        <v>1</v>
      </c>
      <c r="AX114" s="2" t="s">
        <v>74</v>
      </c>
      <c r="AY114" s="2" t="s">
        <v>74</v>
      </c>
      <c r="AZ114" s="2" t="s">
        <v>74</v>
      </c>
      <c r="BA114" s="2" t="s">
        <v>74</v>
      </c>
      <c r="BB114" s="2" t="s">
        <v>74</v>
      </c>
      <c r="BC114" s="2" t="s">
        <v>74</v>
      </c>
      <c r="BD114" s="2" t="s">
        <v>6324</v>
      </c>
      <c r="BE114" s="2" t="s">
        <v>6325</v>
      </c>
      <c r="BF114" s="2" t="str">
        <f>HYPERLINK("http://dx.doi.org/10.1111/jav.01467","http://dx.doi.org/10.1111/jav.01467")</f>
        <v>http://dx.doi.org/10.1111/jav.01467</v>
      </c>
      <c r="BG114" s="2" t="s">
        <v>74</v>
      </c>
      <c r="BH114" s="2" t="s">
        <v>74</v>
      </c>
      <c r="BI114" s="2" t="s">
        <v>74</v>
      </c>
      <c r="BJ114" s="2" t="s">
        <v>74</v>
      </c>
      <c r="BK114" s="2" t="s">
        <v>74</v>
      </c>
      <c r="BL114" s="2" t="s">
        <v>74</v>
      </c>
      <c r="BM114" s="2" t="s">
        <v>74</v>
      </c>
      <c r="BN114" s="2" t="s">
        <v>74</v>
      </c>
      <c r="BO114" s="2" t="s">
        <v>74</v>
      </c>
      <c r="BP114" s="2" t="s">
        <v>74</v>
      </c>
      <c r="BQ114" s="2" t="s">
        <v>74</v>
      </c>
      <c r="BR114" s="2" t="s">
        <v>74</v>
      </c>
      <c r="BS114" s="2" t="s">
        <v>6326</v>
      </c>
      <c r="BT114" s="2" t="str">
        <f>HYPERLINK("https%3A%2F%2Fwww.webofscience.com%2Fwos%2Fwoscc%2Ffull-record%2FWOS:000425085000003","View Full Record in Web of Science")</f>
        <v>View Full Record in Web of Science</v>
      </c>
    </row>
    <row r="115" spans="1:72" s="2" customFormat="1" x14ac:dyDescent="0.4">
      <c r="A115" s="2" t="s">
        <v>72</v>
      </c>
      <c r="B115" s="2" t="s">
        <v>4111</v>
      </c>
      <c r="C115" s="2" t="s">
        <v>74</v>
      </c>
      <c r="D115" s="2" t="s">
        <v>74</v>
      </c>
      <c r="E115" s="2" t="s">
        <v>74</v>
      </c>
      <c r="F115" s="2" t="s">
        <v>4112</v>
      </c>
      <c r="G115" s="2" t="s">
        <v>74</v>
      </c>
      <c r="H115" s="2" t="s">
        <v>74</v>
      </c>
      <c r="I115" s="2" t="s">
        <v>4113</v>
      </c>
      <c r="J115" s="2" t="s">
        <v>4114</v>
      </c>
      <c r="K115" s="2" t="s">
        <v>74</v>
      </c>
      <c r="L115" s="2" t="s">
        <v>74</v>
      </c>
      <c r="M115" s="2" t="s">
        <v>74</v>
      </c>
      <c r="N115" s="2" t="s">
        <v>74</v>
      </c>
      <c r="O115" s="2" t="s">
        <v>74</v>
      </c>
      <c r="P115" s="2" t="s">
        <v>74</v>
      </c>
      <c r="Q115" s="2" t="s">
        <v>74</v>
      </c>
      <c r="R115" s="2" t="s">
        <v>74</v>
      </c>
      <c r="S115" s="2" t="s">
        <v>74</v>
      </c>
      <c r="T115" s="2" t="s">
        <v>74</v>
      </c>
      <c r="U115" s="2" t="s">
        <v>74</v>
      </c>
      <c r="V115" s="5" t="s">
        <v>4115</v>
      </c>
      <c r="W115" s="2" t="s">
        <v>74</v>
      </c>
      <c r="X115" s="2" t="s">
        <v>74</v>
      </c>
      <c r="Y115" s="2" t="s">
        <v>74</v>
      </c>
      <c r="Z115" s="2" t="s">
        <v>74</v>
      </c>
      <c r="AA115" s="2" t="s">
        <v>74</v>
      </c>
      <c r="AB115" s="2" t="s">
        <v>74</v>
      </c>
      <c r="AC115" s="2" t="s">
        <v>74</v>
      </c>
      <c r="AD115" s="2" t="s">
        <v>74</v>
      </c>
      <c r="AE115" s="2" t="s">
        <v>74</v>
      </c>
      <c r="AF115" s="2" t="s">
        <v>74</v>
      </c>
      <c r="AG115" s="2" t="s">
        <v>74</v>
      </c>
      <c r="AH115" s="2" t="s">
        <v>74</v>
      </c>
      <c r="AI115" s="2" t="s">
        <v>74</v>
      </c>
      <c r="AJ115" s="2" t="s">
        <v>74</v>
      </c>
      <c r="AK115" s="2" t="s">
        <v>74</v>
      </c>
      <c r="AL115" s="2" t="s">
        <v>74</v>
      </c>
      <c r="AM115" s="2" t="s">
        <v>74</v>
      </c>
      <c r="AN115" s="2" t="s">
        <v>74</v>
      </c>
      <c r="AO115" s="2" t="s">
        <v>4116</v>
      </c>
      <c r="AP115" s="2" t="s">
        <v>4117</v>
      </c>
      <c r="AQ115" s="2" t="s">
        <v>74</v>
      </c>
      <c r="AR115" s="2" t="s">
        <v>74</v>
      </c>
      <c r="AS115" s="2" t="s">
        <v>74</v>
      </c>
      <c r="AT115" s="2" t="s">
        <v>633</v>
      </c>
      <c r="AU115" s="2">
        <v>2022</v>
      </c>
      <c r="AV115" s="2">
        <v>47</v>
      </c>
      <c r="AW115" s="2">
        <v>2</v>
      </c>
      <c r="AX115" s="2" t="s">
        <v>74</v>
      </c>
      <c r="AY115" s="2" t="s">
        <v>74</v>
      </c>
      <c r="AZ115" s="2" t="s">
        <v>74</v>
      </c>
      <c r="BA115" s="2" t="s">
        <v>74</v>
      </c>
      <c r="BB115" s="2">
        <v>158</v>
      </c>
      <c r="BC115" s="2">
        <v>169</v>
      </c>
      <c r="BD115" s="2" t="s">
        <v>74</v>
      </c>
      <c r="BE115" s="2" t="s">
        <v>4118</v>
      </c>
      <c r="BF115" s="2" t="str">
        <f>HYPERLINK("http://dx.doi.org/10.1111/een.13098","http://dx.doi.org/10.1111/een.13098")</f>
        <v>http://dx.doi.org/10.1111/een.13098</v>
      </c>
      <c r="BG115" s="2" t="s">
        <v>74</v>
      </c>
      <c r="BH115" s="2" t="s">
        <v>4119</v>
      </c>
      <c r="BI115" s="2" t="s">
        <v>74</v>
      </c>
      <c r="BJ115" s="2" t="s">
        <v>74</v>
      </c>
      <c r="BK115" s="2" t="s">
        <v>74</v>
      </c>
      <c r="BL115" s="2" t="s">
        <v>74</v>
      </c>
      <c r="BM115" s="2" t="s">
        <v>74</v>
      </c>
      <c r="BN115" s="2" t="s">
        <v>74</v>
      </c>
      <c r="BO115" s="2" t="s">
        <v>74</v>
      </c>
      <c r="BP115" s="2" t="s">
        <v>74</v>
      </c>
      <c r="BQ115" s="2" t="s">
        <v>74</v>
      </c>
      <c r="BR115" s="2" t="s">
        <v>74</v>
      </c>
      <c r="BS115" s="2" t="s">
        <v>4120</v>
      </c>
      <c r="BT115" s="2" t="str">
        <f>HYPERLINK("https%3A%2F%2Fwww.webofscience.com%2Fwos%2Fwoscc%2Ffull-record%2FWOS:000711895800001","View Full Record in Web of Science")</f>
        <v>View Full Record in Web of Science</v>
      </c>
    </row>
    <row r="116" spans="1:72" s="1" customFormat="1" x14ac:dyDescent="0.4">
      <c r="A116" s="2" t="s">
        <v>72</v>
      </c>
      <c r="B116" s="2" t="s">
        <v>5521</v>
      </c>
      <c r="C116" s="2" t="s">
        <v>74</v>
      </c>
      <c r="D116" s="2" t="s">
        <v>74</v>
      </c>
      <c r="E116" s="2" t="s">
        <v>74</v>
      </c>
      <c r="F116" s="2" t="s">
        <v>5522</v>
      </c>
      <c r="G116" s="2" t="s">
        <v>74</v>
      </c>
      <c r="H116" s="2" t="s">
        <v>74</v>
      </c>
      <c r="I116" s="2" t="s">
        <v>5523</v>
      </c>
      <c r="J116" s="2" t="s">
        <v>218</v>
      </c>
      <c r="K116" s="2" t="s">
        <v>74</v>
      </c>
      <c r="L116" s="2" t="s">
        <v>74</v>
      </c>
      <c r="M116" s="2" t="s">
        <v>74</v>
      </c>
      <c r="N116" s="2" t="s">
        <v>74</v>
      </c>
      <c r="O116" s="2" t="s">
        <v>74</v>
      </c>
      <c r="P116" s="2" t="s">
        <v>74</v>
      </c>
      <c r="Q116" s="2" t="s">
        <v>74</v>
      </c>
      <c r="R116" s="2" t="s">
        <v>74</v>
      </c>
      <c r="S116" s="2" t="s">
        <v>74</v>
      </c>
      <c r="T116" s="2" t="s">
        <v>74</v>
      </c>
      <c r="U116" s="2" t="s">
        <v>74</v>
      </c>
      <c r="V116" s="5" t="s">
        <v>5524</v>
      </c>
      <c r="W116" s="2" t="s">
        <v>74</v>
      </c>
      <c r="X116" s="2" t="s">
        <v>74</v>
      </c>
      <c r="Y116" s="2" t="s">
        <v>74</v>
      </c>
      <c r="Z116" s="2" t="s">
        <v>74</v>
      </c>
      <c r="AA116" s="2" t="s">
        <v>5525</v>
      </c>
      <c r="AB116" s="2" t="s">
        <v>5526</v>
      </c>
      <c r="AC116" s="2" t="s">
        <v>74</v>
      </c>
      <c r="AD116" s="2" t="s">
        <v>74</v>
      </c>
      <c r="AE116" s="2" t="s">
        <v>74</v>
      </c>
      <c r="AF116" s="2" t="s">
        <v>74</v>
      </c>
      <c r="AG116" s="2" t="s">
        <v>74</v>
      </c>
      <c r="AH116" s="2" t="s">
        <v>74</v>
      </c>
      <c r="AI116" s="2" t="s">
        <v>74</v>
      </c>
      <c r="AJ116" s="2" t="s">
        <v>74</v>
      </c>
      <c r="AK116" s="2" t="s">
        <v>74</v>
      </c>
      <c r="AL116" s="2" t="s">
        <v>74</v>
      </c>
      <c r="AM116" s="2" t="s">
        <v>74</v>
      </c>
      <c r="AN116" s="2" t="s">
        <v>74</v>
      </c>
      <c r="AO116" s="2" t="s">
        <v>221</v>
      </c>
      <c r="AP116" s="2" t="s">
        <v>222</v>
      </c>
      <c r="AQ116" s="2" t="s">
        <v>74</v>
      </c>
      <c r="AR116" s="2" t="s">
        <v>74</v>
      </c>
      <c r="AS116" s="2" t="s">
        <v>74</v>
      </c>
      <c r="AT116" s="2" t="s">
        <v>213</v>
      </c>
      <c r="AU116" s="2">
        <v>2008</v>
      </c>
      <c r="AV116" s="2">
        <v>21</v>
      </c>
      <c r="AW116" s="2">
        <v>6</v>
      </c>
      <c r="AX116" s="2" t="s">
        <v>74</v>
      </c>
      <c r="AY116" s="2" t="s">
        <v>74</v>
      </c>
      <c r="AZ116" s="2" t="s">
        <v>74</v>
      </c>
      <c r="BA116" s="2" t="s">
        <v>74</v>
      </c>
      <c r="BB116" s="2">
        <v>1789</v>
      </c>
      <c r="BC116" s="2">
        <v>1797</v>
      </c>
      <c r="BD116" s="2" t="s">
        <v>74</v>
      </c>
      <c r="BE116" s="2" t="s">
        <v>5527</v>
      </c>
      <c r="BF116" s="2" t="str">
        <f>HYPERLINK("http://dx.doi.org/10.1111/j.1420-9101.2008.01591.x","http://dx.doi.org/10.1111/j.1420-9101.2008.01591.x")</f>
        <v>http://dx.doi.org/10.1111/j.1420-9101.2008.01591.x</v>
      </c>
      <c r="BG116" s="2" t="s">
        <v>74</v>
      </c>
      <c r="BH116" s="2" t="s">
        <v>74</v>
      </c>
      <c r="BI116" s="2" t="s">
        <v>74</v>
      </c>
      <c r="BJ116" s="2" t="s">
        <v>74</v>
      </c>
      <c r="BK116" s="2" t="s">
        <v>74</v>
      </c>
      <c r="BL116" s="2" t="s">
        <v>74</v>
      </c>
      <c r="BM116" s="2" t="s">
        <v>74</v>
      </c>
      <c r="BN116" s="2">
        <v>18713241</v>
      </c>
      <c r="BO116" s="2" t="s">
        <v>74</v>
      </c>
      <c r="BP116" s="2" t="s">
        <v>74</v>
      </c>
      <c r="BQ116" s="2" t="s">
        <v>74</v>
      </c>
      <c r="BR116" s="2" t="s">
        <v>74</v>
      </c>
      <c r="BS116" s="2" t="s">
        <v>5528</v>
      </c>
      <c r="BT116" s="2" t="str">
        <f>HYPERLINK("https%3A%2F%2Fwww.webofscience.com%2Fwos%2Fwoscc%2Ffull-record%2FWOS:000260108900032","View Full Record in Web of Science")</f>
        <v>View Full Record in Web of Science</v>
      </c>
    </row>
    <row r="117" spans="1:72" s="2" customFormat="1" x14ac:dyDescent="0.4">
      <c r="A117" s="2" t="s">
        <v>72</v>
      </c>
      <c r="B117" s="2" t="s">
        <v>2128</v>
      </c>
      <c r="C117" s="2" t="s">
        <v>74</v>
      </c>
      <c r="D117" s="2" t="s">
        <v>74</v>
      </c>
      <c r="E117" s="2" t="s">
        <v>74</v>
      </c>
      <c r="F117" s="2" t="s">
        <v>2128</v>
      </c>
      <c r="G117" s="2" t="s">
        <v>74</v>
      </c>
      <c r="H117" s="2" t="s">
        <v>74</v>
      </c>
      <c r="I117" s="2" t="s">
        <v>2129</v>
      </c>
      <c r="J117" s="2" t="s">
        <v>1526</v>
      </c>
      <c r="K117" s="2" t="s">
        <v>74</v>
      </c>
      <c r="L117" s="2" t="s">
        <v>74</v>
      </c>
      <c r="M117" s="2" t="s">
        <v>74</v>
      </c>
      <c r="N117" s="2" t="s">
        <v>74</v>
      </c>
      <c r="O117" s="2" t="s">
        <v>74</v>
      </c>
      <c r="P117" s="2" t="s">
        <v>74</v>
      </c>
      <c r="Q117" s="2" t="s">
        <v>74</v>
      </c>
      <c r="R117" s="2" t="s">
        <v>74</v>
      </c>
      <c r="S117" s="2" t="s">
        <v>74</v>
      </c>
      <c r="T117" s="2" t="s">
        <v>74</v>
      </c>
      <c r="U117" s="2" t="s">
        <v>74</v>
      </c>
      <c r="V117" s="5" t="s">
        <v>2130</v>
      </c>
      <c r="W117" s="2" t="s">
        <v>74</v>
      </c>
      <c r="X117" s="2" t="s">
        <v>74</v>
      </c>
      <c r="Y117" s="2" t="s">
        <v>74</v>
      </c>
      <c r="Z117" s="2" t="s">
        <v>74</v>
      </c>
      <c r="AA117" s="2" t="s">
        <v>74</v>
      </c>
      <c r="AB117" s="2" t="s">
        <v>74</v>
      </c>
      <c r="AC117" s="2" t="s">
        <v>74</v>
      </c>
      <c r="AD117" s="2" t="s">
        <v>74</v>
      </c>
      <c r="AE117" s="2" t="s">
        <v>74</v>
      </c>
      <c r="AF117" s="2" t="s">
        <v>74</v>
      </c>
      <c r="AG117" s="2" t="s">
        <v>74</v>
      </c>
      <c r="AH117" s="2" t="s">
        <v>74</v>
      </c>
      <c r="AI117" s="2" t="s">
        <v>74</v>
      </c>
      <c r="AJ117" s="2" t="s">
        <v>74</v>
      </c>
      <c r="AK117" s="2" t="s">
        <v>74</v>
      </c>
      <c r="AL117" s="2" t="s">
        <v>74</v>
      </c>
      <c r="AM117" s="2" t="s">
        <v>74</v>
      </c>
      <c r="AN117" s="2" t="s">
        <v>74</v>
      </c>
      <c r="AO117" s="2" t="s">
        <v>1528</v>
      </c>
      <c r="AP117" s="2" t="s">
        <v>2131</v>
      </c>
      <c r="AQ117" s="2" t="s">
        <v>74</v>
      </c>
      <c r="AR117" s="2" t="s">
        <v>74</v>
      </c>
      <c r="AS117" s="2" t="s">
        <v>74</v>
      </c>
      <c r="AT117" s="2" t="s">
        <v>145</v>
      </c>
      <c r="AU117" s="2">
        <v>2000</v>
      </c>
      <c r="AV117" s="2">
        <v>102</v>
      </c>
      <c r="AW117" s="2">
        <v>3</v>
      </c>
      <c r="AX117" s="2" t="s">
        <v>74</v>
      </c>
      <c r="AY117" s="2" t="s">
        <v>74</v>
      </c>
      <c r="AZ117" s="2" t="s">
        <v>74</v>
      </c>
      <c r="BA117" s="2" t="s">
        <v>74</v>
      </c>
      <c r="BB117" s="2">
        <v>708</v>
      </c>
      <c r="BC117" s="2">
        <v>712</v>
      </c>
      <c r="BD117" s="2" t="s">
        <v>74</v>
      </c>
      <c r="BE117" s="2" t="s">
        <v>2132</v>
      </c>
      <c r="BF117" s="2" t="str">
        <f>HYPERLINK("http://dx.doi.org/10.1650/0010-5422(2000)102[0708:RBTCPA]2.0.CO;2","http://dx.doi.org/10.1650/0010-5422(2000)102[0708:RBTCPA]2.0.CO;2")</f>
        <v>http://dx.doi.org/10.1650/0010-5422(2000)102[0708:RBTCPA]2.0.CO;2</v>
      </c>
      <c r="BG117" s="2" t="s">
        <v>74</v>
      </c>
      <c r="BH117" s="2" t="s">
        <v>74</v>
      </c>
      <c r="BI117" s="2" t="s">
        <v>74</v>
      </c>
      <c r="BJ117" s="2" t="s">
        <v>74</v>
      </c>
      <c r="BK117" s="2" t="s">
        <v>74</v>
      </c>
      <c r="BL117" s="2" t="s">
        <v>74</v>
      </c>
      <c r="BM117" s="2" t="s">
        <v>74</v>
      </c>
      <c r="BN117" s="2" t="s">
        <v>74</v>
      </c>
      <c r="BO117" s="2" t="s">
        <v>74</v>
      </c>
      <c r="BP117" s="2" t="s">
        <v>74</v>
      </c>
      <c r="BQ117" s="2" t="s">
        <v>74</v>
      </c>
      <c r="BR117" s="2" t="s">
        <v>74</v>
      </c>
      <c r="BS117" s="2" t="s">
        <v>2133</v>
      </c>
      <c r="BT117" s="2" t="str">
        <f>HYPERLINK("https%3A%2F%2Fwww.webofscience.com%2Fwos%2Fwoscc%2Ffull-record%2FWOS:000088716300031","View Full Record in Web of Science")</f>
        <v>View Full Record in Web of Science</v>
      </c>
    </row>
    <row r="118" spans="1:72" s="2" customFormat="1" x14ac:dyDescent="0.4">
      <c r="A118" s="2" t="s">
        <v>72</v>
      </c>
      <c r="B118" s="2" t="s">
        <v>1963</v>
      </c>
      <c r="C118" s="2" t="s">
        <v>74</v>
      </c>
      <c r="D118" s="2" t="s">
        <v>74</v>
      </c>
      <c r="E118" s="2" t="s">
        <v>74</v>
      </c>
      <c r="F118" s="2" t="s">
        <v>1964</v>
      </c>
      <c r="G118" s="2" t="s">
        <v>74</v>
      </c>
      <c r="H118" s="2" t="s">
        <v>74</v>
      </c>
      <c r="I118" s="2" t="s">
        <v>1965</v>
      </c>
      <c r="J118" s="2" t="s">
        <v>803</v>
      </c>
      <c r="K118" s="2" t="s">
        <v>74</v>
      </c>
      <c r="L118" s="2" t="s">
        <v>74</v>
      </c>
      <c r="M118" s="2" t="s">
        <v>74</v>
      </c>
      <c r="N118" s="2" t="s">
        <v>74</v>
      </c>
      <c r="O118" s="2" t="s">
        <v>74</v>
      </c>
      <c r="P118" s="2" t="s">
        <v>74</v>
      </c>
      <c r="Q118" s="2" t="s">
        <v>74</v>
      </c>
      <c r="R118" s="2" t="s">
        <v>74</v>
      </c>
      <c r="S118" s="2" t="s">
        <v>74</v>
      </c>
      <c r="T118" s="2" t="s">
        <v>74</v>
      </c>
      <c r="U118" s="2" t="s">
        <v>74</v>
      </c>
      <c r="V118" s="5" t="s">
        <v>1966</v>
      </c>
      <c r="W118" s="2" t="s">
        <v>74</v>
      </c>
      <c r="X118" s="2" t="s">
        <v>74</v>
      </c>
      <c r="Y118" s="2" t="s">
        <v>74</v>
      </c>
      <c r="Z118" s="2" t="s">
        <v>74</v>
      </c>
      <c r="AA118" s="2" t="s">
        <v>1967</v>
      </c>
      <c r="AB118" s="2" t="s">
        <v>1968</v>
      </c>
      <c r="AC118" s="2" t="s">
        <v>74</v>
      </c>
      <c r="AD118" s="2" t="s">
        <v>74</v>
      </c>
      <c r="AE118" s="2" t="s">
        <v>74</v>
      </c>
      <c r="AF118" s="2" t="s">
        <v>74</v>
      </c>
      <c r="AG118" s="2" t="s">
        <v>74</v>
      </c>
      <c r="AH118" s="2" t="s">
        <v>74</v>
      </c>
      <c r="AI118" s="2" t="s">
        <v>74</v>
      </c>
      <c r="AJ118" s="2" t="s">
        <v>74</v>
      </c>
      <c r="AK118" s="2" t="s">
        <v>74</v>
      </c>
      <c r="AL118" s="2" t="s">
        <v>74</v>
      </c>
      <c r="AM118" s="2" t="s">
        <v>74</v>
      </c>
      <c r="AN118" s="2" t="s">
        <v>74</v>
      </c>
      <c r="AO118" s="2" t="s">
        <v>806</v>
      </c>
      <c r="AP118" s="2" t="s">
        <v>807</v>
      </c>
      <c r="AQ118" s="2" t="s">
        <v>74</v>
      </c>
      <c r="AR118" s="2" t="s">
        <v>74</v>
      </c>
      <c r="AS118" s="2" t="s">
        <v>74</v>
      </c>
      <c r="AT118" s="2" t="s">
        <v>808</v>
      </c>
      <c r="AU118" s="2">
        <v>2009</v>
      </c>
      <c r="AV118" s="2">
        <v>4</v>
      </c>
      <c r="AW118" s="2">
        <v>3</v>
      </c>
      <c r="AX118" s="2" t="s">
        <v>74</v>
      </c>
      <c r="AY118" s="2" t="s">
        <v>74</v>
      </c>
      <c r="AZ118" s="2" t="s">
        <v>74</v>
      </c>
      <c r="BA118" s="2" t="s">
        <v>74</v>
      </c>
      <c r="BB118" s="2">
        <v>111</v>
      </c>
      <c r="BC118" s="2">
        <v>117</v>
      </c>
      <c r="BD118" s="2" t="s">
        <v>74</v>
      </c>
      <c r="BE118" s="2" t="s">
        <v>1969</v>
      </c>
      <c r="BF118" s="2" t="str">
        <f>HYPERLINK("http://dx.doi.org/10.1016/j.jveb.2008.08.010","http://dx.doi.org/10.1016/j.jveb.2008.08.010")</f>
        <v>http://dx.doi.org/10.1016/j.jveb.2008.08.010</v>
      </c>
      <c r="BG118" s="2" t="s">
        <v>74</v>
      </c>
      <c r="BH118" s="2" t="s">
        <v>74</v>
      </c>
      <c r="BI118" s="2" t="s">
        <v>74</v>
      </c>
      <c r="BJ118" s="2" t="s">
        <v>74</v>
      </c>
      <c r="BK118" s="2" t="s">
        <v>74</v>
      </c>
      <c r="BL118" s="2" t="s">
        <v>74</v>
      </c>
      <c r="BM118" s="2" t="s">
        <v>74</v>
      </c>
      <c r="BN118" s="2" t="s">
        <v>74</v>
      </c>
      <c r="BO118" s="2" t="s">
        <v>74</v>
      </c>
      <c r="BP118" s="2" t="s">
        <v>74</v>
      </c>
      <c r="BQ118" s="2" t="s">
        <v>74</v>
      </c>
      <c r="BR118" s="2" t="s">
        <v>74</v>
      </c>
      <c r="BS118" s="2" t="s">
        <v>1970</v>
      </c>
      <c r="BT118" s="2" t="str">
        <f>HYPERLINK("https%3A%2F%2Fwww.webofscience.com%2Fwos%2Fwoscc%2Ffull-record%2FWOS:000266574100002","View Full Record in Web of Science")</f>
        <v>View Full Record in Web of Science</v>
      </c>
    </row>
    <row r="119" spans="1:72" s="2" customFormat="1" x14ac:dyDescent="0.4">
      <c r="A119" s="2" t="s">
        <v>72</v>
      </c>
      <c r="B119" s="2" t="s">
        <v>1565</v>
      </c>
      <c r="C119" s="2" t="s">
        <v>74</v>
      </c>
      <c r="D119" s="2" t="s">
        <v>74</v>
      </c>
      <c r="E119" s="2" t="s">
        <v>74</v>
      </c>
      <c r="F119" s="2" t="s">
        <v>1566</v>
      </c>
      <c r="G119" s="2" t="s">
        <v>74</v>
      </c>
      <c r="H119" s="2" t="s">
        <v>74</v>
      </c>
      <c r="I119" s="2" t="s">
        <v>1567</v>
      </c>
      <c r="J119" s="2" t="s">
        <v>88</v>
      </c>
      <c r="K119" s="2" t="s">
        <v>74</v>
      </c>
      <c r="L119" s="2" t="s">
        <v>74</v>
      </c>
      <c r="M119" s="2" t="s">
        <v>74</v>
      </c>
      <c r="N119" s="2" t="s">
        <v>74</v>
      </c>
      <c r="O119" s="2" t="s">
        <v>74</v>
      </c>
      <c r="P119" s="2" t="s">
        <v>74</v>
      </c>
      <c r="Q119" s="2" t="s">
        <v>74</v>
      </c>
      <c r="R119" s="2" t="s">
        <v>74</v>
      </c>
      <c r="S119" s="2" t="s">
        <v>74</v>
      </c>
      <c r="T119" s="2" t="s">
        <v>74</v>
      </c>
      <c r="U119" s="2" t="s">
        <v>74</v>
      </c>
      <c r="V119" s="5" t="s">
        <v>1568</v>
      </c>
      <c r="W119" s="2" t="s">
        <v>74</v>
      </c>
      <c r="X119" s="2" t="s">
        <v>74</v>
      </c>
      <c r="Y119" s="2" t="s">
        <v>74</v>
      </c>
      <c r="Z119" s="2" t="s">
        <v>74</v>
      </c>
      <c r="AA119" s="2" t="s">
        <v>74</v>
      </c>
      <c r="AB119" s="2" t="s">
        <v>1569</v>
      </c>
      <c r="AC119" s="2" t="s">
        <v>74</v>
      </c>
      <c r="AD119" s="2" t="s">
        <v>74</v>
      </c>
      <c r="AE119" s="2" t="s">
        <v>74</v>
      </c>
      <c r="AF119" s="2" t="s">
        <v>74</v>
      </c>
      <c r="AG119" s="2" t="s">
        <v>74</v>
      </c>
      <c r="AH119" s="2" t="s">
        <v>74</v>
      </c>
      <c r="AI119" s="2" t="s">
        <v>74</v>
      </c>
      <c r="AJ119" s="2" t="s">
        <v>74</v>
      </c>
      <c r="AK119" s="2" t="s">
        <v>74</v>
      </c>
      <c r="AL119" s="2" t="s">
        <v>74</v>
      </c>
      <c r="AM119" s="2" t="s">
        <v>74</v>
      </c>
      <c r="AN119" s="2" t="s">
        <v>74</v>
      </c>
      <c r="AO119" s="2" t="s">
        <v>91</v>
      </c>
      <c r="AP119" s="2" t="s">
        <v>92</v>
      </c>
      <c r="AQ119" s="2" t="s">
        <v>74</v>
      </c>
      <c r="AR119" s="2" t="s">
        <v>74</v>
      </c>
      <c r="AS119" s="2" t="s">
        <v>74</v>
      </c>
      <c r="AT119" s="2" t="s">
        <v>361</v>
      </c>
      <c r="AU119" s="2">
        <v>2019</v>
      </c>
      <c r="AV119" s="2">
        <v>15</v>
      </c>
      <c r="AW119" s="2">
        <v>5</v>
      </c>
      <c r="AX119" s="2" t="s">
        <v>74</v>
      </c>
      <c r="AY119" s="2" t="s">
        <v>74</v>
      </c>
      <c r="AZ119" s="2" t="s">
        <v>74</v>
      </c>
      <c r="BA119" s="2" t="s">
        <v>74</v>
      </c>
      <c r="BB119" s="2" t="s">
        <v>74</v>
      </c>
      <c r="BC119" s="2" t="s">
        <v>74</v>
      </c>
      <c r="BD119" s="2">
        <v>20190207</v>
      </c>
      <c r="BE119" s="2" t="s">
        <v>1570</v>
      </c>
      <c r="BF119" s="2" t="str">
        <f>HYPERLINK("http://dx.doi.org/10.1098/rsbl.2019.0207","http://dx.doi.org/10.1098/rsbl.2019.0207")</f>
        <v>http://dx.doi.org/10.1098/rsbl.2019.0207</v>
      </c>
      <c r="BG119" s="2" t="s">
        <v>74</v>
      </c>
      <c r="BH119" s="2" t="s">
        <v>74</v>
      </c>
      <c r="BI119" s="2" t="s">
        <v>74</v>
      </c>
      <c r="BJ119" s="2" t="s">
        <v>74</v>
      </c>
      <c r="BK119" s="2" t="s">
        <v>74</v>
      </c>
      <c r="BL119" s="2" t="s">
        <v>74</v>
      </c>
      <c r="BM119" s="2" t="s">
        <v>74</v>
      </c>
      <c r="BN119" s="2">
        <v>31088284</v>
      </c>
      <c r="BO119" s="2" t="s">
        <v>74</v>
      </c>
      <c r="BP119" s="2" t="s">
        <v>74</v>
      </c>
      <c r="BQ119" s="2" t="s">
        <v>74</v>
      </c>
      <c r="BR119" s="2" t="s">
        <v>74</v>
      </c>
      <c r="BS119" s="2" t="s">
        <v>1571</v>
      </c>
      <c r="BT119" s="2" t="str">
        <f>HYPERLINK("https%3A%2F%2Fwww.webofscience.com%2Fwos%2Fwoscc%2Ffull-record%2FWOS:000470116400022","View Full Record in Web of Science")</f>
        <v>View Full Record in Web of Science</v>
      </c>
    </row>
    <row r="120" spans="1:72" s="2" customFormat="1" x14ac:dyDescent="0.4">
      <c r="A120" s="2" t="s">
        <v>72</v>
      </c>
      <c r="B120" s="2" t="s">
        <v>1565</v>
      </c>
      <c r="C120" s="2" t="s">
        <v>74</v>
      </c>
      <c r="D120" s="2" t="s">
        <v>74</v>
      </c>
      <c r="E120" s="2" t="s">
        <v>74</v>
      </c>
      <c r="F120" s="2" t="s">
        <v>1566</v>
      </c>
      <c r="G120" s="2" t="s">
        <v>74</v>
      </c>
      <c r="H120" s="2" t="s">
        <v>74</v>
      </c>
      <c r="I120" s="2" t="s">
        <v>1694</v>
      </c>
      <c r="J120" s="2" t="s">
        <v>509</v>
      </c>
      <c r="K120" s="2" t="s">
        <v>74</v>
      </c>
      <c r="L120" s="2" t="s">
        <v>74</v>
      </c>
      <c r="M120" s="2" t="s">
        <v>74</v>
      </c>
      <c r="N120" s="2" t="s">
        <v>74</v>
      </c>
      <c r="O120" s="2" t="s">
        <v>74</v>
      </c>
      <c r="P120" s="2" t="s">
        <v>74</v>
      </c>
      <c r="Q120" s="2" t="s">
        <v>74</v>
      </c>
      <c r="R120" s="2" t="s">
        <v>74</v>
      </c>
      <c r="S120" s="2" t="s">
        <v>74</v>
      </c>
      <c r="T120" s="2" t="s">
        <v>74</v>
      </c>
      <c r="U120" s="2" t="s">
        <v>74</v>
      </c>
      <c r="V120" s="5" t="s">
        <v>1695</v>
      </c>
      <c r="W120" s="2" t="s">
        <v>74</v>
      </c>
      <c r="X120" s="2" t="s">
        <v>74</v>
      </c>
      <c r="Y120" s="2" t="s">
        <v>74</v>
      </c>
      <c r="Z120" s="2" t="s">
        <v>74</v>
      </c>
      <c r="AA120" s="2" t="s">
        <v>74</v>
      </c>
      <c r="AB120" s="2" t="s">
        <v>1696</v>
      </c>
      <c r="AC120" s="2" t="s">
        <v>74</v>
      </c>
      <c r="AD120" s="2" t="s">
        <v>74</v>
      </c>
      <c r="AE120" s="2" t="s">
        <v>74</v>
      </c>
      <c r="AF120" s="2" t="s">
        <v>74</v>
      </c>
      <c r="AG120" s="2" t="s">
        <v>74</v>
      </c>
      <c r="AH120" s="2" t="s">
        <v>74</v>
      </c>
      <c r="AI120" s="2" t="s">
        <v>74</v>
      </c>
      <c r="AJ120" s="2" t="s">
        <v>74</v>
      </c>
      <c r="AK120" s="2" t="s">
        <v>74</v>
      </c>
      <c r="AL120" s="2" t="s">
        <v>74</v>
      </c>
      <c r="AM120" s="2" t="s">
        <v>74</v>
      </c>
      <c r="AN120" s="2" t="s">
        <v>74</v>
      </c>
      <c r="AO120" s="2" t="s">
        <v>511</v>
      </c>
      <c r="AP120" s="2" t="s">
        <v>512</v>
      </c>
      <c r="AQ120" s="2" t="s">
        <v>74</v>
      </c>
      <c r="AR120" s="2" t="s">
        <v>74</v>
      </c>
      <c r="AS120" s="2" t="s">
        <v>74</v>
      </c>
      <c r="AT120" s="2" t="s">
        <v>145</v>
      </c>
      <c r="AU120" s="2">
        <v>2022</v>
      </c>
      <c r="AV120" s="2">
        <v>144</v>
      </c>
      <c r="AW120" s="2" t="s">
        <v>74</v>
      </c>
      <c r="AX120" s="2" t="s">
        <v>74</v>
      </c>
      <c r="AY120" s="2" t="s">
        <v>74</v>
      </c>
      <c r="AZ120" s="2" t="s">
        <v>74</v>
      </c>
      <c r="BA120" s="2" t="s">
        <v>74</v>
      </c>
      <c r="BB120" s="2" t="s">
        <v>74</v>
      </c>
      <c r="BC120" s="2" t="s">
        <v>74</v>
      </c>
      <c r="BD120" s="2">
        <v>105214</v>
      </c>
      <c r="BE120" s="2" t="s">
        <v>1697</v>
      </c>
      <c r="BF120" s="2" t="str">
        <f>HYPERLINK("http://dx.doi.org/10.1016/j.yhbeh.2022.105214","http://dx.doi.org/10.1016/j.yhbeh.2022.105214")</f>
        <v>http://dx.doi.org/10.1016/j.yhbeh.2022.105214</v>
      </c>
      <c r="BG120" s="2" t="s">
        <v>74</v>
      </c>
      <c r="BH120" s="2" t="s">
        <v>1698</v>
      </c>
      <c r="BI120" s="2" t="s">
        <v>74</v>
      </c>
      <c r="BJ120" s="2" t="s">
        <v>74</v>
      </c>
      <c r="BK120" s="2" t="s">
        <v>74</v>
      </c>
      <c r="BL120" s="2" t="s">
        <v>74</v>
      </c>
      <c r="BM120" s="2" t="s">
        <v>74</v>
      </c>
      <c r="BN120" s="2">
        <v>35696781</v>
      </c>
      <c r="BO120" s="2" t="s">
        <v>74</v>
      </c>
      <c r="BP120" s="2" t="s">
        <v>74</v>
      </c>
      <c r="BQ120" s="2" t="s">
        <v>74</v>
      </c>
      <c r="BR120" s="2" t="s">
        <v>74</v>
      </c>
      <c r="BS120" s="2" t="s">
        <v>1699</v>
      </c>
      <c r="BT120" s="2" t="str">
        <f>HYPERLINK("https%3A%2F%2Fwww.webofscience.com%2Fwos%2Fwoscc%2Ffull-record%2FWOS:000815736500002","View Full Record in Web of Science")</f>
        <v>View Full Record in Web of Science</v>
      </c>
    </row>
    <row r="121" spans="1:72" s="2" customFormat="1" x14ac:dyDescent="0.4">
      <c r="A121" s="2" t="s">
        <v>72</v>
      </c>
      <c r="B121" s="2" t="s">
        <v>7495</v>
      </c>
      <c r="C121" s="2" t="s">
        <v>74</v>
      </c>
      <c r="D121" s="2" t="s">
        <v>74</v>
      </c>
      <c r="E121" s="2" t="s">
        <v>74</v>
      </c>
      <c r="F121" s="2" t="s">
        <v>7496</v>
      </c>
      <c r="G121" s="2" t="s">
        <v>74</v>
      </c>
      <c r="H121" s="2" t="s">
        <v>74</v>
      </c>
      <c r="I121" s="2" t="s">
        <v>7497</v>
      </c>
      <c r="J121" s="2" t="s">
        <v>775</v>
      </c>
      <c r="K121" s="2" t="s">
        <v>74</v>
      </c>
      <c r="L121" s="2" t="s">
        <v>74</v>
      </c>
      <c r="M121" s="2" t="s">
        <v>74</v>
      </c>
      <c r="N121" s="2" t="s">
        <v>74</v>
      </c>
      <c r="O121" s="2" t="s">
        <v>74</v>
      </c>
      <c r="P121" s="2" t="s">
        <v>74</v>
      </c>
      <c r="Q121" s="2" t="s">
        <v>74</v>
      </c>
      <c r="R121" s="2" t="s">
        <v>74</v>
      </c>
      <c r="S121" s="2" t="s">
        <v>74</v>
      </c>
      <c r="T121" s="2" t="s">
        <v>74</v>
      </c>
      <c r="U121" s="2" t="s">
        <v>74</v>
      </c>
      <c r="V121" s="5" t="s">
        <v>7498</v>
      </c>
      <c r="W121" s="2" t="s">
        <v>74</v>
      </c>
      <c r="X121" s="2" t="s">
        <v>74</v>
      </c>
      <c r="Y121" s="2" t="s">
        <v>74</v>
      </c>
      <c r="Z121" s="2" t="s">
        <v>74</v>
      </c>
      <c r="AA121" s="2" t="s">
        <v>74</v>
      </c>
      <c r="AB121" s="2" t="s">
        <v>7499</v>
      </c>
      <c r="AC121" s="2" t="s">
        <v>74</v>
      </c>
      <c r="AD121" s="2" t="s">
        <v>74</v>
      </c>
      <c r="AE121" s="2" t="s">
        <v>74</v>
      </c>
      <c r="AF121" s="2" t="s">
        <v>74</v>
      </c>
      <c r="AG121" s="2" t="s">
        <v>74</v>
      </c>
      <c r="AH121" s="2" t="s">
        <v>74</v>
      </c>
      <c r="AI121" s="2" t="s">
        <v>74</v>
      </c>
      <c r="AJ121" s="2" t="s">
        <v>74</v>
      </c>
      <c r="AK121" s="2" t="s">
        <v>74</v>
      </c>
      <c r="AL121" s="2" t="s">
        <v>74</v>
      </c>
      <c r="AM121" s="2" t="s">
        <v>74</v>
      </c>
      <c r="AN121" s="2" t="s">
        <v>74</v>
      </c>
      <c r="AO121" s="2" t="s">
        <v>778</v>
      </c>
      <c r="AP121" s="2" t="s">
        <v>779</v>
      </c>
      <c r="AQ121" s="2" t="s">
        <v>74</v>
      </c>
      <c r="AR121" s="2" t="s">
        <v>74</v>
      </c>
      <c r="AS121" s="2" t="s">
        <v>74</v>
      </c>
      <c r="AT121" s="2" t="s">
        <v>102</v>
      </c>
      <c r="AU121" s="2">
        <v>2018</v>
      </c>
      <c r="AV121" s="2">
        <v>64</v>
      </c>
      <c r="AW121" s="2">
        <v>3</v>
      </c>
      <c r="AX121" s="2" t="s">
        <v>74</v>
      </c>
      <c r="AY121" s="2" t="s">
        <v>74</v>
      </c>
      <c r="AZ121" s="2" t="s">
        <v>74</v>
      </c>
      <c r="BA121" s="2" t="s">
        <v>74</v>
      </c>
      <c r="BB121" s="2">
        <v>363</v>
      </c>
      <c r="BC121" s="2">
        <v>392</v>
      </c>
      <c r="BD121" s="2" t="s">
        <v>74</v>
      </c>
      <c r="BE121" s="2" t="s">
        <v>7500</v>
      </c>
      <c r="BF121" s="2" t="str">
        <f>HYPERLINK("http://dx.doi.org/10.1093/cz/zoy036","http://dx.doi.org/10.1093/cz/zoy036")</f>
        <v>http://dx.doi.org/10.1093/cz/zoy036</v>
      </c>
      <c r="BG121" s="2" t="s">
        <v>74</v>
      </c>
      <c r="BH121" s="2" t="s">
        <v>74</v>
      </c>
      <c r="BI121" s="2" t="s">
        <v>74</v>
      </c>
      <c r="BJ121" s="2" t="s">
        <v>74</v>
      </c>
      <c r="BK121" s="2" t="s">
        <v>74</v>
      </c>
      <c r="BL121" s="2" t="s">
        <v>74</v>
      </c>
      <c r="BM121" s="2" t="s">
        <v>74</v>
      </c>
      <c r="BN121" s="2">
        <v>30402079</v>
      </c>
      <c r="BO121" s="2" t="s">
        <v>74</v>
      </c>
      <c r="BP121" s="2" t="s">
        <v>74</v>
      </c>
      <c r="BQ121" s="2" t="s">
        <v>74</v>
      </c>
      <c r="BR121" s="2" t="s">
        <v>74</v>
      </c>
      <c r="BS121" s="2" t="s">
        <v>7501</v>
      </c>
      <c r="BT121" s="2" t="str">
        <f>HYPERLINK("https%3A%2F%2Fwww.webofscience.com%2Fwos%2Fwoscc%2Ffull-record%2FWOS:000436421000013","View Full Record in Web of Science")</f>
        <v>View Full Record in Web of Science</v>
      </c>
    </row>
    <row r="122" spans="1:72" s="2" customFormat="1" x14ac:dyDescent="0.4">
      <c r="A122" s="2" t="s">
        <v>72</v>
      </c>
      <c r="B122" s="2" t="s">
        <v>126</v>
      </c>
      <c r="C122" s="2" t="s">
        <v>74</v>
      </c>
      <c r="D122" s="2" t="s">
        <v>74</v>
      </c>
      <c r="E122" s="2" t="s">
        <v>74</v>
      </c>
      <c r="F122" s="2" t="s">
        <v>127</v>
      </c>
      <c r="G122" s="2" t="s">
        <v>74</v>
      </c>
      <c r="H122" s="2" t="s">
        <v>74</v>
      </c>
      <c r="I122" s="2" t="s">
        <v>128</v>
      </c>
      <c r="J122" s="2" t="s">
        <v>129</v>
      </c>
      <c r="K122" s="2" t="s">
        <v>74</v>
      </c>
      <c r="L122" s="2" t="s">
        <v>74</v>
      </c>
      <c r="M122" s="2" t="s">
        <v>74</v>
      </c>
      <c r="N122" s="2" t="s">
        <v>74</v>
      </c>
      <c r="O122" s="2" t="s">
        <v>74</v>
      </c>
      <c r="P122" s="2" t="s">
        <v>74</v>
      </c>
      <c r="Q122" s="2" t="s">
        <v>74</v>
      </c>
      <c r="R122" s="2" t="s">
        <v>74</v>
      </c>
      <c r="S122" s="2" t="s">
        <v>74</v>
      </c>
      <c r="T122" s="2" t="s">
        <v>74</v>
      </c>
      <c r="U122" s="2" t="s">
        <v>74</v>
      </c>
      <c r="V122" s="5" t="s">
        <v>130</v>
      </c>
      <c r="W122" s="2" t="s">
        <v>74</v>
      </c>
      <c r="X122" s="2" t="s">
        <v>74</v>
      </c>
      <c r="Y122" s="2" t="s">
        <v>74</v>
      </c>
      <c r="Z122" s="2" t="s">
        <v>74</v>
      </c>
      <c r="AA122" s="2" t="s">
        <v>74</v>
      </c>
      <c r="AB122" s="2" t="s">
        <v>131</v>
      </c>
      <c r="AC122" s="2" t="s">
        <v>74</v>
      </c>
      <c r="AD122" s="2" t="s">
        <v>74</v>
      </c>
      <c r="AE122" s="2" t="s">
        <v>74</v>
      </c>
      <c r="AF122" s="2" t="s">
        <v>74</v>
      </c>
      <c r="AG122" s="2" t="s">
        <v>74</v>
      </c>
      <c r="AH122" s="2" t="s">
        <v>74</v>
      </c>
      <c r="AI122" s="2" t="s">
        <v>74</v>
      </c>
      <c r="AJ122" s="2" t="s">
        <v>74</v>
      </c>
      <c r="AK122" s="2" t="s">
        <v>74</v>
      </c>
      <c r="AL122" s="2" t="s">
        <v>74</v>
      </c>
      <c r="AM122" s="2" t="s">
        <v>74</v>
      </c>
      <c r="AN122" s="2" t="s">
        <v>74</v>
      </c>
      <c r="AO122" s="2" t="s">
        <v>132</v>
      </c>
      <c r="AP122" s="2" t="s">
        <v>133</v>
      </c>
      <c r="AQ122" s="2" t="s">
        <v>74</v>
      </c>
      <c r="AR122" s="2" t="s">
        <v>74</v>
      </c>
      <c r="AS122" s="2" t="s">
        <v>74</v>
      </c>
      <c r="AT122" s="2" t="s">
        <v>134</v>
      </c>
      <c r="AU122" s="2">
        <v>2016</v>
      </c>
      <c r="AV122" s="2">
        <v>70</v>
      </c>
      <c r="AW122" s="2">
        <v>5</v>
      </c>
      <c r="AX122" s="2" t="s">
        <v>74</v>
      </c>
      <c r="AY122" s="2" t="s">
        <v>74</v>
      </c>
      <c r="AZ122" s="2" t="s">
        <v>74</v>
      </c>
      <c r="BA122" s="2" t="s">
        <v>74</v>
      </c>
      <c r="BB122" s="2">
        <v>647</v>
      </c>
      <c r="BC122" s="2">
        <v>657</v>
      </c>
      <c r="BD122" s="2" t="s">
        <v>74</v>
      </c>
      <c r="BE122" s="2" t="s">
        <v>135</v>
      </c>
      <c r="BF122" s="2" t="str">
        <f>HYPERLINK("http://dx.doi.org/10.1007/s00265-016-2085-3","http://dx.doi.org/10.1007/s00265-016-2085-3")</f>
        <v>http://dx.doi.org/10.1007/s00265-016-2085-3</v>
      </c>
      <c r="BG122" s="2" t="s">
        <v>74</v>
      </c>
      <c r="BH122" s="2" t="s">
        <v>74</v>
      </c>
      <c r="BI122" s="2" t="s">
        <v>74</v>
      </c>
      <c r="BJ122" s="2" t="s">
        <v>74</v>
      </c>
      <c r="BK122" s="2" t="s">
        <v>74</v>
      </c>
      <c r="BL122" s="2" t="s">
        <v>74</v>
      </c>
      <c r="BM122" s="2" t="s">
        <v>74</v>
      </c>
      <c r="BN122" s="2" t="s">
        <v>74</v>
      </c>
      <c r="BO122" s="2" t="s">
        <v>74</v>
      </c>
      <c r="BP122" s="2" t="s">
        <v>74</v>
      </c>
      <c r="BQ122" s="2" t="s">
        <v>74</v>
      </c>
      <c r="BR122" s="2" t="s">
        <v>74</v>
      </c>
      <c r="BS122" s="2" t="s">
        <v>136</v>
      </c>
      <c r="BT122" s="2" t="str">
        <f>HYPERLINK("https%3A%2F%2Fwww.webofscience.com%2Fwos%2Fwoscc%2Ffull-record%2FWOS:000374563600001","View Full Record in Web of Science")</f>
        <v>View Full Record in Web of Science</v>
      </c>
    </row>
    <row r="123" spans="1:72" s="2" customFormat="1" x14ac:dyDescent="0.4">
      <c r="A123" s="2" t="s">
        <v>72</v>
      </c>
      <c r="B123" s="2" t="s">
        <v>7325</v>
      </c>
      <c r="C123" s="2" t="s">
        <v>74</v>
      </c>
      <c r="D123" s="2" t="s">
        <v>74</v>
      </c>
      <c r="E123" s="2" t="s">
        <v>74</v>
      </c>
      <c r="F123" s="2" t="s">
        <v>7326</v>
      </c>
      <c r="G123" s="2" t="s">
        <v>74</v>
      </c>
      <c r="H123" s="2" t="s">
        <v>74</v>
      </c>
      <c r="I123" s="2" t="s">
        <v>7327</v>
      </c>
      <c r="J123" s="2" t="s">
        <v>129</v>
      </c>
      <c r="K123" s="2" t="s">
        <v>74</v>
      </c>
      <c r="L123" s="2" t="s">
        <v>74</v>
      </c>
      <c r="M123" s="2" t="s">
        <v>74</v>
      </c>
      <c r="N123" s="2" t="s">
        <v>74</v>
      </c>
      <c r="O123" s="2" t="s">
        <v>74</v>
      </c>
      <c r="P123" s="2" t="s">
        <v>74</v>
      </c>
      <c r="Q123" s="2" t="s">
        <v>74</v>
      </c>
      <c r="R123" s="2" t="s">
        <v>74</v>
      </c>
      <c r="S123" s="2" t="s">
        <v>74</v>
      </c>
      <c r="T123" s="2" t="s">
        <v>74</v>
      </c>
      <c r="U123" s="2" t="s">
        <v>74</v>
      </c>
      <c r="V123" s="5" t="s">
        <v>7328</v>
      </c>
      <c r="W123" s="2" t="s">
        <v>74</v>
      </c>
      <c r="X123" s="2" t="s">
        <v>74</v>
      </c>
      <c r="Y123" s="2" t="s">
        <v>74</v>
      </c>
      <c r="Z123" s="2" t="s">
        <v>74</v>
      </c>
      <c r="AA123" s="2" t="s">
        <v>74</v>
      </c>
      <c r="AB123" s="2" t="s">
        <v>7329</v>
      </c>
      <c r="AC123" s="2" t="s">
        <v>74</v>
      </c>
      <c r="AD123" s="2" t="s">
        <v>74</v>
      </c>
      <c r="AE123" s="2" t="s">
        <v>74</v>
      </c>
      <c r="AF123" s="2" t="s">
        <v>74</v>
      </c>
      <c r="AG123" s="2" t="s">
        <v>74</v>
      </c>
      <c r="AH123" s="2" t="s">
        <v>74</v>
      </c>
      <c r="AI123" s="2" t="s">
        <v>74</v>
      </c>
      <c r="AJ123" s="2" t="s">
        <v>74</v>
      </c>
      <c r="AK123" s="2" t="s">
        <v>74</v>
      </c>
      <c r="AL123" s="2" t="s">
        <v>74</v>
      </c>
      <c r="AM123" s="2" t="s">
        <v>74</v>
      </c>
      <c r="AN123" s="2" t="s">
        <v>74</v>
      </c>
      <c r="AO123" s="2" t="s">
        <v>132</v>
      </c>
      <c r="AP123" s="2" t="s">
        <v>133</v>
      </c>
      <c r="AQ123" s="2" t="s">
        <v>74</v>
      </c>
      <c r="AR123" s="2" t="s">
        <v>74</v>
      </c>
      <c r="AS123" s="2" t="s">
        <v>74</v>
      </c>
      <c r="AT123" s="2" t="s">
        <v>213</v>
      </c>
      <c r="AU123" s="2">
        <v>2022</v>
      </c>
      <c r="AV123" s="2">
        <v>76</v>
      </c>
      <c r="AW123" s="2">
        <v>11</v>
      </c>
      <c r="AX123" s="2" t="s">
        <v>74</v>
      </c>
      <c r="AY123" s="2" t="s">
        <v>74</v>
      </c>
      <c r="AZ123" s="2" t="s">
        <v>74</v>
      </c>
      <c r="BA123" s="2" t="s">
        <v>74</v>
      </c>
      <c r="BB123" s="2" t="s">
        <v>74</v>
      </c>
      <c r="BC123" s="2" t="s">
        <v>74</v>
      </c>
      <c r="BD123" s="2">
        <v>153</v>
      </c>
      <c r="BE123" s="2" t="s">
        <v>7330</v>
      </c>
      <c r="BF123" s="2" t="str">
        <f>HYPERLINK("http://dx.doi.org/10.1007/s00265-022-03256-9","http://dx.doi.org/10.1007/s00265-022-03256-9")</f>
        <v>http://dx.doi.org/10.1007/s00265-022-03256-9</v>
      </c>
      <c r="BG123" s="2" t="s">
        <v>74</v>
      </c>
      <c r="BH123" s="2" t="s">
        <v>74</v>
      </c>
      <c r="BI123" s="2" t="s">
        <v>74</v>
      </c>
      <c r="BJ123" s="2" t="s">
        <v>74</v>
      </c>
      <c r="BK123" s="2" t="s">
        <v>74</v>
      </c>
      <c r="BL123" s="2" t="s">
        <v>74</v>
      </c>
      <c r="BM123" s="2" t="s">
        <v>74</v>
      </c>
      <c r="BN123" s="2" t="s">
        <v>74</v>
      </c>
      <c r="BO123" s="2" t="s">
        <v>74</v>
      </c>
      <c r="BP123" s="2" t="s">
        <v>74</v>
      </c>
      <c r="BQ123" s="2" t="s">
        <v>74</v>
      </c>
      <c r="BR123" s="2" t="s">
        <v>74</v>
      </c>
      <c r="BS123" s="2" t="s">
        <v>7331</v>
      </c>
      <c r="BT123" s="2" t="str">
        <f>HYPERLINK("https%3A%2F%2Fwww.webofscience.com%2Fwos%2Fwoscc%2Ffull-record%2FWOS:000878648300001","View Full Record in Web of Science")</f>
        <v>View Full Record in Web of Science</v>
      </c>
    </row>
    <row r="124" spans="1:72" s="1" customFormat="1" x14ac:dyDescent="0.4">
      <c r="A124" s="2" t="s">
        <v>72</v>
      </c>
      <c r="B124" s="2" t="s">
        <v>935</v>
      </c>
      <c r="C124" s="2" t="s">
        <v>74</v>
      </c>
      <c r="D124" s="2" t="s">
        <v>74</v>
      </c>
      <c r="E124" s="2" t="s">
        <v>74</v>
      </c>
      <c r="F124" s="2" t="s">
        <v>936</v>
      </c>
      <c r="G124" s="2" t="s">
        <v>74</v>
      </c>
      <c r="H124" s="2" t="s">
        <v>74</v>
      </c>
      <c r="I124" s="2" t="s">
        <v>937</v>
      </c>
      <c r="J124" s="2" t="s">
        <v>108</v>
      </c>
      <c r="K124" s="2" t="s">
        <v>74</v>
      </c>
      <c r="L124" s="2" t="s">
        <v>74</v>
      </c>
      <c r="M124" s="2" t="s">
        <v>74</v>
      </c>
      <c r="N124" s="2" t="s">
        <v>74</v>
      </c>
      <c r="O124" s="2" t="s">
        <v>74</v>
      </c>
      <c r="P124" s="2" t="s">
        <v>74</v>
      </c>
      <c r="Q124" s="2" t="s">
        <v>74</v>
      </c>
      <c r="R124" s="2" t="s">
        <v>74</v>
      </c>
      <c r="S124" s="2" t="s">
        <v>74</v>
      </c>
      <c r="T124" s="2" t="s">
        <v>74</v>
      </c>
      <c r="U124" s="2" t="s">
        <v>74</v>
      </c>
      <c r="V124" s="5" t="s">
        <v>938</v>
      </c>
      <c r="W124" s="2" t="s">
        <v>74</v>
      </c>
      <c r="X124" s="2" t="s">
        <v>74</v>
      </c>
      <c r="Y124" s="2" t="s">
        <v>74</v>
      </c>
      <c r="Z124" s="2" t="s">
        <v>74</v>
      </c>
      <c r="AA124" s="2" t="s">
        <v>623</v>
      </c>
      <c r="AB124" s="2" t="s">
        <v>624</v>
      </c>
      <c r="AC124" s="2" t="s">
        <v>74</v>
      </c>
      <c r="AD124" s="2" t="s">
        <v>74</v>
      </c>
      <c r="AE124" s="2" t="s">
        <v>74</v>
      </c>
      <c r="AF124" s="2" t="s">
        <v>74</v>
      </c>
      <c r="AG124" s="2" t="s">
        <v>74</v>
      </c>
      <c r="AH124" s="2" t="s">
        <v>74</v>
      </c>
      <c r="AI124" s="2" t="s">
        <v>74</v>
      </c>
      <c r="AJ124" s="2" t="s">
        <v>74</v>
      </c>
      <c r="AK124" s="2" t="s">
        <v>74</v>
      </c>
      <c r="AL124" s="2" t="s">
        <v>74</v>
      </c>
      <c r="AM124" s="2" t="s">
        <v>74</v>
      </c>
      <c r="AN124" s="2" t="s">
        <v>74</v>
      </c>
      <c r="AO124" s="2" t="s">
        <v>111</v>
      </c>
      <c r="AP124" s="2" t="s">
        <v>112</v>
      </c>
      <c r="AQ124" s="2" t="s">
        <v>74</v>
      </c>
      <c r="AR124" s="2" t="s">
        <v>74</v>
      </c>
      <c r="AS124" s="2" t="s">
        <v>74</v>
      </c>
      <c r="AT124" s="2" t="s">
        <v>939</v>
      </c>
      <c r="AU124" s="2">
        <v>2010</v>
      </c>
      <c r="AV124" s="2">
        <v>277</v>
      </c>
      <c r="AW124" s="2">
        <v>1700</v>
      </c>
      <c r="AX124" s="2" t="s">
        <v>74</v>
      </c>
      <c r="AY124" s="2" t="s">
        <v>74</v>
      </c>
      <c r="AZ124" s="2" t="s">
        <v>74</v>
      </c>
      <c r="BA124" s="2" t="s">
        <v>74</v>
      </c>
      <c r="BB124" s="2">
        <v>3669</v>
      </c>
      <c r="BC124" s="2">
        <v>3675</v>
      </c>
      <c r="BD124" s="2" t="s">
        <v>74</v>
      </c>
      <c r="BE124" s="2" t="s">
        <v>940</v>
      </c>
      <c r="BF124" s="2" t="str">
        <f>HYPERLINK("http://dx.doi.org/10.1098/rspb.2010.0935","http://dx.doi.org/10.1098/rspb.2010.0935")</f>
        <v>http://dx.doi.org/10.1098/rspb.2010.0935</v>
      </c>
      <c r="BG124" s="2" t="s">
        <v>74</v>
      </c>
      <c r="BH124" s="2" t="s">
        <v>74</v>
      </c>
      <c r="BI124" s="2" t="s">
        <v>74</v>
      </c>
      <c r="BJ124" s="2" t="s">
        <v>74</v>
      </c>
      <c r="BK124" s="2" t="s">
        <v>74</v>
      </c>
      <c r="BL124" s="2" t="s">
        <v>74</v>
      </c>
      <c r="BM124" s="2" t="s">
        <v>74</v>
      </c>
      <c r="BN124" s="2">
        <v>20591870</v>
      </c>
      <c r="BO124" s="2" t="s">
        <v>74</v>
      </c>
      <c r="BP124" s="2" t="s">
        <v>74</v>
      </c>
      <c r="BQ124" s="2" t="s">
        <v>74</v>
      </c>
      <c r="BR124" s="2" t="s">
        <v>74</v>
      </c>
      <c r="BS124" s="2" t="s">
        <v>941</v>
      </c>
      <c r="BT124" s="2" t="str">
        <f>HYPERLINK("https%3A%2F%2Fwww.webofscience.com%2Fwos%2Fwoscc%2Ffull-record%2FWOS:000283450100017","View Full Record in Web of Science")</f>
        <v>View Full Record in Web of Science</v>
      </c>
    </row>
    <row r="125" spans="1:72" s="2" customFormat="1" x14ac:dyDescent="0.4">
      <c r="A125" s="2" t="s">
        <v>72</v>
      </c>
      <c r="B125" s="2" t="s">
        <v>1539</v>
      </c>
      <c r="C125" s="2" t="s">
        <v>74</v>
      </c>
      <c r="D125" s="2" t="s">
        <v>74</v>
      </c>
      <c r="E125" s="2" t="s">
        <v>74</v>
      </c>
      <c r="F125" s="2" t="s">
        <v>1539</v>
      </c>
      <c r="G125" s="2" t="s">
        <v>74</v>
      </c>
      <c r="H125" s="2" t="s">
        <v>74</v>
      </c>
      <c r="I125" s="2" t="s">
        <v>1540</v>
      </c>
      <c r="J125" s="2" t="s">
        <v>1541</v>
      </c>
      <c r="K125" s="2" t="s">
        <v>74</v>
      </c>
      <c r="L125" s="2" t="s">
        <v>74</v>
      </c>
      <c r="M125" s="2" t="s">
        <v>74</v>
      </c>
      <c r="N125" s="2" t="s">
        <v>74</v>
      </c>
      <c r="O125" s="2" t="s">
        <v>74</v>
      </c>
      <c r="P125" s="2" t="s">
        <v>74</v>
      </c>
      <c r="Q125" s="2" t="s">
        <v>74</v>
      </c>
      <c r="R125" s="2" t="s">
        <v>74</v>
      </c>
      <c r="S125" s="2" t="s">
        <v>74</v>
      </c>
      <c r="T125" s="2" t="s">
        <v>74</v>
      </c>
      <c r="U125" s="2" t="s">
        <v>74</v>
      </c>
      <c r="V125" s="5" t="s">
        <v>1542</v>
      </c>
      <c r="W125" s="2" t="s">
        <v>74</v>
      </c>
      <c r="X125" s="2" t="s">
        <v>74</v>
      </c>
      <c r="Y125" s="2" t="s">
        <v>74</v>
      </c>
      <c r="Z125" s="2" t="s">
        <v>74</v>
      </c>
      <c r="AA125" s="2" t="s">
        <v>74</v>
      </c>
      <c r="AB125" s="2" t="s">
        <v>74</v>
      </c>
      <c r="AC125" s="2" t="s">
        <v>74</v>
      </c>
      <c r="AD125" s="2" t="s">
        <v>74</v>
      </c>
      <c r="AE125" s="2" t="s">
        <v>74</v>
      </c>
      <c r="AF125" s="2" t="s">
        <v>74</v>
      </c>
      <c r="AG125" s="2" t="s">
        <v>74</v>
      </c>
      <c r="AH125" s="2" t="s">
        <v>74</v>
      </c>
      <c r="AI125" s="2" t="s">
        <v>74</v>
      </c>
      <c r="AJ125" s="2" t="s">
        <v>74</v>
      </c>
      <c r="AK125" s="2" t="s">
        <v>74</v>
      </c>
      <c r="AL125" s="2" t="s">
        <v>74</v>
      </c>
      <c r="AM125" s="2" t="s">
        <v>74</v>
      </c>
      <c r="AN125" s="2" t="s">
        <v>74</v>
      </c>
      <c r="AO125" s="2" t="s">
        <v>1543</v>
      </c>
      <c r="AP125" s="2" t="s">
        <v>1544</v>
      </c>
      <c r="AQ125" s="2" t="s">
        <v>74</v>
      </c>
      <c r="AR125" s="2" t="s">
        <v>74</v>
      </c>
      <c r="AS125" s="2" t="s">
        <v>74</v>
      </c>
      <c r="AT125" s="2" t="s">
        <v>134</v>
      </c>
      <c r="AU125" s="2">
        <v>2001</v>
      </c>
      <c r="AV125" s="2">
        <v>82</v>
      </c>
      <c r="AW125" s="2">
        <v>5</v>
      </c>
      <c r="AX125" s="2" t="s">
        <v>74</v>
      </c>
      <c r="AY125" s="2" t="s">
        <v>74</v>
      </c>
      <c r="AZ125" s="2" t="s">
        <v>74</v>
      </c>
      <c r="BA125" s="2" t="s">
        <v>74</v>
      </c>
      <c r="BB125" s="2">
        <v>1433</v>
      </c>
      <c r="BC125" s="2">
        <v>1442</v>
      </c>
      <c r="BD125" s="2" t="s">
        <v>74</v>
      </c>
      <c r="BE125" s="2" t="s">
        <v>1545</v>
      </c>
      <c r="BF125" s="2" t="str">
        <f>HYPERLINK("http://dx.doi.org/10.1890/0012-9658(2001)082[1433:PFANTR]2.0.CO;2","http://dx.doi.org/10.1890/0012-9658(2001)082[1433:PFANTR]2.0.CO;2")</f>
        <v>http://dx.doi.org/10.1890/0012-9658(2001)082[1433:PFANTR]2.0.CO;2</v>
      </c>
      <c r="BG125" s="2" t="s">
        <v>74</v>
      </c>
      <c r="BH125" s="2" t="s">
        <v>74</v>
      </c>
      <c r="BI125" s="2" t="s">
        <v>74</v>
      </c>
      <c r="BJ125" s="2" t="s">
        <v>74</v>
      </c>
      <c r="BK125" s="2" t="s">
        <v>74</v>
      </c>
      <c r="BL125" s="2" t="s">
        <v>74</v>
      </c>
      <c r="BM125" s="2" t="s">
        <v>74</v>
      </c>
      <c r="BN125" s="2" t="s">
        <v>74</v>
      </c>
      <c r="BO125" s="2" t="s">
        <v>74</v>
      </c>
      <c r="BP125" s="2" t="s">
        <v>74</v>
      </c>
      <c r="BQ125" s="2" t="s">
        <v>74</v>
      </c>
      <c r="BR125" s="2" t="s">
        <v>74</v>
      </c>
      <c r="BS125" s="2" t="s">
        <v>1546</v>
      </c>
      <c r="BT125" s="2" t="str">
        <f>HYPERLINK("https%3A%2F%2Fwww.webofscience.com%2Fwos%2Fwoscc%2Ffull-record%2FWOS:000168844200018","View Full Record in Web of Science")</f>
        <v>View Full Record in Web of Science</v>
      </c>
    </row>
    <row r="126" spans="1:72" s="2" customFormat="1" x14ac:dyDescent="0.4">
      <c r="A126" s="2" t="s">
        <v>72</v>
      </c>
      <c r="B126" s="2" t="s">
        <v>4561</v>
      </c>
      <c r="C126" s="2" t="s">
        <v>74</v>
      </c>
      <c r="D126" s="2" t="s">
        <v>74</v>
      </c>
      <c r="E126" s="2" t="s">
        <v>74</v>
      </c>
      <c r="F126" s="2" t="s">
        <v>4562</v>
      </c>
      <c r="G126" s="2" t="s">
        <v>74</v>
      </c>
      <c r="H126" s="2" t="s">
        <v>74</v>
      </c>
      <c r="I126" s="2" t="s">
        <v>4563</v>
      </c>
      <c r="J126" s="2" t="s">
        <v>129</v>
      </c>
      <c r="K126" s="2" t="s">
        <v>74</v>
      </c>
      <c r="L126" s="2" t="s">
        <v>74</v>
      </c>
      <c r="M126" s="2" t="s">
        <v>74</v>
      </c>
      <c r="N126" s="2" t="s">
        <v>74</v>
      </c>
      <c r="O126" s="2" t="s">
        <v>74</v>
      </c>
      <c r="P126" s="2" t="s">
        <v>74</v>
      </c>
      <c r="Q126" s="2" t="s">
        <v>74</v>
      </c>
      <c r="R126" s="2" t="s">
        <v>74</v>
      </c>
      <c r="S126" s="2" t="s">
        <v>74</v>
      </c>
      <c r="T126" s="2" t="s">
        <v>74</v>
      </c>
      <c r="U126" s="2" t="s">
        <v>74</v>
      </c>
      <c r="V126" s="5" t="s">
        <v>4564</v>
      </c>
      <c r="W126" s="2" t="s">
        <v>74</v>
      </c>
      <c r="X126" s="2" t="s">
        <v>74</v>
      </c>
      <c r="Y126" s="2" t="s">
        <v>74</v>
      </c>
      <c r="Z126" s="2" t="s">
        <v>74</v>
      </c>
      <c r="AA126" s="2" t="s">
        <v>74</v>
      </c>
      <c r="AB126" s="2" t="s">
        <v>74</v>
      </c>
      <c r="AC126" s="2" t="s">
        <v>74</v>
      </c>
      <c r="AD126" s="2" t="s">
        <v>74</v>
      </c>
      <c r="AE126" s="2" t="s">
        <v>74</v>
      </c>
      <c r="AF126" s="2" t="s">
        <v>74</v>
      </c>
      <c r="AG126" s="2" t="s">
        <v>74</v>
      </c>
      <c r="AH126" s="2" t="s">
        <v>74</v>
      </c>
      <c r="AI126" s="2" t="s">
        <v>74</v>
      </c>
      <c r="AJ126" s="2" t="s">
        <v>74</v>
      </c>
      <c r="AK126" s="2" t="s">
        <v>74</v>
      </c>
      <c r="AL126" s="2" t="s">
        <v>74</v>
      </c>
      <c r="AM126" s="2" t="s">
        <v>74</v>
      </c>
      <c r="AN126" s="2" t="s">
        <v>74</v>
      </c>
      <c r="AO126" s="2" t="s">
        <v>132</v>
      </c>
      <c r="AP126" s="2" t="s">
        <v>133</v>
      </c>
      <c r="AQ126" s="2" t="s">
        <v>74</v>
      </c>
      <c r="AR126" s="2" t="s">
        <v>74</v>
      </c>
      <c r="AS126" s="2" t="s">
        <v>74</v>
      </c>
      <c r="AT126" s="2" t="s">
        <v>633</v>
      </c>
      <c r="AU126" s="2">
        <v>2015</v>
      </c>
      <c r="AV126" s="2">
        <v>69</v>
      </c>
      <c r="AW126" s="2">
        <v>4</v>
      </c>
      <c r="AX126" s="2" t="s">
        <v>74</v>
      </c>
      <c r="AY126" s="2" t="s">
        <v>74</v>
      </c>
      <c r="AZ126" s="2" t="s">
        <v>74</v>
      </c>
      <c r="BA126" s="2" t="s">
        <v>74</v>
      </c>
      <c r="BB126" s="2">
        <v>571</v>
      </c>
      <c r="BC126" s="2">
        <v>581</v>
      </c>
      <c r="BD126" s="2" t="s">
        <v>74</v>
      </c>
      <c r="BE126" s="2" t="s">
        <v>4565</v>
      </c>
      <c r="BF126" s="2" t="str">
        <f>HYPERLINK("http://dx.doi.org/10.1007/s00265-014-1868-7","http://dx.doi.org/10.1007/s00265-014-1868-7")</f>
        <v>http://dx.doi.org/10.1007/s00265-014-1868-7</v>
      </c>
      <c r="BG126" s="2" t="s">
        <v>74</v>
      </c>
      <c r="BH126" s="2" t="s">
        <v>74</v>
      </c>
      <c r="BI126" s="2" t="s">
        <v>74</v>
      </c>
      <c r="BJ126" s="2" t="s">
        <v>74</v>
      </c>
      <c r="BK126" s="2" t="s">
        <v>74</v>
      </c>
      <c r="BL126" s="2" t="s">
        <v>74</v>
      </c>
      <c r="BM126" s="2" t="s">
        <v>74</v>
      </c>
      <c r="BN126" s="2" t="s">
        <v>74</v>
      </c>
      <c r="BO126" s="2" t="s">
        <v>74</v>
      </c>
      <c r="BP126" s="2" t="s">
        <v>74</v>
      </c>
      <c r="BQ126" s="2" t="s">
        <v>74</v>
      </c>
      <c r="BR126" s="2" t="s">
        <v>74</v>
      </c>
      <c r="BS126" s="2" t="s">
        <v>4566</v>
      </c>
      <c r="BT126" s="2" t="str">
        <f>HYPERLINK("https%3A%2F%2Fwww.webofscience.com%2Fwos%2Fwoscc%2Ffull-record%2FWOS:000351235100007","View Full Record in Web of Science")</f>
        <v>View Full Record in Web of Science</v>
      </c>
    </row>
    <row r="127" spans="1:72" s="2" customFormat="1" x14ac:dyDescent="0.4">
      <c r="A127" s="2" t="s">
        <v>72</v>
      </c>
      <c r="B127" s="2" t="s">
        <v>1435</v>
      </c>
      <c r="C127" s="2" t="s">
        <v>74</v>
      </c>
      <c r="D127" s="2" t="s">
        <v>74</v>
      </c>
      <c r="E127" s="2" t="s">
        <v>74</v>
      </c>
      <c r="F127" s="2" t="s">
        <v>1435</v>
      </c>
      <c r="G127" s="2" t="s">
        <v>74</v>
      </c>
      <c r="H127" s="2" t="s">
        <v>74</v>
      </c>
      <c r="I127" s="2" t="s">
        <v>1436</v>
      </c>
      <c r="J127" s="2" t="s">
        <v>1437</v>
      </c>
      <c r="K127" s="2" t="s">
        <v>74</v>
      </c>
      <c r="L127" s="2" t="s">
        <v>74</v>
      </c>
      <c r="M127" s="2" t="s">
        <v>74</v>
      </c>
      <c r="N127" s="2" t="s">
        <v>74</v>
      </c>
      <c r="O127" s="2" t="s">
        <v>74</v>
      </c>
      <c r="P127" s="2" t="s">
        <v>74</v>
      </c>
      <c r="Q127" s="2" t="s">
        <v>74</v>
      </c>
      <c r="R127" s="2" t="s">
        <v>74</v>
      </c>
      <c r="S127" s="2" t="s">
        <v>74</v>
      </c>
      <c r="T127" s="2" t="s">
        <v>74</v>
      </c>
      <c r="U127" s="2" t="s">
        <v>74</v>
      </c>
      <c r="V127" s="5" t="s">
        <v>1438</v>
      </c>
      <c r="W127" s="2" t="s">
        <v>74</v>
      </c>
      <c r="X127" s="2" t="s">
        <v>74</v>
      </c>
      <c r="Y127" s="2" t="s">
        <v>74</v>
      </c>
      <c r="Z127" s="2" t="s">
        <v>74</v>
      </c>
      <c r="AA127" s="2" t="s">
        <v>1439</v>
      </c>
      <c r="AB127" s="2" t="s">
        <v>74</v>
      </c>
      <c r="AC127" s="2" t="s">
        <v>74</v>
      </c>
      <c r="AD127" s="2" t="s">
        <v>74</v>
      </c>
      <c r="AE127" s="2" t="s">
        <v>74</v>
      </c>
      <c r="AF127" s="2" t="s">
        <v>74</v>
      </c>
      <c r="AG127" s="2" t="s">
        <v>74</v>
      </c>
      <c r="AH127" s="2" t="s">
        <v>74</v>
      </c>
      <c r="AI127" s="2" t="s">
        <v>74</v>
      </c>
      <c r="AJ127" s="2" t="s">
        <v>74</v>
      </c>
      <c r="AK127" s="2" t="s">
        <v>74</v>
      </c>
      <c r="AL127" s="2" t="s">
        <v>74</v>
      </c>
      <c r="AM127" s="2" t="s">
        <v>74</v>
      </c>
      <c r="AN127" s="2" t="s">
        <v>74</v>
      </c>
      <c r="AO127" s="2" t="s">
        <v>1440</v>
      </c>
      <c r="AP127" s="2" t="s">
        <v>74</v>
      </c>
      <c r="AQ127" s="2" t="s">
        <v>74</v>
      </c>
      <c r="AR127" s="2" t="s">
        <v>74</v>
      </c>
      <c r="AS127" s="2" t="s">
        <v>74</v>
      </c>
      <c r="AT127" s="2" t="s">
        <v>123</v>
      </c>
      <c r="AU127" s="2">
        <v>1999</v>
      </c>
      <c r="AV127" s="2">
        <v>82</v>
      </c>
      <c r="AW127" s="2" t="s">
        <v>74</v>
      </c>
      <c r="AX127" s="2">
        <v>3</v>
      </c>
      <c r="AY127" s="2" t="s">
        <v>74</v>
      </c>
      <c r="AZ127" s="2" t="s">
        <v>74</v>
      </c>
      <c r="BA127" s="2" t="s">
        <v>74</v>
      </c>
      <c r="BB127" s="2">
        <v>328</v>
      </c>
      <c r="BC127" s="2">
        <v>335</v>
      </c>
      <c r="BD127" s="2" t="s">
        <v>74</v>
      </c>
      <c r="BE127" s="2" t="s">
        <v>1441</v>
      </c>
      <c r="BF127" s="2" t="str">
        <f>HYPERLINK("http://dx.doi.org/10.1038/sj.hdy.6884930","http://dx.doi.org/10.1038/sj.hdy.6884930")</f>
        <v>http://dx.doi.org/10.1038/sj.hdy.6884930</v>
      </c>
      <c r="BG127" s="2" t="s">
        <v>74</v>
      </c>
      <c r="BH127" s="2" t="s">
        <v>74</v>
      </c>
      <c r="BI127" s="2" t="s">
        <v>74</v>
      </c>
      <c r="BJ127" s="2" t="s">
        <v>74</v>
      </c>
      <c r="BK127" s="2" t="s">
        <v>74</v>
      </c>
      <c r="BL127" s="2" t="s">
        <v>74</v>
      </c>
      <c r="BM127" s="2" t="s">
        <v>74</v>
      </c>
      <c r="BN127" s="2">
        <v>10336708</v>
      </c>
      <c r="BO127" s="2" t="s">
        <v>74</v>
      </c>
      <c r="BP127" s="2" t="s">
        <v>74</v>
      </c>
      <c r="BQ127" s="2" t="s">
        <v>74</v>
      </c>
      <c r="BR127" s="2" t="s">
        <v>74</v>
      </c>
      <c r="BS127" s="2" t="s">
        <v>1442</v>
      </c>
      <c r="BT127" s="2" t="str">
        <f>HYPERLINK("https%3A%2F%2Fwww.webofscience.com%2Fwos%2Fwoscc%2Ffull-record%2FWOS:000080078300013","View Full Record in Web of Science")</f>
        <v>View Full Record in Web of Science</v>
      </c>
    </row>
    <row r="128" spans="1:72" s="2" customFormat="1" x14ac:dyDescent="0.4">
      <c r="A128" s="2" t="s">
        <v>72</v>
      </c>
      <c r="B128" s="2" t="s">
        <v>2993</v>
      </c>
      <c r="C128" s="2" t="s">
        <v>74</v>
      </c>
      <c r="D128" s="2" t="s">
        <v>74</v>
      </c>
      <c r="E128" s="2" t="s">
        <v>74</v>
      </c>
      <c r="F128" s="2" t="s">
        <v>2993</v>
      </c>
      <c r="G128" s="2" t="s">
        <v>74</v>
      </c>
      <c r="H128" s="2" t="s">
        <v>74</v>
      </c>
      <c r="I128" s="2" t="s">
        <v>2994</v>
      </c>
      <c r="J128" s="2" t="s">
        <v>2995</v>
      </c>
      <c r="K128" s="2" t="s">
        <v>74</v>
      </c>
      <c r="L128" s="2" t="s">
        <v>74</v>
      </c>
      <c r="M128" s="2" t="s">
        <v>74</v>
      </c>
      <c r="N128" s="2" t="s">
        <v>74</v>
      </c>
      <c r="O128" s="2" t="s">
        <v>74</v>
      </c>
      <c r="P128" s="2" t="s">
        <v>74</v>
      </c>
      <c r="Q128" s="2" t="s">
        <v>74</v>
      </c>
      <c r="R128" s="2" t="s">
        <v>74</v>
      </c>
      <c r="S128" s="2" t="s">
        <v>74</v>
      </c>
      <c r="T128" s="2" t="s">
        <v>74</v>
      </c>
      <c r="U128" s="2" t="s">
        <v>74</v>
      </c>
      <c r="V128" s="5" t="s">
        <v>2996</v>
      </c>
      <c r="W128" s="2" t="s">
        <v>74</v>
      </c>
      <c r="X128" s="2" t="s">
        <v>74</v>
      </c>
      <c r="Y128" s="2" t="s">
        <v>74</v>
      </c>
      <c r="Z128" s="2" t="s">
        <v>74</v>
      </c>
      <c r="AA128" s="2" t="s">
        <v>74</v>
      </c>
      <c r="AB128" s="2" t="s">
        <v>74</v>
      </c>
      <c r="AC128" s="2" t="s">
        <v>74</v>
      </c>
      <c r="AD128" s="2" t="s">
        <v>74</v>
      </c>
      <c r="AE128" s="2" t="s">
        <v>74</v>
      </c>
      <c r="AF128" s="2" t="s">
        <v>74</v>
      </c>
      <c r="AG128" s="2" t="s">
        <v>74</v>
      </c>
      <c r="AH128" s="2" t="s">
        <v>74</v>
      </c>
      <c r="AI128" s="2" t="s">
        <v>74</v>
      </c>
      <c r="AJ128" s="2" t="s">
        <v>74</v>
      </c>
      <c r="AK128" s="2" t="s">
        <v>74</v>
      </c>
      <c r="AL128" s="2" t="s">
        <v>74</v>
      </c>
      <c r="AM128" s="2" t="s">
        <v>74</v>
      </c>
      <c r="AN128" s="2" t="s">
        <v>74</v>
      </c>
      <c r="AO128" s="2" t="s">
        <v>2997</v>
      </c>
      <c r="AP128" s="2" t="s">
        <v>2998</v>
      </c>
      <c r="AQ128" s="2" t="s">
        <v>74</v>
      </c>
      <c r="AR128" s="2" t="s">
        <v>74</v>
      </c>
      <c r="AS128" s="2" t="s">
        <v>74</v>
      </c>
      <c r="AT128" s="2" t="s">
        <v>305</v>
      </c>
      <c r="AU128" s="2">
        <v>1990</v>
      </c>
      <c r="AV128" s="2">
        <v>120</v>
      </c>
      <c r="AW128" s="2">
        <v>2</v>
      </c>
      <c r="AX128" s="2" t="s">
        <v>74</v>
      </c>
      <c r="AY128" s="2" t="s">
        <v>74</v>
      </c>
      <c r="AZ128" s="2" t="s">
        <v>74</v>
      </c>
      <c r="BA128" s="2" t="s">
        <v>74</v>
      </c>
      <c r="BB128" s="2">
        <v>165</v>
      </c>
      <c r="BC128" s="2">
        <v>193</v>
      </c>
      <c r="BD128" s="2" t="s">
        <v>74</v>
      </c>
      <c r="BE128" s="2" t="s">
        <v>74</v>
      </c>
      <c r="BF128" s="2" t="s">
        <v>74</v>
      </c>
      <c r="BG128" s="2" t="s">
        <v>74</v>
      </c>
      <c r="BH128" s="2" t="s">
        <v>74</v>
      </c>
      <c r="BI128" s="2" t="s">
        <v>74</v>
      </c>
      <c r="BJ128" s="2" t="s">
        <v>74</v>
      </c>
      <c r="BK128" s="2" t="s">
        <v>74</v>
      </c>
      <c r="BL128" s="2" t="s">
        <v>74</v>
      </c>
      <c r="BM128" s="2" t="s">
        <v>74</v>
      </c>
      <c r="BN128" s="2" t="s">
        <v>74</v>
      </c>
      <c r="BO128" s="2" t="s">
        <v>74</v>
      </c>
      <c r="BP128" s="2" t="s">
        <v>74</v>
      </c>
      <c r="BQ128" s="2" t="s">
        <v>74</v>
      </c>
      <c r="BR128" s="2" t="s">
        <v>74</v>
      </c>
      <c r="BS128" s="2" t="s">
        <v>2999</v>
      </c>
      <c r="BT128" s="2" t="str">
        <f>HYPERLINK("https%3A%2F%2Fwww.webofscience.com%2Fwos%2Fwoscc%2Ffull-record%2FWOS:A1990EQ64700004","View Full Record in Web of Science")</f>
        <v>View Full Record in Web of Science</v>
      </c>
    </row>
    <row r="129" spans="1:72" s="2" customFormat="1" x14ac:dyDescent="0.4">
      <c r="A129" s="2" t="s">
        <v>72</v>
      </c>
      <c r="B129" s="2" t="s">
        <v>3517</v>
      </c>
      <c r="C129" s="2" t="s">
        <v>74</v>
      </c>
      <c r="D129" s="2" t="s">
        <v>74</v>
      </c>
      <c r="E129" s="2" t="s">
        <v>74</v>
      </c>
      <c r="F129" s="2" t="s">
        <v>3518</v>
      </c>
      <c r="G129" s="2" t="s">
        <v>74</v>
      </c>
      <c r="H129" s="2" t="s">
        <v>74</v>
      </c>
      <c r="I129" s="2" t="s">
        <v>3519</v>
      </c>
      <c r="J129" s="2" t="s">
        <v>610</v>
      </c>
      <c r="K129" s="2" t="s">
        <v>74</v>
      </c>
      <c r="L129" s="2" t="s">
        <v>74</v>
      </c>
      <c r="M129" s="2" t="s">
        <v>74</v>
      </c>
      <c r="N129" s="2" t="s">
        <v>74</v>
      </c>
      <c r="O129" s="2" t="s">
        <v>74</v>
      </c>
      <c r="P129" s="2" t="s">
        <v>74</v>
      </c>
      <c r="Q129" s="2" t="s">
        <v>74</v>
      </c>
      <c r="R129" s="2" t="s">
        <v>74</v>
      </c>
      <c r="S129" s="2" t="s">
        <v>74</v>
      </c>
      <c r="T129" s="2" t="s">
        <v>74</v>
      </c>
      <c r="U129" s="2" t="s">
        <v>74</v>
      </c>
      <c r="V129" s="5" t="s">
        <v>3520</v>
      </c>
      <c r="W129" s="2" t="s">
        <v>74</v>
      </c>
      <c r="X129" s="2" t="s">
        <v>74</v>
      </c>
      <c r="Y129" s="2" t="s">
        <v>74</v>
      </c>
      <c r="Z129" s="2" t="s">
        <v>74</v>
      </c>
      <c r="AA129" s="2" t="s">
        <v>3521</v>
      </c>
      <c r="AB129" s="2" t="s">
        <v>3522</v>
      </c>
      <c r="AC129" s="2" t="s">
        <v>74</v>
      </c>
      <c r="AD129" s="2" t="s">
        <v>74</v>
      </c>
      <c r="AE129" s="2" t="s">
        <v>74</v>
      </c>
      <c r="AF129" s="2" t="s">
        <v>74</v>
      </c>
      <c r="AG129" s="2" t="s">
        <v>74</v>
      </c>
      <c r="AH129" s="2" t="s">
        <v>74</v>
      </c>
      <c r="AI129" s="2" t="s">
        <v>74</v>
      </c>
      <c r="AJ129" s="2" t="s">
        <v>74</v>
      </c>
      <c r="AK129" s="2" t="s">
        <v>74</v>
      </c>
      <c r="AL129" s="2" t="s">
        <v>74</v>
      </c>
      <c r="AM129" s="2" t="s">
        <v>74</v>
      </c>
      <c r="AN129" s="2" t="s">
        <v>74</v>
      </c>
      <c r="AO129" s="2" t="s">
        <v>614</v>
      </c>
      <c r="AP129" s="2" t="s">
        <v>74</v>
      </c>
      <c r="AQ129" s="2" t="s">
        <v>74</v>
      </c>
      <c r="AR129" s="2" t="s">
        <v>74</v>
      </c>
      <c r="AS129" s="2" t="s">
        <v>74</v>
      </c>
      <c r="AT129" s="2" t="s">
        <v>305</v>
      </c>
      <c r="AU129" s="2">
        <v>2011</v>
      </c>
      <c r="AV129" s="2">
        <v>117</v>
      </c>
      <c r="AW129" s="2">
        <v>12</v>
      </c>
      <c r="AX129" s="2" t="s">
        <v>74</v>
      </c>
      <c r="AY129" s="2" t="s">
        <v>74</v>
      </c>
      <c r="AZ129" s="2" t="s">
        <v>74</v>
      </c>
      <c r="BA129" s="2" t="s">
        <v>74</v>
      </c>
      <c r="BB129" s="2">
        <v>1128</v>
      </c>
      <c r="BC129" s="2">
        <v>1137</v>
      </c>
      <c r="BD129" s="2" t="s">
        <v>74</v>
      </c>
      <c r="BE129" s="2" t="s">
        <v>3523</v>
      </c>
      <c r="BF129" s="2" t="str">
        <f>HYPERLINK("http://dx.doi.org/10.1111/j.1439-0310.2011.01969.x","http://dx.doi.org/10.1111/j.1439-0310.2011.01969.x")</f>
        <v>http://dx.doi.org/10.1111/j.1439-0310.2011.01969.x</v>
      </c>
      <c r="BG129" s="2" t="s">
        <v>74</v>
      </c>
      <c r="BH129" s="2" t="s">
        <v>74</v>
      </c>
      <c r="BI129" s="2" t="s">
        <v>74</v>
      </c>
      <c r="BJ129" s="2" t="s">
        <v>74</v>
      </c>
      <c r="BK129" s="2" t="s">
        <v>74</v>
      </c>
      <c r="BL129" s="2" t="s">
        <v>74</v>
      </c>
      <c r="BM129" s="2" t="s">
        <v>74</v>
      </c>
      <c r="BN129" s="2" t="s">
        <v>74</v>
      </c>
      <c r="BO129" s="2" t="s">
        <v>74</v>
      </c>
      <c r="BP129" s="2" t="s">
        <v>74</v>
      </c>
      <c r="BQ129" s="2" t="s">
        <v>74</v>
      </c>
      <c r="BR129" s="2" t="s">
        <v>74</v>
      </c>
      <c r="BS129" s="2" t="s">
        <v>3524</v>
      </c>
      <c r="BT129" s="2" t="str">
        <f>HYPERLINK("https%3A%2F%2Fwww.webofscience.com%2Fwos%2Fwoscc%2Ffull-record%2FWOS:000297151600008","View Full Record in Web of Science")</f>
        <v>View Full Record in Web of Science</v>
      </c>
    </row>
    <row r="130" spans="1:72" s="2" customFormat="1" x14ac:dyDescent="0.4">
      <c r="A130" s="2" t="s">
        <v>72</v>
      </c>
      <c r="B130" s="2" t="s">
        <v>4158</v>
      </c>
      <c r="C130" s="2" t="s">
        <v>74</v>
      </c>
      <c r="D130" s="2" t="s">
        <v>74</v>
      </c>
      <c r="E130" s="2" t="s">
        <v>74</v>
      </c>
      <c r="F130" s="2" t="s">
        <v>4159</v>
      </c>
      <c r="G130" s="2" t="s">
        <v>74</v>
      </c>
      <c r="H130" s="2" t="s">
        <v>74</v>
      </c>
      <c r="I130" s="2" t="s">
        <v>4160</v>
      </c>
      <c r="J130" s="2" t="s">
        <v>1375</v>
      </c>
      <c r="K130" s="2" t="s">
        <v>74</v>
      </c>
      <c r="L130" s="2" t="s">
        <v>74</v>
      </c>
      <c r="M130" s="2" t="s">
        <v>74</v>
      </c>
      <c r="N130" s="2" t="s">
        <v>74</v>
      </c>
      <c r="O130" s="2" t="s">
        <v>74</v>
      </c>
      <c r="P130" s="2" t="s">
        <v>74</v>
      </c>
      <c r="Q130" s="2" t="s">
        <v>74</v>
      </c>
      <c r="R130" s="2" t="s">
        <v>74</v>
      </c>
      <c r="S130" s="2" t="s">
        <v>74</v>
      </c>
      <c r="T130" s="2" t="s">
        <v>74</v>
      </c>
      <c r="U130" s="2" t="s">
        <v>74</v>
      </c>
      <c r="V130" s="5" t="s">
        <v>4161</v>
      </c>
      <c r="W130" s="2" t="s">
        <v>74</v>
      </c>
      <c r="X130" s="2" t="s">
        <v>74</v>
      </c>
      <c r="Y130" s="2" t="s">
        <v>74</v>
      </c>
      <c r="Z130" s="2" t="s">
        <v>74</v>
      </c>
      <c r="AA130" s="2" t="s">
        <v>4162</v>
      </c>
      <c r="AB130" s="2" t="s">
        <v>4163</v>
      </c>
      <c r="AC130" s="2" t="s">
        <v>74</v>
      </c>
      <c r="AD130" s="2" t="s">
        <v>74</v>
      </c>
      <c r="AE130" s="2" t="s">
        <v>74</v>
      </c>
      <c r="AF130" s="2" t="s">
        <v>74</v>
      </c>
      <c r="AG130" s="2" t="s">
        <v>74</v>
      </c>
      <c r="AH130" s="2" t="s">
        <v>74</v>
      </c>
      <c r="AI130" s="2" t="s">
        <v>74</v>
      </c>
      <c r="AJ130" s="2" t="s">
        <v>74</v>
      </c>
      <c r="AK130" s="2" t="s">
        <v>74</v>
      </c>
      <c r="AL130" s="2" t="s">
        <v>74</v>
      </c>
      <c r="AM130" s="2" t="s">
        <v>74</v>
      </c>
      <c r="AN130" s="2" t="s">
        <v>74</v>
      </c>
      <c r="AO130" s="2" t="s">
        <v>1378</v>
      </c>
      <c r="AP130" s="2" t="s">
        <v>74</v>
      </c>
      <c r="AQ130" s="2" t="s">
        <v>74</v>
      </c>
      <c r="AR130" s="2" t="s">
        <v>74</v>
      </c>
      <c r="AS130" s="2" t="s">
        <v>74</v>
      </c>
      <c r="AT130" s="2" t="s">
        <v>4164</v>
      </c>
      <c r="AU130" s="2">
        <v>2021</v>
      </c>
      <c r="AV130" s="2">
        <v>12</v>
      </c>
      <c r="AW130" s="2">
        <v>1</v>
      </c>
      <c r="AX130" s="2" t="s">
        <v>74</v>
      </c>
      <c r="AY130" s="2" t="s">
        <v>74</v>
      </c>
      <c r="AZ130" s="2" t="s">
        <v>74</v>
      </c>
      <c r="BA130" s="2" t="s">
        <v>74</v>
      </c>
      <c r="BB130" s="2" t="s">
        <v>74</v>
      </c>
      <c r="BC130" s="2" t="s">
        <v>74</v>
      </c>
      <c r="BD130" s="2">
        <v>45</v>
      </c>
      <c r="BE130" s="2" t="s">
        <v>4165</v>
      </c>
      <c r="BF130" s="2" t="str">
        <f>HYPERLINK("http://dx.doi.org/10.1186/s40657-021-00280-7","http://dx.doi.org/10.1186/s40657-021-00280-7")</f>
        <v>http://dx.doi.org/10.1186/s40657-021-00280-7</v>
      </c>
      <c r="BG130" s="2" t="s">
        <v>74</v>
      </c>
      <c r="BH130" s="2" t="s">
        <v>74</v>
      </c>
      <c r="BI130" s="2" t="s">
        <v>74</v>
      </c>
      <c r="BJ130" s="2" t="s">
        <v>74</v>
      </c>
      <c r="BK130" s="2" t="s">
        <v>74</v>
      </c>
      <c r="BL130" s="2" t="s">
        <v>74</v>
      </c>
      <c r="BM130" s="2" t="s">
        <v>74</v>
      </c>
      <c r="BN130" s="2" t="s">
        <v>74</v>
      </c>
      <c r="BO130" s="2" t="s">
        <v>74</v>
      </c>
      <c r="BP130" s="2" t="s">
        <v>74</v>
      </c>
      <c r="BQ130" s="2" t="s">
        <v>74</v>
      </c>
      <c r="BR130" s="2" t="s">
        <v>74</v>
      </c>
      <c r="BS130" s="2" t="s">
        <v>4166</v>
      </c>
      <c r="BT130" s="2" t="str">
        <f>HYPERLINK("https%3A%2F%2Fwww.webofscience.com%2Fwos%2Fwoscc%2Ffull-record%2FWOS:000695827100001","View Full Record in Web of Science")</f>
        <v>View Full Record in Web of Science</v>
      </c>
    </row>
    <row r="131" spans="1:72" s="2" customFormat="1" x14ac:dyDescent="0.4">
      <c r="A131" s="2" t="s">
        <v>72</v>
      </c>
      <c r="B131" s="2" t="s">
        <v>6550</v>
      </c>
      <c r="C131" s="2" t="s">
        <v>74</v>
      </c>
      <c r="D131" s="2" t="s">
        <v>74</v>
      </c>
      <c r="E131" s="2" t="s">
        <v>74</v>
      </c>
      <c r="F131" s="2" t="s">
        <v>6551</v>
      </c>
      <c r="G131" s="2" t="s">
        <v>74</v>
      </c>
      <c r="H131" s="2" t="s">
        <v>74</v>
      </c>
      <c r="I131" s="2" t="s">
        <v>6552</v>
      </c>
      <c r="J131" s="2" t="s">
        <v>6553</v>
      </c>
      <c r="K131" s="2" t="s">
        <v>74</v>
      </c>
      <c r="L131" s="2" t="s">
        <v>74</v>
      </c>
      <c r="M131" s="2" t="s">
        <v>74</v>
      </c>
      <c r="N131" s="2" t="s">
        <v>74</v>
      </c>
      <c r="O131" s="2" t="s">
        <v>74</v>
      </c>
      <c r="P131" s="2" t="s">
        <v>74</v>
      </c>
      <c r="Q131" s="2" t="s">
        <v>74</v>
      </c>
      <c r="R131" s="2" t="s">
        <v>74</v>
      </c>
      <c r="S131" s="2" t="s">
        <v>74</v>
      </c>
      <c r="T131" s="2" t="s">
        <v>74</v>
      </c>
      <c r="U131" s="2" t="s">
        <v>74</v>
      </c>
      <c r="V131" s="5" t="s">
        <v>6554</v>
      </c>
      <c r="W131" s="2" t="s">
        <v>74</v>
      </c>
      <c r="X131" s="2" t="s">
        <v>74</v>
      </c>
      <c r="Y131" s="2" t="s">
        <v>74</v>
      </c>
      <c r="Z131" s="2" t="s">
        <v>74</v>
      </c>
      <c r="AA131" s="2" t="s">
        <v>74</v>
      </c>
      <c r="AB131" s="2" t="s">
        <v>74</v>
      </c>
      <c r="AC131" s="2" t="s">
        <v>74</v>
      </c>
      <c r="AD131" s="2" t="s">
        <v>74</v>
      </c>
      <c r="AE131" s="2" t="s">
        <v>74</v>
      </c>
      <c r="AF131" s="2" t="s">
        <v>74</v>
      </c>
      <c r="AG131" s="2" t="s">
        <v>74</v>
      </c>
      <c r="AH131" s="2" t="s">
        <v>74</v>
      </c>
      <c r="AI131" s="2" t="s">
        <v>74</v>
      </c>
      <c r="AJ131" s="2" t="s">
        <v>74</v>
      </c>
      <c r="AK131" s="2" t="s">
        <v>74</v>
      </c>
      <c r="AL131" s="2" t="s">
        <v>74</v>
      </c>
      <c r="AM131" s="2" t="s">
        <v>74</v>
      </c>
      <c r="AN131" s="2" t="s">
        <v>74</v>
      </c>
      <c r="AO131" s="2" t="s">
        <v>6555</v>
      </c>
      <c r="AP131" s="2" t="s">
        <v>6556</v>
      </c>
      <c r="AQ131" s="2" t="s">
        <v>74</v>
      </c>
      <c r="AR131" s="2" t="s">
        <v>74</v>
      </c>
      <c r="AS131" s="2" t="s">
        <v>74</v>
      </c>
      <c r="AT131" s="2" t="s">
        <v>74</v>
      </c>
      <c r="AU131" s="2">
        <v>2024</v>
      </c>
      <c r="AV131" s="2">
        <v>35</v>
      </c>
      <c r="AW131" s="2">
        <v>2</v>
      </c>
      <c r="AX131" s="2" t="s">
        <v>74</v>
      </c>
      <c r="AY131" s="2" t="s">
        <v>74</v>
      </c>
      <c r="AZ131" s="2" t="s">
        <v>74</v>
      </c>
      <c r="BA131" s="2" t="s">
        <v>74</v>
      </c>
      <c r="BB131" s="2" t="s">
        <v>74</v>
      </c>
      <c r="BC131" s="2" t="s">
        <v>74</v>
      </c>
      <c r="BD131" s="2" t="s">
        <v>74</v>
      </c>
      <c r="BE131" s="2" t="s">
        <v>6557</v>
      </c>
      <c r="BF131" s="2" t="str">
        <f>HYPERLINK("http://dx.doi.org/10.21315/tlsr2024.35.2.15","http://dx.doi.org/10.21315/tlsr2024.35.2.15")</f>
        <v>http://dx.doi.org/10.21315/tlsr2024.35.2.15</v>
      </c>
      <c r="BG131" s="2" t="s">
        <v>74</v>
      </c>
      <c r="BH131" s="2" t="s">
        <v>74</v>
      </c>
      <c r="BI131" s="2" t="s">
        <v>74</v>
      </c>
      <c r="BJ131" s="2" t="s">
        <v>74</v>
      </c>
      <c r="BK131" s="2" t="s">
        <v>74</v>
      </c>
      <c r="BL131" s="2" t="s">
        <v>74</v>
      </c>
      <c r="BM131" s="2" t="s">
        <v>74</v>
      </c>
      <c r="BN131" s="2" t="s">
        <v>74</v>
      </c>
      <c r="BO131" s="2" t="s">
        <v>74</v>
      </c>
      <c r="BP131" s="2" t="s">
        <v>74</v>
      </c>
      <c r="BQ131" s="2" t="s">
        <v>74</v>
      </c>
      <c r="BR131" s="2" t="s">
        <v>74</v>
      </c>
      <c r="BS131" s="2" t="s">
        <v>6558</v>
      </c>
      <c r="BT131" s="2" t="str">
        <f>HYPERLINK("https%3A%2F%2Fwww.webofscience.com%2Fwos%2Fwoscc%2Ffull-record%2FWOS:001292721100013","View Full Record in Web of Science")</f>
        <v>View Full Record in Web of Science</v>
      </c>
    </row>
    <row r="132" spans="1:72" s="2" customFormat="1" x14ac:dyDescent="0.4">
      <c r="A132" s="2" t="s">
        <v>72</v>
      </c>
      <c r="B132" s="2" t="s">
        <v>506</v>
      </c>
      <c r="C132" s="2" t="s">
        <v>74</v>
      </c>
      <c r="D132" s="2" t="s">
        <v>74</v>
      </c>
      <c r="E132" s="2" t="s">
        <v>74</v>
      </c>
      <c r="F132" s="2" t="s">
        <v>507</v>
      </c>
      <c r="G132" s="2" t="s">
        <v>74</v>
      </c>
      <c r="H132" s="2" t="s">
        <v>74</v>
      </c>
      <c r="I132" s="2" t="s">
        <v>508</v>
      </c>
      <c r="J132" s="2" t="s">
        <v>509</v>
      </c>
      <c r="K132" s="2" t="s">
        <v>74</v>
      </c>
      <c r="L132" s="2" t="s">
        <v>74</v>
      </c>
      <c r="M132" s="2" t="s">
        <v>74</v>
      </c>
      <c r="N132" s="2" t="s">
        <v>74</v>
      </c>
      <c r="O132" s="2" t="s">
        <v>74</v>
      </c>
      <c r="P132" s="2" t="s">
        <v>74</v>
      </c>
      <c r="Q132" s="2" t="s">
        <v>74</v>
      </c>
      <c r="R132" s="2" t="s">
        <v>74</v>
      </c>
      <c r="S132" s="2" t="s">
        <v>74</v>
      </c>
      <c r="T132" s="2" t="s">
        <v>74</v>
      </c>
      <c r="U132" s="2" t="s">
        <v>74</v>
      </c>
      <c r="V132" s="5" t="s">
        <v>510</v>
      </c>
      <c r="W132" s="2" t="s">
        <v>74</v>
      </c>
      <c r="X132" s="2" t="s">
        <v>74</v>
      </c>
      <c r="Y132" s="2" t="s">
        <v>74</v>
      </c>
      <c r="Z132" s="2" t="s">
        <v>74</v>
      </c>
      <c r="AA132" s="2" t="s">
        <v>74</v>
      </c>
      <c r="AB132" s="2" t="s">
        <v>74</v>
      </c>
      <c r="AC132" s="2" t="s">
        <v>74</v>
      </c>
      <c r="AD132" s="2" t="s">
        <v>74</v>
      </c>
      <c r="AE132" s="2" t="s">
        <v>74</v>
      </c>
      <c r="AF132" s="2" t="s">
        <v>74</v>
      </c>
      <c r="AG132" s="2" t="s">
        <v>74</v>
      </c>
      <c r="AH132" s="2" t="s">
        <v>74</v>
      </c>
      <c r="AI132" s="2" t="s">
        <v>74</v>
      </c>
      <c r="AJ132" s="2" t="s">
        <v>74</v>
      </c>
      <c r="AK132" s="2" t="s">
        <v>74</v>
      </c>
      <c r="AL132" s="2" t="s">
        <v>74</v>
      </c>
      <c r="AM132" s="2" t="s">
        <v>74</v>
      </c>
      <c r="AN132" s="2" t="s">
        <v>74</v>
      </c>
      <c r="AO132" s="2" t="s">
        <v>511</v>
      </c>
      <c r="AP132" s="2" t="s">
        <v>512</v>
      </c>
      <c r="AQ132" s="2" t="s">
        <v>74</v>
      </c>
      <c r="AR132" s="2" t="s">
        <v>74</v>
      </c>
      <c r="AS132" s="2" t="s">
        <v>74</v>
      </c>
      <c r="AT132" s="2" t="s">
        <v>145</v>
      </c>
      <c r="AU132" s="2">
        <v>2010</v>
      </c>
      <c r="AV132" s="2">
        <v>58</v>
      </c>
      <c r="AW132" s="2">
        <v>3</v>
      </c>
      <c r="AX132" s="2" t="s">
        <v>74</v>
      </c>
      <c r="AY132" s="2" t="s">
        <v>74</v>
      </c>
      <c r="AZ132" s="2" t="s">
        <v>74</v>
      </c>
      <c r="BA132" s="2" t="s">
        <v>74</v>
      </c>
      <c r="BB132" s="2">
        <v>526</v>
      </c>
      <c r="BC132" s="2">
        <v>532</v>
      </c>
      <c r="BD132" s="2" t="s">
        <v>74</v>
      </c>
      <c r="BE132" s="2" t="s">
        <v>513</v>
      </c>
      <c r="BF132" s="2" t="str">
        <f>HYPERLINK("http://dx.doi.org/10.1016/j.yhbeh.2010.04.004","http://dx.doi.org/10.1016/j.yhbeh.2010.04.004")</f>
        <v>http://dx.doi.org/10.1016/j.yhbeh.2010.04.004</v>
      </c>
      <c r="BG132" s="2" t="s">
        <v>74</v>
      </c>
      <c r="BH132" s="2" t="s">
        <v>74</v>
      </c>
      <c r="BI132" s="2" t="s">
        <v>74</v>
      </c>
      <c r="BJ132" s="2" t="s">
        <v>74</v>
      </c>
      <c r="BK132" s="2" t="s">
        <v>74</v>
      </c>
      <c r="BL132" s="2" t="s">
        <v>74</v>
      </c>
      <c r="BM132" s="2" t="s">
        <v>74</v>
      </c>
      <c r="BN132" s="2">
        <v>20406643</v>
      </c>
      <c r="BO132" s="2" t="s">
        <v>74</v>
      </c>
      <c r="BP132" s="2" t="s">
        <v>74</v>
      </c>
      <c r="BQ132" s="2" t="s">
        <v>74</v>
      </c>
      <c r="BR132" s="2" t="s">
        <v>74</v>
      </c>
      <c r="BS132" s="2" t="s">
        <v>514</v>
      </c>
      <c r="BT132" s="2" t="str">
        <f>HYPERLINK("https%3A%2F%2Fwww.webofscience.com%2Fwos%2Fwoscc%2Ffull-record%2FWOS:000280933600025","View Full Record in Web of Science")</f>
        <v>View Full Record in Web of Science</v>
      </c>
    </row>
    <row r="133" spans="1:72" s="2" customFormat="1" x14ac:dyDescent="0.4">
      <c r="A133" s="2" t="s">
        <v>72</v>
      </c>
      <c r="B133" s="2" t="s">
        <v>3619</v>
      </c>
      <c r="C133" s="2" t="s">
        <v>74</v>
      </c>
      <c r="D133" s="2" t="s">
        <v>74</v>
      </c>
      <c r="E133" s="2" t="s">
        <v>74</v>
      </c>
      <c r="F133" s="2" t="s">
        <v>3620</v>
      </c>
      <c r="G133" s="2" t="s">
        <v>74</v>
      </c>
      <c r="H133" s="2" t="s">
        <v>74</v>
      </c>
      <c r="I133" s="2" t="s">
        <v>3621</v>
      </c>
      <c r="J133" s="2" t="s">
        <v>763</v>
      </c>
      <c r="K133" s="2" t="s">
        <v>74</v>
      </c>
      <c r="L133" s="2" t="s">
        <v>74</v>
      </c>
      <c r="M133" s="2" t="s">
        <v>74</v>
      </c>
      <c r="N133" s="2" t="s">
        <v>74</v>
      </c>
      <c r="O133" s="2" t="s">
        <v>74</v>
      </c>
      <c r="P133" s="2" t="s">
        <v>74</v>
      </c>
      <c r="Q133" s="2" t="s">
        <v>74</v>
      </c>
      <c r="R133" s="2" t="s">
        <v>74</v>
      </c>
      <c r="S133" s="2" t="s">
        <v>74</v>
      </c>
      <c r="T133" s="2" t="s">
        <v>74</v>
      </c>
      <c r="U133" s="2" t="s">
        <v>74</v>
      </c>
      <c r="V133" s="5" t="s">
        <v>3622</v>
      </c>
      <c r="W133" s="2" t="s">
        <v>74</v>
      </c>
      <c r="X133" s="2" t="s">
        <v>74</v>
      </c>
      <c r="Y133" s="2" t="s">
        <v>74</v>
      </c>
      <c r="Z133" s="2" t="s">
        <v>74</v>
      </c>
      <c r="AA133" s="2" t="s">
        <v>74</v>
      </c>
      <c r="AB133" s="2" t="s">
        <v>3623</v>
      </c>
      <c r="AC133" s="2" t="s">
        <v>74</v>
      </c>
      <c r="AD133" s="2" t="s">
        <v>74</v>
      </c>
      <c r="AE133" s="2" t="s">
        <v>74</v>
      </c>
      <c r="AF133" s="2" t="s">
        <v>74</v>
      </c>
      <c r="AG133" s="2" t="s">
        <v>74</v>
      </c>
      <c r="AH133" s="2" t="s">
        <v>74</v>
      </c>
      <c r="AI133" s="2" t="s">
        <v>74</v>
      </c>
      <c r="AJ133" s="2" t="s">
        <v>74</v>
      </c>
      <c r="AK133" s="2" t="s">
        <v>74</v>
      </c>
      <c r="AL133" s="2" t="s">
        <v>74</v>
      </c>
      <c r="AM133" s="2" t="s">
        <v>74</v>
      </c>
      <c r="AN133" s="2" t="s">
        <v>74</v>
      </c>
      <c r="AO133" s="2" t="s">
        <v>767</v>
      </c>
      <c r="AP133" s="2" t="s">
        <v>768</v>
      </c>
      <c r="AQ133" s="2" t="s">
        <v>74</v>
      </c>
      <c r="AR133" s="2" t="s">
        <v>74</v>
      </c>
      <c r="AS133" s="2" t="s">
        <v>74</v>
      </c>
      <c r="AT133" s="2" t="s">
        <v>123</v>
      </c>
      <c r="AU133" s="2">
        <v>2019</v>
      </c>
      <c r="AV133" s="2">
        <v>222</v>
      </c>
      <c r="AW133" s="2">
        <v>5</v>
      </c>
      <c r="AX133" s="2" t="s">
        <v>74</v>
      </c>
      <c r="AY133" s="2" t="s">
        <v>74</v>
      </c>
      <c r="AZ133" s="2" t="s">
        <v>74</v>
      </c>
      <c r="BA133" s="2" t="s">
        <v>74</v>
      </c>
      <c r="BB133" s="2" t="s">
        <v>74</v>
      </c>
      <c r="BC133" s="2" t="s">
        <v>74</v>
      </c>
      <c r="BD133" s="2" t="s">
        <v>3624</v>
      </c>
      <c r="BE133" s="2" t="s">
        <v>3625</v>
      </c>
      <c r="BF133" s="2" t="str">
        <f>HYPERLINK("http://dx.doi.org/10.1242/jeb.191544","http://dx.doi.org/10.1242/jeb.191544")</f>
        <v>http://dx.doi.org/10.1242/jeb.191544</v>
      </c>
      <c r="BG133" s="2" t="s">
        <v>74</v>
      </c>
      <c r="BH133" s="2" t="s">
        <v>74</v>
      </c>
      <c r="BI133" s="2" t="s">
        <v>74</v>
      </c>
      <c r="BJ133" s="2" t="s">
        <v>74</v>
      </c>
      <c r="BK133" s="2" t="s">
        <v>74</v>
      </c>
      <c r="BL133" s="2" t="s">
        <v>74</v>
      </c>
      <c r="BM133" s="2" t="s">
        <v>74</v>
      </c>
      <c r="BN133" s="2">
        <v>30659081</v>
      </c>
      <c r="BO133" s="2" t="s">
        <v>74</v>
      </c>
      <c r="BP133" s="2" t="s">
        <v>74</v>
      </c>
      <c r="BQ133" s="2" t="s">
        <v>74</v>
      </c>
      <c r="BR133" s="2" t="s">
        <v>74</v>
      </c>
      <c r="BS133" s="2" t="s">
        <v>3626</v>
      </c>
      <c r="BT133" s="2" t="str">
        <f>HYPERLINK("https%3A%2F%2Fwww.webofscience.com%2Fwos%2Fwoscc%2Ffull-record%2FWOS:000461414600010","View Full Record in Web of Science")</f>
        <v>View Full Record in Web of Science</v>
      </c>
    </row>
    <row r="134" spans="1:72" s="2" customFormat="1" x14ac:dyDescent="0.4">
      <c r="A134" s="2" t="s">
        <v>72</v>
      </c>
      <c r="B134" s="2" t="s">
        <v>7888</v>
      </c>
      <c r="C134" s="2" t="s">
        <v>74</v>
      </c>
      <c r="D134" s="2" t="s">
        <v>74</v>
      </c>
      <c r="E134" s="2" t="s">
        <v>74</v>
      </c>
      <c r="F134" s="2" t="s">
        <v>7889</v>
      </c>
      <c r="G134" s="2" t="s">
        <v>74</v>
      </c>
      <c r="H134" s="2" t="s">
        <v>74</v>
      </c>
      <c r="I134" s="2" t="s">
        <v>7890</v>
      </c>
      <c r="J134" s="2" t="s">
        <v>814</v>
      </c>
      <c r="K134" s="2" t="s">
        <v>74</v>
      </c>
      <c r="L134" s="2" t="s">
        <v>74</v>
      </c>
      <c r="M134" s="2" t="s">
        <v>74</v>
      </c>
      <c r="N134" s="2" t="s">
        <v>74</v>
      </c>
      <c r="O134" s="2" t="s">
        <v>74</v>
      </c>
      <c r="P134" s="2" t="s">
        <v>74</v>
      </c>
      <c r="Q134" s="2" t="s">
        <v>74</v>
      </c>
      <c r="R134" s="2" t="s">
        <v>74</v>
      </c>
      <c r="S134" s="2" t="s">
        <v>74</v>
      </c>
      <c r="T134" s="2" t="s">
        <v>74</v>
      </c>
      <c r="U134" s="2" t="s">
        <v>74</v>
      </c>
      <c r="V134" s="5" t="s">
        <v>7891</v>
      </c>
      <c r="W134" s="2" t="s">
        <v>74</v>
      </c>
      <c r="X134" s="2" t="s">
        <v>74</v>
      </c>
      <c r="Y134" s="2" t="s">
        <v>74</v>
      </c>
      <c r="Z134" s="2" t="s">
        <v>74</v>
      </c>
      <c r="AA134" s="2" t="s">
        <v>7892</v>
      </c>
      <c r="AB134" s="2" t="s">
        <v>7893</v>
      </c>
      <c r="AC134" s="2" t="s">
        <v>74</v>
      </c>
      <c r="AD134" s="2" t="s">
        <v>74</v>
      </c>
      <c r="AE134" s="2" t="s">
        <v>74</v>
      </c>
      <c r="AF134" s="2" t="s">
        <v>74</v>
      </c>
      <c r="AG134" s="2" t="s">
        <v>74</v>
      </c>
      <c r="AH134" s="2" t="s">
        <v>74</v>
      </c>
      <c r="AI134" s="2" t="s">
        <v>74</v>
      </c>
      <c r="AJ134" s="2" t="s">
        <v>74</v>
      </c>
      <c r="AK134" s="2" t="s">
        <v>74</v>
      </c>
      <c r="AL134" s="2" t="s">
        <v>74</v>
      </c>
      <c r="AM134" s="2" t="s">
        <v>74</v>
      </c>
      <c r="AN134" s="2" t="s">
        <v>74</v>
      </c>
      <c r="AO134" s="2" t="s">
        <v>818</v>
      </c>
      <c r="AP134" s="2" t="s">
        <v>1505</v>
      </c>
      <c r="AQ134" s="2" t="s">
        <v>74</v>
      </c>
      <c r="AR134" s="2" t="s">
        <v>74</v>
      </c>
      <c r="AS134" s="2" t="s">
        <v>74</v>
      </c>
      <c r="AT134" s="2" t="s">
        <v>633</v>
      </c>
      <c r="AU134" s="2">
        <v>2022</v>
      </c>
      <c r="AV134" s="2">
        <v>151</v>
      </c>
      <c r="AW134" s="2" t="s">
        <v>74</v>
      </c>
      <c r="AX134" s="2" t="s">
        <v>74</v>
      </c>
      <c r="AY134" s="2" t="s">
        <v>74</v>
      </c>
      <c r="AZ134" s="2" t="s">
        <v>74</v>
      </c>
      <c r="BA134" s="2" t="s">
        <v>74</v>
      </c>
      <c r="BB134" s="2" t="s">
        <v>74</v>
      </c>
      <c r="BC134" s="2" t="s">
        <v>74</v>
      </c>
      <c r="BD134" s="2">
        <v>125992</v>
      </c>
      <c r="BE134" s="2" t="s">
        <v>7894</v>
      </c>
      <c r="BF134" s="2" t="str">
        <f>HYPERLINK("http://dx.doi.org/10.1016/j.zool.2021.125992","http://dx.doi.org/10.1016/j.zool.2021.125992")</f>
        <v>http://dx.doi.org/10.1016/j.zool.2021.125992</v>
      </c>
      <c r="BG134" s="2" t="s">
        <v>74</v>
      </c>
      <c r="BH134" s="2" t="s">
        <v>7438</v>
      </c>
      <c r="BI134" s="2" t="s">
        <v>74</v>
      </c>
      <c r="BJ134" s="2" t="s">
        <v>74</v>
      </c>
      <c r="BK134" s="2" t="s">
        <v>74</v>
      </c>
      <c r="BL134" s="2" t="s">
        <v>74</v>
      </c>
      <c r="BM134" s="2" t="s">
        <v>74</v>
      </c>
      <c r="BN134" s="2">
        <v>35228128</v>
      </c>
      <c r="BO134" s="2" t="s">
        <v>74</v>
      </c>
      <c r="BP134" s="2" t="s">
        <v>74</v>
      </c>
      <c r="BQ134" s="2" t="s">
        <v>74</v>
      </c>
      <c r="BR134" s="2" t="s">
        <v>74</v>
      </c>
      <c r="BS134" s="2" t="s">
        <v>7895</v>
      </c>
      <c r="BT134" s="2" t="str">
        <f>HYPERLINK("https%3A%2F%2Fwww.webofscience.com%2Fwos%2Fwoscc%2Ffull-record%2FWOS:000776690400002","View Full Record in Web of Science")</f>
        <v>View Full Record in Web of Science</v>
      </c>
    </row>
    <row r="135" spans="1:72" s="2" customFormat="1" x14ac:dyDescent="0.4">
      <c r="A135" s="2" t="s">
        <v>72</v>
      </c>
      <c r="B135" s="2" t="s">
        <v>8421</v>
      </c>
      <c r="C135" s="2" t="s">
        <v>74</v>
      </c>
      <c r="D135" s="2" t="s">
        <v>74</v>
      </c>
      <c r="E135" s="2" t="s">
        <v>74</v>
      </c>
      <c r="F135" s="2" t="s">
        <v>8421</v>
      </c>
      <c r="G135" s="2" t="s">
        <v>74</v>
      </c>
      <c r="H135" s="2" t="s">
        <v>74</v>
      </c>
      <c r="I135" s="2" t="s">
        <v>8422</v>
      </c>
      <c r="J135" s="2" t="s">
        <v>1878</v>
      </c>
      <c r="K135" s="2" t="s">
        <v>74</v>
      </c>
      <c r="L135" s="2" t="s">
        <v>74</v>
      </c>
      <c r="M135" s="2" t="s">
        <v>74</v>
      </c>
      <c r="N135" s="2" t="s">
        <v>74</v>
      </c>
      <c r="O135" s="2" t="s">
        <v>74</v>
      </c>
      <c r="P135" s="2" t="s">
        <v>74</v>
      </c>
      <c r="Q135" s="2" t="s">
        <v>74</v>
      </c>
      <c r="R135" s="2" t="s">
        <v>74</v>
      </c>
      <c r="S135" s="2" t="s">
        <v>74</v>
      </c>
      <c r="T135" s="2" t="s">
        <v>74</v>
      </c>
      <c r="U135" s="2" t="s">
        <v>74</v>
      </c>
      <c r="V135" s="5" t="s">
        <v>8423</v>
      </c>
      <c r="W135" s="2" t="s">
        <v>74</v>
      </c>
      <c r="X135" s="2" t="s">
        <v>74</v>
      </c>
      <c r="Y135" s="2" t="s">
        <v>74</v>
      </c>
      <c r="Z135" s="2" t="s">
        <v>74</v>
      </c>
      <c r="AA135" s="2" t="s">
        <v>8424</v>
      </c>
      <c r="AB135" s="2" t="s">
        <v>8425</v>
      </c>
      <c r="AC135" s="2" t="s">
        <v>74</v>
      </c>
      <c r="AD135" s="2" t="s">
        <v>74</v>
      </c>
      <c r="AE135" s="2" t="s">
        <v>74</v>
      </c>
      <c r="AF135" s="2" t="s">
        <v>74</v>
      </c>
      <c r="AG135" s="2" t="s">
        <v>74</v>
      </c>
      <c r="AH135" s="2" t="s">
        <v>74</v>
      </c>
      <c r="AI135" s="2" t="s">
        <v>74</v>
      </c>
      <c r="AJ135" s="2" t="s">
        <v>74</v>
      </c>
      <c r="AK135" s="2" t="s">
        <v>74</v>
      </c>
      <c r="AL135" s="2" t="s">
        <v>74</v>
      </c>
      <c r="AM135" s="2" t="s">
        <v>74</v>
      </c>
      <c r="AN135" s="2" t="s">
        <v>74</v>
      </c>
      <c r="AO135" s="2" t="s">
        <v>1882</v>
      </c>
      <c r="AP135" s="2" t="s">
        <v>74</v>
      </c>
      <c r="AQ135" s="2" t="s">
        <v>74</v>
      </c>
      <c r="AR135" s="2" t="s">
        <v>74</v>
      </c>
      <c r="AS135" s="2" t="s">
        <v>74</v>
      </c>
      <c r="AT135" s="2" t="s">
        <v>964</v>
      </c>
      <c r="AU135" s="2">
        <v>2000</v>
      </c>
      <c r="AV135" s="2">
        <v>65</v>
      </c>
      <c r="AW135" s="2">
        <v>2</v>
      </c>
      <c r="AX135" s="2" t="s">
        <v>74</v>
      </c>
      <c r="AY135" s="2" t="s">
        <v>74</v>
      </c>
      <c r="AZ135" s="2" t="s">
        <v>74</v>
      </c>
      <c r="BA135" s="2" t="s">
        <v>74</v>
      </c>
      <c r="BB135" s="2">
        <v>327</v>
      </c>
      <c r="BC135" s="2">
        <v>332</v>
      </c>
      <c r="BD135" s="2" t="s">
        <v>74</v>
      </c>
      <c r="BE135" s="2" t="s">
        <v>8426</v>
      </c>
      <c r="BF135" s="2" t="str">
        <f>HYPERLINK("http://dx.doi.org/10.1016/S0091-3057(99)00189-6","http://dx.doi.org/10.1016/S0091-3057(99)00189-6")</f>
        <v>http://dx.doi.org/10.1016/S0091-3057(99)00189-6</v>
      </c>
      <c r="BG135" s="2" t="s">
        <v>74</v>
      </c>
      <c r="BH135" s="2" t="s">
        <v>74</v>
      </c>
      <c r="BI135" s="2" t="s">
        <v>74</v>
      </c>
      <c r="BJ135" s="2" t="s">
        <v>74</v>
      </c>
      <c r="BK135" s="2" t="s">
        <v>74</v>
      </c>
      <c r="BL135" s="2" t="s">
        <v>74</v>
      </c>
      <c r="BM135" s="2" t="s">
        <v>74</v>
      </c>
      <c r="BN135" s="2">
        <v>10672986</v>
      </c>
      <c r="BO135" s="2" t="s">
        <v>74</v>
      </c>
      <c r="BP135" s="2" t="s">
        <v>74</v>
      </c>
      <c r="BQ135" s="2" t="s">
        <v>74</v>
      </c>
      <c r="BR135" s="2" t="s">
        <v>74</v>
      </c>
      <c r="BS135" s="2" t="s">
        <v>8427</v>
      </c>
      <c r="BT135" s="2" t="str">
        <f>HYPERLINK("https%3A%2F%2Fwww.webofscience.com%2Fwos%2Fwoscc%2Ffull-record%2FWOS:000084842500018","View Full Record in Web of Science")</f>
        <v>View Full Record in Web of Science</v>
      </c>
    </row>
    <row r="136" spans="1:72" s="2" customFormat="1" x14ac:dyDescent="0.4">
      <c r="A136" s="2" t="s">
        <v>72</v>
      </c>
      <c r="B136" s="2" t="s">
        <v>5452</v>
      </c>
      <c r="C136" s="2" t="s">
        <v>74</v>
      </c>
      <c r="D136" s="2" t="s">
        <v>74</v>
      </c>
      <c r="E136" s="2" t="s">
        <v>74</v>
      </c>
      <c r="F136" s="2" t="s">
        <v>5452</v>
      </c>
      <c r="G136" s="2" t="s">
        <v>74</v>
      </c>
      <c r="H136" s="2" t="s">
        <v>74</v>
      </c>
      <c r="I136" s="2" t="s">
        <v>5453</v>
      </c>
      <c r="J136" s="2" t="s">
        <v>5454</v>
      </c>
      <c r="K136" s="2" t="s">
        <v>74</v>
      </c>
      <c r="L136" s="2" t="s">
        <v>74</v>
      </c>
      <c r="M136" s="2" t="s">
        <v>74</v>
      </c>
      <c r="N136" s="2" t="s">
        <v>74</v>
      </c>
      <c r="O136" s="2" t="s">
        <v>74</v>
      </c>
      <c r="P136" s="2" t="s">
        <v>74</v>
      </c>
      <c r="Q136" s="2" t="s">
        <v>74</v>
      </c>
      <c r="R136" s="2" t="s">
        <v>74</v>
      </c>
      <c r="S136" s="2" t="s">
        <v>74</v>
      </c>
      <c r="T136" s="2" t="s">
        <v>74</v>
      </c>
      <c r="U136" s="2" t="s">
        <v>74</v>
      </c>
      <c r="V136" s="5" t="s">
        <v>5455</v>
      </c>
      <c r="W136" s="2" t="s">
        <v>74</v>
      </c>
      <c r="X136" s="2" t="s">
        <v>74</v>
      </c>
      <c r="Y136" s="2" t="s">
        <v>74</v>
      </c>
      <c r="Z136" s="2" t="s">
        <v>74</v>
      </c>
      <c r="AA136" s="2" t="s">
        <v>5456</v>
      </c>
      <c r="AB136" s="2" t="s">
        <v>5457</v>
      </c>
      <c r="AC136" s="2" t="s">
        <v>74</v>
      </c>
      <c r="AD136" s="2" t="s">
        <v>74</v>
      </c>
      <c r="AE136" s="2" t="s">
        <v>74</v>
      </c>
      <c r="AF136" s="2" t="s">
        <v>74</v>
      </c>
      <c r="AG136" s="2" t="s">
        <v>74</v>
      </c>
      <c r="AH136" s="2" t="s">
        <v>74</v>
      </c>
      <c r="AI136" s="2" t="s">
        <v>74</v>
      </c>
      <c r="AJ136" s="2" t="s">
        <v>74</v>
      </c>
      <c r="AK136" s="2" t="s">
        <v>74</v>
      </c>
      <c r="AL136" s="2" t="s">
        <v>74</v>
      </c>
      <c r="AM136" s="2" t="s">
        <v>74</v>
      </c>
      <c r="AN136" s="2" t="s">
        <v>74</v>
      </c>
      <c r="AO136" s="2" t="s">
        <v>5458</v>
      </c>
      <c r="AP136" s="2" t="s">
        <v>74</v>
      </c>
      <c r="AQ136" s="2" t="s">
        <v>74</v>
      </c>
      <c r="AR136" s="2" t="s">
        <v>74</v>
      </c>
      <c r="AS136" s="2" t="s">
        <v>74</v>
      </c>
      <c r="AT136" s="2" t="s">
        <v>74</v>
      </c>
      <c r="AU136" s="2">
        <v>1991</v>
      </c>
      <c r="AV136" s="2">
        <v>19</v>
      </c>
      <c r="AW136" s="2">
        <v>4</v>
      </c>
      <c r="AX136" s="2" t="s">
        <v>74</v>
      </c>
      <c r="AY136" s="2" t="s">
        <v>74</v>
      </c>
      <c r="AZ136" s="2" t="s">
        <v>74</v>
      </c>
      <c r="BA136" s="2" t="s">
        <v>74</v>
      </c>
      <c r="BB136" s="2">
        <v>271</v>
      </c>
      <c r="BC136" s="2">
        <v>276</v>
      </c>
      <c r="BD136" s="2" t="s">
        <v>74</v>
      </c>
      <c r="BE136" s="2" t="s">
        <v>5459</v>
      </c>
      <c r="BF136" s="2" t="str">
        <f>HYPERLINK("http://dx.doi.org/10.1016/0305-1978(91)90014-Q","http://dx.doi.org/10.1016/0305-1978(91)90014-Q")</f>
        <v>http://dx.doi.org/10.1016/0305-1978(91)90014-Q</v>
      </c>
      <c r="BG136" s="2" t="s">
        <v>74</v>
      </c>
      <c r="BH136" s="2" t="s">
        <v>74</v>
      </c>
      <c r="BI136" s="2" t="s">
        <v>74</v>
      </c>
      <c r="BJ136" s="2" t="s">
        <v>74</v>
      </c>
      <c r="BK136" s="2" t="s">
        <v>74</v>
      </c>
      <c r="BL136" s="2" t="s">
        <v>74</v>
      </c>
      <c r="BM136" s="2" t="s">
        <v>74</v>
      </c>
      <c r="BN136" s="2" t="s">
        <v>74</v>
      </c>
      <c r="BO136" s="2" t="s">
        <v>74</v>
      </c>
      <c r="BP136" s="2" t="s">
        <v>74</v>
      </c>
      <c r="BQ136" s="2" t="s">
        <v>74</v>
      </c>
      <c r="BR136" s="2" t="s">
        <v>74</v>
      </c>
      <c r="BS136" s="2" t="s">
        <v>5460</v>
      </c>
      <c r="BT136" s="2" t="str">
        <f>HYPERLINK("https%3A%2F%2Fwww.webofscience.com%2Fwos%2Fwoscc%2Ffull-record%2FWOS:A1991HA68300002","View Full Record in Web of Science")</f>
        <v>View Full Record in Web of Science</v>
      </c>
    </row>
    <row r="137" spans="1:72" s="2" customFormat="1" x14ac:dyDescent="0.4">
      <c r="A137" s="2" t="s">
        <v>72</v>
      </c>
      <c r="B137" s="2" t="s">
        <v>7761</v>
      </c>
      <c r="C137" s="2" t="s">
        <v>74</v>
      </c>
      <c r="D137" s="2" t="s">
        <v>74</v>
      </c>
      <c r="E137" s="2" t="s">
        <v>74</v>
      </c>
      <c r="F137" s="2" t="s">
        <v>7762</v>
      </c>
      <c r="G137" s="2" t="s">
        <v>74</v>
      </c>
      <c r="H137" s="2" t="s">
        <v>74</v>
      </c>
      <c r="I137" s="2" t="s">
        <v>7763</v>
      </c>
      <c r="J137" s="2" t="s">
        <v>129</v>
      </c>
      <c r="K137" s="2" t="s">
        <v>74</v>
      </c>
      <c r="L137" s="2" t="s">
        <v>74</v>
      </c>
      <c r="M137" s="2" t="s">
        <v>74</v>
      </c>
      <c r="N137" s="2" t="s">
        <v>74</v>
      </c>
      <c r="O137" s="2" t="s">
        <v>74</v>
      </c>
      <c r="P137" s="2" t="s">
        <v>74</v>
      </c>
      <c r="Q137" s="2" t="s">
        <v>74</v>
      </c>
      <c r="R137" s="2" t="s">
        <v>74</v>
      </c>
      <c r="S137" s="2" t="s">
        <v>74</v>
      </c>
      <c r="T137" s="2" t="s">
        <v>74</v>
      </c>
      <c r="U137" s="2" t="s">
        <v>74</v>
      </c>
      <c r="V137" s="5" t="s">
        <v>7764</v>
      </c>
      <c r="W137" s="2" t="s">
        <v>74</v>
      </c>
      <c r="X137" s="2" t="s">
        <v>74</v>
      </c>
      <c r="Y137" s="2" t="s">
        <v>74</v>
      </c>
      <c r="Z137" s="2" t="s">
        <v>74</v>
      </c>
      <c r="AA137" s="2" t="s">
        <v>74</v>
      </c>
      <c r="AB137" s="2" t="s">
        <v>7765</v>
      </c>
      <c r="AC137" s="2" t="s">
        <v>74</v>
      </c>
      <c r="AD137" s="2" t="s">
        <v>74</v>
      </c>
      <c r="AE137" s="2" t="s">
        <v>74</v>
      </c>
      <c r="AF137" s="2" t="s">
        <v>74</v>
      </c>
      <c r="AG137" s="2" t="s">
        <v>74</v>
      </c>
      <c r="AH137" s="2" t="s">
        <v>74</v>
      </c>
      <c r="AI137" s="2" t="s">
        <v>74</v>
      </c>
      <c r="AJ137" s="2" t="s">
        <v>74</v>
      </c>
      <c r="AK137" s="2" t="s">
        <v>74</v>
      </c>
      <c r="AL137" s="2" t="s">
        <v>74</v>
      </c>
      <c r="AM137" s="2" t="s">
        <v>74</v>
      </c>
      <c r="AN137" s="2" t="s">
        <v>74</v>
      </c>
      <c r="AO137" s="2" t="s">
        <v>132</v>
      </c>
      <c r="AP137" s="2" t="s">
        <v>133</v>
      </c>
      <c r="AQ137" s="2" t="s">
        <v>74</v>
      </c>
      <c r="AR137" s="2" t="s">
        <v>74</v>
      </c>
      <c r="AS137" s="2" t="s">
        <v>74</v>
      </c>
      <c r="AT137" s="2" t="s">
        <v>213</v>
      </c>
      <c r="AU137" s="2">
        <v>2022</v>
      </c>
      <c r="AV137" s="2">
        <v>76</v>
      </c>
      <c r="AW137" s="2">
        <v>11</v>
      </c>
      <c r="AX137" s="2" t="s">
        <v>74</v>
      </c>
      <c r="AY137" s="2" t="s">
        <v>74</v>
      </c>
      <c r="AZ137" s="2" t="s">
        <v>74</v>
      </c>
      <c r="BA137" s="2" t="s">
        <v>74</v>
      </c>
      <c r="BB137" s="2" t="s">
        <v>74</v>
      </c>
      <c r="BC137" s="2" t="s">
        <v>74</v>
      </c>
      <c r="BD137" s="2">
        <v>147</v>
      </c>
      <c r="BE137" s="2" t="s">
        <v>7766</v>
      </c>
      <c r="BF137" s="2" t="str">
        <f>HYPERLINK("http://dx.doi.org/10.1007/s00265-022-03253-y","http://dx.doi.org/10.1007/s00265-022-03253-y")</f>
        <v>http://dx.doi.org/10.1007/s00265-022-03253-y</v>
      </c>
      <c r="BG137" s="2" t="s">
        <v>74</v>
      </c>
      <c r="BH137" s="2" t="s">
        <v>74</v>
      </c>
      <c r="BI137" s="2" t="s">
        <v>74</v>
      </c>
      <c r="BJ137" s="2" t="s">
        <v>74</v>
      </c>
      <c r="BK137" s="2" t="s">
        <v>74</v>
      </c>
      <c r="BL137" s="2" t="s">
        <v>74</v>
      </c>
      <c r="BM137" s="2" t="s">
        <v>74</v>
      </c>
      <c r="BN137" s="2" t="s">
        <v>74</v>
      </c>
      <c r="BO137" s="2" t="s">
        <v>74</v>
      </c>
      <c r="BP137" s="2" t="s">
        <v>74</v>
      </c>
      <c r="BQ137" s="2" t="s">
        <v>74</v>
      </c>
      <c r="BR137" s="2" t="s">
        <v>74</v>
      </c>
      <c r="BS137" s="2" t="s">
        <v>7767</v>
      </c>
      <c r="BT137" s="2" t="str">
        <f>HYPERLINK("https%3A%2F%2Fwww.webofscience.com%2Fwos%2Fwoscc%2Ffull-record%2FWOS:000867664700001","View Full Record in Web of Science")</f>
        <v>View Full Record in Web of Science</v>
      </c>
    </row>
    <row r="138" spans="1:72" s="2" customFormat="1" x14ac:dyDescent="0.4">
      <c r="A138" s="2" t="s">
        <v>72</v>
      </c>
      <c r="B138" s="2" t="s">
        <v>7587</v>
      </c>
      <c r="C138" s="2" t="s">
        <v>74</v>
      </c>
      <c r="D138" s="2" t="s">
        <v>74</v>
      </c>
      <c r="E138" s="2" t="s">
        <v>74</v>
      </c>
      <c r="F138" s="2" t="s">
        <v>7587</v>
      </c>
      <c r="G138" s="2" t="s">
        <v>74</v>
      </c>
      <c r="H138" s="2" t="s">
        <v>74</v>
      </c>
      <c r="I138" s="2" t="s">
        <v>7588</v>
      </c>
      <c r="J138" s="2" t="s">
        <v>140</v>
      </c>
      <c r="K138" s="2" t="s">
        <v>74</v>
      </c>
      <c r="L138" s="2" t="s">
        <v>74</v>
      </c>
      <c r="M138" s="2" t="s">
        <v>74</v>
      </c>
      <c r="N138" s="2" t="s">
        <v>74</v>
      </c>
      <c r="O138" s="2" t="s">
        <v>74</v>
      </c>
      <c r="P138" s="2" t="s">
        <v>74</v>
      </c>
      <c r="Q138" s="2" t="s">
        <v>74</v>
      </c>
      <c r="R138" s="2" t="s">
        <v>74</v>
      </c>
      <c r="S138" s="2" t="s">
        <v>74</v>
      </c>
      <c r="T138" s="2" t="s">
        <v>74</v>
      </c>
      <c r="U138" s="2" t="s">
        <v>74</v>
      </c>
      <c r="V138" s="5" t="s">
        <v>7589</v>
      </c>
      <c r="W138" s="2" t="s">
        <v>74</v>
      </c>
      <c r="X138" s="2" t="s">
        <v>74</v>
      </c>
      <c r="Y138" s="2" t="s">
        <v>74</v>
      </c>
      <c r="Z138" s="2" t="s">
        <v>74</v>
      </c>
      <c r="AA138" s="2" t="s">
        <v>74</v>
      </c>
      <c r="AB138" s="2" t="s">
        <v>74</v>
      </c>
      <c r="AC138" s="2" t="s">
        <v>74</v>
      </c>
      <c r="AD138" s="2" t="s">
        <v>74</v>
      </c>
      <c r="AE138" s="2" t="s">
        <v>74</v>
      </c>
      <c r="AF138" s="2" t="s">
        <v>74</v>
      </c>
      <c r="AG138" s="2" t="s">
        <v>74</v>
      </c>
      <c r="AH138" s="2" t="s">
        <v>74</v>
      </c>
      <c r="AI138" s="2" t="s">
        <v>74</v>
      </c>
      <c r="AJ138" s="2" t="s">
        <v>74</v>
      </c>
      <c r="AK138" s="2" t="s">
        <v>74</v>
      </c>
      <c r="AL138" s="2" t="s">
        <v>74</v>
      </c>
      <c r="AM138" s="2" t="s">
        <v>74</v>
      </c>
      <c r="AN138" s="2" t="s">
        <v>74</v>
      </c>
      <c r="AO138" s="2" t="s">
        <v>143</v>
      </c>
      <c r="AP138" s="2" t="s">
        <v>144</v>
      </c>
      <c r="AQ138" s="2" t="s">
        <v>74</v>
      </c>
      <c r="AR138" s="2" t="s">
        <v>74</v>
      </c>
      <c r="AS138" s="2" t="s">
        <v>74</v>
      </c>
      <c r="AT138" s="2" t="s">
        <v>102</v>
      </c>
      <c r="AU138" s="2">
        <v>2004</v>
      </c>
      <c r="AV138" s="2">
        <v>67</v>
      </c>
      <c r="AW138" s="2" t="s">
        <v>74</v>
      </c>
      <c r="AX138" s="2">
        <v>6</v>
      </c>
      <c r="AY138" s="2" t="s">
        <v>74</v>
      </c>
      <c r="AZ138" s="2" t="s">
        <v>74</v>
      </c>
      <c r="BA138" s="2" t="s">
        <v>74</v>
      </c>
      <c r="BB138" s="2">
        <v>1127</v>
      </c>
      <c r="BC138" s="2">
        <v>1132</v>
      </c>
      <c r="BD138" s="2" t="s">
        <v>74</v>
      </c>
      <c r="BE138" s="2" t="s">
        <v>7590</v>
      </c>
      <c r="BF138" s="2" t="str">
        <f>HYPERLINK("http://dx.doi.org/10.1016/j.anbehav.2003.06.021","http://dx.doi.org/10.1016/j.anbehav.2003.06.021")</f>
        <v>http://dx.doi.org/10.1016/j.anbehav.2003.06.021</v>
      </c>
      <c r="BG138" s="2" t="s">
        <v>74</v>
      </c>
      <c r="BH138" s="2" t="s">
        <v>74</v>
      </c>
      <c r="BI138" s="2" t="s">
        <v>74</v>
      </c>
      <c r="BJ138" s="2" t="s">
        <v>74</v>
      </c>
      <c r="BK138" s="2" t="s">
        <v>74</v>
      </c>
      <c r="BL138" s="2" t="s">
        <v>74</v>
      </c>
      <c r="BM138" s="2" t="s">
        <v>74</v>
      </c>
      <c r="BN138" s="2" t="s">
        <v>74</v>
      </c>
      <c r="BO138" s="2" t="s">
        <v>74</v>
      </c>
      <c r="BP138" s="2" t="s">
        <v>74</v>
      </c>
      <c r="BQ138" s="2" t="s">
        <v>74</v>
      </c>
      <c r="BR138" s="2" t="s">
        <v>74</v>
      </c>
      <c r="BS138" s="2" t="s">
        <v>7591</v>
      </c>
      <c r="BT138" s="2" t="str">
        <f>HYPERLINK("https%3A%2F%2Fwww.webofscience.com%2Fwos%2Fwoscc%2Ffull-record%2FWOS:000222591300017","View Full Record in Web of Science")</f>
        <v>View Full Record in Web of Science</v>
      </c>
    </row>
    <row r="139" spans="1:72" s="1" customFormat="1" x14ac:dyDescent="0.4">
      <c r="A139" s="2" t="s">
        <v>72</v>
      </c>
      <c r="B139" s="2" t="s">
        <v>6476</v>
      </c>
      <c r="C139" s="2" t="s">
        <v>74</v>
      </c>
      <c r="D139" s="2" t="s">
        <v>74</v>
      </c>
      <c r="E139" s="2" t="s">
        <v>74</v>
      </c>
      <c r="F139" s="2" t="s">
        <v>6477</v>
      </c>
      <c r="G139" s="2" t="s">
        <v>74</v>
      </c>
      <c r="H139" s="2" t="s">
        <v>74</v>
      </c>
      <c r="I139" s="2" t="s">
        <v>6478</v>
      </c>
      <c r="J139" s="2" t="s">
        <v>140</v>
      </c>
      <c r="K139" s="2" t="s">
        <v>74</v>
      </c>
      <c r="L139" s="2" t="s">
        <v>74</v>
      </c>
      <c r="M139" s="2" t="s">
        <v>74</v>
      </c>
      <c r="N139" s="2" t="s">
        <v>74</v>
      </c>
      <c r="O139" s="2" t="s">
        <v>74</v>
      </c>
      <c r="P139" s="2" t="s">
        <v>74</v>
      </c>
      <c r="Q139" s="2" t="s">
        <v>74</v>
      </c>
      <c r="R139" s="2" t="s">
        <v>74</v>
      </c>
      <c r="S139" s="2" t="s">
        <v>74</v>
      </c>
      <c r="T139" s="2" t="s">
        <v>74</v>
      </c>
      <c r="U139" s="2" t="s">
        <v>74</v>
      </c>
      <c r="V139" s="5" t="s">
        <v>6479</v>
      </c>
      <c r="W139" s="2" t="s">
        <v>74</v>
      </c>
      <c r="X139" s="2" t="s">
        <v>74</v>
      </c>
      <c r="Y139" s="2" t="s">
        <v>74</v>
      </c>
      <c r="Z139" s="2" t="s">
        <v>74</v>
      </c>
      <c r="AA139" s="2" t="s">
        <v>6480</v>
      </c>
      <c r="AB139" s="2" t="s">
        <v>6481</v>
      </c>
      <c r="AC139" s="2" t="s">
        <v>74</v>
      </c>
      <c r="AD139" s="2" t="s">
        <v>74</v>
      </c>
      <c r="AE139" s="2" t="s">
        <v>74</v>
      </c>
      <c r="AF139" s="2" t="s">
        <v>74</v>
      </c>
      <c r="AG139" s="2" t="s">
        <v>74</v>
      </c>
      <c r="AH139" s="2" t="s">
        <v>74</v>
      </c>
      <c r="AI139" s="2" t="s">
        <v>74</v>
      </c>
      <c r="AJ139" s="2" t="s">
        <v>74</v>
      </c>
      <c r="AK139" s="2" t="s">
        <v>74</v>
      </c>
      <c r="AL139" s="2" t="s">
        <v>74</v>
      </c>
      <c r="AM139" s="2" t="s">
        <v>74</v>
      </c>
      <c r="AN139" s="2" t="s">
        <v>74</v>
      </c>
      <c r="AO139" s="2" t="s">
        <v>143</v>
      </c>
      <c r="AP139" s="2" t="s">
        <v>144</v>
      </c>
      <c r="AQ139" s="2" t="s">
        <v>74</v>
      </c>
      <c r="AR139" s="2" t="s">
        <v>74</v>
      </c>
      <c r="AS139" s="2" t="s">
        <v>74</v>
      </c>
      <c r="AT139" s="2" t="s">
        <v>255</v>
      </c>
      <c r="AU139" s="2">
        <v>2018</v>
      </c>
      <c r="AV139" s="2">
        <v>135</v>
      </c>
      <c r="AW139" s="2" t="s">
        <v>74</v>
      </c>
      <c r="AX139" s="2" t="s">
        <v>74</v>
      </c>
      <c r="AY139" s="2" t="s">
        <v>74</v>
      </c>
      <c r="AZ139" s="2" t="s">
        <v>74</v>
      </c>
      <c r="BA139" s="2" t="s">
        <v>74</v>
      </c>
      <c r="BB139" s="2">
        <v>209</v>
      </c>
      <c r="BC139" s="2">
        <v>214</v>
      </c>
      <c r="BD139" s="2" t="s">
        <v>74</v>
      </c>
      <c r="BE139" s="2" t="s">
        <v>6482</v>
      </c>
      <c r="BF139" s="2" t="str">
        <f>HYPERLINK("http://dx.doi.org/10.1016/j.anbehav.2017.11.022","http://dx.doi.org/10.1016/j.anbehav.2017.11.022")</f>
        <v>http://dx.doi.org/10.1016/j.anbehav.2017.11.022</v>
      </c>
      <c r="BG139" s="2" t="s">
        <v>74</v>
      </c>
      <c r="BH139" s="2" t="s">
        <v>74</v>
      </c>
      <c r="BI139" s="2" t="s">
        <v>74</v>
      </c>
      <c r="BJ139" s="2" t="s">
        <v>74</v>
      </c>
      <c r="BK139" s="2" t="s">
        <v>74</v>
      </c>
      <c r="BL139" s="2" t="s">
        <v>74</v>
      </c>
      <c r="BM139" s="2" t="s">
        <v>74</v>
      </c>
      <c r="BN139" s="2" t="s">
        <v>74</v>
      </c>
      <c r="BO139" s="2" t="s">
        <v>74</v>
      </c>
      <c r="BP139" s="2" t="s">
        <v>74</v>
      </c>
      <c r="BQ139" s="2" t="s">
        <v>74</v>
      </c>
      <c r="BR139" s="2" t="s">
        <v>74</v>
      </c>
      <c r="BS139" s="2" t="s">
        <v>6483</v>
      </c>
      <c r="BT139" s="2" t="str">
        <f>HYPERLINK("https%3A%2F%2Fwww.webofscience.com%2Fwos%2Fwoscc%2Ffull-record%2FWOS:000419600500022","View Full Record in Web of Science")</f>
        <v>View Full Record in Web of Science</v>
      </c>
    </row>
    <row r="140" spans="1:72" s="2" customFormat="1" x14ac:dyDescent="0.4">
      <c r="A140" s="2" t="s">
        <v>72</v>
      </c>
      <c r="B140" s="2" t="s">
        <v>7930</v>
      </c>
      <c r="C140" s="2" t="s">
        <v>74</v>
      </c>
      <c r="D140" s="2" t="s">
        <v>74</v>
      </c>
      <c r="E140" s="2" t="s">
        <v>74</v>
      </c>
      <c r="F140" s="2" t="s">
        <v>7931</v>
      </c>
      <c r="G140" s="2" t="s">
        <v>74</v>
      </c>
      <c r="H140" s="2" t="s">
        <v>74</v>
      </c>
      <c r="I140" s="2" t="s">
        <v>7932</v>
      </c>
      <c r="J140" s="2" t="s">
        <v>1112</v>
      </c>
      <c r="K140" s="2" t="s">
        <v>74</v>
      </c>
      <c r="L140" s="2" t="s">
        <v>74</v>
      </c>
      <c r="M140" s="2" t="s">
        <v>74</v>
      </c>
      <c r="N140" s="2" t="s">
        <v>74</v>
      </c>
      <c r="O140" s="2" t="s">
        <v>74</v>
      </c>
      <c r="P140" s="2" t="s">
        <v>74</v>
      </c>
      <c r="Q140" s="2" t="s">
        <v>74</v>
      </c>
      <c r="R140" s="2" t="s">
        <v>74</v>
      </c>
      <c r="S140" s="2" t="s">
        <v>74</v>
      </c>
      <c r="T140" s="2" t="s">
        <v>74</v>
      </c>
      <c r="U140" s="2" t="s">
        <v>74</v>
      </c>
      <c r="V140" s="5" t="s">
        <v>7933</v>
      </c>
      <c r="W140" s="2" t="s">
        <v>74</v>
      </c>
      <c r="X140" s="2" t="s">
        <v>74</v>
      </c>
      <c r="Y140" s="2" t="s">
        <v>74</v>
      </c>
      <c r="Z140" s="2" t="s">
        <v>74</v>
      </c>
      <c r="AA140" s="2" t="s">
        <v>74</v>
      </c>
      <c r="AB140" s="2" t="s">
        <v>7934</v>
      </c>
      <c r="AC140" s="2" t="s">
        <v>74</v>
      </c>
      <c r="AD140" s="2" t="s">
        <v>74</v>
      </c>
      <c r="AE140" s="2" t="s">
        <v>74</v>
      </c>
      <c r="AF140" s="2" t="s">
        <v>74</v>
      </c>
      <c r="AG140" s="2" t="s">
        <v>74</v>
      </c>
      <c r="AH140" s="2" t="s">
        <v>74</v>
      </c>
      <c r="AI140" s="2" t="s">
        <v>74</v>
      </c>
      <c r="AJ140" s="2" t="s">
        <v>74</v>
      </c>
      <c r="AK140" s="2" t="s">
        <v>74</v>
      </c>
      <c r="AL140" s="2" t="s">
        <v>74</v>
      </c>
      <c r="AM140" s="2" t="s">
        <v>74</v>
      </c>
      <c r="AN140" s="2" t="s">
        <v>74</v>
      </c>
      <c r="AO140" s="2" t="s">
        <v>1114</v>
      </c>
      <c r="AP140" s="2" t="s">
        <v>1115</v>
      </c>
      <c r="AQ140" s="2" t="s">
        <v>74</v>
      </c>
      <c r="AR140" s="2" t="s">
        <v>74</v>
      </c>
      <c r="AS140" s="2" t="s">
        <v>74</v>
      </c>
      <c r="AT140" s="2" t="s">
        <v>352</v>
      </c>
      <c r="AU140" s="2">
        <v>2017</v>
      </c>
      <c r="AV140" s="2">
        <v>194</v>
      </c>
      <c r="AW140" s="2" t="s">
        <v>74</v>
      </c>
      <c r="AX140" s="2" t="s">
        <v>74</v>
      </c>
      <c r="AY140" s="2" t="s">
        <v>74</v>
      </c>
      <c r="AZ140" s="2" t="s">
        <v>74</v>
      </c>
      <c r="BA140" s="2" t="s">
        <v>74</v>
      </c>
      <c r="BB140" s="2">
        <v>112</v>
      </c>
      <c r="BC140" s="2">
        <v>119</v>
      </c>
      <c r="BD140" s="2" t="s">
        <v>74</v>
      </c>
      <c r="BE140" s="2" t="s">
        <v>7935</v>
      </c>
      <c r="BF140" s="2" t="str">
        <f>HYPERLINK("http://dx.doi.org/10.1016/j.applanim.2017.05.008","http://dx.doi.org/10.1016/j.applanim.2017.05.008")</f>
        <v>http://dx.doi.org/10.1016/j.applanim.2017.05.008</v>
      </c>
      <c r="BG140" s="2" t="s">
        <v>74</v>
      </c>
      <c r="BH140" s="2" t="s">
        <v>74</v>
      </c>
      <c r="BI140" s="2" t="s">
        <v>74</v>
      </c>
      <c r="BJ140" s="2" t="s">
        <v>74</v>
      </c>
      <c r="BK140" s="2" t="s">
        <v>74</v>
      </c>
      <c r="BL140" s="2" t="s">
        <v>74</v>
      </c>
      <c r="BM140" s="2" t="s">
        <v>74</v>
      </c>
      <c r="BN140" s="2" t="s">
        <v>74</v>
      </c>
      <c r="BO140" s="2" t="s">
        <v>74</v>
      </c>
      <c r="BP140" s="2" t="s">
        <v>74</v>
      </c>
      <c r="BQ140" s="2" t="s">
        <v>74</v>
      </c>
      <c r="BR140" s="2" t="s">
        <v>74</v>
      </c>
      <c r="BS140" s="2" t="s">
        <v>7936</v>
      </c>
      <c r="BT140" s="2" t="str">
        <f>HYPERLINK("https%3A%2F%2Fwww.webofscience.com%2Fwos%2Fwoscc%2Ffull-record%2FWOS:000408179000015","View Full Record in Web of Science")</f>
        <v>View Full Record in Web of Science</v>
      </c>
    </row>
    <row r="141" spans="1:72" s="2" customFormat="1" x14ac:dyDescent="0.4">
      <c r="A141" s="2" t="s">
        <v>72</v>
      </c>
      <c r="B141" s="2" t="s">
        <v>8614</v>
      </c>
      <c r="C141" s="2" t="s">
        <v>74</v>
      </c>
      <c r="D141" s="2" t="s">
        <v>74</v>
      </c>
      <c r="E141" s="2" t="s">
        <v>74</v>
      </c>
      <c r="F141" s="2" t="s">
        <v>8614</v>
      </c>
      <c r="G141" s="2" t="s">
        <v>74</v>
      </c>
      <c r="H141" s="2" t="s">
        <v>74</v>
      </c>
      <c r="I141" s="2" t="s">
        <v>8615</v>
      </c>
      <c r="J141" s="2" t="s">
        <v>140</v>
      </c>
      <c r="K141" s="2" t="s">
        <v>74</v>
      </c>
      <c r="L141" s="2" t="s">
        <v>74</v>
      </c>
      <c r="M141" s="2" t="s">
        <v>74</v>
      </c>
      <c r="N141" s="2" t="s">
        <v>74</v>
      </c>
      <c r="O141" s="2" t="s">
        <v>74</v>
      </c>
      <c r="P141" s="2" t="s">
        <v>74</v>
      </c>
      <c r="Q141" s="2" t="s">
        <v>74</v>
      </c>
      <c r="R141" s="2" t="s">
        <v>74</v>
      </c>
      <c r="S141" s="2" t="s">
        <v>74</v>
      </c>
      <c r="T141" s="2" t="s">
        <v>74</v>
      </c>
      <c r="U141" s="2" t="s">
        <v>74</v>
      </c>
      <c r="V141" s="5" t="s">
        <v>8616</v>
      </c>
      <c r="W141" s="2" t="s">
        <v>74</v>
      </c>
      <c r="X141" s="2" t="s">
        <v>74</v>
      </c>
      <c r="Y141" s="2" t="s">
        <v>74</v>
      </c>
      <c r="Z141" s="2" t="s">
        <v>74</v>
      </c>
      <c r="AA141" s="2" t="s">
        <v>8617</v>
      </c>
      <c r="AB141" s="2" t="s">
        <v>74</v>
      </c>
      <c r="AC141" s="2" t="s">
        <v>74</v>
      </c>
      <c r="AD141" s="2" t="s">
        <v>74</v>
      </c>
      <c r="AE141" s="2" t="s">
        <v>74</v>
      </c>
      <c r="AF141" s="2" t="s">
        <v>74</v>
      </c>
      <c r="AG141" s="2" t="s">
        <v>74</v>
      </c>
      <c r="AH141" s="2" t="s">
        <v>74</v>
      </c>
      <c r="AI141" s="2" t="s">
        <v>74</v>
      </c>
      <c r="AJ141" s="2" t="s">
        <v>74</v>
      </c>
      <c r="AK141" s="2" t="s">
        <v>74</v>
      </c>
      <c r="AL141" s="2" t="s">
        <v>74</v>
      </c>
      <c r="AM141" s="2" t="s">
        <v>74</v>
      </c>
      <c r="AN141" s="2" t="s">
        <v>74</v>
      </c>
      <c r="AO141" s="2" t="s">
        <v>143</v>
      </c>
      <c r="AP141" s="2" t="s">
        <v>144</v>
      </c>
      <c r="AQ141" s="2" t="s">
        <v>74</v>
      </c>
      <c r="AR141" s="2" t="s">
        <v>74</v>
      </c>
      <c r="AS141" s="2" t="s">
        <v>74</v>
      </c>
      <c r="AT141" s="2" t="s">
        <v>102</v>
      </c>
      <c r="AU141" s="2">
        <v>1996</v>
      </c>
      <c r="AV141" s="2">
        <v>51</v>
      </c>
      <c r="AW141" s="2" t="s">
        <v>74</v>
      </c>
      <c r="AX141" s="2">
        <v>6</v>
      </c>
      <c r="AY141" s="2" t="s">
        <v>74</v>
      </c>
      <c r="AZ141" s="2" t="s">
        <v>74</v>
      </c>
      <c r="BA141" s="2" t="s">
        <v>74</v>
      </c>
      <c r="BB141" s="2">
        <v>1233</v>
      </c>
      <c r="BC141" s="2">
        <v>1245</v>
      </c>
      <c r="BD141" s="2" t="s">
        <v>74</v>
      </c>
      <c r="BE141" s="2" t="s">
        <v>8618</v>
      </c>
      <c r="BF141" s="2" t="str">
        <f>HYPERLINK("http://dx.doi.org/10.1006/anbe.1996.0128","http://dx.doi.org/10.1006/anbe.1996.0128")</f>
        <v>http://dx.doi.org/10.1006/anbe.1996.0128</v>
      </c>
      <c r="BG141" s="2" t="s">
        <v>74</v>
      </c>
      <c r="BH141" s="2" t="s">
        <v>74</v>
      </c>
      <c r="BI141" s="2" t="s">
        <v>74</v>
      </c>
      <c r="BJ141" s="2" t="s">
        <v>74</v>
      </c>
      <c r="BK141" s="2" t="s">
        <v>74</v>
      </c>
      <c r="BL141" s="2" t="s">
        <v>74</v>
      </c>
      <c r="BM141" s="2" t="s">
        <v>74</v>
      </c>
      <c r="BN141" s="2" t="s">
        <v>74</v>
      </c>
      <c r="BO141" s="2" t="s">
        <v>74</v>
      </c>
      <c r="BP141" s="2" t="s">
        <v>74</v>
      </c>
      <c r="BQ141" s="2" t="s">
        <v>74</v>
      </c>
      <c r="BR141" s="2" t="s">
        <v>74</v>
      </c>
      <c r="BS141" s="2" t="s">
        <v>8619</v>
      </c>
      <c r="BT141" s="2" t="str">
        <f>HYPERLINK("https%3A%2F%2Fwww.webofscience.com%2Fwos%2Fwoscc%2Ffull-record%2FWOS:A1996UX10100004","View Full Record in Web of Science")</f>
        <v>View Full Record in Web of Science</v>
      </c>
    </row>
    <row r="142" spans="1:72" s="1" customFormat="1" x14ac:dyDescent="0.4">
      <c r="A142" s="2" t="s">
        <v>72</v>
      </c>
      <c r="B142" s="2" t="s">
        <v>2076</v>
      </c>
      <c r="C142" s="2" t="s">
        <v>74</v>
      </c>
      <c r="D142" s="2" t="s">
        <v>74</v>
      </c>
      <c r="E142" s="2" t="s">
        <v>74</v>
      </c>
      <c r="F142" s="2" t="s">
        <v>2077</v>
      </c>
      <c r="G142" s="2" t="s">
        <v>74</v>
      </c>
      <c r="H142" s="2" t="s">
        <v>74</v>
      </c>
      <c r="I142" s="2" t="s">
        <v>2078</v>
      </c>
      <c r="J142" s="2" t="s">
        <v>140</v>
      </c>
      <c r="K142" s="2" t="s">
        <v>74</v>
      </c>
      <c r="L142" s="2" t="s">
        <v>74</v>
      </c>
      <c r="M142" s="2" t="s">
        <v>74</v>
      </c>
      <c r="N142" s="2" t="s">
        <v>74</v>
      </c>
      <c r="O142" s="2" t="s">
        <v>74</v>
      </c>
      <c r="P142" s="2" t="s">
        <v>74</v>
      </c>
      <c r="Q142" s="2" t="s">
        <v>74</v>
      </c>
      <c r="R142" s="2" t="s">
        <v>74</v>
      </c>
      <c r="S142" s="2" t="s">
        <v>74</v>
      </c>
      <c r="T142" s="2" t="s">
        <v>74</v>
      </c>
      <c r="U142" s="2" t="s">
        <v>74</v>
      </c>
      <c r="V142" s="5" t="s">
        <v>2079</v>
      </c>
      <c r="W142" s="2" t="s">
        <v>74</v>
      </c>
      <c r="X142" s="2" t="s">
        <v>74</v>
      </c>
      <c r="Y142" s="2" t="s">
        <v>74</v>
      </c>
      <c r="Z142" s="2" t="s">
        <v>74</v>
      </c>
      <c r="AA142" s="2" t="s">
        <v>2080</v>
      </c>
      <c r="AB142" s="2" t="s">
        <v>2081</v>
      </c>
      <c r="AC142" s="2" t="s">
        <v>74</v>
      </c>
      <c r="AD142" s="2" t="s">
        <v>74</v>
      </c>
      <c r="AE142" s="2" t="s">
        <v>74</v>
      </c>
      <c r="AF142" s="2" t="s">
        <v>74</v>
      </c>
      <c r="AG142" s="2" t="s">
        <v>74</v>
      </c>
      <c r="AH142" s="2" t="s">
        <v>74</v>
      </c>
      <c r="AI142" s="2" t="s">
        <v>74</v>
      </c>
      <c r="AJ142" s="2" t="s">
        <v>74</v>
      </c>
      <c r="AK142" s="2" t="s">
        <v>74</v>
      </c>
      <c r="AL142" s="2" t="s">
        <v>74</v>
      </c>
      <c r="AM142" s="2" t="s">
        <v>74</v>
      </c>
      <c r="AN142" s="2" t="s">
        <v>74</v>
      </c>
      <c r="AO142" s="2" t="s">
        <v>143</v>
      </c>
      <c r="AP142" s="2" t="s">
        <v>144</v>
      </c>
      <c r="AQ142" s="2" t="s">
        <v>74</v>
      </c>
      <c r="AR142" s="2" t="s">
        <v>74</v>
      </c>
      <c r="AS142" s="2" t="s">
        <v>74</v>
      </c>
      <c r="AT142" s="2" t="s">
        <v>145</v>
      </c>
      <c r="AU142" s="2">
        <v>2020</v>
      </c>
      <c r="AV142" s="2">
        <v>166</v>
      </c>
      <c r="AW142" s="2" t="s">
        <v>74</v>
      </c>
      <c r="AX142" s="2" t="s">
        <v>74</v>
      </c>
      <c r="AY142" s="2" t="s">
        <v>74</v>
      </c>
      <c r="AZ142" s="2" t="s">
        <v>74</v>
      </c>
      <c r="BA142" s="2" t="s">
        <v>74</v>
      </c>
      <c r="BB142" s="2">
        <v>33</v>
      </c>
      <c r="BC142" s="2">
        <v>39</v>
      </c>
      <c r="BD142" s="2" t="s">
        <v>74</v>
      </c>
      <c r="BE142" s="2" t="s">
        <v>2082</v>
      </c>
      <c r="BF142" s="2" t="str">
        <f>HYPERLINK("http://dx.doi.org/10.1016/j.anbehav.2020.05.017","http://dx.doi.org/10.1016/j.anbehav.2020.05.017")</f>
        <v>http://dx.doi.org/10.1016/j.anbehav.2020.05.017</v>
      </c>
      <c r="BG142" s="2" t="s">
        <v>74</v>
      </c>
      <c r="BH142" s="2" t="s">
        <v>74</v>
      </c>
      <c r="BI142" s="2" t="s">
        <v>74</v>
      </c>
      <c r="BJ142" s="2" t="s">
        <v>74</v>
      </c>
      <c r="BK142" s="2" t="s">
        <v>74</v>
      </c>
      <c r="BL142" s="2" t="s">
        <v>74</v>
      </c>
      <c r="BM142" s="2" t="s">
        <v>74</v>
      </c>
      <c r="BN142" s="2" t="s">
        <v>74</v>
      </c>
      <c r="BO142" s="2" t="s">
        <v>74</v>
      </c>
      <c r="BP142" s="2" t="s">
        <v>74</v>
      </c>
      <c r="BQ142" s="2" t="s">
        <v>74</v>
      </c>
      <c r="BR142" s="2" t="s">
        <v>74</v>
      </c>
      <c r="BS142" s="2" t="s">
        <v>2083</v>
      </c>
      <c r="BT142" s="2" t="str">
        <f>HYPERLINK("https%3A%2F%2Fwww.webofscience.com%2Fwos%2Fwoscc%2Ffull-record%2FWOS:000555887500004","View Full Record in Web of Science")</f>
        <v>View Full Record in Web of Science</v>
      </c>
    </row>
    <row r="143" spans="1:72" s="2" customFormat="1" x14ac:dyDescent="0.4">
      <c r="A143" s="2" t="s">
        <v>72</v>
      </c>
      <c r="B143" s="2" t="s">
        <v>2263</v>
      </c>
      <c r="C143" s="2" t="s">
        <v>74</v>
      </c>
      <c r="D143" s="2" t="s">
        <v>74</v>
      </c>
      <c r="E143" s="2" t="s">
        <v>74</v>
      </c>
      <c r="F143" s="2" t="s">
        <v>2263</v>
      </c>
      <c r="G143" s="2" t="s">
        <v>74</v>
      </c>
      <c r="H143" s="2" t="s">
        <v>74</v>
      </c>
      <c r="I143" s="2" t="s">
        <v>2264</v>
      </c>
      <c r="J143" s="2" t="s">
        <v>2265</v>
      </c>
      <c r="K143" s="2" t="s">
        <v>74</v>
      </c>
      <c r="L143" s="2" t="s">
        <v>74</v>
      </c>
      <c r="M143" s="2" t="s">
        <v>74</v>
      </c>
      <c r="N143" s="2" t="s">
        <v>74</v>
      </c>
      <c r="O143" s="2" t="s">
        <v>74</v>
      </c>
      <c r="P143" s="2" t="s">
        <v>74</v>
      </c>
      <c r="Q143" s="2" t="s">
        <v>74</v>
      </c>
      <c r="R143" s="2" t="s">
        <v>74</v>
      </c>
      <c r="S143" s="2" t="s">
        <v>74</v>
      </c>
      <c r="T143" s="2" t="s">
        <v>74</v>
      </c>
      <c r="U143" s="2" t="s">
        <v>74</v>
      </c>
      <c r="V143" s="5" t="s">
        <v>2266</v>
      </c>
      <c r="W143" s="2" t="s">
        <v>74</v>
      </c>
      <c r="X143" s="2" t="s">
        <v>74</v>
      </c>
      <c r="Y143" s="2" t="s">
        <v>74</v>
      </c>
      <c r="Z143" s="2" t="s">
        <v>74</v>
      </c>
      <c r="AA143" s="2" t="s">
        <v>2267</v>
      </c>
      <c r="AB143" s="2" t="s">
        <v>2268</v>
      </c>
      <c r="AC143" s="2" t="s">
        <v>74</v>
      </c>
      <c r="AD143" s="2" t="s">
        <v>74</v>
      </c>
      <c r="AE143" s="2" t="s">
        <v>74</v>
      </c>
      <c r="AF143" s="2" t="s">
        <v>74</v>
      </c>
      <c r="AG143" s="2" t="s">
        <v>74</v>
      </c>
      <c r="AH143" s="2" t="s">
        <v>74</v>
      </c>
      <c r="AI143" s="2" t="s">
        <v>74</v>
      </c>
      <c r="AJ143" s="2" t="s">
        <v>74</v>
      </c>
      <c r="AK143" s="2" t="s">
        <v>74</v>
      </c>
      <c r="AL143" s="2" t="s">
        <v>74</v>
      </c>
      <c r="AM143" s="2" t="s">
        <v>74</v>
      </c>
      <c r="AN143" s="2" t="s">
        <v>74</v>
      </c>
      <c r="AO143" s="2" t="s">
        <v>2269</v>
      </c>
      <c r="AP143" s="2" t="s">
        <v>2270</v>
      </c>
      <c r="AQ143" s="2" t="s">
        <v>74</v>
      </c>
      <c r="AR143" s="2" t="s">
        <v>74</v>
      </c>
      <c r="AS143" s="2" t="s">
        <v>74</v>
      </c>
      <c r="AT143" s="2" t="s">
        <v>74</v>
      </c>
      <c r="AU143" s="2">
        <v>2004</v>
      </c>
      <c r="AV143" s="2">
        <v>28</v>
      </c>
      <c r="AW143" s="2">
        <v>1</v>
      </c>
      <c r="AX143" s="2" t="s">
        <v>74</v>
      </c>
      <c r="AY143" s="2" t="s">
        <v>74</v>
      </c>
      <c r="AZ143" s="2" t="s">
        <v>74</v>
      </c>
      <c r="BA143" s="2" t="s">
        <v>74</v>
      </c>
      <c r="BB143" s="2">
        <v>93</v>
      </c>
      <c r="BC143" s="2">
        <v>103</v>
      </c>
      <c r="BD143" s="2" t="s">
        <v>74</v>
      </c>
      <c r="BE143" s="2" t="s">
        <v>74</v>
      </c>
      <c r="BF143" s="2" t="s">
        <v>74</v>
      </c>
      <c r="BG143" s="2" t="s">
        <v>74</v>
      </c>
      <c r="BH143" s="2" t="s">
        <v>74</v>
      </c>
      <c r="BI143" s="2" t="s">
        <v>74</v>
      </c>
      <c r="BJ143" s="2" t="s">
        <v>74</v>
      </c>
      <c r="BK143" s="2" t="s">
        <v>74</v>
      </c>
      <c r="BL143" s="2" t="s">
        <v>74</v>
      </c>
      <c r="BM143" s="2" t="s">
        <v>74</v>
      </c>
      <c r="BN143" s="2" t="s">
        <v>74</v>
      </c>
      <c r="BO143" s="2" t="s">
        <v>74</v>
      </c>
      <c r="BP143" s="2" t="s">
        <v>74</v>
      </c>
      <c r="BQ143" s="2" t="s">
        <v>74</v>
      </c>
      <c r="BR143" s="2" t="s">
        <v>74</v>
      </c>
      <c r="BS143" s="2" t="s">
        <v>2271</v>
      </c>
      <c r="BT143" s="2" t="str">
        <f>HYPERLINK("https%3A%2F%2Fwww.webofscience.com%2Fwos%2Fwoscc%2Ffull-record%2FWOS:000223581700009","View Full Record in Web of Science")</f>
        <v>View Full Record in Web of Science</v>
      </c>
    </row>
    <row r="144" spans="1:72" s="2" customFormat="1" x14ac:dyDescent="0.4">
      <c r="A144" s="2" t="s">
        <v>72</v>
      </c>
      <c r="B144" s="2" t="s">
        <v>3775</v>
      </c>
      <c r="C144" s="2" t="s">
        <v>74</v>
      </c>
      <c r="D144" s="2" t="s">
        <v>74</v>
      </c>
      <c r="E144" s="2" t="s">
        <v>74</v>
      </c>
      <c r="F144" s="2" t="s">
        <v>3776</v>
      </c>
      <c r="G144" s="2" t="s">
        <v>74</v>
      </c>
      <c r="H144" s="2" t="s">
        <v>74</v>
      </c>
      <c r="I144" s="2" t="s">
        <v>3777</v>
      </c>
      <c r="J144" s="2" t="s">
        <v>691</v>
      </c>
      <c r="K144" s="2" t="s">
        <v>74</v>
      </c>
      <c r="L144" s="2" t="s">
        <v>74</v>
      </c>
      <c r="M144" s="2" t="s">
        <v>74</v>
      </c>
      <c r="N144" s="2" t="s">
        <v>74</v>
      </c>
      <c r="O144" s="2" t="s">
        <v>74</v>
      </c>
      <c r="P144" s="2" t="s">
        <v>74</v>
      </c>
      <c r="Q144" s="2" t="s">
        <v>74</v>
      </c>
      <c r="R144" s="2" t="s">
        <v>74</v>
      </c>
      <c r="S144" s="2" t="s">
        <v>74</v>
      </c>
      <c r="T144" s="2" t="s">
        <v>74</v>
      </c>
      <c r="U144" s="2" t="s">
        <v>74</v>
      </c>
      <c r="V144" s="5" t="s">
        <v>3778</v>
      </c>
      <c r="W144" s="2" t="s">
        <v>74</v>
      </c>
      <c r="X144" s="2" t="s">
        <v>74</v>
      </c>
      <c r="Y144" s="2" t="s">
        <v>74</v>
      </c>
      <c r="Z144" s="2" t="s">
        <v>74</v>
      </c>
      <c r="AA144" s="2" t="s">
        <v>3779</v>
      </c>
      <c r="AB144" s="2" t="s">
        <v>3780</v>
      </c>
      <c r="AC144" s="2" t="s">
        <v>74</v>
      </c>
      <c r="AD144" s="2" t="s">
        <v>74</v>
      </c>
      <c r="AE144" s="2" t="s">
        <v>74</v>
      </c>
      <c r="AF144" s="2" t="s">
        <v>74</v>
      </c>
      <c r="AG144" s="2" t="s">
        <v>74</v>
      </c>
      <c r="AH144" s="2" t="s">
        <v>74</v>
      </c>
      <c r="AI144" s="2" t="s">
        <v>74</v>
      </c>
      <c r="AJ144" s="2" t="s">
        <v>74</v>
      </c>
      <c r="AK144" s="2" t="s">
        <v>74</v>
      </c>
      <c r="AL144" s="2" t="s">
        <v>74</v>
      </c>
      <c r="AM144" s="2" t="s">
        <v>74</v>
      </c>
      <c r="AN144" s="2" t="s">
        <v>74</v>
      </c>
      <c r="AO144" s="2" t="s">
        <v>695</v>
      </c>
      <c r="AP144" s="2" t="s">
        <v>74</v>
      </c>
      <c r="AQ144" s="2" t="s">
        <v>74</v>
      </c>
      <c r="AR144" s="2" t="s">
        <v>74</v>
      </c>
      <c r="AS144" s="2" t="s">
        <v>74</v>
      </c>
      <c r="AT144" s="2" t="s">
        <v>255</v>
      </c>
      <c r="AU144" s="2">
        <v>2015</v>
      </c>
      <c r="AV144" s="2">
        <v>138</v>
      </c>
      <c r="AW144" s="2" t="s">
        <v>74</v>
      </c>
      <c r="AX144" s="2" t="s">
        <v>74</v>
      </c>
      <c r="AY144" s="2" t="s">
        <v>74</v>
      </c>
      <c r="AZ144" s="2" t="s">
        <v>74</v>
      </c>
      <c r="BA144" s="2" t="s">
        <v>74</v>
      </c>
      <c r="BB144" s="2">
        <v>52</v>
      </c>
      <c r="BC144" s="2">
        <v>57</v>
      </c>
      <c r="BD144" s="2" t="s">
        <v>74</v>
      </c>
      <c r="BE144" s="2" t="s">
        <v>3781</v>
      </c>
      <c r="BF144" s="2" t="str">
        <f>HYPERLINK("http://dx.doi.org/10.1016/j.physbeh.2014.10.003","http://dx.doi.org/10.1016/j.physbeh.2014.10.003")</f>
        <v>http://dx.doi.org/10.1016/j.physbeh.2014.10.003</v>
      </c>
      <c r="BG144" s="2" t="s">
        <v>74</v>
      </c>
      <c r="BH144" s="2" t="s">
        <v>74</v>
      </c>
      <c r="BI144" s="2" t="s">
        <v>74</v>
      </c>
      <c r="BJ144" s="2" t="s">
        <v>74</v>
      </c>
      <c r="BK144" s="2" t="s">
        <v>74</v>
      </c>
      <c r="BL144" s="2" t="s">
        <v>74</v>
      </c>
      <c r="BM144" s="2" t="s">
        <v>74</v>
      </c>
      <c r="BN144" s="2">
        <v>25447479</v>
      </c>
      <c r="BO144" s="2" t="s">
        <v>74</v>
      </c>
      <c r="BP144" s="2" t="s">
        <v>74</v>
      </c>
      <c r="BQ144" s="2" t="s">
        <v>74</v>
      </c>
      <c r="BR144" s="2" t="s">
        <v>74</v>
      </c>
      <c r="BS144" s="2" t="s">
        <v>3782</v>
      </c>
      <c r="BT144" s="2" t="str">
        <f>HYPERLINK("https%3A%2F%2Fwww.webofscience.com%2Fwos%2Fwoscc%2Ffull-record%2FWOS:000348882900007","View Full Record in Web of Science")</f>
        <v>View Full Record in Web of Science</v>
      </c>
    </row>
    <row r="145" spans="1:72" s="2" customFormat="1" x14ac:dyDescent="0.4">
      <c r="A145" s="2" t="s">
        <v>72</v>
      </c>
      <c r="B145" s="2" t="s">
        <v>3544</v>
      </c>
      <c r="C145" s="2" t="s">
        <v>74</v>
      </c>
      <c r="D145" s="2" t="s">
        <v>74</v>
      </c>
      <c r="E145" s="2" t="s">
        <v>74</v>
      </c>
      <c r="F145" s="2" t="s">
        <v>3545</v>
      </c>
      <c r="G145" s="2" t="s">
        <v>74</v>
      </c>
      <c r="H145" s="2" t="s">
        <v>74</v>
      </c>
      <c r="I145" s="2" t="s">
        <v>3546</v>
      </c>
      <c r="J145" s="2" t="s">
        <v>731</v>
      </c>
      <c r="K145" s="2" t="s">
        <v>74</v>
      </c>
      <c r="L145" s="2" t="s">
        <v>74</v>
      </c>
      <c r="M145" s="2" t="s">
        <v>74</v>
      </c>
      <c r="N145" s="2" t="s">
        <v>74</v>
      </c>
      <c r="O145" s="2" t="s">
        <v>74</v>
      </c>
      <c r="P145" s="2" t="s">
        <v>74</v>
      </c>
      <c r="Q145" s="2" t="s">
        <v>74</v>
      </c>
      <c r="R145" s="2" t="s">
        <v>74</v>
      </c>
      <c r="S145" s="2" t="s">
        <v>74</v>
      </c>
      <c r="T145" s="2" t="s">
        <v>74</v>
      </c>
      <c r="U145" s="2" t="s">
        <v>74</v>
      </c>
      <c r="V145" s="5" t="s">
        <v>3547</v>
      </c>
      <c r="W145" s="2" t="s">
        <v>74</v>
      </c>
      <c r="X145" s="2" t="s">
        <v>74</v>
      </c>
      <c r="Y145" s="2" t="s">
        <v>74</v>
      </c>
      <c r="Z145" s="2" t="s">
        <v>74</v>
      </c>
      <c r="AA145" s="2" t="s">
        <v>3548</v>
      </c>
      <c r="AB145" s="2" t="s">
        <v>3549</v>
      </c>
      <c r="AC145" s="2" t="s">
        <v>74</v>
      </c>
      <c r="AD145" s="2" t="s">
        <v>74</v>
      </c>
      <c r="AE145" s="2" t="s">
        <v>74</v>
      </c>
      <c r="AF145" s="2" t="s">
        <v>74</v>
      </c>
      <c r="AG145" s="2" t="s">
        <v>74</v>
      </c>
      <c r="AH145" s="2" t="s">
        <v>74</v>
      </c>
      <c r="AI145" s="2" t="s">
        <v>74</v>
      </c>
      <c r="AJ145" s="2" t="s">
        <v>74</v>
      </c>
      <c r="AK145" s="2" t="s">
        <v>74</v>
      </c>
      <c r="AL145" s="2" t="s">
        <v>74</v>
      </c>
      <c r="AM145" s="2" t="s">
        <v>74</v>
      </c>
      <c r="AN145" s="2" t="s">
        <v>74</v>
      </c>
      <c r="AO145" s="2" t="s">
        <v>733</v>
      </c>
      <c r="AP145" s="2" t="s">
        <v>734</v>
      </c>
      <c r="AQ145" s="2" t="s">
        <v>74</v>
      </c>
      <c r="AR145" s="2" t="s">
        <v>74</v>
      </c>
      <c r="AS145" s="2" t="s">
        <v>74</v>
      </c>
      <c r="AT145" s="2" t="s">
        <v>3445</v>
      </c>
      <c r="AU145" s="2">
        <v>2015</v>
      </c>
      <c r="AV145" s="2">
        <v>291</v>
      </c>
      <c r="AW145" s="2" t="s">
        <v>74</v>
      </c>
      <c r="AX145" s="2" t="s">
        <v>74</v>
      </c>
      <c r="AY145" s="2" t="s">
        <v>74</v>
      </c>
      <c r="AZ145" s="2" t="s">
        <v>74</v>
      </c>
      <c r="BA145" s="2" t="s">
        <v>74</v>
      </c>
      <c r="BB145" s="2">
        <v>103</v>
      </c>
      <c r="BC145" s="2">
        <v>107</v>
      </c>
      <c r="BD145" s="2" t="s">
        <v>74</v>
      </c>
      <c r="BE145" s="2" t="s">
        <v>3550</v>
      </c>
      <c r="BF145" s="2" t="str">
        <f>HYPERLINK("http://dx.doi.org/10.1016/j.bbr.2015.05.011","http://dx.doi.org/10.1016/j.bbr.2015.05.011")</f>
        <v>http://dx.doi.org/10.1016/j.bbr.2015.05.011</v>
      </c>
      <c r="BG145" s="2" t="s">
        <v>74</v>
      </c>
      <c r="BH145" s="2" t="s">
        <v>74</v>
      </c>
      <c r="BI145" s="2" t="s">
        <v>74</v>
      </c>
      <c r="BJ145" s="2" t="s">
        <v>74</v>
      </c>
      <c r="BK145" s="2" t="s">
        <v>74</v>
      </c>
      <c r="BL145" s="2" t="s">
        <v>74</v>
      </c>
      <c r="BM145" s="2" t="s">
        <v>74</v>
      </c>
      <c r="BN145" s="2">
        <v>25997582</v>
      </c>
      <c r="BO145" s="2" t="s">
        <v>74</v>
      </c>
      <c r="BP145" s="2" t="s">
        <v>74</v>
      </c>
      <c r="BQ145" s="2" t="s">
        <v>74</v>
      </c>
      <c r="BR145" s="2" t="s">
        <v>74</v>
      </c>
      <c r="BS145" s="2" t="s">
        <v>3551</v>
      </c>
      <c r="BT145" s="2" t="str">
        <f>HYPERLINK("https%3A%2F%2Fwww.webofscience.com%2Fwos%2Fwoscc%2Ffull-record%2FWOS:000358454800012","View Full Record in Web of Science")</f>
        <v>View Full Record in Web of Science</v>
      </c>
    </row>
    <row r="146" spans="1:72" s="2" customFormat="1" x14ac:dyDescent="0.4">
      <c r="A146" s="2" t="s">
        <v>72</v>
      </c>
      <c r="B146" s="2" t="s">
        <v>289</v>
      </c>
      <c r="C146" s="2" t="s">
        <v>74</v>
      </c>
      <c r="D146" s="2" t="s">
        <v>74</v>
      </c>
      <c r="E146" s="2" t="s">
        <v>74</v>
      </c>
      <c r="F146" s="2" t="s">
        <v>290</v>
      </c>
      <c r="G146" s="2" t="s">
        <v>74</v>
      </c>
      <c r="H146" s="2" t="s">
        <v>74</v>
      </c>
      <c r="I146" s="2" t="s">
        <v>291</v>
      </c>
      <c r="J146" s="2" t="s">
        <v>140</v>
      </c>
      <c r="K146" s="2" t="s">
        <v>74</v>
      </c>
      <c r="L146" s="2" t="s">
        <v>74</v>
      </c>
      <c r="M146" s="2" t="s">
        <v>74</v>
      </c>
      <c r="N146" s="2" t="s">
        <v>74</v>
      </c>
      <c r="O146" s="2" t="s">
        <v>74</v>
      </c>
      <c r="P146" s="2" t="s">
        <v>74</v>
      </c>
      <c r="Q146" s="2" t="s">
        <v>74</v>
      </c>
      <c r="R146" s="2" t="s">
        <v>74</v>
      </c>
      <c r="S146" s="2" t="s">
        <v>74</v>
      </c>
      <c r="T146" s="2" t="s">
        <v>74</v>
      </c>
      <c r="U146" s="2" t="s">
        <v>74</v>
      </c>
      <c r="V146" s="5" t="s">
        <v>292</v>
      </c>
      <c r="W146" s="2" t="s">
        <v>74</v>
      </c>
      <c r="X146" s="2" t="s">
        <v>74</v>
      </c>
      <c r="Y146" s="2" t="s">
        <v>74</v>
      </c>
      <c r="Z146" s="2" t="s">
        <v>74</v>
      </c>
      <c r="AA146" s="2" t="s">
        <v>74</v>
      </c>
      <c r="AB146" s="2" t="s">
        <v>293</v>
      </c>
      <c r="AC146" s="2" t="s">
        <v>74</v>
      </c>
      <c r="AD146" s="2" t="s">
        <v>74</v>
      </c>
      <c r="AE146" s="2" t="s">
        <v>74</v>
      </c>
      <c r="AF146" s="2" t="s">
        <v>74</v>
      </c>
      <c r="AG146" s="2" t="s">
        <v>74</v>
      </c>
      <c r="AH146" s="2" t="s">
        <v>74</v>
      </c>
      <c r="AI146" s="2" t="s">
        <v>74</v>
      </c>
      <c r="AJ146" s="2" t="s">
        <v>74</v>
      </c>
      <c r="AK146" s="2" t="s">
        <v>74</v>
      </c>
      <c r="AL146" s="2" t="s">
        <v>74</v>
      </c>
      <c r="AM146" s="2" t="s">
        <v>74</v>
      </c>
      <c r="AN146" s="2" t="s">
        <v>74</v>
      </c>
      <c r="AO146" s="2" t="s">
        <v>143</v>
      </c>
      <c r="AP146" s="2" t="s">
        <v>144</v>
      </c>
      <c r="AQ146" s="2" t="s">
        <v>74</v>
      </c>
      <c r="AR146" s="2" t="s">
        <v>74</v>
      </c>
      <c r="AS146" s="2" t="s">
        <v>74</v>
      </c>
      <c r="AT146" s="2" t="s">
        <v>175</v>
      </c>
      <c r="AU146" s="2">
        <v>2015</v>
      </c>
      <c r="AV146" s="2">
        <v>108</v>
      </c>
      <c r="AW146" s="2" t="s">
        <v>74</v>
      </c>
      <c r="AX146" s="2" t="s">
        <v>74</v>
      </c>
      <c r="AY146" s="2" t="s">
        <v>74</v>
      </c>
      <c r="AZ146" s="2" t="s">
        <v>74</v>
      </c>
      <c r="BA146" s="2" t="s">
        <v>74</v>
      </c>
      <c r="BB146" s="2">
        <v>199</v>
      </c>
      <c r="BC146" s="2">
        <v>206</v>
      </c>
      <c r="BD146" s="2" t="s">
        <v>74</v>
      </c>
      <c r="BE146" s="2" t="s">
        <v>294</v>
      </c>
      <c r="BF146" s="2" t="str">
        <f>HYPERLINK("http://dx.doi.org/10.1016/j.anbehav.2015.07.026","http://dx.doi.org/10.1016/j.anbehav.2015.07.026")</f>
        <v>http://dx.doi.org/10.1016/j.anbehav.2015.07.026</v>
      </c>
      <c r="BG146" s="2" t="s">
        <v>74</v>
      </c>
      <c r="BH146" s="2" t="s">
        <v>74</v>
      </c>
      <c r="BI146" s="2" t="s">
        <v>74</v>
      </c>
      <c r="BJ146" s="2" t="s">
        <v>74</v>
      </c>
      <c r="BK146" s="2" t="s">
        <v>74</v>
      </c>
      <c r="BL146" s="2" t="s">
        <v>74</v>
      </c>
      <c r="BM146" s="2" t="s">
        <v>74</v>
      </c>
      <c r="BN146" s="2">
        <v>29657330</v>
      </c>
      <c r="BO146" s="2" t="s">
        <v>74</v>
      </c>
      <c r="BP146" s="2" t="s">
        <v>74</v>
      </c>
      <c r="BQ146" s="2" t="s">
        <v>74</v>
      </c>
      <c r="BR146" s="2" t="s">
        <v>74</v>
      </c>
      <c r="BS146" s="2" t="s">
        <v>295</v>
      </c>
      <c r="BT146" s="2" t="str">
        <f>HYPERLINK("https%3A%2F%2Fwww.webofscience.com%2Fwos%2Fwoscc%2Ffull-record%2FWOS:000361570000024","View Full Record in Web of Science")</f>
        <v>View Full Record in Web of Science</v>
      </c>
    </row>
    <row r="147" spans="1:72" s="2" customFormat="1" x14ac:dyDescent="0.4">
      <c r="A147" s="2" t="s">
        <v>72</v>
      </c>
      <c r="B147" s="2" t="s">
        <v>5991</v>
      </c>
      <c r="C147" s="2" t="s">
        <v>74</v>
      </c>
      <c r="D147" s="2" t="s">
        <v>74</v>
      </c>
      <c r="E147" s="2" t="s">
        <v>74</v>
      </c>
      <c r="F147" s="2" t="s">
        <v>5992</v>
      </c>
      <c r="G147" s="2" t="s">
        <v>74</v>
      </c>
      <c r="H147" s="2" t="s">
        <v>74</v>
      </c>
      <c r="I147" s="2" t="s">
        <v>5993</v>
      </c>
      <c r="J147" s="2" t="s">
        <v>5994</v>
      </c>
      <c r="K147" s="2" t="s">
        <v>74</v>
      </c>
      <c r="L147" s="2" t="s">
        <v>74</v>
      </c>
      <c r="M147" s="2" t="s">
        <v>74</v>
      </c>
      <c r="N147" s="2" t="s">
        <v>74</v>
      </c>
      <c r="O147" s="2" t="s">
        <v>74</v>
      </c>
      <c r="P147" s="2" t="s">
        <v>74</v>
      </c>
      <c r="Q147" s="2" t="s">
        <v>74</v>
      </c>
      <c r="R147" s="2" t="s">
        <v>74</v>
      </c>
      <c r="S147" s="2" t="s">
        <v>74</v>
      </c>
      <c r="T147" s="2" t="s">
        <v>74</v>
      </c>
      <c r="U147" s="2" t="s">
        <v>74</v>
      </c>
      <c r="V147" s="5" t="s">
        <v>5995</v>
      </c>
      <c r="W147" s="2" t="s">
        <v>74</v>
      </c>
      <c r="X147" s="2" t="s">
        <v>74</v>
      </c>
      <c r="Y147" s="2" t="s">
        <v>74</v>
      </c>
      <c r="Z147" s="2" t="s">
        <v>74</v>
      </c>
      <c r="AA147" s="2" t="s">
        <v>74</v>
      </c>
      <c r="AB147" s="2" t="s">
        <v>74</v>
      </c>
      <c r="AC147" s="2" t="s">
        <v>74</v>
      </c>
      <c r="AD147" s="2" t="s">
        <v>74</v>
      </c>
      <c r="AE147" s="2" t="s">
        <v>74</v>
      </c>
      <c r="AF147" s="2" t="s">
        <v>74</v>
      </c>
      <c r="AG147" s="2" t="s">
        <v>74</v>
      </c>
      <c r="AH147" s="2" t="s">
        <v>74</v>
      </c>
      <c r="AI147" s="2" t="s">
        <v>74</v>
      </c>
      <c r="AJ147" s="2" t="s">
        <v>74</v>
      </c>
      <c r="AK147" s="2" t="s">
        <v>74</v>
      </c>
      <c r="AL147" s="2" t="s">
        <v>74</v>
      </c>
      <c r="AM147" s="2" t="s">
        <v>74</v>
      </c>
      <c r="AN147" s="2" t="s">
        <v>74</v>
      </c>
      <c r="AO147" s="2" t="s">
        <v>5996</v>
      </c>
      <c r="AP147" s="2" t="s">
        <v>5997</v>
      </c>
      <c r="AQ147" s="2" t="s">
        <v>74</v>
      </c>
      <c r="AR147" s="2" t="s">
        <v>74</v>
      </c>
      <c r="AS147" s="2" t="s">
        <v>74</v>
      </c>
      <c r="AT147" s="2" t="s">
        <v>305</v>
      </c>
      <c r="AU147" s="2">
        <v>2022</v>
      </c>
      <c r="AV147" s="2">
        <v>45</v>
      </c>
      <c r="AW147" s="2">
        <v>4</v>
      </c>
      <c r="AX147" s="2" t="s">
        <v>74</v>
      </c>
      <c r="AY147" s="2" t="s">
        <v>74</v>
      </c>
      <c r="AZ147" s="2" t="s">
        <v>74</v>
      </c>
      <c r="BA147" s="2" t="s">
        <v>74</v>
      </c>
      <c r="BB147" s="2">
        <v>461</v>
      </c>
      <c r="BC147" s="2">
        <v>466</v>
      </c>
      <c r="BD147" s="2" t="s">
        <v>74</v>
      </c>
      <c r="BE147" s="2" t="s">
        <v>5998</v>
      </c>
      <c r="BF147" s="2" t="str">
        <f>HYPERLINK("http://dx.doi.org/10.1675/063.045.0410","http://dx.doi.org/10.1675/063.045.0410")</f>
        <v>http://dx.doi.org/10.1675/063.045.0410</v>
      </c>
      <c r="BG147" s="2" t="s">
        <v>74</v>
      </c>
      <c r="BH147" s="2" t="s">
        <v>74</v>
      </c>
      <c r="BI147" s="2" t="s">
        <v>74</v>
      </c>
      <c r="BJ147" s="2" t="s">
        <v>74</v>
      </c>
      <c r="BK147" s="2" t="s">
        <v>74</v>
      </c>
      <c r="BL147" s="2" t="s">
        <v>74</v>
      </c>
      <c r="BM147" s="2" t="s">
        <v>74</v>
      </c>
      <c r="BN147" s="2" t="s">
        <v>74</v>
      </c>
      <c r="BO147" s="2" t="s">
        <v>74</v>
      </c>
      <c r="BP147" s="2" t="s">
        <v>74</v>
      </c>
      <c r="BQ147" s="2" t="s">
        <v>74</v>
      </c>
      <c r="BR147" s="2" t="s">
        <v>74</v>
      </c>
      <c r="BS147" s="2" t="s">
        <v>5999</v>
      </c>
      <c r="BT147" s="2" t="str">
        <f>HYPERLINK("https%3A%2F%2Fwww.webofscience.com%2Fwos%2Fwoscc%2Ffull-record%2FWOS:001075551200010","View Full Record in Web of Science")</f>
        <v>View Full Record in Web of Science</v>
      </c>
    </row>
    <row r="148" spans="1:72" s="2" customFormat="1" x14ac:dyDescent="0.4">
      <c r="A148" s="2" t="s">
        <v>72</v>
      </c>
      <c r="B148" s="2" t="s">
        <v>4386</v>
      </c>
      <c r="C148" s="2" t="s">
        <v>74</v>
      </c>
      <c r="D148" s="2" t="s">
        <v>74</v>
      </c>
      <c r="E148" s="2" t="s">
        <v>74</v>
      </c>
      <c r="F148" s="2" t="s">
        <v>4386</v>
      </c>
      <c r="G148" s="2" t="s">
        <v>74</v>
      </c>
      <c r="H148" s="2" t="s">
        <v>74</v>
      </c>
      <c r="I148" s="2" t="s">
        <v>4387</v>
      </c>
      <c r="J148" s="2" t="s">
        <v>333</v>
      </c>
      <c r="K148" s="2" t="s">
        <v>74</v>
      </c>
      <c r="L148" s="2" t="s">
        <v>74</v>
      </c>
      <c r="M148" s="2" t="s">
        <v>74</v>
      </c>
      <c r="N148" s="2" t="s">
        <v>74</v>
      </c>
      <c r="O148" s="2" t="s">
        <v>74</v>
      </c>
      <c r="P148" s="2" t="s">
        <v>74</v>
      </c>
      <c r="Q148" s="2" t="s">
        <v>74</v>
      </c>
      <c r="R148" s="2" t="s">
        <v>74</v>
      </c>
      <c r="S148" s="2" t="s">
        <v>74</v>
      </c>
      <c r="T148" s="2" t="s">
        <v>74</v>
      </c>
      <c r="U148" s="2" t="s">
        <v>74</v>
      </c>
      <c r="V148" s="5" t="s">
        <v>4388</v>
      </c>
      <c r="W148" s="2" t="s">
        <v>74</v>
      </c>
      <c r="X148" s="2" t="s">
        <v>74</v>
      </c>
      <c r="Y148" s="2" t="s">
        <v>74</v>
      </c>
      <c r="Z148" s="2" t="s">
        <v>74</v>
      </c>
      <c r="AA148" s="2" t="s">
        <v>74</v>
      </c>
      <c r="AB148" s="2" t="s">
        <v>74</v>
      </c>
      <c r="AC148" s="2" t="s">
        <v>74</v>
      </c>
      <c r="AD148" s="2" t="s">
        <v>74</v>
      </c>
      <c r="AE148" s="2" t="s">
        <v>74</v>
      </c>
      <c r="AF148" s="2" t="s">
        <v>74</v>
      </c>
      <c r="AG148" s="2" t="s">
        <v>74</v>
      </c>
      <c r="AH148" s="2" t="s">
        <v>74</v>
      </c>
      <c r="AI148" s="2" t="s">
        <v>74</v>
      </c>
      <c r="AJ148" s="2" t="s">
        <v>74</v>
      </c>
      <c r="AK148" s="2" t="s">
        <v>74</v>
      </c>
      <c r="AL148" s="2" t="s">
        <v>74</v>
      </c>
      <c r="AM148" s="2" t="s">
        <v>74</v>
      </c>
      <c r="AN148" s="2" t="s">
        <v>74</v>
      </c>
      <c r="AO148" s="2" t="s">
        <v>337</v>
      </c>
      <c r="AP148" s="2" t="s">
        <v>338</v>
      </c>
      <c r="AQ148" s="2" t="s">
        <v>74</v>
      </c>
      <c r="AR148" s="2" t="s">
        <v>74</v>
      </c>
      <c r="AS148" s="2" t="s">
        <v>74</v>
      </c>
      <c r="AT148" s="2" t="s">
        <v>1013</v>
      </c>
      <c r="AU148" s="2">
        <v>1997</v>
      </c>
      <c r="AV148" s="2">
        <v>8</v>
      </c>
      <c r="AW148" s="2">
        <v>5</v>
      </c>
      <c r="AX148" s="2" t="s">
        <v>74</v>
      </c>
      <c r="AY148" s="2" t="s">
        <v>74</v>
      </c>
      <c r="AZ148" s="2" t="s">
        <v>74</v>
      </c>
      <c r="BA148" s="2" t="s">
        <v>74</v>
      </c>
      <c r="BB148" s="2">
        <v>506</v>
      </c>
      <c r="BC148" s="2">
        <v>517</v>
      </c>
      <c r="BD148" s="2" t="s">
        <v>74</v>
      </c>
      <c r="BE148" s="2" t="s">
        <v>4389</v>
      </c>
      <c r="BF148" s="2" t="str">
        <f>HYPERLINK("http://dx.doi.org/10.1093/beheco/8.5.506","http://dx.doi.org/10.1093/beheco/8.5.506")</f>
        <v>http://dx.doi.org/10.1093/beheco/8.5.506</v>
      </c>
      <c r="BG148" s="2" t="s">
        <v>74</v>
      </c>
      <c r="BH148" s="2" t="s">
        <v>74</v>
      </c>
      <c r="BI148" s="2" t="s">
        <v>74</v>
      </c>
      <c r="BJ148" s="2" t="s">
        <v>74</v>
      </c>
      <c r="BK148" s="2" t="s">
        <v>74</v>
      </c>
      <c r="BL148" s="2" t="s">
        <v>74</v>
      </c>
      <c r="BM148" s="2" t="s">
        <v>74</v>
      </c>
      <c r="BN148" s="2" t="s">
        <v>74</v>
      </c>
      <c r="BO148" s="2" t="s">
        <v>74</v>
      </c>
      <c r="BP148" s="2" t="s">
        <v>74</v>
      </c>
      <c r="BQ148" s="2" t="s">
        <v>74</v>
      </c>
      <c r="BR148" s="2" t="s">
        <v>74</v>
      </c>
      <c r="BS148" s="2" t="s">
        <v>4390</v>
      </c>
      <c r="BT148" s="2" t="str">
        <f>HYPERLINK("https%3A%2F%2Fwww.webofscience.com%2Fwos%2Fwoscc%2Ffull-record%2FWOS:A1997XX33800006","View Full Record in Web of Science")</f>
        <v>View Full Record in Web of Science</v>
      </c>
    </row>
    <row r="149" spans="1:72" s="2" customFormat="1" x14ac:dyDescent="0.4">
      <c r="A149" s="2" t="s">
        <v>72</v>
      </c>
      <c r="B149" s="2" t="s">
        <v>5001</v>
      </c>
      <c r="C149" s="2" t="s">
        <v>74</v>
      </c>
      <c r="D149" s="2" t="s">
        <v>74</v>
      </c>
      <c r="E149" s="2" t="s">
        <v>74</v>
      </c>
      <c r="F149" s="2" t="s">
        <v>5001</v>
      </c>
      <c r="G149" s="2" t="s">
        <v>74</v>
      </c>
      <c r="H149" s="2" t="s">
        <v>74</v>
      </c>
      <c r="I149" s="2" t="s">
        <v>5002</v>
      </c>
      <c r="J149" s="2" t="s">
        <v>1673</v>
      </c>
      <c r="K149" s="2" t="s">
        <v>74</v>
      </c>
      <c r="L149" s="2" t="s">
        <v>74</v>
      </c>
      <c r="M149" s="2" t="s">
        <v>74</v>
      </c>
      <c r="N149" s="2" t="s">
        <v>74</v>
      </c>
      <c r="O149" s="2" t="s">
        <v>74</v>
      </c>
      <c r="P149" s="2" t="s">
        <v>74</v>
      </c>
      <c r="Q149" s="2" t="s">
        <v>74</v>
      </c>
      <c r="R149" s="2" t="s">
        <v>74</v>
      </c>
      <c r="S149" s="2" t="s">
        <v>74</v>
      </c>
      <c r="T149" s="2" t="s">
        <v>74</v>
      </c>
      <c r="U149" s="2" t="s">
        <v>74</v>
      </c>
      <c r="V149" s="5" t="s">
        <v>5003</v>
      </c>
      <c r="W149" s="2" t="s">
        <v>74</v>
      </c>
      <c r="X149" s="2" t="s">
        <v>74</v>
      </c>
      <c r="Y149" s="2" t="s">
        <v>74</v>
      </c>
      <c r="Z149" s="2" t="s">
        <v>74</v>
      </c>
      <c r="AA149" s="2" t="s">
        <v>5004</v>
      </c>
      <c r="AB149" s="2" t="s">
        <v>5005</v>
      </c>
      <c r="AC149" s="2" t="s">
        <v>74</v>
      </c>
      <c r="AD149" s="2" t="s">
        <v>74</v>
      </c>
      <c r="AE149" s="2" t="s">
        <v>74</v>
      </c>
      <c r="AF149" s="2" t="s">
        <v>74</v>
      </c>
      <c r="AG149" s="2" t="s">
        <v>74</v>
      </c>
      <c r="AH149" s="2" t="s">
        <v>74</v>
      </c>
      <c r="AI149" s="2" t="s">
        <v>74</v>
      </c>
      <c r="AJ149" s="2" t="s">
        <v>74</v>
      </c>
      <c r="AK149" s="2" t="s">
        <v>74</v>
      </c>
      <c r="AL149" s="2" t="s">
        <v>74</v>
      </c>
      <c r="AM149" s="2" t="s">
        <v>74</v>
      </c>
      <c r="AN149" s="2" t="s">
        <v>74</v>
      </c>
      <c r="AO149" s="2" t="s">
        <v>1239</v>
      </c>
      <c r="AP149" s="2" t="s">
        <v>1675</v>
      </c>
      <c r="AQ149" s="2" t="s">
        <v>74</v>
      </c>
      <c r="AR149" s="2" t="s">
        <v>74</v>
      </c>
      <c r="AS149" s="2" t="s">
        <v>74</v>
      </c>
      <c r="AT149" s="2" t="s">
        <v>213</v>
      </c>
      <c r="AU149" s="2">
        <v>2003</v>
      </c>
      <c r="AV149" s="2">
        <v>81</v>
      </c>
      <c r="AW149" s="2">
        <v>11</v>
      </c>
      <c r="AX149" s="2" t="s">
        <v>74</v>
      </c>
      <c r="AY149" s="2" t="s">
        <v>74</v>
      </c>
      <c r="AZ149" s="2" t="s">
        <v>74</v>
      </c>
      <c r="BA149" s="2" t="s">
        <v>74</v>
      </c>
      <c r="BB149" s="2">
        <v>1781</v>
      </c>
      <c r="BC149" s="2">
        <v>1790</v>
      </c>
      <c r="BD149" s="2" t="s">
        <v>74</v>
      </c>
      <c r="BE149" s="2" t="s">
        <v>5006</v>
      </c>
      <c r="BF149" s="2" t="str">
        <f>HYPERLINK("http://dx.doi.org/10.1139/Z03-178","http://dx.doi.org/10.1139/Z03-178")</f>
        <v>http://dx.doi.org/10.1139/Z03-178</v>
      </c>
      <c r="BG149" s="2" t="s">
        <v>74</v>
      </c>
      <c r="BH149" s="2" t="s">
        <v>74</v>
      </c>
      <c r="BI149" s="2" t="s">
        <v>74</v>
      </c>
      <c r="BJ149" s="2" t="s">
        <v>74</v>
      </c>
      <c r="BK149" s="2" t="s">
        <v>74</v>
      </c>
      <c r="BL149" s="2" t="s">
        <v>74</v>
      </c>
      <c r="BM149" s="2" t="s">
        <v>74</v>
      </c>
      <c r="BN149" s="2" t="s">
        <v>74</v>
      </c>
      <c r="BO149" s="2" t="s">
        <v>74</v>
      </c>
      <c r="BP149" s="2" t="s">
        <v>74</v>
      </c>
      <c r="BQ149" s="2" t="s">
        <v>74</v>
      </c>
      <c r="BR149" s="2" t="s">
        <v>74</v>
      </c>
      <c r="BS149" s="2" t="s">
        <v>5007</v>
      </c>
      <c r="BT149" s="2" t="str">
        <f>HYPERLINK("https%3A%2F%2Fwww.webofscience.com%2Fwos%2Fwoscc%2Ffull-record%2FWOS:000188730300001","View Full Record in Web of Science")</f>
        <v>View Full Record in Web of Science</v>
      </c>
    </row>
    <row r="150" spans="1:72" s="2" customFormat="1" x14ac:dyDescent="0.4">
      <c r="A150" s="2" t="s">
        <v>72</v>
      </c>
      <c r="B150" s="2" t="s">
        <v>6990</v>
      </c>
      <c r="C150" s="2" t="s">
        <v>74</v>
      </c>
      <c r="D150" s="2" t="s">
        <v>74</v>
      </c>
      <c r="E150" s="2" t="s">
        <v>74</v>
      </c>
      <c r="F150" s="2" t="s">
        <v>6991</v>
      </c>
      <c r="G150" s="2" t="s">
        <v>74</v>
      </c>
      <c r="H150" s="2" t="s">
        <v>74</v>
      </c>
      <c r="I150" s="2" t="s">
        <v>6992</v>
      </c>
      <c r="J150" s="2" t="s">
        <v>408</v>
      </c>
      <c r="K150" s="2" t="s">
        <v>74</v>
      </c>
      <c r="L150" s="2" t="s">
        <v>74</v>
      </c>
      <c r="M150" s="2" t="s">
        <v>74</v>
      </c>
      <c r="N150" s="2" t="s">
        <v>74</v>
      </c>
      <c r="O150" s="2" t="s">
        <v>74</v>
      </c>
      <c r="P150" s="2" t="s">
        <v>74</v>
      </c>
      <c r="Q150" s="2" t="s">
        <v>74</v>
      </c>
      <c r="R150" s="2" t="s">
        <v>74</v>
      </c>
      <c r="S150" s="2" t="s">
        <v>74</v>
      </c>
      <c r="T150" s="2" t="s">
        <v>74</v>
      </c>
      <c r="U150" s="2" t="s">
        <v>74</v>
      </c>
      <c r="V150" s="5" t="s">
        <v>6993</v>
      </c>
      <c r="W150" s="2" t="s">
        <v>74</v>
      </c>
      <c r="X150" s="2" t="s">
        <v>74</v>
      </c>
      <c r="Y150" s="2" t="s">
        <v>74</v>
      </c>
      <c r="Z150" s="2" t="s">
        <v>74</v>
      </c>
      <c r="AA150" s="2" t="s">
        <v>74</v>
      </c>
      <c r="AB150" s="2" t="s">
        <v>74</v>
      </c>
      <c r="AC150" s="2" t="s">
        <v>74</v>
      </c>
      <c r="AD150" s="2" t="s">
        <v>74</v>
      </c>
      <c r="AE150" s="2" t="s">
        <v>74</v>
      </c>
      <c r="AF150" s="2" t="s">
        <v>74</v>
      </c>
      <c r="AG150" s="2" t="s">
        <v>74</v>
      </c>
      <c r="AH150" s="2" t="s">
        <v>74</v>
      </c>
      <c r="AI150" s="2" t="s">
        <v>74</v>
      </c>
      <c r="AJ150" s="2" t="s">
        <v>74</v>
      </c>
      <c r="AK150" s="2" t="s">
        <v>74</v>
      </c>
      <c r="AL150" s="2" t="s">
        <v>74</v>
      </c>
      <c r="AM150" s="2" t="s">
        <v>74</v>
      </c>
      <c r="AN150" s="2" t="s">
        <v>74</v>
      </c>
      <c r="AO150" s="2" t="s">
        <v>412</v>
      </c>
      <c r="AP150" s="2" t="s">
        <v>413</v>
      </c>
      <c r="AQ150" s="2" t="s">
        <v>74</v>
      </c>
      <c r="AR150" s="2" t="s">
        <v>74</v>
      </c>
      <c r="AS150" s="2" t="s">
        <v>74</v>
      </c>
      <c r="AT150" s="2" t="s">
        <v>123</v>
      </c>
      <c r="AU150" s="2">
        <v>2013</v>
      </c>
      <c r="AV150" s="2">
        <v>108</v>
      </c>
      <c r="AW150" s="2">
        <v>3</v>
      </c>
      <c r="AX150" s="2" t="s">
        <v>74</v>
      </c>
      <c r="AY150" s="2" t="s">
        <v>74</v>
      </c>
      <c r="AZ150" s="2" t="s">
        <v>74</v>
      </c>
      <c r="BA150" s="2" t="s">
        <v>74</v>
      </c>
      <c r="BB150" s="2">
        <v>636</v>
      </c>
      <c r="BC150" s="2">
        <v>646</v>
      </c>
      <c r="BD150" s="2" t="s">
        <v>74</v>
      </c>
      <c r="BE150" s="2" t="s">
        <v>6994</v>
      </c>
      <c r="BF150" s="2" t="str">
        <f>HYPERLINK("http://dx.doi.org/10.1111/bij.12003","http://dx.doi.org/10.1111/bij.12003")</f>
        <v>http://dx.doi.org/10.1111/bij.12003</v>
      </c>
      <c r="BG150" s="2" t="s">
        <v>74</v>
      </c>
      <c r="BH150" s="2" t="s">
        <v>74</v>
      </c>
      <c r="BI150" s="2" t="s">
        <v>74</v>
      </c>
      <c r="BJ150" s="2" t="s">
        <v>74</v>
      </c>
      <c r="BK150" s="2" t="s">
        <v>74</v>
      </c>
      <c r="BL150" s="2" t="s">
        <v>74</v>
      </c>
      <c r="BM150" s="2" t="s">
        <v>74</v>
      </c>
      <c r="BN150" s="2" t="s">
        <v>74</v>
      </c>
      <c r="BO150" s="2" t="s">
        <v>74</v>
      </c>
      <c r="BP150" s="2" t="s">
        <v>74</v>
      </c>
      <c r="BQ150" s="2" t="s">
        <v>74</v>
      </c>
      <c r="BR150" s="2" t="s">
        <v>74</v>
      </c>
      <c r="BS150" s="2" t="s">
        <v>6995</v>
      </c>
      <c r="BT150" s="2" t="str">
        <f>HYPERLINK("https%3A%2F%2Fwww.webofscience.com%2Fwos%2Fwoscc%2Ffull-record%2FWOS:000315120300013","View Full Record in Web of Science")</f>
        <v>View Full Record in Web of Science</v>
      </c>
    </row>
    <row r="151" spans="1:72" s="2" customFormat="1" x14ac:dyDescent="0.4">
      <c r="A151" s="2" t="s">
        <v>72</v>
      </c>
      <c r="B151" s="2" t="s">
        <v>3525</v>
      </c>
      <c r="C151" s="2" t="s">
        <v>74</v>
      </c>
      <c r="D151" s="2" t="s">
        <v>74</v>
      </c>
      <c r="E151" s="2" t="s">
        <v>74</v>
      </c>
      <c r="F151" s="2" t="s">
        <v>3526</v>
      </c>
      <c r="G151" s="2" t="s">
        <v>74</v>
      </c>
      <c r="H151" s="2" t="s">
        <v>74</v>
      </c>
      <c r="I151" s="2" t="s">
        <v>3527</v>
      </c>
      <c r="J151" s="2" t="s">
        <v>1198</v>
      </c>
      <c r="K151" s="2" t="s">
        <v>74</v>
      </c>
      <c r="L151" s="2" t="s">
        <v>74</v>
      </c>
      <c r="M151" s="2" t="s">
        <v>74</v>
      </c>
      <c r="N151" s="2" t="s">
        <v>74</v>
      </c>
      <c r="O151" s="2" t="s">
        <v>74</v>
      </c>
      <c r="P151" s="2" t="s">
        <v>74</v>
      </c>
      <c r="Q151" s="2" t="s">
        <v>74</v>
      </c>
      <c r="R151" s="2" t="s">
        <v>74</v>
      </c>
      <c r="S151" s="2" t="s">
        <v>74</v>
      </c>
      <c r="T151" s="2" t="s">
        <v>74</v>
      </c>
      <c r="U151" s="2" t="s">
        <v>74</v>
      </c>
      <c r="V151" s="5" t="s">
        <v>3528</v>
      </c>
      <c r="W151" s="2" t="s">
        <v>74</v>
      </c>
      <c r="X151" s="2" t="s">
        <v>74</v>
      </c>
      <c r="Y151" s="2" t="s">
        <v>74</v>
      </c>
      <c r="Z151" s="2" t="s">
        <v>74</v>
      </c>
      <c r="AA151" s="2" t="s">
        <v>74</v>
      </c>
      <c r="AB151" s="2" t="s">
        <v>74</v>
      </c>
      <c r="AC151" s="2" t="s">
        <v>74</v>
      </c>
      <c r="AD151" s="2" t="s">
        <v>74</v>
      </c>
      <c r="AE151" s="2" t="s">
        <v>74</v>
      </c>
      <c r="AF151" s="2" t="s">
        <v>74</v>
      </c>
      <c r="AG151" s="2" t="s">
        <v>74</v>
      </c>
      <c r="AH151" s="2" t="s">
        <v>74</v>
      </c>
      <c r="AI151" s="2" t="s">
        <v>74</v>
      </c>
      <c r="AJ151" s="2" t="s">
        <v>74</v>
      </c>
      <c r="AK151" s="2" t="s">
        <v>74</v>
      </c>
      <c r="AL151" s="2" t="s">
        <v>74</v>
      </c>
      <c r="AM151" s="2" t="s">
        <v>74</v>
      </c>
      <c r="AN151" s="2" t="s">
        <v>74</v>
      </c>
      <c r="AO151" s="2" t="s">
        <v>1202</v>
      </c>
      <c r="AP151" s="2" t="s">
        <v>1203</v>
      </c>
      <c r="AQ151" s="2" t="s">
        <v>74</v>
      </c>
      <c r="AR151" s="2" t="s">
        <v>74</v>
      </c>
      <c r="AS151" s="2" t="s">
        <v>74</v>
      </c>
      <c r="AT151" s="2" t="s">
        <v>305</v>
      </c>
      <c r="AU151" s="2">
        <v>2013</v>
      </c>
      <c r="AV151" s="2">
        <v>69</v>
      </c>
      <c r="AW151" s="2">
        <v>4</v>
      </c>
      <c r="AX151" s="2" t="s">
        <v>74</v>
      </c>
      <c r="AY151" s="2" t="s">
        <v>74</v>
      </c>
      <c r="AZ151" s="2" t="s">
        <v>74</v>
      </c>
      <c r="BA151" s="2" t="s">
        <v>74</v>
      </c>
      <c r="BB151" s="2">
        <v>436</v>
      </c>
      <c r="BC151" s="2">
        <v>444</v>
      </c>
      <c r="BD151" s="2" t="s">
        <v>74</v>
      </c>
      <c r="BE151" s="2" t="s">
        <v>74</v>
      </c>
      <c r="BF151" s="2" t="s">
        <v>74</v>
      </c>
      <c r="BG151" s="2" t="s">
        <v>74</v>
      </c>
      <c r="BH151" s="2" t="s">
        <v>74</v>
      </c>
      <c r="BI151" s="2" t="s">
        <v>74</v>
      </c>
      <c r="BJ151" s="2" t="s">
        <v>74</v>
      </c>
      <c r="BK151" s="2" t="s">
        <v>74</v>
      </c>
      <c r="BL151" s="2" t="s">
        <v>74</v>
      </c>
      <c r="BM151" s="2" t="s">
        <v>74</v>
      </c>
      <c r="BN151" s="2" t="s">
        <v>74</v>
      </c>
      <c r="BO151" s="2" t="s">
        <v>74</v>
      </c>
      <c r="BP151" s="2" t="s">
        <v>74</v>
      </c>
      <c r="BQ151" s="2" t="s">
        <v>74</v>
      </c>
      <c r="BR151" s="2" t="s">
        <v>74</v>
      </c>
      <c r="BS151" s="2" t="s">
        <v>3529</v>
      </c>
      <c r="BT151" s="2" t="str">
        <f>HYPERLINK("https%3A%2F%2Fwww.webofscience.com%2Fwos%2Fwoscc%2Ffull-record%2FWOS:000328539300005","View Full Record in Web of Science")</f>
        <v>View Full Record in Web of Science</v>
      </c>
    </row>
    <row r="152" spans="1:72" s="2" customFormat="1" x14ac:dyDescent="0.4">
      <c r="A152" s="2" t="s">
        <v>72</v>
      </c>
      <c r="B152" s="2" t="s">
        <v>7502</v>
      </c>
      <c r="C152" s="2" t="s">
        <v>74</v>
      </c>
      <c r="D152" s="2" t="s">
        <v>74</v>
      </c>
      <c r="E152" s="2" t="s">
        <v>74</v>
      </c>
      <c r="F152" s="2" t="s">
        <v>7503</v>
      </c>
      <c r="G152" s="2" t="s">
        <v>74</v>
      </c>
      <c r="H152" s="2" t="s">
        <v>74</v>
      </c>
      <c r="I152" s="2" t="s">
        <v>7504</v>
      </c>
      <c r="J152" s="2" t="s">
        <v>1755</v>
      </c>
      <c r="K152" s="2" t="s">
        <v>74</v>
      </c>
      <c r="L152" s="2" t="s">
        <v>74</v>
      </c>
      <c r="M152" s="2" t="s">
        <v>74</v>
      </c>
      <c r="N152" s="2" t="s">
        <v>74</v>
      </c>
      <c r="O152" s="2" t="s">
        <v>74</v>
      </c>
      <c r="P152" s="2" t="s">
        <v>74</v>
      </c>
      <c r="Q152" s="2" t="s">
        <v>74</v>
      </c>
      <c r="R152" s="2" t="s">
        <v>74</v>
      </c>
      <c r="S152" s="2" t="s">
        <v>74</v>
      </c>
      <c r="T152" s="2" t="s">
        <v>74</v>
      </c>
      <c r="U152" s="2" t="s">
        <v>74</v>
      </c>
      <c r="V152" s="5" t="s">
        <v>7505</v>
      </c>
      <c r="W152" s="2" t="s">
        <v>74</v>
      </c>
      <c r="X152" s="2" t="s">
        <v>74</v>
      </c>
      <c r="Y152" s="2" t="s">
        <v>74</v>
      </c>
      <c r="Z152" s="2" t="s">
        <v>74</v>
      </c>
      <c r="AA152" s="2" t="s">
        <v>7506</v>
      </c>
      <c r="AB152" s="2" t="s">
        <v>7507</v>
      </c>
      <c r="AC152" s="2" t="s">
        <v>74</v>
      </c>
      <c r="AD152" s="2" t="s">
        <v>74</v>
      </c>
      <c r="AE152" s="2" t="s">
        <v>74</v>
      </c>
      <c r="AF152" s="2" t="s">
        <v>74</v>
      </c>
      <c r="AG152" s="2" t="s">
        <v>74</v>
      </c>
      <c r="AH152" s="2" t="s">
        <v>74</v>
      </c>
      <c r="AI152" s="2" t="s">
        <v>74</v>
      </c>
      <c r="AJ152" s="2" t="s">
        <v>74</v>
      </c>
      <c r="AK152" s="2" t="s">
        <v>74</v>
      </c>
      <c r="AL152" s="2" t="s">
        <v>74</v>
      </c>
      <c r="AM152" s="2" t="s">
        <v>74</v>
      </c>
      <c r="AN152" s="2" t="s">
        <v>74</v>
      </c>
      <c r="AO152" s="2" t="s">
        <v>1759</v>
      </c>
      <c r="AP152" s="2" t="s">
        <v>1760</v>
      </c>
      <c r="AQ152" s="2" t="s">
        <v>74</v>
      </c>
      <c r="AR152" s="2" t="s">
        <v>74</v>
      </c>
      <c r="AS152" s="2" t="s">
        <v>74</v>
      </c>
      <c r="AT152" s="2" t="s">
        <v>255</v>
      </c>
      <c r="AU152" s="2">
        <v>2007</v>
      </c>
      <c r="AV152" s="2">
        <v>20</v>
      </c>
      <c r="AW152" s="2">
        <v>1</v>
      </c>
      <c r="AX152" s="2" t="s">
        <v>74</v>
      </c>
      <c r="AY152" s="2" t="s">
        <v>74</v>
      </c>
      <c r="AZ152" s="2" t="s">
        <v>74</v>
      </c>
      <c r="BA152" s="2" t="s">
        <v>74</v>
      </c>
      <c r="BB152" s="2">
        <v>87</v>
      </c>
      <c r="BC152" s="2">
        <v>98</v>
      </c>
      <c r="BD152" s="2" t="s">
        <v>74</v>
      </c>
      <c r="BE152" s="2" t="s">
        <v>7508</v>
      </c>
      <c r="BF152" s="2" t="str">
        <f>HYPERLINK("http://dx.doi.org/10.1007/s10905-006-9065-9","http://dx.doi.org/10.1007/s10905-006-9065-9")</f>
        <v>http://dx.doi.org/10.1007/s10905-006-9065-9</v>
      </c>
      <c r="BG152" s="2" t="s">
        <v>74</v>
      </c>
      <c r="BH152" s="2" t="s">
        <v>74</v>
      </c>
      <c r="BI152" s="2" t="s">
        <v>74</v>
      </c>
      <c r="BJ152" s="2" t="s">
        <v>74</v>
      </c>
      <c r="BK152" s="2" t="s">
        <v>74</v>
      </c>
      <c r="BL152" s="2" t="s">
        <v>74</v>
      </c>
      <c r="BM152" s="2" t="s">
        <v>74</v>
      </c>
      <c r="BN152" s="2" t="s">
        <v>74</v>
      </c>
      <c r="BO152" s="2" t="s">
        <v>74</v>
      </c>
      <c r="BP152" s="2" t="s">
        <v>74</v>
      </c>
      <c r="BQ152" s="2" t="s">
        <v>74</v>
      </c>
      <c r="BR152" s="2" t="s">
        <v>74</v>
      </c>
      <c r="BS152" s="2" t="s">
        <v>7509</v>
      </c>
      <c r="BT152" s="2" t="str">
        <f>HYPERLINK("https%3A%2F%2Fwww.webofscience.com%2Fwos%2Fwoscc%2Ffull-record%2FWOS:000243906500008","View Full Record in Web of Science")</f>
        <v>View Full Record in Web of Science</v>
      </c>
    </row>
    <row r="153" spans="1:72" s="2" customFormat="1" x14ac:dyDescent="0.4">
      <c r="A153" s="2" t="s">
        <v>72</v>
      </c>
      <c r="B153" s="2" t="s">
        <v>6952</v>
      </c>
      <c r="C153" s="2" t="s">
        <v>74</v>
      </c>
      <c r="D153" s="2" t="s">
        <v>74</v>
      </c>
      <c r="E153" s="2" t="s">
        <v>74</v>
      </c>
      <c r="F153" s="2" t="s">
        <v>6953</v>
      </c>
      <c r="G153" s="2" t="s">
        <v>74</v>
      </c>
      <c r="H153" s="2" t="s">
        <v>74</v>
      </c>
      <c r="I153" s="2" t="s">
        <v>6954</v>
      </c>
      <c r="J153" s="2" t="s">
        <v>1396</v>
      </c>
      <c r="K153" s="2" t="s">
        <v>74</v>
      </c>
      <c r="L153" s="2" t="s">
        <v>74</v>
      </c>
      <c r="M153" s="2" t="s">
        <v>74</v>
      </c>
      <c r="N153" s="2" t="s">
        <v>74</v>
      </c>
      <c r="O153" s="2" t="s">
        <v>74</v>
      </c>
      <c r="P153" s="2" t="s">
        <v>74</v>
      </c>
      <c r="Q153" s="2" t="s">
        <v>74</v>
      </c>
      <c r="R153" s="2" t="s">
        <v>74</v>
      </c>
      <c r="S153" s="2" t="s">
        <v>74</v>
      </c>
      <c r="T153" s="2" t="s">
        <v>74</v>
      </c>
      <c r="U153" s="2" t="s">
        <v>74</v>
      </c>
      <c r="V153" s="5" t="s">
        <v>6955</v>
      </c>
      <c r="W153" s="2" t="s">
        <v>74</v>
      </c>
      <c r="X153" s="2" t="s">
        <v>74</v>
      </c>
      <c r="Y153" s="2" t="s">
        <v>74</v>
      </c>
      <c r="Z153" s="2" t="s">
        <v>74</v>
      </c>
      <c r="AA153" s="2" t="s">
        <v>6956</v>
      </c>
      <c r="AB153" s="2" t="s">
        <v>6957</v>
      </c>
      <c r="AC153" s="2" t="s">
        <v>74</v>
      </c>
      <c r="AD153" s="2" t="s">
        <v>74</v>
      </c>
      <c r="AE153" s="2" t="s">
        <v>74</v>
      </c>
      <c r="AF153" s="2" t="s">
        <v>74</v>
      </c>
      <c r="AG153" s="2" t="s">
        <v>74</v>
      </c>
      <c r="AH153" s="2" t="s">
        <v>74</v>
      </c>
      <c r="AI153" s="2" t="s">
        <v>74</v>
      </c>
      <c r="AJ153" s="2" t="s">
        <v>74</v>
      </c>
      <c r="AK153" s="2" t="s">
        <v>74</v>
      </c>
      <c r="AL153" s="2" t="s">
        <v>74</v>
      </c>
      <c r="AM153" s="2" t="s">
        <v>74</v>
      </c>
      <c r="AN153" s="2" t="s">
        <v>74</v>
      </c>
      <c r="AO153" s="2" t="s">
        <v>1400</v>
      </c>
      <c r="AP153" s="2" t="s">
        <v>5422</v>
      </c>
      <c r="AQ153" s="2" t="s">
        <v>74</v>
      </c>
      <c r="AR153" s="2" t="s">
        <v>74</v>
      </c>
      <c r="AS153" s="2" t="s">
        <v>74</v>
      </c>
      <c r="AT153" s="2" t="s">
        <v>6958</v>
      </c>
      <c r="AU153" s="2">
        <v>2022</v>
      </c>
      <c r="AV153" s="2">
        <v>2022</v>
      </c>
      <c r="AW153" s="2" t="s">
        <v>74</v>
      </c>
      <c r="AX153" s="2" t="s">
        <v>74</v>
      </c>
      <c r="AY153" s="2" t="s">
        <v>74</v>
      </c>
      <c r="AZ153" s="2" t="s">
        <v>74</v>
      </c>
      <c r="BA153" s="2" t="s">
        <v>74</v>
      </c>
      <c r="BB153" s="2" t="s">
        <v>74</v>
      </c>
      <c r="BC153" s="2" t="s">
        <v>74</v>
      </c>
      <c r="BD153" s="2">
        <v>8378483</v>
      </c>
      <c r="BE153" s="2" t="s">
        <v>6959</v>
      </c>
      <c r="BF153" s="2" t="str">
        <f>HYPERLINK("http://dx.doi.org/10.1155/2022/8378483","http://dx.doi.org/10.1155/2022/8378483")</f>
        <v>http://dx.doi.org/10.1155/2022/8378483</v>
      </c>
      <c r="BG153" s="2" t="s">
        <v>74</v>
      </c>
      <c r="BH153" s="2" t="s">
        <v>74</v>
      </c>
      <c r="BI153" s="2" t="s">
        <v>74</v>
      </c>
      <c r="BJ153" s="2" t="s">
        <v>74</v>
      </c>
      <c r="BK153" s="2" t="s">
        <v>74</v>
      </c>
      <c r="BL153" s="2" t="s">
        <v>74</v>
      </c>
      <c r="BM153" s="2" t="s">
        <v>74</v>
      </c>
      <c r="BN153" s="2" t="s">
        <v>74</v>
      </c>
      <c r="BO153" s="2" t="s">
        <v>74</v>
      </c>
      <c r="BP153" s="2" t="s">
        <v>74</v>
      </c>
      <c r="BQ153" s="2" t="s">
        <v>74</v>
      </c>
      <c r="BR153" s="2" t="s">
        <v>74</v>
      </c>
      <c r="BS153" s="2" t="s">
        <v>6960</v>
      </c>
      <c r="BT153" s="2" t="str">
        <f>HYPERLINK("https%3A%2F%2Fwww.webofscience.com%2Fwos%2Fwoscc%2Ffull-record%2FWOS:000903811100001","View Full Record in Web of Science")</f>
        <v>View Full Record in Web of Science</v>
      </c>
    </row>
    <row r="154" spans="1:72" s="2" customFormat="1" x14ac:dyDescent="0.4">
      <c r="A154" s="2" t="s">
        <v>72</v>
      </c>
      <c r="B154" s="2" t="s">
        <v>7738</v>
      </c>
      <c r="C154" s="2" t="s">
        <v>74</v>
      </c>
      <c r="D154" s="2" t="s">
        <v>74</v>
      </c>
      <c r="E154" s="2" t="s">
        <v>74</v>
      </c>
      <c r="F154" s="2" t="s">
        <v>7739</v>
      </c>
      <c r="G154" s="2" t="s">
        <v>74</v>
      </c>
      <c r="H154" s="2" t="s">
        <v>74</v>
      </c>
      <c r="I154" s="2" t="s">
        <v>7740</v>
      </c>
      <c r="J154" s="2" t="s">
        <v>1541</v>
      </c>
      <c r="K154" s="2" t="s">
        <v>74</v>
      </c>
      <c r="L154" s="2" t="s">
        <v>74</v>
      </c>
      <c r="M154" s="2" t="s">
        <v>74</v>
      </c>
      <c r="N154" s="2" t="s">
        <v>74</v>
      </c>
      <c r="O154" s="2" t="s">
        <v>74</v>
      </c>
      <c r="P154" s="2" t="s">
        <v>74</v>
      </c>
      <c r="Q154" s="2" t="s">
        <v>74</v>
      </c>
      <c r="R154" s="2" t="s">
        <v>74</v>
      </c>
      <c r="S154" s="2" t="s">
        <v>74</v>
      </c>
      <c r="T154" s="2" t="s">
        <v>74</v>
      </c>
      <c r="U154" s="2" t="s">
        <v>74</v>
      </c>
      <c r="V154" s="5" t="s">
        <v>7741</v>
      </c>
      <c r="W154" s="2" t="s">
        <v>74</v>
      </c>
      <c r="X154" s="2" t="s">
        <v>74</v>
      </c>
      <c r="Y154" s="2" t="s">
        <v>74</v>
      </c>
      <c r="Z154" s="2" t="s">
        <v>74</v>
      </c>
      <c r="AA154" s="2" t="s">
        <v>7742</v>
      </c>
      <c r="AB154" s="2" t="s">
        <v>7743</v>
      </c>
      <c r="AC154" s="2" t="s">
        <v>74</v>
      </c>
      <c r="AD154" s="2" t="s">
        <v>74</v>
      </c>
      <c r="AE154" s="2" t="s">
        <v>74</v>
      </c>
      <c r="AF154" s="2" t="s">
        <v>74</v>
      </c>
      <c r="AG154" s="2" t="s">
        <v>74</v>
      </c>
      <c r="AH154" s="2" t="s">
        <v>74</v>
      </c>
      <c r="AI154" s="2" t="s">
        <v>74</v>
      </c>
      <c r="AJ154" s="2" t="s">
        <v>74</v>
      </c>
      <c r="AK154" s="2" t="s">
        <v>74</v>
      </c>
      <c r="AL154" s="2" t="s">
        <v>74</v>
      </c>
      <c r="AM154" s="2" t="s">
        <v>74</v>
      </c>
      <c r="AN154" s="2" t="s">
        <v>74</v>
      </c>
      <c r="AO154" s="2" t="s">
        <v>1543</v>
      </c>
      <c r="AP154" s="2" t="s">
        <v>1544</v>
      </c>
      <c r="AQ154" s="2" t="s">
        <v>74</v>
      </c>
      <c r="AR154" s="2" t="s">
        <v>74</v>
      </c>
      <c r="AS154" s="2" t="s">
        <v>74</v>
      </c>
      <c r="AT154" s="2" t="s">
        <v>305</v>
      </c>
      <c r="AU154" s="2">
        <v>2009</v>
      </c>
      <c r="AV154" s="2">
        <v>90</v>
      </c>
      <c r="AW154" s="2">
        <v>12</v>
      </c>
      <c r="AX154" s="2" t="s">
        <v>74</v>
      </c>
      <c r="AY154" s="2" t="s">
        <v>74</v>
      </c>
      <c r="AZ154" s="2" t="s">
        <v>74</v>
      </c>
      <c r="BA154" s="2" t="s">
        <v>74</v>
      </c>
      <c r="BB154" s="2">
        <v>3367</v>
      </c>
      <c r="BC154" s="2">
        <v>3378</v>
      </c>
      <c r="BD154" s="2" t="s">
        <v>74</v>
      </c>
      <c r="BE154" s="2" t="s">
        <v>7744</v>
      </c>
      <c r="BF154" s="2" t="str">
        <f>HYPERLINK("http://dx.doi.org/10.1890/08-2291.1","http://dx.doi.org/10.1890/08-2291.1")</f>
        <v>http://dx.doi.org/10.1890/08-2291.1</v>
      </c>
      <c r="BG154" s="2" t="s">
        <v>74</v>
      </c>
      <c r="BH154" s="2" t="s">
        <v>74</v>
      </c>
      <c r="BI154" s="2" t="s">
        <v>74</v>
      </c>
      <c r="BJ154" s="2" t="s">
        <v>74</v>
      </c>
      <c r="BK154" s="2" t="s">
        <v>74</v>
      </c>
      <c r="BL154" s="2" t="s">
        <v>74</v>
      </c>
      <c r="BM154" s="2" t="s">
        <v>74</v>
      </c>
      <c r="BN154" s="2">
        <v>20120806</v>
      </c>
      <c r="BO154" s="2" t="s">
        <v>74</v>
      </c>
      <c r="BP154" s="2" t="s">
        <v>74</v>
      </c>
      <c r="BQ154" s="2" t="s">
        <v>74</v>
      </c>
      <c r="BR154" s="2" t="s">
        <v>74</v>
      </c>
      <c r="BS154" s="2" t="s">
        <v>7745</v>
      </c>
      <c r="BT154" s="2" t="str">
        <f>HYPERLINK("https%3A%2F%2Fwww.webofscience.com%2Fwos%2Fwoscc%2Ffull-record%2FWOS:000272700800009","View Full Record in Web of Science")</f>
        <v>View Full Record in Web of Science</v>
      </c>
    </row>
    <row r="155" spans="1:72" s="2" customFormat="1" x14ac:dyDescent="0.4">
      <c r="A155" s="2" t="s">
        <v>72</v>
      </c>
      <c r="B155" s="2" t="s">
        <v>2402</v>
      </c>
      <c r="C155" s="2" t="s">
        <v>74</v>
      </c>
      <c r="D155" s="2" t="s">
        <v>74</v>
      </c>
      <c r="E155" s="2" t="s">
        <v>74</v>
      </c>
      <c r="F155" s="2" t="s">
        <v>2403</v>
      </c>
      <c r="G155" s="2" t="s">
        <v>74</v>
      </c>
      <c r="H155" s="2" t="s">
        <v>74</v>
      </c>
      <c r="I155" s="2" t="s">
        <v>2404</v>
      </c>
      <c r="J155" s="2" t="s">
        <v>2405</v>
      </c>
      <c r="K155" s="2" t="s">
        <v>74</v>
      </c>
      <c r="L155" s="2" t="s">
        <v>74</v>
      </c>
      <c r="M155" s="2" t="s">
        <v>74</v>
      </c>
      <c r="N155" s="2" t="s">
        <v>74</v>
      </c>
      <c r="O155" s="2" t="s">
        <v>74</v>
      </c>
      <c r="P155" s="2" t="s">
        <v>74</v>
      </c>
      <c r="Q155" s="2" t="s">
        <v>74</v>
      </c>
      <c r="R155" s="2" t="s">
        <v>74</v>
      </c>
      <c r="S155" s="2" t="s">
        <v>74</v>
      </c>
      <c r="T155" s="2" t="s">
        <v>74</v>
      </c>
      <c r="U155" s="2" t="s">
        <v>74</v>
      </c>
      <c r="V155" s="5" t="s">
        <v>2406</v>
      </c>
      <c r="W155" s="2" t="s">
        <v>74</v>
      </c>
      <c r="X155" s="2" t="s">
        <v>74</v>
      </c>
      <c r="Y155" s="2" t="s">
        <v>74</v>
      </c>
      <c r="Z155" s="2" t="s">
        <v>74</v>
      </c>
      <c r="AA155" s="2" t="s">
        <v>2407</v>
      </c>
      <c r="AB155" s="2" t="s">
        <v>74</v>
      </c>
      <c r="AC155" s="2" t="s">
        <v>74</v>
      </c>
      <c r="AD155" s="2" t="s">
        <v>74</v>
      </c>
      <c r="AE155" s="2" t="s">
        <v>74</v>
      </c>
      <c r="AF155" s="2" t="s">
        <v>74</v>
      </c>
      <c r="AG155" s="2" t="s">
        <v>74</v>
      </c>
      <c r="AH155" s="2" t="s">
        <v>74</v>
      </c>
      <c r="AI155" s="2" t="s">
        <v>74</v>
      </c>
      <c r="AJ155" s="2" t="s">
        <v>74</v>
      </c>
      <c r="AK155" s="2" t="s">
        <v>74</v>
      </c>
      <c r="AL155" s="2" t="s">
        <v>74</v>
      </c>
      <c r="AM155" s="2" t="s">
        <v>74</v>
      </c>
      <c r="AN155" s="2" t="s">
        <v>74</v>
      </c>
      <c r="AO155" s="2" t="s">
        <v>2408</v>
      </c>
      <c r="AP155" s="2" t="s">
        <v>2409</v>
      </c>
      <c r="AQ155" s="2" t="s">
        <v>74</v>
      </c>
      <c r="AR155" s="2" t="s">
        <v>74</v>
      </c>
      <c r="AS155" s="2" t="s">
        <v>74</v>
      </c>
      <c r="AT155" s="2" t="s">
        <v>123</v>
      </c>
      <c r="AU155" s="2">
        <v>2021</v>
      </c>
      <c r="AV155" s="2">
        <v>40</v>
      </c>
      <c r="AW155" s="2">
        <v>2</v>
      </c>
      <c r="AX155" s="2" t="s">
        <v>74</v>
      </c>
      <c r="AY155" s="2" t="s">
        <v>74</v>
      </c>
      <c r="AZ155" s="2" t="s">
        <v>74</v>
      </c>
      <c r="BA155" s="2" t="s">
        <v>74</v>
      </c>
      <c r="BB155" s="2">
        <v>160</v>
      </c>
      <c r="BC155" s="2">
        <v>168</v>
      </c>
      <c r="BD155" s="2" t="s">
        <v>74</v>
      </c>
      <c r="BE155" s="2" t="s">
        <v>2410</v>
      </c>
      <c r="BF155" s="2" t="str">
        <f>HYPERLINK("http://dx.doi.org/10.1002/zoo.21583","http://dx.doi.org/10.1002/zoo.21583")</f>
        <v>http://dx.doi.org/10.1002/zoo.21583</v>
      </c>
      <c r="BG155" s="2" t="s">
        <v>74</v>
      </c>
      <c r="BH155" s="2" t="s">
        <v>2411</v>
      </c>
      <c r="BI155" s="2" t="s">
        <v>74</v>
      </c>
      <c r="BJ155" s="2" t="s">
        <v>74</v>
      </c>
      <c r="BK155" s="2" t="s">
        <v>74</v>
      </c>
      <c r="BL155" s="2" t="s">
        <v>74</v>
      </c>
      <c r="BM155" s="2" t="s">
        <v>74</v>
      </c>
      <c r="BN155" s="2">
        <v>33544907</v>
      </c>
      <c r="BO155" s="2" t="s">
        <v>74</v>
      </c>
      <c r="BP155" s="2" t="s">
        <v>74</v>
      </c>
      <c r="BQ155" s="2" t="s">
        <v>74</v>
      </c>
      <c r="BR155" s="2" t="s">
        <v>74</v>
      </c>
      <c r="BS155" s="2" t="s">
        <v>2412</v>
      </c>
      <c r="BT155" s="2" t="str">
        <f>HYPERLINK("https%3A%2F%2Fwww.webofscience.com%2Fwos%2Fwoscc%2Ffull-record%2FWOS:000614925000001","View Full Record in Web of Science")</f>
        <v>View Full Record in Web of Science</v>
      </c>
    </row>
    <row r="156" spans="1:72" s="2" customFormat="1" x14ac:dyDescent="0.4">
      <c r="A156" s="2" t="s">
        <v>72</v>
      </c>
      <c r="B156" s="2" t="s">
        <v>8620</v>
      </c>
      <c r="C156" s="2" t="s">
        <v>74</v>
      </c>
      <c r="D156" s="2" t="s">
        <v>74</v>
      </c>
      <c r="E156" s="2" t="s">
        <v>74</v>
      </c>
      <c r="F156" s="2" t="s">
        <v>8621</v>
      </c>
      <c r="G156" s="2" t="s">
        <v>74</v>
      </c>
      <c r="H156" s="2" t="s">
        <v>74</v>
      </c>
      <c r="I156" s="2" t="s">
        <v>8622</v>
      </c>
      <c r="J156" s="2" t="s">
        <v>763</v>
      </c>
      <c r="K156" s="2" t="s">
        <v>74</v>
      </c>
      <c r="L156" s="2" t="s">
        <v>74</v>
      </c>
      <c r="M156" s="2" t="s">
        <v>74</v>
      </c>
      <c r="N156" s="2" t="s">
        <v>74</v>
      </c>
      <c r="O156" s="2" t="s">
        <v>74</v>
      </c>
      <c r="P156" s="2" t="s">
        <v>74</v>
      </c>
      <c r="Q156" s="2" t="s">
        <v>74</v>
      </c>
      <c r="R156" s="2" t="s">
        <v>74</v>
      </c>
      <c r="S156" s="2" t="s">
        <v>74</v>
      </c>
      <c r="T156" s="2" t="s">
        <v>74</v>
      </c>
      <c r="U156" s="2" t="s">
        <v>74</v>
      </c>
      <c r="V156" s="5" t="s">
        <v>8623</v>
      </c>
      <c r="W156" s="2" t="s">
        <v>74</v>
      </c>
      <c r="X156" s="2" t="s">
        <v>74</v>
      </c>
      <c r="Y156" s="2" t="s">
        <v>74</v>
      </c>
      <c r="Z156" s="2" t="s">
        <v>74</v>
      </c>
      <c r="AA156" s="2" t="s">
        <v>8624</v>
      </c>
      <c r="AB156" s="2" t="s">
        <v>8625</v>
      </c>
      <c r="AC156" s="2" t="s">
        <v>74</v>
      </c>
      <c r="AD156" s="2" t="s">
        <v>74</v>
      </c>
      <c r="AE156" s="2" t="s">
        <v>74</v>
      </c>
      <c r="AF156" s="2" t="s">
        <v>74</v>
      </c>
      <c r="AG156" s="2" t="s">
        <v>74</v>
      </c>
      <c r="AH156" s="2" t="s">
        <v>74</v>
      </c>
      <c r="AI156" s="2" t="s">
        <v>74</v>
      </c>
      <c r="AJ156" s="2" t="s">
        <v>74</v>
      </c>
      <c r="AK156" s="2" t="s">
        <v>74</v>
      </c>
      <c r="AL156" s="2" t="s">
        <v>74</v>
      </c>
      <c r="AM156" s="2" t="s">
        <v>74</v>
      </c>
      <c r="AN156" s="2" t="s">
        <v>74</v>
      </c>
      <c r="AO156" s="2" t="s">
        <v>767</v>
      </c>
      <c r="AP156" s="2" t="s">
        <v>768</v>
      </c>
      <c r="AQ156" s="2" t="s">
        <v>74</v>
      </c>
      <c r="AR156" s="2" t="s">
        <v>74</v>
      </c>
      <c r="AS156" s="2" t="s">
        <v>74</v>
      </c>
      <c r="AT156" s="2" t="s">
        <v>175</v>
      </c>
      <c r="AU156" s="2">
        <v>2021</v>
      </c>
      <c r="AV156" s="2">
        <v>224</v>
      </c>
      <c r="AW156" s="2">
        <v>20</v>
      </c>
      <c r="AX156" s="2" t="s">
        <v>74</v>
      </c>
      <c r="AY156" s="2" t="s">
        <v>74</v>
      </c>
      <c r="AZ156" s="2" t="s">
        <v>74</v>
      </c>
      <c r="BA156" s="2" t="s">
        <v>74</v>
      </c>
      <c r="BB156" s="2" t="s">
        <v>74</v>
      </c>
      <c r="BC156" s="2" t="s">
        <v>74</v>
      </c>
      <c r="BD156" s="2" t="s">
        <v>8626</v>
      </c>
      <c r="BE156" s="2" t="s">
        <v>8627</v>
      </c>
      <c r="BF156" s="2" t="str">
        <f>HYPERLINK("http://dx.doi.org/10.1242/jeb.242784","http://dx.doi.org/10.1242/jeb.242784")</f>
        <v>http://dx.doi.org/10.1242/jeb.242784</v>
      </c>
      <c r="BG156" s="2" t="s">
        <v>74</v>
      </c>
      <c r="BH156" s="2" t="s">
        <v>74</v>
      </c>
      <c r="BI156" s="2" t="s">
        <v>74</v>
      </c>
      <c r="BJ156" s="2" t="s">
        <v>74</v>
      </c>
      <c r="BK156" s="2" t="s">
        <v>74</v>
      </c>
      <c r="BL156" s="2" t="s">
        <v>74</v>
      </c>
      <c r="BM156" s="2" t="s">
        <v>74</v>
      </c>
      <c r="BN156" s="2">
        <v>34605911</v>
      </c>
      <c r="BO156" s="2" t="s">
        <v>74</v>
      </c>
      <c r="BP156" s="2" t="s">
        <v>74</v>
      </c>
      <c r="BQ156" s="2" t="s">
        <v>74</v>
      </c>
      <c r="BR156" s="2" t="s">
        <v>74</v>
      </c>
      <c r="BS156" s="2" t="s">
        <v>8628</v>
      </c>
      <c r="BT156" s="2" t="str">
        <f>HYPERLINK("https%3A%2F%2Fwww.webofscience.com%2Fwos%2Fwoscc%2Ffull-record%2FWOS:000715883300008","View Full Record in Web of Science")</f>
        <v>View Full Record in Web of Science</v>
      </c>
    </row>
    <row r="157" spans="1:72" s="2" customFormat="1" x14ac:dyDescent="0.4">
      <c r="A157" s="2" t="s">
        <v>72</v>
      </c>
      <c r="B157" s="2" t="s">
        <v>1403</v>
      </c>
      <c r="C157" s="2" t="s">
        <v>74</v>
      </c>
      <c r="D157" s="2" t="s">
        <v>74</v>
      </c>
      <c r="E157" s="2" t="s">
        <v>74</v>
      </c>
      <c r="F157" s="2" t="s">
        <v>1404</v>
      </c>
      <c r="G157" s="2" t="s">
        <v>74</v>
      </c>
      <c r="H157" s="2" t="s">
        <v>74</v>
      </c>
      <c r="I157" s="2" t="s">
        <v>1405</v>
      </c>
      <c r="J157" s="2" t="s">
        <v>397</v>
      </c>
      <c r="K157" s="2" t="s">
        <v>74</v>
      </c>
      <c r="L157" s="2" t="s">
        <v>74</v>
      </c>
      <c r="M157" s="2" t="s">
        <v>74</v>
      </c>
      <c r="N157" s="2" t="s">
        <v>74</v>
      </c>
      <c r="O157" s="2" t="s">
        <v>74</v>
      </c>
      <c r="P157" s="2" t="s">
        <v>74</v>
      </c>
      <c r="Q157" s="2" t="s">
        <v>74</v>
      </c>
      <c r="R157" s="2" t="s">
        <v>74</v>
      </c>
      <c r="S157" s="2" t="s">
        <v>74</v>
      </c>
      <c r="T157" s="2" t="s">
        <v>74</v>
      </c>
      <c r="U157" s="2" t="s">
        <v>74</v>
      </c>
      <c r="V157" s="5" t="s">
        <v>1406</v>
      </c>
      <c r="W157" s="2" t="s">
        <v>74</v>
      </c>
      <c r="X157" s="2" t="s">
        <v>74</v>
      </c>
      <c r="Y157" s="2" t="s">
        <v>74</v>
      </c>
      <c r="Z157" s="2" t="s">
        <v>74</v>
      </c>
      <c r="AA157" s="2" t="s">
        <v>74</v>
      </c>
      <c r="AB157" s="2" t="s">
        <v>1407</v>
      </c>
      <c r="AC157" s="2" t="s">
        <v>74</v>
      </c>
      <c r="AD157" s="2" t="s">
        <v>74</v>
      </c>
      <c r="AE157" s="2" t="s">
        <v>74</v>
      </c>
      <c r="AF157" s="2" t="s">
        <v>74</v>
      </c>
      <c r="AG157" s="2" t="s">
        <v>74</v>
      </c>
      <c r="AH157" s="2" t="s">
        <v>74</v>
      </c>
      <c r="AI157" s="2" t="s">
        <v>74</v>
      </c>
      <c r="AJ157" s="2" t="s">
        <v>74</v>
      </c>
      <c r="AK157" s="2" t="s">
        <v>74</v>
      </c>
      <c r="AL157" s="2" t="s">
        <v>74</v>
      </c>
      <c r="AM157" s="2" t="s">
        <v>74</v>
      </c>
      <c r="AN157" s="2" t="s">
        <v>74</v>
      </c>
      <c r="AO157" s="2" t="s">
        <v>401</v>
      </c>
      <c r="AP157" s="2" t="s">
        <v>402</v>
      </c>
      <c r="AQ157" s="2" t="s">
        <v>74</v>
      </c>
      <c r="AR157" s="2" t="s">
        <v>74</v>
      </c>
      <c r="AS157" s="2" t="s">
        <v>74</v>
      </c>
      <c r="AT157" s="2" t="s">
        <v>204</v>
      </c>
      <c r="AU157" s="2">
        <v>2020</v>
      </c>
      <c r="AV157" s="2">
        <v>19</v>
      </c>
      <c r="AW157" s="2">
        <v>6</v>
      </c>
      <c r="AX157" s="2" t="s">
        <v>74</v>
      </c>
      <c r="AY157" s="2" t="s">
        <v>74</v>
      </c>
      <c r="AZ157" s="2" t="s">
        <v>74</v>
      </c>
      <c r="BA157" s="2" t="s">
        <v>74</v>
      </c>
      <c r="BB157" s="2" t="s">
        <v>74</v>
      </c>
      <c r="BC157" s="2" t="s">
        <v>74</v>
      </c>
      <c r="BD157" s="2" t="s">
        <v>1408</v>
      </c>
      <c r="BE157" s="2" t="s">
        <v>1409</v>
      </c>
      <c r="BF157" s="2" t="str">
        <f>HYPERLINK("http://dx.doi.org/10.1111/gbb.12657","http://dx.doi.org/10.1111/gbb.12657")</f>
        <v>http://dx.doi.org/10.1111/gbb.12657</v>
      </c>
      <c r="BG157" s="2" t="s">
        <v>74</v>
      </c>
      <c r="BH157" s="2" t="s">
        <v>1410</v>
      </c>
      <c r="BI157" s="2" t="s">
        <v>74</v>
      </c>
      <c r="BJ157" s="2" t="s">
        <v>74</v>
      </c>
      <c r="BK157" s="2" t="s">
        <v>74</v>
      </c>
      <c r="BL157" s="2" t="s">
        <v>74</v>
      </c>
      <c r="BM157" s="2" t="s">
        <v>74</v>
      </c>
      <c r="BN157" s="2">
        <v>32323443</v>
      </c>
      <c r="BO157" s="2" t="s">
        <v>74</v>
      </c>
      <c r="BP157" s="2" t="s">
        <v>74</v>
      </c>
      <c r="BQ157" s="2" t="s">
        <v>74</v>
      </c>
      <c r="BR157" s="2" t="s">
        <v>74</v>
      </c>
      <c r="BS157" s="2" t="s">
        <v>1411</v>
      </c>
      <c r="BT157" s="2" t="str">
        <f>HYPERLINK("https%3A%2F%2Fwww.webofscience.com%2Fwos%2Fwoscc%2Ffull-record%2FWOS:000530887300001","View Full Record in Web of Science")</f>
        <v>View Full Record in Web of Science</v>
      </c>
    </row>
    <row r="158" spans="1:72" s="2" customFormat="1" x14ac:dyDescent="0.4">
      <c r="A158" s="2" t="s">
        <v>72</v>
      </c>
      <c r="B158" s="2" t="s">
        <v>8390</v>
      </c>
      <c r="C158" s="2" t="s">
        <v>74</v>
      </c>
      <c r="D158" s="2" t="s">
        <v>74</v>
      </c>
      <c r="E158" s="2" t="s">
        <v>74</v>
      </c>
      <c r="F158" s="2" t="s">
        <v>8391</v>
      </c>
      <c r="G158" s="2" t="s">
        <v>74</v>
      </c>
      <c r="H158" s="2" t="s">
        <v>74</v>
      </c>
      <c r="I158" s="2" t="s">
        <v>8392</v>
      </c>
      <c r="J158" s="2" t="s">
        <v>140</v>
      </c>
      <c r="K158" s="2" t="s">
        <v>74</v>
      </c>
      <c r="L158" s="2" t="s">
        <v>74</v>
      </c>
      <c r="M158" s="2" t="s">
        <v>74</v>
      </c>
      <c r="N158" s="2" t="s">
        <v>74</v>
      </c>
      <c r="O158" s="2" t="s">
        <v>74</v>
      </c>
      <c r="P158" s="2" t="s">
        <v>74</v>
      </c>
      <c r="Q158" s="2" t="s">
        <v>74</v>
      </c>
      <c r="R158" s="2" t="s">
        <v>74</v>
      </c>
      <c r="S158" s="2" t="s">
        <v>74</v>
      </c>
      <c r="T158" s="2" t="s">
        <v>74</v>
      </c>
      <c r="U158" s="2" t="s">
        <v>74</v>
      </c>
      <c r="V158" s="5" t="s">
        <v>8393</v>
      </c>
      <c r="W158" s="2" t="s">
        <v>74</v>
      </c>
      <c r="X158" s="2" t="s">
        <v>74</v>
      </c>
      <c r="Y158" s="2" t="s">
        <v>74</v>
      </c>
      <c r="Z158" s="2" t="s">
        <v>74</v>
      </c>
      <c r="AA158" s="2" t="s">
        <v>8394</v>
      </c>
      <c r="AB158" s="2" t="s">
        <v>8395</v>
      </c>
      <c r="AC158" s="2" t="s">
        <v>74</v>
      </c>
      <c r="AD158" s="2" t="s">
        <v>74</v>
      </c>
      <c r="AE158" s="2" t="s">
        <v>74</v>
      </c>
      <c r="AF158" s="2" t="s">
        <v>74</v>
      </c>
      <c r="AG158" s="2" t="s">
        <v>74</v>
      </c>
      <c r="AH158" s="2" t="s">
        <v>74</v>
      </c>
      <c r="AI158" s="2" t="s">
        <v>74</v>
      </c>
      <c r="AJ158" s="2" t="s">
        <v>74</v>
      </c>
      <c r="AK158" s="2" t="s">
        <v>74</v>
      </c>
      <c r="AL158" s="2" t="s">
        <v>74</v>
      </c>
      <c r="AM158" s="2" t="s">
        <v>74</v>
      </c>
      <c r="AN158" s="2" t="s">
        <v>74</v>
      </c>
      <c r="AO158" s="2" t="s">
        <v>143</v>
      </c>
      <c r="AP158" s="2" t="s">
        <v>144</v>
      </c>
      <c r="AQ158" s="2" t="s">
        <v>74</v>
      </c>
      <c r="AR158" s="2" t="s">
        <v>74</v>
      </c>
      <c r="AS158" s="2" t="s">
        <v>74</v>
      </c>
      <c r="AT158" s="2" t="s">
        <v>102</v>
      </c>
      <c r="AU158" s="2">
        <v>2020</v>
      </c>
      <c r="AV158" s="2">
        <v>164</v>
      </c>
      <c r="AW158" s="2" t="s">
        <v>74</v>
      </c>
      <c r="AX158" s="2" t="s">
        <v>74</v>
      </c>
      <c r="AY158" s="2" t="s">
        <v>74</v>
      </c>
      <c r="AZ158" s="2" t="s">
        <v>74</v>
      </c>
      <c r="BA158" s="2" t="s">
        <v>74</v>
      </c>
      <c r="BB158" s="2">
        <v>91</v>
      </c>
      <c r="BC158" s="2">
        <v>98</v>
      </c>
      <c r="BD158" s="2" t="s">
        <v>74</v>
      </c>
      <c r="BE158" s="2" t="s">
        <v>8396</v>
      </c>
      <c r="BF158" s="2" t="str">
        <f>HYPERLINK("http://dx.doi.org/10.1016/j.anbehav.2020.04.002","http://dx.doi.org/10.1016/j.anbehav.2020.04.002")</f>
        <v>http://dx.doi.org/10.1016/j.anbehav.2020.04.002</v>
      </c>
      <c r="BG158" s="2" t="s">
        <v>74</v>
      </c>
      <c r="BH158" s="2" t="s">
        <v>74</v>
      </c>
      <c r="BI158" s="2" t="s">
        <v>74</v>
      </c>
      <c r="BJ158" s="2" t="s">
        <v>74</v>
      </c>
      <c r="BK158" s="2" t="s">
        <v>74</v>
      </c>
      <c r="BL158" s="2" t="s">
        <v>74</v>
      </c>
      <c r="BM158" s="2" t="s">
        <v>74</v>
      </c>
      <c r="BN158" s="2" t="s">
        <v>74</v>
      </c>
      <c r="BO158" s="2" t="s">
        <v>74</v>
      </c>
      <c r="BP158" s="2" t="s">
        <v>74</v>
      </c>
      <c r="BQ158" s="2" t="s">
        <v>74</v>
      </c>
      <c r="BR158" s="2" t="s">
        <v>74</v>
      </c>
      <c r="BS158" s="2" t="s">
        <v>8397</v>
      </c>
      <c r="BT158" s="2" t="str">
        <f>HYPERLINK("https%3A%2F%2Fwww.webofscience.com%2Fwos%2Fwoscc%2Ffull-record%2FWOS:000539211900009","View Full Record in Web of Science")</f>
        <v>View Full Record in Web of Science</v>
      </c>
    </row>
    <row r="159" spans="1:72" s="2" customFormat="1" x14ac:dyDescent="0.4">
      <c r="A159" s="2" t="s">
        <v>72</v>
      </c>
      <c r="B159" s="2" t="s">
        <v>4137</v>
      </c>
      <c r="C159" s="2" t="s">
        <v>74</v>
      </c>
      <c r="D159" s="2" t="s">
        <v>74</v>
      </c>
      <c r="E159" s="2" t="s">
        <v>74</v>
      </c>
      <c r="F159" s="2" t="s">
        <v>4137</v>
      </c>
      <c r="G159" s="2" t="s">
        <v>74</v>
      </c>
      <c r="H159" s="2" t="s">
        <v>74</v>
      </c>
      <c r="I159" s="2" t="s">
        <v>4138</v>
      </c>
      <c r="J159" s="2" t="s">
        <v>4139</v>
      </c>
      <c r="K159" s="2" t="s">
        <v>74</v>
      </c>
      <c r="L159" s="2" t="s">
        <v>74</v>
      </c>
      <c r="M159" s="2" t="s">
        <v>74</v>
      </c>
      <c r="N159" s="2" t="s">
        <v>74</v>
      </c>
      <c r="O159" s="2" t="s">
        <v>74</v>
      </c>
      <c r="P159" s="2" t="s">
        <v>74</v>
      </c>
      <c r="Q159" s="2" t="s">
        <v>74</v>
      </c>
      <c r="R159" s="2" t="s">
        <v>74</v>
      </c>
      <c r="S159" s="2" t="s">
        <v>74</v>
      </c>
      <c r="T159" s="2" t="s">
        <v>74</v>
      </c>
      <c r="U159" s="2" t="s">
        <v>74</v>
      </c>
      <c r="V159" s="5" t="s">
        <v>4140</v>
      </c>
      <c r="W159" s="2" t="s">
        <v>74</v>
      </c>
      <c r="X159" s="2" t="s">
        <v>74</v>
      </c>
      <c r="Y159" s="2" t="s">
        <v>74</v>
      </c>
      <c r="Z159" s="2" t="s">
        <v>74</v>
      </c>
      <c r="AA159" s="2" t="s">
        <v>74</v>
      </c>
      <c r="AB159" s="2" t="s">
        <v>74</v>
      </c>
      <c r="AC159" s="2" t="s">
        <v>74</v>
      </c>
      <c r="AD159" s="2" t="s">
        <v>74</v>
      </c>
      <c r="AE159" s="2" t="s">
        <v>74</v>
      </c>
      <c r="AF159" s="2" t="s">
        <v>74</v>
      </c>
      <c r="AG159" s="2" t="s">
        <v>74</v>
      </c>
      <c r="AH159" s="2" t="s">
        <v>74</v>
      </c>
      <c r="AI159" s="2" t="s">
        <v>74</v>
      </c>
      <c r="AJ159" s="2" t="s">
        <v>74</v>
      </c>
      <c r="AK159" s="2" t="s">
        <v>74</v>
      </c>
      <c r="AL159" s="2" t="s">
        <v>74</v>
      </c>
      <c r="AM159" s="2" t="s">
        <v>74</v>
      </c>
      <c r="AN159" s="2" t="s">
        <v>74</v>
      </c>
      <c r="AO159" s="2" t="s">
        <v>4141</v>
      </c>
      <c r="AP159" s="2" t="s">
        <v>74</v>
      </c>
      <c r="AQ159" s="2" t="s">
        <v>74</v>
      </c>
      <c r="AR159" s="2" t="s">
        <v>74</v>
      </c>
      <c r="AS159" s="2" t="s">
        <v>74</v>
      </c>
      <c r="AT159" s="2" t="s">
        <v>74</v>
      </c>
      <c r="AU159" s="2">
        <v>1992</v>
      </c>
      <c r="AV159" s="2">
        <v>32</v>
      </c>
      <c r="AW159" s="2">
        <v>1</v>
      </c>
      <c r="AX159" s="2" t="s">
        <v>74</v>
      </c>
      <c r="AY159" s="2" t="s">
        <v>74</v>
      </c>
      <c r="AZ159" s="2" t="s">
        <v>74</v>
      </c>
      <c r="BA159" s="2" t="s">
        <v>74</v>
      </c>
      <c r="BB159" s="2">
        <v>91</v>
      </c>
      <c r="BC159" s="2">
        <v>99</v>
      </c>
      <c r="BD159" s="2" t="s">
        <v>74</v>
      </c>
      <c r="BE159" s="2" t="s">
        <v>74</v>
      </c>
      <c r="BF159" s="2" t="s">
        <v>74</v>
      </c>
      <c r="BG159" s="2" t="s">
        <v>74</v>
      </c>
      <c r="BH159" s="2" t="s">
        <v>74</v>
      </c>
      <c r="BI159" s="2" t="s">
        <v>74</v>
      </c>
      <c r="BJ159" s="2" t="s">
        <v>74</v>
      </c>
      <c r="BK159" s="2" t="s">
        <v>74</v>
      </c>
      <c r="BL159" s="2" t="s">
        <v>74</v>
      </c>
      <c r="BM159" s="2" t="s">
        <v>74</v>
      </c>
      <c r="BN159" s="2" t="s">
        <v>74</v>
      </c>
      <c r="BO159" s="2" t="s">
        <v>74</v>
      </c>
      <c r="BP159" s="2" t="s">
        <v>74</v>
      </c>
      <c r="BQ159" s="2" t="s">
        <v>74</v>
      </c>
      <c r="BR159" s="2" t="s">
        <v>74</v>
      </c>
      <c r="BS159" s="2" t="s">
        <v>4142</v>
      </c>
      <c r="BT159" s="2" t="str">
        <f>HYPERLINK("https%3A%2F%2Fwww.webofscience.com%2Fwos%2Fwoscc%2Ffull-record%2FWOS:A1992JK51200010","View Full Record in Web of Science")</f>
        <v>View Full Record in Web of Science</v>
      </c>
    </row>
    <row r="160" spans="1:72" s="2" customFormat="1" x14ac:dyDescent="0.4">
      <c r="A160" s="2" t="s">
        <v>72</v>
      </c>
      <c r="B160" s="2" t="s">
        <v>4137</v>
      </c>
      <c r="C160" s="2" t="s">
        <v>74</v>
      </c>
      <c r="D160" s="2" t="s">
        <v>74</v>
      </c>
      <c r="E160" s="2" t="s">
        <v>74</v>
      </c>
      <c r="F160" s="2" t="s">
        <v>4137</v>
      </c>
      <c r="G160" s="2" t="s">
        <v>74</v>
      </c>
      <c r="H160" s="2" t="s">
        <v>74</v>
      </c>
      <c r="I160" s="2" t="s">
        <v>7408</v>
      </c>
      <c r="J160" s="2" t="s">
        <v>344</v>
      </c>
      <c r="K160" s="2" t="s">
        <v>74</v>
      </c>
      <c r="L160" s="2" t="s">
        <v>74</v>
      </c>
      <c r="M160" s="2" t="s">
        <v>74</v>
      </c>
      <c r="N160" s="2" t="s">
        <v>74</v>
      </c>
      <c r="O160" s="2" t="s">
        <v>74</v>
      </c>
      <c r="P160" s="2" t="s">
        <v>74</v>
      </c>
      <c r="Q160" s="2" t="s">
        <v>74</v>
      </c>
      <c r="R160" s="2" t="s">
        <v>74</v>
      </c>
      <c r="S160" s="2" t="s">
        <v>74</v>
      </c>
      <c r="T160" s="2" t="s">
        <v>74</v>
      </c>
      <c r="U160" s="2" t="s">
        <v>74</v>
      </c>
      <c r="V160" s="5" t="s">
        <v>7409</v>
      </c>
      <c r="W160" s="2" t="s">
        <v>74</v>
      </c>
      <c r="X160" s="2" t="s">
        <v>74</v>
      </c>
      <c r="Y160" s="2" t="s">
        <v>74</v>
      </c>
      <c r="Z160" s="2" t="s">
        <v>74</v>
      </c>
      <c r="AA160" s="2" t="s">
        <v>74</v>
      </c>
      <c r="AB160" s="2" t="s">
        <v>74</v>
      </c>
      <c r="AC160" s="2" t="s">
        <v>74</v>
      </c>
      <c r="AD160" s="2" t="s">
        <v>74</v>
      </c>
      <c r="AE160" s="2" t="s">
        <v>74</v>
      </c>
      <c r="AF160" s="2" t="s">
        <v>74</v>
      </c>
      <c r="AG160" s="2" t="s">
        <v>74</v>
      </c>
      <c r="AH160" s="2" t="s">
        <v>74</v>
      </c>
      <c r="AI160" s="2" t="s">
        <v>74</v>
      </c>
      <c r="AJ160" s="2" t="s">
        <v>74</v>
      </c>
      <c r="AK160" s="2" t="s">
        <v>74</v>
      </c>
      <c r="AL160" s="2" t="s">
        <v>74</v>
      </c>
      <c r="AM160" s="2" t="s">
        <v>74</v>
      </c>
      <c r="AN160" s="2" t="s">
        <v>74</v>
      </c>
      <c r="AO160" s="2" t="s">
        <v>346</v>
      </c>
      <c r="AP160" s="2" t="s">
        <v>6569</v>
      </c>
      <c r="AQ160" s="2" t="s">
        <v>74</v>
      </c>
      <c r="AR160" s="2" t="s">
        <v>74</v>
      </c>
      <c r="AS160" s="2" t="s">
        <v>74</v>
      </c>
      <c r="AT160" s="2" t="s">
        <v>213</v>
      </c>
      <c r="AU160" s="2">
        <v>1987</v>
      </c>
      <c r="AV160" s="2">
        <v>20</v>
      </c>
      <c r="AW160" s="2">
        <v>3</v>
      </c>
      <c r="AX160" s="2" t="s">
        <v>74</v>
      </c>
      <c r="AY160" s="2" t="s">
        <v>74</v>
      </c>
      <c r="AZ160" s="2" t="s">
        <v>74</v>
      </c>
      <c r="BA160" s="2" t="s">
        <v>74</v>
      </c>
      <c r="BB160" s="2">
        <v>183</v>
      </c>
      <c r="BC160" s="2">
        <v>194</v>
      </c>
      <c r="BD160" s="2" t="s">
        <v>74</v>
      </c>
      <c r="BE160" s="2" t="s">
        <v>7410</v>
      </c>
      <c r="BF160" s="2" t="str">
        <f>HYPERLINK("http://dx.doi.org/10.1007/BF00004953","http://dx.doi.org/10.1007/BF00004953")</f>
        <v>http://dx.doi.org/10.1007/BF00004953</v>
      </c>
      <c r="BG160" s="2" t="s">
        <v>74</v>
      </c>
      <c r="BH160" s="2" t="s">
        <v>74</v>
      </c>
      <c r="BI160" s="2" t="s">
        <v>74</v>
      </c>
      <c r="BJ160" s="2" t="s">
        <v>74</v>
      </c>
      <c r="BK160" s="2" t="s">
        <v>74</v>
      </c>
      <c r="BL160" s="2" t="s">
        <v>74</v>
      </c>
      <c r="BM160" s="2" t="s">
        <v>74</v>
      </c>
      <c r="BN160" s="2" t="s">
        <v>74</v>
      </c>
      <c r="BO160" s="2" t="s">
        <v>74</v>
      </c>
      <c r="BP160" s="2" t="s">
        <v>74</v>
      </c>
      <c r="BQ160" s="2" t="s">
        <v>74</v>
      </c>
      <c r="BR160" s="2" t="s">
        <v>74</v>
      </c>
      <c r="BS160" s="2" t="s">
        <v>7411</v>
      </c>
      <c r="BT160" s="2" t="str">
        <f>HYPERLINK("https%3A%2F%2Fwww.webofscience.com%2Fwos%2Fwoscc%2Ffull-record%2FWOS:A1987K628700003","View Full Record in Web of Science")</f>
        <v>View Full Record in Web of Science</v>
      </c>
    </row>
    <row r="161" spans="1:72" s="2" customFormat="1" x14ac:dyDescent="0.4">
      <c r="A161" s="2" t="s">
        <v>72</v>
      </c>
      <c r="B161" s="2" t="s">
        <v>2808</v>
      </c>
      <c r="C161" s="2" t="s">
        <v>74</v>
      </c>
      <c r="D161" s="2" t="s">
        <v>74</v>
      </c>
      <c r="E161" s="2" t="s">
        <v>74</v>
      </c>
      <c r="F161" s="2" t="s">
        <v>2808</v>
      </c>
      <c r="G161" s="2" t="s">
        <v>74</v>
      </c>
      <c r="H161" s="2" t="s">
        <v>74</v>
      </c>
      <c r="I161" s="2" t="s">
        <v>2809</v>
      </c>
      <c r="J161" s="2" t="s">
        <v>77</v>
      </c>
      <c r="K161" s="2" t="s">
        <v>74</v>
      </c>
      <c r="L161" s="2" t="s">
        <v>74</v>
      </c>
      <c r="M161" s="2" t="s">
        <v>74</v>
      </c>
      <c r="N161" s="2" t="s">
        <v>74</v>
      </c>
      <c r="O161" s="2" t="s">
        <v>74</v>
      </c>
      <c r="P161" s="2" t="s">
        <v>74</v>
      </c>
      <c r="Q161" s="2" t="s">
        <v>74</v>
      </c>
      <c r="R161" s="2" t="s">
        <v>74</v>
      </c>
      <c r="S161" s="2" t="s">
        <v>74</v>
      </c>
      <c r="T161" s="2" t="s">
        <v>74</v>
      </c>
      <c r="U161" s="2" t="s">
        <v>74</v>
      </c>
      <c r="V161" s="5" t="s">
        <v>74</v>
      </c>
      <c r="W161" s="2" t="s">
        <v>74</v>
      </c>
      <c r="X161" s="2" t="s">
        <v>74</v>
      </c>
      <c r="Y161" s="2" t="s">
        <v>74</v>
      </c>
      <c r="Z161" s="2" t="s">
        <v>74</v>
      </c>
      <c r="AA161" s="2" t="s">
        <v>74</v>
      </c>
      <c r="AB161" s="2" t="s">
        <v>74</v>
      </c>
      <c r="AC161" s="2" t="s">
        <v>74</v>
      </c>
      <c r="AD161" s="2" t="s">
        <v>74</v>
      </c>
      <c r="AE161" s="2" t="s">
        <v>74</v>
      </c>
      <c r="AF161" s="2" t="s">
        <v>74</v>
      </c>
      <c r="AG161" s="2" t="s">
        <v>74</v>
      </c>
      <c r="AH161" s="2" t="s">
        <v>74</v>
      </c>
      <c r="AI161" s="2" t="s">
        <v>74</v>
      </c>
      <c r="AJ161" s="2" t="s">
        <v>74</v>
      </c>
      <c r="AK161" s="2" t="s">
        <v>74</v>
      </c>
      <c r="AL161" s="2" t="s">
        <v>74</v>
      </c>
      <c r="AM161" s="2" t="s">
        <v>74</v>
      </c>
      <c r="AN161" s="2" t="s">
        <v>74</v>
      </c>
      <c r="AO161" s="2" t="s">
        <v>81</v>
      </c>
      <c r="AP161" s="2" t="s">
        <v>74</v>
      </c>
      <c r="AQ161" s="2" t="s">
        <v>74</v>
      </c>
      <c r="AR161" s="2" t="s">
        <v>74</v>
      </c>
      <c r="AS161" s="2" t="s">
        <v>74</v>
      </c>
      <c r="AT161" s="2" t="s">
        <v>74</v>
      </c>
      <c r="AU161" s="2">
        <v>1975</v>
      </c>
      <c r="AV161" s="2">
        <v>54</v>
      </c>
      <c r="AW161" s="2" t="s">
        <v>74</v>
      </c>
      <c r="AX161" s="2" t="s">
        <v>74</v>
      </c>
      <c r="AY161" s="2" t="s">
        <v>74</v>
      </c>
      <c r="AZ161" s="2" t="s">
        <v>74</v>
      </c>
      <c r="BA161" s="2" t="s">
        <v>74</v>
      </c>
      <c r="BB161" s="2">
        <v>72</v>
      </c>
      <c r="BC161" s="2">
        <v>96</v>
      </c>
      <c r="BD161" s="2" t="s">
        <v>74</v>
      </c>
      <c r="BE161" s="2" t="s">
        <v>2810</v>
      </c>
      <c r="BF161" s="2" t="str">
        <f>HYPERLINK("http://dx.doi.org/10.1163/156853975X00344","http://dx.doi.org/10.1163/156853975X00344")</f>
        <v>http://dx.doi.org/10.1163/156853975X00344</v>
      </c>
      <c r="BG161" s="2" t="s">
        <v>74</v>
      </c>
      <c r="BH161" s="2" t="s">
        <v>74</v>
      </c>
      <c r="BI161" s="2" t="s">
        <v>74</v>
      </c>
      <c r="BJ161" s="2" t="s">
        <v>74</v>
      </c>
      <c r="BK161" s="2" t="s">
        <v>74</v>
      </c>
      <c r="BL161" s="2" t="s">
        <v>74</v>
      </c>
      <c r="BM161" s="2" t="s">
        <v>74</v>
      </c>
      <c r="BN161" s="2" t="s">
        <v>74</v>
      </c>
      <c r="BO161" s="2" t="s">
        <v>74</v>
      </c>
      <c r="BP161" s="2" t="s">
        <v>74</v>
      </c>
      <c r="BQ161" s="2" t="s">
        <v>74</v>
      </c>
      <c r="BR161" s="2" t="s">
        <v>74</v>
      </c>
      <c r="BS161" s="2" t="s">
        <v>2811</v>
      </c>
      <c r="BT161" s="2" t="str">
        <f>HYPERLINK("https%3A%2F%2Fwww.webofscience.com%2Fwos%2Fwoscc%2Ffull-record%2FWOS:A1975AN77800005","View Full Record in Web of Science")</f>
        <v>View Full Record in Web of Science</v>
      </c>
    </row>
    <row r="162" spans="1:72" s="2" customFormat="1" x14ac:dyDescent="0.4">
      <c r="A162" s="2" t="s">
        <v>72</v>
      </c>
      <c r="B162" s="2" t="s">
        <v>1316</v>
      </c>
      <c r="C162" s="2" t="s">
        <v>74</v>
      </c>
      <c r="D162" s="2" t="s">
        <v>74</v>
      </c>
      <c r="E162" s="2" t="s">
        <v>74</v>
      </c>
      <c r="F162" s="2" t="s">
        <v>1316</v>
      </c>
      <c r="G162" s="2" t="s">
        <v>74</v>
      </c>
      <c r="H162" s="2" t="s">
        <v>74</v>
      </c>
      <c r="I162" s="2" t="s">
        <v>1317</v>
      </c>
      <c r="J162" s="2" t="s">
        <v>77</v>
      </c>
      <c r="K162" s="2" t="s">
        <v>74</v>
      </c>
      <c r="L162" s="2" t="s">
        <v>74</v>
      </c>
      <c r="M162" s="2" t="s">
        <v>74</v>
      </c>
      <c r="N162" s="2" t="s">
        <v>74</v>
      </c>
      <c r="O162" s="2" t="s">
        <v>74</v>
      </c>
      <c r="P162" s="2" t="s">
        <v>74</v>
      </c>
      <c r="Q162" s="2" t="s">
        <v>74</v>
      </c>
      <c r="R162" s="2" t="s">
        <v>74</v>
      </c>
      <c r="S162" s="2" t="s">
        <v>74</v>
      </c>
      <c r="T162" s="2" t="s">
        <v>74</v>
      </c>
      <c r="U162" s="2" t="s">
        <v>74</v>
      </c>
      <c r="V162" s="5" t="s">
        <v>1318</v>
      </c>
      <c r="W162" s="2" t="s">
        <v>74</v>
      </c>
      <c r="X162" s="2" t="s">
        <v>74</v>
      </c>
      <c r="Y162" s="2" t="s">
        <v>74</v>
      </c>
      <c r="Z162" s="2" t="s">
        <v>74</v>
      </c>
      <c r="AA162" s="2" t="s">
        <v>74</v>
      </c>
      <c r="AB162" s="2" t="s">
        <v>74</v>
      </c>
      <c r="AC162" s="2" t="s">
        <v>74</v>
      </c>
      <c r="AD162" s="2" t="s">
        <v>74</v>
      </c>
      <c r="AE162" s="2" t="s">
        <v>74</v>
      </c>
      <c r="AF162" s="2" t="s">
        <v>74</v>
      </c>
      <c r="AG162" s="2" t="s">
        <v>74</v>
      </c>
      <c r="AH162" s="2" t="s">
        <v>74</v>
      </c>
      <c r="AI162" s="2" t="s">
        <v>74</v>
      </c>
      <c r="AJ162" s="2" t="s">
        <v>74</v>
      </c>
      <c r="AK162" s="2" t="s">
        <v>74</v>
      </c>
      <c r="AL162" s="2" t="s">
        <v>74</v>
      </c>
      <c r="AM162" s="2" t="s">
        <v>74</v>
      </c>
      <c r="AN162" s="2" t="s">
        <v>74</v>
      </c>
      <c r="AO162" s="2" t="s">
        <v>81</v>
      </c>
      <c r="AP162" s="2" t="s">
        <v>82</v>
      </c>
      <c r="AQ162" s="2" t="s">
        <v>74</v>
      </c>
      <c r="AR162" s="2" t="s">
        <v>74</v>
      </c>
      <c r="AS162" s="2" t="s">
        <v>74</v>
      </c>
      <c r="AT162" s="2" t="s">
        <v>74</v>
      </c>
      <c r="AU162" s="2">
        <v>1982</v>
      </c>
      <c r="AV162" s="2">
        <v>80</v>
      </c>
      <c r="AW162" s="2" t="s">
        <v>74</v>
      </c>
      <c r="AX162" s="2" t="s">
        <v>1276</v>
      </c>
      <c r="AY162" s="2" t="s">
        <v>74</v>
      </c>
      <c r="AZ162" s="2" t="s">
        <v>74</v>
      </c>
      <c r="BA162" s="2" t="s">
        <v>74</v>
      </c>
      <c r="BB162" s="2">
        <v>127</v>
      </c>
      <c r="BC162" s="2">
        <v>142</v>
      </c>
      <c r="BD162" s="2" t="s">
        <v>74</v>
      </c>
      <c r="BE162" s="2" t="s">
        <v>1319</v>
      </c>
      <c r="BF162" s="2" t="str">
        <f>HYPERLINK("http://dx.doi.org/10.1163/156853982X00328","http://dx.doi.org/10.1163/156853982X00328")</f>
        <v>http://dx.doi.org/10.1163/156853982X00328</v>
      </c>
      <c r="BG162" s="2" t="s">
        <v>74</v>
      </c>
      <c r="BH162" s="2" t="s">
        <v>74</v>
      </c>
      <c r="BI162" s="2" t="s">
        <v>74</v>
      </c>
      <c r="BJ162" s="2" t="s">
        <v>74</v>
      </c>
      <c r="BK162" s="2" t="s">
        <v>74</v>
      </c>
      <c r="BL162" s="2" t="s">
        <v>74</v>
      </c>
      <c r="BM162" s="2" t="s">
        <v>74</v>
      </c>
      <c r="BN162" s="2" t="s">
        <v>74</v>
      </c>
      <c r="BO162" s="2" t="s">
        <v>74</v>
      </c>
      <c r="BP162" s="2" t="s">
        <v>74</v>
      </c>
      <c r="BQ162" s="2" t="s">
        <v>74</v>
      </c>
      <c r="BR162" s="2" t="s">
        <v>74</v>
      </c>
      <c r="BS162" s="2" t="s">
        <v>1320</v>
      </c>
      <c r="BT162" s="2" t="str">
        <f>HYPERLINK("https%3A%2F%2Fwww.webofscience.com%2Fwos%2Fwoscc%2Ffull-record%2FWOS:A1982PH83900001","View Full Record in Web of Science")</f>
        <v>View Full Record in Web of Science</v>
      </c>
    </row>
    <row r="163" spans="1:72" s="2" customFormat="1" x14ac:dyDescent="0.4">
      <c r="A163" s="2" t="s">
        <v>72</v>
      </c>
      <c r="B163" s="2" t="s">
        <v>4331</v>
      </c>
      <c r="C163" s="2" t="s">
        <v>74</v>
      </c>
      <c r="D163" s="2" t="s">
        <v>74</v>
      </c>
      <c r="E163" s="2" t="s">
        <v>74</v>
      </c>
      <c r="F163" s="2" t="s">
        <v>4331</v>
      </c>
      <c r="G163" s="2" t="s">
        <v>74</v>
      </c>
      <c r="H163" s="2" t="s">
        <v>74</v>
      </c>
      <c r="I163" s="2" t="s">
        <v>4332</v>
      </c>
      <c r="J163" s="2" t="s">
        <v>4333</v>
      </c>
      <c r="K163" s="2" t="s">
        <v>74</v>
      </c>
      <c r="L163" s="2" t="s">
        <v>74</v>
      </c>
      <c r="M163" s="2" t="s">
        <v>74</v>
      </c>
      <c r="N163" s="2" t="s">
        <v>74</v>
      </c>
      <c r="O163" s="2" t="s">
        <v>74</v>
      </c>
      <c r="P163" s="2" t="s">
        <v>74</v>
      </c>
      <c r="Q163" s="2" t="s">
        <v>74</v>
      </c>
      <c r="R163" s="2" t="s">
        <v>74</v>
      </c>
      <c r="S163" s="2" t="s">
        <v>74</v>
      </c>
      <c r="T163" s="2" t="s">
        <v>74</v>
      </c>
      <c r="U163" s="2" t="s">
        <v>74</v>
      </c>
      <c r="V163" s="5" t="s">
        <v>4334</v>
      </c>
      <c r="W163" s="2" t="s">
        <v>74</v>
      </c>
      <c r="X163" s="2" t="s">
        <v>74</v>
      </c>
      <c r="Y163" s="2" t="s">
        <v>74</v>
      </c>
      <c r="Z163" s="2" t="s">
        <v>74</v>
      </c>
      <c r="AA163" s="2" t="s">
        <v>74</v>
      </c>
      <c r="AB163" s="2" t="s">
        <v>74</v>
      </c>
      <c r="AC163" s="2" t="s">
        <v>74</v>
      </c>
      <c r="AD163" s="2" t="s">
        <v>74</v>
      </c>
      <c r="AE163" s="2" t="s">
        <v>74</v>
      </c>
      <c r="AF163" s="2" t="s">
        <v>74</v>
      </c>
      <c r="AG163" s="2" t="s">
        <v>74</v>
      </c>
      <c r="AH163" s="2" t="s">
        <v>74</v>
      </c>
      <c r="AI163" s="2" t="s">
        <v>74</v>
      </c>
      <c r="AJ163" s="2" t="s">
        <v>74</v>
      </c>
      <c r="AK163" s="2" t="s">
        <v>74</v>
      </c>
      <c r="AL163" s="2" t="s">
        <v>74</v>
      </c>
      <c r="AM163" s="2" t="s">
        <v>74</v>
      </c>
      <c r="AN163" s="2" t="s">
        <v>74</v>
      </c>
      <c r="AO163" s="2" t="s">
        <v>4335</v>
      </c>
      <c r="AP163" s="2" t="s">
        <v>74</v>
      </c>
      <c r="AQ163" s="2" t="s">
        <v>74</v>
      </c>
      <c r="AR163" s="2" t="s">
        <v>74</v>
      </c>
      <c r="AS163" s="2" t="s">
        <v>74</v>
      </c>
      <c r="AT163" s="2" t="s">
        <v>74</v>
      </c>
      <c r="AU163" s="2">
        <v>1984</v>
      </c>
      <c r="AV163" s="2">
        <v>9</v>
      </c>
      <c r="AW163" s="2">
        <v>2</v>
      </c>
      <c r="AX163" s="2" t="s">
        <v>74</v>
      </c>
      <c r="AY163" s="2" t="s">
        <v>74</v>
      </c>
      <c r="AZ163" s="2" t="s">
        <v>74</v>
      </c>
      <c r="BA163" s="2" t="s">
        <v>74</v>
      </c>
      <c r="BB163" s="2">
        <v>115</v>
      </c>
      <c r="BC163" s="2">
        <v>130</v>
      </c>
      <c r="BD163" s="2" t="s">
        <v>74</v>
      </c>
      <c r="BE163" s="2" t="s">
        <v>74</v>
      </c>
      <c r="BF163" s="2" t="s">
        <v>74</v>
      </c>
      <c r="BG163" s="2" t="s">
        <v>74</v>
      </c>
      <c r="BH163" s="2" t="s">
        <v>74</v>
      </c>
      <c r="BI163" s="2" t="s">
        <v>74</v>
      </c>
      <c r="BJ163" s="2" t="s">
        <v>74</v>
      </c>
      <c r="BK163" s="2" t="s">
        <v>74</v>
      </c>
      <c r="BL163" s="2" t="s">
        <v>74</v>
      </c>
      <c r="BM163" s="2" t="s">
        <v>74</v>
      </c>
      <c r="BN163" s="2" t="s">
        <v>74</v>
      </c>
      <c r="BO163" s="2" t="s">
        <v>74</v>
      </c>
      <c r="BP163" s="2" t="s">
        <v>74</v>
      </c>
      <c r="BQ163" s="2" t="s">
        <v>74</v>
      </c>
      <c r="BR163" s="2" t="s">
        <v>74</v>
      </c>
      <c r="BS163" s="2" t="s">
        <v>4336</v>
      </c>
      <c r="BT163" s="2" t="str">
        <f>HYPERLINK("https%3A%2F%2Fwww.webofscience.com%2Fwos%2Fwoscc%2Ffull-record%2FWOS:A1984SS90700002","View Full Record in Web of Science")</f>
        <v>View Full Record in Web of Science</v>
      </c>
    </row>
    <row r="164" spans="1:72" s="2" customFormat="1" x14ac:dyDescent="0.4">
      <c r="A164" s="2" t="s">
        <v>72</v>
      </c>
      <c r="B164" s="2" t="s">
        <v>325</v>
      </c>
      <c r="C164" s="2" t="s">
        <v>74</v>
      </c>
      <c r="D164" s="2" t="s">
        <v>74</v>
      </c>
      <c r="E164" s="2" t="s">
        <v>74</v>
      </c>
      <c r="F164" s="2" t="s">
        <v>325</v>
      </c>
      <c r="G164" s="2" t="s">
        <v>74</v>
      </c>
      <c r="H164" s="2" t="s">
        <v>74</v>
      </c>
      <c r="I164" s="2" t="s">
        <v>326</v>
      </c>
      <c r="J164" s="2" t="s">
        <v>140</v>
      </c>
      <c r="K164" s="2" t="s">
        <v>74</v>
      </c>
      <c r="L164" s="2" t="s">
        <v>74</v>
      </c>
      <c r="M164" s="2" t="s">
        <v>74</v>
      </c>
      <c r="N164" s="2" t="s">
        <v>74</v>
      </c>
      <c r="O164" s="2" t="s">
        <v>74</v>
      </c>
      <c r="P164" s="2" t="s">
        <v>74</v>
      </c>
      <c r="Q164" s="2" t="s">
        <v>74</v>
      </c>
      <c r="R164" s="2" t="s">
        <v>74</v>
      </c>
      <c r="S164" s="2" t="s">
        <v>74</v>
      </c>
      <c r="T164" s="2" t="s">
        <v>74</v>
      </c>
      <c r="U164" s="2" t="s">
        <v>74</v>
      </c>
      <c r="V164" s="5" t="s">
        <v>327</v>
      </c>
      <c r="W164" s="2" t="s">
        <v>74</v>
      </c>
      <c r="X164" s="2" t="s">
        <v>74</v>
      </c>
      <c r="Y164" s="2" t="s">
        <v>74</v>
      </c>
      <c r="Z164" s="2" t="s">
        <v>74</v>
      </c>
      <c r="AA164" s="2" t="s">
        <v>74</v>
      </c>
      <c r="AB164" s="2" t="s">
        <v>74</v>
      </c>
      <c r="AC164" s="2" t="s">
        <v>74</v>
      </c>
      <c r="AD164" s="2" t="s">
        <v>74</v>
      </c>
      <c r="AE164" s="2" t="s">
        <v>74</v>
      </c>
      <c r="AF164" s="2" t="s">
        <v>74</v>
      </c>
      <c r="AG164" s="2" t="s">
        <v>74</v>
      </c>
      <c r="AH164" s="2" t="s">
        <v>74</v>
      </c>
      <c r="AI164" s="2" t="s">
        <v>74</v>
      </c>
      <c r="AJ164" s="2" t="s">
        <v>74</v>
      </c>
      <c r="AK164" s="2" t="s">
        <v>74</v>
      </c>
      <c r="AL164" s="2" t="s">
        <v>74</v>
      </c>
      <c r="AM164" s="2" t="s">
        <v>74</v>
      </c>
      <c r="AN164" s="2" t="s">
        <v>74</v>
      </c>
      <c r="AO164" s="2" t="s">
        <v>143</v>
      </c>
      <c r="AP164" s="2" t="s">
        <v>144</v>
      </c>
      <c r="AQ164" s="2" t="s">
        <v>74</v>
      </c>
      <c r="AR164" s="2" t="s">
        <v>74</v>
      </c>
      <c r="AS164" s="2" t="s">
        <v>74</v>
      </c>
      <c r="AT164" s="2" t="s">
        <v>74</v>
      </c>
      <c r="AU164" s="2">
        <v>1976</v>
      </c>
      <c r="AV164" s="2">
        <v>24</v>
      </c>
      <c r="AW164" s="2" t="s">
        <v>213</v>
      </c>
      <c r="AX164" s="2" t="s">
        <v>74</v>
      </c>
      <c r="AY164" s="2" t="s">
        <v>74</v>
      </c>
      <c r="AZ164" s="2" t="s">
        <v>74</v>
      </c>
      <c r="BA164" s="2" t="s">
        <v>74</v>
      </c>
      <c r="BB164" s="2">
        <v>814</v>
      </c>
      <c r="BC164" s="2">
        <v>817</v>
      </c>
      <c r="BD164" s="2" t="s">
        <v>74</v>
      </c>
      <c r="BE164" s="2" t="s">
        <v>328</v>
      </c>
      <c r="BF164" s="2" t="str">
        <f>HYPERLINK("http://dx.doi.org/10.1016/S0003-3472(76)80011-5","http://dx.doi.org/10.1016/S0003-3472(76)80011-5")</f>
        <v>http://dx.doi.org/10.1016/S0003-3472(76)80011-5</v>
      </c>
      <c r="BG164" s="2" t="s">
        <v>74</v>
      </c>
      <c r="BH164" s="2" t="s">
        <v>74</v>
      </c>
      <c r="BI164" s="2" t="s">
        <v>74</v>
      </c>
      <c r="BJ164" s="2" t="s">
        <v>74</v>
      </c>
      <c r="BK164" s="2" t="s">
        <v>74</v>
      </c>
      <c r="BL164" s="2" t="s">
        <v>74</v>
      </c>
      <c r="BM164" s="2" t="s">
        <v>74</v>
      </c>
      <c r="BN164" s="2" t="s">
        <v>74</v>
      </c>
      <c r="BO164" s="2" t="s">
        <v>74</v>
      </c>
      <c r="BP164" s="2" t="s">
        <v>74</v>
      </c>
      <c r="BQ164" s="2" t="s">
        <v>74</v>
      </c>
      <c r="BR164" s="2" t="s">
        <v>74</v>
      </c>
      <c r="BS164" s="2" t="s">
        <v>329</v>
      </c>
      <c r="BT164" s="2" t="str">
        <f>HYPERLINK("https%3A%2F%2Fwww.webofscience.com%2Fwos%2Fwoscc%2Ffull-record%2FWOS:A1976CN83700010","View Full Record in Web of Science")</f>
        <v>View Full Record in Web of Science</v>
      </c>
    </row>
    <row r="165" spans="1:72" s="2" customFormat="1" x14ac:dyDescent="0.4">
      <c r="A165" s="2" t="s">
        <v>72</v>
      </c>
      <c r="B165" s="2" t="s">
        <v>7190</v>
      </c>
      <c r="C165" s="2" t="s">
        <v>74</v>
      </c>
      <c r="D165" s="2" t="s">
        <v>74</v>
      </c>
      <c r="E165" s="2" t="s">
        <v>74</v>
      </c>
      <c r="F165" s="2" t="s">
        <v>7191</v>
      </c>
      <c r="G165" s="2" t="s">
        <v>74</v>
      </c>
      <c r="H165" s="2" t="s">
        <v>74</v>
      </c>
      <c r="I165" s="2" t="s">
        <v>7192</v>
      </c>
      <c r="J165" s="2" t="s">
        <v>4661</v>
      </c>
      <c r="K165" s="2" t="s">
        <v>74</v>
      </c>
      <c r="L165" s="2" t="s">
        <v>74</v>
      </c>
      <c r="M165" s="2" t="s">
        <v>74</v>
      </c>
      <c r="N165" s="2" t="s">
        <v>74</v>
      </c>
      <c r="O165" s="2" t="s">
        <v>74</v>
      </c>
      <c r="P165" s="2" t="s">
        <v>74</v>
      </c>
      <c r="Q165" s="2" t="s">
        <v>74</v>
      </c>
      <c r="R165" s="2" t="s">
        <v>74</v>
      </c>
      <c r="S165" s="2" t="s">
        <v>74</v>
      </c>
      <c r="T165" s="2" t="s">
        <v>74</v>
      </c>
      <c r="U165" s="2" t="s">
        <v>74</v>
      </c>
      <c r="V165" s="5" t="s">
        <v>7193</v>
      </c>
      <c r="W165" s="2" t="s">
        <v>74</v>
      </c>
      <c r="X165" s="2" t="s">
        <v>74</v>
      </c>
      <c r="Y165" s="2" t="s">
        <v>74</v>
      </c>
      <c r="Z165" s="2" t="s">
        <v>74</v>
      </c>
      <c r="AA165" s="2" t="s">
        <v>74</v>
      </c>
      <c r="AB165" s="2" t="s">
        <v>74</v>
      </c>
      <c r="AC165" s="2" t="s">
        <v>74</v>
      </c>
      <c r="AD165" s="2" t="s">
        <v>74</v>
      </c>
      <c r="AE165" s="2" t="s">
        <v>74</v>
      </c>
      <c r="AF165" s="2" t="s">
        <v>74</v>
      </c>
      <c r="AG165" s="2" t="s">
        <v>74</v>
      </c>
      <c r="AH165" s="2" t="s">
        <v>74</v>
      </c>
      <c r="AI165" s="2" t="s">
        <v>74</v>
      </c>
      <c r="AJ165" s="2" t="s">
        <v>74</v>
      </c>
      <c r="AK165" s="2" t="s">
        <v>74</v>
      </c>
      <c r="AL165" s="2" t="s">
        <v>74</v>
      </c>
      <c r="AM165" s="2" t="s">
        <v>74</v>
      </c>
      <c r="AN165" s="2" t="s">
        <v>74</v>
      </c>
      <c r="AO165" s="2" t="s">
        <v>4663</v>
      </c>
      <c r="AP165" s="2" t="s">
        <v>74</v>
      </c>
      <c r="AQ165" s="2" t="s">
        <v>74</v>
      </c>
      <c r="AR165" s="2" t="s">
        <v>74</v>
      </c>
      <c r="AS165" s="2" t="s">
        <v>74</v>
      </c>
      <c r="AT165" s="2" t="s">
        <v>74</v>
      </c>
      <c r="AU165" s="2">
        <v>2010</v>
      </c>
      <c r="AV165" s="2">
        <v>38</v>
      </c>
      <c r="AW165" s="2">
        <v>3</v>
      </c>
      <c r="AX165" s="2" t="s">
        <v>74</v>
      </c>
      <c r="AY165" s="2" t="s">
        <v>74</v>
      </c>
      <c r="AZ165" s="2" t="s">
        <v>74</v>
      </c>
      <c r="BA165" s="2" t="s">
        <v>74</v>
      </c>
      <c r="BB165" s="2">
        <v>485</v>
      </c>
      <c r="BC165" s="2">
        <v>494</v>
      </c>
      <c r="BD165" s="2" t="s">
        <v>74</v>
      </c>
      <c r="BE165" s="2" t="s">
        <v>7194</v>
      </c>
      <c r="BF165" s="2" t="str">
        <f>HYPERLINK("http://dx.doi.org/10.1636/B10-05.1","http://dx.doi.org/10.1636/B10-05.1")</f>
        <v>http://dx.doi.org/10.1636/B10-05.1</v>
      </c>
      <c r="BG165" s="2" t="s">
        <v>74</v>
      </c>
      <c r="BH165" s="2" t="s">
        <v>74</v>
      </c>
      <c r="BI165" s="2" t="s">
        <v>74</v>
      </c>
      <c r="BJ165" s="2" t="s">
        <v>74</v>
      </c>
      <c r="BK165" s="2" t="s">
        <v>74</v>
      </c>
      <c r="BL165" s="2" t="s">
        <v>74</v>
      </c>
      <c r="BM165" s="2" t="s">
        <v>74</v>
      </c>
      <c r="BN165" s="2" t="s">
        <v>74</v>
      </c>
      <c r="BO165" s="2" t="s">
        <v>74</v>
      </c>
      <c r="BP165" s="2" t="s">
        <v>74</v>
      </c>
      <c r="BQ165" s="2" t="s">
        <v>74</v>
      </c>
      <c r="BR165" s="2" t="s">
        <v>74</v>
      </c>
      <c r="BS165" s="2" t="s">
        <v>7195</v>
      </c>
      <c r="BT165" s="2" t="str">
        <f>HYPERLINK("https%3A%2F%2Fwww.webofscience.com%2Fwos%2Fwoscc%2Ffull-record%2FWOS:000297386000013","View Full Record in Web of Science")</f>
        <v>View Full Record in Web of Science</v>
      </c>
    </row>
    <row r="166" spans="1:72" s="2" customFormat="1" x14ac:dyDescent="0.4">
      <c r="A166" s="2" t="s">
        <v>72</v>
      </c>
      <c r="B166" s="2" t="s">
        <v>4976</v>
      </c>
      <c r="C166" s="2" t="s">
        <v>74</v>
      </c>
      <c r="D166" s="2" t="s">
        <v>74</v>
      </c>
      <c r="E166" s="2" t="s">
        <v>74</v>
      </c>
      <c r="F166" s="2" t="s">
        <v>4977</v>
      </c>
      <c r="G166" s="2" t="s">
        <v>74</v>
      </c>
      <c r="H166" s="2" t="s">
        <v>74</v>
      </c>
      <c r="I166" s="2" t="s">
        <v>4978</v>
      </c>
      <c r="J166" s="2" t="s">
        <v>970</v>
      </c>
      <c r="K166" s="2" t="s">
        <v>74</v>
      </c>
      <c r="L166" s="2" t="s">
        <v>74</v>
      </c>
      <c r="M166" s="2" t="s">
        <v>74</v>
      </c>
      <c r="N166" s="2" t="s">
        <v>74</v>
      </c>
      <c r="O166" s="2" t="s">
        <v>74</v>
      </c>
      <c r="P166" s="2" t="s">
        <v>74</v>
      </c>
      <c r="Q166" s="2" t="s">
        <v>74</v>
      </c>
      <c r="R166" s="2" t="s">
        <v>74</v>
      </c>
      <c r="S166" s="2" t="s">
        <v>74</v>
      </c>
      <c r="T166" s="2" t="s">
        <v>74</v>
      </c>
      <c r="U166" s="2" t="s">
        <v>74</v>
      </c>
      <c r="V166" s="5" t="s">
        <v>4979</v>
      </c>
      <c r="W166" s="2" t="s">
        <v>74</v>
      </c>
      <c r="X166" s="2" t="s">
        <v>74</v>
      </c>
      <c r="Y166" s="2" t="s">
        <v>74</v>
      </c>
      <c r="Z166" s="2" t="s">
        <v>74</v>
      </c>
      <c r="AA166" s="2" t="s">
        <v>74</v>
      </c>
      <c r="AB166" s="2" t="s">
        <v>4980</v>
      </c>
      <c r="AC166" s="2" t="s">
        <v>74</v>
      </c>
      <c r="AD166" s="2" t="s">
        <v>74</v>
      </c>
      <c r="AE166" s="2" t="s">
        <v>74</v>
      </c>
      <c r="AF166" s="2" t="s">
        <v>74</v>
      </c>
      <c r="AG166" s="2" t="s">
        <v>74</v>
      </c>
      <c r="AH166" s="2" t="s">
        <v>74</v>
      </c>
      <c r="AI166" s="2" t="s">
        <v>74</v>
      </c>
      <c r="AJ166" s="2" t="s">
        <v>74</v>
      </c>
      <c r="AK166" s="2" t="s">
        <v>74</v>
      </c>
      <c r="AL166" s="2" t="s">
        <v>74</v>
      </c>
      <c r="AM166" s="2" t="s">
        <v>74</v>
      </c>
      <c r="AN166" s="2" t="s">
        <v>74</v>
      </c>
      <c r="AO166" s="2" t="s">
        <v>974</v>
      </c>
      <c r="AP166" s="2" t="s">
        <v>975</v>
      </c>
      <c r="AQ166" s="2" t="s">
        <v>74</v>
      </c>
      <c r="AR166" s="2" t="s">
        <v>74</v>
      </c>
      <c r="AS166" s="2" t="s">
        <v>74</v>
      </c>
      <c r="AT166" s="2" t="s">
        <v>204</v>
      </c>
      <c r="AU166" s="2">
        <v>2021</v>
      </c>
      <c r="AV166" s="2">
        <v>162</v>
      </c>
      <c r="AW166" s="2">
        <v>3</v>
      </c>
      <c r="AX166" s="2" t="s">
        <v>74</v>
      </c>
      <c r="AY166" s="2" t="s">
        <v>74</v>
      </c>
      <c r="AZ166" s="2" t="s">
        <v>74</v>
      </c>
      <c r="BA166" s="2" t="s">
        <v>74</v>
      </c>
      <c r="BB166" s="2">
        <v>737</v>
      </c>
      <c r="BC166" s="2">
        <v>748</v>
      </c>
      <c r="BD166" s="2" t="s">
        <v>74</v>
      </c>
      <c r="BE166" s="2" t="s">
        <v>4981</v>
      </c>
      <c r="BF166" s="2" t="str">
        <f>HYPERLINK("http://dx.doi.org/10.1007/s10336-021-01864-2","http://dx.doi.org/10.1007/s10336-021-01864-2")</f>
        <v>http://dx.doi.org/10.1007/s10336-021-01864-2</v>
      </c>
      <c r="BG166" s="2" t="s">
        <v>74</v>
      </c>
      <c r="BH166" s="2" t="s">
        <v>2411</v>
      </c>
      <c r="BI166" s="2" t="s">
        <v>74</v>
      </c>
      <c r="BJ166" s="2" t="s">
        <v>74</v>
      </c>
      <c r="BK166" s="2" t="s">
        <v>74</v>
      </c>
      <c r="BL166" s="2" t="s">
        <v>74</v>
      </c>
      <c r="BM166" s="2" t="s">
        <v>74</v>
      </c>
      <c r="BN166" s="2" t="s">
        <v>74</v>
      </c>
      <c r="BO166" s="2" t="s">
        <v>74</v>
      </c>
      <c r="BP166" s="2" t="s">
        <v>74</v>
      </c>
      <c r="BQ166" s="2" t="s">
        <v>74</v>
      </c>
      <c r="BR166" s="2" t="s">
        <v>74</v>
      </c>
      <c r="BS166" s="2" t="s">
        <v>4982</v>
      </c>
      <c r="BT166" s="2" t="str">
        <f>HYPERLINK("https%3A%2F%2Fwww.webofscience.com%2Fwos%2Fwoscc%2Ffull-record%2FWOS:000619907200001","View Full Record in Web of Science")</f>
        <v>View Full Record in Web of Science</v>
      </c>
    </row>
    <row r="167" spans="1:72" s="2" customFormat="1" x14ac:dyDescent="0.4">
      <c r="A167" s="2" t="s">
        <v>72</v>
      </c>
      <c r="B167" s="2" t="s">
        <v>5056</v>
      </c>
      <c r="C167" s="2" t="s">
        <v>74</v>
      </c>
      <c r="D167" s="2" t="s">
        <v>74</v>
      </c>
      <c r="E167" s="2" t="s">
        <v>74</v>
      </c>
      <c r="F167" s="2" t="s">
        <v>5057</v>
      </c>
      <c r="G167" s="2" t="s">
        <v>74</v>
      </c>
      <c r="H167" s="2" t="s">
        <v>74</v>
      </c>
      <c r="I167" s="2" t="s">
        <v>5058</v>
      </c>
      <c r="J167" s="2" t="s">
        <v>431</v>
      </c>
      <c r="K167" s="2" t="s">
        <v>74</v>
      </c>
      <c r="L167" s="2" t="s">
        <v>74</v>
      </c>
      <c r="M167" s="2" t="s">
        <v>74</v>
      </c>
      <c r="N167" s="2" t="s">
        <v>74</v>
      </c>
      <c r="O167" s="2" t="s">
        <v>74</v>
      </c>
      <c r="P167" s="2" t="s">
        <v>74</v>
      </c>
      <c r="Q167" s="2" t="s">
        <v>74</v>
      </c>
      <c r="R167" s="2" t="s">
        <v>74</v>
      </c>
      <c r="S167" s="2" t="s">
        <v>74</v>
      </c>
      <c r="T167" s="2" t="s">
        <v>74</v>
      </c>
      <c r="U167" s="2" t="s">
        <v>74</v>
      </c>
      <c r="V167" s="5" t="s">
        <v>5059</v>
      </c>
      <c r="W167" s="2" t="s">
        <v>74</v>
      </c>
      <c r="X167" s="2" t="s">
        <v>74</v>
      </c>
      <c r="Y167" s="2" t="s">
        <v>74</v>
      </c>
      <c r="Z167" s="2" t="s">
        <v>74</v>
      </c>
      <c r="AA167" s="2" t="s">
        <v>74</v>
      </c>
      <c r="AB167" s="2" t="s">
        <v>5060</v>
      </c>
      <c r="AC167" s="2" t="s">
        <v>74</v>
      </c>
      <c r="AD167" s="2" t="s">
        <v>74</v>
      </c>
      <c r="AE167" s="2" t="s">
        <v>74</v>
      </c>
      <c r="AF167" s="2" t="s">
        <v>74</v>
      </c>
      <c r="AG167" s="2" t="s">
        <v>74</v>
      </c>
      <c r="AH167" s="2" t="s">
        <v>74</v>
      </c>
      <c r="AI167" s="2" t="s">
        <v>74</v>
      </c>
      <c r="AJ167" s="2" t="s">
        <v>74</v>
      </c>
      <c r="AK167" s="2" t="s">
        <v>74</v>
      </c>
      <c r="AL167" s="2" t="s">
        <v>74</v>
      </c>
      <c r="AM167" s="2" t="s">
        <v>74</v>
      </c>
      <c r="AN167" s="2" t="s">
        <v>74</v>
      </c>
      <c r="AO167" s="2" t="s">
        <v>74</v>
      </c>
      <c r="AP167" s="2" t="s">
        <v>435</v>
      </c>
      <c r="AQ167" s="2" t="s">
        <v>74</v>
      </c>
      <c r="AR167" s="2" t="s">
        <v>74</v>
      </c>
      <c r="AS167" s="2" t="s">
        <v>74</v>
      </c>
      <c r="AT167" s="2" t="s">
        <v>204</v>
      </c>
      <c r="AU167" s="2">
        <v>2016</v>
      </c>
      <c r="AV167" s="2">
        <v>133</v>
      </c>
      <c r="AW167" s="2">
        <v>3</v>
      </c>
      <c r="AX167" s="2" t="s">
        <v>74</v>
      </c>
      <c r="AY167" s="2" t="s">
        <v>74</v>
      </c>
      <c r="AZ167" s="2" t="s">
        <v>74</v>
      </c>
      <c r="BA167" s="2" t="s">
        <v>74</v>
      </c>
      <c r="BB167" s="2">
        <v>530</v>
      </c>
      <c r="BC167" s="2">
        <v>543</v>
      </c>
      <c r="BD167" s="2" t="s">
        <v>74</v>
      </c>
      <c r="BE167" s="2" t="s">
        <v>5061</v>
      </c>
      <c r="BF167" s="2" t="str">
        <f>HYPERLINK("http://dx.doi.org/10.1642/AUK-15-170.1","http://dx.doi.org/10.1642/AUK-15-170.1")</f>
        <v>http://dx.doi.org/10.1642/AUK-15-170.1</v>
      </c>
      <c r="BG167" s="2" t="s">
        <v>74</v>
      </c>
      <c r="BH167" s="2" t="s">
        <v>74</v>
      </c>
      <c r="BI167" s="2" t="s">
        <v>74</v>
      </c>
      <c r="BJ167" s="2" t="s">
        <v>74</v>
      </c>
      <c r="BK167" s="2" t="s">
        <v>74</v>
      </c>
      <c r="BL167" s="2" t="s">
        <v>74</v>
      </c>
      <c r="BM167" s="2" t="s">
        <v>74</v>
      </c>
      <c r="BN167" s="2" t="s">
        <v>74</v>
      </c>
      <c r="BO167" s="2" t="s">
        <v>74</v>
      </c>
      <c r="BP167" s="2" t="s">
        <v>74</v>
      </c>
      <c r="BQ167" s="2" t="s">
        <v>74</v>
      </c>
      <c r="BR167" s="2" t="s">
        <v>74</v>
      </c>
      <c r="BS167" s="2" t="s">
        <v>5062</v>
      </c>
      <c r="BT167" s="2" t="str">
        <f>HYPERLINK("https%3A%2F%2Fwww.webofscience.com%2Fwos%2Fwoscc%2Ffull-record%2FWOS:000379663400017","View Full Record in Web of Science")</f>
        <v>View Full Record in Web of Science</v>
      </c>
    </row>
    <row r="168" spans="1:72" s="2" customFormat="1" x14ac:dyDescent="0.4">
      <c r="A168" s="2" t="s">
        <v>72</v>
      </c>
      <c r="B168" s="2" t="s">
        <v>4286</v>
      </c>
      <c r="C168" s="2" t="s">
        <v>74</v>
      </c>
      <c r="D168" s="2" t="s">
        <v>74</v>
      </c>
      <c r="E168" s="2" t="s">
        <v>74</v>
      </c>
      <c r="F168" s="2" t="s">
        <v>4287</v>
      </c>
      <c r="G168" s="2" t="s">
        <v>74</v>
      </c>
      <c r="H168" s="2" t="s">
        <v>74</v>
      </c>
      <c r="I168" s="2" t="s">
        <v>4288</v>
      </c>
      <c r="J168" s="2" t="s">
        <v>814</v>
      </c>
      <c r="K168" s="2" t="s">
        <v>74</v>
      </c>
      <c r="L168" s="2" t="s">
        <v>74</v>
      </c>
      <c r="M168" s="2" t="s">
        <v>74</v>
      </c>
      <c r="N168" s="2" t="s">
        <v>74</v>
      </c>
      <c r="O168" s="2" t="s">
        <v>74</v>
      </c>
      <c r="P168" s="2" t="s">
        <v>74</v>
      </c>
      <c r="Q168" s="2" t="s">
        <v>74</v>
      </c>
      <c r="R168" s="2" t="s">
        <v>74</v>
      </c>
      <c r="S168" s="2" t="s">
        <v>74</v>
      </c>
      <c r="T168" s="2" t="s">
        <v>74</v>
      </c>
      <c r="U168" s="2" t="s">
        <v>74</v>
      </c>
      <c r="V168" s="5" t="s">
        <v>4289</v>
      </c>
      <c r="W168" s="2" t="s">
        <v>74</v>
      </c>
      <c r="X168" s="2" t="s">
        <v>74</v>
      </c>
      <c r="Y168" s="2" t="s">
        <v>74</v>
      </c>
      <c r="Z168" s="2" t="s">
        <v>74</v>
      </c>
      <c r="AA168" s="2" t="s">
        <v>4290</v>
      </c>
      <c r="AB168" s="2" t="s">
        <v>4291</v>
      </c>
      <c r="AC168" s="2" t="s">
        <v>74</v>
      </c>
      <c r="AD168" s="2" t="s">
        <v>74</v>
      </c>
      <c r="AE168" s="2" t="s">
        <v>74</v>
      </c>
      <c r="AF168" s="2" t="s">
        <v>74</v>
      </c>
      <c r="AG168" s="2" t="s">
        <v>74</v>
      </c>
      <c r="AH168" s="2" t="s">
        <v>74</v>
      </c>
      <c r="AI168" s="2" t="s">
        <v>74</v>
      </c>
      <c r="AJ168" s="2" t="s">
        <v>74</v>
      </c>
      <c r="AK168" s="2" t="s">
        <v>74</v>
      </c>
      <c r="AL168" s="2" t="s">
        <v>74</v>
      </c>
      <c r="AM168" s="2" t="s">
        <v>74</v>
      </c>
      <c r="AN168" s="2" t="s">
        <v>74</v>
      </c>
      <c r="AO168" s="2" t="s">
        <v>818</v>
      </c>
      <c r="AP168" s="2" t="s">
        <v>74</v>
      </c>
      <c r="AQ168" s="2" t="s">
        <v>74</v>
      </c>
      <c r="AR168" s="2" t="s">
        <v>74</v>
      </c>
      <c r="AS168" s="2" t="s">
        <v>74</v>
      </c>
      <c r="AT168" s="2" t="s">
        <v>964</v>
      </c>
      <c r="AU168" s="2">
        <v>2011</v>
      </c>
      <c r="AV168" s="2">
        <v>114</v>
      </c>
      <c r="AW168" s="2">
        <v>1</v>
      </c>
      <c r="AX168" s="2" t="s">
        <v>74</v>
      </c>
      <c r="AY168" s="2" t="s">
        <v>74</v>
      </c>
      <c r="AZ168" s="2" t="s">
        <v>74</v>
      </c>
      <c r="BA168" s="2" t="s">
        <v>74</v>
      </c>
      <c r="BB168" s="2">
        <v>53</v>
      </c>
      <c r="BC168" s="2">
        <v>57</v>
      </c>
      <c r="BD168" s="2" t="s">
        <v>74</v>
      </c>
      <c r="BE168" s="2" t="s">
        <v>4292</v>
      </c>
      <c r="BF168" s="2" t="str">
        <f>HYPERLINK("http://dx.doi.org/10.1016/j.zool.2010.09.001","http://dx.doi.org/10.1016/j.zool.2010.09.001")</f>
        <v>http://dx.doi.org/10.1016/j.zool.2010.09.001</v>
      </c>
      <c r="BG168" s="2" t="s">
        <v>74</v>
      </c>
      <c r="BH168" s="2" t="s">
        <v>74</v>
      </c>
      <c r="BI168" s="2" t="s">
        <v>74</v>
      </c>
      <c r="BJ168" s="2" t="s">
        <v>74</v>
      </c>
      <c r="BK168" s="2" t="s">
        <v>74</v>
      </c>
      <c r="BL168" s="2" t="s">
        <v>74</v>
      </c>
      <c r="BM168" s="2" t="s">
        <v>74</v>
      </c>
      <c r="BN168" s="2">
        <v>21196103</v>
      </c>
      <c r="BO168" s="2" t="s">
        <v>74</v>
      </c>
      <c r="BP168" s="2" t="s">
        <v>74</v>
      </c>
      <c r="BQ168" s="2" t="s">
        <v>74</v>
      </c>
      <c r="BR168" s="2" t="s">
        <v>74</v>
      </c>
      <c r="BS168" s="2" t="s">
        <v>4293</v>
      </c>
      <c r="BT168" s="2" t="str">
        <f>HYPERLINK("https%3A%2F%2Fwww.webofscience.com%2Fwos%2Fwoscc%2Ffull-record%2FWOS:000289139000007","View Full Record in Web of Science")</f>
        <v>View Full Record in Web of Science</v>
      </c>
    </row>
    <row r="169" spans="1:72" s="1" customFormat="1" x14ac:dyDescent="0.4">
      <c r="A169" s="2" t="s">
        <v>72</v>
      </c>
      <c r="B169" s="2" t="s">
        <v>1800</v>
      </c>
      <c r="C169" s="2" t="s">
        <v>74</v>
      </c>
      <c r="D169" s="2" t="s">
        <v>74</v>
      </c>
      <c r="E169" s="2" t="s">
        <v>74</v>
      </c>
      <c r="F169" s="2" t="s">
        <v>1801</v>
      </c>
      <c r="G169" s="2" t="s">
        <v>74</v>
      </c>
      <c r="H169" s="2" t="s">
        <v>74</v>
      </c>
      <c r="I169" s="2" t="s">
        <v>1802</v>
      </c>
      <c r="J169" s="2" t="s">
        <v>1803</v>
      </c>
      <c r="K169" s="2" t="s">
        <v>74</v>
      </c>
      <c r="L169" s="2" t="s">
        <v>74</v>
      </c>
      <c r="M169" s="2" t="s">
        <v>74</v>
      </c>
      <c r="N169" s="2" t="s">
        <v>74</v>
      </c>
      <c r="O169" s="2" t="s">
        <v>74</v>
      </c>
      <c r="P169" s="2" t="s">
        <v>74</v>
      </c>
      <c r="Q169" s="2" t="s">
        <v>74</v>
      </c>
      <c r="R169" s="2" t="s">
        <v>74</v>
      </c>
      <c r="S169" s="2" t="s">
        <v>74</v>
      </c>
      <c r="T169" s="2" t="s">
        <v>74</v>
      </c>
      <c r="U169" s="2" t="s">
        <v>74</v>
      </c>
      <c r="V169" s="5" t="s">
        <v>1804</v>
      </c>
      <c r="W169" s="2" t="s">
        <v>74</v>
      </c>
      <c r="X169" s="2" t="s">
        <v>74</v>
      </c>
      <c r="Y169" s="2" t="s">
        <v>74</v>
      </c>
      <c r="Z169" s="2" t="s">
        <v>74</v>
      </c>
      <c r="AA169" s="2" t="s">
        <v>1805</v>
      </c>
      <c r="AB169" s="2" t="s">
        <v>1806</v>
      </c>
      <c r="AC169" s="2" t="s">
        <v>74</v>
      </c>
      <c r="AD169" s="2" t="s">
        <v>74</v>
      </c>
      <c r="AE169" s="2" t="s">
        <v>74</v>
      </c>
      <c r="AF169" s="2" t="s">
        <v>74</v>
      </c>
      <c r="AG169" s="2" t="s">
        <v>74</v>
      </c>
      <c r="AH169" s="2" t="s">
        <v>74</v>
      </c>
      <c r="AI169" s="2" t="s">
        <v>74</v>
      </c>
      <c r="AJ169" s="2" t="s">
        <v>74</v>
      </c>
      <c r="AK169" s="2" t="s">
        <v>74</v>
      </c>
      <c r="AL169" s="2" t="s">
        <v>74</v>
      </c>
      <c r="AM169" s="2" t="s">
        <v>74</v>
      </c>
      <c r="AN169" s="2" t="s">
        <v>74</v>
      </c>
      <c r="AO169" s="2" t="s">
        <v>1807</v>
      </c>
      <c r="AP169" s="2" t="s">
        <v>1808</v>
      </c>
      <c r="AQ169" s="2" t="s">
        <v>74</v>
      </c>
      <c r="AR169" s="2" t="s">
        <v>74</v>
      </c>
      <c r="AS169" s="2" t="s">
        <v>74</v>
      </c>
      <c r="AT169" s="2" t="s">
        <v>633</v>
      </c>
      <c r="AU169" s="2">
        <v>2015</v>
      </c>
      <c r="AV169" s="2">
        <v>29</v>
      </c>
      <c r="AW169" s="2">
        <v>4</v>
      </c>
      <c r="AX169" s="2" t="s">
        <v>74</v>
      </c>
      <c r="AY169" s="2" t="s">
        <v>74</v>
      </c>
      <c r="AZ169" s="2" t="s">
        <v>74</v>
      </c>
      <c r="BA169" s="2" t="s">
        <v>74</v>
      </c>
      <c r="BB169" s="2">
        <v>531</v>
      </c>
      <c r="BC169" s="2">
        <v>539</v>
      </c>
      <c r="BD169" s="2" t="s">
        <v>74</v>
      </c>
      <c r="BE169" s="2" t="s">
        <v>1809</v>
      </c>
      <c r="BF169" s="2" t="str">
        <f>HYPERLINK("http://dx.doi.org/10.1111/1365-2435.12363","http://dx.doi.org/10.1111/1365-2435.12363")</f>
        <v>http://dx.doi.org/10.1111/1365-2435.12363</v>
      </c>
      <c r="BG169" s="2" t="s">
        <v>74</v>
      </c>
      <c r="BH169" s="2" t="s">
        <v>74</v>
      </c>
      <c r="BI169" s="2" t="s">
        <v>74</v>
      </c>
      <c r="BJ169" s="2" t="s">
        <v>74</v>
      </c>
      <c r="BK169" s="2" t="s">
        <v>74</v>
      </c>
      <c r="BL169" s="2" t="s">
        <v>74</v>
      </c>
      <c r="BM169" s="2" t="s">
        <v>74</v>
      </c>
      <c r="BN169" s="2" t="s">
        <v>74</v>
      </c>
      <c r="BO169" s="2" t="s">
        <v>74</v>
      </c>
      <c r="BP169" s="2" t="s">
        <v>74</v>
      </c>
      <c r="BQ169" s="2" t="s">
        <v>74</v>
      </c>
      <c r="BR169" s="2" t="s">
        <v>74</v>
      </c>
      <c r="BS169" s="2" t="s">
        <v>1810</v>
      </c>
      <c r="BT169" s="2" t="str">
        <f>HYPERLINK("https%3A%2F%2Fwww.webofscience.com%2Fwos%2Fwoscc%2Ffull-record%2FWOS:000353684800011","View Full Record in Web of Science")</f>
        <v>View Full Record in Web of Science</v>
      </c>
    </row>
    <row r="170" spans="1:72" s="2" customFormat="1" x14ac:dyDescent="0.4">
      <c r="A170" s="2" t="s">
        <v>72</v>
      </c>
      <c r="B170" s="2" t="s">
        <v>2979</v>
      </c>
      <c r="C170" s="2" t="s">
        <v>74</v>
      </c>
      <c r="D170" s="2" t="s">
        <v>74</v>
      </c>
      <c r="E170" s="2" t="s">
        <v>74</v>
      </c>
      <c r="F170" s="2" t="s">
        <v>2979</v>
      </c>
      <c r="G170" s="2" t="s">
        <v>74</v>
      </c>
      <c r="H170" s="2" t="s">
        <v>74</v>
      </c>
      <c r="I170" s="2" t="s">
        <v>2980</v>
      </c>
      <c r="J170" s="2" t="s">
        <v>344</v>
      </c>
      <c r="K170" s="2" t="s">
        <v>74</v>
      </c>
      <c r="L170" s="2" t="s">
        <v>74</v>
      </c>
      <c r="M170" s="2" t="s">
        <v>74</v>
      </c>
      <c r="N170" s="2" t="s">
        <v>74</v>
      </c>
      <c r="O170" s="2" t="s">
        <v>74</v>
      </c>
      <c r="P170" s="2" t="s">
        <v>74</v>
      </c>
      <c r="Q170" s="2" t="s">
        <v>74</v>
      </c>
      <c r="R170" s="2" t="s">
        <v>74</v>
      </c>
      <c r="S170" s="2" t="s">
        <v>74</v>
      </c>
      <c r="T170" s="2" t="s">
        <v>74</v>
      </c>
      <c r="U170" s="2" t="s">
        <v>74</v>
      </c>
      <c r="V170" s="5" t="s">
        <v>2981</v>
      </c>
      <c r="W170" s="2" t="s">
        <v>74</v>
      </c>
      <c r="X170" s="2" t="s">
        <v>74</v>
      </c>
      <c r="Y170" s="2" t="s">
        <v>74</v>
      </c>
      <c r="Z170" s="2" t="s">
        <v>74</v>
      </c>
      <c r="AA170" s="2" t="s">
        <v>2982</v>
      </c>
      <c r="AB170" s="2" t="s">
        <v>74</v>
      </c>
      <c r="AC170" s="2" t="s">
        <v>74</v>
      </c>
      <c r="AD170" s="2" t="s">
        <v>74</v>
      </c>
      <c r="AE170" s="2" t="s">
        <v>74</v>
      </c>
      <c r="AF170" s="2" t="s">
        <v>74</v>
      </c>
      <c r="AG170" s="2" t="s">
        <v>74</v>
      </c>
      <c r="AH170" s="2" t="s">
        <v>74</v>
      </c>
      <c r="AI170" s="2" t="s">
        <v>74</v>
      </c>
      <c r="AJ170" s="2" t="s">
        <v>74</v>
      </c>
      <c r="AK170" s="2" t="s">
        <v>74</v>
      </c>
      <c r="AL170" s="2" t="s">
        <v>74</v>
      </c>
      <c r="AM170" s="2" t="s">
        <v>74</v>
      </c>
      <c r="AN170" s="2" t="s">
        <v>74</v>
      </c>
      <c r="AO170" s="2" t="s">
        <v>346</v>
      </c>
      <c r="AP170" s="2" t="s">
        <v>74</v>
      </c>
      <c r="AQ170" s="2" t="s">
        <v>74</v>
      </c>
      <c r="AR170" s="2" t="s">
        <v>74</v>
      </c>
      <c r="AS170" s="2" t="s">
        <v>74</v>
      </c>
      <c r="AT170" s="2" t="s">
        <v>305</v>
      </c>
      <c r="AU170" s="2">
        <v>1999</v>
      </c>
      <c r="AV170" s="2">
        <v>56</v>
      </c>
      <c r="AW170" s="2">
        <v>4</v>
      </c>
      <c r="AX170" s="2" t="s">
        <v>74</v>
      </c>
      <c r="AY170" s="2" t="s">
        <v>74</v>
      </c>
      <c r="AZ170" s="2" t="s">
        <v>74</v>
      </c>
      <c r="BA170" s="2" t="s">
        <v>74</v>
      </c>
      <c r="BB170" s="2">
        <v>429</v>
      </c>
      <c r="BC170" s="2">
        <v>442</v>
      </c>
      <c r="BD170" s="2" t="s">
        <v>74</v>
      </c>
      <c r="BE170" s="2" t="s">
        <v>2983</v>
      </c>
      <c r="BF170" s="2" t="str">
        <f>HYPERLINK("http://dx.doi.org/10.1023/A:1007556112449","http://dx.doi.org/10.1023/A:1007556112449")</f>
        <v>http://dx.doi.org/10.1023/A:1007556112449</v>
      </c>
      <c r="BG170" s="2" t="s">
        <v>74</v>
      </c>
      <c r="BH170" s="2" t="s">
        <v>74</v>
      </c>
      <c r="BI170" s="2" t="s">
        <v>74</v>
      </c>
      <c r="BJ170" s="2" t="s">
        <v>74</v>
      </c>
      <c r="BK170" s="2" t="s">
        <v>74</v>
      </c>
      <c r="BL170" s="2" t="s">
        <v>74</v>
      </c>
      <c r="BM170" s="2" t="s">
        <v>74</v>
      </c>
      <c r="BN170" s="2" t="s">
        <v>74</v>
      </c>
      <c r="BO170" s="2" t="s">
        <v>74</v>
      </c>
      <c r="BP170" s="2" t="s">
        <v>74</v>
      </c>
      <c r="BQ170" s="2" t="s">
        <v>74</v>
      </c>
      <c r="BR170" s="2" t="s">
        <v>74</v>
      </c>
      <c r="BS170" s="2" t="s">
        <v>2984</v>
      </c>
      <c r="BT170" s="2" t="str">
        <f>HYPERLINK("https%3A%2F%2Fwww.webofscience.com%2Fwos%2Fwoscc%2Ffull-record%2FWOS:000084346500010","View Full Record in Web of Science")</f>
        <v>View Full Record in Web of Science</v>
      </c>
    </row>
    <row r="171" spans="1:72" s="2" customFormat="1" x14ac:dyDescent="0.4">
      <c r="A171" s="2" t="s">
        <v>72</v>
      </c>
      <c r="B171" s="2" t="s">
        <v>3592</v>
      </c>
      <c r="C171" s="2" t="s">
        <v>74</v>
      </c>
      <c r="D171" s="2" t="s">
        <v>74</v>
      </c>
      <c r="E171" s="2" t="s">
        <v>74</v>
      </c>
      <c r="F171" s="2" t="s">
        <v>3593</v>
      </c>
      <c r="G171" s="2" t="s">
        <v>74</v>
      </c>
      <c r="H171" s="2" t="s">
        <v>74</v>
      </c>
      <c r="I171" s="2" t="s">
        <v>3594</v>
      </c>
      <c r="J171" s="2" t="s">
        <v>3595</v>
      </c>
      <c r="K171" s="2" t="s">
        <v>74</v>
      </c>
      <c r="L171" s="2" t="s">
        <v>74</v>
      </c>
      <c r="M171" s="2" t="s">
        <v>74</v>
      </c>
      <c r="N171" s="2" t="s">
        <v>74</v>
      </c>
      <c r="O171" s="2" t="s">
        <v>74</v>
      </c>
      <c r="P171" s="2" t="s">
        <v>74</v>
      </c>
      <c r="Q171" s="2" t="s">
        <v>74</v>
      </c>
      <c r="R171" s="2" t="s">
        <v>74</v>
      </c>
      <c r="S171" s="2" t="s">
        <v>74</v>
      </c>
      <c r="T171" s="2" t="s">
        <v>74</v>
      </c>
      <c r="U171" s="2" t="s">
        <v>74</v>
      </c>
      <c r="V171" s="5" t="s">
        <v>3596</v>
      </c>
      <c r="W171" s="2" t="s">
        <v>74</v>
      </c>
      <c r="X171" s="2" t="s">
        <v>74</v>
      </c>
      <c r="Y171" s="2" t="s">
        <v>74</v>
      </c>
      <c r="Z171" s="2" t="s">
        <v>74</v>
      </c>
      <c r="AA171" s="2" t="s">
        <v>3597</v>
      </c>
      <c r="AB171" s="2" t="s">
        <v>3598</v>
      </c>
      <c r="AC171" s="2" t="s">
        <v>74</v>
      </c>
      <c r="AD171" s="2" t="s">
        <v>74</v>
      </c>
      <c r="AE171" s="2" t="s">
        <v>74</v>
      </c>
      <c r="AF171" s="2" t="s">
        <v>74</v>
      </c>
      <c r="AG171" s="2" t="s">
        <v>74</v>
      </c>
      <c r="AH171" s="2" t="s">
        <v>74</v>
      </c>
      <c r="AI171" s="2" t="s">
        <v>74</v>
      </c>
      <c r="AJ171" s="2" t="s">
        <v>74</v>
      </c>
      <c r="AK171" s="2" t="s">
        <v>74</v>
      </c>
      <c r="AL171" s="2" t="s">
        <v>74</v>
      </c>
      <c r="AM171" s="2" t="s">
        <v>74</v>
      </c>
      <c r="AN171" s="2" t="s">
        <v>74</v>
      </c>
      <c r="AO171" s="2" t="s">
        <v>3599</v>
      </c>
      <c r="AP171" s="2" t="s">
        <v>3600</v>
      </c>
      <c r="AQ171" s="2" t="s">
        <v>74</v>
      </c>
      <c r="AR171" s="2" t="s">
        <v>74</v>
      </c>
      <c r="AS171" s="2" t="s">
        <v>74</v>
      </c>
      <c r="AT171" s="2" t="s">
        <v>255</v>
      </c>
      <c r="AU171" s="2">
        <v>2009</v>
      </c>
      <c r="AV171" s="2">
        <v>138</v>
      </c>
      <c r="AW171" s="2">
        <v>1</v>
      </c>
      <c r="AX171" s="2" t="s">
        <v>74</v>
      </c>
      <c r="AY171" s="2" t="s">
        <v>74</v>
      </c>
      <c r="AZ171" s="2" t="s">
        <v>74</v>
      </c>
      <c r="BA171" s="2" t="s">
        <v>74</v>
      </c>
      <c r="BB171" s="2">
        <v>1</v>
      </c>
      <c r="BC171" s="2">
        <v>10</v>
      </c>
      <c r="BD171" s="2" t="s">
        <v>74</v>
      </c>
      <c r="BE171" s="2" t="s">
        <v>3601</v>
      </c>
      <c r="BF171" s="2" t="str">
        <f>HYPERLINK("http://dx.doi.org/10.1002/ajpa.20868","http://dx.doi.org/10.1002/ajpa.20868")</f>
        <v>http://dx.doi.org/10.1002/ajpa.20868</v>
      </c>
      <c r="BG171" s="2" t="s">
        <v>74</v>
      </c>
      <c r="BH171" s="2" t="s">
        <v>74</v>
      </c>
      <c r="BI171" s="2" t="s">
        <v>74</v>
      </c>
      <c r="BJ171" s="2" t="s">
        <v>74</v>
      </c>
      <c r="BK171" s="2" t="s">
        <v>74</v>
      </c>
      <c r="BL171" s="2" t="s">
        <v>74</v>
      </c>
      <c r="BM171" s="2" t="s">
        <v>74</v>
      </c>
      <c r="BN171" s="2">
        <v>18615575</v>
      </c>
      <c r="BO171" s="2" t="s">
        <v>74</v>
      </c>
      <c r="BP171" s="2" t="s">
        <v>74</v>
      </c>
      <c r="BQ171" s="2" t="s">
        <v>74</v>
      </c>
      <c r="BR171" s="2" t="s">
        <v>74</v>
      </c>
      <c r="BS171" s="2" t="s">
        <v>3602</v>
      </c>
      <c r="BT171" s="2" t="str">
        <f>HYPERLINK("https%3A%2F%2Fwww.webofscience.com%2Fwos%2Fwoscc%2Ffull-record%2FWOS:000261759100001","View Full Record in Web of Science")</f>
        <v>View Full Record in Web of Science</v>
      </c>
    </row>
    <row r="172" spans="1:72" s="2" customFormat="1" x14ac:dyDescent="0.4">
      <c r="A172" s="2" t="s">
        <v>72</v>
      </c>
      <c r="B172" s="2" t="s">
        <v>330</v>
      </c>
      <c r="C172" s="2" t="s">
        <v>74</v>
      </c>
      <c r="D172" s="2" t="s">
        <v>74</v>
      </c>
      <c r="E172" s="2" t="s">
        <v>74</v>
      </c>
      <c r="F172" s="2" t="s">
        <v>331</v>
      </c>
      <c r="G172" s="2" t="s">
        <v>74</v>
      </c>
      <c r="H172" s="2" t="s">
        <v>74</v>
      </c>
      <c r="I172" s="2" t="s">
        <v>332</v>
      </c>
      <c r="J172" s="2" t="s">
        <v>333</v>
      </c>
      <c r="K172" s="2" t="s">
        <v>74</v>
      </c>
      <c r="L172" s="2" t="s">
        <v>74</v>
      </c>
      <c r="M172" s="2" t="s">
        <v>74</v>
      </c>
      <c r="N172" s="2" t="s">
        <v>74</v>
      </c>
      <c r="O172" s="2" t="s">
        <v>74</v>
      </c>
      <c r="P172" s="2" t="s">
        <v>74</v>
      </c>
      <c r="Q172" s="2" t="s">
        <v>74</v>
      </c>
      <c r="R172" s="2" t="s">
        <v>74</v>
      </c>
      <c r="S172" s="2" t="s">
        <v>74</v>
      </c>
      <c r="T172" s="2" t="s">
        <v>74</v>
      </c>
      <c r="U172" s="2" t="s">
        <v>74</v>
      </c>
      <c r="V172" s="5" t="s">
        <v>334</v>
      </c>
      <c r="W172" s="2" t="s">
        <v>74</v>
      </c>
      <c r="X172" s="2" t="s">
        <v>74</v>
      </c>
      <c r="Y172" s="2" t="s">
        <v>74</v>
      </c>
      <c r="Z172" s="2" t="s">
        <v>74</v>
      </c>
      <c r="AA172" s="2" t="s">
        <v>335</v>
      </c>
      <c r="AB172" s="2" t="s">
        <v>336</v>
      </c>
      <c r="AC172" s="2" t="s">
        <v>74</v>
      </c>
      <c r="AD172" s="2" t="s">
        <v>74</v>
      </c>
      <c r="AE172" s="2" t="s">
        <v>74</v>
      </c>
      <c r="AF172" s="2" t="s">
        <v>74</v>
      </c>
      <c r="AG172" s="2" t="s">
        <v>74</v>
      </c>
      <c r="AH172" s="2" t="s">
        <v>74</v>
      </c>
      <c r="AI172" s="2" t="s">
        <v>74</v>
      </c>
      <c r="AJ172" s="2" t="s">
        <v>74</v>
      </c>
      <c r="AK172" s="2" t="s">
        <v>74</v>
      </c>
      <c r="AL172" s="2" t="s">
        <v>74</v>
      </c>
      <c r="AM172" s="2" t="s">
        <v>74</v>
      </c>
      <c r="AN172" s="2" t="s">
        <v>74</v>
      </c>
      <c r="AO172" s="2" t="s">
        <v>337</v>
      </c>
      <c r="AP172" s="2" t="s">
        <v>338</v>
      </c>
      <c r="AQ172" s="2" t="s">
        <v>74</v>
      </c>
      <c r="AR172" s="2" t="s">
        <v>74</v>
      </c>
      <c r="AS172" s="2" t="s">
        <v>74</v>
      </c>
      <c r="AT172" s="2" t="s">
        <v>339</v>
      </c>
      <c r="AU172" s="2">
        <v>2013</v>
      </c>
      <c r="AV172" s="2">
        <v>24</v>
      </c>
      <c r="AW172" s="2">
        <v>4</v>
      </c>
      <c r="AX172" s="2" t="s">
        <v>74</v>
      </c>
      <c r="AY172" s="2" t="s">
        <v>74</v>
      </c>
      <c r="AZ172" s="2" t="s">
        <v>74</v>
      </c>
      <c r="BA172" s="2" t="s">
        <v>74</v>
      </c>
      <c r="BB172" s="2">
        <v>968</v>
      </c>
      <c r="BC172" s="2">
        <v>981</v>
      </c>
      <c r="BD172" s="2" t="s">
        <v>74</v>
      </c>
      <c r="BE172" s="2" t="s">
        <v>340</v>
      </c>
      <c r="BF172" s="2" t="str">
        <f>HYPERLINK("http://dx.doi.org/10.1093/beheco/art010","http://dx.doi.org/10.1093/beheco/art010")</f>
        <v>http://dx.doi.org/10.1093/beheco/art010</v>
      </c>
      <c r="BG172" s="2" t="s">
        <v>74</v>
      </c>
      <c r="BH172" s="2" t="s">
        <v>74</v>
      </c>
      <c r="BI172" s="2" t="s">
        <v>74</v>
      </c>
      <c r="BJ172" s="2" t="s">
        <v>74</v>
      </c>
      <c r="BK172" s="2" t="s">
        <v>74</v>
      </c>
      <c r="BL172" s="2" t="s">
        <v>74</v>
      </c>
      <c r="BM172" s="2" t="s">
        <v>74</v>
      </c>
      <c r="BN172" s="2" t="s">
        <v>74</v>
      </c>
      <c r="BO172" s="2" t="s">
        <v>74</v>
      </c>
      <c r="BP172" s="2" t="s">
        <v>74</v>
      </c>
      <c r="BQ172" s="2" t="s">
        <v>74</v>
      </c>
      <c r="BR172" s="2" t="s">
        <v>74</v>
      </c>
      <c r="BS172" s="2" t="s">
        <v>341</v>
      </c>
      <c r="BT172" s="2" t="str">
        <f>HYPERLINK("https%3A%2F%2Fwww.webofscience.com%2Fwos%2Fwoscc%2Ffull-record%2FWOS:000320409900028","View Full Record in Web of Science")</f>
        <v>View Full Record in Web of Science</v>
      </c>
    </row>
    <row r="173" spans="1:72" s="2" customFormat="1" x14ac:dyDescent="0.4">
      <c r="A173" s="2" t="s">
        <v>72</v>
      </c>
      <c r="B173" s="2" t="s">
        <v>791</v>
      </c>
      <c r="C173" s="2" t="s">
        <v>74</v>
      </c>
      <c r="D173" s="2" t="s">
        <v>74</v>
      </c>
      <c r="E173" s="2" t="s">
        <v>74</v>
      </c>
      <c r="F173" s="2" t="s">
        <v>792</v>
      </c>
      <c r="G173" s="2" t="s">
        <v>74</v>
      </c>
      <c r="H173" s="2" t="s">
        <v>74</v>
      </c>
      <c r="I173" s="2" t="s">
        <v>793</v>
      </c>
      <c r="J173" s="2" t="s">
        <v>763</v>
      </c>
      <c r="K173" s="2" t="s">
        <v>74</v>
      </c>
      <c r="L173" s="2" t="s">
        <v>74</v>
      </c>
      <c r="M173" s="2" t="s">
        <v>74</v>
      </c>
      <c r="N173" s="2" t="s">
        <v>74</v>
      </c>
      <c r="O173" s="2" t="s">
        <v>74</v>
      </c>
      <c r="P173" s="2" t="s">
        <v>74</v>
      </c>
      <c r="Q173" s="2" t="s">
        <v>74</v>
      </c>
      <c r="R173" s="2" t="s">
        <v>74</v>
      </c>
      <c r="S173" s="2" t="s">
        <v>74</v>
      </c>
      <c r="T173" s="2" t="s">
        <v>74</v>
      </c>
      <c r="U173" s="2" t="s">
        <v>74</v>
      </c>
      <c r="V173" s="5" t="s">
        <v>794</v>
      </c>
      <c r="W173" s="2" t="s">
        <v>74</v>
      </c>
      <c r="X173" s="2" t="s">
        <v>74</v>
      </c>
      <c r="Y173" s="2" t="s">
        <v>74</v>
      </c>
      <c r="Z173" s="2" t="s">
        <v>74</v>
      </c>
      <c r="AA173" s="2" t="s">
        <v>795</v>
      </c>
      <c r="AB173" s="2" t="s">
        <v>796</v>
      </c>
      <c r="AC173" s="2" t="s">
        <v>74</v>
      </c>
      <c r="AD173" s="2" t="s">
        <v>74</v>
      </c>
      <c r="AE173" s="2" t="s">
        <v>74</v>
      </c>
      <c r="AF173" s="2" t="s">
        <v>74</v>
      </c>
      <c r="AG173" s="2" t="s">
        <v>74</v>
      </c>
      <c r="AH173" s="2" t="s">
        <v>74</v>
      </c>
      <c r="AI173" s="2" t="s">
        <v>74</v>
      </c>
      <c r="AJ173" s="2" t="s">
        <v>74</v>
      </c>
      <c r="AK173" s="2" t="s">
        <v>74</v>
      </c>
      <c r="AL173" s="2" t="s">
        <v>74</v>
      </c>
      <c r="AM173" s="2" t="s">
        <v>74</v>
      </c>
      <c r="AN173" s="2" t="s">
        <v>74</v>
      </c>
      <c r="AO173" s="2" t="s">
        <v>767</v>
      </c>
      <c r="AP173" s="2" t="s">
        <v>768</v>
      </c>
      <c r="AQ173" s="2" t="s">
        <v>74</v>
      </c>
      <c r="AR173" s="2" t="s">
        <v>74</v>
      </c>
      <c r="AS173" s="2" t="s">
        <v>74</v>
      </c>
      <c r="AT173" s="2" t="s">
        <v>123</v>
      </c>
      <c r="AU173" s="2">
        <v>2018</v>
      </c>
      <c r="AV173" s="2">
        <v>221</v>
      </c>
      <c r="AW173" s="2">
        <v>5</v>
      </c>
      <c r="AX173" s="2" t="s">
        <v>74</v>
      </c>
      <c r="AY173" s="2" t="s">
        <v>74</v>
      </c>
      <c r="AZ173" s="2" t="s">
        <v>74</v>
      </c>
      <c r="BA173" s="2" t="s">
        <v>74</v>
      </c>
      <c r="BB173" s="2" t="s">
        <v>74</v>
      </c>
      <c r="BC173" s="2" t="s">
        <v>74</v>
      </c>
      <c r="BD173" s="2" t="s">
        <v>797</v>
      </c>
      <c r="BE173" s="2" t="s">
        <v>798</v>
      </c>
      <c r="BF173" s="2" t="str">
        <f>HYPERLINK("http://dx.doi.org/10.1242/jeb.173252","http://dx.doi.org/10.1242/jeb.173252")</f>
        <v>http://dx.doi.org/10.1242/jeb.173252</v>
      </c>
      <c r="BG173" s="2" t="s">
        <v>74</v>
      </c>
      <c r="BH173" s="2" t="s">
        <v>74</v>
      </c>
      <c r="BI173" s="2" t="s">
        <v>74</v>
      </c>
      <c r="BJ173" s="2" t="s">
        <v>74</v>
      </c>
      <c r="BK173" s="2" t="s">
        <v>74</v>
      </c>
      <c r="BL173" s="2" t="s">
        <v>74</v>
      </c>
      <c r="BM173" s="2" t="s">
        <v>74</v>
      </c>
      <c r="BN173" s="2">
        <v>29361602</v>
      </c>
      <c r="BO173" s="2" t="s">
        <v>74</v>
      </c>
      <c r="BP173" s="2" t="s">
        <v>74</v>
      </c>
      <c r="BQ173" s="2" t="s">
        <v>74</v>
      </c>
      <c r="BR173" s="2" t="s">
        <v>74</v>
      </c>
      <c r="BS173" s="2" t="s">
        <v>799</v>
      </c>
      <c r="BT173" s="2" t="str">
        <f>HYPERLINK("https%3A%2F%2Fwww.webofscience.com%2Fwos%2Fwoscc%2Ffull-record%2FWOS:000427353100021","View Full Record in Web of Science")</f>
        <v>View Full Record in Web of Science</v>
      </c>
    </row>
    <row r="174" spans="1:72" s="2" customFormat="1" x14ac:dyDescent="0.4">
      <c r="A174" s="2" t="s">
        <v>72</v>
      </c>
      <c r="B174" s="2" t="s">
        <v>791</v>
      </c>
      <c r="C174" s="2" t="s">
        <v>74</v>
      </c>
      <c r="D174" s="2" t="s">
        <v>74</v>
      </c>
      <c r="E174" s="2" t="s">
        <v>74</v>
      </c>
      <c r="F174" s="2" t="s">
        <v>792</v>
      </c>
      <c r="G174" s="2" t="s">
        <v>74</v>
      </c>
      <c r="H174" s="2" t="s">
        <v>74</v>
      </c>
      <c r="I174" s="2" t="s">
        <v>1172</v>
      </c>
      <c r="J174" s="2" t="s">
        <v>140</v>
      </c>
      <c r="K174" s="2" t="s">
        <v>74</v>
      </c>
      <c r="L174" s="2" t="s">
        <v>74</v>
      </c>
      <c r="M174" s="2" t="s">
        <v>74</v>
      </c>
      <c r="N174" s="2" t="s">
        <v>74</v>
      </c>
      <c r="O174" s="2" t="s">
        <v>74</v>
      </c>
      <c r="P174" s="2" t="s">
        <v>74</v>
      </c>
      <c r="Q174" s="2" t="s">
        <v>74</v>
      </c>
      <c r="R174" s="2" t="s">
        <v>74</v>
      </c>
      <c r="S174" s="2" t="s">
        <v>74</v>
      </c>
      <c r="T174" s="2" t="s">
        <v>74</v>
      </c>
      <c r="U174" s="2" t="s">
        <v>74</v>
      </c>
      <c r="V174" s="5" t="s">
        <v>1173</v>
      </c>
      <c r="W174" s="2" t="s">
        <v>74</v>
      </c>
      <c r="X174" s="2" t="s">
        <v>74</v>
      </c>
      <c r="Y174" s="2" t="s">
        <v>74</v>
      </c>
      <c r="Z174" s="2" t="s">
        <v>74</v>
      </c>
      <c r="AA174" s="2" t="s">
        <v>795</v>
      </c>
      <c r="AB174" s="2" t="s">
        <v>796</v>
      </c>
      <c r="AC174" s="2" t="s">
        <v>74</v>
      </c>
      <c r="AD174" s="2" t="s">
        <v>74</v>
      </c>
      <c r="AE174" s="2" t="s">
        <v>74</v>
      </c>
      <c r="AF174" s="2" t="s">
        <v>74</v>
      </c>
      <c r="AG174" s="2" t="s">
        <v>74</v>
      </c>
      <c r="AH174" s="2" t="s">
        <v>74</v>
      </c>
      <c r="AI174" s="2" t="s">
        <v>74</v>
      </c>
      <c r="AJ174" s="2" t="s">
        <v>74</v>
      </c>
      <c r="AK174" s="2" t="s">
        <v>74</v>
      </c>
      <c r="AL174" s="2" t="s">
        <v>74</v>
      </c>
      <c r="AM174" s="2" t="s">
        <v>74</v>
      </c>
      <c r="AN174" s="2" t="s">
        <v>74</v>
      </c>
      <c r="AO174" s="2" t="s">
        <v>143</v>
      </c>
      <c r="AP174" s="2" t="s">
        <v>144</v>
      </c>
      <c r="AQ174" s="2" t="s">
        <v>74</v>
      </c>
      <c r="AR174" s="2" t="s">
        <v>74</v>
      </c>
      <c r="AS174" s="2" t="s">
        <v>74</v>
      </c>
      <c r="AT174" s="2" t="s">
        <v>204</v>
      </c>
      <c r="AU174" s="2">
        <v>2017</v>
      </c>
      <c r="AV174" s="2">
        <v>129</v>
      </c>
      <c r="AW174" s="2" t="s">
        <v>74</v>
      </c>
      <c r="AX174" s="2" t="s">
        <v>74</v>
      </c>
      <c r="AY174" s="2" t="s">
        <v>74</v>
      </c>
      <c r="AZ174" s="2" t="s">
        <v>74</v>
      </c>
      <c r="BA174" s="2" t="s">
        <v>74</v>
      </c>
      <c r="BB174" s="2">
        <v>229</v>
      </c>
      <c r="BC174" s="2">
        <v>236</v>
      </c>
      <c r="BD174" s="2" t="s">
        <v>74</v>
      </c>
      <c r="BE174" s="2" t="s">
        <v>1174</v>
      </c>
      <c r="BF174" s="2" t="str">
        <f>HYPERLINK("http://dx.doi.org/10.1016/j.anbehav.2017.05.018","http://dx.doi.org/10.1016/j.anbehav.2017.05.018")</f>
        <v>http://dx.doi.org/10.1016/j.anbehav.2017.05.018</v>
      </c>
      <c r="BG174" s="2" t="s">
        <v>74</v>
      </c>
      <c r="BH174" s="2" t="s">
        <v>74</v>
      </c>
      <c r="BI174" s="2" t="s">
        <v>74</v>
      </c>
      <c r="BJ174" s="2" t="s">
        <v>74</v>
      </c>
      <c r="BK174" s="2" t="s">
        <v>74</v>
      </c>
      <c r="BL174" s="2" t="s">
        <v>74</v>
      </c>
      <c r="BM174" s="2" t="s">
        <v>74</v>
      </c>
      <c r="BN174" s="2" t="s">
        <v>74</v>
      </c>
      <c r="BO174" s="2" t="s">
        <v>74</v>
      </c>
      <c r="BP174" s="2" t="s">
        <v>74</v>
      </c>
      <c r="BQ174" s="2" t="s">
        <v>74</v>
      </c>
      <c r="BR174" s="2" t="s">
        <v>74</v>
      </c>
      <c r="BS174" s="2" t="s">
        <v>1175</v>
      </c>
      <c r="BT174" s="2" t="str">
        <f>HYPERLINK("https%3A%2F%2Fwww.webofscience.com%2Fwos%2Fwoscc%2Ffull-record%2FWOS:000405821200025","View Full Record in Web of Science")</f>
        <v>View Full Record in Web of Science</v>
      </c>
    </row>
    <row r="175" spans="1:72" s="2" customFormat="1" x14ac:dyDescent="0.4">
      <c r="A175" s="2" t="s">
        <v>72</v>
      </c>
      <c r="B175" s="2" t="s">
        <v>7974</v>
      </c>
      <c r="C175" s="2" t="s">
        <v>74</v>
      </c>
      <c r="D175" s="2" t="s">
        <v>74</v>
      </c>
      <c r="E175" s="2" t="s">
        <v>74</v>
      </c>
      <c r="F175" s="2" t="s">
        <v>7975</v>
      </c>
      <c r="G175" s="2" t="s">
        <v>74</v>
      </c>
      <c r="H175" s="2" t="s">
        <v>74</v>
      </c>
      <c r="I175" s="2" t="s">
        <v>7976</v>
      </c>
      <c r="J175" s="2" t="s">
        <v>6427</v>
      </c>
      <c r="K175" s="2" t="s">
        <v>74</v>
      </c>
      <c r="L175" s="2" t="s">
        <v>74</v>
      </c>
      <c r="M175" s="2" t="s">
        <v>74</v>
      </c>
      <c r="N175" s="2" t="s">
        <v>74</v>
      </c>
      <c r="O175" s="2" t="s">
        <v>74</v>
      </c>
      <c r="P175" s="2" t="s">
        <v>74</v>
      </c>
      <c r="Q175" s="2" t="s">
        <v>74</v>
      </c>
      <c r="R175" s="2" t="s">
        <v>74</v>
      </c>
      <c r="S175" s="2" t="s">
        <v>74</v>
      </c>
      <c r="T175" s="2" t="s">
        <v>74</v>
      </c>
      <c r="U175" s="2" t="s">
        <v>74</v>
      </c>
      <c r="V175" s="5" t="s">
        <v>7977</v>
      </c>
      <c r="W175" s="2" t="s">
        <v>74</v>
      </c>
      <c r="X175" s="2" t="s">
        <v>74</v>
      </c>
      <c r="Y175" s="2" t="s">
        <v>74</v>
      </c>
      <c r="Z175" s="2" t="s">
        <v>74</v>
      </c>
      <c r="AA175" s="2" t="s">
        <v>7978</v>
      </c>
      <c r="AB175" s="2" t="s">
        <v>7979</v>
      </c>
      <c r="AC175" s="2" t="s">
        <v>74</v>
      </c>
      <c r="AD175" s="2" t="s">
        <v>74</v>
      </c>
      <c r="AE175" s="2" t="s">
        <v>74</v>
      </c>
      <c r="AF175" s="2" t="s">
        <v>74</v>
      </c>
      <c r="AG175" s="2" t="s">
        <v>74</v>
      </c>
      <c r="AH175" s="2" t="s">
        <v>74</v>
      </c>
      <c r="AI175" s="2" t="s">
        <v>74</v>
      </c>
      <c r="AJ175" s="2" t="s">
        <v>74</v>
      </c>
      <c r="AK175" s="2" t="s">
        <v>74</v>
      </c>
      <c r="AL175" s="2" t="s">
        <v>74</v>
      </c>
      <c r="AM175" s="2" t="s">
        <v>74</v>
      </c>
      <c r="AN175" s="2" t="s">
        <v>74</v>
      </c>
      <c r="AO175" s="2" t="s">
        <v>6431</v>
      </c>
      <c r="AP175" s="2" t="s">
        <v>74</v>
      </c>
      <c r="AQ175" s="2" t="s">
        <v>74</v>
      </c>
      <c r="AR175" s="2" t="s">
        <v>74</v>
      </c>
      <c r="AS175" s="2" t="s">
        <v>74</v>
      </c>
      <c r="AT175" s="2" t="s">
        <v>7980</v>
      </c>
      <c r="AU175" s="2">
        <v>2014</v>
      </c>
      <c r="AV175" s="2">
        <v>50</v>
      </c>
      <c r="AW175" s="2">
        <v>3</v>
      </c>
      <c r="AX175" s="2" t="s">
        <v>74</v>
      </c>
      <c r="AY175" s="2" t="s">
        <v>74</v>
      </c>
      <c r="AZ175" s="2" t="s">
        <v>74</v>
      </c>
      <c r="BA175" s="2" t="s">
        <v>74</v>
      </c>
      <c r="BB175" s="2">
        <v>155</v>
      </c>
      <c r="BC175" s="2">
        <v>171</v>
      </c>
      <c r="BD175" s="2" t="s">
        <v>74</v>
      </c>
      <c r="BE175" s="2" t="s">
        <v>74</v>
      </c>
      <c r="BF175" s="2" t="s">
        <v>74</v>
      </c>
      <c r="BG175" s="2" t="s">
        <v>74</v>
      </c>
      <c r="BH175" s="2" t="s">
        <v>74</v>
      </c>
      <c r="BI175" s="2" t="s">
        <v>74</v>
      </c>
      <c r="BJ175" s="2" t="s">
        <v>74</v>
      </c>
      <c r="BK175" s="2" t="s">
        <v>74</v>
      </c>
      <c r="BL175" s="2" t="s">
        <v>74</v>
      </c>
      <c r="BM175" s="2" t="s">
        <v>74</v>
      </c>
      <c r="BN175" s="2" t="s">
        <v>74</v>
      </c>
      <c r="BO175" s="2" t="s">
        <v>74</v>
      </c>
      <c r="BP175" s="2" t="s">
        <v>74</v>
      </c>
      <c r="BQ175" s="2" t="s">
        <v>74</v>
      </c>
      <c r="BR175" s="2" t="s">
        <v>74</v>
      </c>
      <c r="BS175" s="2" t="s">
        <v>7981</v>
      </c>
      <c r="BT175" s="2" t="str">
        <f>HYPERLINK("https%3A%2F%2Fwww.webofscience.com%2Fwos%2Fwoscc%2Ffull-record%2FWOS:000344312600005","View Full Record in Web of Science")</f>
        <v>View Full Record in Web of Science</v>
      </c>
    </row>
    <row r="176" spans="1:72" s="2" customFormat="1" x14ac:dyDescent="0.4">
      <c r="A176" s="2" t="s">
        <v>72</v>
      </c>
      <c r="B176" s="2" t="s">
        <v>4626</v>
      </c>
      <c r="C176" s="2" t="s">
        <v>74</v>
      </c>
      <c r="D176" s="2" t="s">
        <v>74</v>
      </c>
      <c r="E176" s="2" t="s">
        <v>74</v>
      </c>
      <c r="F176" s="2" t="s">
        <v>4627</v>
      </c>
      <c r="G176" s="2" t="s">
        <v>74</v>
      </c>
      <c r="H176" s="2" t="s">
        <v>74</v>
      </c>
      <c r="I176" s="2" t="s">
        <v>4628</v>
      </c>
      <c r="J176" s="2" t="s">
        <v>119</v>
      </c>
      <c r="K176" s="2" t="s">
        <v>74</v>
      </c>
      <c r="L176" s="2" t="s">
        <v>74</v>
      </c>
      <c r="M176" s="2" t="s">
        <v>74</v>
      </c>
      <c r="N176" s="2" t="s">
        <v>74</v>
      </c>
      <c r="O176" s="2" t="s">
        <v>74</v>
      </c>
      <c r="P176" s="2" t="s">
        <v>74</v>
      </c>
      <c r="Q176" s="2" t="s">
        <v>74</v>
      </c>
      <c r="R176" s="2" t="s">
        <v>74</v>
      </c>
      <c r="S176" s="2" t="s">
        <v>74</v>
      </c>
      <c r="T176" s="2" t="s">
        <v>74</v>
      </c>
      <c r="U176" s="2" t="s">
        <v>74</v>
      </c>
      <c r="V176" s="5" t="s">
        <v>4629</v>
      </c>
      <c r="W176" s="2" t="s">
        <v>74</v>
      </c>
      <c r="X176" s="2" t="s">
        <v>74</v>
      </c>
      <c r="Y176" s="2" t="s">
        <v>74</v>
      </c>
      <c r="Z176" s="2" t="s">
        <v>74</v>
      </c>
      <c r="AA176" s="2" t="s">
        <v>4630</v>
      </c>
      <c r="AB176" s="2" t="s">
        <v>4631</v>
      </c>
      <c r="AC176" s="2" t="s">
        <v>74</v>
      </c>
      <c r="AD176" s="2" t="s">
        <v>74</v>
      </c>
      <c r="AE176" s="2" t="s">
        <v>74</v>
      </c>
      <c r="AF176" s="2" t="s">
        <v>74</v>
      </c>
      <c r="AG176" s="2" t="s">
        <v>74</v>
      </c>
      <c r="AH176" s="2" t="s">
        <v>74</v>
      </c>
      <c r="AI176" s="2" t="s">
        <v>74</v>
      </c>
      <c r="AJ176" s="2" t="s">
        <v>74</v>
      </c>
      <c r="AK176" s="2" t="s">
        <v>74</v>
      </c>
      <c r="AL176" s="2" t="s">
        <v>74</v>
      </c>
      <c r="AM176" s="2" t="s">
        <v>74</v>
      </c>
      <c r="AN176" s="2" t="s">
        <v>74</v>
      </c>
      <c r="AO176" s="2" t="s">
        <v>121</v>
      </c>
      <c r="AP176" s="2" t="s">
        <v>122</v>
      </c>
      <c r="AQ176" s="2" t="s">
        <v>74</v>
      </c>
      <c r="AR176" s="2" t="s">
        <v>74</v>
      </c>
      <c r="AS176" s="2" t="s">
        <v>74</v>
      </c>
      <c r="AT176" s="2" t="s">
        <v>134</v>
      </c>
      <c r="AU176" s="2">
        <v>2017</v>
      </c>
      <c r="AV176" s="2">
        <v>138</v>
      </c>
      <c r="AW176" s="2" t="s">
        <v>74</v>
      </c>
      <c r="AX176" s="2" t="s">
        <v>74</v>
      </c>
      <c r="AY176" s="2" t="s">
        <v>74</v>
      </c>
      <c r="AZ176" s="2" t="s">
        <v>74</v>
      </c>
      <c r="BA176" s="2" t="s">
        <v>74</v>
      </c>
      <c r="BB176" s="2">
        <v>123</v>
      </c>
      <c r="BC176" s="2">
        <v>126</v>
      </c>
      <c r="BD176" s="2" t="s">
        <v>74</v>
      </c>
      <c r="BE176" s="2" t="s">
        <v>4632</v>
      </c>
      <c r="BF176" s="2" t="str">
        <f>HYPERLINK("http://dx.doi.org/10.1016/j.beproc.2017.03.001","http://dx.doi.org/10.1016/j.beproc.2017.03.001")</f>
        <v>http://dx.doi.org/10.1016/j.beproc.2017.03.001</v>
      </c>
      <c r="BG176" s="2" t="s">
        <v>74</v>
      </c>
      <c r="BH176" s="2" t="s">
        <v>74</v>
      </c>
      <c r="BI176" s="2" t="s">
        <v>74</v>
      </c>
      <c r="BJ176" s="2" t="s">
        <v>74</v>
      </c>
      <c r="BK176" s="2" t="s">
        <v>74</v>
      </c>
      <c r="BL176" s="2" t="s">
        <v>74</v>
      </c>
      <c r="BM176" s="2" t="s">
        <v>74</v>
      </c>
      <c r="BN176" s="2">
        <v>28274764</v>
      </c>
      <c r="BO176" s="2" t="s">
        <v>74</v>
      </c>
      <c r="BP176" s="2" t="s">
        <v>74</v>
      </c>
      <c r="BQ176" s="2" t="s">
        <v>74</v>
      </c>
      <c r="BR176" s="2" t="s">
        <v>74</v>
      </c>
      <c r="BS176" s="2" t="s">
        <v>4633</v>
      </c>
      <c r="BT176" s="2" t="str">
        <f>HYPERLINK("https%3A%2F%2Fwww.webofscience.com%2Fwos%2Fwoscc%2Ffull-record%2FWOS:000400878800016","View Full Record in Web of Science")</f>
        <v>View Full Record in Web of Science</v>
      </c>
    </row>
    <row r="177" spans="1:72" s="2" customFormat="1" x14ac:dyDescent="0.4">
      <c r="A177" s="2" t="s">
        <v>72</v>
      </c>
      <c r="B177" s="2" t="s">
        <v>6399</v>
      </c>
      <c r="C177" s="2" t="s">
        <v>74</v>
      </c>
      <c r="D177" s="2" t="s">
        <v>74</v>
      </c>
      <c r="E177" s="2" t="s">
        <v>74</v>
      </c>
      <c r="F177" s="2" t="s">
        <v>6400</v>
      </c>
      <c r="G177" s="2" t="s">
        <v>74</v>
      </c>
      <c r="H177" s="2" t="s">
        <v>74</v>
      </c>
      <c r="I177" s="2" t="s">
        <v>6401</v>
      </c>
      <c r="J177" s="2" t="s">
        <v>6402</v>
      </c>
      <c r="K177" s="2" t="s">
        <v>74</v>
      </c>
      <c r="L177" s="2" t="s">
        <v>74</v>
      </c>
      <c r="M177" s="2" t="s">
        <v>74</v>
      </c>
      <c r="N177" s="2" t="s">
        <v>74</v>
      </c>
      <c r="O177" s="2" t="s">
        <v>74</v>
      </c>
      <c r="P177" s="2" t="s">
        <v>74</v>
      </c>
      <c r="Q177" s="2" t="s">
        <v>74</v>
      </c>
      <c r="R177" s="2" t="s">
        <v>74</v>
      </c>
      <c r="S177" s="2" t="s">
        <v>74</v>
      </c>
      <c r="T177" s="2" t="s">
        <v>74</v>
      </c>
      <c r="U177" s="2" t="s">
        <v>74</v>
      </c>
      <c r="V177" s="5" t="s">
        <v>6403</v>
      </c>
      <c r="W177" s="2" t="s">
        <v>74</v>
      </c>
      <c r="X177" s="2" t="s">
        <v>74</v>
      </c>
      <c r="Y177" s="2" t="s">
        <v>74</v>
      </c>
      <c r="Z177" s="2" t="s">
        <v>74</v>
      </c>
      <c r="AA177" s="2" t="s">
        <v>6404</v>
      </c>
      <c r="AB177" s="2" t="s">
        <v>6405</v>
      </c>
      <c r="AC177" s="2" t="s">
        <v>74</v>
      </c>
      <c r="AD177" s="2" t="s">
        <v>74</v>
      </c>
      <c r="AE177" s="2" t="s">
        <v>74</v>
      </c>
      <c r="AF177" s="2" t="s">
        <v>74</v>
      </c>
      <c r="AG177" s="2" t="s">
        <v>74</v>
      </c>
      <c r="AH177" s="2" t="s">
        <v>74</v>
      </c>
      <c r="AI177" s="2" t="s">
        <v>74</v>
      </c>
      <c r="AJ177" s="2" t="s">
        <v>74</v>
      </c>
      <c r="AK177" s="2" t="s">
        <v>74</v>
      </c>
      <c r="AL177" s="2" t="s">
        <v>74</v>
      </c>
      <c r="AM177" s="2" t="s">
        <v>74</v>
      </c>
      <c r="AN177" s="2" t="s">
        <v>74</v>
      </c>
      <c r="AO177" s="2" t="s">
        <v>6406</v>
      </c>
      <c r="AP177" s="2" t="s">
        <v>6407</v>
      </c>
      <c r="AQ177" s="2" t="s">
        <v>74</v>
      </c>
      <c r="AR177" s="2" t="s">
        <v>74</v>
      </c>
      <c r="AS177" s="2" t="s">
        <v>74</v>
      </c>
      <c r="AT177" s="2" t="s">
        <v>123</v>
      </c>
      <c r="AU177" s="2">
        <v>2014</v>
      </c>
      <c r="AV177" s="2">
        <v>169</v>
      </c>
      <c r="AW177" s="2" t="s">
        <v>74</v>
      </c>
      <c r="AX177" s="2" t="s">
        <v>74</v>
      </c>
      <c r="AY177" s="2" t="s">
        <v>74</v>
      </c>
      <c r="AZ177" s="2" t="s">
        <v>74</v>
      </c>
      <c r="BA177" s="2" t="s">
        <v>74</v>
      </c>
      <c r="BB177" s="2">
        <v>25</v>
      </c>
      <c r="BC177" s="2">
        <v>32</v>
      </c>
      <c r="BD177" s="2" t="s">
        <v>74</v>
      </c>
      <c r="BE177" s="2" t="s">
        <v>6408</v>
      </c>
      <c r="BF177" s="2" t="str">
        <f>HYPERLINK("http://dx.doi.org/10.1016/j.cbpa.2013.12.001","http://dx.doi.org/10.1016/j.cbpa.2013.12.001")</f>
        <v>http://dx.doi.org/10.1016/j.cbpa.2013.12.001</v>
      </c>
      <c r="BG177" s="2" t="s">
        <v>74</v>
      </c>
      <c r="BH177" s="2" t="s">
        <v>74</v>
      </c>
      <c r="BI177" s="2" t="s">
        <v>74</v>
      </c>
      <c r="BJ177" s="2" t="s">
        <v>74</v>
      </c>
      <c r="BK177" s="2" t="s">
        <v>74</v>
      </c>
      <c r="BL177" s="2" t="s">
        <v>74</v>
      </c>
      <c r="BM177" s="2" t="s">
        <v>74</v>
      </c>
      <c r="BN177" s="2">
        <v>24326244</v>
      </c>
      <c r="BO177" s="2" t="s">
        <v>74</v>
      </c>
      <c r="BP177" s="2" t="s">
        <v>74</v>
      </c>
      <c r="BQ177" s="2" t="s">
        <v>74</v>
      </c>
      <c r="BR177" s="2" t="s">
        <v>74</v>
      </c>
      <c r="BS177" s="2" t="s">
        <v>6409</v>
      </c>
      <c r="BT177" s="2" t="str">
        <f>HYPERLINK("https%3A%2F%2Fwww.webofscience.com%2Fwos%2Fwoscc%2Ffull-record%2FWOS:000331428700005","View Full Record in Web of Science")</f>
        <v>View Full Record in Web of Science</v>
      </c>
    </row>
    <row r="178" spans="1:72" s="2" customFormat="1" x14ac:dyDescent="0.4">
      <c r="A178" s="2" t="s">
        <v>72</v>
      </c>
      <c r="B178" s="2" t="s">
        <v>2188</v>
      </c>
      <c r="C178" s="2" t="s">
        <v>74</v>
      </c>
      <c r="D178" s="2" t="s">
        <v>74</v>
      </c>
      <c r="E178" s="2" t="s">
        <v>74</v>
      </c>
      <c r="F178" s="2" t="s">
        <v>2189</v>
      </c>
      <c r="G178" s="2" t="s">
        <v>74</v>
      </c>
      <c r="H178" s="2" t="s">
        <v>74</v>
      </c>
      <c r="I178" s="2" t="s">
        <v>2190</v>
      </c>
      <c r="J178" s="2" t="s">
        <v>2191</v>
      </c>
      <c r="K178" s="2" t="s">
        <v>74</v>
      </c>
      <c r="L178" s="2" t="s">
        <v>74</v>
      </c>
      <c r="M178" s="2" t="s">
        <v>74</v>
      </c>
      <c r="N178" s="2" t="s">
        <v>74</v>
      </c>
      <c r="O178" s="2" t="s">
        <v>74</v>
      </c>
      <c r="P178" s="2" t="s">
        <v>74</v>
      </c>
      <c r="Q178" s="2" t="s">
        <v>74</v>
      </c>
      <c r="R178" s="2" t="s">
        <v>74</v>
      </c>
      <c r="S178" s="2" t="s">
        <v>74</v>
      </c>
      <c r="T178" s="2" t="s">
        <v>74</v>
      </c>
      <c r="U178" s="2" t="s">
        <v>74</v>
      </c>
      <c r="V178" s="5" t="s">
        <v>2192</v>
      </c>
      <c r="W178" s="2" t="s">
        <v>74</v>
      </c>
      <c r="X178" s="2" t="s">
        <v>74</v>
      </c>
      <c r="Y178" s="2" t="s">
        <v>74</v>
      </c>
      <c r="Z178" s="2" t="s">
        <v>74</v>
      </c>
      <c r="AA178" s="2" t="s">
        <v>74</v>
      </c>
      <c r="AB178" s="2" t="s">
        <v>74</v>
      </c>
      <c r="AC178" s="2" t="s">
        <v>74</v>
      </c>
      <c r="AD178" s="2" t="s">
        <v>74</v>
      </c>
      <c r="AE178" s="2" t="s">
        <v>74</v>
      </c>
      <c r="AF178" s="2" t="s">
        <v>74</v>
      </c>
      <c r="AG178" s="2" t="s">
        <v>74</v>
      </c>
      <c r="AH178" s="2" t="s">
        <v>74</v>
      </c>
      <c r="AI178" s="2" t="s">
        <v>74</v>
      </c>
      <c r="AJ178" s="2" t="s">
        <v>74</v>
      </c>
      <c r="AK178" s="2" t="s">
        <v>74</v>
      </c>
      <c r="AL178" s="2" t="s">
        <v>74</v>
      </c>
      <c r="AM178" s="2" t="s">
        <v>74</v>
      </c>
      <c r="AN178" s="2" t="s">
        <v>74</v>
      </c>
      <c r="AO178" s="2" t="s">
        <v>2193</v>
      </c>
      <c r="AP178" s="2" t="s">
        <v>2194</v>
      </c>
      <c r="AQ178" s="2" t="s">
        <v>74</v>
      </c>
      <c r="AR178" s="2" t="s">
        <v>74</v>
      </c>
      <c r="AS178" s="2" t="s">
        <v>74</v>
      </c>
      <c r="AT178" s="2" t="s">
        <v>352</v>
      </c>
      <c r="AU178" s="2">
        <v>2014</v>
      </c>
      <c r="AV178" s="2">
        <v>62</v>
      </c>
      <c r="AW178" s="2" t="s">
        <v>74</v>
      </c>
      <c r="AX178" s="2" t="s">
        <v>74</v>
      </c>
      <c r="AY178" s="2" t="s">
        <v>74</v>
      </c>
      <c r="AZ178" s="2" t="s">
        <v>74</v>
      </c>
      <c r="BA178" s="2" t="s">
        <v>74</v>
      </c>
      <c r="BB178" s="2">
        <v>49</v>
      </c>
      <c r="BC178" s="2">
        <v>53</v>
      </c>
      <c r="BD178" s="2" t="s">
        <v>74</v>
      </c>
      <c r="BE178" s="2" t="s">
        <v>2195</v>
      </c>
      <c r="BF178" s="2" t="str">
        <f>HYPERLINK("http://dx.doi.org/10.1016/j.aquaeng.2014.06.004","http://dx.doi.org/10.1016/j.aquaeng.2014.06.004")</f>
        <v>http://dx.doi.org/10.1016/j.aquaeng.2014.06.004</v>
      </c>
      <c r="BG178" s="2" t="s">
        <v>74</v>
      </c>
      <c r="BH178" s="2" t="s">
        <v>74</v>
      </c>
      <c r="BI178" s="2" t="s">
        <v>74</v>
      </c>
      <c r="BJ178" s="2" t="s">
        <v>74</v>
      </c>
      <c r="BK178" s="2" t="s">
        <v>74</v>
      </c>
      <c r="BL178" s="2" t="s">
        <v>74</v>
      </c>
      <c r="BM178" s="2" t="s">
        <v>74</v>
      </c>
      <c r="BN178" s="2" t="s">
        <v>74</v>
      </c>
      <c r="BO178" s="2" t="s">
        <v>74</v>
      </c>
      <c r="BP178" s="2" t="s">
        <v>74</v>
      </c>
      <c r="BQ178" s="2" t="s">
        <v>74</v>
      </c>
      <c r="BR178" s="2" t="s">
        <v>74</v>
      </c>
      <c r="BS178" s="2" t="s">
        <v>2196</v>
      </c>
      <c r="BT178" s="2" t="str">
        <f>HYPERLINK("https%3A%2F%2Fwww.webofscience.com%2Fwos%2Fwoscc%2Ffull-record%2FWOS:000342263700007","View Full Record in Web of Science")</f>
        <v>View Full Record in Web of Science</v>
      </c>
    </row>
    <row r="179" spans="1:72" s="2" customFormat="1" x14ac:dyDescent="0.4">
      <c r="A179" s="2" t="s">
        <v>72</v>
      </c>
      <c r="B179" s="2" t="s">
        <v>2188</v>
      </c>
      <c r="C179" s="2" t="s">
        <v>74</v>
      </c>
      <c r="D179" s="2" t="s">
        <v>74</v>
      </c>
      <c r="E179" s="2" t="s">
        <v>74</v>
      </c>
      <c r="F179" s="2" t="s">
        <v>2189</v>
      </c>
      <c r="G179" s="2" t="s">
        <v>74</v>
      </c>
      <c r="H179" s="2" t="s">
        <v>74</v>
      </c>
      <c r="I179" s="2" t="s">
        <v>8563</v>
      </c>
      <c r="J179" s="2" t="s">
        <v>4551</v>
      </c>
      <c r="K179" s="2" t="s">
        <v>74</v>
      </c>
      <c r="L179" s="2" t="s">
        <v>74</v>
      </c>
      <c r="M179" s="2" t="s">
        <v>74</v>
      </c>
      <c r="N179" s="2" t="s">
        <v>74</v>
      </c>
      <c r="O179" s="2" t="s">
        <v>74</v>
      </c>
      <c r="P179" s="2" t="s">
        <v>74</v>
      </c>
      <c r="Q179" s="2" t="s">
        <v>74</v>
      </c>
      <c r="R179" s="2" t="s">
        <v>74</v>
      </c>
      <c r="S179" s="2" t="s">
        <v>74</v>
      </c>
      <c r="T179" s="2" t="s">
        <v>74</v>
      </c>
      <c r="U179" s="2" t="s">
        <v>74</v>
      </c>
      <c r="V179" s="5" t="s">
        <v>8564</v>
      </c>
      <c r="W179" s="2" t="s">
        <v>74</v>
      </c>
      <c r="X179" s="2" t="s">
        <v>74</v>
      </c>
      <c r="Y179" s="2" t="s">
        <v>74</v>
      </c>
      <c r="Z179" s="2" t="s">
        <v>74</v>
      </c>
      <c r="AA179" s="2" t="s">
        <v>74</v>
      </c>
      <c r="AB179" s="2" t="s">
        <v>74</v>
      </c>
      <c r="AC179" s="2" t="s">
        <v>74</v>
      </c>
      <c r="AD179" s="2" t="s">
        <v>74</v>
      </c>
      <c r="AE179" s="2" t="s">
        <v>74</v>
      </c>
      <c r="AF179" s="2" t="s">
        <v>74</v>
      </c>
      <c r="AG179" s="2" t="s">
        <v>74</v>
      </c>
      <c r="AH179" s="2" t="s">
        <v>74</v>
      </c>
      <c r="AI179" s="2" t="s">
        <v>74</v>
      </c>
      <c r="AJ179" s="2" t="s">
        <v>74</v>
      </c>
      <c r="AK179" s="2" t="s">
        <v>74</v>
      </c>
      <c r="AL179" s="2" t="s">
        <v>74</v>
      </c>
      <c r="AM179" s="2" t="s">
        <v>74</v>
      </c>
      <c r="AN179" s="2" t="s">
        <v>74</v>
      </c>
      <c r="AO179" s="2" t="s">
        <v>4555</v>
      </c>
      <c r="AP179" s="2" t="s">
        <v>4556</v>
      </c>
      <c r="AQ179" s="2" t="s">
        <v>74</v>
      </c>
      <c r="AR179" s="2" t="s">
        <v>74</v>
      </c>
      <c r="AS179" s="2" t="s">
        <v>74</v>
      </c>
      <c r="AT179" s="2" t="s">
        <v>8565</v>
      </c>
      <c r="AU179" s="2">
        <v>2012</v>
      </c>
      <c r="AV179" s="2">
        <v>370</v>
      </c>
      <c r="AW179" s="2" t="s">
        <v>74</v>
      </c>
      <c r="AX179" s="2" t="s">
        <v>74</v>
      </c>
      <c r="AY179" s="2" t="s">
        <v>74</v>
      </c>
      <c r="AZ179" s="2" t="s">
        <v>74</v>
      </c>
      <c r="BA179" s="2" t="s">
        <v>74</v>
      </c>
      <c r="BB179" s="2">
        <v>54</v>
      </c>
      <c r="BC179" s="2">
        <v>60</v>
      </c>
      <c r="BD179" s="2" t="s">
        <v>74</v>
      </c>
      <c r="BE179" s="2" t="s">
        <v>8566</v>
      </c>
      <c r="BF179" s="2" t="str">
        <f>HYPERLINK("http://dx.doi.org/10.1016/j.aquaculture.2012.10.005","http://dx.doi.org/10.1016/j.aquaculture.2012.10.005")</f>
        <v>http://dx.doi.org/10.1016/j.aquaculture.2012.10.005</v>
      </c>
      <c r="BG179" s="2" t="s">
        <v>74</v>
      </c>
      <c r="BH179" s="2" t="s">
        <v>74</v>
      </c>
      <c r="BI179" s="2" t="s">
        <v>74</v>
      </c>
      <c r="BJ179" s="2" t="s">
        <v>74</v>
      </c>
      <c r="BK179" s="2" t="s">
        <v>74</v>
      </c>
      <c r="BL179" s="2" t="s">
        <v>74</v>
      </c>
      <c r="BM179" s="2" t="s">
        <v>74</v>
      </c>
      <c r="BN179" s="2" t="s">
        <v>74</v>
      </c>
      <c r="BO179" s="2" t="s">
        <v>74</v>
      </c>
      <c r="BP179" s="2" t="s">
        <v>74</v>
      </c>
      <c r="BQ179" s="2" t="s">
        <v>74</v>
      </c>
      <c r="BR179" s="2" t="s">
        <v>74</v>
      </c>
      <c r="BS179" s="2" t="s">
        <v>8567</v>
      </c>
      <c r="BT179" s="2" t="str">
        <f>HYPERLINK("https%3A%2F%2Fwww.webofscience.com%2Fwos%2Fwoscc%2Ffull-record%2FWOS:000311215700008","View Full Record in Web of Science")</f>
        <v>View Full Record in Web of Science</v>
      </c>
    </row>
    <row r="180" spans="1:72" s="2" customFormat="1" x14ac:dyDescent="0.4">
      <c r="A180" s="2" t="s">
        <v>72</v>
      </c>
      <c r="B180" s="2" t="s">
        <v>4103</v>
      </c>
      <c r="C180" s="2" t="s">
        <v>74</v>
      </c>
      <c r="D180" s="2" t="s">
        <v>74</v>
      </c>
      <c r="E180" s="2" t="s">
        <v>74</v>
      </c>
      <c r="F180" s="2" t="s">
        <v>4104</v>
      </c>
      <c r="G180" s="2" t="s">
        <v>74</v>
      </c>
      <c r="H180" s="2" t="s">
        <v>74</v>
      </c>
      <c r="I180" s="2" t="s">
        <v>4105</v>
      </c>
      <c r="J180" s="2" t="s">
        <v>108</v>
      </c>
      <c r="K180" s="2" t="s">
        <v>74</v>
      </c>
      <c r="L180" s="2" t="s">
        <v>74</v>
      </c>
      <c r="M180" s="2" t="s">
        <v>74</v>
      </c>
      <c r="N180" s="2" t="s">
        <v>74</v>
      </c>
      <c r="O180" s="2" t="s">
        <v>74</v>
      </c>
      <c r="P180" s="2" t="s">
        <v>74</v>
      </c>
      <c r="Q180" s="2" t="s">
        <v>74</v>
      </c>
      <c r="R180" s="2" t="s">
        <v>74</v>
      </c>
      <c r="S180" s="2" t="s">
        <v>74</v>
      </c>
      <c r="T180" s="2" t="s">
        <v>74</v>
      </c>
      <c r="U180" s="2" t="s">
        <v>74</v>
      </c>
      <c r="V180" s="5" t="s">
        <v>4106</v>
      </c>
      <c r="W180" s="2" t="s">
        <v>74</v>
      </c>
      <c r="X180" s="2" t="s">
        <v>74</v>
      </c>
      <c r="Y180" s="2" t="s">
        <v>74</v>
      </c>
      <c r="Z180" s="2" t="s">
        <v>74</v>
      </c>
      <c r="AA180" s="2" t="s">
        <v>4107</v>
      </c>
      <c r="AB180" s="2" t="s">
        <v>4108</v>
      </c>
      <c r="AC180" s="2" t="s">
        <v>74</v>
      </c>
      <c r="AD180" s="2" t="s">
        <v>74</v>
      </c>
      <c r="AE180" s="2" t="s">
        <v>74</v>
      </c>
      <c r="AF180" s="2" t="s">
        <v>74</v>
      </c>
      <c r="AG180" s="2" t="s">
        <v>74</v>
      </c>
      <c r="AH180" s="2" t="s">
        <v>74</v>
      </c>
      <c r="AI180" s="2" t="s">
        <v>74</v>
      </c>
      <c r="AJ180" s="2" t="s">
        <v>74</v>
      </c>
      <c r="AK180" s="2" t="s">
        <v>74</v>
      </c>
      <c r="AL180" s="2" t="s">
        <v>74</v>
      </c>
      <c r="AM180" s="2" t="s">
        <v>74</v>
      </c>
      <c r="AN180" s="2" t="s">
        <v>74</v>
      </c>
      <c r="AO180" s="2" t="s">
        <v>111</v>
      </c>
      <c r="AP180" s="2" t="s">
        <v>112</v>
      </c>
      <c r="AQ180" s="2" t="s">
        <v>74</v>
      </c>
      <c r="AR180" s="2" t="s">
        <v>74</v>
      </c>
      <c r="AS180" s="2" t="s">
        <v>74</v>
      </c>
      <c r="AT180" s="2" t="s">
        <v>165</v>
      </c>
      <c r="AU180" s="2">
        <v>2011</v>
      </c>
      <c r="AV180" s="2">
        <v>278</v>
      </c>
      <c r="AW180" s="2">
        <v>1719</v>
      </c>
      <c r="AX180" s="2" t="s">
        <v>74</v>
      </c>
      <c r="AY180" s="2" t="s">
        <v>74</v>
      </c>
      <c r="AZ180" s="2" t="s">
        <v>74</v>
      </c>
      <c r="BA180" s="2" t="s">
        <v>74</v>
      </c>
      <c r="BB180" s="2">
        <v>2806</v>
      </c>
      <c r="BC180" s="2">
        <v>2813</v>
      </c>
      <c r="BD180" s="2" t="s">
        <v>74</v>
      </c>
      <c r="BE180" s="2" t="s">
        <v>4109</v>
      </c>
      <c r="BF180" s="2" t="str">
        <f>HYPERLINK("http://dx.doi.org/10.1098/rspb.2010.2659","http://dx.doi.org/10.1098/rspb.2010.2659")</f>
        <v>http://dx.doi.org/10.1098/rspb.2010.2659</v>
      </c>
      <c r="BG180" s="2" t="s">
        <v>74</v>
      </c>
      <c r="BH180" s="2" t="s">
        <v>74</v>
      </c>
      <c r="BI180" s="2" t="s">
        <v>74</v>
      </c>
      <c r="BJ180" s="2" t="s">
        <v>74</v>
      </c>
      <c r="BK180" s="2" t="s">
        <v>74</v>
      </c>
      <c r="BL180" s="2" t="s">
        <v>74</v>
      </c>
      <c r="BM180" s="2" t="s">
        <v>74</v>
      </c>
      <c r="BN180" s="2">
        <v>21288951</v>
      </c>
      <c r="BO180" s="2" t="s">
        <v>74</v>
      </c>
      <c r="BP180" s="2" t="s">
        <v>74</v>
      </c>
      <c r="BQ180" s="2" t="s">
        <v>74</v>
      </c>
      <c r="BR180" s="2" t="s">
        <v>74</v>
      </c>
      <c r="BS180" s="2" t="s">
        <v>4110</v>
      </c>
      <c r="BT180" s="2" t="str">
        <f>HYPERLINK("https%3A%2F%2Fwww.webofscience.com%2Fwos%2Fwoscc%2Ffull-record%2FWOS:000293733600015","View Full Record in Web of Science")</f>
        <v>View Full Record in Web of Science</v>
      </c>
    </row>
    <row r="181" spans="1:72" s="2" customFormat="1" x14ac:dyDescent="0.4">
      <c r="A181" s="2" t="s">
        <v>72</v>
      </c>
      <c r="B181" s="2" t="s">
        <v>7085</v>
      </c>
      <c r="C181" s="2" t="s">
        <v>74</v>
      </c>
      <c r="D181" s="2" t="s">
        <v>74</v>
      </c>
      <c r="E181" s="2" t="s">
        <v>74</v>
      </c>
      <c r="F181" s="2" t="s">
        <v>7086</v>
      </c>
      <c r="G181" s="2" t="s">
        <v>74</v>
      </c>
      <c r="H181" s="2" t="s">
        <v>74</v>
      </c>
      <c r="I181" s="2" t="s">
        <v>7087</v>
      </c>
      <c r="J181" s="2" t="s">
        <v>7088</v>
      </c>
      <c r="K181" s="2" t="s">
        <v>74</v>
      </c>
      <c r="L181" s="2" t="s">
        <v>74</v>
      </c>
      <c r="M181" s="2" t="s">
        <v>74</v>
      </c>
      <c r="N181" s="2" t="s">
        <v>74</v>
      </c>
      <c r="O181" s="2" t="s">
        <v>74</v>
      </c>
      <c r="P181" s="2" t="s">
        <v>74</v>
      </c>
      <c r="Q181" s="2" t="s">
        <v>74</v>
      </c>
      <c r="R181" s="2" t="s">
        <v>74</v>
      </c>
      <c r="S181" s="2" t="s">
        <v>74</v>
      </c>
      <c r="T181" s="2" t="s">
        <v>74</v>
      </c>
      <c r="U181" s="2" t="s">
        <v>74</v>
      </c>
      <c r="V181" s="5" t="s">
        <v>7089</v>
      </c>
      <c r="W181" s="2" t="s">
        <v>74</v>
      </c>
      <c r="X181" s="2" t="s">
        <v>74</v>
      </c>
      <c r="Y181" s="2" t="s">
        <v>74</v>
      </c>
      <c r="Z181" s="2" t="s">
        <v>74</v>
      </c>
      <c r="AA181" s="2" t="s">
        <v>74</v>
      </c>
      <c r="AB181" s="2" t="s">
        <v>74</v>
      </c>
      <c r="AC181" s="2" t="s">
        <v>74</v>
      </c>
      <c r="AD181" s="2" t="s">
        <v>74</v>
      </c>
      <c r="AE181" s="2" t="s">
        <v>74</v>
      </c>
      <c r="AF181" s="2" t="s">
        <v>74</v>
      </c>
      <c r="AG181" s="2" t="s">
        <v>74</v>
      </c>
      <c r="AH181" s="2" t="s">
        <v>74</v>
      </c>
      <c r="AI181" s="2" t="s">
        <v>74</v>
      </c>
      <c r="AJ181" s="2" t="s">
        <v>74</v>
      </c>
      <c r="AK181" s="2" t="s">
        <v>74</v>
      </c>
      <c r="AL181" s="2" t="s">
        <v>74</v>
      </c>
      <c r="AM181" s="2" t="s">
        <v>74</v>
      </c>
      <c r="AN181" s="2" t="s">
        <v>74</v>
      </c>
      <c r="AO181" s="2" t="s">
        <v>7090</v>
      </c>
      <c r="AP181" s="2" t="s">
        <v>74</v>
      </c>
      <c r="AQ181" s="2" t="s">
        <v>74</v>
      </c>
      <c r="AR181" s="2" t="s">
        <v>74</v>
      </c>
      <c r="AS181" s="2" t="s">
        <v>74</v>
      </c>
      <c r="AT181" s="2" t="s">
        <v>74</v>
      </c>
      <c r="AU181" s="2">
        <v>2020</v>
      </c>
      <c r="AV181" s="2">
        <v>14</v>
      </c>
      <c r="AW181" s="2">
        <v>3</v>
      </c>
      <c r="AX181" s="2" t="s">
        <v>74</v>
      </c>
      <c r="AY181" s="2" t="s">
        <v>74</v>
      </c>
      <c r="AZ181" s="2" t="s">
        <v>74</v>
      </c>
      <c r="BA181" s="2" t="s">
        <v>74</v>
      </c>
      <c r="BB181" s="2">
        <v>231</v>
      </c>
      <c r="BC181" s="2">
        <v>250</v>
      </c>
      <c r="BD181" s="2" t="s">
        <v>7091</v>
      </c>
      <c r="BE181" s="2" t="s">
        <v>74</v>
      </c>
      <c r="BF181" s="2" t="s">
        <v>74</v>
      </c>
      <c r="BG181" s="2" t="s">
        <v>74</v>
      </c>
      <c r="BH181" s="2" t="s">
        <v>74</v>
      </c>
      <c r="BI181" s="2" t="s">
        <v>74</v>
      </c>
      <c r="BJ181" s="2" t="s">
        <v>74</v>
      </c>
      <c r="BK181" s="2" t="s">
        <v>74</v>
      </c>
      <c r="BL181" s="2" t="s">
        <v>74</v>
      </c>
      <c r="BM181" s="2" t="s">
        <v>74</v>
      </c>
      <c r="BN181" s="2" t="s">
        <v>74</v>
      </c>
      <c r="BO181" s="2" t="s">
        <v>74</v>
      </c>
      <c r="BP181" s="2" t="s">
        <v>74</v>
      </c>
      <c r="BQ181" s="2" t="s">
        <v>74</v>
      </c>
      <c r="BR181" s="2" t="s">
        <v>74</v>
      </c>
      <c r="BS181" s="2" t="s">
        <v>7092</v>
      </c>
      <c r="BT181" s="2" t="str">
        <f>HYPERLINK("https%3A%2F%2Fwww.webofscience.com%2Fwos%2Fwoscc%2Ffull-record%2FWOS:000620656500007","View Full Record in Web of Science")</f>
        <v>View Full Record in Web of Science</v>
      </c>
    </row>
    <row r="182" spans="1:72" s="1" customFormat="1" x14ac:dyDescent="0.4">
      <c r="A182" s="2" t="s">
        <v>72</v>
      </c>
      <c r="B182" s="2" t="s">
        <v>2495</v>
      </c>
      <c r="C182" s="2" t="s">
        <v>74</v>
      </c>
      <c r="D182" s="2" t="s">
        <v>74</v>
      </c>
      <c r="E182" s="2" t="s">
        <v>74</v>
      </c>
      <c r="F182" s="2" t="s">
        <v>2495</v>
      </c>
      <c r="G182" s="2" t="s">
        <v>74</v>
      </c>
      <c r="H182" s="2" t="s">
        <v>74</v>
      </c>
      <c r="I182" s="2" t="s">
        <v>2496</v>
      </c>
      <c r="J182" s="2" t="s">
        <v>77</v>
      </c>
      <c r="K182" s="2" t="s">
        <v>74</v>
      </c>
      <c r="L182" s="2" t="s">
        <v>74</v>
      </c>
      <c r="M182" s="2" t="s">
        <v>74</v>
      </c>
      <c r="N182" s="2" t="s">
        <v>74</v>
      </c>
      <c r="O182" s="2" t="s">
        <v>74</v>
      </c>
      <c r="P182" s="2" t="s">
        <v>74</v>
      </c>
      <c r="Q182" s="2" t="s">
        <v>74</v>
      </c>
      <c r="R182" s="2" t="s">
        <v>74</v>
      </c>
      <c r="S182" s="2" t="s">
        <v>74</v>
      </c>
      <c r="T182" s="2" t="s">
        <v>74</v>
      </c>
      <c r="U182" s="2" t="s">
        <v>74</v>
      </c>
      <c r="V182" s="5" t="s">
        <v>2497</v>
      </c>
      <c r="W182" s="2" t="s">
        <v>74</v>
      </c>
      <c r="X182" s="2" t="s">
        <v>74</v>
      </c>
      <c r="Y182" s="2" t="s">
        <v>74</v>
      </c>
      <c r="Z182" s="2" t="s">
        <v>74</v>
      </c>
      <c r="AA182" s="2" t="s">
        <v>74</v>
      </c>
      <c r="AB182" s="2" t="s">
        <v>74</v>
      </c>
      <c r="AC182" s="2" t="s">
        <v>74</v>
      </c>
      <c r="AD182" s="2" t="s">
        <v>74</v>
      </c>
      <c r="AE182" s="2" t="s">
        <v>74</v>
      </c>
      <c r="AF182" s="2" t="s">
        <v>74</v>
      </c>
      <c r="AG182" s="2" t="s">
        <v>74</v>
      </c>
      <c r="AH182" s="2" t="s">
        <v>74</v>
      </c>
      <c r="AI182" s="2" t="s">
        <v>74</v>
      </c>
      <c r="AJ182" s="2" t="s">
        <v>74</v>
      </c>
      <c r="AK182" s="2" t="s">
        <v>74</v>
      </c>
      <c r="AL182" s="2" t="s">
        <v>74</v>
      </c>
      <c r="AM182" s="2" t="s">
        <v>74</v>
      </c>
      <c r="AN182" s="2" t="s">
        <v>74</v>
      </c>
      <c r="AO182" s="2" t="s">
        <v>81</v>
      </c>
      <c r="AP182" s="2" t="s">
        <v>74</v>
      </c>
      <c r="AQ182" s="2" t="s">
        <v>74</v>
      </c>
      <c r="AR182" s="2" t="s">
        <v>74</v>
      </c>
      <c r="AS182" s="2" t="s">
        <v>74</v>
      </c>
      <c r="AT182" s="2" t="s">
        <v>305</v>
      </c>
      <c r="AU182" s="2">
        <v>1994</v>
      </c>
      <c r="AV182" s="2">
        <v>131</v>
      </c>
      <c r="AW182" s="2" t="s">
        <v>74</v>
      </c>
      <c r="AX182" s="2" t="s">
        <v>1276</v>
      </c>
      <c r="AY182" s="2" t="s">
        <v>74</v>
      </c>
      <c r="AZ182" s="2" t="s">
        <v>74</v>
      </c>
      <c r="BA182" s="2" t="s">
        <v>74</v>
      </c>
      <c r="BB182" s="2">
        <v>207</v>
      </c>
      <c r="BC182" s="2">
        <v>224</v>
      </c>
      <c r="BD182" s="2" t="s">
        <v>74</v>
      </c>
      <c r="BE182" s="2" t="s">
        <v>2498</v>
      </c>
      <c r="BF182" s="2" t="str">
        <f>HYPERLINK("http://dx.doi.org/10.1163/156853994X00442","http://dx.doi.org/10.1163/156853994X00442")</f>
        <v>http://dx.doi.org/10.1163/156853994X00442</v>
      </c>
      <c r="BG182" s="2" t="s">
        <v>74</v>
      </c>
      <c r="BH182" s="2" t="s">
        <v>74</v>
      </c>
      <c r="BI182" s="2" t="s">
        <v>74</v>
      </c>
      <c r="BJ182" s="2" t="s">
        <v>74</v>
      </c>
      <c r="BK182" s="2" t="s">
        <v>74</v>
      </c>
      <c r="BL182" s="2" t="s">
        <v>74</v>
      </c>
      <c r="BM182" s="2" t="s">
        <v>74</v>
      </c>
      <c r="BN182" s="2" t="s">
        <v>74</v>
      </c>
      <c r="BO182" s="2" t="s">
        <v>74</v>
      </c>
      <c r="BP182" s="2" t="s">
        <v>74</v>
      </c>
      <c r="BQ182" s="2" t="s">
        <v>74</v>
      </c>
      <c r="BR182" s="2" t="s">
        <v>74</v>
      </c>
      <c r="BS182" s="2" t="s">
        <v>2499</v>
      </c>
      <c r="BT182" s="2" t="str">
        <f>HYPERLINK("https%3A%2F%2Fwww.webofscience.com%2Fwos%2Fwoscc%2Ffull-record%2FWOS:A1994QT85100005","View Full Record in Web of Science")</f>
        <v>View Full Record in Web of Science</v>
      </c>
    </row>
    <row r="183" spans="1:72" s="2" customFormat="1" x14ac:dyDescent="0.4">
      <c r="A183" s="2" t="s">
        <v>72</v>
      </c>
      <c r="B183" s="2" t="s">
        <v>199</v>
      </c>
      <c r="C183" s="2" t="s">
        <v>74</v>
      </c>
      <c r="D183" s="2" t="s">
        <v>74</v>
      </c>
      <c r="E183" s="2" t="s">
        <v>74</v>
      </c>
      <c r="F183" s="2" t="s">
        <v>199</v>
      </c>
      <c r="G183" s="2" t="s">
        <v>74</v>
      </c>
      <c r="H183" s="2" t="s">
        <v>74</v>
      </c>
      <c r="I183" s="2" t="s">
        <v>200</v>
      </c>
      <c r="J183" s="2" t="s">
        <v>201</v>
      </c>
      <c r="K183" s="2" t="s">
        <v>74</v>
      </c>
      <c r="L183" s="2" t="s">
        <v>74</v>
      </c>
      <c r="M183" s="2" t="s">
        <v>74</v>
      </c>
      <c r="N183" s="2" t="s">
        <v>74</v>
      </c>
      <c r="O183" s="2" t="s">
        <v>74</v>
      </c>
      <c r="P183" s="2" t="s">
        <v>74</v>
      </c>
      <c r="Q183" s="2" t="s">
        <v>74</v>
      </c>
      <c r="R183" s="2" t="s">
        <v>74</v>
      </c>
      <c r="S183" s="2" t="s">
        <v>74</v>
      </c>
      <c r="T183" s="2" t="s">
        <v>74</v>
      </c>
      <c r="U183" s="2" t="s">
        <v>74</v>
      </c>
      <c r="V183" s="5" t="s">
        <v>202</v>
      </c>
      <c r="W183" s="2" t="s">
        <v>74</v>
      </c>
      <c r="X183" s="2" t="s">
        <v>74</v>
      </c>
      <c r="Y183" s="2" t="s">
        <v>74</v>
      </c>
      <c r="Z183" s="2" t="s">
        <v>74</v>
      </c>
      <c r="AA183" s="2" t="s">
        <v>74</v>
      </c>
      <c r="AB183" s="2" t="s">
        <v>74</v>
      </c>
      <c r="AC183" s="2" t="s">
        <v>74</v>
      </c>
      <c r="AD183" s="2" t="s">
        <v>74</v>
      </c>
      <c r="AE183" s="2" t="s">
        <v>74</v>
      </c>
      <c r="AF183" s="2" t="s">
        <v>74</v>
      </c>
      <c r="AG183" s="2" t="s">
        <v>74</v>
      </c>
      <c r="AH183" s="2" t="s">
        <v>74</v>
      </c>
      <c r="AI183" s="2" t="s">
        <v>74</v>
      </c>
      <c r="AJ183" s="2" t="s">
        <v>74</v>
      </c>
      <c r="AK183" s="2" t="s">
        <v>74</v>
      </c>
      <c r="AL183" s="2" t="s">
        <v>74</v>
      </c>
      <c r="AM183" s="2" t="s">
        <v>74</v>
      </c>
      <c r="AN183" s="2" t="s">
        <v>74</v>
      </c>
      <c r="AO183" s="2" t="s">
        <v>203</v>
      </c>
      <c r="AP183" s="2" t="s">
        <v>74</v>
      </c>
      <c r="AQ183" s="2" t="s">
        <v>74</v>
      </c>
      <c r="AR183" s="2" t="s">
        <v>74</v>
      </c>
      <c r="AS183" s="2" t="s">
        <v>74</v>
      </c>
      <c r="AT183" s="2" t="s">
        <v>204</v>
      </c>
      <c r="AU183" s="2">
        <v>1995</v>
      </c>
      <c r="AV183" s="2">
        <v>47</v>
      </c>
      <c r="AW183" s="2">
        <v>1</v>
      </c>
      <c r="AX183" s="2" t="s">
        <v>74</v>
      </c>
      <c r="AY183" s="2" t="s">
        <v>74</v>
      </c>
      <c r="AZ183" s="2" t="s">
        <v>74</v>
      </c>
      <c r="BA183" s="2" t="s">
        <v>74</v>
      </c>
      <c r="BB183" s="2">
        <v>50</v>
      </c>
      <c r="BC183" s="2">
        <v>58</v>
      </c>
      <c r="BD183" s="2" t="s">
        <v>74</v>
      </c>
      <c r="BE183" s="2" t="s">
        <v>205</v>
      </c>
      <c r="BF183" s="2" t="str">
        <f>HYPERLINK("http://dx.doi.org/10.1111/j.1095-8649.1995.tb01872.x","http://dx.doi.org/10.1111/j.1095-8649.1995.tb01872.x")</f>
        <v>http://dx.doi.org/10.1111/j.1095-8649.1995.tb01872.x</v>
      </c>
      <c r="BG183" s="2" t="s">
        <v>74</v>
      </c>
      <c r="BH183" s="2" t="s">
        <v>74</v>
      </c>
      <c r="BI183" s="2" t="s">
        <v>74</v>
      </c>
      <c r="BJ183" s="2" t="s">
        <v>74</v>
      </c>
      <c r="BK183" s="2" t="s">
        <v>74</v>
      </c>
      <c r="BL183" s="2" t="s">
        <v>74</v>
      </c>
      <c r="BM183" s="2" t="s">
        <v>74</v>
      </c>
      <c r="BN183" s="2" t="s">
        <v>74</v>
      </c>
      <c r="BO183" s="2" t="s">
        <v>74</v>
      </c>
      <c r="BP183" s="2" t="s">
        <v>74</v>
      </c>
      <c r="BQ183" s="2" t="s">
        <v>74</v>
      </c>
      <c r="BR183" s="2" t="s">
        <v>74</v>
      </c>
      <c r="BS183" s="2" t="s">
        <v>206</v>
      </c>
      <c r="BT183" s="2" t="str">
        <f>HYPERLINK("https%3A%2F%2Fwww.webofscience.com%2Fwos%2Fwoscc%2Ffull-record%2FWOS:A1995RK16500006","View Full Record in Web of Science")</f>
        <v>View Full Record in Web of Science</v>
      </c>
    </row>
    <row r="184" spans="1:72" s="2" customFormat="1" x14ac:dyDescent="0.4">
      <c r="A184" s="2" t="s">
        <v>72</v>
      </c>
      <c r="B184" s="2" t="s">
        <v>2039</v>
      </c>
      <c r="C184" s="2" t="s">
        <v>74</v>
      </c>
      <c r="D184" s="2" t="s">
        <v>74</v>
      </c>
      <c r="E184" s="2" t="s">
        <v>74</v>
      </c>
      <c r="F184" s="2" t="s">
        <v>2040</v>
      </c>
      <c r="G184" s="2" t="s">
        <v>74</v>
      </c>
      <c r="H184" s="2" t="s">
        <v>74</v>
      </c>
      <c r="I184" s="2" t="s">
        <v>2041</v>
      </c>
      <c r="J184" s="2" t="s">
        <v>2042</v>
      </c>
      <c r="K184" s="2" t="s">
        <v>74</v>
      </c>
      <c r="L184" s="2" t="s">
        <v>74</v>
      </c>
      <c r="M184" s="2" t="s">
        <v>74</v>
      </c>
      <c r="N184" s="2" t="s">
        <v>74</v>
      </c>
      <c r="O184" s="2" t="s">
        <v>74</v>
      </c>
      <c r="P184" s="2" t="s">
        <v>74</v>
      </c>
      <c r="Q184" s="2" t="s">
        <v>74</v>
      </c>
      <c r="R184" s="2" t="s">
        <v>74</v>
      </c>
      <c r="S184" s="2" t="s">
        <v>74</v>
      </c>
      <c r="T184" s="2" t="s">
        <v>74</v>
      </c>
      <c r="U184" s="2" t="s">
        <v>74</v>
      </c>
      <c r="V184" s="5" t="s">
        <v>2043</v>
      </c>
      <c r="W184" s="2" t="s">
        <v>74</v>
      </c>
      <c r="X184" s="2" t="s">
        <v>74</v>
      </c>
      <c r="Y184" s="2" t="s">
        <v>74</v>
      </c>
      <c r="Z184" s="2" t="s">
        <v>74</v>
      </c>
      <c r="AA184" s="2" t="s">
        <v>74</v>
      </c>
      <c r="AB184" s="2" t="s">
        <v>2044</v>
      </c>
      <c r="AC184" s="2" t="s">
        <v>74</v>
      </c>
      <c r="AD184" s="2" t="s">
        <v>74</v>
      </c>
      <c r="AE184" s="2" t="s">
        <v>74</v>
      </c>
      <c r="AF184" s="2" t="s">
        <v>74</v>
      </c>
      <c r="AG184" s="2" t="s">
        <v>74</v>
      </c>
      <c r="AH184" s="2" t="s">
        <v>74</v>
      </c>
      <c r="AI184" s="2" t="s">
        <v>74</v>
      </c>
      <c r="AJ184" s="2" t="s">
        <v>74</v>
      </c>
      <c r="AK184" s="2" t="s">
        <v>74</v>
      </c>
      <c r="AL184" s="2" t="s">
        <v>74</v>
      </c>
      <c r="AM184" s="2" t="s">
        <v>74</v>
      </c>
      <c r="AN184" s="2" t="s">
        <v>74</v>
      </c>
      <c r="AO184" s="2" t="s">
        <v>2045</v>
      </c>
      <c r="AP184" s="2" t="s">
        <v>2046</v>
      </c>
      <c r="AQ184" s="2" t="s">
        <v>74</v>
      </c>
      <c r="AR184" s="2" t="s">
        <v>74</v>
      </c>
      <c r="AS184" s="2" t="s">
        <v>74</v>
      </c>
      <c r="AT184" s="2" t="s">
        <v>204</v>
      </c>
      <c r="AU184" s="2">
        <v>2017</v>
      </c>
      <c r="AV184" s="2">
        <v>64</v>
      </c>
      <c r="AW184" s="2">
        <v>3</v>
      </c>
      <c r="AX184" s="2" t="s">
        <v>74</v>
      </c>
      <c r="AY184" s="2" t="s">
        <v>74</v>
      </c>
      <c r="AZ184" s="2" t="s">
        <v>74</v>
      </c>
      <c r="BA184" s="2" t="s">
        <v>74</v>
      </c>
      <c r="BB184" s="2">
        <v>301</v>
      </c>
      <c r="BC184" s="2">
        <v>307</v>
      </c>
      <c r="BD184" s="2" t="s">
        <v>74</v>
      </c>
      <c r="BE184" s="2" t="s">
        <v>2047</v>
      </c>
      <c r="BF184" s="2" t="str">
        <f>HYPERLINK("http://dx.doi.org/10.1007/s10228-016-0567-y","http://dx.doi.org/10.1007/s10228-016-0567-y")</f>
        <v>http://dx.doi.org/10.1007/s10228-016-0567-y</v>
      </c>
      <c r="BG184" s="2" t="s">
        <v>74</v>
      </c>
      <c r="BH184" s="2" t="s">
        <v>74</v>
      </c>
      <c r="BI184" s="2" t="s">
        <v>74</v>
      </c>
      <c r="BJ184" s="2" t="s">
        <v>74</v>
      </c>
      <c r="BK184" s="2" t="s">
        <v>74</v>
      </c>
      <c r="BL184" s="2" t="s">
        <v>74</v>
      </c>
      <c r="BM184" s="2" t="s">
        <v>74</v>
      </c>
      <c r="BN184" s="2" t="s">
        <v>74</v>
      </c>
      <c r="BO184" s="2" t="s">
        <v>74</v>
      </c>
      <c r="BP184" s="2" t="s">
        <v>74</v>
      </c>
      <c r="BQ184" s="2" t="s">
        <v>74</v>
      </c>
      <c r="BR184" s="2" t="s">
        <v>74</v>
      </c>
      <c r="BS184" s="2" t="s">
        <v>2048</v>
      </c>
      <c r="BT184" s="2" t="str">
        <f>HYPERLINK("https%3A%2F%2Fwww.webofscience.com%2Fwos%2Fwoscc%2Ffull-record%2FWOS:000404661100003","View Full Record in Web of Science")</f>
        <v>View Full Record in Web of Science</v>
      </c>
    </row>
    <row r="185" spans="1:72" s="2" customFormat="1" x14ac:dyDescent="0.4">
      <c r="A185" s="2" t="s">
        <v>72</v>
      </c>
      <c r="B185" s="2" t="s">
        <v>3097</v>
      </c>
      <c r="C185" s="2" t="s">
        <v>74</v>
      </c>
      <c r="D185" s="2" t="s">
        <v>74</v>
      </c>
      <c r="E185" s="2" t="s">
        <v>74</v>
      </c>
      <c r="F185" s="2" t="s">
        <v>3098</v>
      </c>
      <c r="G185" s="2" t="s">
        <v>74</v>
      </c>
      <c r="H185" s="2" t="s">
        <v>74</v>
      </c>
      <c r="I185" s="2" t="s">
        <v>3099</v>
      </c>
      <c r="J185" s="2" t="s">
        <v>3100</v>
      </c>
      <c r="K185" s="2" t="s">
        <v>74</v>
      </c>
      <c r="L185" s="2" t="s">
        <v>74</v>
      </c>
      <c r="M185" s="2" t="s">
        <v>74</v>
      </c>
      <c r="N185" s="2" t="s">
        <v>74</v>
      </c>
      <c r="O185" s="2" t="s">
        <v>74</v>
      </c>
      <c r="P185" s="2" t="s">
        <v>74</v>
      </c>
      <c r="Q185" s="2" t="s">
        <v>74</v>
      </c>
      <c r="R185" s="2" t="s">
        <v>74</v>
      </c>
      <c r="S185" s="2" t="s">
        <v>74</v>
      </c>
      <c r="T185" s="2" t="s">
        <v>74</v>
      </c>
      <c r="U185" s="2" t="s">
        <v>74</v>
      </c>
      <c r="V185" s="5" t="s">
        <v>3101</v>
      </c>
      <c r="W185" s="2" t="s">
        <v>74</v>
      </c>
      <c r="X185" s="2" t="s">
        <v>74</v>
      </c>
      <c r="Y185" s="2" t="s">
        <v>74</v>
      </c>
      <c r="Z185" s="2" t="s">
        <v>74</v>
      </c>
      <c r="AA185" s="2" t="s">
        <v>3102</v>
      </c>
      <c r="AB185" s="2" t="s">
        <v>3103</v>
      </c>
      <c r="AC185" s="2" t="s">
        <v>74</v>
      </c>
      <c r="AD185" s="2" t="s">
        <v>74</v>
      </c>
      <c r="AE185" s="2" t="s">
        <v>74</v>
      </c>
      <c r="AF185" s="2" t="s">
        <v>74</v>
      </c>
      <c r="AG185" s="2" t="s">
        <v>74</v>
      </c>
      <c r="AH185" s="2" t="s">
        <v>74</v>
      </c>
      <c r="AI185" s="2" t="s">
        <v>74</v>
      </c>
      <c r="AJ185" s="2" t="s">
        <v>74</v>
      </c>
      <c r="AK185" s="2" t="s">
        <v>74</v>
      </c>
      <c r="AL185" s="2" t="s">
        <v>74</v>
      </c>
      <c r="AM185" s="2" t="s">
        <v>74</v>
      </c>
      <c r="AN185" s="2" t="s">
        <v>74</v>
      </c>
      <c r="AO185" s="2" t="s">
        <v>74</v>
      </c>
      <c r="AP185" s="2" t="s">
        <v>3104</v>
      </c>
      <c r="AQ185" s="2" t="s">
        <v>74</v>
      </c>
      <c r="AR185" s="2" t="s">
        <v>74</v>
      </c>
      <c r="AS185" s="2" t="s">
        <v>74</v>
      </c>
      <c r="AT185" s="2" t="s">
        <v>3105</v>
      </c>
      <c r="AU185" s="2">
        <v>2017</v>
      </c>
      <c r="AV185" s="2">
        <v>4</v>
      </c>
      <c r="AW185" s="2" t="s">
        <v>74</v>
      </c>
      <c r="AX185" s="2" t="s">
        <v>74</v>
      </c>
      <c r="AY185" s="2" t="s">
        <v>74</v>
      </c>
      <c r="AZ185" s="2" t="s">
        <v>74</v>
      </c>
      <c r="BA185" s="2" t="s">
        <v>74</v>
      </c>
      <c r="BB185" s="2" t="s">
        <v>74</v>
      </c>
      <c r="BC185" s="2" t="s">
        <v>74</v>
      </c>
      <c r="BD185" s="2">
        <v>188</v>
      </c>
      <c r="BE185" s="2" t="s">
        <v>3106</v>
      </c>
      <c r="BF185" s="2" t="str">
        <f>HYPERLINK("http://dx.doi.org/10.3389/fvets.2017.00188","http://dx.doi.org/10.3389/fvets.2017.00188")</f>
        <v>http://dx.doi.org/10.3389/fvets.2017.00188</v>
      </c>
      <c r="BG185" s="2" t="s">
        <v>74</v>
      </c>
      <c r="BH185" s="2" t="s">
        <v>74</v>
      </c>
      <c r="BI185" s="2" t="s">
        <v>74</v>
      </c>
      <c r="BJ185" s="2" t="s">
        <v>74</v>
      </c>
      <c r="BK185" s="2" t="s">
        <v>74</v>
      </c>
      <c r="BL185" s="2" t="s">
        <v>74</v>
      </c>
      <c r="BM185" s="2" t="s">
        <v>74</v>
      </c>
      <c r="BN185" s="2">
        <v>29164143</v>
      </c>
      <c r="BO185" s="2" t="s">
        <v>74</v>
      </c>
      <c r="BP185" s="2" t="s">
        <v>74</v>
      </c>
      <c r="BQ185" s="2" t="s">
        <v>74</v>
      </c>
      <c r="BR185" s="2" t="s">
        <v>74</v>
      </c>
      <c r="BS185" s="2" t="s">
        <v>3107</v>
      </c>
      <c r="BT185" s="2" t="str">
        <f>HYPERLINK("https%3A%2F%2Fwww.webofscience.com%2Fwos%2Fwoscc%2Ffull-record%2FWOS:000451800800002","View Full Record in Web of Science")</f>
        <v>View Full Record in Web of Science</v>
      </c>
    </row>
    <row r="186" spans="1:72" s="2" customFormat="1" x14ac:dyDescent="0.4">
      <c r="A186" s="2" t="s">
        <v>72</v>
      </c>
      <c r="B186" s="2" t="s">
        <v>4646</v>
      </c>
      <c r="C186" s="2" t="s">
        <v>74</v>
      </c>
      <c r="D186" s="2" t="s">
        <v>74</v>
      </c>
      <c r="E186" s="2" t="s">
        <v>74</v>
      </c>
      <c r="F186" s="2" t="s">
        <v>4646</v>
      </c>
      <c r="G186" s="2" t="s">
        <v>74</v>
      </c>
      <c r="H186" s="2" t="s">
        <v>74</v>
      </c>
      <c r="I186" s="2" t="s">
        <v>4647</v>
      </c>
      <c r="J186" s="2" t="s">
        <v>1526</v>
      </c>
      <c r="K186" s="2" t="s">
        <v>74</v>
      </c>
      <c r="L186" s="2" t="s">
        <v>74</v>
      </c>
      <c r="M186" s="2" t="s">
        <v>74</v>
      </c>
      <c r="N186" s="2" t="s">
        <v>74</v>
      </c>
      <c r="O186" s="2" t="s">
        <v>74</v>
      </c>
      <c r="P186" s="2" t="s">
        <v>74</v>
      </c>
      <c r="Q186" s="2" t="s">
        <v>74</v>
      </c>
      <c r="R186" s="2" t="s">
        <v>74</v>
      </c>
      <c r="S186" s="2" t="s">
        <v>74</v>
      </c>
      <c r="T186" s="2" t="s">
        <v>74</v>
      </c>
      <c r="U186" s="2" t="s">
        <v>74</v>
      </c>
      <c r="V186" s="5" t="s">
        <v>4648</v>
      </c>
      <c r="W186" s="2" t="s">
        <v>74</v>
      </c>
      <c r="X186" s="2" t="s">
        <v>74</v>
      </c>
      <c r="Y186" s="2" t="s">
        <v>74</v>
      </c>
      <c r="Z186" s="2" t="s">
        <v>74</v>
      </c>
      <c r="AA186" s="2" t="s">
        <v>4649</v>
      </c>
      <c r="AB186" s="2" t="s">
        <v>4650</v>
      </c>
      <c r="AC186" s="2" t="s">
        <v>74</v>
      </c>
      <c r="AD186" s="2" t="s">
        <v>74</v>
      </c>
      <c r="AE186" s="2" t="s">
        <v>74</v>
      </c>
      <c r="AF186" s="2" t="s">
        <v>74</v>
      </c>
      <c r="AG186" s="2" t="s">
        <v>74</v>
      </c>
      <c r="AH186" s="2" t="s">
        <v>74</v>
      </c>
      <c r="AI186" s="2" t="s">
        <v>74</v>
      </c>
      <c r="AJ186" s="2" t="s">
        <v>74</v>
      </c>
      <c r="AK186" s="2" t="s">
        <v>74</v>
      </c>
      <c r="AL186" s="2" t="s">
        <v>74</v>
      </c>
      <c r="AM186" s="2" t="s">
        <v>74</v>
      </c>
      <c r="AN186" s="2" t="s">
        <v>74</v>
      </c>
      <c r="AO186" s="2" t="s">
        <v>1528</v>
      </c>
      <c r="AP186" s="2" t="s">
        <v>74</v>
      </c>
      <c r="AQ186" s="2" t="s">
        <v>74</v>
      </c>
      <c r="AR186" s="2" t="s">
        <v>74</v>
      </c>
      <c r="AS186" s="2" t="s">
        <v>74</v>
      </c>
      <c r="AT186" s="2" t="s">
        <v>145</v>
      </c>
      <c r="AU186" s="2">
        <v>1994</v>
      </c>
      <c r="AV186" s="2">
        <v>96</v>
      </c>
      <c r="AW186" s="2">
        <v>3</v>
      </c>
      <c r="AX186" s="2" t="s">
        <v>74</v>
      </c>
      <c r="AY186" s="2" t="s">
        <v>74</v>
      </c>
      <c r="AZ186" s="2" t="s">
        <v>74</v>
      </c>
      <c r="BA186" s="2" t="s">
        <v>74</v>
      </c>
      <c r="BB186" s="2">
        <v>614</v>
      </c>
      <c r="BC186" s="2">
        <v>625</v>
      </c>
      <c r="BD186" s="2" t="s">
        <v>74</v>
      </c>
      <c r="BE186" s="2" t="s">
        <v>4651</v>
      </c>
      <c r="BF186" s="2" t="str">
        <f>HYPERLINK("http://dx.doi.org/10.2307/1369464","http://dx.doi.org/10.2307/1369464")</f>
        <v>http://dx.doi.org/10.2307/1369464</v>
      </c>
      <c r="BG186" s="2" t="s">
        <v>74</v>
      </c>
      <c r="BH186" s="2" t="s">
        <v>74</v>
      </c>
      <c r="BI186" s="2" t="s">
        <v>74</v>
      </c>
      <c r="BJ186" s="2" t="s">
        <v>74</v>
      </c>
      <c r="BK186" s="2" t="s">
        <v>74</v>
      </c>
      <c r="BL186" s="2" t="s">
        <v>74</v>
      </c>
      <c r="BM186" s="2" t="s">
        <v>74</v>
      </c>
      <c r="BN186" s="2" t="s">
        <v>74</v>
      </c>
      <c r="BO186" s="2" t="s">
        <v>74</v>
      </c>
      <c r="BP186" s="2" t="s">
        <v>74</v>
      </c>
      <c r="BQ186" s="2" t="s">
        <v>74</v>
      </c>
      <c r="BR186" s="2" t="s">
        <v>74</v>
      </c>
      <c r="BS186" s="2" t="s">
        <v>4652</v>
      </c>
      <c r="BT186" s="2" t="str">
        <f>HYPERLINK("https%3A%2F%2Fwww.webofscience.com%2Fwos%2Fwoscc%2Ffull-record%2FWOS:A1994PE53800005","View Full Record in Web of Science")</f>
        <v>View Full Record in Web of Science</v>
      </c>
    </row>
    <row r="187" spans="1:72" s="2" customFormat="1" x14ac:dyDescent="0.4">
      <c r="A187" s="2" t="s">
        <v>72</v>
      </c>
      <c r="B187" s="2" t="s">
        <v>5369</v>
      </c>
      <c r="C187" s="2" t="s">
        <v>74</v>
      </c>
      <c r="D187" s="2" t="s">
        <v>74</v>
      </c>
      <c r="E187" s="2" t="s">
        <v>74</v>
      </c>
      <c r="F187" s="2" t="s">
        <v>5370</v>
      </c>
      <c r="G187" s="2" t="s">
        <v>74</v>
      </c>
      <c r="H187" s="2" t="s">
        <v>74</v>
      </c>
      <c r="I187" s="2" t="s">
        <v>5371</v>
      </c>
      <c r="J187" s="2" t="s">
        <v>140</v>
      </c>
      <c r="K187" s="2" t="s">
        <v>74</v>
      </c>
      <c r="L187" s="2" t="s">
        <v>74</v>
      </c>
      <c r="M187" s="2" t="s">
        <v>74</v>
      </c>
      <c r="N187" s="2" t="s">
        <v>74</v>
      </c>
      <c r="O187" s="2" t="s">
        <v>74</v>
      </c>
      <c r="P187" s="2" t="s">
        <v>74</v>
      </c>
      <c r="Q187" s="2" t="s">
        <v>74</v>
      </c>
      <c r="R187" s="2" t="s">
        <v>74</v>
      </c>
      <c r="S187" s="2" t="s">
        <v>74</v>
      </c>
      <c r="T187" s="2" t="s">
        <v>74</v>
      </c>
      <c r="U187" s="2" t="s">
        <v>74</v>
      </c>
      <c r="V187" s="5" t="s">
        <v>5372</v>
      </c>
      <c r="W187" s="2" t="s">
        <v>74</v>
      </c>
      <c r="X187" s="2" t="s">
        <v>74</v>
      </c>
      <c r="Y187" s="2" t="s">
        <v>74</v>
      </c>
      <c r="Z187" s="2" t="s">
        <v>74</v>
      </c>
      <c r="AA187" s="2" t="s">
        <v>5373</v>
      </c>
      <c r="AB187" s="2" t="s">
        <v>5374</v>
      </c>
      <c r="AC187" s="2" t="s">
        <v>74</v>
      </c>
      <c r="AD187" s="2" t="s">
        <v>74</v>
      </c>
      <c r="AE187" s="2" t="s">
        <v>74</v>
      </c>
      <c r="AF187" s="2" t="s">
        <v>74</v>
      </c>
      <c r="AG187" s="2" t="s">
        <v>74</v>
      </c>
      <c r="AH187" s="2" t="s">
        <v>74</v>
      </c>
      <c r="AI187" s="2" t="s">
        <v>74</v>
      </c>
      <c r="AJ187" s="2" t="s">
        <v>74</v>
      </c>
      <c r="AK187" s="2" t="s">
        <v>74</v>
      </c>
      <c r="AL187" s="2" t="s">
        <v>74</v>
      </c>
      <c r="AM187" s="2" t="s">
        <v>74</v>
      </c>
      <c r="AN187" s="2" t="s">
        <v>74</v>
      </c>
      <c r="AO187" s="2" t="s">
        <v>143</v>
      </c>
      <c r="AP187" s="2" t="s">
        <v>144</v>
      </c>
      <c r="AQ187" s="2" t="s">
        <v>74</v>
      </c>
      <c r="AR187" s="2" t="s">
        <v>74</v>
      </c>
      <c r="AS187" s="2" t="s">
        <v>74</v>
      </c>
      <c r="AT187" s="2" t="s">
        <v>352</v>
      </c>
      <c r="AU187" s="2">
        <v>2021</v>
      </c>
      <c r="AV187" s="2">
        <v>179</v>
      </c>
      <c r="AW187" s="2" t="s">
        <v>74</v>
      </c>
      <c r="AX187" s="2" t="s">
        <v>74</v>
      </c>
      <c r="AY187" s="2" t="s">
        <v>74</v>
      </c>
      <c r="AZ187" s="2" t="s">
        <v>74</v>
      </c>
      <c r="BA187" s="2" t="s">
        <v>74</v>
      </c>
      <c r="BB187" s="2">
        <v>307</v>
      </c>
      <c r="BC187" s="2">
        <v>315</v>
      </c>
      <c r="BD187" s="2" t="s">
        <v>74</v>
      </c>
      <c r="BE187" s="2" t="s">
        <v>5375</v>
      </c>
      <c r="BF187" s="2" t="str">
        <f>HYPERLINK("http://dx.doi.org/10.1016/j.anbehav.2021.07.016","http://dx.doi.org/10.1016/j.anbehav.2021.07.016")</f>
        <v>http://dx.doi.org/10.1016/j.anbehav.2021.07.016</v>
      </c>
      <c r="BG187" s="2" t="s">
        <v>74</v>
      </c>
      <c r="BH187" s="2" t="s">
        <v>4990</v>
      </c>
      <c r="BI187" s="2" t="s">
        <v>74</v>
      </c>
      <c r="BJ187" s="2" t="s">
        <v>74</v>
      </c>
      <c r="BK187" s="2" t="s">
        <v>74</v>
      </c>
      <c r="BL187" s="2" t="s">
        <v>74</v>
      </c>
      <c r="BM187" s="2" t="s">
        <v>74</v>
      </c>
      <c r="BN187" s="2" t="s">
        <v>74</v>
      </c>
      <c r="BO187" s="2" t="s">
        <v>74</v>
      </c>
      <c r="BP187" s="2" t="s">
        <v>74</v>
      </c>
      <c r="BQ187" s="2" t="s">
        <v>74</v>
      </c>
      <c r="BR187" s="2" t="s">
        <v>74</v>
      </c>
      <c r="BS187" s="2" t="s">
        <v>5376</v>
      </c>
      <c r="BT187" s="2" t="str">
        <f>HYPERLINK("https%3A%2F%2Fwww.webofscience.com%2Fwos%2Fwoscc%2Ffull-record%2FWOS:000693411000026","View Full Record in Web of Science")</f>
        <v>View Full Record in Web of Science</v>
      </c>
    </row>
    <row r="188" spans="1:72" s="2" customFormat="1" x14ac:dyDescent="0.4">
      <c r="A188" s="2" t="s">
        <v>72</v>
      </c>
      <c r="B188" s="2" t="s">
        <v>1632</v>
      </c>
      <c r="C188" s="2" t="s">
        <v>74</v>
      </c>
      <c r="D188" s="2" t="s">
        <v>74</v>
      </c>
      <c r="E188" s="2" t="s">
        <v>74</v>
      </c>
      <c r="F188" s="2" t="s">
        <v>1633</v>
      </c>
      <c r="G188" s="2" t="s">
        <v>74</v>
      </c>
      <c r="H188" s="2" t="s">
        <v>74</v>
      </c>
      <c r="I188" s="2" t="s">
        <v>1634</v>
      </c>
      <c r="J188" s="2" t="s">
        <v>1635</v>
      </c>
      <c r="K188" s="2" t="s">
        <v>74</v>
      </c>
      <c r="L188" s="2" t="s">
        <v>74</v>
      </c>
      <c r="M188" s="2" t="s">
        <v>74</v>
      </c>
      <c r="N188" s="2" t="s">
        <v>74</v>
      </c>
      <c r="O188" s="2" t="s">
        <v>74</v>
      </c>
      <c r="P188" s="2" t="s">
        <v>74</v>
      </c>
      <c r="Q188" s="2" t="s">
        <v>74</v>
      </c>
      <c r="R188" s="2" t="s">
        <v>74</v>
      </c>
      <c r="S188" s="2" t="s">
        <v>74</v>
      </c>
      <c r="T188" s="2" t="s">
        <v>74</v>
      </c>
      <c r="U188" s="2" t="s">
        <v>74</v>
      </c>
      <c r="V188" s="5" t="s">
        <v>1636</v>
      </c>
      <c r="W188" s="2" t="s">
        <v>74</v>
      </c>
      <c r="X188" s="2" t="s">
        <v>74</v>
      </c>
      <c r="Y188" s="2" t="s">
        <v>74</v>
      </c>
      <c r="Z188" s="2" t="s">
        <v>74</v>
      </c>
      <c r="AA188" s="2" t="s">
        <v>1637</v>
      </c>
      <c r="AB188" s="2" t="s">
        <v>1638</v>
      </c>
      <c r="AC188" s="2" t="s">
        <v>74</v>
      </c>
      <c r="AD188" s="2" t="s">
        <v>74</v>
      </c>
      <c r="AE188" s="2" t="s">
        <v>74</v>
      </c>
      <c r="AF188" s="2" t="s">
        <v>74</v>
      </c>
      <c r="AG188" s="2" t="s">
        <v>74</v>
      </c>
      <c r="AH188" s="2" t="s">
        <v>74</v>
      </c>
      <c r="AI188" s="2" t="s">
        <v>74</v>
      </c>
      <c r="AJ188" s="2" t="s">
        <v>74</v>
      </c>
      <c r="AK188" s="2" t="s">
        <v>74</v>
      </c>
      <c r="AL188" s="2" t="s">
        <v>74</v>
      </c>
      <c r="AM188" s="2" t="s">
        <v>74</v>
      </c>
      <c r="AN188" s="2" t="s">
        <v>74</v>
      </c>
      <c r="AO188" s="2" t="s">
        <v>1639</v>
      </c>
      <c r="AP188" s="2" t="s">
        <v>1640</v>
      </c>
      <c r="AQ188" s="2" t="s">
        <v>74</v>
      </c>
      <c r="AR188" s="2" t="s">
        <v>74</v>
      </c>
      <c r="AS188" s="2" t="s">
        <v>74</v>
      </c>
      <c r="AT188" s="2" t="s">
        <v>1641</v>
      </c>
      <c r="AU188" s="2">
        <v>2021</v>
      </c>
      <c r="AV188" s="2">
        <v>376</v>
      </c>
      <c r="AW188" s="2">
        <v>1824</v>
      </c>
      <c r="AX188" s="2" t="s">
        <v>74</v>
      </c>
      <c r="AY188" s="2" t="s">
        <v>74</v>
      </c>
      <c r="AZ188" s="2" t="s">
        <v>74</v>
      </c>
      <c r="BA188" s="2" t="s">
        <v>74</v>
      </c>
      <c r="BB188" s="2" t="s">
        <v>74</v>
      </c>
      <c r="BC188" s="2" t="s">
        <v>74</v>
      </c>
      <c r="BD188" s="2">
        <v>20200188</v>
      </c>
      <c r="BE188" s="2" t="s">
        <v>1642</v>
      </c>
      <c r="BF188" s="2" t="str">
        <f>HYPERLINK("http://dx.doi.org/10.1098/rstb.2020.0188","http://dx.doi.org/10.1098/rstb.2020.0188")</f>
        <v>http://dx.doi.org/10.1098/rstb.2020.0188</v>
      </c>
      <c r="BG188" s="2" t="s">
        <v>74</v>
      </c>
      <c r="BH188" s="2" t="s">
        <v>74</v>
      </c>
      <c r="BI188" s="2" t="s">
        <v>74</v>
      </c>
      <c r="BJ188" s="2" t="s">
        <v>74</v>
      </c>
      <c r="BK188" s="2" t="s">
        <v>74</v>
      </c>
      <c r="BL188" s="2" t="s">
        <v>74</v>
      </c>
      <c r="BM188" s="2" t="s">
        <v>74</v>
      </c>
      <c r="BN188" s="2">
        <v>33745319</v>
      </c>
      <c r="BO188" s="2" t="s">
        <v>74</v>
      </c>
      <c r="BP188" s="2" t="s">
        <v>74</v>
      </c>
      <c r="BQ188" s="2" t="s">
        <v>74</v>
      </c>
      <c r="BR188" s="2" t="s">
        <v>74</v>
      </c>
      <c r="BS188" s="2" t="s">
        <v>1643</v>
      </c>
      <c r="BT188" s="2" t="str">
        <f>HYPERLINK("https%3A%2F%2Fwww.webofscience.com%2Fwos%2Fwoscc%2Ffull-record%2FWOS:000631504800001","View Full Record in Web of Science")</f>
        <v>View Full Record in Web of Science</v>
      </c>
    </row>
    <row r="189" spans="1:72" s="2" customFormat="1" x14ac:dyDescent="0.4">
      <c r="A189" s="2" t="s">
        <v>72</v>
      </c>
      <c r="B189" s="2" t="s">
        <v>5226</v>
      </c>
      <c r="C189" s="2" t="s">
        <v>74</v>
      </c>
      <c r="D189" s="2" t="s">
        <v>74</v>
      </c>
      <c r="E189" s="2" t="s">
        <v>74</v>
      </c>
      <c r="F189" s="2" t="s">
        <v>5227</v>
      </c>
      <c r="G189" s="2" t="s">
        <v>74</v>
      </c>
      <c r="H189" s="2" t="s">
        <v>74</v>
      </c>
      <c r="I189" s="2" t="s">
        <v>5228</v>
      </c>
      <c r="J189" s="2" t="s">
        <v>119</v>
      </c>
      <c r="K189" s="2" t="s">
        <v>74</v>
      </c>
      <c r="L189" s="2" t="s">
        <v>74</v>
      </c>
      <c r="M189" s="2" t="s">
        <v>74</v>
      </c>
      <c r="N189" s="2" t="s">
        <v>74</v>
      </c>
      <c r="O189" s="2" t="s">
        <v>74</v>
      </c>
      <c r="P189" s="2" t="s">
        <v>74</v>
      </c>
      <c r="Q189" s="2" t="s">
        <v>74</v>
      </c>
      <c r="R189" s="2" t="s">
        <v>74</v>
      </c>
      <c r="S189" s="2" t="s">
        <v>74</v>
      </c>
      <c r="T189" s="2" t="s">
        <v>74</v>
      </c>
      <c r="U189" s="2" t="s">
        <v>74</v>
      </c>
      <c r="V189" s="5" t="s">
        <v>5229</v>
      </c>
      <c r="W189" s="2" t="s">
        <v>74</v>
      </c>
      <c r="X189" s="2" t="s">
        <v>74</v>
      </c>
      <c r="Y189" s="2" t="s">
        <v>74</v>
      </c>
      <c r="Z189" s="2" t="s">
        <v>74</v>
      </c>
      <c r="AA189" s="2" t="s">
        <v>5230</v>
      </c>
      <c r="AB189" s="2" t="s">
        <v>5231</v>
      </c>
      <c r="AC189" s="2" t="s">
        <v>74</v>
      </c>
      <c r="AD189" s="2" t="s">
        <v>74</v>
      </c>
      <c r="AE189" s="2" t="s">
        <v>74</v>
      </c>
      <c r="AF189" s="2" t="s">
        <v>74</v>
      </c>
      <c r="AG189" s="2" t="s">
        <v>74</v>
      </c>
      <c r="AH189" s="2" t="s">
        <v>74</v>
      </c>
      <c r="AI189" s="2" t="s">
        <v>74</v>
      </c>
      <c r="AJ189" s="2" t="s">
        <v>74</v>
      </c>
      <c r="AK189" s="2" t="s">
        <v>74</v>
      </c>
      <c r="AL189" s="2" t="s">
        <v>74</v>
      </c>
      <c r="AM189" s="2" t="s">
        <v>74</v>
      </c>
      <c r="AN189" s="2" t="s">
        <v>74</v>
      </c>
      <c r="AO189" s="2" t="s">
        <v>121</v>
      </c>
      <c r="AP189" s="2" t="s">
        <v>122</v>
      </c>
      <c r="AQ189" s="2" t="s">
        <v>74</v>
      </c>
      <c r="AR189" s="2" t="s">
        <v>74</v>
      </c>
      <c r="AS189" s="2" t="s">
        <v>74</v>
      </c>
      <c r="AT189" s="2" t="s">
        <v>213</v>
      </c>
      <c r="AU189" s="2">
        <v>2015</v>
      </c>
      <c r="AV189" s="2">
        <v>120</v>
      </c>
      <c r="AW189" s="2" t="s">
        <v>74</v>
      </c>
      <c r="AX189" s="2" t="s">
        <v>74</v>
      </c>
      <c r="AY189" s="2" t="s">
        <v>74</v>
      </c>
      <c r="AZ189" s="2" t="s">
        <v>74</v>
      </c>
      <c r="BA189" s="2" t="s">
        <v>74</v>
      </c>
      <c r="BB189" s="2">
        <v>128</v>
      </c>
      <c r="BC189" s="2">
        <v>134</v>
      </c>
      <c r="BD189" s="2" t="s">
        <v>74</v>
      </c>
      <c r="BE189" s="2" t="s">
        <v>5232</v>
      </c>
      <c r="BF189" s="2" t="str">
        <f>HYPERLINK("http://dx.doi.org/10.1016/j.beproc.2015.09.015","http://dx.doi.org/10.1016/j.beproc.2015.09.015")</f>
        <v>http://dx.doi.org/10.1016/j.beproc.2015.09.015</v>
      </c>
      <c r="BG189" s="2" t="s">
        <v>74</v>
      </c>
      <c r="BH189" s="2" t="s">
        <v>74</v>
      </c>
      <c r="BI189" s="2" t="s">
        <v>74</v>
      </c>
      <c r="BJ189" s="2" t="s">
        <v>74</v>
      </c>
      <c r="BK189" s="2" t="s">
        <v>74</v>
      </c>
      <c r="BL189" s="2" t="s">
        <v>74</v>
      </c>
      <c r="BM189" s="2" t="s">
        <v>74</v>
      </c>
      <c r="BN189" s="2">
        <v>26449315</v>
      </c>
      <c r="BO189" s="2" t="s">
        <v>74</v>
      </c>
      <c r="BP189" s="2" t="s">
        <v>74</v>
      </c>
      <c r="BQ189" s="2" t="s">
        <v>74</v>
      </c>
      <c r="BR189" s="2" t="s">
        <v>74</v>
      </c>
      <c r="BS189" s="2" t="s">
        <v>5233</v>
      </c>
      <c r="BT189" s="2" t="str">
        <f>HYPERLINK("https%3A%2F%2Fwww.webofscience.com%2Fwos%2Fwoscc%2Ffull-record%2FWOS:000364503300018","View Full Record in Web of Science")</f>
        <v>View Full Record in Web of Science</v>
      </c>
    </row>
    <row r="190" spans="1:72" s="2" customFormat="1" x14ac:dyDescent="0.4">
      <c r="A190" s="2" t="s">
        <v>72</v>
      </c>
      <c r="B190" s="2" t="s">
        <v>7547</v>
      </c>
      <c r="C190" s="2" t="s">
        <v>74</v>
      </c>
      <c r="D190" s="2" t="s">
        <v>74</v>
      </c>
      <c r="E190" s="2" t="s">
        <v>74</v>
      </c>
      <c r="F190" s="2" t="s">
        <v>7548</v>
      </c>
      <c r="G190" s="2" t="s">
        <v>74</v>
      </c>
      <c r="H190" s="2" t="s">
        <v>74</v>
      </c>
      <c r="I190" s="2" t="s">
        <v>7549</v>
      </c>
      <c r="J190" s="2" t="s">
        <v>7550</v>
      </c>
      <c r="K190" s="2" t="s">
        <v>74</v>
      </c>
      <c r="L190" s="2" t="s">
        <v>74</v>
      </c>
      <c r="M190" s="2" t="s">
        <v>74</v>
      </c>
      <c r="N190" s="2" t="s">
        <v>74</v>
      </c>
      <c r="O190" s="2" t="s">
        <v>74</v>
      </c>
      <c r="P190" s="2" t="s">
        <v>74</v>
      </c>
      <c r="Q190" s="2" t="s">
        <v>74</v>
      </c>
      <c r="R190" s="2" t="s">
        <v>74</v>
      </c>
      <c r="S190" s="2" t="s">
        <v>74</v>
      </c>
      <c r="T190" s="2" t="s">
        <v>74</v>
      </c>
      <c r="U190" s="2" t="s">
        <v>74</v>
      </c>
      <c r="V190" s="5" t="s">
        <v>7551</v>
      </c>
      <c r="W190" s="2" t="s">
        <v>74</v>
      </c>
      <c r="X190" s="2" t="s">
        <v>74</v>
      </c>
      <c r="Y190" s="2" t="s">
        <v>74</v>
      </c>
      <c r="Z190" s="2" t="s">
        <v>74</v>
      </c>
      <c r="AA190" s="2" t="s">
        <v>74</v>
      </c>
      <c r="AB190" s="2" t="s">
        <v>74</v>
      </c>
      <c r="AC190" s="2" t="s">
        <v>74</v>
      </c>
      <c r="AD190" s="2" t="s">
        <v>74</v>
      </c>
      <c r="AE190" s="2" t="s">
        <v>74</v>
      </c>
      <c r="AF190" s="2" t="s">
        <v>74</v>
      </c>
      <c r="AG190" s="2" t="s">
        <v>74</v>
      </c>
      <c r="AH190" s="2" t="s">
        <v>74</v>
      </c>
      <c r="AI190" s="2" t="s">
        <v>74</v>
      </c>
      <c r="AJ190" s="2" t="s">
        <v>74</v>
      </c>
      <c r="AK190" s="2" t="s">
        <v>74</v>
      </c>
      <c r="AL190" s="2" t="s">
        <v>74</v>
      </c>
      <c r="AM190" s="2" t="s">
        <v>74</v>
      </c>
      <c r="AN190" s="2" t="s">
        <v>74</v>
      </c>
      <c r="AO190" s="2" t="s">
        <v>7552</v>
      </c>
      <c r="AP190" s="2" t="s">
        <v>7553</v>
      </c>
      <c r="AQ190" s="2" t="s">
        <v>74</v>
      </c>
      <c r="AR190" s="2" t="s">
        <v>74</v>
      </c>
      <c r="AS190" s="2" t="s">
        <v>74</v>
      </c>
      <c r="AT190" s="2" t="s">
        <v>74</v>
      </c>
      <c r="AU190" s="2">
        <v>2015</v>
      </c>
      <c r="AV190" s="2">
        <v>144</v>
      </c>
      <c r="AW190" s="2">
        <v>4</v>
      </c>
      <c r="AX190" s="2" t="s">
        <v>74</v>
      </c>
      <c r="AY190" s="2" t="s">
        <v>74</v>
      </c>
      <c r="AZ190" s="2" t="s">
        <v>74</v>
      </c>
      <c r="BA190" s="2" t="s">
        <v>74</v>
      </c>
      <c r="BB190" s="2">
        <v>717</v>
      </c>
      <c r="BC190" s="2">
        <v>723</v>
      </c>
      <c r="BD190" s="2" t="s">
        <v>74</v>
      </c>
      <c r="BE190" s="2" t="s">
        <v>7554</v>
      </c>
      <c r="BF190" s="2" t="str">
        <f>HYPERLINK("http://dx.doi.org/10.1080/00028487.2015.1037017","http://dx.doi.org/10.1080/00028487.2015.1037017")</f>
        <v>http://dx.doi.org/10.1080/00028487.2015.1037017</v>
      </c>
      <c r="BG190" s="2" t="s">
        <v>74</v>
      </c>
      <c r="BH190" s="2" t="s">
        <v>74</v>
      </c>
      <c r="BI190" s="2" t="s">
        <v>74</v>
      </c>
      <c r="BJ190" s="2" t="s">
        <v>74</v>
      </c>
      <c r="BK190" s="2" t="s">
        <v>74</v>
      </c>
      <c r="BL190" s="2" t="s">
        <v>74</v>
      </c>
      <c r="BM190" s="2" t="s">
        <v>74</v>
      </c>
      <c r="BN190" s="2" t="s">
        <v>74</v>
      </c>
      <c r="BO190" s="2" t="s">
        <v>74</v>
      </c>
      <c r="BP190" s="2" t="s">
        <v>74</v>
      </c>
      <c r="BQ190" s="2" t="s">
        <v>74</v>
      </c>
      <c r="BR190" s="2" t="s">
        <v>74</v>
      </c>
      <c r="BS190" s="2" t="s">
        <v>7555</v>
      </c>
      <c r="BT190" s="2" t="str">
        <f>HYPERLINK("https%3A%2F%2Fwww.webofscience.com%2Fwos%2Fwoscc%2Ffull-record%2FWOS:000358854700006","View Full Record in Web of Science")</f>
        <v>View Full Record in Web of Science</v>
      </c>
    </row>
    <row r="191" spans="1:72" s="2" customFormat="1" x14ac:dyDescent="0.4">
      <c r="A191" s="2" t="s">
        <v>72</v>
      </c>
      <c r="B191" s="2" t="s">
        <v>5735</v>
      </c>
      <c r="C191" s="2" t="s">
        <v>74</v>
      </c>
      <c r="D191" s="2" t="s">
        <v>74</v>
      </c>
      <c r="E191" s="2" t="s">
        <v>74</v>
      </c>
      <c r="F191" s="2" t="s">
        <v>5736</v>
      </c>
      <c r="G191" s="2" t="s">
        <v>74</v>
      </c>
      <c r="H191" s="2" t="s">
        <v>74</v>
      </c>
      <c r="I191" s="2" t="s">
        <v>5737</v>
      </c>
      <c r="J191" s="2" t="s">
        <v>5738</v>
      </c>
      <c r="K191" s="2" t="s">
        <v>74</v>
      </c>
      <c r="L191" s="2" t="s">
        <v>74</v>
      </c>
      <c r="M191" s="2" t="s">
        <v>74</v>
      </c>
      <c r="N191" s="2" t="s">
        <v>74</v>
      </c>
      <c r="O191" s="2" t="s">
        <v>74</v>
      </c>
      <c r="P191" s="2" t="s">
        <v>74</v>
      </c>
      <c r="Q191" s="2" t="s">
        <v>74</v>
      </c>
      <c r="R191" s="2" t="s">
        <v>74</v>
      </c>
      <c r="S191" s="2" t="s">
        <v>74</v>
      </c>
      <c r="T191" s="2" t="s">
        <v>74</v>
      </c>
      <c r="U191" s="2" t="s">
        <v>74</v>
      </c>
      <c r="V191" s="5" t="s">
        <v>5739</v>
      </c>
      <c r="W191" s="2" t="s">
        <v>74</v>
      </c>
      <c r="X191" s="2" t="s">
        <v>74</v>
      </c>
      <c r="Y191" s="2" t="s">
        <v>74</v>
      </c>
      <c r="Z191" s="2" t="s">
        <v>74</v>
      </c>
      <c r="AA191" s="2" t="s">
        <v>74</v>
      </c>
      <c r="AB191" s="2" t="s">
        <v>74</v>
      </c>
      <c r="AC191" s="2" t="s">
        <v>74</v>
      </c>
      <c r="AD191" s="2" t="s">
        <v>74</v>
      </c>
      <c r="AE191" s="2" t="s">
        <v>74</v>
      </c>
      <c r="AF191" s="2" t="s">
        <v>74</v>
      </c>
      <c r="AG191" s="2" t="s">
        <v>74</v>
      </c>
      <c r="AH191" s="2" t="s">
        <v>74</v>
      </c>
      <c r="AI191" s="2" t="s">
        <v>74</v>
      </c>
      <c r="AJ191" s="2" t="s">
        <v>74</v>
      </c>
      <c r="AK191" s="2" t="s">
        <v>74</v>
      </c>
      <c r="AL191" s="2" t="s">
        <v>74</v>
      </c>
      <c r="AM191" s="2" t="s">
        <v>74</v>
      </c>
      <c r="AN191" s="2" t="s">
        <v>74</v>
      </c>
      <c r="AO191" s="2" t="s">
        <v>5740</v>
      </c>
      <c r="AP191" s="2" t="s">
        <v>74</v>
      </c>
      <c r="AQ191" s="2" t="s">
        <v>74</v>
      </c>
      <c r="AR191" s="2" t="s">
        <v>74</v>
      </c>
      <c r="AS191" s="2" t="s">
        <v>74</v>
      </c>
      <c r="AT191" s="2" t="s">
        <v>74</v>
      </c>
      <c r="AU191" s="2">
        <v>2016</v>
      </c>
      <c r="AV191" s="2">
        <v>33</v>
      </c>
      <c r="AW191" s="2">
        <v>2</v>
      </c>
      <c r="AX191" s="2" t="s">
        <v>74</v>
      </c>
      <c r="AY191" s="2" t="s">
        <v>74</v>
      </c>
      <c r="AZ191" s="2" t="s">
        <v>74</v>
      </c>
      <c r="BA191" s="2" t="s">
        <v>74</v>
      </c>
      <c r="BB191" s="2" t="s">
        <v>74</v>
      </c>
      <c r="BC191" s="2" t="s">
        <v>74</v>
      </c>
      <c r="BD191" s="2" t="s">
        <v>5741</v>
      </c>
      <c r="BE191" s="2" t="s">
        <v>5742</v>
      </c>
      <c r="BF191" s="2" t="str">
        <f>HYPERLINK("http://dx.doi.org/10.1590/S1984-4689zool-20150190","http://dx.doi.org/10.1590/S1984-4689zool-20150190")</f>
        <v>http://dx.doi.org/10.1590/S1984-4689zool-20150190</v>
      </c>
      <c r="BG191" s="2" t="s">
        <v>74</v>
      </c>
      <c r="BH191" s="2" t="s">
        <v>74</v>
      </c>
      <c r="BI191" s="2" t="s">
        <v>74</v>
      </c>
      <c r="BJ191" s="2" t="s">
        <v>74</v>
      </c>
      <c r="BK191" s="2" t="s">
        <v>74</v>
      </c>
      <c r="BL191" s="2" t="s">
        <v>74</v>
      </c>
      <c r="BM191" s="2" t="s">
        <v>74</v>
      </c>
      <c r="BN191" s="2" t="s">
        <v>74</v>
      </c>
      <c r="BO191" s="2" t="s">
        <v>74</v>
      </c>
      <c r="BP191" s="2" t="s">
        <v>74</v>
      </c>
      <c r="BQ191" s="2" t="s">
        <v>74</v>
      </c>
      <c r="BR191" s="2" t="s">
        <v>74</v>
      </c>
      <c r="BS191" s="2" t="s">
        <v>5743</v>
      </c>
      <c r="BT191" s="2" t="str">
        <f>HYPERLINK("https%3A%2F%2Fwww.webofscience.com%2Fwos%2Fwoscc%2Ffull-record%2FWOS:000376449900006","View Full Record in Web of Science")</f>
        <v>View Full Record in Web of Science</v>
      </c>
    </row>
    <row r="192" spans="1:72" s="2" customFormat="1" x14ac:dyDescent="0.4">
      <c r="A192" s="2" t="s">
        <v>72</v>
      </c>
      <c r="B192" s="2" t="s">
        <v>8013</v>
      </c>
      <c r="C192" s="2" t="s">
        <v>74</v>
      </c>
      <c r="D192" s="2" t="s">
        <v>74</v>
      </c>
      <c r="E192" s="2" t="s">
        <v>74</v>
      </c>
      <c r="F192" s="2" t="s">
        <v>8014</v>
      </c>
      <c r="G192" s="2" t="s">
        <v>74</v>
      </c>
      <c r="H192" s="2" t="s">
        <v>74</v>
      </c>
      <c r="I192" s="2" t="s">
        <v>8015</v>
      </c>
      <c r="J192" s="2" t="s">
        <v>1437</v>
      </c>
      <c r="K192" s="2" t="s">
        <v>74</v>
      </c>
      <c r="L192" s="2" t="s">
        <v>74</v>
      </c>
      <c r="M192" s="2" t="s">
        <v>74</v>
      </c>
      <c r="N192" s="2" t="s">
        <v>74</v>
      </c>
      <c r="O192" s="2" t="s">
        <v>74</v>
      </c>
      <c r="P192" s="2" t="s">
        <v>74</v>
      </c>
      <c r="Q192" s="2" t="s">
        <v>74</v>
      </c>
      <c r="R192" s="2" t="s">
        <v>74</v>
      </c>
      <c r="S192" s="2" t="s">
        <v>74</v>
      </c>
      <c r="T192" s="2" t="s">
        <v>74</v>
      </c>
      <c r="U192" s="2" t="s">
        <v>74</v>
      </c>
      <c r="V192" s="5" t="s">
        <v>8016</v>
      </c>
      <c r="W192" s="2" t="s">
        <v>74</v>
      </c>
      <c r="X192" s="2" t="s">
        <v>74</v>
      </c>
      <c r="Y192" s="2" t="s">
        <v>74</v>
      </c>
      <c r="Z192" s="2" t="s">
        <v>74</v>
      </c>
      <c r="AA192" s="2" t="s">
        <v>8017</v>
      </c>
      <c r="AB192" s="2" t="s">
        <v>8018</v>
      </c>
      <c r="AC192" s="2" t="s">
        <v>74</v>
      </c>
      <c r="AD192" s="2" t="s">
        <v>74</v>
      </c>
      <c r="AE192" s="2" t="s">
        <v>74</v>
      </c>
      <c r="AF192" s="2" t="s">
        <v>74</v>
      </c>
      <c r="AG192" s="2" t="s">
        <v>74</v>
      </c>
      <c r="AH192" s="2" t="s">
        <v>74</v>
      </c>
      <c r="AI192" s="2" t="s">
        <v>74</v>
      </c>
      <c r="AJ192" s="2" t="s">
        <v>74</v>
      </c>
      <c r="AK192" s="2" t="s">
        <v>74</v>
      </c>
      <c r="AL192" s="2" t="s">
        <v>74</v>
      </c>
      <c r="AM192" s="2" t="s">
        <v>74</v>
      </c>
      <c r="AN192" s="2" t="s">
        <v>74</v>
      </c>
      <c r="AO192" s="2" t="s">
        <v>1440</v>
      </c>
      <c r="AP192" s="2" t="s">
        <v>3347</v>
      </c>
      <c r="AQ192" s="2" t="s">
        <v>74</v>
      </c>
      <c r="AR192" s="2" t="s">
        <v>74</v>
      </c>
      <c r="AS192" s="2" t="s">
        <v>74</v>
      </c>
      <c r="AT192" s="2" t="s">
        <v>204</v>
      </c>
      <c r="AU192" s="2">
        <v>2015</v>
      </c>
      <c r="AV192" s="2">
        <v>115</v>
      </c>
      <c r="AW192" s="2">
        <v>1</v>
      </c>
      <c r="AX192" s="2" t="s">
        <v>74</v>
      </c>
      <c r="AY192" s="2" t="s">
        <v>74</v>
      </c>
      <c r="AZ192" s="2" t="s">
        <v>74</v>
      </c>
      <c r="BA192" s="2" t="s">
        <v>74</v>
      </c>
      <c r="BB192" s="2">
        <v>47</v>
      </c>
      <c r="BC192" s="2">
        <v>55</v>
      </c>
      <c r="BD192" s="2" t="s">
        <v>74</v>
      </c>
      <c r="BE192" s="2" t="s">
        <v>8019</v>
      </c>
      <c r="BF192" s="2" t="str">
        <f>HYPERLINK("http://dx.doi.org/10.1038/hdy.2015.15","http://dx.doi.org/10.1038/hdy.2015.15")</f>
        <v>http://dx.doi.org/10.1038/hdy.2015.15</v>
      </c>
      <c r="BG192" s="2" t="s">
        <v>74</v>
      </c>
      <c r="BH192" s="2" t="s">
        <v>74</v>
      </c>
      <c r="BI192" s="2" t="s">
        <v>74</v>
      </c>
      <c r="BJ192" s="2" t="s">
        <v>74</v>
      </c>
      <c r="BK192" s="2" t="s">
        <v>74</v>
      </c>
      <c r="BL192" s="2" t="s">
        <v>74</v>
      </c>
      <c r="BM192" s="2" t="s">
        <v>74</v>
      </c>
      <c r="BN192" s="2">
        <v>26059968</v>
      </c>
      <c r="BO192" s="2" t="s">
        <v>74</v>
      </c>
      <c r="BP192" s="2" t="s">
        <v>74</v>
      </c>
      <c r="BQ192" s="2" t="s">
        <v>74</v>
      </c>
      <c r="BR192" s="2" t="s">
        <v>74</v>
      </c>
      <c r="BS192" s="2" t="s">
        <v>8020</v>
      </c>
      <c r="BT192" s="2" t="str">
        <f>HYPERLINK("https%3A%2F%2Fwww.webofscience.com%2Fwos%2Fwoscc%2Ffull-record%2FWOS:000356024900007","View Full Record in Web of Science")</f>
        <v>View Full Record in Web of Science</v>
      </c>
    </row>
    <row r="193" spans="1:72" s="2" customFormat="1" x14ac:dyDescent="0.4">
      <c r="A193" s="2" t="s">
        <v>72</v>
      </c>
      <c r="B193" s="2" t="s">
        <v>1242</v>
      </c>
      <c r="C193" s="2" t="s">
        <v>74</v>
      </c>
      <c r="D193" s="2" t="s">
        <v>74</v>
      </c>
      <c r="E193" s="2" t="s">
        <v>74</v>
      </c>
      <c r="F193" s="2" t="s">
        <v>1242</v>
      </c>
      <c r="G193" s="2" t="s">
        <v>74</v>
      </c>
      <c r="H193" s="2" t="s">
        <v>74</v>
      </c>
      <c r="I193" s="2" t="s">
        <v>1243</v>
      </c>
      <c r="J193" s="2" t="s">
        <v>1244</v>
      </c>
      <c r="K193" s="2" t="s">
        <v>74</v>
      </c>
      <c r="L193" s="2" t="s">
        <v>74</v>
      </c>
      <c r="M193" s="2" t="s">
        <v>74</v>
      </c>
      <c r="N193" s="2" t="s">
        <v>74</v>
      </c>
      <c r="O193" s="2" t="s">
        <v>74</v>
      </c>
      <c r="P193" s="2" t="s">
        <v>74</v>
      </c>
      <c r="Q193" s="2" t="s">
        <v>74</v>
      </c>
      <c r="R193" s="2" t="s">
        <v>74</v>
      </c>
      <c r="S193" s="2" t="s">
        <v>74</v>
      </c>
      <c r="T193" s="2" t="s">
        <v>74</v>
      </c>
      <c r="U193" s="2" t="s">
        <v>74</v>
      </c>
      <c r="V193" s="5" t="s">
        <v>1245</v>
      </c>
      <c r="W193" s="2" t="s">
        <v>74</v>
      </c>
      <c r="X193" s="2" t="s">
        <v>74</v>
      </c>
      <c r="Y193" s="2" t="s">
        <v>74</v>
      </c>
      <c r="Z193" s="2" t="s">
        <v>74</v>
      </c>
      <c r="AA193" s="2" t="s">
        <v>74</v>
      </c>
      <c r="AB193" s="2" t="s">
        <v>74</v>
      </c>
      <c r="AC193" s="2" t="s">
        <v>74</v>
      </c>
      <c r="AD193" s="2" t="s">
        <v>74</v>
      </c>
      <c r="AE193" s="2" t="s">
        <v>74</v>
      </c>
      <c r="AF193" s="2" t="s">
        <v>74</v>
      </c>
      <c r="AG193" s="2" t="s">
        <v>74</v>
      </c>
      <c r="AH193" s="2" t="s">
        <v>74</v>
      </c>
      <c r="AI193" s="2" t="s">
        <v>74</v>
      </c>
      <c r="AJ193" s="2" t="s">
        <v>74</v>
      </c>
      <c r="AK193" s="2" t="s">
        <v>74</v>
      </c>
      <c r="AL193" s="2" t="s">
        <v>74</v>
      </c>
      <c r="AM193" s="2" t="s">
        <v>74</v>
      </c>
      <c r="AN193" s="2" t="s">
        <v>74</v>
      </c>
      <c r="AO193" s="2" t="s">
        <v>1246</v>
      </c>
      <c r="AP193" s="2" t="s">
        <v>74</v>
      </c>
      <c r="AQ193" s="2" t="s">
        <v>74</v>
      </c>
      <c r="AR193" s="2" t="s">
        <v>74</v>
      </c>
      <c r="AS193" s="2" t="s">
        <v>74</v>
      </c>
      <c r="AT193" s="2" t="s">
        <v>1247</v>
      </c>
      <c r="AU193" s="2">
        <v>2004</v>
      </c>
      <c r="AV193" s="2">
        <v>33</v>
      </c>
      <c r="AW193" s="2">
        <v>2</v>
      </c>
      <c r="AX193" s="2" t="s">
        <v>74</v>
      </c>
      <c r="AY193" s="2" t="s">
        <v>74</v>
      </c>
      <c r="AZ193" s="2" t="s">
        <v>74</v>
      </c>
      <c r="BA193" s="2" t="s">
        <v>74</v>
      </c>
      <c r="BB193" s="2">
        <v>147</v>
      </c>
      <c r="BC193" s="2">
        <v>156</v>
      </c>
      <c r="BD193" s="2" t="s">
        <v>74</v>
      </c>
      <c r="BE193" s="2" t="s">
        <v>74</v>
      </c>
      <c r="BF193" s="2" t="s">
        <v>74</v>
      </c>
      <c r="BG193" s="2" t="s">
        <v>74</v>
      </c>
      <c r="BH193" s="2" t="s">
        <v>74</v>
      </c>
      <c r="BI193" s="2" t="s">
        <v>74</v>
      </c>
      <c r="BJ193" s="2" t="s">
        <v>74</v>
      </c>
      <c r="BK193" s="2" t="s">
        <v>74</v>
      </c>
      <c r="BL193" s="2" t="s">
        <v>74</v>
      </c>
      <c r="BM193" s="2" t="s">
        <v>74</v>
      </c>
      <c r="BN193" s="2" t="s">
        <v>74</v>
      </c>
      <c r="BO193" s="2" t="s">
        <v>74</v>
      </c>
      <c r="BP193" s="2" t="s">
        <v>74</v>
      </c>
      <c r="BQ193" s="2" t="s">
        <v>74</v>
      </c>
      <c r="BR193" s="2" t="s">
        <v>74</v>
      </c>
      <c r="BS193" s="2" t="s">
        <v>1248</v>
      </c>
      <c r="BT193" s="2" t="str">
        <f>HYPERLINK("https%3A%2F%2Fwww.webofscience.com%2Fwos%2Fwoscc%2Ffull-record%2FWOS:000221702600002","View Full Record in Web of Science")</f>
        <v>View Full Record in Web of Science</v>
      </c>
    </row>
    <row r="194" spans="1:72" s="2" customFormat="1" x14ac:dyDescent="0.4">
      <c r="A194" s="2" t="s">
        <v>72</v>
      </c>
      <c r="B194" s="2" t="s">
        <v>5707</v>
      </c>
      <c r="C194" s="2" t="s">
        <v>74</v>
      </c>
      <c r="D194" s="2" t="s">
        <v>74</v>
      </c>
      <c r="E194" s="2" t="s">
        <v>74</v>
      </c>
      <c r="F194" s="2" t="s">
        <v>5708</v>
      </c>
      <c r="G194" s="2" t="s">
        <v>74</v>
      </c>
      <c r="H194" s="2" t="s">
        <v>74</v>
      </c>
      <c r="I194" s="2" t="s">
        <v>5709</v>
      </c>
      <c r="J194" s="2" t="s">
        <v>5710</v>
      </c>
      <c r="K194" s="2" t="s">
        <v>74</v>
      </c>
      <c r="L194" s="2" t="s">
        <v>74</v>
      </c>
      <c r="M194" s="2" t="s">
        <v>74</v>
      </c>
      <c r="N194" s="2" t="s">
        <v>74</v>
      </c>
      <c r="O194" s="2" t="s">
        <v>74</v>
      </c>
      <c r="P194" s="2" t="s">
        <v>74</v>
      </c>
      <c r="Q194" s="2" t="s">
        <v>74</v>
      </c>
      <c r="R194" s="2" t="s">
        <v>74</v>
      </c>
      <c r="S194" s="2" t="s">
        <v>74</v>
      </c>
      <c r="T194" s="2" t="s">
        <v>74</v>
      </c>
      <c r="U194" s="2" t="s">
        <v>74</v>
      </c>
      <c r="V194" s="5" t="s">
        <v>5711</v>
      </c>
      <c r="W194" s="2" t="s">
        <v>74</v>
      </c>
      <c r="X194" s="2" t="s">
        <v>74</v>
      </c>
      <c r="Y194" s="2" t="s">
        <v>74</v>
      </c>
      <c r="Z194" s="2" t="s">
        <v>74</v>
      </c>
      <c r="AA194" s="2" t="s">
        <v>5712</v>
      </c>
      <c r="AB194" s="2" t="s">
        <v>5713</v>
      </c>
      <c r="AC194" s="2" t="s">
        <v>74</v>
      </c>
      <c r="AD194" s="2" t="s">
        <v>74</v>
      </c>
      <c r="AE194" s="2" t="s">
        <v>74</v>
      </c>
      <c r="AF194" s="2" t="s">
        <v>74</v>
      </c>
      <c r="AG194" s="2" t="s">
        <v>74</v>
      </c>
      <c r="AH194" s="2" t="s">
        <v>74</v>
      </c>
      <c r="AI194" s="2" t="s">
        <v>74</v>
      </c>
      <c r="AJ194" s="2" t="s">
        <v>74</v>
      </c>
      <c r="AK194" s="2" t="s">
        <v>74</v>
      </c>
      <c r="AL194" s="2" t="s">
        <v>74</v>
      </c>
      <c r="AM194" s="2" t="s">
        <v>74</v>
      </c>
      <c r="AN194" s="2" t="s">
        <v>74</v>
      </c>
      <c r="AO194" s="2" t="s">
        <v>5714</v>
      </c>
      <c r="AP194" s="2" t="s">
        <v>5715</v>
      </c>
      <c r="AQ194" s="2" t="s">
        <v>74</v>
      </c>
      <c r="AR194" s="2" t="s">
        <v>74</v>
      </c>
      <c r="AS194" s="2" t="s">
        <v>74</v>
      </c>
      <c r="AT194" s="2" t="s">
        <v>74</v>
      </c>
      <c r="AU194" s="2">
        <v>2015</v>
      </c>
      <c r="AV194" s="2">
        <v>65</v>
      </c>
      <c r="AW194" s="2">
        <v>1</v>
      </c>
      <c r="AX194" s="2" t="s">
        <v>74</v>
      </c>
      <c r="AY194" s="2" t="s">
        <v>74</v>
      </c>
      <c r="AZ194" s="2" t="s">
        <v>74</v>
      </c>
      <c r="BA194" s="2" t="s">
        <v>74</v>
      </c>
      <c r="BB194" s="2">
        <v>21</v>
      </c>
      <c r="BC194" s="2">
        <v>39</v>
      </c>
      <c r="BD194" s="2" t="s">
        <v>74</v>
      </c>
      <c r="BE194" s="2" t="s">
        <v>5716</v>
      </c>
      <c r="BF194" s="2" t="str">
        <f>HYPERLINK("http://dx.doi.org/10.3161/00034541ANZ2015.65.1.003","http://dx.doi.org/10.3161/00034541ANZ2015.65.1.003")</f>
        <v>http://dx.doi.org/10.3161/00034541ANZ2015.65.1.003</v>
      </c>
      <c r="BG194" s="2" t="s">
        <v>74</v>
      </c>
      <c r="BH194" s="2" t="s">
        <v>74</v>
      </c>
      <c r="BI194" s="2" t="s">
        <v>74</v>
      </c>
      <c r="BJ194" s="2" t="s">
        <v>74</v>
      </c>
      <c r="BK194" s="2" t="s">
        <v>74</v>
      </c>
      <c r="BL194" s="2" t="s">
        <v>74</v>
      </c>
      <c r="BM194" s="2" t="s">
        <v>74</v>
      </c>
      <c r="BN194" s="2" t="s">
        <v>74</v>
      </c>
      <c r="BO194" s="2" t="s">
        <v>74</v>
      </c>
      <c r="BP194" s="2" t="s">
        <v>74</v>
      </c>
      <c r="BQ194" s="2" t="s">
        <v>74</v>
      </c>
      <c r="BR194" s="2" t="s">
        <v>74</v>
      </c>
      <c r="BS194" s="2" t="s">
        <v>5717</v>
      </c>
      <c r="BT194" s="2" t="str">
        <f>HYPERLINK("https%3A%2F%2Fwww.webofscience.com%2Fwos%2Fwoscc%2Ffull-record%2FWOS:000353527500003","View Full Record in Web of Science")</f>
        <v>View Full Record in Web of Science</v>
      </c>
    </row>
    <row r="195" spans="1:72" s="2" customFormat="1" x14ac:dyDescent="0.4">
      <c r="A195" s="2" t="s">
        <v>72</v>
      </c>
      <c r="B195" s="2" t="s">
        <v>7966</v>
      </c>
      <c r="C195" s="2" t="s">
        <v>74</v>
      </c>
      <c r="D195" s="2" t="s">
        <v>74</v>
      </c>
      <c r="E195" s="2" t="s">
        <v>74</v>
      </c>
      <c r="F195" s="2" t="s">
        <v>7967</v>
      </c>
      <c r="G195" s="2" t="s">
        <v>74</v>
      </c>
      <c r="H195" s="2" t="s">
        <v>74</v>
      </c>
      <c r="I195" s="2" t="s">
        <v>7968</v>
      </c>
      <c r="J195" s="2" t="s">
        <v>3353</v>
      </c>
      <c r="K195" s="2" t="s">
        <v>74</v>
      </c>
      <c r="L195" s="2" t="s">
        <v>74</v>
      </c>
      <c r="M195" s="2" t="s">
        <v>74</v>
      </c>
      <c r="N195" s="2" t="s">
        <v>74</v>
      </c>
      <c r="O195" s="2" t="s">
        <v>74</v>
      </c>
      <c r="P195" s="2" t="s">
        <v>74</v>
      </c>
      <c r="Q195" s="2" t="s">
        <v>74</v>
      </c>
      <c r="R195" s="2" t="s">
        <v>74</v>
      </c>
      <c r="S195" s="2" t="s">
        <v>74</v>
      </c>
      <c r="T195" s="2" t="s">
        <v>74</v>
      </c>
      <c r="U195" s="2" t="s">
        <v>74</v>
      </c>
      <c r="V195" s="5" t="s">
        <v>7969</v>
      </c>
      <c r="W195" s="2" t="s">
        <v>74</v>
      </c>
      <c r="X195" s="2" t="s">
        <v>74</v>
      </c>
      <c r="Y195" s="2" t="s">
        <v>74</v>
      </c>
      <c r="Z195" s="2" t="s">
        <v>74</v>
      </c>
      <c r="AA195" s="2" t="s">
        <v>7970</v>
      </c>
      <c r="AB195" s="2" t="s">
        <v>7971</v>
      </c>
      <c r="AC195" s="2" t="s">
        <v>74</v>
      </c>
      <c r="AD195" s="2" t="s">
        <v>74</v>
      </c>
      <c r="AE195" s="2" t="s">
        <v>74</v>
      </c>
      <c r="AF195" s="2" t="s">
        <v>74</v>
      </c>
      <c r="AG195" s="2" t="s">
        <v>74</v>
      </c>
      <c r="AH195" s="2" t="s">
        <v>74</v>
      </c>
      <c r="AI195" s="2" t="s">
        <v>74</v>
      </c>
      <c r="AJ195" s="2" t="s">
        <v>74</v>
      </c>
      <c r="AK195" s="2" t="s">
        <v>74</v>
      </c>
      <c r="AL195" s="2" t="s">
        <v>74</v>
      </c>
      <c r="AM195" s="2" t="s">
        <v>74</v>
      </c>
      <c r="AN195" s="2" t="s">
        <v>74</v>
      </c>
      <c r="AO195" s="2" t="s">
        <v>3357</v>
      </c>
      <c r="AP195" s="2" t="s">
        <v>3358</v>
      </c>
      <c r="AQ195" s="2" t="s">
        <v>74</v>
      </c>
      <c r="AR195" s="2" t="s">
        <v>74</v>
      </c>
      <c r="AS195" s="2" t="s">
        <v>74</v>
      </c>
      <c r="AT195" s="2" t="s">
        <v>633</v>
      </c>
      <c r="AU195" s="2">
        <v>2013</v>
      </c>
      <c r="AV195" s="2">
        <v>38</v>
      </c>
      <c r="AW195" s="2">
        <v>2</v>
      </c>
      <c r="AX195" s="2" t="s">
        <v>74</v>
      </c>
      <c r="AY195" s="2" t="s">
        <v>74</v>
      </c>
      <c r="AZ195" s="2" t="s">
        <v>74</v>
      </c>
      <c r="BA195" s="2" t="s">
        <v>74</v>
      </c>
      <c r="BB195" s="2">
        <v>169</v>
      </c>
      <c r="BC195" s="2">
        <v>176</v>
      </c>
      <c r="BD195" s="2" t="s">
        <v>74</v>
      </c>
      <c r="BE195" s="2" t="s">
        <v>7972</v>
      </c>
      <c r="BF195" s="2" t="str">
        <f>HYPERLINK("http://dx.doi.org/10.1111/j.1442-9993.2012.02389.x","http://dx.doi.org/10.1111/j.1442-9993.2012.02389.x")</f>
        <v>http://dx.doi.org/10.1111/j.1442-9993.2012.02389.x</v>
      </c>
      <c r="BG195" s="2" t="s">
        <v>74</v>
      </c>
      <c r="BH195" s="2" t="s">
        <v>74</v>
      </c>
      <c r="BI195" s="2" t="s">
        <v>74</v>
      </c>
      <c r="BJ195" s="2" t="s">
        <v>74</v>
      </c>
      <c r="BK195" s="2" t="s">
        <v>74</v>
      </c>
      <c r="BL195" s="2" t="s">
        <v>74</v>
      </c>
      <c r="BM195" s="2" t="s">
        <v>74</v>
      </c>
      <c r="BN195" s="2" t="s">
        <v>74</v>
      </c>
      <c r="BO195" s="2" t="s">
        <v>74</v>
      </c>
      <c r="BP195" s="2" t="s">
        <v>74</v>
      </c>
      <c r="BQ195" s="2" t="s">
        <v>74</v>
      </c>
      <c r="BR195" s="2" t="s">
        <v>74</v>
      </c>
      <c r="BS195" s="2" t="s">
        <v>7973</v>
      </c>
      <c r="BT195" s="2" t="str">
        <f>HYPERLINK("https%3A%2F%2Fwww.webofscience.com%2Fwos%2Fwoscc%2Ffull-record%2FWOS:000316623400006","View Full Record in Web of Science")</f>
        <v>View Full Record in Web of Science</v>
      </c>
    </row>
    <row r="196" spans="1:72" s="2" customFormat="1" x14ac:dyDescent="0.4">
      <c r="A196" s="2" t="s">
        <v>72</v>
      </c>
      <c r="B196" s="2" t="s">
        <v>682</v>
      </c>
      <c r="C196" s="2" t="s">
        <v>74</v>
      </c>
      <c r="D196" s="2" t="s">
        <v>74</v>
      </c>
      <c r="E196" s="2" t="s">
        <v>74</v>
      </c>
      <c r="F196" s="2" t="s">
        <v>683</v>
      </c>
      <c r="G196" s="2" t="s">
        <v>74</v>
      </c>
      <c r="H196" s="2" t="s">
        <v>74</v>
      </c>
      <c r="I196" s="2" t="s">
        <v>684</v>
      </c>
      <c r="J196" s="2" t="s">
        <v>140</v>
      </c>
      <c r="K196" s="2" t="s">
        <v>74</v>
      </c>
      <c r="L196" s="2" t="s">
        <v>74</v>
      </c>
      <c r="M196" s="2" t="s">
        <v>74</v>
      </c>
      <c r="N196" s="2" t="s">
        <v>74</v>
      </c>
      <c r="O196" s="2" t="s">
        <v>74</v>
      </c>
      <c r="P196" s="2" t="s">
        <v>74</v>
      </c>
      <c r="Q196" s="2" t="s">
        <v>74</v>
      </c>
      <c r="R196" s="2" t="s">
        <v>74</v>
      </c>
      <c r="S196" s="2" t="s">
        <v>74</v>
      </c>
      <c r="T196" s="2" t="s">
        <v>74</v>
      </c>
      <c r="U196" s="2" t="s">
        <v>74</v>
      </c>
      <c r="V196" s="5" t="s">
        <v>685</v>
      </c>
      <c r="W196" s="2" t="s">
        <v>74</v>
      </c>
      <c r="X196" s="2" t="s">
        <v>74</v>
      </c>
      <c r="Y196" s="2" t="s">
        <v>74</v>
      </c>
      <c r="Z196" s="2" t="s">
        <v>74</v>
      </c>
      <c r="AA196" s="2" t="s">
        <v>74</v>
      </c>
      <c r="AB196" s="2" t="s">
        <v>686</v>
      </c>
      <c r="AC196" s="2" t="s">
        <v>74</v>
      </c>
      <c r="AD196" s="2" t="s">
        <v>74</v>
      </c>
      <c r="AE196" s="2" t="s">
        <v>74</v>
      </c>
      <c r="AF196" s="2" t="s">
        <v>74</v>
      </c>
      <c r="AG196" s="2" t="s">
        <v>74</v>
      </c>
      <c r="AH196" s="2" t="s">
        <v>74</v>
      </c>
      <c r="AI196" s="2" t="s">
        <v>74</v>
      </c>
      <c r="AJ196" s="2" t="s">
        <v>74</v>
      </c>
      <c r="AK196" s="2" t="s">
        <v>74</v>
      </c>
      <c r="AL196" s="2" t="s">
        <v>74</v>
      </c>
      <c r="AM196" s="2" t="s">
        <v>74</v>
      </c>
      <c r="AN196" s="2" t="s">
        <v>74</v>
      </c>
      <c r="AO196" s="2" t="s">
        <v>143</v>
      </c>
      <c r="AP196" s="2" t="s">
        <v>144</v>
      </c>
      <c r="AQ196" s="2" t="s">
        <v>74</v>
      </c>
      <c r="AR196" s="2" t="s">
        <v>74</v>
      </c>
      <c r="AS196" s="2" t="s">
        <v>74</v>
      </c>
      <c r="AT196" s="2" t="s">
        <v>102</v>
      </c>
      <c r="AU196" s="2">
        <v>2016</v>
      </c>
      <c r="AV196" s="2">
        <v>116</v>
      </c>
      <c r="AW196" s="2" t="s">
        <v>74</v>
      </c>
      <c r="AX196" s="2" t="s">
        <v>74</v>
      </c>
      <c r="AY196" s="2" t="s">
        <v>74</v>
      </c>
      <c r="AZ196" s="2" t="s">
        <v>74</v>
      </c>
      <c r="BA196" s="2" t="s">
        <v>74</v>
      </c>
      <c r="BB196" s="2">
        <v>213</v>
      </c>
      <c r="BC196" s="2">
        <v>221</v>
      </c>
      <c r="BD196" s="2" t="s">
        <v>74</v>
      </c>
      <c r="BE196" s="2" t="s">
        <v>687</v>
      </c>
      <c r="BF196" s="2" t="str">
        <f>HYPERLINK("http://dx.doi.org/10.1016/j.anbehav.2016.03.035","http://dx.doi.org/10.1016/j.anbehav.2016.03.035")</f>
        <v>http://dx.doi.org/10.1016/j.anbehav.2016.03.035</v>
      </c>
      <c r="BG196" s="2" t="s">
        <v>74</v>
      </c>
      <c r="BH196" s="2" t="s">
        <v>74</v>
      </c>
      <c r="BI196" s="2" t="s">
        <v>74</v>
      </c>
      <c r="BJ196" s="2" t="s">
        <v>74</v>
      </c>
      <c r="BK196" s="2" t="s">
        <v>74</v>
      </c>
      <c r="BL196" s="2" t="s">
        <v>74</v>
      </c>
      <c r="BM196" s="2" t="s">
        <v>74</v>
      </c>
      <c r="BN196" s="2" t="s">
        <v>74</v>
      </c>
      <c r="BO196" s="2" t="s">
        <v>74</v>
      </c>
      <c r="BP196" s="2" t="s">
        <v>74</v>
      </c>
      <c r="BQ196" s="2" t="s">
        <v>74</v>
      </c>
      <c r="BR196" s="2" t="s">
        <v>74</v>
      </c>
      <c r="BS196" s="2" t="s">
        <v>688</v>
      </c>
      <c r="BT196" s="2" t="str">
        <f>HYPERLINK("https%3A%2F%2Fwww.webofscience.com%2Fwos%2Fwoscc%2Ffull-record%2FWOS:000377286700023","View Full Record in Web of Science")</f>
        <v>View Full Record in Web of Science</v>
      </c>
    </row>
    <row r="197" spans="1:72" s="1" customFormat="1" x14ac:dyDescent="0.4">
      <c r="A197" s="2" t="s">
        <v>72</v>
      </c>
      <c r="B197" s="2" t="s">
        <v>2820</v>
      </c>
      <c r="C197" s="2" t="s">
        <v>74</v>
      </c>
      <c r="D197" s="2" t="s">
        <v>74</v>
      </c>
      <c r="E197" s="2" t="s">
        <v>74</v>
      </c>
      <c r="F197" s="2" t="s">
        <v>2821</v>
      </c>
      <c r="G197" s="2" t="s">
        <v>74</v>
      </c>
      <c r="H197" s="2" t="s">
        <v>74</v>
      </c>
      <c r="I197" s="2" t="s">
        <v>2822</v>
      </c>
      <c r="J197" s="2" t="s">
        <v>1656</v>
      </c>
      <c r="K197" s="2" t="s">
        <v>74</v>
      </c>
      <c r="L197" s="2" t="s">
        <v>74</v>
      </c>
      <c r="M197" s="2" t="s">
        <v>74</v>
      </c>
      <c r="N197" s="2" t="s">
        <v>74</v>
      </c>
      <c r="O197" s="2" t="s">
        <v>74</v>
      </c>
      <c r="P197" s="2" t="s">
        <v>74</v>
      </c>
      <c r="Q197" s="2" t="s">
        <v>74</v>
      </c>
      <c r="R197" s="2" t="s">
        <v>74</v>
      </c>
      <c r="S197" s="2" t="s">
        <v>74</v>
      </c>
      <c r="T197" s="2" t="s">
        <v>74</v>
      </c>
      <c r="U197" s="2" t="s">
        <v>74</v>
      </c>
      <c r="V197" s="5" t="s">
        <v>2823</v>
      </c>
      <c r="W197" s="2" t="s">
        <v>74</v>
      </c>
      <c r="X197" s="2" t="s">
        <v>74</v>
      </c>
      <c r="Y197" s="2" t="s">
        <v>74</v>
      </c>
      <c r="Z197" s="2" t="s">
        <v>74</v>
      </c>
      <c r="AA197" s="2" t="s">
        <v>74</v>
      </c>
      <c r="AB197" s="2" t="s">
        <v>74</v>
      </c>
      <c r="AC197" s="2" t="s">
        <v>74</v>
      </c>
      <c r="AD197" s="2" t="s">
        <v>74</v>
      </c>
      <c r="AE197" s="2" t="s">
        <v>74</v>
      </c>
      <c r="AF197" s="2" t="s">
        <v>74</v>
      </c>
      <c r="AG197" s="2" t="s">
        <v>74</v>
      </c>
      <c r="AH197" s="2" t="s">
        <v>74</v>
      </c>
      <c r="AI197" s="2" t="s">
        <v>74</v>
      </c>
      <c r="AJ197" s="2" t="s">
        <v>74</v>
      </c>
      <c r="AK197" s="2" t="s">
        <v>74</v>
      </c>
      <c r="AL197" s="2" t="s">
        <v>74</v>
      </c>
      <c r="AM197" s="2" t="s">
        <v>74</v>
      </c>
      <c r="AN197" s="2" t="s">
        <v>74</v>
      </c>
      <c r="AO197" s="2" t="s">
        <v>1658</v>
      </c>
      <c r="AP197" s="2" t="s">
        <v>1659</v>
      </c>
      <c r="AQ197" s="2" t="s">
        <v>74</v>
      </c>
      <c r="AR197" s="2" t="s">
        <v>74</v>
      </c>
      <c r="AS197" s="2" t="s">
        <v>74</v>
      </c>
      <c r="AT197" s="2" t="s">
        <v>2824</v>
      </c>
      <c r="AU197" s="2">
        <v>2011</v>
      </c>
      <c r="AV197" s="2" t="s">
        <v>74</v>
      </c>
      <c r="AW197" s="2">
        <v>3110</v>
      </c>
      <c r="AX197" s="2" t="s">
        <v>74</v>
      </c>
      <c r="AY197" s="2" t="s">
        <v>74</v>
      </c>
      <c r="AZ197" s="2" t="s">
        <v>74</v>
      </c>
      <c r="BA197" s="2" t="s">
        <v>74</v>
      </c>
      <c r="BB197" s="2">
        <v>53</v>
      </c>
      <c r="BC197" s="2">
        <v>60</v>
      </c>
      <c r="BD197" s="2" t="s">
        <v>74</v>
      </c>
      <c r="BE197" s="2" t="s">
        <v>74</v>
      </c>
      <c r="BF197" s="2" t="s">
        <v>74</v>
      </c>
      <c r="BG197" s="2" t="s">
        <v>74</v>
      </c>
      <c r="BH197" s="2" t="s">
        <v>74</v>
      </c>
      <c r="BI197" s="2" t="s">
        <v>74</v>
      </c>
      <c r="BJ197" s="2" t="s">
        <v>74</v>
      </c>
      <c r="BK197" s="2" t="s">
        <v>74</v>
      </c>
      <c r="BL197" s="2" t="s">
        <v>74</v>
      </c>
      <c r="BM197" s="2" t="s">
        <v>74</v>
      </c>
      <c r="BN197" s="2" t="s">
        <v>74</v>
      </c>
      <c r="BO197" s="2" t="s">
        <v>74</v>
      </c>
      <c r="BP197" s="2" t="s">
        <v>74</v>
      </c>
      <c r="BQ197" s="2" t="s">
        <v>74</v>
      </c>
      <c r="BR197" s="2" t="s">
        <v>74</v>
      </c>
      <c r="BS197" s="2" t="s">
        <v>2825</v>
      </c>
      <c r="BT197" s="2" t="str">
        <f>HYPERLINK("https%3A%2F%2Fwww.webofscience.com%2Fwos%2Fwoscc%2Ffull-record%2FWOS:000297328000005","View Full Record in Web of Science")</f>
        <v>View Full Record in Web of Science</v>
      </c>
    </row>
    <row r="198" spans="1:72" s="2" customFormat="1" x14ac:dyDescent="0.4">
      <c r="A198" s="2" t="s">
        <v>72</v>
      </c>
      <c r="B198" s="2" t="s">
        <v>6352</v>
      </c>
      <c r="C198" s="2" t="s">
        <v>74</v>
      </c>
      <c r="D198" s="2" t="s">
        <v>74</v>
      </c>
      <c r="E198" s="2" t="s">
        <v>74</v>
      </c>
      <c r="F198" s="2" t="s">
        <v>6352</v>
      </c>
      <c r="G198" s="2" t="s">
        <v>74</v>
      </c>
      <c r="H198" s="2" t="s">
        <v>74</v>
      </c>
      <c r="I198" s="2" t="s">
        <v>6353</v>
      </c>
      <c r="J198" s="2" t="s">
        <v>3498</v>
      </c>
      <c r="K198" s="2" t="s">
        <v>74</v>
      </c>
      <c r="L198" s="2" t="s">
        <v>74</v>
      </c>
      <c r="M198" s="2" t="s">
        <v>74</v>
      </c>
      <c r="N198" s="2" t="s">
        <v>74</v>
      </c>
      <c r="O198" s="2" t="s">
        <v>74</v>
      </c>
      <c r="P198" s="2" t="s">
        <v>74</v>
      </c>
      <c r="Q198" s="2" t="s">
        <v>74</v>
      </c>
      <c r="R198" s="2" t="s">
        <v>74</v>
      </c>
      <c r="S198" s="2" t="s">
        <v>74</v>
      </c>
      <c r="T198" s="2" t="s">
        <v>74</v>
      </c>
      <c r="U198" s="2" t="s">
        <v>74</v>
      </c>
      <c r="V198" s="5" t="s">
        <v>6354</v>
      </c>
      <c r="W198" s="2" t="s">
        <v>74</v>
      </c>
      <c r="X198" s="2" t="s">
        <v>74</v>
      </c>
      <c r="Y198" s="2" t="s">
        <v>74</v>
      </c>
      <c r="Z198" s="2" t="s">
        <v>74</v>
      </c>
      <c r="AA198" s="2" t="s">
        <v>74</v>
      </c>
      <c r="AB198" s="2" t="s">
        <v>74</v>
      </c>
      <c r="AC198" s="2" t="s">
        <v>74</v>
      </c>
      <c r="AD198" s="2" t="s">
        <v>74</v>
      </c>
      <c r="AE198" s="2" t="s">
        <v>74</v>
      </c>
      <c r="AF198" s="2" t="s">
        <v>74</v>
      </c>
      <c r="AG198" s="2" t="s">
        <v>74</v>
      </c>
      <c r="AH198" s="2" t="s">
        <v>74</v>
      </c>
      <c r="AI198" s="2" t="s">
        <v>74</v>
      </c>
      <c r="AJ198" s="2" t="s">
        <v>74</v>
      </c>
      <c r="AK198" s="2" t="s">
        <v>74</v>
      </c>
      <c r="AL198" s="2" t="s">
        <v>74</v>
      </c>
      <c r="AM198" s="2" t="s">
        <v>74</v>
      </c>
      <c r="AN198" s="2" t="s">
        <v>74</v>
      </c>
      <c r="AO198" s="2" t="s">
        <v>3501</v>
      </c>
      <c r="AP198" s="2" t="s">
        <v>3502</v>
      </c>
      <c r="AQ198" s="2" t="s">
        <v>74</v>
      </c>
      <c r="AR198" s="2" t="s">
        <v>74</v>
      </c>
      <c r="AS198" s="2" t="s">
        <v>74</v>
      </c>
      <c r="AT198" s="2" t="s">
        <v>305</v>
      </c>
      <c r="AU198" s="2">
        <v>2005</v>
      </c>
      <c r="AV198" s="2">
        <v>34</v>
      </c>
      <c r="AW198" s="2">
        <v>6</v>
      </c>
      <c r="AX198" s="2" t="s">
        <v>74</v>
      </c>
      <c r="AY198" s="2" t="s">
        <v>74</v>
      </c>
      <c r="AZ198" s="2" t="s">
        <v>74</v>
      </c>
      <c r="BA198" s="2" t="s">
        <v>74</v>
      </c>
      <c r="BB198" s="2">
        <v>1524</v>
      </c>
      <c r="BC198" s="2">
        <v>1533</v>
      </c>
      <c r="BD198" s="2" t="s">
        <v>74</v>
      </c>
      <c r="BE198" s="2" t="s">
        <v>6355</v>
      </c>
      <c r="BF198" s="2" t="str">
        <f>HYPERLINK("http://dx.doi.org/10.1603/0046-225X-34.6.1524","http://dx.doi.org/10.1603/0046-225X-34.6.1524")</f>
        <v>http://dx.doi.org/10.1603/0046-225X-34.6.1524</v>
      </c>
      <c r="BG198" s="2" t="s">
        <v>74</v>
      </c>
      <c r="BH198" s="2" t="s">
        <v>74</v>
      </c>
      <c r="BI198" s="2" t="s">
        <v>74</v>
      </c>
      <c r="BJ198" s="2" t="s">
        <v>74</v>
      </c>
      <c r="BK198" s="2" t="s">
        <v>74</v>
      </c>
      <c r="BL198" s="2" t="s">
        <v>74</v>
      </c>
      <c r="BM198" s="2" t="s">
        <v>74</v>
      </c>
      <c r="BN198" s="2" t="s">
        <v>74</v>
      </c>
      <c r="BO198" s="2" t="s">
        <v>74</v>
      </c>
      <c r="BP198" s="2" t="s">
        <v>74</v>
      </c>
      <c r="BQ198" s="2" t="s">
        <v>74</v>
      </c>
      <c r="BR198" s="2" t="s">
        <v>74</v>
      </c>
      <c r="BS198" s="2" t="s">
        <v>6356</v>
      </c>
      <c r="BT198" s="2" t="str">
        <f>HYPERLINK("https%3A%2F%2Fwww.webofscience.com%2Fwos%2Fwoscc%2Ffull-record%2FWOS:000234031400020","View Full Record in Web of Science")</f>
        <v>View Full Record in Web of Science</v>
      </c>
    </row>
    <row r="199" spans="1:72" s="2" customFormat="1" x14ac:dyDescent="0.4">
      <c r="A199" s="2" t="s">
        <v>72</v>
      </c>
      <c r="B199" s="2" t="s">
        <v>7711</v>
      </c>
      <c r="C199" s="2" t="s">
        <v>74</v>
      </c>
      <c r="D199" s="2" t="s">
        <v>74</v>
      </c>
      <c r="E199" s="2" t="s">
        <v>74</v>
      </c>
      <c r="F199" s="2" t="s">
        <v>7712</v>
      </c>
      <c r="G199" s="2" t="s">
        <v>74</v>
      </c>
      <c r="H199" s="2" t="s">
        <v>74</v>
      </c>
      <c r="I199" s="2" t="s">
        <v>7713</v>
      </c>
      <c r="J199" s="2" t="s">
        <v>108</v>
      </c>
      <c r="K199" s="2" t="s">
        <v>74</v>
      </c>
      <c r="L199" s="2" t="s">
        <v>74</v>
      </c>
      <c r="M199" s="2" t="s">
        <v>74</v>
      </c>
      <c r="N199" s="2" t="s">
        <v>74</v>
      </c>
      <c r="O199" s="2" t="s">
        <v>74</v>
      </c>
      <c r="P199" s="2" t="s">
        <v>74</v>
      </c>
      <c r="Q199" s="2" t="s">
        <v>74</v>
      </c>
      <c r="R199" s="2" t="s">
        <v>74</v>
      </c>
      <c r="S199" s="2" t="s">
        <v>74</v>
      </c>
      <c r="T199" s="2" t="s">
        <v>74</v>
      </c>
      <c r="U199" s="2" t="s">
        <v>74</v>
      </c>
      <c r="V199" s="5" t="s">
        <v>7714</v>
      </c>
      <c r="W199" s="2" t="s">
        <v>74</v>
      </c>
      <c r="X199" s="2" t="s">
        <v>74</v>
      </c>
      <c r="Y199" s="2" t="s">
        <v>74</v>
      </c>
      <c r="Z199" s="2" t="s">
        <v>74</v>
      </c>
      <c r="AA199" s="2" t="s">
        <v>7715</v>
      </c>
      <c r="AB199" s="2" t="s">
        <v>7716</v>
      </c>
      <c r="AC199" s="2" t="s">
        <v>74</v>
      </c>
      <c r="AD199" s="2" t="s">
        <v>74</v>
      </c>
      <c r="AE199" s="2" t="s">
        <v>74</v>
      </c>
      <c r="AF199" s="2" t="s">
        <v>74</v>
      </c>
      <c r="AG199" s="2" t="s">
        <v>74</v>
      </c>
      <c r="AH199" s="2" t="s">
        <v>74</v>
      </c>
      <c r="AI199" s="2" t="s">
        <v>74</v>
      </c>
      <c r="AJ199" s="2" t="s">
        <v>74</v>
      </c>
      <c r="AK199" s="2" t="s">
        <v>74</v>
      </c>
      <c r="AL199" s="2" t="s">
        <v>74</v>
      </c>
      <c r="AM199" s="2" t="s">
        <v>74</v>
      </c>
      <c r="AN199" s="2" t="s">
        <v>74</v>
      </c>
      <c r="AO199" s="2" t="s">
        <v>111</v>
      </c>
      <c r="AP199" s="2" t="s">
        <v>112</v>
      </c>
      <c r="AQ199" s="2" t="s">
        <v>74</v>
      </c>
      <c r="AR199" s="2" t="s">
        <v>74</v>
      </c>
      <c r="AS199" s="2" t="s">
        <v>74</v>
      </c>
      <c r="AT199" s="2" t="s">
        <v>7717</v>
      </c>
      <c r="AU199" s="2">
        <v>2023</v>
      </c>
      <c r="AV199" s="2">
        <v>290</v>
      </c>
      <c r="AW199" s="2">
        <v>1991</v>
      </c>
      <c r="AX199" s="2" t="s">
        <v>74</v>
      </c>
      <c r="AY199" s="2" t="s">
        <v>74</v>
      </c>
      <c r="AZ199" s="2" t="s">
        <v>74</v>
      </c>
      <c r="BA199" s="2" t="s">
        <v>74</v>
      </c>
      <c r="BB199" s="2" t="s">
        <v>74</v>
      </c>
      <c r="BC199" s="2" t="s">
        <v>74</v>
      </c>
      <c r="BD199" s="2">
        <v>20221862</v>
      </c>
      <c r="BE199" s="2" t="s">
        <v>7718</v>
      </c>
      <c r="BF199" s="2" t="str">
        <f>HYPERLINK("http://dx.doi.org/10.1098/rspb.2022.1862","http://dx.doi.org/10.1098/rspb.2022.1862")</f>
        <v>http://dx.doi.org/10.1098/rspb.2022.1862</v>
      </c>
      <c r="BG199" s="2" t="s">
        <v>74</v>
      </c>
      <c r="BH199" s="2" t="s">
        <v>74</v>
      </c>
      <c r="BI199" s="2" t="s">
        <v>74</v>
      </c>
      <c r="BJ199" s="2" t="s">
        <v>74</v>
      </c>
      <c r="BK199" s="2" t="s">
        <v>74</v>
      </c>
      <c r="BL199" s="2" t="s">
        <v>74</v>
      </c>
      <c r="BM199" s="2" t="s">
        <v>74</v>
      </c>
      <c r="BN199" s="2">
        <v>36651041</v>
      </c>
      <c r="BO199" s="2" t="s">
        <v>74</v>
      </c>
      <c r="BP199" s="2" t="s">
        <v>74</v>
      </c>
      <c r="BQ199" s="2" t="s">
        <v>74</v>
      </c>
      <c r="BR199" s="2" t="s">
        <v>74</v>
      </c>
      <c r="BS199" s="2" t="s">
        <v>7719</v>
      </c>
      <c r="BT199" s="2" t="str">
        <f>HYPERLINK("https%3A%2F%2Fwww.webofscience.com%2Fwos%2Fwoscc%2Ffull-record%2FWOS:000914748200003","View Full Record in Web of Science")</f>
        <v>View Full Record in Web of Science</v>
      </c>
    </row>
    <row r="200" spans="1:72" s="2" customFormat="1" x14ac:dyDescent="0.4">
      <c r="A200" s="2" t="s">
        <v>72</v>
      </c>
      <c r="B200" s="2" t="s">
        <v>4992</v>
      </c>
      <c r="C200" s="2" t="s">
        <v>74</v>
      </c>
      <c r="D200" s="2" t="s">
        <v>74</v>
      </c>
      <c r="E200" s="2" t="s">
        <v>74</v>
      </c>
      <c r="F200" s="2" t="s">
        <v>4993</v>
      </c>
      <c r="G200" s="2" t="s">
        <v>74</v>
      </c>
      <c r="H200" s="2" t="s">
        <v>74</v>
      </c>
      <c r="I200" s="2" t="s">
        <v>4994</v>
      </c>
      <c r="J200" s="2" t="s">
        <v>108</v>
      </c>
      <c r="K200" s="2" t="s">
        <v>74</v>
      </c>
      <c r="L200" s="2" t="s">
        <v>74</v>
      </c>
      <c r="M200" s="2" t="s">
        <v>74</v>
      </c>
      <c r="N200" s="2" t="s">
        <v>74</v>
      </c>
      <c r="O200" s="2" t="s">
        <v>74</v>
      </c>
      <c r="P200" s="2" t="s">
        <v>74</v>
      </c>
      <c r="Q200" s="2" t="s">
        <v>74</v>
      </c>
      <c r="R200" s="2" t="s">
        <v>74</v>
      </c>
      <c r="S200" s="2" t="s">
        <v>74</v>
      </c>
      <c r="T200" s="2" t="s">
        <v>74</v>
      </c>
      <c r="U200" s="2" t="s">
        <v>74</v>
      </c>
      <c r="V200" s="5" t="s">
        <v>4995</v>
      </c>
      <c r="W200" s="2" t="s">
        <v>74</v>
      </c>
      <c r="X200" s="2" t="s">
        <v>74</v>
      </c>
      <c r="Y200" s="2" t="s">
        <v>74</v>
      </c>
      <c r="Z200" s="2" t="s">
        <v>74</v>
      </c>
      <c r="AA200" s="2" t="s">
        <v>4996</v>
      </c>
      <c r="AB200" s="2" t="s">
        <v>4997</v>
      </c>
      <c r="AC200" s="2" t="s">
        <v>74</v>
      </c>
      <c r="AD200" s="2" t="s">
        <v>74</v>
      </c>
      <c r="AE200" s="2" t="s">
        <v>74</v>
      </c>
      <c r="AF200" s="2" t="s">
        <v>74</v>
      </c>
      <c r="AG200" s="2" t="s">
        <v>74</v>
      </c>
      <c r="AH200" s="2" t="s">
        <v>74</v>
      </c>
      <c r="AI200" s="2" t="s">
        <v>74</v>
      </c>
      <c r="AJ200" s="2" t="s">
        <v>74</v>
      </c>
      <c r="AK200" s="2" t="s">
        <v>74</v>
      </c>
      <c r="AL200" s="2" t="s">
        <v>74</v>
      </c>
      <c r="AM200" s="2" t="s">
        <v>74</v>
      </c>
      <c r="AN200" s="2" t="s">
        <v>74</v>
      </c>
      <c r="AO200" s="2" t="s">
        <v>111</v>
      </c>
      <c r="AP200" s="2" t="s">
        <v>112</v>
      </c>
      <c r="AQ200" s="2" t="s">
        <v>74</v>
      </c>
      <c r="AR200" s="2" t="s">
        <v>74</v>
      </c>
      <c r="AS200" s="2" t="s">
        <v>74</v>
      </c>
      <c r="AT200" s="2" t="s">
        <v>4998</v>
      </c>
      <c r="AU200" s="2">
        <v>2015</v>
      </c>
      <c r="AV200" s="2">
        <v>282</v>
      </c>
      <c r="AW200" s="2">
        <v>1798</v>
      </c>
      <c r="AX200" s="2" t="s">
        <v>74</v>
      </c>
      <c r="AY200" s="2" t="s">
        <v>74</v>
      </c>
      <c r="AZ200" s="2" t="s">
        <v>74</v>
      </c>
      <c r="BA200" s="2" t="s">
        <v>74</v>
      </c>
      <c r="BB200" s="2" t="s">
        <v>74</v>
      </c>
      <c r="BC200" s="2" t="s">
        <v>74</v>
      </c>
      <c r="BD200" s="2">
        <v>20142321</v>
      </c>
      <c r="BE200" s="2" t="s">
        <v>4999</v>
      </c>
      <c r="BF200" s="2" t="str">
        <f>HYPERLINK("http://dx.doi.org/10.1098/rspb.2014.2321","http://dx.doi.org/10.1098/rspb.2014.2321")</f>
        <v>http://dx.doi.org/10.1098/rspb.2014.2321</v>
      </c>
      <c r="BG200" s="2" t="s">
        <v>74</v>
      </c>
      <c r="BH200" s="2" t="s">
        <v>74</v>
      </c>
      <c r="BI200" s="2" t="s">
        <v>74</v>
      </c>
      <c r="BJ200" s="2" t="s">
        <v>74</v>
      </c>
      <c r="BK200" s="2" t="s">
        <v>74</v>
      </c>
      <c r="BL200" s="2" t="s">
        <v>74</v>
      </c>
      <c r="BM200" s="2" t="s">
        <v>74</v>
      </c>
      <c r="BN200" s="2">
        <v>25429020</v>
      </c>
      <c r="BO200" s="2" t="s">
        <v>74</v>
      </c>
      <c r="BP200" s="2" t="s">
        <v>74</v>
      </c>
      <c r="BQ200" s="2" t="s">
        <v>74</v>
      </c>
      <c r="BR200" s="2" t="s">
        <v>74</v>
      </c>
      <c r="BS200" s="2" t="s">
        <v>5000</v>
      </c>
      <c r="BT200" s="2" t="str">
        <f>HYPERLINK("https%3A%2F%2Fwww.webofscience.com%2Fwos%2Fwoscc%2Ffull-record%2FWOS:000347160800015","View Full Record in Web of Science")</f>
        <v>View Full Record in Web of Science</v>
      </c>
    </row>
    <row r="201" spans="1:72" s="2" customFormat="1" x14ac:dyDescent="0.4">
      <c r="A201" s="2" t="s">
        <v>72</v>
      </c>
      <c r="B201" s="2" t="s">
        <v>3652</v>
      </c>
      <c r="C201" s="2" t="s">
        <v>74</v>
      </c>
      <c r="D201" s="2" t="s">
        <v>74</v>
      </c>
      <c r="E201" s="2" t="s">
        <v>74</v>
      </c>
      <c r="F201" s="2" t="s">
        <v>3653</v>
      </c>
      <c r="G201" s="2" t="s">
        <v>74</v>
      </c>
      <c r="H201" s="2" t="s">
        <v>74</v>
      </c>
      <c r="I201" s="2" t="s">
        <v>3654</v>
      </c>
      <c r="J201" s="2" t="s">
        <v>229</v>
      </c>
      <c r="K201" s="2" t="s">
        <v>74</v>
      </c>
      <c r="L201" s="2" t="s">
        <v>74</v>
      </c>
      <c r="M201" s="2" t="s">
        <v>74</v>
      </c>
      <c r="N201" s="2" t="s">
        <v>74</v>
      </c>
      <c r="O201" s="2" t="s">
        <v>74</v>
      </c>
      <c r="P201" s="2" t="s">
        <v>74</v>
      </c>
      <c r="Q201" s="2" t="s">
        <v>74</v>
      </c>
      <c r="R201" s="2" t="s">
        <v>74</v>
      </c>
      <c r="S201" s="2" t="s">
        <v>74</v>
      </c>
      <c r="T201" s="2" t="s">
        <v>74</v>
      </c>
      <c r="U201" s="2" t="s">
        <v>74</v>
      </c>
      <c r="V201" s="5" t="s">
        <v>3655</v>
      </c>
      <c r="W201" s="2" t="s">
        <v>74</v>
      </c>
      <c r="X201" s="2" t="s">
        <v>74</v>
      </c>
      <c r="Y201" s="2" t="s">
        <v>74</v>
      </c>
      <c r="Z201" s="2" t="s">
        <v>74</v>
      </c>
      <c r="AA201" s="2" t="s">
        <v>3656</v>
      </c>
      <c r="AB201" s="2" t="s">
        <v>3657</v>
      </c>
      <c r="AC201" s="2" t="s">
        <v>74</v>
      </c>
      <c r="AD201" s="2" t="s">
        <v>74</v>
      </c>
      <c r="AE201" s="2" t="s">
        <v>74</v>
      </c>
      <c r="AF201" s="2" t="s">
        <v>74</v>
      </c>
      <c r="AG201" s="2" t="s">
        <v>74</v>
      </c>
      <c r="AH201" s="2" t="s">
        <v>74</v>
      </c>
      <c r="AI201" s="2" t="s">
        <v>74</v>
      </c>
      <c r="AJ201" s="2" t="s">
        <v>74</v>
      </c>
      <c r="AK201" s="2" t="s">
        <v>74</v>
      </c>
      <c r="AL201" s="2" t="s">
        <v>74</v>
      </c>
      <c r="AM201" s="2" t="s">
        <v>74</v>
      </c>
      <c r="AN201" s="2" t="s">
        <v>74</v>
      </c>
      <c r="AO201" s="2" t="s">
        <v>233</v>
      </c>
      <c r="AP201" s="2" t="s">
        <v>234</v>
      </c>
      <c r="AQ201" s="2" t="s">
        <v>74</v>
      </c>
      <c r="AR201" s="2" t="s">
        <v>74</v>
      </c>
      <c r="AS201" s="2" t="s">
        <v>74</v>
      </c>
      <c r="AT201" s="2" t="s">
        <v>1475</v>
      </c>
      <c r="AU201" s="2">
        <v>2010</v>
      </c>
      <c r="AV201" s="2">
        <v>36</v>
      </c>
      <c r="AW201" s="2">
        <v>1</v>
      </c>
      <c r="AX201" s="2" t="s">
        <v>74</v>
      </c>
      <c r="AY201" s="2" t="s">
        <v>74</v>
      </c>
      <c r="AZ201" s="2" t="s">
        <v>74</v>
      </c>
      <c r="BA201" s="2" t="s">
        <v>74</v>
      </c>
      <c r="BB201" s="2">
        <v>1</v>
      </c>
      <c r="BC201" s="2">
        <v>13</v>
      </c>
      <c r="BD201" s="2" t="s">
        <v>74</v>
      </c>
      <c r="BE201" s="2" t="s">
        <v>3658</v>
      </c>
      <c r="BF201" s="2" t="str">
        <f>HYPERLINK("http://dx.doi.org/10.1002/ab.20329","http://dx.doi.org/10.1002/ab.20329")</f>
        <v>http://dx.doi.org/10.1002/ab.20329</v>
      </c>
      <c r="BG201" s="2" t="s">
        <v>74</v>
      </c>
      <c r="BH201" s="2" t="s">
        <v>74</v>
      </c>
      <c r="BI201" s="2" t="s">
        <v>74</v>
      </c>
      <c r="BJ201" s="2" t="s">
        <v>74</v>
      </c>
      <c r="BK201" s="2" t="s">
        <v>74</v>
      </c>
      <c r="BL201" s="2" t="s">
        <v>74</v>
      </c>
      <c r="BM201" s="2" t="s">
        <v>74</v>
      </c>
      <c r="BN201" s="2">
        <v>19859912</v>
      </c>
      <c r="BO201" s="2" t="s">
        <v>74</v>
      </c>
      <c r="BP201" s="2" t="s">
        <v>74</v>
      </c>
      <c r="BQ201" s="2" t="s">
        <v>74</v>
      </c>
      <c r="BR201" s="2" t="s">
        <v>74</v>
      </c>
      <c r="BS201" s="2" t="s">
        <v>3659</v>
      </c>
      <c r="BT201" s="2" t="str">
        <f>HYPERLINK("https%3A%2F%2Fwww.webofscience.com%2Fwos%2Fwoscc%2Ffull-record%2FWOS:000272728400001","View Full Record in Web of Science")</f>
        <v>View Full Record in Web of Science</v>
      </c>
    </row>
    <row r="202" spans="1:72" s="2" customFormat="1" x14ac:dyDescent="0.4">
      <c r="A202" s="2" t="s">
        <v>72</v>
      </c>
      <c r="B202" s="2" t="s">
        <v>8340</v>
      </c>
      <c r="C202" s="2" t="s">
        <v>74</v>
      </c>
      <c r="D202" s="2" t="s">
        <v>74</v>
      </c>
      <c r="E202" s="2" t="s">
        <v>74</v>
      </c>
      <c r="F202" s="2" t="s">
        <v>8341</v>
      </c>
      <c r="G202" s="2" t="s">
        <v>74</v>
      </c>
      <c r="H202" s="2" t="s">
        <v>74</v>
      </c>
      <c r="I202" s="2" t="s">
        <v>8342</v>
      </c>
      <c r="J202" s="2" t="s">
        <v>119</v>
      </c>
      <c r="K202" s="2" t="s">
        <v>74</v>
      </c>
      <c r="L202" s="2" t="s">
        <v>74</v>
      </c>
      <c r="M202" s="2" t="s">
        <v>74</v>
      </c>
      <c r="N202" s="2" t="s">
        <v>74</v>
      </c>
      <c r="O202" s="2" t="s">
        <v>74</v>
      </c>
      <c r="P202" s="2" t="s">
        <v>74</v>
      </c>
      <c r="Q202" s="2" t="s">
        <v>74</v>
      </c>
      <c r="R202" s="2" t="s">
        <v>74</v>
      </c>
      <c r="S202" s="2" t="s">
        <v>74</v>
      </c>
      <c r="T202" s="2" t="s">
        <v>74</v>
      </c>
      <c r="U202" s="2" t="s">
        <v>74</v>
      </c>
      <c r="V202" s="5" t="s">
        <v>8343</v>
      </c>
      <c r="W202" s="2" t="s">
        <v>74</v>
      </c>
      <c r="X202" s="2" t="s">
        <v>74</v>
      </c>
      <c r="Y202" s="2" t="s">
        <v>74</v>
      </c>
      <c r="Z202" s="2" t="s">
        <v>74</v>
      </c>
      <c r="AA202" s="2" t="s">
        <v>74</v>
      </c>
      <c r="AB202" s="2" t="s">
        <v>74</v>
      </c>
      <c r="AC202" s="2" t="s">
        <v>74</v>
      </c>
      <c r="AD202" s="2" t="s">
        <v>74</v>
      </c>
      <c r="AE202" s="2" t="s">
        <v>74</v>
      </c>
      <c r="AF202" s="2" t="s">
        <v>74</v>
      </c>
      <c r="AG202" s="2" t="s">
        <v>74</v>
      </c>
      <c r="AH202" s="2" t="s">
        <v>74</v>
      </c>
      <c r="AI202" s="2" t="s">
        <v>74</v>
      </c>
      <c r="AJ202" s="2" t="s">
        <v>74</v>
      </c>
      <c r="AK202" s="2" t="s">
        <v>74</v>
      </c>
      <c r="AL202" s="2" t="s">
        <v>74</v>
      </c>
      <c r="AM202" s="2" t="s">
        <v>74</v>
      </c>
      <c r="AN202" s="2" t="s">
        <v>74</v>
      </c>
      <c r="AO202" s="2" t="s">
        <v>121</v>
      </c>
      <c r="AP202" s="2" t="s">
        <v>122</v>
      </c>
      <c r="AQ202" s="2" t="s">
        <v>74</v>
      </c>
      <c r="AR202" s="2" t="s">
        <v>74</v>
      </c>
      <c r="AS202" s="2" t="s">
        <v>74</v>
      </c>
      <c r="AT202" s="2" t="s">
        <v>255</v>
      </c>
      <c r="AU202" s="2">
        <v>2011</v>
      </c>
      <c r="AV202" s="2">
        <v>86</v>
      </c>
      <c r="AW202" s="2">
        <v>1</v>
      </c>
      <c r="AX202" s="2" t="s">
        <v>74</v>
      </c>
      <c r="AY202" s="2" t="s">
        <v>74</v>
      </c>
      <c r="AZ202" s="2" t="s">
        <v>74</v>
      </c>
      <c r="BA202" s="2" t="s">
        <v>74</v>
      </c>
      <c r="BB202" s="2">
        <v>109</v>
      </c>
      <c r="BC202" s="2">
        <v>118</v>
      </c>
      <c r="BD202" s="2" t="s">
        <v>74</v>
      </c>
      <c r="BE202" s="2" t="s">
        <v>8344</v>
      </c>
      <c r="BF202" s="2" t="str">
        <f>HYPERLINK("http://dx.doi.org/10.1016/j.beproc.2010.10.002","http://dx.doi.org/10.1016/j.beproc.2010.10.002")</f>
        <v>http://dx.doi.org/10.1016/j.beproc.2010.10.002</v>
      </c>
      <c r="BG202" s="2" t="s">
        <v>74</v>
      </c>
      <c r="BH202" s="2" t="s">
        <v>74</v>
      </c>
      <c r="BI202" s="2" t="s">
        <v>74</v>
      </c>
      <c r="BJ202" s="2" t="s">
        <v>74</v>
      </c>
      <c r="BK202" s="2" t="s">
        <v>74</v>
      </c>
      <c r="BL202" s="2" t="s">
        <v>74</v>
      </c>
      <c r="BM202" s="2" t="s">
        <v>74</v>
      </c>
      <c r="BN202" s="2">
        <v>20971169</v>
      </c>
      <c r="BO202" s="2" t="s">
        <v>74</v>
      </c>
      <c r="BP202" s="2" t="s">
        <v>74</v>
      </c>
      <c r="BQ202" s="2" t="s">
        <v>74</v>
      </c>
      <c r="BR202" s="2" t="s">
        <v>74</v>
      </c>
      <c r="BS202" s="2" t="s">
        <v>8345</v>
      </c>
      <c r="BT202" s="2" t="str">
        <f>HYPERLINK("https%3A%2F%2Fwww.webofscience.com%2Fwos%2Fwoscc%2Ffull-record%2FWOS:000286861200015","View Full Record in Web of Science")</f>
        <v>View Full Record in Web of Science</v>
      </c>
    </row>
    <row r="203" spans="1:72" s="2" customFormat="1" x14ac:dyDescent="0.4">
      <c r="A203" s="2" t="s">
        <v>72</v>
      </c>
      <c r="B203" s="2" t="s">
        <v>3208</v>
      </c>
      <c r="C203" s="2" t="s">
        <v>74</v>
      </c>
      <c r="D203" s="2" t="s">
        <v>74</v>
      </c>
      <c r="E203" s="2" t="s">
        <v>74</v>
      </c>
      <c r="F203" s="2" t="s">
        <v>3209</v>
      </c>
      <c r="G203" s="2" t="s">
        <v>74</v>
      </c>
      <c r="H203" s="2" t="s">
        <v>74</v>
      </c>
      <c r="I203" s="2" t="s">
        <v>3210</v>
      </c>
      <c r="J203" s="2" t="s">
        <v>3211</v>
      </c>
      <c r="K203" s="2" t="s">
        <v>74</v>
      </c>
      <c r="L203" s="2" t="s">
        <v>74</v>
      </c>
      <c r="M203" s="2" t="s">
        <v>74</v>
      </c>
      <c r="N203" s="2" t="s">
        <v>74</v>
      </c>
      <c r="O203" s="2" t="s">
        <v>74</v>
      </c>
      <c r="P203" s="2" t="s">
        <v>74</v>
      </c>
      <c r="Q203" s="2" t="s">
        <v>74</v>
      </c>
      <c r="R203" s="2" t="s">
        <v>74</v>
      </c>
      <c r="S203" s="2" t="s">
        <v>74</v>
      </c>
      <c r="T203" s="2" t="s">
        <v>74</v>
      </c>
      <c r="U203" s="2" t="s">
        <v>74</v>
      </c>
      <c r="V203" s="5" t="s">
        <v>3212</v>
      </c>
      <c r="W203" s="2" t="s">
        <v>74</v>
      </c>
      <c r="X203" s="2" t="s">
        <v>74</v>
      </c>
      <c r="Y203" s="2" t="s">
        <v>74</v>
      </c>
      <c r="Z203" s="2" t="s">
        <v>74</v>
      </c>
      <c r="AA203" s="2" t="s">
        <v>74</v>
      </c>
      <c r="AB203" s="2" t="s">
        <v>74</v>
      </c>
      <c r="AC203" s="2" t="s">
        <v>74</v>
      </c>
      <c r="AD203" s="2" t="s">
        <v>74</v>
      </c>
      <c r="AE203" s="2" t="s">
        <v>74</v>
      </c>
      <c r="AF203" s="2" t="s">
        <v>74</v>
      </c>
      <c r="AG203" s="2" t="s">
        <v>74</v>
      </c>
      <c r="AH203" s="2" t="s">
        <v>74</v>
      </c>
      <c r="AI203" s="2" t="s">
        <v>74</v>
      </c>
      <c r="AJ203" s="2" t="s">
        <v>74</v>
      </c>
      <c r="AK203" s="2" t="s">
        <v>74</v>
      </c>
      <c r="AL203" s="2" t="s">
        <v>74</v>
      </c>
      <c r="AM203" s="2" t="s">
        <v>74</v>
      </c>
      <c r="AN203" s="2" t="s">
        <v>74</v>
      </c>
      <c r="AO203" s="2" t="s">
        <v>3213</v>
      </c>
      <c r="AP203" s="2" t="s">
        <v>3214</v>
      </c>
      <c r="AQ203" s="2" t="s">
        <v>74</v>
      </c>
      <c r="AR203" s="2" t="s">
        <v>74</v>
      </c>
      <c r="AS203" s="2" t="s">
        <v>74</v>
      </c>
      <c r="AT203" s="2" t="s">
        <v>175</v>
      </c>
      <c r="AU203" s="2">
        <v>2017</v>
      </c>
      <c r="AV203" s="2">
        <v>178</v>
      </c>
      <c r="AW203" s="2">
        <v>2</v>
      </c>
      <c r="AX203" s="2" t="s">
        <v>74</v>
      </c>
      <c r="AY203" s="2" t="s">
        <v>74</v>
      </c>
      <c r="AZ203" s="2" t="s">
        <v>74</v>
      </c>
      <c r="BA203" s="2" t="s">
        <v>74</v>
      </c>
      <c r="BB203" s="2">
        <v>226</v>
      </c>
      <c r="BC203" s="2">
        <v>236</v>
      </c>
      <c r="BD203" s="2" t="s">
        <v>74</v>
      </c>
      <c r="BE203" s="2" t="s">
        <v>3215</v>
      </c>
      <c r="BF203" s="2" t="str">
        <f>HYPERLINK("http://dx.doi.org/10.1674/0003-0031-178.2.226","http://dx.doi.org/10.1674/0003-0031-178.2.226")</f>
        <v>http://dx.doi.org/10.1674/0003-0031-178.2.226</v>
      </c>
      <c r="BG203" s="2" t="s">
        <v>74</v>
      </c>
      <c r="BH203" s="2" t="s">
        <v>74</v>
      </c>
      <c r="BI203" s="2" t="s">
        <v>74</v>
      </c>
      <c r="BJ203" s="2" t="s">
        <v>74</v>
      </c>
      <c r="BK203" s="2" t="s">
        <v>74</v>
      </c>
      <c r="BL203" s="2" t="s">
        <v>74</v>
      </c>
      <c r="BM203" s="2" t="s">
        <v>74</v>
      </c>
      <c r="BN203" s="2" t="s">
        <v>74</v>
      </c>
      <c r="BO203" s="2" t="s">
        <v>74</v>
      </c>
      <c r="BP203" s="2" t="s">
        <v>74</v>
      </c>
      <c r="BQ203" s="2" t="s">
        <v>74</v>
      </c>
      <c r="BR203" s="2" t="s">
        <v>74</v>
      </c>
      <c r="BS203" s="2" t="s">
        <v>3216</v>
      </c>
      <c r="BT203" s="2" t="str">
        <f>HYPERLINK("https%3A%2F%2Fwww.webofscience.com%2Fwos%2Fwoscc%2Ffull-record%2FWOS:000416392800005","View Full Record in Web of Science")</f>
        <v>View Full Record in Web of Science</v>
      </c>
    </row>
    <row r="204" spans="1:72" s="2" customFormat="1" x14ac:dyDescent="0.4">
      <c r="A204" s="2" t="s">
        <v>72</v>
      </c>
      <c r="B204" s="2" t="s">
        <v>1140</v>
      </c>
      <c r="C204" s="2" t="s">
        <v>74</v>
      </c>
      <c r="D204" s="2" t="s">
        <v>74</v>
      </c>
      <c r="E204" s="2" t="s">
        <v>74</v>
      </c>
      <c r="F204" s="2" t="s">
        <v>1141</v>
      </c>
      <c r="G204" s="2" t="s">
        <v>74</v>
      </c>
      <c r="H204" s="2" t="s">
        <v>74</v>
      </c>
      <c r="I204" s="2" t="s">
        <v>1142</v>
      </c>
      <c r="J204" s="2" t="s">
        <v>88</v>
      </c>
      <c r="K204" s="2" t="s">
        <v>74</v>
      </c>
      <c r="L204" s="2" t="s">
        <v>74</v>
      </c>
      <c r="M204" s="2" t="s">
        <v>74</v>
      </c>
      <c r="N204" s="2" t="s">
        <v>74</v>
      </c>
      <c r="O204" s="2" t="s">
        <v>74</v>
      </c>
      <c r="P204" s="2" t="s">
        <v>74</v>
      </c>
      <c r="Q204" s="2" t="s">
        <v>74</v>
      </c>
      <c r="R204" s="2" t="s">
        <v>74</v>
      </c>
      <c r="S204" s="2" t="s">
        <v>74</v>
      </c>
      <c r="T204" s="2" t="s">
        <v>74</v>
      </c>
      <c r="U204" s="2" t="s">
        <v>74</v>
      </c>
      <c r="V204" s="5" t="s">
        <v>1143</v>
      </c>
      <c r="W204" s="2" t="s">
        <v>74</v>
      </c>
      <c r="X204" s="2" t="s">
        <v>74</v>
      </c>
      <c r="Y204" s="2" t="s">
        <v>74</v>
      </c>
      <c r="Z204" s="2" t="s">
        <v>74</v>
      </c>
      <c r="AA204" s="2" t="s">
        <v>1144</v>
      </c>
      <c r="AB204" s="2" t="s">
        <v>1145</v>
      </c>
      <c r="AC204" s="2" t="s">
        <v>74</v>
      </c>
      <c r="AD204" s="2" t="s">
        <v>74</v>
      </c>
      <c r="AE204" s="2" t="s">
        <v>74</v>
      </c>
      <c r="AF204" s="2" t="s">
        <v>74</v>
      </c>
      <c r="AG204" s="2" t="s">
        <v>74</v>
      </c>
      <c r="AH204" s="2" t="s">
        <v>74</v>
      </c>
      <c r="AI204" s="2" t="s">
        <v>74</v>
      </c>
      <c r="AJ204" s="2" t="s">
        <v>74</v>
      </c>
      <c r="AK204" s="2" t="s">
        <v>74</v>
      </c>
      <c r="AL204" s="2" t="s">
        <v>74</v>
      </c>
      <c r="AM204" s="2" t="s">
        <v>74</v>
      </c>
      <c r="AN204" s="2" t="s">
        <v>74</v>
      </c>
      <c r="AO204" s="2" t="s">
        <v>91</v>
      </c>
      <c r="AP204" s="2" t="s">
        <v>92</v>
      </c>
      <c r="AQ204" s="2" t="s">
        <v>74</v>
      </c>
      <c r="AR204" s="2" t="s">
        <v>74</v>
      </c>
      <c r="AS204" s="2" t="s">
        <v>74</v>
      </c>
      <c r="AT204" s="2" t="s">
        <v>1146</v>
      </c>
      <c r="AU204" s="2">
        <v>2016</v>
      </c>
      <c r="AV204" s="2">
        <v>12</v>
      </c>
      <c r="AW204" s="2">
        <v>8</v>
      </c>
      <c r="AX204" s="2" t="s">
        <v>74</v>
      </c>
      <c r="AY204" s="2" t="s">
        <v>74</v>
      </c>
      <c r="AZ204" s="2" t="s">
        <v>74</v>
      </c>
      <c r="BA204" s="2" t="s">
        <v>74</v>
      </c>
      <c r="BB204" s="2" t="s">
        <v>74</v>
      </c>
      <c r="BC204" s="2" t="s">
        <v>74</v>
      </c>
      <c r="BD204" s="2">
        <v>20160467</v>
      </c>
      <c r="BE204" s="2" t="s">
        <v>1147</v>
      </c>
      <c r="BF204" s="2" t="str">
        <f>HYPERLINK("http://dx.doi.org/10.1098/rsbl.2016.0467","http://dx.doi.org/10.1098/rsbl.2016.0467")</f>
        <v>http://dx.doi.org/10.1098/rsbl.2016.0467</v>
      </c>
      <c r="BG204" s="2" t="s">
        <v>74</v>
      </c>
      <c r="BH204" s="2" t="s">
        <v>74</v>
      </c>
      <c r="BI204" s="2" t="s">
        <v>74</v>
      </c>
      <c r="BJ204" s="2" t="s">
        <v>74</v>
      </c>
      <c r="BK204" s="2" t="s">
        <v>74</v>
      </c>
      <c r="BL204" s="2" t="s">
        <v>74</v>
      </c>
      <c r="BM204" s="2" t="s">
        <v>74</v>
      </c>
      <c r="BN204" s="2">
        <v>27512135</v>
      </c>
      <c r="BO204" s="2" t="s">
        <v>74</v>
      </c>
      <c r="BP204" s="2" t="s">
        <v>74</v>
      </c>
      <c r="BQ204" s="2" t="s">
        <v>74</v>
      </c>
      <c r="BR204" s="2" t="s">
        <v>74</v>
      </c>
      <c r="BS204" s="2" t="s">
        <v>1148</v>
      </c>
      <c r="BT204" s="2" t="str">
        <f>HYPERLINK("https%3A%2F%2Fwww.webofscience.com%2Fwos%2Fwoscc%2Ffull-record%2FWOS:000390331600027","View Full Record in Web of Science")</f>
        <v>View Full Record in Web of Science</v>
      </c>
    </row>
    <row r="205" spans="1:72" s="1" customFormat="1" x14ac:dyDescent="0.4">
      <c r="A205" s="2" t="s">
        <v>72</v>
      </c>
      <c r="B205" s="2" t="s">
        <v>3034</v>
      </c>
      <c r="C205" s="2" t="s">
        <v>74</v>
      </c>
      <c r="D205" s="2" t="s">
        <v>74</v>
      </c>
      <c r="E205" s="2" t="s">
        <v>74</v>
      </c>
      <c r="F205" s="2" t="s">
        <v>3034</v>
      </c>
      <c r="G205" s="2" t="s">
        <v>74</v>
      </c>
      <c r="H205" s="2" t="s">
        <v>74</v>
      </c>
      <c r="I205" s="2" t="s">
        <v>3035</v>
      </c>
      <c r="J205" s="2" t="s">
        <v>140</v>
      </c>
      <c r="K205" s="2" t="s">
        <v>74</v>
      </c>
      <c r="L205" s="2" t="s">
        <v>74</v>
      </c>
      <c r="M205" s="2" t="s">
        <v>74</v>
      </c>
      <c r="N205" s="2" t="s">
        <v>74</v>
      </c>
      <c r="O205" s="2" t="s">
        <v>74</v>
      </c>
      <c r="P205" s="2" t="s">
        <v>74</v>
      </c>
      <c r="Q205" s="2" t="s">
        <v>74</v>
      </c>
      <c r="R205" s="2" t="s">
        <v>74</v>
      </c>
      <c r="S205" s="2" t="s">
        <v>74</v>
      </c>
      <c r="T205" s="2" t="s">
        <v>74</v>
      </c>
      <c r="U205" s="2" t="s">
        <v>74</v>
      </c>
      <c r="V205" s="5" t="s">
        <v>3036</v>
      </c>
      <c r="W205" s="2" t="s">
        <v>74</v>
      </c>
      <c r="X205" s="2" t="s">
        <v>74</v>
      </c>
      <c r="Y205" s="2" t="s">
        <v>74</v>
      </c>
      <c r="Z205" s="2" t="s">
        <v>74</v>
      </c>
      <c r="AA205" s="2" t="s">
        <v>74</v>
      </c>
      <c r="AB205" s="2" t="s">
        <v>74</v>
      </c>
      <c r="AC205" s="2" t="s">
        <v>74</v>
      </c>
      <c r="AD205" s="2" t="s">
        <v>74</v>
      </c>
      <c r="AE205" s="2" t="s">
        <v>74</v>
      </c>
      <c r="AF205" s="2" t="s">
        <v>74</v>
      </c>
      <c r="AG205" s="2" t="s">
        <v>74</v>
      </c>
      <c r="AH205" s="2" t="s">
        <v>74</v>
      </c>
      <c r="AI205" s="2" t="s">
        <v>74</v>
      </c>
      <c r="AJ205" s="2" t="s">
        <v>74</v>
      </c>
      <c r="AK205" s="2" t="s">
        <v>74</v>
      </c>
      <c r="AL205" s="2" t="s">
        <v>74</v>
      </c>
      <c r="AM205" s="2" t="s">
        <v>74</v>
      </c>
      <c r="AN205" s="2" t="s">
        <v>74</v>
      </c>
      <c r="AO205" s="2" t="s">
        <v>143</v>
      </c>
      <c r="AP205" s="2" t="s">
        <v>74</v>
      </c>
      <c r="AQ205" s="2" t="s">
        <v>74</v>
      </c>
      <c r="AR205" s="2" t="s">
        <v>74</v>
      </c>
      <c r="AS205" s="2" t="s">
        <v>74</v>
      </c>
      <c r="AT205" s="2" t="s">
        <v>213</v>
      </c>
      <c r="AU205" s="2">
        <v>1996</v>
      </c>
      <c r="AV205" s="2">
        <v>52</v>
      </c>
      <c r="AW205" s="2" t="s">
        <v>74</v>
      </c>
      <c r="AX205" s="2">
        <v>5</v>
      </c>
      <c r="AY205" s="2" t="s">
        <v>74</v>
      </c>
      <c r="AZ205" s="2" t="s">
        <v>74</v>
      </c>
      <c r="BA205" s="2" t="s">
        <v>74</v>
      </c>
      <c r="BB205" s="2">
        <v>923</v>
      </c>
      <c r="BC205" s="2">
        <v>927</v>
      </c>
      <c r="BD205" s="2" t="s">
        <v>74</v>
      </c>
      <c r="BE205" s="2" t="s">
        <v>3037</v>
      </c>
      <c r="BF205" s="2" t="str">
        <f>HYPERLINK("http://dx.doi.org/10.1006/anbe.1996.0240","http://dx.doi.org/10.1006/anbe.1996.0240")</f>
        <v>http://dx.doi.org/10.1006/anbe.1996.0240</v>
      </c>
      <c r="BG205" s="2" t="s">
        <v>74</v>
      </c>
      <c r="BH205" s="2" t="s">
        <v>74</v>
      </c>
      <c r="BI205" s="2" t="s">
        <v>74</v>
      </c>
      <c r="BJ205" s="2" t="s">
        <v>74</v>
      </c>
      <c r="BK205" s="2" t="s">
        <v>74</v>
      </c>
      <c r="BL205" s="2" t="s">
        <v>74</v>
      </c>
      <c r="BM205" s="2" t="s">
        <v>74</v>
      </c>
      <c r="BN205" s="2" t="s">
        <v>74</v>
      </c>
      <c r="BO205" s="2" t="s">
        <v>74</v>
      </c>
      <c r="BP205" s="2" t="s">
        <v>74</v>
      </c>
      <c r="BQ205" s="2" t="s">
        <v>74</v>
      </c>
      <c r="BR205" s="2" t="s">
        <v>74</v>
      </c>
      <c r="BS205" s="2" t="s">
        <v>3038</v>
      </c>
      <c r="BT205" s="2" t="str">
        <f>HYPERLINK("https%3A%2F%2Fwww.webofscience.com%2Fwos%2Fwoscc%2Ffull-record%2FWOS:A1996VT21600007","View Full Record in Web of Science")</f>
        <v>View Full Record in Web of Science</v>
      </c>
    </row>
    <row r="206" spans="1:72" s="2" customFormat="1" x14ac:dyDescent="0.4">
      <c r="A206" s="2" t="s">
        <v>72</v>
      </c>
      <c r="B206" s="2" t="s">
        <v>6410</v>
      </c>
      <c r="C206" s="2" t="s">
        <v>74</v>
      </c>
      <c r="D206" s="2" t="s">
        <v>74</v>
      </c>
      <c r="E206" s="2" t="s">
        <v>74</v>
      </c>
      <c r="F206" s="2" t="s">
        <v>6411</v>
      </c>
      <c r="G206" s="2" t="s">
        <v>74</v>
      </c>
      <c r="H206" s="2" t="s">
        <v>74</v>
      </c>
      <c r="I206" s="2" t="s">
        <v>6412</v>
      </c>
      <c r="J206" s="2" t="s">
        <v>530</v>
      </c>
      <c r="K206" s="2" t="s">
        <v>74</v>
      </c>
      <c r="L206" s="2" t="s">
        <v>74</v>
      </c>
      <c r="M206" s="2" t="s">
        <v>74</v>
      </c>
      <c r="N206" s="2" t="s">
        <v>74</v>
      </c>
      <c r="O206" s="2" t="s">
        <v>74</v>
      </c>
      <c r="P206" s="2" t="s">
        <v>74</v>
      </c>
      <c r="Q206" s="2" t="s">
        <v>74</v>
      </c>
      <c r="R206" s="2" t="s">
        <v>74</v>
      </c>
      <c r="S206" s="2" t="s">
        <v>74</v>
      </c>
      <c r="T206" s="2" t="s">
        <v>74</v>
      </c>
      <c r="U206" s="2" t="s">
        <v>74</v>
      </c>
      <c r="V206" s="5" t="s">
        <v>6413</v>
      </c>
      <c r="W206" s="2" t="s">
        <v>74</v>
      </c>
      <c r="X206" s="2" t="s">
        <v>74</v>
      </c>
      <c r="Y206" s="2" t="s">
        <v>74</v>
      </c>
      <c r="Z206" s="2" t="s">
        <v>74</v>
      </c>
      <c r="AA206" s="2" t="s">
        <v>74</v>
      </c>
      <c r="AB206" s="2" t="s">
        <v>74</v>
      </c>
      <c r="AC206" s="2" t="s">
        <v>74</v>
      </c>
      <c r="AD206" s="2" t="s">
        <v>74</v>
      </c>
      <c r="AE206" s="2" t="s">
        <v>74</v>
      </c>
      <c r="AF206" s="2" t="s">
        <v>74</v>
      </c>
      <c r="AG206" s="2" t="s">
        <v>74</v>
      </c>
      <c r="AH206" s="2" t="s">
        <v>74</v>
      </c>
      <c r="AI206" s="2" t="s">
        <v>74</v>
      </c>
      <c r="AJ206" s="2" t="s">
        <v>74</v>
      </c>
      <c r="AK206" s="2" t="s">
        <v>74</v>
      </c>
      <c r="AL206" s="2" t="s">
        <v>74</v>
      </c>
      <c r="AM206" s="2" t="s">
        <v>74</v>
      </c>
      <c r="AN206" s="2" t="s">
        <v>74</v>
      </c>
      <c r="AO206" s="2" t="s">
        <v>532</v>
      </c>
      <c r="AP206" s="2" t="s">
        <v>533</v>
      </c>
      <c r="AQ206" s="2" t="s">
        <v>74</v>
      </c>
      <c r="AR206" s="2" t="s">
        <v>74</v>
      </c>
      <c r="AS206" s="2" t="s">
        <v>74</v>
      </c>
      <c r="AT206" s="2" t="s">
        <v>102</v>
      </c>
      <c r="AU206" s="2">
        <v>2006</v>
      </c>
      <c r="AV206" s="2">
        <v>149</v>
      </c>
      <c r="AW206" s="2">
        <v>3</v>
      </c>
      <c r="AX206" s="2" t="s">
        <v>74</v>
      </c>
      <c r="AY206" s="2" t="s">
        <v>74</v>
      </c>
      <c r="AZ206" s="2" t="s">
        <v>74</v>
      </c>
      <c r="BA206" s="2" t="s">
        <v>74</v>
      </c>
      <c r="BB206" s="2">
        <v>423</v>
      </c>
      <c r="BC206" s="2">
        <v>433</v>
      </c>
      <c r="BD206" s="2" t="s">
        <v>74</v>
      </c>
      <c r="BE206" s="2" t="s">
        <v>6414</v>
      </c>
      <c r="BF206" s="2" t="str">
        <f>HYPERLINK("http://dx.doi.org/10.1007/s00227-005-0233-9","http://dx.doi.org/10.1007/s00227-005-0233-9")</f>
        <v>http://dx.doi.org/10.1007/s00227-005-0233-9</v>
      </c>
      <c r="BG206" s="2" t="s">
        <v>74</v>
      </c>
      <c r="BH206" s="2" t="s">
        <v>74</v>
      </c>
      <c r="BI206" s="2" t="s">
        <v>74</v>
      </c>
      <c r="BJ206" s="2" t="s">
        <v>74</v>
      </c>
      <c r="BK206" s="2" t="s">
        <v>74</v>
      </c>
      <c r="BL206" s="2" t="s">
        <v>74</v>
      </c>
      <c r="BM206" s="2" t="s">
        <v>74</v>
      </c>
      <c r="BN206" s="2" t="s">
        <v>74</v>
      </c>
      <c r="BO206" s="2" t="s">
        <v>74</v>
      </c>
      <c r="BP206" s="2" t="s">
        <v>74</v>
      </c>
      <c r="BQ206" s="2" t="s">
        <v>74</v>
      </c>
      <c r="BR206" s="2" t="s">
        <v>74</v>
      </c>
      <c r="BS206" s="2" t="s">
        <v>6415</v>
      </c>
      <c r="BT206" s="2" t="str">
        <f>HYPERLINK("https%3A%2F%2Fwww.webofscience.com%2Fwos%2Fwoscc%2Ffull-record%2FWOS:000238327200002","View Full Record in Web of Science")</f>
        <v>View Full Record in Web of Science</v>
      </c>
    </row>
    <row r="207" spans="1:72" s="2" customFormat="1" x14ac:dyDescent="0.4">
      <c r="A207" s="2" t="s">
        <v>72</v>
      </c>
      <c r="B207" s="2" t="s">
        <v>2473</v>
      </c>
      <c r="C207" s="2" t="s">
        <v>74</v>
      </c>
      <c r="D207" s="2" t="s">
        <v>74</v>
      </c>
      <c r="E207" s="2" t="s">
        <v>74</v>
      </c>
      <c r="F207" s="2" t="s">
        <v>2474</v>
      </c>
      <c r="G207" s="2" t="s">
        <v>74</v>
      </c>
      <c r="H207" s="2" t="s">
        <v>74</v>
      </c>
      <c r="I207" s="2" t="s">
        <v>2475</v>
      </c>
      <c r="J207" s="2" t="s">
        <v>333</v>
      </c>
      <c r="K207" s="2" t="s">
        <v>74</v>
      </c>
      <c r="L207" s="2" t="s">
        <v>74</v>
      </c>
      <c r="M207" s="2" t="s">
        <v>74</v>
      </c>
      <c r="N207" s="2" t="s">
        <v>74</v>
      </c>
      <c r="O207" s="2" t="s">
        <v>74</v>
      </c>
      <c r="P207" s="2" t="s">
        <v>74</v>
      </c>
      <c r="Q207" s="2" t="s">
        <v>74</v>
      </c>
      <c r="R207" s="2" t="s">
        <v>74</v>
      </c>
      <c r="S207" s="2" t="s">
        <v>74</v>
      </c>
      <c r="T207" s="2" t="s">
        <v>74</v>
      </c>
      <c r="U207" s="2" t="s">
        <v>74</v>
      </c>
      <c r="V207" s="5" t="s">
        <v>2476</v>
      </c>
      <c r="W207" s="2" t="s">
        <v>74</v>
      </c>
      <c r="X207" s="2" t="s">
        <v>74</v>
      </c>
      <c r="Y207" s="2" t="s">
        <v>74</v>
      </c>
      <c r="Z207" s="2" t="s">
        <v>74</v>
      </c>
      <c r="AA207" s="2" t="s">
        <v>2477</v>
      </c>
      <c r="AB207" s="2" t="s">
        <v>2478</v>
      </c>
      <c r="AC207" s="2" t="s">
        <v>74</v>
      </c>
      <c r="AD207" s="2" t="s">
        <v>74</v>
      </c>
      <c r="AE207" s="2" t="s">
        <v>74</v>
      </c>
      <c r="AF207" s="2" t="s">
        <v>74</v>
      </c>
      <c r="AG207" s="2" t="s">
        <v>74</v>
      </c>
      <c r="AH207" s="2" t="s">
        <v>74</v>
      </c>
      <c r="AI207" s="2" t="s">
        <v>74</v>
      </c>
      <c r="AJ207" s="2" t="s">
        <v>74</v>
      </c>
      <c r="AK207" s="2" t="s">
        <v>74</v>
      </c>
      <c r="AL207" s="2" t="s">
        <v>74</v>
      </c>
      <c r="AM207" s="2" t="s">
        <v>74</v>
      </c>
      <c r="AN207" s="2" t="s">
        <v>74</v>
      </c>
      <c r="AO207" s="2" t="s">
        <v>337</v>
      </c>
      <c r="AP207" s="2" t="s">
        <v>338</v>
      </c>
      <c r="AQ207" s="2" t="s">
        <v>74</v>
      </c>
      <c r="AR207" s="2" t="s">
        <v>74</v>
      </c>
      <c r="AS207" s="2" t="s">
        <v>74</v>
      </c>
      <c r="AT207" s="2" t="s">
        <v>1038</v>
      </c>
      <c r="AU207" s="2">
        <v>2019</v>
      </c>
      <c r="AV207" s="2">
        <v>30</v>
      </c>
      <c r="AW207" s="2">
        <v>2</v>
      </c>
      <c r="AX207" s="2" t="s">
        <v>74</v>
      </c>
      <c r="AY207" s="2" t="s">
        <v>74</v>
      </c>
      <c r="AZ207" s="2" t="s">
        <v>74</v>
      </c>
      <c r="BA207" s="2" t="s">
        <v>74</v>
      </c>
      <c r="BB207" s="2">
        <v>490</v>
      </c>
      <c r="BC207" s="2">
        <v>499</v>
      </c>
      <c r="BD207" s="2" t="s">
        <v>74</v>
      </c>
      <c r="BE207" s="2" t="s">
        <v>2479</v>
      </c>
      <c r="BF207" s="2" t="str">
        <f>HYPERLINK("http://dx.doi.org/10.1093/beheco/ary189","http://dx.doi.org/10.1093/beheco/ary189")</f>
        <v>http://dx.doi.org/10.1093/beheco/ary189</v>
      </c>
      <c r="BG207" s="2" t="s">
        <v>74</v>
      </c>
      <c r="BH207" s="2" t="s">
        <v>74</v>
      </c>
      <c r="BI207" s="2" t="s">
        <v>74</v>
      </c>
      <c r="BJ207" s="2" t="s">
        <v>74</v>
      </c>
      <c r="BK207" s="2" t="s">
        <v>74</v>
      </c>
      <c r="BL207" s="2" t="s">
        <v>74</v>
      </c>
      <c r="BM207" s="2" t="s">
        <v>74</v>
      </c>
      <c r="BN207" s="2" t="s">
        <v>74</v>
      </c>
      <c r="BO207" s="2" t="s">
        <v>74</v>
      </c>
      <c r="BP207" s="2" t="s">
        <v>74</v>
      </c>
      <c r="BQ207" s="2" t="s">
        <v>74</v>
      </c>
      <c r="BR207" s="2" t="s">
        <v>74</v>
      </c>
      <c r="BS207" s="2" t="s">
        <v>2480</v>
      </c>
      <c r="BT207" s="2" t="str">
        <f>HYPERLINK("https%3A%2F%2Fwww.webofscience.com%2Fwos%2Fwoscc%2Ffull-record%2FWOS:000464932900025","View Full Record in Web of Science")</f>
        <v>View Full Record in Web of Science</v>
      </c>
    </row>
    <row r="208" spans="1:72" s="2" customFormat="1" x14ac:dyDescent="0.4">
      <c r="A208" s="2" t="s">
        <v>72</v>
      </c>
      <c r="B208" s="2" t="s">
        <v>2155</v>
      </c>
      <c r="C208" s="2" t="s">
        <v>74</v>
      </c>
      <c r="D208" s="2" t="s">
        <v>74</v>
      </c>
      <c r="E208" s="2" t="s">
        <v>74</v>
      </c>
      <c r="F208" s="2" t="s">
        <v>2156</v>
      </c>
      <c r="G208" s="2" t="s">
        <v>74</v>
      </c>
      <c r="H208" s="2" t="s">
        <v>74</v>
      </c>
      <c r="I208" s="2" t="s">
        <v>2157</v>
      </c>
      <c r="J208" s="2" t="s">
        <v>1673</v>
      </c>
      <c r="K208" s="2" t="s">
        <v>74</v>
      </c>
      <c r="L208" s="2" t="s">
        <v>74</v>
      </c>
      <c r="M208" s="2" t="s">
        <v>74</v>
      </c>
      <c r="N208" s="2" t="s">
        <v>74</v>
      </c>
      <c r="O208" s="2" t="s">
        <v>74</v>
      </c>
      <c r="P208" s="2" t="s">
        <v>74</v>
      </c>
      <c r="Q208" s="2" t="s">
        <v>74</v>
      </c>
      <c r="R208" s="2" t="s">
        <v>74</v>
      </c>
      <c r="S208" s="2" t="s">
        <v>74</v>
      </c>
      <c r="T208" s="2" t="s">
        <v>74</v>
      </c>
      <c r="U208" s="2" t="s">
        <v>74</v>
      </c>
      <c r="V208" s="5" t="s">
        <v>2158</v>
      </c>
      <c r="W208" s="2" t="s">
        <v>74</v>
      </c>
      <c r="X208" s="2" t="s">
        <v>74</v>
      </c>
      <c r="Y208" s="2" t="s">
        <v>74</v>
      </c>
      <c r="Z208" s="2" t="s">
        <v>74</v>
      </c>
      <c r="AA208" s="2" t="s">
        <v>2159</v>
      </c>
      <c r="AB208" s="2" t="s">
        <v>2160</v>
      </c>
      <c r="AC208" s="2" t="s">
        <v>74</v>
      </c>
      <c r="AD208" s="2" t="s">
        <v>74</v>
      </c>
      <c r="AE208" s="2" t="s">
        <v>74</v>
      </c>
      <c r="AF208" s="2" t="s">
        <v>74</v>
      </c>
      <c r="AG208" s="2" t="s">
        <v>74</v>
      </c>
      <c r="AH208" s="2" t="s">
        <v>74</v>
      </c>
      <c r="AI208" s="2" t="s">
        <v>74</v>
      </c>
      <c r="AJ208" s="2" t="s">
        <v>74</v>
      </c>
      <c r="AK208" s="2" t="s">
        <v>74</v>
      </c>
      <c r="AL208" s="2" t="s">
        <v>74</v>
      </c>
      <c r="AM208" s="2" t="s">
        <v>74</v>
      </c>
      <c r="AN208" s="2" t="s">
        <v>74</v>
      </c>
      <c r="AO208" s="2" t="s">
        <v>1239</v>
      </c>
      <c r="AP208" s="2" t="s">
        <v>1675</v>
      </c>
      <c r="AQ208" s="2" t="s">
        <v>74</v>
      </c>
      <c r="AR208" s="2" t="s">
        <v>74</v>
      </c>
      <c r="AS208" s="2" t="s">
        <v>74</v>
      </c>
      <c r="AT208" s="2" t="s">
        <v>123</v>
      </c>
      <c r="AU208" s="2">
        <v>2017</v>
      </c>
      <c r="AV208" s="2">
        <v>95</v>
      </c>
      <c r="AW208" s="2">
        <v>3</v>
      </c>
      <c r="AX208" s="2" t="s">
        <v>74</v>
      </c>
      <c r="AY208" s="2" t="s">
        <v>74</v>
      </c>
      <c r="AZ208" s="2" t="s">
        <v>74</v>
      </c>
      <c r="BA208" s="2" t="s">
        <v>74</v>
      </c>
      <c r="BB208" s="2">
        <v>213</v>
      </c>
      <c r="BC208" s="2">
        <v>219</v>
      </c>
      <c r="BD208" s="2" t="s">
        <v>74</v>
      </c>
      <c r="BE208" s="2" t="s">
        <v>2161</v>
      </c>
      <c r="BF208" s="2" t="str">
        <f>HYPERLINK("http://dx.doi.org/10.1139/cjz-2016-0200","http://dx.doi.org/10.1139/cjz-2016-0200")</f>
        <v>http://dx.doi.org/10.1139/cjz-2016-0200</v>
      </c>
      <c r="BG208" s="2" t="s">
        <v>74</v>
      </c>
      <c r="BH208" s="2" t="s">
        <v>74</v>
      </c>
      <c r="BI208" s="2" t="s">
        <v>74</v>
      </c>
      <c r="BJ208" s="2" t="s">
        <v>74</v>
      </c>
      <c r="BK208" s="2" t="s">
        <v>74</v>
      </c>
      <c r="BL208" s="2" t="s">
        <v>74</v>
      </c>
      <c r="BM208" s="2" t="s">
        <v>74</v>
      </c>
      <c r="BN208" s="2" t="s">
        <v>74</v>
      </c>
      <c r="BO208" s="2" t="s">
        <v>74</v>
      </c>
      <c r="BP208" s="2" t="s">
        <v>74</v>
      </c>
      <c r="BQ208" s="2" t="s">
        <v>74</v>
      </c>
      <c r="BR208" s="2" t="s">
        <v>74</v>
      </c>
      <c r="BS208" s="2" t="s">
        <v>2162</v>
      </c>
      <c r="BT208" s="2" t="str">
        <f>HYPERLINK("https%3A%2F%2Fwww.webofscience.com%2Fwos%2Fwoscc%2Ffull-record%2FWOS:000398092400009","View Full Record in Web of Science")</f>
        <v>View Full Record in Web of Science</v>
      </c>
    </row>
    <row r="209" spans="1:72" s="2" customFormat="1" x14ac:dyDescent="0.4">
      <c r="A209" s="2" t="s">
        <v>72</v>
      </c>
      <c r="B209" s="2" t="s">
        <v>722</v>
      </c>
      <c r="C209" s="2" t="s">
        <v>74</v>
      </c>
      <c r="D209" s="2" t="s">
        <v>74</v>
      </c>
      <c r="E209" s="2" t="s">
        <v>74</v>
      </c>
      <c r="F209" s="2" t="s">
        <v>722</v>
      </c>
      <c r="G209" s="2" t="s">
        <v>74</v>
      </c>
      <c r="H209" s="2" t="s">
        <v>74</v>
      </c>
      <c r="I209" s="2" t="s">
        <v>723</v>
      </c>
      <c r="J209" s="2" t="s">
        <v>140</v>
      </c>
      <c r="K209" s="2" t="s">
        <v>74</v>
      </c>
      <c r="L209" s="2" t="s">
        <v>74</v>
      </c>
      <c r="M209" s="2" t="s">
        <v>74</v>
      </c>
      <c r="N209" s="2" t="s">
        <v>74</v>
      </c>
      <c r="O209" s="2" t="s">
        <v>74</v>
      </c>
      <c r="P209" s="2" t="s">
        <v>74</v>
      </c>
      <c r="Q209" s="2" t="s">
        <v>74</v>
      </c>
      <c r="R209" s="2" t="s">
        <v>74</v>
      </c>
      <c r="S209" s="2" t="s">
        <v>74</v>
      </c>
      <c r="T209" s="2" t="s">
        <v>74</v>
      </c>
      <c r="U209" s="2" t="s">
        <v>74</v>
      </c>
      <c r="V209" s="5" t="s">
        <v>724</v>
      </c>
      <c r="W209" s="2" t="s">
        <v>74</v>
      </c>
      <c r="X209" s="2" t="s">
        <v>74</v>
      </c>
      <c r="Y209" s="2" t="s">
        <v>74</v>
      </c>
      <c r="Z209" s="2" t="s">
        <v>74</v>
      </c>
      <c r="AA209" s="2" t="s">
        <v>725</v>
      </c>
      <c r="AB209" s="2" t="s">
        <v>74</v>
      </c>
      <c r="AC209" s="2" t="s">
        <v>74</v>
      </c>
      <c r="AD209" s="2" t="s">
        <v>74</v>
      </c>
      <c r="AE209" s="2" t="s">
        <v>74</v>
      </c>
      <c r="AF209" s="2" t="s">
        <v>74</v>
      </c>
      <c r="AG209" s="2" t="s">
        <v>74</v>
      </c>
      <c r="AH209" s="2" t="s">
        <v>74</v>
      </c>
      <c r="AI209" s="2" t="s">
        <v>74</v>
      </c>
      <c r="AJ209" s="2" t="s">
        <v>74</v>
      </c>
      <c r="AK209" s="2" t="s">
        <v>74</v>
      </c>
      <c r="AL209" s="2" t="s">
        <v>74</v>
      </c>
      <c r="AM209" s="2" t="s">
        <v>74</v>
      </c>
      <c r="AN209" s="2" t="s">
        <v>74</v>
      </c>
      <c r="AO209" s="2" t="s">
        <v>143</v>
      </c>
      <c r="AP209" s="2" t="s">
        <v>144</v>
      </c>
      <c r="AQ209" s="2" t="s">
        <v>74</v>
      </c>
      <c r="AR209" s="2" t="s">
        <v>74</v>
      </c>
      <c r="AS209" s="2" t="s">
        <v>74</v>
      </c>
      <c r="AT209" s="2" t="s">
        <v>74</v>
      </c>
      <c r="AU209" s="2">
        <v>1979</v>
      </c>
      <c r="AV209" s="2">
        <v>27</v>
      </c>
      <c r="AW209" s="2" t="s">
        <v>134</v>
      </c>
      <c r="AX209" s="2" t="s">
        <v>74</v>
      </c>
      <c r="AY209" s="2" t="s">
        <v>74</v>
      </c>
      <c r="AZ209" s="2" t="s">
        <v>74</v>
      </c>
      <c r="BA209" s="2" t="s">
        <v>74</v>
      </c>
      <c r="BB209" s="2">
        <v>553</v>
      </c>
      <c r="BC209" s="2" t="s">
        <v>726</v>
      </c>
      <c r="BD209" s="2" t="s">
        <v>74</v>
      </c>
      <c r="BE209" s="2" t="s">
        <v>727</v>
      </c>
      <c r="BF209" s="2" t="str">
        <f>HYPERLINK("http://dx.doi.org/10.1016/0003-3472(79)90190-8","http://dx.doi.org/10.1016/0003-3472(79)90190-8")</f>
        <v>http://dx.doi.org/10.1016/0003-3472(79)90190-8</v>
      </c>
      <c r="BG209" s="2" t="s">
        <v>74</v>
      </c>
      <c r="BH209" s="2" t="s">
        <v>74</v>
      </c>
      <c r="BI209" s="2" t="s">
        <v>74</v>
      </c>
      <c r="BJ209" s="2" t="s">
        <v>74</v>
      </c>
      <c r="BK209" s="2" t="s">
        <v>74</v>
      </c>
      <c r="BL209" s="2" t="s">
        <v>74</v>
      </c>
      <c r="BM209" s="2" t="s">
        <v>74</v>
      </c>
      <c r="BN209" s="2" t="s">
        <v>74</v>
      </c>
      <c r="BO209" s="2" t="s">
        <v>74</v>
      </c>
      <c r="BP209" s="2" t="s">
        <v>74</v>
      </c>
      <c r="BQ209" s="2" t="s">
        <v>74</v>
      </c>
      <c r="BR209" s="2" t="s">
        <v>74</v>
      </c>
      <c r="BS209" s="2" t="s">
        <v>728</v>
      </c>
      <c r="BT209" s="2" t="str">
        <f>HYPERLINK("https%3A%2F%2Fwww.webofscience.com%2Fwos%2Fwoscc%2Ffull-record%2FWOS:A1979HE66900025","View Full Record in Web of Science")</f>
        <v>View Full Record in Web of Science</v>
      </c>
    </row>
    <row r="210" spans="1:72" s="2" customFormat="1" x14ac:dyDescent="0.4">
      <c r="A210" s="2" t="s">
        <v>72</v>
      </c>
      <c r="B210" s="2" t="s">
        <v>3603</v>
      </c>
      <c r="C210" s="2" t="s">
        <v>74</v>
      </c>
      <c r="D210" s="2" t="s">
        <v>74</v>
      </c>
      <c r="E210" s="2" t="s">
        <v>74</v>
      </c>
      <c r="F210" s="2" t="s">
        <v>3603</v>
      </c>
      <c r="G210" s="2" t="s">
        <v>74</v>
      </c>
      <c r="H210" s="2" t="s">
        <v>74</v>
      </c>
      <c r="I210" s="2" t="s">
        <v>3604</v>
      </c>
      <c r="J210" s="2" t="s">
        <v>3605</v>
      </c>
      <c r="K210" s="2" t="s">
        <v>74</v>
      </c>
      <c r="L210" s="2" t="s">
        <v>74</v>
      </c>
      <c r="M210" s="2" t="s">
        <v>74</v>
      </c>
      <c r="N210" s="2" t="s">
        <v>74</v>
      </c>
      <c r="O210" s="2" t="s">
        <v>74</v>
      </c>
      <c r="P210" s="2" t="s">
        <v>74</v>
      </c>
      <c r="Q210" s="2" t="s">
        <v>74</v>
      </c>
      <c r="R210" s="2" t="s">
        <v>74</v>
      </c>
      <c r="S210" s="2" t="s">
        <v>74</v>
      </c>
      <c r="T210" s="2" t="s">
        <v>74</v>
      </c>
      <c r="U210" s="2" t="s">
        <v>74</v>
      </c>
      <c r="V210" s="5" t="s">
        <v>3606</v>
      </c>
      <c r="W210" s="2" t="s">
        <v>74</v>
      </c>
      <c r="X210" s="2" t="s">
        <v>74</v>
      </c>
      <c r="Y210" s="2" t="s">
        <v>74</v>
      </c>
      <c r="Z210" s="2" t="s">
        <v>74</v>
      </c>
      <c r="AA210" s="2" t="s">
        <v>74</v>
      </c>
      <c r="AB210" s="2" t="s">
        <v>74</v>
      </c>
      <c r="AC210" s="2" t="s">
        <v>74</v>
      </c>
      <c r="AD210" s="2" t="s">
        <v>74</v>
      </c>
      <c r="AE210" s="2" t="s">
        <v>74</v>
      </c>
      <c r="AF210" s="2" t="s">
        <v>74</v>
      </c>
      <c r="AG210" s="2" t="s">
        <v>74</v>
      </c>
      <c r="AH210" s="2" t="s">
        <v>74</v>
      </c>
      <c r="AI210" s="2" t="s">
        <v>74</v>
      </c>
      <c r="AJ210" s="2" t="s">
        <v>74</v>
      </c>
      <c r="AK210" s="2" t="s">
        <v>74</v>
      </c>
      <c r="AL210" s="2" t="s">
        <v>74</v>
      </c>
      <c r="AM210" s="2" t="s">
        <v>74</v>
      </c>
      <c r="AN210" s="2" t="s">
        <v>74</v>
      </c>
      <c r="AO210" s="2" t="s">
        <v>3607</v>
      </c>
      <c r="AP210" s="2" t="s">
        <v>3608</v>
      </c>
      <c r="AQ210" s="2" t="s">
        <v>74</v>
      </c>
      <c r="AR210" s="2" t="s">
        <v>74</v>
      </c>
      <c r="AS210" s="2" t="s">
        <v>74</v>
      </c>
      <c r="AT210" s="2" t="s">
        <v>134</v>
      </c>
      <c r="AU210" s="2">
        <v>1989</v>
      </c>
      <c r="AV210" s="2">
        <v>69</v>
      </c>
      <c r="AW210" s="2">
        <v>2</v>
      </c>
      <c r="AX210" s="2" t="s">
        <v>74</v>
      </c>
      <c r="AY210" s="2" t="s">
        <v>74</v>
      </c>
      <c r="AZ210" s="2" t="s">
        <v>74</v>
      </c>
      <c r="BA210" s="2" t="s">
        <v>74</v>
      </c>
      <c r="BB210" s="2">
        <v>273</v>
      </c>
      <c r="BC210" s="2">
        <v>278</v>
      </c>
      <c r="BD210" s="2" t="s">
        <v>74</v>
      </c>
      <c r="BE210" s="2" t="s">
        <v>3609</v>
      </c>
      <c r="BF210" s="2" t="str">
        <f>HYPERLINK("http://dx.doi.org/10.1017/S0025315400029398","http://dx.doi.org/10.1017/S0025315400029398")</f>
        <v>http://dx.doi.org/10.1017/S0025315400029398</v>
      </c>
      <c r="BG210" s="2" t="s">
        <v>74</v>
      </c>
      <c r="BH210" s="2" t="s">
        <v>74</v>
      </c>
      <c r="BI210" s="2" t="s">
        <v>74</v>
      </c>
      <c r="BJ210" s="2" t="s">
        <v>74</v>
      </c>
      <c r="BK210" s="2" t="s">
        <v>74</v>
      </c>
      <c r="BL210" s="2" t="s">
        <v>74</v>
      </c>
      <c r="BM210" s="2" t="s">
        <v>74</v>
      </c>
      <c r="BN210" s="2" t="s">
        <v>74</v>
      </c>
      <c r="BO210" s="2" t="s">
        <v>74</v>
      </c>
      <c r="BP210" s="2" t="s">
        <v>74</v>
      </c>
      <c r="BQ210" s="2" t="s">
        <v>74</v>
      </c>
      <c r="BR210" s="2" t="s">
        <v>74</v>
      </c>
      <c r="BS210" s="2" t="s">
        <v>3610</v>
      </c>
      <c r="BT210" s="2" t="str">
        <f>HYPERLINK("https%3A%2F%2Fwww.webofscience.com%2Fwos%2Fwoscc%2Ffull-record%2FWOS:A1989AD16200003","View Full Record in Web of Science")</f>
        <v>View Full Record in Web of Science</v>
      </c>
    </row>
    <row r="211" spans="1:72" s="2" customFormat="1" x14ac:dyDescent="0.4">
      <c r="A211" s="2" t="s">
        <v>72</v>
      </c>
      <c r="B211" s="2" t="s">
        <v>950</v>
      </c>
      <c r="C211" s="2" t="s">
        <v>74</v>
      </c>
      <c r="D211" s="2" t="s">
        <v>74</v>
      </c>
      <c r="E211" s="2" t="s">
        <v>74</v>
      </c>
      <c r="F211" s="2" t="s">
        <v>950</v>
      </c>
      <c r="G211" s="2" t="s">
        <v>74</v>
      </c>
      <c r="H211" s="2" t="s">
        <v>74</v>
      </c>
      <c r="I211" s="2" t="s">
        <v>951</v>
      </c>
      <c r="J211" s="2" t="s">
        <v>192</v>
      </c>
      <c r="K211" s="2" t="s">
        <v>74</v>
      </c>
      <c r="L211" s="2" t="s">
        <v>74</v>
      </c>
      <c r="M211" s="2" t="s">
        <v>74</v>
      </c>
      <c r="N211" s="2" t="s">
        <v>74</v>
      </c>
      <c r="O211" s="2" t="s">
        <v>952</v>
      </c>
      <c r="P211" s="2" t="s">
        <v>953</v>
      </c>
      <c r="Q211" s="2" t="s">
        <v>954</v>
      </c>
      <c r="R211" s="2" t="s">
        <v>74</v>
      </c>
      <c r="S211" s="2" t="s">
        <v>955</v>
      </c>
      <c r="T211" s="2" t="s">
        <v>74</v>
      </c>
      <c r="U211" s="2" t="s">
        <v>74</v>
      </c>
      <c r="V211" s="5" t="s">
        <v>956</v>
      </c>
      <c r="W211" s="2" t="s">
        <v>74</v>
      </c>
      <c r="X211" s="2" t="s">
        <v>74</v>
      </c>
      <c r="Y211" s="2" t="s">
        <v>74</v>
      </c>
      <c r="Z211" s="2" t="s">
        <v>74</v>
      </c>
      <c r="AA211" s="2" t="s">
        <v>74</v>
      </c>
      <c r="AB211" s="2" t="s">
        <v>74</v>
      </c>
      <c r="AC211" s="2" t="s">
        <v>74</v>
      </c>
      <c r="AD211" s="2" t="s">
        <v>74</v>
      </c>
      <c r="AE211" s="2" t="s">
        <v>74</v>
      </c>
      <c r="AF211" s="2" t="s">
        <v>74</v>
      </c>
      <c r="AG211" s="2" t="s">
        <v>74</v>
      </c>
      <c r="AH211" s="2" t="s">
        <v>74</v>
      </c>
      <c r="AI211" s="2" t="s">
        <v>74</v>
      </c>
      <c r="AJ211" s="2" t="s">
        <v>74</v>
      </c>
      <c r="AK211" s="2" t="s">
        <v>74</v>
      </c>
      <c r="AL211" s="2" t="s">
        <v>74</v>
      </c>
      <c r="AM211" s="2" t="s">
        <v>74</v>
      </c>
      <c r="AN211" s="2" t="s">
        <v>74</v>
      </c>
      <c r="AO211" s="2" t="s">
        <v>195</v>
      </c>
      <c r="AP211" s="2" t="s">
        <v>74</v>
      </c>
      <c r="AQ211" s="2" t="s">
        <v>74</v>
      </c>
      <c r="AR211" s="2" t="s">
        <v>74</v>
      </c>
      <c r="AS211" s="2" t="s">
        <v>74</v>
      </c>
      <c r="AT211" s="2" t="s">
        <v>957</v>
      </c>
      <c r="AU211" s="2">
        <v>1991</v>
      </c>
      <c r="AV211" s="2">
        <v>216</v>
      </c>
      <c r="AW211" s="2" t="s">
        <v>74</v>
      </c>
      <c r="AX211" s="2" t="s">
        <v>74</v>
      </c>
      <c r="AY211" s="2" t="s">
        <v>74</v>
      </c>
      <c r="AZ211" s="2" t="s">
        <v>74</v>
      </c>
      <c r="BA211" s="2" t="s">
        <v>74</v>
      </c>
      <c r="BB211" s="2">
        <v>533</v>
      </c>
      <c r="BC211" s="2">
        <v>537</v>
      </c>
      <c r="BD211" s="2" t="s">
        <v>74</v>
      </c>
      <c r="BE211" s="2" t="s">
        <v>958</v>
      </c>
      <c r="BF211" s="2" t="str">
        <f>HYPERLINK("http://dx.doi.org/10.1007/BF00026510","http://dx.doi.org/10.1007/BF00026510")</f>
        <v>http://dx.doi.org/10.1007/BF00026510</v>
      </c>
      <c r="BG211" s="2" t="s">
        <v>74</v>
      </c>
      <c r="BH211" s="2" t="s">
        <v>74</v>
      </c>
      <c r="BI211" s="2" t="s">
        <v>74</v>
      </c>
      <c r="BJ211" s="2" t="s">
        <v>74</v>
      </c>
      <c r="BK211" s="2" t="s">
        <v>74</v>
      </c>
      <c r="BL211" s="2" t="s">
        <v>74</v>
      </c>
      <c r="BM211" s="2" t="s">
        <v>74</v>
      </c>
      <c r="BN211" s="2" t="s">
        <v>74</v>
      </c>
      <c r="BO211" s="2" t="s">
        <v>74</v>
      </c>
      <c r="BP211" s="2" t="s">
        <v>74</v>
      </c>
      <c r="BQ211" s="2" t="s">
        <v>74</v>
      </c>
      <c r="BR211" s="2" t="s">
        <v>74</v>
      </c>
      <c r="BS211" s="2" t="s">
        <v>959</v>
      </c>
      <c r="BT211" s="2" t="str">
        <f>HYPERLINK("https%3A%2F%2Fwww.webofscience.com%2Fwos%2Fwoscc%2Ffull-record%2FWOS:A1991GP24400079","View Full Record in Web of Science")</f>
        <v>View Full Record in Web of Science</v>
      </c>
    </row>
    <row r="212" spans="1:72" s="2" customFormat="1" x14ac:dyDescent="0.4">
      <c r="A212" s="2" t="s">
        <v>6684</v>
      </c>
      <c r="B212" s="2" t="s">
        <v>6685</v>
      </c>
      <c r="C212" s="2" t="s">
        <v>74</v>
      </c>
      <c r="D212" s="2" t="s">
        <v>6686</v>
      </c>
      <c r="E212" s="2" t="s">
        <v>74</v>
      </c>
      <c r="F212" s="2" t="s">
        <v>6685</v>
      </c>
      <c r="G212" s="2" t="s">
        <v>74</v>
      </c>
      <c r="H212" s="2" t="s">
        <v>74</v>
      </c>
      <c r="I212" s="2" t="s">
        <v>6687</v>
      </c>
      <c r="J212" s="2" t="s">
        <v>6688</v>
      </c>
      <c r="K212" s="2" t="s">
        <v>6689</v>
      </c>
      <c r="L212" s="2" t="s">
        <v>74</v>
      </c>
      <c r="M212" s="2" t="s">
        <v>74</v>
      </c>
      <c r="N212" s="2" t="s">
        <v>74</v>
      </c>
      <c r="O212" s="2" t="s">
        <v>6690</v>
      </c>
      <c r="P212" s="2" t="s">
        <v>6691</v>
      </c>
      <c r="Q212" s="2" t="s">
        <v>6692</v>
      </c>
      <c r="R212" s="2" t="s">
        <v>6693</v>
      </c>
      <c r="S212" s="2" t="s">
        <v>74</v>
      </c>
      <c r="T212" s="2" t="s">
        <v>74</v>
      </c>
      <c r="U212" s="2" t="s">
        <v>74</v>
      </c>
      <c r="V212" s="5" t="s">
        <v>6694</v>
      </c>
      <c r="W212" s="2" t="s">
        <v>74</v>
      </c>
      <c r="X212" s="2" t="s">
        <v>74</v>
      </c>
      <c r="Y212" s="2" t="s">
        <v>74</v>
      </c>
      <c r="Z212" s="2" t="s">
        <v>74</v>
      </c>
      <c r="AA212" s="2" t="s">
        <v>74</v>
      </c>
      <c r="AB212" s="2" t="s">
        <v>74</v>
      </c>
      <c r="AC212" s="2" t="s">
        <v>74</v>
      </c>
      <c r="AD212" s="2" t="s">
        <v>74</v>
      </c>
      <c r="AE212" s="2" t="s">
        <v>74</v>
      </c>
      <c r="AF212" s="2" t="s">
        <v>74</v>
      </c>
      <c r="AG212" s="2" t="s">
        <v>74</v>
      </c>
      <c r="AH212" s="2" t="s">
        <v>74</v>
      </c>
      <c r="AI212" s="2" t="s">
        <v>74</v>
      </c>
      <c r="AJ212" s="2" t="s">
        <v>74</v>
      </c>
      <c r="AK212" s="2" t="s">
        <v>74</v>
      </c>
      <c r="AL212" s="2" t="s">
        <v>74</v>
      </c>
      <c r="AM212" s="2" t="s">
        <v>74</v>
      </c>
      <c r="AN212" s="2" t="s">
        <v>74</v>
      </c>
      <c r="AO212" s="2" t="s">
        <v>6695</v>
      </c>
      <c r="AP212" s="2" t="s">
        <v>74</v>
      </c>
      <c r="AQ212" s="2" t="s">
        <v>6696</v>
      </c>
      <c r="AR212" s="2" t="s">
        <v>74</v>
      </c>
      <c r="AS212" s="2" t="s">
        <v>74</v>
      </c>
      <c r="AT212" s="2" t="s">
        <v>74</v>
      </c>
      <c r="AU212" s="2">
        <v>2004</v>
      </c>
      <c r="AV212" s="2">
        <v>1036</v>
      </c>
      <c r="AW212" s="2" t="s">
        <v>74</v>
      </c>
      <c r="AX212" s="2" t="s">
        <v>74</v>
      </c>
      <c r="AY212" s="2" t="s">
        <v>74</v>
      </c>
      <c r="AZ212" s="2" t="s">
        <v>74</v>
      </c>
      <c r="BA212" s="2" t="s">
        <v>74</v>
      </c>
      <c r="BB212" s="2">
        <v>85</v>
      </c>
      <c r="BC212" s="2">
        <v>105</v>
      </c>
      <c r="BD212" s="2" t="s">
        <v>74</v>
      </c>
      <c r="BE212" s="2" t="s">
        <v>6697</v>
      </c>
      <c r="BF212" s="2" t="str">
        <f>HYPERLINK("http://dx.doi.org/10.1196/annals.1330.005","http://dx.doi.org/10.1196/annals.1330.005")</f>
        <v>http://dx.doi.org/10.1196/annals.1330.005</v>
      </c>
      <c r="BG212" s="2" t="s">
        <v>74</v>
      </c>
      <c r="BH212" s="2" t="s">
        <v>74</v>
      </c>
      <c r="BI212" s="2" t="s">
        <v>74</v>
      </c>
      <c r="BJ212" s="2" t="s">
        <v>74</v>
      </c>
      <c r="BK212" s="2" t="s">
        <v>74</v>
      </c>
      <c r="BL212" s="2" t="s">
        <v>74</v>
      </c>
      <c r="BM212" s="2" t="s">
        <v>74</v>
      </c>
      <c r="BN212" s="2">
        <v>15817732</v>
      </c>
      <c r="BO212" s="2" t="s">
        <v>74</v>
      </c>
      <c r="BP212" s="2" t="s">
        <v>74</v>
      </c>
      <c r="BQ212" s="2" t="s">
        <v>74</v>
      </c>
      <c r="BR212" s="2" t="s">
        <v>74</v>
      </c>
      <c r="BS212" s="2" t="s">
        <v>6698</v>
      </c>
      <c r="BT212" s="2" t="str">
        <f>HYPERLINK("https%3A%2F%2Fwww.webofscience.com%2Fwos%2Fwoscc%2Ffull-record%2FWOS:000229993700006","View Full Record in Web of Science")</f>
        <v>View Full Record in Web of Science</v>
      </c>
    </row>
    <row r="213" spans="1:72" s="2" customFormat="1" x14ac:dyDescent="0.4">
      <c r="A213" s="2" t="s">
        <v>72</v>
      </c>
      <c r="B213" s="2" t="s">
        <v>4270</v>
      </c>
      <c r="C213" s="2" t="s">
        <v>74</v>
      </c>
      <c r="D213" s="2" t="s">
        <v>74</v>
      </c>
      <c r="E213" s="2" t="s">
        <v>74</v>
      </c>
      <c r="F213" s="2" t="s">
        <v>4270</v>
      </c>
      <c r="G213" s="2" t="s">
        <v>74</v>
      </c>
      <c r="H213" s="2" t="s">
        <v>74</v>
      </c>
      <c r="I213" s="2" t="s">
        <v>4271</v>
      </c>
      <c r="J213" s="2" t="s">
        <v>1112</v>
      </c>
      <c r="K213" s="2" t="s">
        <v>74</v>
      </c>
      <c r="L213" s="2" t="s">
        <v>74</v>
      </c>
      <c r="M213" s="2" t="s">
        <v>74</v>
      </c>
      <c r="N213" s="2" t="s">
        <v>74</v>
      </c>
      <c r="O213" s="2" t="s">
        <v>74</v>
      </c>
      <c r="P213" s="2" t="s">
        <v>74</v>
      </c>
      <c r="Q213" s="2" t="s">
        <v>74</v>
      </c>
      <c r="R213" s="2" t="s">
        <v>74</v>
      </c>
      <c r="S213" s="2" t="s">
        <v>74</v>
      </c>
      <c r="T213" s="2" t="s">
        <v>74</v>
      </c>
      <c r="U213" s="2" t="s">
        <v>74</v>
      </c>
      <c r="V213" s="5" t="s">
        <v>4272</v>
      </c>
      <c r="W213" s="2" t="s">
        <v>74</v>
      </c>
      <c r="X213" s="2" t="s">
        <v>74</v>
      </c>
      <c r="Y213" s="2" t="s">
        <v>74</v>
      </c>
      <c r="Z213" s="2" t="s">
        <v>74</v>
      </c>
      <c r="AA213" s="2" t="s">
        <v>74</v>
      </c>
      <c r="AB213" s="2" t="s">
        <v>74</v>
      </c>
      <c r="AC213" s="2" t="s">
        <v>74</v>
      </c>
      <c r="AD213" s="2" t="s">
        <v>74</v>
      </c>
      <c r="AE213" s="2" t="s">
        <v>74</v>
      </c>
      <c r="AF213" s="2" t="s">
        <v>74</v>
      </c>
      <c r="AG213" s="2" t="s">
        <v>74</v>
      </c>
      <c r="AH213" s="2" t="s">
        <v>74</v>
      </c>
      <c r="AI213" s="2" t="s">
        <v>74</v>
      </c>
      <c r="AJ213" s="2" t="s">
        <v>74</v>
      </c>
      <c r="AK213" s="2" t="s">
        <v>74</v>
      </c>
      <c r="AL213" s="2" t="s">
        <v>74</v>
      </c>
      <c r="AM213" s="2" t="s">
        <v>74</v>
      </c>
      <c r="AN213" s="2" t="s">
        <v>74</v>
      </c>
      <c r="AO213" s="2" t="s">
        <v>1114</v>
      </c>
      <c r="AP213" s="2" t="s">
        <v>74</v>
      </c>
      <c r="AQ213" s="2" t="s">
        <v>74</v>
      </c>
      <c r="AR213" s="2" t="s">
        <v>74</v>
      </c>
      <c r="AS213" s="2" t="s">
        <v>74</v>
      </c>
      <c r="AT213" s="2" t="s">
        <v>352</v>
      </c>
      <c r="AU213" s="2">
        <v>1992</v>
      </c>
      <c r="AV213" s="2">
        <v>34</v>
      </c>
      <c r="AW213" s="2">
        <v>4</v>
      </c>
      <c r="AX213" s="2" t="s">
        <v>74</v>
      </c>
      <c r="AY213" s="2" t="s">
        <v>74</v>
      </c>
      <c r="AZ213" s="2" t="s">
        <v>74</v>
      </c>
      <c r="BA213" s="2" t="s">
        <v>74</v>
      </c>
      <c r="BB213" s="2">
        <v>359</v>
      </c>
      <c r="BC213" s="2">
        <v>363</v>
      </c>
      <c r="BD213" s="2" t="s">
        <v>74</v>
      </c>
      <c r="BE213" s="2" t="s">
        <v>4273</v>
      </c>
      <c r="BF213" s="2" t="str">
        <f>HYPERLINK("http://dx.doi.org/10.1016/S0168-1591(05)80095-4","http://dx.doi.org/10.1016/S0168-1591(05)80095-4")</f>
        <v>http://dx.doi.org/10.1016/S0168-1591(05)80095-4</v>
      </c>
      <c r="BG213" s="2" t="s">
        <v>74</v>
      </c>
      <c r="BH213" s="2" t="s">
        <v>74</v>
      </c>
      <c r="BI213" s="2" t="s">
        <v>74</v>
      </c>
      <c r="BJ213" s="2" t="s">
        <v>74</v>
      </c>
      <c r="BK213" s="2" t="s">
        <v>74</v>
      </c>
      <c r="BL213" s="2" t="s">
        <v>74</v>
      </c>
      <c r="BM213" s="2" t="s">
        <v>74</v>
      </c>
      <c r="BN213" s="2" t="s">
        <v>74</v>
      </c>
      <c r="BO213" s="2" t="s">
        <v>74</v>
      </c>
      <c r="BP213" s="2" t="s">
        <v>74</v>
      </c>
      <c r="BQ213" s="2" t="s">
        <v>74</v>
      </c>
      <c r="BR213" s="2" t="s">
        <v>74</v>
      </c>
      <c r="BS213" s="2" t="s">
        <v>4274</v>
      </c>
      <c r="BT213" s="2" t="str">
        <f>HYPERLINK("https%3A%2F%2Fwww.webofscience.com%2Fwos%2Fwoscc%2Ffull-record%2FWOS:A1992JL53300007","View Full Record in Web of Science")</f>
        <v>View Full Record in Web of Science</v>
      </c>
    </row>
    <row r="214" spans="1:72" s="2" customFormat="1" x14ac:dyDescent="0.4">
      <c r="A214" s="2" t="s">
        <v>72</v>
      </c>
      <c r="B214" s="2" t="s">
        <v>3879</v>
      </c>
      <c r="C214" s="2" t="s">
        <v>74</v>
      </c>
      <c r="D214" s="2" t="s">
        <v>74</v>
      </c>
      <c r="E214" s="2" t="s">
        <v>74</v>
      </c>
      <c r="F214" s="2" t="s">
        <v>3879</v>
      </c>
      <c r="G214" s="2" t="s">
        <v>74</v>
      </c>
      <c r="H214" s="2" t="s">
        <v>74</v>
      </c>
      <c r="I214" s="2" t="s">
        <v>3880</v>
      </c>
      <c r="J214" s="2" t="s">
        <v>129</v>
      </c>
      <c r="K214" s="2" t="s">
        <v>74</v>
      </c>
      <c r="L214" s="2" t="s">
        <v>74</v>
      </c>
      <c r="M214" s="2" t="s">
        <v>74</v>
      </c>
      <c r="N214" s="2" t="s">
        <v>74</v>
      </c>
      <c r="O214" s="2" t="s">
        <v>74</v>
      </c>
      <c r="P214" s="2" t="s">
        <v>74</v>
      </c>
      <c r="Q214" s="2" t="s">
        <v>74</v>
      </c>
      <c r="R214" s="2" t="s">
        <v>74</v>
      </c>
      <c r="S214" s="2" t="s">
        <v>74</v>
      </c>
      <c r="T214" s="2" t="s">
        <v>74</v>
      </c>
      <c r="U214" s="2" t="s">
        <v>74</v>
      </c>
      <c r="V214" s="5" t="s">
        <v>3881</v>
      </c>
      <c r="W214" s="2" t="s">
        <v>74</v>
      </c>
      <c r="X214" s="2" t="s">
        <v>74</v>
      </c>
      <c r="Y214" s="2" t="s">
        <v>74</v>
      </c>
      <c r="Z214" s="2" t="s">
        <v>74</v>
      </c>
      <c r="AA214" s="2" t="s">
        <v>3882</v>
      </c>
      <c r="AB214" s="2" t="s">
        <v>3883</v>
      </c>
      <c r="AC214" s="2" t="s">
        <v>74</v>
      </c>
      <c r="AD214" s="2" t="s">
        <v>74</v>
      </c>
      <c r="AE214" s="2" t="s">
        <v>74</v>
      </c>
      <c r="AF214" s="2" t="s">
        <v>74</v>
      </c>
      <c r="AG214" s="2" t="s">
        <v>74</v>
      </c>
      <c r="AH214" s="2" t="s">
        <v>74</v>
      </c>
      <c r="AI214" s="2" t="s">
        <v>74</v>
      </c>
      <c r="AJ214" s="2" t="s">
        <v>74</v>
      </c>
      <c r="AK214" s="2" t="s">
        <v>74</v>
      </c>
      <c r="AL214" s="2" t="s">
        <v>74</v>
      </c>
      <c r="AM214" s="2" t="s">
        <v>74</v>
      </c>
      <c r="AN214" s="2" t="s">
        <v>74</v>
      </c>
      <c r="AO214" s="2" t="s">
        <v>132</v>
      </c>
      <c r="AP214" s="2" t="s">
        <v>74</v>
      </c>
      <c r="AQ214" s="2" t="s">
        <v>74</v>
      </c>
      <c r="AR214" s="2" t="s">
        <v>74</v>
      </c>
      <c r="AS214" s="2" t="s">
        <v>74</v>
      </c>
      <c r="AT214" s="2" t="s">
        <v>134</v>
      </c>
      <c r="AU214" s="2">
        <v>2000</v>
      </c>
      <c r="AV214" s="2">
        <v>47</v>
      </c>
      <c r="AW214" s="2">
        <v>6</v>
      </c>
      <c r="AX214" s="2" t="s">
        <v>74</v>
      </c>
      <c r="AY214" s="2" t="s">
        <v>74</v>
      </c>
      <c r="AZ214" s="2" t="s">
        <v>74</v>
      </c>
      <c r="BA214" s="2" t="s">
        <v>74</v>
      </c>
      <c r="BB214" s="2">
        <v>413</v>
      </c>
      <c r="BC214" s="2">
        <v>416</v>
      </c>
      <c r="BD214" s="2" t="s">
        <v>74</v>
      </c>
      <c r="BE214" s="2" t="s">
        <v>3884</v>
      </c>
      <c r="BF214" s="2" t="str">
        <f>HYPERLINK("http://dx.doi.org/10.1007/s002650050684","http://dx.doi.org/10.1007/s002650050684")</f>
        <v>http://dx.doi.org/10.1007/s002650050684</v>
      </c>
      <c r="BG214" s="2" t="s">
        <v>74</v>
      </c>
      <c r="BH214" s="2" t="s">
        <v>74</v>
      </c>
      <c r="BI214" s="2" t="s">
        <v>74</v>
      </c>
      <c r="BJ214" s="2" t="s">
        <v>74</v>
      </c>
      <c r="BK214" s="2" t="s">
        <v>74</v>
      </c>
      <c r="BL214" s="2" t="s">
        <v>74</v>
      </c>
      <c r="BM214" s="2" t="s">
        <v>74</v>
      </c>
      <c r="BN214" s="2" t="s">
        <v>74</v>
      </c>
      <c r="BO214" s="2" t="s">
        <v>74</v>
      </c>
      <c r="BP214" s="2" t="s">
        <v>74</v>
      </c>
      <c r="BQ214" s="2" t="s">
        <v>74</v>
      </c>
      <c r="BR214" s="2" t="s">
        <v>74</v>
      </c>
      <c r="BS214" s="2" t="s">
        <v>3885</v>
      </c>
      <c r="BT214" s="2" t="str">
        <f>HYPERLINK("https%3A%2F%2Fwww.webofscience.com%2Fwos%2Fwoscc%2Ffull-record%2FWOS:000087531600006","View Full Record in Web of Science")</f>
        <v>View Full Record in Web of Science</v>
      </c>
    </row>
    <row r="215" spans="1:72" s="2" customFormat="1" x14ac:dyDescent="0.4">
      <c r="A215" s="2" t="s">
        <v>72</v>
      </c>
      <c r="B215" s="2" t="s">
        <v>7865</v>
      </c>
      <c r="C215" s="2" t="s">
        <v>74</v>
      </c>
      <c r="D215" s="2" t="s">
        <v>74</v>
      </c>
      <c r="E215" s="2" t="s">
        <v>74</v>
      </c>
      <c r="F215" s="2" t="s">
        <v>7866</v>
      </c>
      <c r="G215" s="2" t="s">
        <v>74</v>
      </c>
      <c r="H215" s="2" t="s">
        <v>74</v>
      </c>
      <c r="I215" s="2" t="s">
        <v>7867</v>
      </c>
      <c r="J215" s="2" t="s">
        <v>5937</v>
      </c>
      <c r="K215" s="2" t="s">
        <v>74</v>
      </c>
      <c r="L215" s="2" t="s">
        <v>74</v>
      </c>
      <c r="M215" s="2" t="s">
        <v>74</v>
      </c>
      <c r="N215" s="2" t="s">
        <v>74</v>
      </c>
      <c r="O215" s="2" t="s">
        <v>74</v>
      </c>
      <c r="P215" s="2" t="s">
        <v>74</v>
      </c>
      <c r="Q215" s="2" t="s">
        <v>74</v>
      </c>
      <c r="R215" s="2" t="s">
        <v>74</v>
      </c>
      <c r="S215" s="2" t="s">
        <v>74</v>
      </c>
      <c r="T215" s="2" t="s">
        <v>74</v>
      </c>
      <c r="U215" s="2" t="s">
        <v>74</v>
      </c>
      <c r="V215" s="5" t="s">
        <v>7868</v>
      </c>
      <c r="W215" s="2" t="s">
        <v>74</v>
      </c>
      <c r="X215" s="2" t="s">
        <v>74</v>
      </c>
      <c r="Y215" s="2" t="s">
        <v>74</v>
      </c>
      <c r="Z215" s="2" t="s">
        <v>74</v>
      </c>
      <c r="AA215" s="2" t="s">
        <v>74</v>
      </c>
      <c r="AB215" s="2" t="s">
        <v>74</v>
      </c>
      <c r="AC215" s="2" t="s">
        <v>74</v>
      </c>
      <c r="AD215" s="2" t="s">
        <v>74</v>
      </c>
      <c r="AE215" s="2" t="s">
        <v>74</v>
      </c>
      <c r="AF215" s="2" t="s">
        <v>74</v>
      </c>
      <c r="AG215" s="2" t="s">
        <v>74</v>
      </c>
      <c r="AH215" s="2" t="s">
        <v>74</v>
      </c>
      <c r="AI215" s="2" t="s">
        <v>74</v>
      </c>
      <c r="AJ215" s="2" t="s">
        <v>74</v>
      </c>
      <c r="AK215" s="2" t="s">
        <v>74</v>
      </c>
      <c r="AL215" s="2" t="s">
        <v>74</v>
      </c>
      <c r="AM215" s="2" t="s">
        <v>74</v>
      </c>
      <c r="AN215" s="2" t="s">
        <v>74</v>
      </c>
      <c r="AO215" s="2" t="s">
        <v>5941</v>
      </c>
      <c r="AP215" s="2" t="s">
        <v>74</v>
      </c>
      <c r="AQ215" s="2" t="s">
        <v>74</v>
      </c>
      <c r="AR215" s="2" t="s">
        <v>74</v>
      </c>
      <c r="AS215" s="2" t="s">
        <v>74</v>
      </c>
      <c r="AT215" s="2" t="s">
        <v>204</v>
      </c>
      <c r="AU215" s="2">
        <v>2021</v>
      </c>
      <c r="AV215" s="2">
        <v>11</v>
      </c>
      <c r="AW215" s="2">
        <v>7</v>
      </c>
      <c r="AX215" s="2" t="s">
        <v>74</v>
      </c>
      <c r="AY215" s="2" t="s">
        <v>74</v>
      </c>
      <c r="AZ215" s="2" t="s">
        <v>74</v>
      </c>
      <c r="BA215" s="2" t="s">
        <v>74</v>
      </c>
      <c r="BB215" s="2" t="s">
        <v>74</v>
      </c>
      <c r="BC215" s="2" t="s">
        <v>74</v>
      </c>
      <c r="BD215" s="2">
        <v>2070</v>
      </c>
      <c r="BE215" s="2" t="s">
        <v>7869</v>
      </c>
      <c r="BF215" s="2" t="str">
        <f>HYPERLINK("http://dx.doi.org/10.3390/ani11072070","http://dx.doi.org/10.3390/ani11072070")</f>
        <v>http://dx.doi.org/10.3390/ani11072070</v>
      </c>
      <c r="BG215" s="2" t="s">
        <v>74</v>
      </c>
      <c r="BH215" s="2" t="s">
        <v>74</v>
      </c>
      <c r="BI215" s="2" t="s">
        <v>74</v>
      </c>
      <c r="BJ215" s="2" t="s">
        <v>74</v>
      </c>
      <c r="BK215" s="2" t="s">
        <v>74</v>
      </c>
      <c r="BL215" s="2" t="s">
        <v>74</v>
      </c>
      <c r="BM215" s="2" t="s">
        <v>74</v>
      </c>
      <c r="BN215" s="2">
        <v>34359198</v>
      </c>
      <c r="BO215" s="2" t="s">
        <v>74</v>
      </c>
      <c r="BP215" s="2" t="s">
        <v>74</v>
      </c>
      <c r="BQ215" s="2" t="s">
        <v>74</v>
      </c>
      <c r="BR215" s="2" t="s">
        <v>74</v>
      </c>
      <c r="BS215" s="2" t="s">
        <v>7870</v>
      </c>
      <c r="BT215" s="2" t="str">
        <f>HYPERLINK("https%3A%2F%2Fwww.webofscience.com%2Fwos%2Fwoscc%2Ffull-record%2FWOS:000675936800001","View Full Record in Web of Science")</f>
        <v>View Full Record in Web of Science</v>
      </c>
    </row>
    <row r="216" spans="1:72" s="2" customFormat="1" x14ac:dyDescent="0.4">
      <c r="A216" s="2" t="s">
        <v>72</v>
      </c>
      <c r="B216" s="2" t="s">
        <v>7359</v>
      </c>
      <c r="C216" s="2" t="s">
        <v>74</v>
      </c>
      <c r="D216" s="2" t="s">
        <v>74</v>
      </c>
      <c r="E216" s="2" t="s">
        <v>74</v>
      </c>
      <c r="F216" s="2" t="s">
        <v>7360</v>
      </c>
      <c r="G216" s="2" t="s">
        <v>74</v>
      </c>
      <c r="H216" s="2" t="s">
        <v>74</v>
      </c>
      <c r="I216" s="2" t="s">
        <v>7361</v>
      </c>
      <c r="J216" s="2" t="s">
        <v>882</v>
      </c>
      <c r="K216" s="2" t="s">
        <v>74</v>
      </c>
      <c r="L216" s="2" t="s">
        <v>74</v>
      </c>
      <c r="M216" s="2" t="s">
        <v>74</v>
      </c>
      <c r="N216" s="2" t="s">
        <v>74</v>
      </c>
      <c r="O216" s="2" t="s">
        <v>74</v>
      </c>
      <c r="P216" s="2" t="s">
        <v>74</v>
      </c>
      <c r="Q216" s="2" t="s">
        <v>74</v>
      </c>
      <c r="R216" s="2" t="s">
        <v>74</v>
      </c>
      <c r="S216" s="2" t="s">
        <v>74</v>
      </c>
      <c r="T216" s="2" t="s">
        <v>74</v>
      </c>
      <c r="U216" s="2" t="s">
        <v>74</v>
      </c>
      <c r="V216" s="5" t="s">
        <v>7362</v>
      </c>
      <c r="W216" s="2" t="s">
        <v>74</v>
      </c>
      <c r="X216" s="2" t="s">
        <v>74</v>
      </c>
      <c r="Y216" s="2" t="s">
        <v>74</v>
      </c>
      <c r="Z216" s="2" t="s">
        <v>74</v>
      </c>
      <c r="AA216" s="2" t="s">
        <v>7363</v>
      </c>
      <c r="AB216" s="2" t="s">
        <v>7364</v>
      </c>
      <c r="AC216" s="2" t="s">
        <v>74</v>
      </c>
      <c r="AD216" s="2" t="s">
        <v>74</v>
      </c>
      <c r="AE216" s="2" t="s">
        <v>74</v>
      </c>
      <c r="AF216" s="2" t="s">
        <v>74</v>
      </c>
      <c r="AG216" s="2" t="s">
        <v>74</v>
      </c>
      <c r="AH216" s="2" t="s">
        <v>74</v>
      </c>
      <c r="AI216" s="2" t="s">
        <v>74</v>
      </c>
      <c r="AJ216" s="2" t="s">
        <v>74</v>
      </c>
      <c r="AK216" s="2" t="s">
        <v>74</v>
      </c>
      <c r="AL216" s="2" t="s">
        <v>74</v>
      </c>
      <c r="AM216" s="2" t="s">
        <v>74</v>
      </c>
      <c r="AN216" s="2" t="s">
        <v>74</v>
      </c>
      <c r="AO216" s="2" t="s">
        <v>886</v>
      </c>
      <c r="AP216" s="2" t="s">
        <v>887</v>
      </c>
      <c r="AQ216" s="2" t="s">
        <v>74</v>
      </c>
      <c r="AR216" s="2" t="s">
        <v>74</v>
      </c>
      <c r="AS216" s="2" t="s">
        <v>74</v>
      </c>
      <c r="AT216" s="2" t="s">
        <v>74</v>
      </c>
      <c r="AU216" s="2">
        <v>2019</v>
      </c>
      <c r="AV216" s="2">
        <v>28</v>
      </c>
      <c r="AW216" s="2" t="s">
        <v>74</v>
      </c>
      <c r="AX216" s="2" t="s">
        <v>74</v>
      </c>
      <c r="AY216" s="2" t="s">
        <v>74</v>
      </c>
      <c r="AZ216" s="2" t="s">
        <v>74</v>
      </c>
      <c r="BA216" s="2" t="s">
        <v>74</v>
      </c>
      <c r="BB216" s="2">
        <v>127</v>
      </c>
      <c r="BC216" s="2">
        <v>136</v>
      </c>
      <c r="BD216" s="2" t="s">
        <v>74</v>
      </c>
      <c r="BE216" s="2" t="s">
        <v>7365</v>
      </c>
      <c r="BF216" s="2" t="str">
        <f>HYPERLINK("http://dx.doi.org/10.3354/ab00718","http://dx.doi.org/10.3354/ab00718")</f>
        <v>http://dx.doi.org/10.3354/ab00718</v>
      </c>
      <c r="BG216" s="2" t="s">
        <v>74</v>
      </c>
      <c r="BH216" s="2" t="s">
        <v>74</v>
      </c>
      <c r="BI216" s="2" t="s">
        <v>74</v>
      </c>
      <c r="BJ216" s="2" t="s">
        <v>74</v>
      </c>
      <c r="BK216" s="2" t="s">
        <v>74</v>
      </c>
      <c r="BL216" s="2" t="s">
        <v>74</v>
      </c>
      <c r="BM216" s="2" t="s">
        <v>74</v>
      </c>
      <c r="BN216" s="2" t="s">
        <v>74</v>
      </c>
      <c r="BO216" s="2" t="s">
        <v>74</v>
      </c>
      <c r="BP216" s="2" t="s">
        <v>74</v>
      </c>
      <c r="BQ216" s="2" t="s">
        <v>74</v>
      </c>
      <c r="BR216" s="2" t="s">
        <v>74</v>
      </c>
      <c r="BS216" s="2" t="s">
        <v>7366</v>
      </c>
      <c r="BT216" s="2" t="str">
        <f>HYPERLINK("https%3A%2F%2Fwww.webofscience.com%2Fwos%2Fwoscc%2Ffull-record%2FWOS:000518432200009","View Full Record in Web of Science")</f>
        <v>View Full Record in Web of Science</v>
      </c>
    </row>
    <row r="217" spans="1:72" s="2" customFormat="1" x14ac:dyDescent="0.4">
      <c r="A217" s="2" t="s">
        <v>72</v>
      </c>
      <c r="B217" s="2" t="s">
        <v>148</v>
      </c>
      <c r="C217" s="2" t="s">
        <v>74</v>
      </c>
      <c r="D217" s="2" t="s">
        <v>74</v>
      </c>
      <c r="E217" s="2" t="s">
        <v>74</v>
      </c>
      <c r="F217" s="2" t="s">
        <v>149</v>
      </c>
      <c r="G217" s="2" t="s">
        <v>74</v>
      </c>
      <c r="H217" s="2" t="s">
        <v>74</v>
      </c>
      <c r="I217" s="2" t="s">
        <v>150</v>
      </c>
      <c r="J217" s="2" t="s">
        <v>151</v>
      </c>
      <c r="K217" s="2" t="s">
        <v>74</v>
      </c>
      <c r="L217" s="2" t="s">
        <v>74</v>
      </c>
      <c r="M217" s="2" t="s">
        <v>74</v>
      </c>
      <c r="N217" s="2" t="s">
        <v>74</v>
      </c>
      <c r="O217" s="2" t="s">
        <v>74</v>
      </c>
      <c r="P217" s="2" t="s">
        <v>74</v>
      </c>
      <c r="Q217" s="2" t="s">
        <v>74</v>
      </c>
      <c r="R217" s="2" t="s">
        <v>74</v>
      </c>
      <c r="S217" s="2" t="s">
        <v>74</v>
      </c>
      <c r="T217" s="2" t="s">
        <v>74</v>
      </c>
      <c r="U217" s="2" t="s">
        <v>74</v>
      </c>
      <c r="V217" s="5" t="s">
        <v>152</v>
      </c>
      <c r="W217" s="2" t="s">
        <v>74</v>
      </c>
      <c r="X217" s="2" t="s">
        <v>74</v>
      </c>
      <c r="Y217" s="2" t="s">
        <v>74</v>
      </c>
      <c r="Z217" s="2" t="s">
        <v>74</v>
      </c>
      <c r="AA217" s="2" t="s">
        <v>153</v>
      </c>
      <c r="AB217" s="2" t="s">
        <v>154</v>
      </c>
      <c r="AC217" s="2" t="s">
        <v>74</v>
      </c>
      <c r="AD217" s="2" t="s">
        <v>74</v>
      </c>
      <c r="AE217" s="2" t="s">
        <v>74</v>
      </c>
      <c r="AF217" s="2" t="s">
        <v>74</v>
      </c>
      <c r="AG217" s="2" t="s">
        <v>74</v>
      </c>
      <c r="AH217" s="2" t="s">
        <v>74</v>
      </c>
      <c r="AI217" s="2" t="s">
        <v>74</v>
      </c>
      <c r="AJ217" s="2" t="s">
        <v>74</v>
      </c>
      <c r="AK217" s="2" t="s">
        <v>74</v>
      </c>
      <c r="AL217" s="2" t="s">
        <v>74</v>
      </c>
      <c r="AM217" s="2" t="s">
        <v>74</v>
      </c>
      <c r="AN217" s="2" t="s">
        <v>74</v>
      </c>
      <c r="AO217" s="2" t="s">
        <v>155</v>
      </c>
      <c r="AP217" s="2" t="s">
        <v>156</v>
      </c>
      <c r="AQ217" s="2" t="s">
        <v>74</v>
      </c>
      <c r="AR217" s="2" t="s">
        <v>74</v>
      </c>
      <c r="AS217" s="2" t="s">
        <v>74</v>
      </c>
      <c r="AT217" s="2" t="s">
        <v>74</v>
      </c>
      <c r="AU217" s="2">
        <v>2014</v>
      </c>
      <c r="AV217" s="2">
        <v>504</v>
      </c>
      <c r="AW217" s="2" t="s">
        <v>74</v>
      </c>
      <c r="AX217" s="2" t="s">
        <v>74</v>
      </c>
      <c r="AY217" s="2" t="s">
        <v>74</v>
      </c>
      <c r="AZ217" s="2" t="s">
        <v>74</v>
      </c>
      <c r="BA217" s="2" t="s">
        <v>74</v>
      </c>
      <c r="BB217" s="2">
        <v>277</v>
      </c>
      <c r="BC217" s="2">
        <v>286</v>
      </c>
      <c r="BD217" s="2" t="s">
        <v>74</v>
      </c>
      <c r="BE217" s="2" t="s">
        <v>157</v>
      </c>
      <c r="BF217" s="2" t="str">
        <f>HYPERLINK("http://dx.doi.org/10.3354/meps10760","http://dx.doi.org/10.3354/meps10760")</f>
        <v>http://dx.doi.org/10.3354/meps10760</v>
      </c>
      <c r="BG217" s="2" t="s">
        <v>74</v>
      </c>
      <c r="BH217" s="2" t="s">
        <v>74</v>
      </c>
      <c r="BI217" s="2" t="s">
        <v>74</v>
      </c>
      <c r="BJ217" s="2" t="s">
        <v>74</v>
      </c>
      <c r="BK217" s="2" t="s">
        <v>74</v>
      </c>
      <c r="BL217" s="2" t="s">
        <v>74</v>
      </c>
      <c r="BM217" s="2" t="s">
        <v>74</v>
      </c>
      <c r="BN217" s="2" t="s">
        <v>74</v>
      </c>
      <c r="BO217" s="2" t="s">
        <v>74</v>
      </c>
      <c r="BP217" s="2" t="s">
        <v>74</v>
      </c>
      <c r="BQ217" s="2" t="s">
        <v>74</v>
      </c>
      <c r="BR217" s="2" t="s">
        <v>74</v>
      </c>
      <c r="BS217" s="2" t="s">
        <v>158</v>
      </c>
      <c r="BT217" s="2" t="str">
        <f>HYPERLINK("https%3A%2F%2Fwww.webofscience.com%2Fwos%2Fwoscc%2Ffull-record%2FWOS:000335963100021","View Full Record in Web of Science")</f>
        <v>View Full Record in Web of Science</v>
      </c>
    </row>
    <row r="218" spans="1:72" s="2" customFormat="1" x14ac:dyDescent="0.4">
      <c r="A218" s="2" t="s">
        <v>72</v>
      </c>
      <c r="B218" s="2" t="s">
        <v>4220</v>
      </c>
      <c r="C218" s="2" t="s">
        <v>74</v>
      </c>
      <c r="D218" s="2" t="s">
        <v>74</v>
      </c>
      <c r="E218" s="2" t="s">
        <v>74</v>
      </c>
      <c r="F218" s="2" t="s">
        <v>4221</v>
      </c>
      <c r="G218" s="2" t="s">
        <v>74</v>
      </c>
      <c r="H218" s="2" t="s">
        <v>74</v>
      </c>
      <c r="I218" s="2" t="s">
        <v>4222</v>
      </c>
      <c r="J218" s="2" t="s">
        <v>1384</v>
      </c>
      <c r="K218" s="2" t="s">
        <v>74</v>
      </c>
      <c r="L218" s="2" t="s">
        <v>74</v>
      </c>
      <c r="M218" s="2" t="s">
        <v>74</v>
      </c>
      <c r="N218" s="2" t="s">
        <v>74</v>
      </c>
      <c r="O218" s="2" t="s">
        <v>74</v>
      </c>
      <c r="P218" s="2" t="s">
        <v>74</v>
      </c>
      <c r="Q218" s="2" t="s">
        <v>74</v>
      </c>
      <c r="R218" s="2" t="s">
        <v>74</v>
      </c>
      <c r="S218" s="2" t="s">
        <v>74</v>
      </c>
      <c r="T218" s="2" t="s">
        <v>74</v>
      </c>
      <c r="U218" s="2" t="s">
        <v>74</v>
      </c>
      <c r="V218" s="5" t="s">
        <v>4223</v>
      </c>
      <c r="W218" s="2" t="s">
        <v>74</v>
      </c>
      <c r="X218" s="2" t="s">
        <v>74</v>
      </c>
      <c r="Y218" s="2" t="s">
        <v>74</v>
      </c>
      <c r="Z218" s="2" t="s">
        <v>74</v>
      </c>
      <c r="AA218" s="2" t="s">
        <v>4224</v>
      </c>
      <c r="AB218" s="2" t="s">
        <v>74</v>
      </c>
      <c r="AC218" s="2" t="s">
        <v>74</v>
      </c>
      <c r="AD218" s="2" t="s">
        <v>74</v>
      </c>
      <c r="AE218" s="2" t="s">
        <v>74</v>
      </c>
      <c r="AF218" s="2" t="s">
        <v>74</v>
      </c>
      <c r="AG218" s="2" t="s">
        <v>74</v>
      </c>
      <c r="AH218" s="2" t="s">
        <v>74</v>
      </c>
      <c r="AI218" s="2" t="s">
        <v>74</v>
      </c>
      <c r="AJ218" s="2" t="s">
        <v>74</v>
      </c>
      <c r="AK218" s="2" t="s">
        <v>74</v>
      </c>
      <c r="AL218" s="2" t="s">
        <v>74</v>
      </c>
      <c r="AM218" s="2" t="s">
        <v>74</v>
      </c>
      <c r="AN218" s="2" t="s">
        <v>74</v>
      </c>
      <c r="AO218" s="2" t="s">
        <v>1388</v>
      </c>
      <c r="AP218" s="2" t="s">
        <v>74</v>
      </c>
      <c r="AQ218" s="2" t="s">
        <v>74</v>
      </c>
      <c r="AR218" s="2" t="s">
        <v>74</v>
      </c>
      <c r="AS218" s="2" t="s">
        <v>74</v>
      </c>
      <c r="AT218" s="2" t="s">
        <v>255</v>
      </c>
      <c r="AU218" s="2">
        <v>2013</v>
      </c>
      <c r="AV218" s="2">
        <v>155</v>
      </c>
      <c r="AW218" s="2">
        <v>1</v>
      </c>
      <c r="AX218" s="2" t="s">
        <v>74</v>
      </c>
      <c r="AY218" s="2" t="s">
        <v>74</v>
      </c>
      <c r="AZ218" s="2" t="s">
        <v>74</v>
      </c>
      <c r="BA218" s="2" t="s">
        <v>74</v>
      </c>
      <c r="BB218" s="2">
        <v>189</v>
      </c>
      <c r="BC218" s="2">
        <v>193</v>
      </c>
      <c r="BD218" s="2" t="s">
        <v>74</v>
      </c>
      <c r="BE218" s="2" t="s">
        <v>4225</v>
      </c>
      <c r="BF218" s="2" t="str">
        <f>HYPERLINK("http://dx.doi.org/10.1111/j.1474-919X.2012.01264.x","http://dx.doi.org/10.1111/j.1474-919X.2012.01264.x")</f>
        <v>http://dx.doi.org/10.1111/j.1474-919X.2012.01264.x</v>
      </c>
      <c r="BG218" s="2" t="s">
        <v>74</v>
      </c>
      <c r="BH218" s="2" t="s">
        <v>74</v>
      </c>
      <c r="BI218" s="2" t="s">
        <v>74</v>
      </c>
      <c r="BJ218" s="2" t="s">
        <v>74</v>
      </c>
      <c r="BK218" s="2" t="s">
        <v>74</v>
      </c>
      <c r="BL218" s="2" t="s">
        <v>74</v>
      </c>
      <c r="BM218" s="2" t="s">
        <v>74</v>
      </c>
      <c r="BN218" s="2" t="s">
        <v>74</v>
      </c>
      <c r="BO218" s="2" t="s">
        <v>74</v>
      </c>
      <c r="BP218" s="2" t="s">
        <v>74</v>
      </c>
      <c r="BQ218" s="2" t="s">
        <v>74</v>
      </c>
      <c r="BR218" s="2" t="s">
        <v>74</v>
      </c>
      <c r="BS218" s="2" t="s">
        <v>4226</v>
      </c>
      <c r="BT218" s="2" t="str">
        <f>HYPERLINK("https%3A%2F%2Fwww.webofscience.com%2Fwos%2Fwoscc%2Ffull-record%2FWOS:000316326600017","View Full Record in Web of Science")</f>
        <v>View Full Record in Web of Science</v>
      </c>
    </row>
    <row r="219" spans="1:72" s="2" customFormat="1" x14ac:dyDescent="0.4">
      <c r="A219" s="2" t="s">
        <v>72</v>
      </c>
      <c r="B219" s="2" t="s">
        <v>3260</v>
      </c>
      <c r="C219" s="2" t="s">
        <v>74</v>
      </c>
      <c r="D219" s="2" t="s">
        <v>74</v>
      </c>
      <c r="E219" s="2" t="s">
        <v>74</v>
      </c>
      <c r="F219" s="2" t="s">
        <v>3261</v>
      </c>
      <c r="G219" s="2" t="s">
        <v>74</v>
      </c>
      <c r="H219" s="2" t="s">
        <v>74</v>
      </c>
      <c r="I219" s="2" t="s">
        <v>3262</v>
      </c>
      <c r="J219" s="2" t="s">
        <v>576</v>
      </c>
      <c r="K219" s="2" t="s">
        <v>74</v>
      </c>
      <c r="L219" s="2" t="s">
        <v>74</v>
      </c>
      <c r="M219" s="2" t="s">
        <v>74</v>
      </c>
      <c r="N219" s="2" t="s">
        <v>74</v>
      </c>
      <c r="O219" s="2" t="s">
        <v>74</v>
      </c>
      <c r="P219" s="2" t="s">
        <v>74</v>
      </c>
      <c r="Q219" s="2" t="s">
        <v>74</v>
      </c>
      <c r="R219" s="2" t="s">
        <v>74</v>
      </c>
      <c r="S219" s="2" t="s">
        <v>74</v>
      </c>
      <c r="T219" s="2" t="s">
        <v>74</v>
      </c>
      <c r="U219" s="2" t="s">
        <v>74</v>
      </c>
      <c r="V219" s="5" t="s">
        <v>3263</v>
      </c>
      <c r="W219" s="2" t="s">
        <v>74</v>
      </c>
      <c r="X219" s="2" t="s">
        <v>74</v>
      </c>
      <c r="Y219" s="2" t="s">
        <v>74</v>
      </c>
      <c r="Z219" s="2" t="s">
        <v>74</v>
      </c>
      <c r="AA219" s="2" t="s">
        <v>3264</v>
      </c>
      <c r="AB219" s="2" t="s">
        <v>434</v>
      </c>
      <c r="AC219" s="2" t="s">
        <v>74</v>
      </c>
      <c r="AD219" s="2" t="s">
        <v>74</v>
      </c>
      <c r="AE219" s="2" t="s">
        <v>74</v>
      </c>
      <c r="AF219" s="2" t="s">
        <v>74</v>
      </c>
      <c r="AG219" s="2" t="s">
        <v>74</v>
      </c>
      <c r="AH219" s="2" t="s">
        <v>74</v>
      </c>
      <c r="AI219" s="2" t="s">
        <v>74</v>
      </c>
      <c r="AJ219" s="2" t="s">
        <v>74</v>
      </c>
      <c r="AK219" s="2" t="s">
        <v>74</v>
      </c>
      <c r="AL219" s="2" t="s">
        <v>74</v>
      </c>
      <c r="AM219" s="2" t="s">
        <v>74</v>
      </c>
      <c r="AN219" s="2" t="s">
        <v>74</v>
      </c>
      <c r="AO219" s="2" t="s">
        <v>579</v>
      </c>
      <c r="AP219" s="2" t="s">
        <v>580</v>
      </c>
      <c r="AQ219" s="2" t="s">
        <v>74</v>
      </c>
      <c r="AR219" s="2" t="s">
        <v>74</v>
      </c>
      <c r="AS219" s="2" t="s">
        <v>74</v>
      </c>
      <c r="AT219" s="2" t="s">
        <v>213</v>
      </c>
      <c r="AU219" s="2">
        <v>2013</v>
      </c>
      <c r="AV219" s="2">
        <v>27</v>
      </c>
      <c r="AW219" s="2">
        <v>6</v>
      </c>
      <c r="AX219" s="2" t="s">
        <v>74</v>
      </c>
      <c r="AY219" s="2" t="s">
        <v>74</v>
      </c>
      <c r="AZ219" s="2" t="s">
        <v>74</v>
      </c>
      <c r="BA219" s="2" t="s">
        <v>74</v>
      </c>
      <c r="BB219" s="2">
        <v>1189</v>
      </c>
      <c r="BC219" s="2">
        <v>1198</v>
      </c>
      <c r="BD219" s="2" t="s">
        <v>74</v>
      </c>
      <c r="BE219" s="2" t="s">
        <v>3265</v>
      </c>
      <c r="BF219" s="2" t="str">
        <f>HYPERLINK("http://dx.doi.org/10.1007/s10682-013-9651-1","http://dx.doi.org/10.1007/s10682-013-9651-1")</f>
        <v>http://dx.doi.org/10.1007/s10682-013-9651-1</v>
      </c>
      <c r="BG219" s="2" t="s">
        <v>74</v>
      </c>
      <c r="BH219" s="2" t="s">
        <v>74</v>
      </c>
      <c r="BI219" s="2" t="s">
        <v>74</v>
      </c>
      <c r="BJ219" s="2" t="s">
        <v>74</v>
      </c>
      <c r="BK219" s="2" t="s">
        <v>74</v>
      </c>
      <c r="BL219" s="2" t="s">
        <v>74</v>
      </c>
      <c r="BM219" s="2" t="s">
        <v>74</v>
      </c>
      <c r="BN219" s="2" t="s">
        <v>74</v>
      </c>
      <c r="BO219" s="2" t="s">
        <v>74</v>
      </c>
      <c r="BP219" s="2" t="s">
        <v>74</v>
      </c>
      <c r="BQ219" s="2" t="s">
        <v>74</v>
      </c>
      <c r="BR219" s="2" t="s">
        <v>74</v>
      </c>
      <c r="BS219" s="2" t="s">
        <v>3266</v>
      </c>
      <c r="BT219" s="2" t="str">
        <f>HYPERLINK("https%3A%2F%2Fwww.webofscience.com%2Fwos%2Fwoscc%2Ffull-record%2FWOS:000326897500010","View Full Record in Web of Science")</f>
        <v>View Full Record in Web of Science</v>
      </c>
    </row>
    <row r="220" spans="1:72" s="2" customFormat="1" x14ac:dyDescent="0.4">
      <c r="A220" s="2" t="s">
        <v>72</v>
      </c>
      <c r="B220" s="2" t="s">
        <v>7578</v>
      </c>
      <c r="C220" s="2" t="s">
        <v>74</v>
      </c>
      <c r="D220" s="2" t="s">
        <v>74</v>
      </c>
      <c r="E220" s="2" t="s">
        <v>74</v>
      </c>
      <c r="F220" s="2" t="s">
        <v>7579</v>
      </c>
      <c r="G220" s="2" t="s">
        <v>74</v>
      </c>
      <c r="H220" s="2" t="s">
        <v>74</v>
      </c>
      <c r="I220" s="2" t="s">
        <v>7580</v>
      </c>
      <c r="J220" s="2" t="s">
        <v>6899</v>
      </c>
      <c r="K220" s="2" t="s">
        <v>74</v>
      </c>
      <c r="L220" s="2" t="s">
        <v>74</v>
      </c>
      <c r="M220" s="2" t="s">
        <v>74</v>
      </c>
      <c r="N220" s="2" t="s">
        <v>74</v>
      </c>
      <c r="O220" s="2" t="s">
        <v>74</v>
      </c>
      <c r="P220" s="2" t="s">
        <v>74</v>
      </c>
      <c r="Q220" s="2" t="s">
        <v>74</v>
      </c>
      <c r="R220" s="2" t="s">
        <v>74</v>
      </c>
      <c r="S220" s="2" t="s">
        <v>74</v>
      </c>
      <c r="T220" s="2" t="s">
        <v>74</v>
      </c>
      <c r="U220" s="2" t="s">
        <v>74</v>
      </c>
      <c r="V220" s="5" t="s">
        <v>7581</v>
      </c>
      <c r="W220" s="2" t="s">
        <v>74</v>
      </c>
      <c r="X220" s="2" t="s">
        <v>74</v>
      </c>
      <c r="Y220" s="2" t="s">
        <v>74</v>
      </c>
      <c r="Z220" s="2" t="s">
        <v>74</v>
      </c>
      <c r="AA220" s="2" t="s">
        <v>7582</v>
      </c>
      <c r="AB220" s="2" t="s">
        <v>7583</v>
      </c>
      <c r="AC220" s="2" t="s">
        <v>74</v>
      </c>
      <c r="AD220" s="2" t="s">
        <v>74</v>
      </c>
      <c r="AE220" s="2" t="s">
        <v>74</v>
      </c>
      <c r="AF220" s="2" t="s">
        <v>74</v>
      </c>
      <c r="AG220" s="2" t="s">
        <v>74</v>
      </c>
      <c r="AH220" s="2" t="s">
        <v>74</v>
      </c>
      <c r="AI220" s="2" t="s">
        <v>74</v>
      </c>
      <c r="AJ220" s="2" t="s">
        <v>74</v>
      </c>
      <c r="AK220" s="2" t="s">
        <v>74</v>
      </c>
      <c r="AL220" s="2" t="s">
        <v>74</v>
      </c>
      <c r="AM220" s="2" t="s">
        <v>74</v>
      </c>
      <c r="AN220" s="2" t="s">
        <v>74</v>
      </c>
      <c r="AO220" s="2" t="s">
        <v>6903</v>
      </c>
      <c r="AP220" s="2" t="s">
        <v>7584</v>
      </c>
      <c r="AQ220" s="2" t="s">
        <v>74</v>
      </c>
      <c r="AR220" s="2" t="s">
        <v>74</v>
      </c>
      <c r="AS220" s="2" t="s">
        <v>74</v>
      </c>
      <c r="AT220" s="2" t="s">
        <v>213</v>
      </c>
      <c r="AU220" s="2">
        <v>2009</v>
      </c>
      <c r="AV220" s="2">
        <v>133</v>
      </c>
      <c r="AW220" s="2">
        <v>2</v>
      </c>
      <c r="AX220" s="2" t="s">
        <v>74</v>
      </c>
      <c r="AY220" s="2" t="s">
        <v>74</v>
      </c>
      <c r="AZ220" s="2" t="s">
        <v>74</v>
      </c>
      <c r="BA220" s="2" t="s">
        <v>74</v>
      </c>
      <c r="BB220" s="2">
        <v>165</v>
      </c>
      <c r="BC220" s="2">
        <v>173</v>
      </c>
      <c r="BD220" s="2" t="s">
        <v>74</v>
      </c>
      <c r="BE220" s="2" t="s">
        <v>7585</v>
      </c>
      <c r="BF220" s="2" t="str">
        <f>HYPERLINK("http://dx.doi.org/10.1111/j.1570-7458.2009.00913.x","http://dx.doi.org/10.1111/j.1570-7458.2009.00913.x")</f>
        <v>http://dx.doi.org/10.1111/j.1570-7458.2009.00913.x</v>
      </c>
      <c r="BG220" s="2" t="s">
        <v>74</v>
      </c>
      <c r="BH220" s="2" t="s">
        <v>74</v>
      </c>
      <c r="BI220" s="2" t="s">
        <v>74</v>
      </c>
      <c r="BJ220" s="2" t="s">
        <v>74</v>
      </c>
      <c r="BK220" s="2" t="s">
        <v>74</v>
      </c>
      <c r="BL220" s="2" t="s">
        <v>74</v>
      </c>
      <c r="BM220" s="2" t="s">
        <v>74</v>
      </c>
      <c r="BN220" s="2" t="s">
        <v>74</v>
      </c>
      <c r="BO220" s="2" t="s">
        <v>74</v>
      </c>
      <c r="BP220" s="2" t="s">
        <v>74</v>
      </c>
      <c r="BQ220" s="2" t="s">
        <v>74</v>
      </c>
      <c r="BR220" s="2" t="s">
        <v>74</v>
      </c>
      <c r="BS220" s="2" t="s">
        <v>7586</v>
      </c>
      <c r="BT220" s="2" t="str">
        <f>HYPERLINK("https%3A%2F%2Fwww.webofscience.com%2Fwos%2Fwoscc%2Ffull-record%2FWOS:000270648800007","View Full Record in Web of Science")</f>
        <v>View Full Record in Web of Science</v>
      </c>
    </row>
    <row r="221" spans="1:72" s="2" customFormat="1" x14ac:dyDescent="0.4">
      <c r="A221" s="2" t="s">
        <v>72</v>
      </c>
      <c r="B221" s="2" t="s">
        <v>8306</v>
      </c>
      <c r="C221" s="2" t="s">
        <v>74</v>
      </c>
      <c r="D221" s="2" t="s">
        <v>74</v>
      </c>
      <c r="E221" s="2" t="s">
        <v>74</v>
      </c>
      <c r="F221" s="2" t="s">
        <v>8306</v>
      </c>
      <c r="G221" s="2" t="s">
        <v>74</v>
      </c>
      <c r="H221" s="2" t="s">
        <v>74</v>
      </c>
      <c r="I221" s="2" t="s">
        <v>8307</v>
      </c>
      <c r="J221" s="2" t="s">
        <v>140</v>
      </c>
      <c r="K221" s="2" t="s">
        <v>74</v>
      </c>
      <c r="L221" s="2" t="s">
        <v>74</v>
      </c>
      <c r="M221" s="2" t="s">
        <v>74</v>
      </c>
      <c r="N221" s="2" t="s">
        <v>74</v>
      </c>
      <c r="O221" s="2" t="s">
        <v>74</v>
      </c>
      <c r="P221" s="2" t="s">
        <v>74</v>
      </c>
      <c r="Q221" s="2" t="s">
        <v>74</v>
      </c>
      <c r="R221" s="2" t="s">
        <v>74</v>
      </c>
      <c r="S221" s="2" t="s">
        <v>74</v>
      </c>
      <c r="T221" s="2" t="s">
        <v>74</v>
      </c>
      <c r="U221" s="2" t="s">
        <v>74</v>
      </c>
      <c r="V221" s="5" t="s">
        <v>8308</v>
      </c>
      <c r="W221" s="2" t="s">
        <v>74</v>
      </c>
      <c r="X221" s="2" t="s">
        <v>74</v>
      </c>
      <c r="Y221" s="2" t="s">
        <v>74</v>
      </c>
      <c r="Z221" s="2" t="s">
        <v>74</v>
      </c>
      <c r="AA221" s="2" t="s">
        <v>74</v>
      </c>
      <c r="AB221" s="2" t="s">
        <v>74</v>
      </c>
      <c r="AC221" s="2" t="s">
        <v>74</v>
      </c>
      <c r="AD221" s="2" t="s">
        <v>74</v>
      </c>
      <c r="AE221" s="2" t="s">
        <v>74</v>
      </c>
      <c r="AF221" s="2" t="s">
        <v>74</v>
      </c>
      <c r="AG221" s="2" t="s">
        <v>74</v>
      </c>
      <c r="AH221" s="2" t="s">
        <v>74</v>
      </c>
      <c r="AI221" s="2" t="s">
        <v>74</v>
      </c>
      <c r="AJ221" s="2" t="s">
        <v>74</v>
      </c>
      <c r="AK221" s="2" t="s">
        <v>74</v>
      </c>
      <c r="AL221" s="2" t="s">
        <v>74</v>
      </c>
      <c r="AM221" s="2" t="s">
        <v>74</v>
      </c>
      <c r="AN221" s="2" t="s">
        <v>74</v>
      </c>
      <c r="AO221" s="2" t="s">
        <v>143</v>
      </c>
      <c r="AP221" s="2" t="s">
        <v>74</v>
      </c>
      <c r="AQ221" s="2" t="s">
        <v>74</v>
      </c>
      <c r="AR221" s="2" t="s">
        <v>74</v>
      </c>
      <c r="AS221" s="2" t="s">
        <v>74</v>
      </c>
      <c r="AT221" s="2" t="s">
        <v>145</v>
      </c>
      <c r="AU221" s="2">
        <v>2002</v>
      </c>
      <c r="AV221" s="2">
        <v>64</v>
      </c>
      <c r="AW221" s="2" t="s">
        <v>74</v>
      </c>
      <c r="AX221" s="2">
        <v>2</v>
      </c>
      <c r="AY221" s="2" t="s">
        <v>74</v>
      </c>
      <c r="AZ221" s="2" t="s">
        <v>74</v>
      </c>
      <c r="BA221" s="2" t="s">
        <v>74</v>
      </c>
      <c r="BB221" s="2">
        <v>207</v>
      </c>
      <c r="BC221" s="2">
        <v>213</v>
      </c>
      <c r="BD221" s="2" t="s">
        <v>74</v>
      </c>
      <c r="BE221" s="2" t="s">
        <v>8309</v>
      </c>
      <c r="BF221" s="2" t="str">
        <f>HYPERLINK("http://dx.doi.org/10.1006/anbe.2002.3042","http://dx.doi.org/10.1006/anbe.2002.3042")</f>
        <v>http://dx.doi.org/10.1006/anbe.2002.3042</v>
      </c>
      <c r="BG221" s="2" t="s">
        <v>74</v>
      </c>
      <c r="BH221" s="2" t="s">
        <v>74</v>
      </c>
      <c r="BI221" s="2" t="s">
        <v>74</v>
      </c>
      <c r="BJ221" s="2" t="s">
        <v>74</v>
      </c>
      <c r="BK221" s="2" t="s">
        <v>74</v>
      </c>
      <c r="BL221" s="2" t="s">
        <v>74</v>
      </c>
      <c r="BM221" s="2" t="s">
        <v>74</v>
      </c>
      <c r="BN221" s="2" t="s">
        <v>74</v>
      </c>
      <c r="BO221" s="2" t="s">
        <v>74</v>
      </c>
      <c r="BP221" s="2" t="s">
        <v>74</v>
      </c>
      <c r="BQ221" s="2" t="s">
        <v>74</v>
      </c>
      <c r="BR221" s="2" t="s">
        <v>74</v>
      </c>
      <c r="BS221" s="2" t="s">
        <v>8310</v>
      </c>
      <c r="BT221" s="2" t="str">
        <f>HYPERLINK("https%3A%2F%2Fwww.webofscience.com%2Fwos%2Fwoscc%2Ffull-record%2FWOS:000179248600006","View Full Record in Web of Science")</f>
        <v>View Full Record in Web of Science</v>
      </c>
    </row>
    <row r="222" spans="1:72" s="2" customFormat="1" x14ac:dyDescent="0.4">
      <c r="A222" s="2" t="s">
        <v>72</v>
      </c>
      <c r="B222" s="2" t="s">
        <v>5827</v>
      </c>
      <c r="C222" s="2" t="s">
        <v>74</v>
      </c>
      <c r="D222" s="2" t="s">
        <v>74</v>
      </c>
      <c r="E222" s="2" t="s">
        <v>74</v>
      </c>
      <c r="F222" s="2" t="s">
        <v>5827</v>
      </c>
      <c r="G222" s="2" t="s">
        <v>74</v>
      </c>
      <c r="H222" s="2" t="s">
        <v>74</v>
      </c>
      <c r="I222" s="2" t="s">
        <v>5828</v>
      </c>
      <c r="J222" s="2" t="s">
        <v>5829</v>
      </c>
      <c r="K222" s="2" t="s">
        <v>74</v>
      </c>
      <c r="L222" s="2" t="s">
        <v>74</v>
      </c>
      <c r="M222" s="2" t="s">
        <v>74</v>
      </c>
      <c r="N222" s="2" t="s">
        <v>74</v>
      </c>
      <c r="O222" s="2" t="s">
        <v>74</v>
      </c>
      <c r="P222" s="2" t="s">
        <v>74</v>
      </c>
      <c r="Q222" s="2" t="s">
        <v>74</v>
      </c>
      <c r="R222" s="2" t="s">
        <v>74</v>
      </c>
      <c r="S222" s="2" t="s">
        <v>74</v>
      </c>
      <c r="T222" s="2" t="s">
        <v>74</v>
      </c>
      <c r="U222" s="2" t="s">
        <v>74</v>
      </c>
      <c r="V222" s="5" t="s">
        <v>5830</v>
      </c>
      <c r="W222" s="2" t="s">
        <v>74</v>
      </c>
      <c r="X222" s="2" t="s">
        <v>74</v>
      </c>
      <c r="Y222" s="2" t="s">
        <v>74</v>
      </c>
      <c r="Z222" s="2" t="s">
        <v>74</v>
      </c>
      <c r="AA222" s="2" t="s">
        <v>5831</v>
      </c>
      <c r="AB222" s="2" t="s">
        <v>5832</v>
      </c>
      <c r="AC222" s="2" t="s">
        <v>74</v>
      </c>
      <c r="AD222" s="2" t="s">
        <v>74</v>
      </c>
      <c r="AE222" s="2" t="s">
        <v>74</v>
      </c>
      <c r="AF222" s="2" t="s">
        <v>74</v>
      </c>
      <c r="AG222" s="2" t="s">
        <v>74</v>
      </c>
      <c r="AH222" s="2" t="s">
        <v>74</v>
      </c>
      <c r="AI222" s="2" t="s">
        <v>74</v>
      </c>
      <c r="AJ222" s="2" t="s">
        <v>74</v>
      </c>
      <c r="AK222" s="2" t="s">
        <v>74</v>
      </c>
      <c r="AL222" s="2" t="s">
        <v>74</v>
      </c>
      <c r="AM222" s="2" t="s">
        <v>74</v>
      </c>
      <c r="AN222" s="2" t="s">
        <v>74</v>
      </c>
      <c r="AO222" s="2" t="s">
        <v>5833</v>
      </c>
      <c r="AP222" s="2" t="s">
        <v>74</v>
      </c>
      <c r="AQ222" s="2" t="s">
        <v>74</v>
      </c>
      <c r="AR222" s="2" t="s">
        <v>74</v>
      </c>
      <c r="AS222" s="2" t="s">
        <v>74</v>
      </c>
      <c r="AT222" s="2" t="s">
        <v>633</v>
      </c>
      <c r="AU222" s="2">
        <v>1999</v>
      </c>
      <c r="AV222" s="2">
        <v>34</v>
      </c>
      <c r="AW222" s="2">
        <v>2</v>
      </c>
      <c r="AX222" s="2" t="s">
        <v>74</v>
      </c>
      <c r="AY222" s="2" t="s">
        <v>74</v>
      </c>
      <c r="AZ222" s="2" t="s">
        <v>74</v>
      </c>
      <c r="BA222" s="2" t="s">
        <v>74</v>
      </c>
      <c r="BB222" s="2">
        <v>48</v>
      </c>
      <c r="BC222" s="2">
        <v>52</v>
      </c>
      <c r="BD222" s="2" t="s">
        <v>74</v>
      </c>
      <c r="BE222" s="2" t="s">
        <v>74</v>
      </c>
      <c r="BF222" s="2" t="s">
        <v>74</v>
      </c>
      <c r="BG222" s="2" t="s">
        <v>74</v>
      </c>
      <c r="BH222" s="2" t="s">
        <v>74</v>
      </c>
      <c r="BI222" s="2" t="s">
        <v>74</v>
      </c>
      <c r="BJ222" s="2" t="s">
        <v>74</v>
      </c>
      <c r="BK222" s="2" t="s">
        <v>74</v>
      </c>
      <c r="BL222" s="2" t="s">
        <v>74</v>
      </c>
      <c r="BM222" s="2" t="s">
        <v>74</v>
      </c>
      <c r="BN222" s="2" t="s">
        <v>74</v>
      </c>
      <c r="BO222" s="2" t="s">
        <v>74</v>
      </c>
      <c r="BP222" s="2" t="s">
        <v>74</v>
      </c>
      <c r="BQ222" s="2" t="s">
        <v>74</v>
      </c>
      <c r="BR222" s="2" t="s">
        <v>74</v>
      </c>
      <c r="BS222" s="2" t="s">
        <v>5834</v>
      </c>
      <c r="BT222" s="2" t="str">
        <f>HYPERLINK("https%3A%2F%2Fwww.webofscience.com%2Fwos%2Fwoscc%2Ffull-record%2FWOS:000080718600002","View Full Record in Web of Science")</f>
        <v>View Full Record in Web of Science</v>
      </c>
    </row>
    <row r="223" spans="1:72" s="2" customFormat="1" x14ac:dyDescent="0.4">
      <c r="A223" s="2" t="s">
        <v>72</v>
      </c>
      <c r="B223" s="2" t="s">
        <v>8497</v>
      </c>
      <c r="C223" s="2" t="s">
        <v>74</v>
      </c>
      <c r="D223" s="2" t="s">
        <v>74</v>
      </c>
      <c r="E223" s="2" t="s">
        <v>74</v>
      </c>
      <c r="F223" s="2" t="s">
        <v>8498</v>
      </c>
      <c r="G223" s="2" t="s">
        <v>74</v>
      </c>
      <c r="H223" s="2" t="s">
        <v>74</v>
      </c>
      <c r="I223" s="2" t="s">
        <v>8499</v>
      </c>
      <c r="J223" s="2" t="s">
        <v>1656</v>
      </c>
      <c r="K223" s="2" t="s">
        <v>74</v>
      </c>
      <c r="L223" s="2" t="s">
        <v>74</v>
      </c>
      <c r="M223" s="2" t="s">
        <v>74</v>
      </c>
      <c r="N223" s="2" t="s">
        <v>74</v>
      </c>
      <c r="O223" s="2" t="s">
        <v>74</v>
      </c>
      <c r="P223" s="2" t="s">
        <v>74</v>
      </c>
      <c r="Q223" s="2" t="s">
        <v>74</v>
      </c>
      <c r="R223" s="2" t="s">
        <v>74</v>
      </c>
      <c r="S223" s="2" t="s">
        <v>74</v>
      </c>
      <c r="T223" s="2" t="s">
        <v>74</v>
      </c>
      <c r="U223" s="2" t="s">
        <v>74</v>
      </c>
      <c r="V223" s="5" t="s">
        <v>8500</v>
      </c>
      <c r="W223" s="2" t="s">
        <v>74</v>
      </c>
      <c r="X223" s="2" t="s">
        <v>74</v>
      </c>
      <c r="Y223" s="2" t="s">
        <v>74</v>
      </c>
      <c r="Z223" s="2" t="s">
        <v>74</v>
      </c>
      <c r="AA223" s="2" t="s">
        <v>8501</v>
      </c>
      <c r="AB223" s="2" t="s">
        <v>8502</v>
      </c>
      <c r="AC223" s="2" t="s">
        <v>74</v>
      </c>
      <c r="AD223" s="2" t="s">
        <v>74</v>
      </c>
      <c r="AE223" s="2" t="s">
        <v>74</v>
      </c>
      <c r="AF223" s="2" t="s">
        <v>74</v>
      </c>
      <c r="AG223" s="2" t="s">
        <v>74</v>
      </c>
      <c r="AH223" s="2" t="s">
        <v>74</v>
      </c>
      <c r="AI223" s="2" t="s">
        <v>74</v>
      </c>
      <c r="AJ223" s="2" t="s">
        <v>74</v>
      </c>
      <c r="AK223" s="2" t="s">
        <v>74</v>
      </c>
      <c r="AL223" s="2" t="s">
        <v>74</v>
      </c>
      <c r="AM223" s="2" t="s">
        <v>74</v>
      </c>
      <c r="AN223" s="2" t="s">
        <v>74</v>
      </c>
      <c r="AO223" s="2" t="s">
        <v>1658</v>
      </c>
      <c r="AP223" s="2" t="s">
        <v>1659</v>
      </c>
      <c r="AQ223" s="2" t="s">
        <v>74</v>
      </c>
      <c r="AR223" s="2" t="s">
        <v>74</v>
      </c>
      <c r="AS223" s="2" t="s">
        <v>74</v>
      </c>
      <c r="AT223" s="2" t="s">
        <v>5768</v>
      </c>
      <c r="AU223" s="2">
        <v>2011</v>
      </c>
      <c r="AV223" s="2" t="s">
        <v>74</v>
      </c>
      <c r="AW223" s="2">
        <v>3083</v>
      </c>
      <c r="AX223" s="2" t="s">
        <v>74</v>
      </c>
      <c r="AY223" s="2" t="s">
        <v>74</v>
      </c>
      <c r="AZ223" s="2" t="s">
        <v>74</v>
      </c>
      <c r="BA223" s="2" t="s">
        <v>74</v>
      </c>
      <c r="BB223" s="2">
        <v>1</v>
      </c>
      <c r="BC223" s="2">
        <v>120</v>
      </c>
      <c r="BD223" s="2" t="s">
        <v>74</v>
      </c>
      <c r="BE223" s="2" t="s">
        <v>74</v>
      </c>
      <c r="BF223" s="2" t="s">
        <v>74</v>
      </c>
      <c r="BG223" s="2" t="s">
        <v>74</v>
      </c>
      <c r="BH223" s="2" t="s">
        <v>74</v>
      </c>
      <c r="BI223" s="2" t="s">
        <v>74</v>
      </c>
      <c r="BJ223" s="2" t="s">
        <v>74</v>
      </c>
      <c r="BK223" s="2" t="s">
        <v>74</v>
      </c>
      <c r="BL223" s="2" t="s">
        <v>74</v>
      </c>
      <c r="BM223" s="2" t="s">
        <v>74</v>
      </c>
      <c r="BN223" s="2" t="s">
        <v>74</v>
      </c>
      <c r="BO223" s="2" t="s">
        <v>74</v>
      </c>
      <c r="BP223" s="2" t="s">
        <v>74</v>
      </c>
      <c r="BQ223" s="2" t="s">
        <v>74</v>
      </c>
      <c r="BR223" s="2" t="s">
        <v>74</v>
      </c>
      <c r="BS223" s="2" t="s">
        <v>8503</v>
      </c>
      <c r="BT223" s="2" t="str">
        <f>HYPERLINK("https%3A%2F%2Fwww.webofscience.com%2Fwos%2Fwoscc%2Ffull-record%2FWOS:000296876100001","View Full Record in Web of Science")</f>
        <v>View Full Record in Web of Science</v>
      </c>
    </row>
    <row r="224" spans="1:72" s="2" customFormat="1" x14ac:dyDescent="0.4">
      <c r="A224" s="2" t="s">
        <v>72</v>
      </c>
      <c r="B224" s="2" t="s">
        <v>2240</v>
      </c>
      <c r="C224" s="2" t="s">
        <v>74</v>
      </c>
      <c r="D224" s="2" t="s">
        <v>74</v>
      </c>
      <c r="E224" s="2" t="s">
        <v>74</v>
      </c>
      <c r="F224" s="2" t="s">
        <v>2240</v>
      </c>
      <c r="G224" s="2" t="s">
        <v>74</v>
      </c>
      <c r="H224" s="2" t="s">
        <v>74</v>
      </c>
      <c r="I224" s="2" t="s">
        <v>2241</v>
      </c>
      <c r="J224" s="2" t="s">
        <v>367</v>
      </c>
      <c r="K224" s="2" t="s">
        <v>74</v>
      </c>
      <c r="L224" s="2" t="s">
        <v>74</v>
      </c>
      <c r="M224" s="2" t="s">
        <v>74</v>
      </c>
      <c r="N224" s="2" t="s">
        <v>74</v>
      </c>
      <c r="O224" s="2" t="s">
        <v>74</v>
      </c>
      <c r="P224" s="2" t="s">
        <v>74</v>
      </c>
      <c r="Q224" s="2" t="s">
        <v>74</v>
      </c>
      <c r="R224" s="2" t="s">
        <v>74</v>
      </c>
      <c r="S224" s="2" t="s">
        <v>74</v>
      </c>
      <c r="T224" s="2" t="s">
        <v>74</v>
      </c>
      <c r="U224" s="2" t="s">
        <v>74</v>
      </c>
      <c r="V224" s="5" t="s">
        <v>2242</v>
      </c>
      <c r="W224" s="2" t="s">
        <v>74</v>
      </c>
      <c r="X224" s="2" t="s">
        <v>74</v>
      </c>
      <c r="Y224" s="2" t="s">
        <v>74</v>
      </c>
      <c r="Z224" s="2" t="s">
        <v>74</v>
      </c>
      <c r="AA224" s="2" t="s">
        <v>74</v>
      </c>
      <c r="AB224" s="2" t="s">
        <v>74</v>
      </c>
      <c r="AC224" s="2" t="s">
        <v>74</v>
      </c>
      <c r="AD224" s="2" t="s">
        <v>74</v>
      </c>
      <c r="AE224" s="2" t="s">
        <v>74</v>
      </c>
      <c r="AF224" s="2" t="s">
        <v>74</v>
      </c>
      <c r="AG224" s="2" t="s">
        <v>74</v>
      </c>
      <c r="AH224" s="2" t="s">
        <v>74</v>
      </c>
      <c r="AI224" s="2" t="s">
        <v>74</v>
      </c>
      <c r="AJ224" s="2" t="s">
        <v>74</v>
      </c>
      <c r="AK224" s="2" t="s">
        <v>74</v>
      </c>
      <c r="AL224" s="2" t="s">
        <v>74</v>
      </c>
      <c r="AM224" s="2" t="s">
        <v>74</v>
      </c>
      <c r="AN224" s="2" t="s">
        <v>74</v>
      </c>
      <c r="AO224" s="2" t="s">
        <v>371</v>
      </c>
      <c r="AP224" s="2" t="s">
        <v>74</v>
      </c>
      <c r="AQ224" s="2" t="s">
        <v>74</v>
      </c>
      <c r="AR224" s="2" t="s">
        <v>74</v>
      </c>
      <c r="AS224" s="2" t="s">
        <v>74</v>
      </c>
      <c r="AT224" s="2" t="s">
        <v>352</v>
      </c>
      <c r="AU224" s="2">
        <v>1992</v>
      </c>
      <c r="AV224" s="2">
        <v>106</v>
      </c>
      <c r="AW224" s="2">
        <v>3</v>
      </c>
      <c r="AX224" s="2" t="s">
        <v>74</v>
      </c>
      <c r="AY224" s="2" t="s">
        <v>74</v>
      </c>
      <c r="AZ224" s="2" t="s">
        <v>74</v>
      </c>
      <c r="BA224" s="2" t="s">
        <v>74</v>
      </c>
      <c r="BB224" s="2">
        <v>203</v>
      </c>
      <c r="BC224" s="2">
        <v>216</v>
      </c>
      <c r="BD224" s="2" t="s">
        <v>74</v>
      </c>
      <c r="BE224" s="2" t="s">
        <v>2243</v>
      </c>
      <c r="BF224" s="2" t="str">
        <f>HYPERLINK("http://dx.doi.org/10.1037/0735-7036.106.3.203","http://dx.doi.org/10.1037/0735-7036.106.3.203")</f>
        <v>http://dx.doi.org/10.1037/0735-7036.106.3.203</v>
      </c>
      <c r="BG224" s="2" t="s">
        <v>74</v>
      </c>
      <c r="BH224" s="2" t="s">
        <v>74</v>
      </c>
      <c r="BI224" s="2" t="s">
        <v>74</v>
      </c>
      <c r="BJ224" s="2" t="s">
        <v>74</v>
      </c>
      <c r="BK224" s="2" t="s">
        <v>74</v>
      </c>
      <c r="BL224" s="2" t="s">
        <v>74</v>
      </c>
      <c r="BM224" s="2" t="s">
        <v>74</v>
      </c>
      <c r="BN224" s="2">
        <v>1395490</v>
      </c>
      <c r="BO224" s="2" t="s">
        <v>74</v>
      </c>
      <c r="BP224" s="2" t="s">
        <v>74</v>
      </c>
      <c r="BQ224" s="2" t="s">
        <v>74</v>
      </c>
      <c r="BR224" s="2" t="s">
        <v>74</v>
      </c>
      <c r="BS224" s="2" t="s">
        <v>2244</v>
      </c>
      <c r="BT224" s="2" t="str">
        <f>HYPERLINK("https%3A%2F%2Fwww.webofscience.com%2Fwos%2Fwoscc%2Ffull-record%2FWOS:A1992JK69600001","View Full Record in Web of Science")</f>
        <v>View Full Record in Web of Science</v>
      </c>
    </row>
    <row r="225" spans="1:72" s="2" customFormat="1" x14ac:dyDescent="0.4">
      <c r="A225" s="2" t="s">
        <v>72</v>
      </c>
      <c r="B225" s="2" t="s">
        <v>2879</v>
      </c>
      <c r="C225" s="2" t="s">
        <v>74</v>
      </c>
      <c r="D225" s="2" t="s">
        <v>74</v>
      </c>
      <c r="E225" s="2" t="s">
        <v>74</v>
      </c>
      <c r="F225" s="2" t="s">
        <v>2879</v>
      </c>
      <c r="G225" s="2" t="s">
        <v>74</v>
      </c>
      <c r="H225" s="2" t="s">
        <v>74</v>
      </c>
      <c r="I225" s="2" t="s">
        <v>2880</v>
      </c>
      <c r="J225" s="2" t="s">
        <v>1526</v>
      </c>
      <c r="K225" s="2" t="s">
        <v>74</v>
      </c>
      <c r="L225" s="2" t="s">
        <v>74</v>
      </c>
      <c r="M225" s="2" t="s">
        <v>74</v>
      </c>
      <c r="N225" s="2" t="s">
        <v>74</v>
      </c>
      <c r="O225" s="2" t="s">
        <v>74</v>
      </c>
      <c r="P225" s="2" t="s">
        <v>74</v>
      </c>
      <c r="Q225" s="2" t="s">
        <v>74</v>
      </c>
      <c r="R225" s="2" t="s">
        <v>74</v>
      </c>
      <c r="S225" s="2" t="s">
        <v>74</v>
      </c>
      <c r="T225" s="2" t="s">
        <v>74</v>
      </c>
      <c r="U225" s="2" t="s">
        <v>74</v>
      </c>
      <c r="V225" s="5" t="s">
        <v>2881</v>
      </c>
      <c r="W225" s="2" t="s">
        <v>74</v>
      </c>
      <c r="X225" s="2" t="s">
        <v>74</v>
      </c>
      <c r="Y225" s="2" t="s">
        <v>74</v>
      </c>
      <c r="Z225" s="2" t="s">
        <v>74</v>
      </c>
      <c r="AA225" s="2" t="s">
        <v>2882</v>
      </c>
      <c r="AB225" s="2" t="s">
        <v>2883</v>
      </c>
      <c r="AC225" s="2" t="s">
        <v>74</v>
      </c>
      <c r="AD225" s="2" t="s">
        <v>74</v>
      </c>
      <c r="AE225" s="2" t="s">
        <v>74</v>
      </c>
      <c r="AF225" s="2" t="s">
        <v>74</v>
      </c>
      <c r="AG225" s="2" t="s">
        <v>74</v>
      </c>
      <c r="AH225" s="2" t="s">
        <v>74</v>
      </c>
      <c r="AI225" s="2" t="s">
        <v>74</v>
      </c>
      <c r="AJ225" s="2" t="s">
        <v>74</v>
      </c>
      <c r="AK225" s="2" t="s">
        <v>74</v>
      </c>
      <c r="AL225" s="2" t="s">
        <v>74</v>
      </c>
      <c r="AM225" s="2" t="s">
        <v>74</v>
      </c>
      <c r="AN225" s="2" t="s">
        <v>74</v>
      </c>
      <c r="AO225" s="2" t="s">
        <v>1528</v>
      </c>
      <c r="AP225" s="2" t="s">
        <v>74</v>
      </c>
      <c r="AQ225" s="2" t="s">
        <v>74</v>
      </c>
      <c r="AR225" s="2" t="s">
        <v>74</v>
      </c>
      <c r="AS225" s="2" t="s">
        <v>74</v>
      </c>
      <c r="AT225" s="2" t="s">
        <v>134</v>
      </c>
      <c r="AU225" s="2">
        <v>2001</v>
      </c>
      <c r="AV225" s="2">
        <v>103</v>
      </c>
      <c r="AW225" s="2">
        <v>2</v>
      </c>
      <c r="AX225" s="2" t="s">
        <v>74</v>
      </c>
      <c r="AY225" s="2" t="s">
        <v>74</v>
      </c>
      <c r="AZ225" s="2" t="s">
        <v>74</v>
      </c>
      <c r="BA225" s="2" t="s">
        <v>74</v>
      </c>
      <c r="BB225" s="2">
        <v>248</v>
      </c>
      <c r="BC225" s="2">
        <v>258</v>
      </c>
      <c r="BD225" s="2" t="s">
        <v>74</v>
      </c>
      <c r="BE225" s="2" t="s">
        <v>2884</v>
      </c>
      <c r="BF225" s="2" t="str">
        <f>HYPERLINK("http://dx.doi.org/10.1650/0010-5422(2001)103[0248:PRIBMP]2.0.CO;2","http://dx.doi.org/10.1650/0010-5422(2001)103[0248:PRIBMP]2.0.CO;2")</f>
        <v>http://dx.doi.org/10.1650/0010-5422(2001)103[0248:PRIBMP]2.0.CO;2</v>
      </c>
      <c r="BG225" s="2" t="s">
        <v>74</v>
      </c>
      <c r="BH225" s="2" t="s">
        <v>74</v>
      </c>
      <c r="BI225" s="2" t="s">
        <v>74</v>
      </c>
      <c r="BJ225" s="2" t="s">
        <v>74</v>
      </c>
      <c r="BK225" s="2" t="s">
        <v>74</v>
      </c>
      <c r="BL225" s="2" t="s">
        <v>74</v>
      </c>
      <c r="BM225" s="2" t="s">
        <v>74</v>
      </c>
      <c r="BN225" s="2" t="s">
        <v>74</v>
      </c>
      <c r="BO225" s="2" t="s">
        <v>74</v>
      </c>
      <c r="BP225" s="2" t="s">
        <v>74</v>
      </c>
      <c r="BQ225" s="2" t="s">
        <v>74</v>
      </c>
      <c r="BR225" s="2" t="s">
        <v>74</v>
      </c>
      <c r="BS225" s="2" t="s">
        <v>2885</v>
      </c>
      <c r="BT225" s="2" t="str">
        <f>HYPERLINK("https%3A%2F%2Fwww.webofscience.com%2Fwos%2Fwoscc%2Ffull-record%2FWOS:000168569600005","View Full Record in Web of Science")</f>
        <v>View Full Record in Web of Science</v>
      </c>
    </row>
    <row r="226" spans="1:72" s="2" customFormat="1" x14ac:dyDescent="0.4">
      <c r="A226" s="2" t="s">
        <v>72</v>
      </c>
      <c r="B226" s="2" t="s">
        <v>1069</v>
      </c>
      <c r="C226" s="2" t="s">
        <v>74</v>
      </c>
      <c r="D226" s="2" t="s">
        <v>74</v>
      </c>
      <c r="E226" s="2" t="s">
        <v>74</v>
      </c>
      <c r="F226" s="2" t="s">
        <v>1070</v>
      </c>
      <c r="G226" s="2" t="s">
        <v>74</v>
      </c>
      <c r="H226" s="2" t="s">
        <v>74</v>
      </c>
      <c r="I226" s="2" t="s">
        <v>1071</v>
      </c>
      <c r="J226" s="2" t="s">
        <v>229</v>
      </c>
      <c r="K226" s="2" t="s">
        <v>74</v>
      </c>
      <c r="L226" s="2" t="s">
        <v>74</v>
      </c>
      <c r="M226" s="2" t="s">
        <v>74</v>
      </c>
      <c r="N226" s="2" t="s">
        <v>74</v>
      </c>
      <c r="O226" s="2" t="s">
        <v>74</v>
      </c>
      <c r="P226" s="2" t="s">
        <v>74</v>
      </c>
      <c r="Q226" s="2" t="s">
        <v>74</v>
      </c>
      <c r="R226" s="2" t="s">
        <v>74</v>
      </c>
      <c r="S226" s="2" t="s">
        <v>74</v>
      </c>
      <c r="T226" s="2" t="s">
        <v>74</v>
      </c>
      <c r="U226" s="2" t="s">
        <v>74</v>
      </c>
      <c r="V226" s="5" t="s">
        <v>1072</v>
      </c>
      <c r="W226" s="2" t="s">
        <v>74</v>
      </c>
      <c r="X226" s="2" t="s">
        <v>74</v>
      </c>
      <c r="Y226" s="2" t="s">
        <v>74</v>
      </c>
      <c r="Z226" s="2" t="s">
        <v>74</v>
      </c>
      <c r="AA226" s="2" t="s">
        <v>1073</v>
      </c>
      <c r="AB226" s="2" t="s">
        <v>1074</v>
      </c>
      <c r="AC226" s="2" t="s">
        <v>74</v>
      </c>
      <c r="AD226" s="2" t="s">
        <v>74</v>
      </c>
      <c r="AE226" s="2" t="s">
        <v>74</v>
      </c>
      <c r="AF226" s="2" t="s">
        <v>74</v>
      </c>
      <c r="AG226" s="2" t="s">
        <v>74</v>
      </c>
      <c r="AH226" s="2" t="s">
        <v>74</v>
      </c>
      <c r="AI226" s="2" t="s">
        <v>74</v>
      </c>
      <c r="AJ226" s="2" t="s">
        <v>74</v>
      </c>
      <c r="AK226" s="2" t="s">
        <v>74</v>
      </c>
      <c r="AL226" s="2" t="s">
        <v>74</v>
      </c>
      <c r="AM226" s="2" t="s">
        <v>74</v>
      </c>
      <c r="AN226" s="2" t="s">
        <v>74</v>
      </c>
      <c r="AO226" s="2" t="s">
        <v>233</v>
      </c>
      <c r="AP226" s="2" t="s">
        <v>234</v>
      </c>
      <c r="AQ226" s="2" t="s">
        <v>74</v>
      </c>
      <c r="AR226" s="2" t="s">
        <v>74</v>
      </c>
      <c r="AS226" s="2" t="s">
        <v>74</v>
      </c>
      <c r="AT226" s="2" t="s">
        <v>1075</v>
      </c>
      <c r="AU226" s="2">
        <v>2018</v>
      </c>
      <c r="AV226" s="2">
        <v>44</v>
      </c>
      <c r="AW226" s="2">
        <v>6</v>
      </c>
      <c r="AX226" s="2" t="s">
        <v>74</v>
      </c>
      <c r="AY226" s="2" t="s">
        <v>74</v>
      </c>
      <c r="AZ226" s="2" t="s">
        <v>74</v>
      </c>
      <c r="BA226" s="2" t="s">
        <v>74</v>
      </c>
      <c r="BB226" s="2">
        <v>624</v>
      </c>
      <c r="BC226" s="2">
        <v>637</v>
      </c>
      <c r="BD226" s="2" t="s">
        <v>74</v>
      </c>
      <c r="BE226" s="2" t="s">
        <v>1076</v>
      </c>
      <c r="BF226" s="2" t="str">
        <f>HYPERLINK("http://dx.doi.org/10.1002/ab.21787","http://dx.doi.org/10.1002/ab.21787")</f>
        <v>http://dx.doi.org/10.1002/ab.21787</v>
      </c>
      <c r="BG226" s="2" t="s">
        <v>74</v>
      </c>
      <c r="BH226" s="2" t="s">
        <v>74</v>
      </c>
      <c r="BI226" s="2" t="s">
        <v>74</v>
      </c>
      <c r="BJ226" s="2" t="s">
        <v>74</v>
      </c>
      <c r="BK226" s="2" t="s">
        <v>74</v>
      </c>
      <c r="BL226" s="2" t="s">
        <v>74</v>
      </c>
      <c r="BM226" s="2" t="s">
        <v>74</v>
      </c>
      <c r="BN226" s="2">
        <v>30141188</v>
      </c>
      <c r="BO226" s="2" t="s">
        <v>74</v>
      </c>
      <c r="BP226" s="2" t="s">
        <v>74</v>
      </c>
      <c r="BQ226" s="2" t="s">
        <v>74</v>
      </c>
      <c r="BR226" s="2" t="s">
        <v>74</v>
      </c>
      <c r="BS226" s="2" t="s">
        <v>1077</v>
      </c>
      <c r="BT226" s="2" t="str">
        <f>HYPERLINK("https%3A%2F%2Fwww.webofscience.com%2Fwos%2Fwoscc%2Ffull-record%2FWOS:000446552400008","View Full Record in Web of Science")</f>
        <v>View Full Record in Web of Science</v>
      </c>
    </row>
    <row r="227" spans="1:72" s="2" customFormat="1" x14ac:dyDescent="0.4">
      <c r="A227" s="2" t="s">
        <v>72</v>
      </c>
      <c r="B227" s="2" t="s">
        <v>2601</v>
      </c>
      <c r="C227" s="2" t="s">
        <v>74</v>
      </c>
      <c r="D227" s="2" t="s">
        <v>74</v>
      </c>
      <c r="E227" s="2" t="s">
        <v>74</v>
      </c>
      <c r="F227" s="2" t="s">
        <v>2601</v>
      </c>
      <c r="G227" s="2" t="s">
        <v>74</v>
      </c>
      <c r="H227" s="2" t="s">
        <v>74</v>
      </c>
      <c r="I227" s="2" t="s">
        <v>2602</v>
      </c>
      <c r="J227" s="2" t="s">
        <v>281</v>
      </c>
      <c r="K227" s="2" t="s">
        <v>74</v>
      </c>
      <c r="L227" s="2" t="s">
        <v>74</v>
      </c>
      <c r="M227" s="2" t="s">
        <v>74</v>
      </c>
      <c r="N227" s="2" t="s">
        <v>74</v>
      </c>
      <c r="O227" s="2" t="s">
        <v>74</v>
      </c>
      <c r="P227" s="2" t="s">
        <v>74</v>
      </c>
      <c r="Q227" s="2" t="s">
        <v>74</v>
      </c>
      <c r="R227" s="2" t="s">
        <v>74</v>
      </c>
      <c r="S227" s="2" t="s">
        <v>74</v>
      </c>
      <c r="T227" s="2" t="s">
        <v>74</v>
      </c>
      <c r="U227" s="2" t="s">
        <v>74</v>
      </c>
      <c r="V227" s="5" t="s">
        <v>2603</v>
      </c>
      <c r="W227" s="2" t="s">
        <v>74</v>
      </c>
      <c r="X227" s="2" t="s">
        <v>74</v>
      </c>
      <c r="Y227" s="2" t="s">
        <v>74</v>
      </c>
      <c r="Z227" s="2" t="s">
        <v>74</v>
      </c>
      <c r="AA227" s="2" t="s">
        <v>2604</v>
      </c>
      <c r="AB227" s="2" t="s">
        <v>2605</v>
      </c>
      <c r="AC227" s="2" t="s">
        <v>74</v>
      </c>
      <c r="AD227" s="2" t="s">
        <v>74</v>
      </c>
      <c r="AE227" s="2" t="s">
        <v>74</v>
      </c>
      <c r="AF227" s="2" t="s">
        <v>74</v>
      </c>
      <c r="AG227" s="2" t="s">
        <v>74</v>
      </c>
      <c r="AH227" s="2" t="s">
        <v>74</v>
      </c>
      <c r="AI227" s="2" t="s">
        <v>74</v>
      </c>
      <c r="AJ227" s="2" t="s">
        <v>74</v>
      </c>
      <c r="AK227" s="2" t="s">
        <v>74</v>
      </c>
      <c r="AL227" s="2" t="s">
        <v>74</v>
      </c>
      <c r="AM227" s="2" t="s">
        <v>74</v>
      </c>
      <c r="AN227" s="2" t="s">
        <v>74</v>
      </c>
      <c r="AO227" s="2" t="s">
        <v>285</v>
      </c>
      <c r="AP227" s="2" t="s">
        <v>286</v>
      </c>
      <c r="AQ227" s="2" t="s">
        <v>74</v>
      </c>
      <c r="AR227" s="2" t="s">
        <v>74</v>
      </c>
      <c r="AS227" s="2" t="s">
        <v>74</v>
      </c>
      <c r="AT227" s="2" t="s">
        <v>633</v>
      </c>
      <c r="AU227" s="2">
        <v>2004</v>
      </c>
      <c r="AV227" s="2">
        <v>7</v>
      </c>
      <c r="AW227" s="2">
        <v>2</v>
      </c>
      <c r="AX227" s="2" t="s">
        <v>74</v>
      </c>
      <c r="AY227" s="2" t="s">
        <v>74</v>
      </c>
      <c r="AZ227" s="2" t="s">
        <v>74</v>
      </c>
      <c r="BA227" s="2" t="s">
        <v>74</v>
      </c>
      <c r="BB227" s="2">
        <v>69</v>
      </c>
      <c r="BC227" s="2">
        <v>76</v>
      </c>
      <c r="BD227" s="2" t="s">
        <v>74</v>
      </c>
      <c r="BE227" s="2" t="s">
        <v>2606</v>
      </c>
      <c r="BF227" s="2" t="str">
        <f>HYPERLINK("http://dx.doi.org/10.1007/s10071-003-0189-4","http://dx.doi.org/10.1007/s10071-003-0189-4")</f>
        <v>http://dx.doi.org/10.1007/s10071-003-0189-4</v>
      </c>
      <c r="BG227" s="2" t="s">
        <v>74</v>
      </c>
      <c r="BH227" s="2" t="s">
        <v>74</v>
      </c>
      <c r="BI227" s="2" t="s">
        <v>74</v>
      </c>
      <c r="BJ227" s="2" t="s">
        <v>74</v>
      </c>
      <c r="BK227" s="2" t="s">
        <v>74</v>
      </c>
      <c r="BL227" s="2" t="s">
        <v>74</v>
      </c>
      <c r="BM227" s="2" t="s">
        <v>74</v>
      </c>
      <c r="BN227" s="2">
        <v>15069605</v>
      </c>
      <c r="BO227" s="2" t="s">
        <v>74</v>
      </c>
      <c r="BP227" s="2" t="s">
        <v>74</v>
      </c>
      <c r="BQ227" s="2" t="s">
        <v>74</v>
      </c>
      <c r="BR227" s="2" t="s">
        <v>74</v>
      </c>
      <c r="BS227" s="2" t="s">
        <v>2607</v>
      </c>
      <c r="BT227" s="2" t="str">
        <f>HYPERLINK("https%3A%2F%2Fwww.webofscience.com%2Fwos%2Fwoscc%2Ffull-record%2FWOS:000221649900001","View Full Record in Web of Science")</f>
        <v>View Full Record in Web of Science</v>
      </c>
    </row>
    <row r="228" spans="1:72" s="2" customFormat="1" x14ac:dyDescent="0.4">
      <c r="A228" s="2" t="s">
        <v>72</v>
      </c>
      <c r="B228" s="2" t="s">
        <v>6542</v>
      </c>
      <c r="C228" s="2" t="s">
        <v>74</v>
      </c>
      <c r="D228" s="2" t="s">
        <v>74</v>
      </c>
      <c r="E228" s="2" t="s">
        <v>74</v>
      </c>
      <c r="F228" s="2" t="s">
        <v>6543</v>
      </c>
      <c r="G228" s="2" t="s">
        <v>74</v>
      </c>
      <c r="H228" s="2" t="s">
        <v>74</v>
      </c>
      <c r="I228" s="2" t="s">
        <v>6544</v>
      </c>
      <c r="J228" s="2" t="s">
        <v>970</v>
      </c>
      <c r="K228" s="2" t="s">
        <v>74</v>
      </c>
      <c r="L228" s="2" t="s">
        <v>74</v>
      </c>
      <c r="M228" s="2" t="s">
        <v>74</v>
      </c>
      <c r="N228" s="2" t="s">
        <v>74</v>
      </c>
      <c r="O228" s="2" t="s">
        <v>74</v>
      </c>
      <c r="P228" s="2" t="s">
        <v>74</v>
      </c>
      <c r="Q228" s="2" t="s">
        <v>74</v>
      </c>
      <c r="R228" s="2" t="s">
        <v>74</v>
      </c>
      <c r="S228" s="2" t="s">
        <v>74</v>
      </c>
      <c r="T228" s="2" t="s">
        <v>74</v>
      </c>
      <c r="U228" s="2" t="s">
        <v>74</v>
      </c>
      <c r="V228" s="5" t="s">
        <v>6545</v>
      </c>
      <c r="W228" s="2" t="s">
        <v>74</v>
      </c>
      <c r="X228" s="2" t="s">
        <v>74</v>
      </c>
      <c r="Y228" s="2" t="s">
        <v>74</v>
      </c>
      <c r="Z228" s="2" t="s">
        <v>74</v>
      </c>
      <c r="AA228" s="2" t="s">
        <v>6546</v>
      </c>
      <c r="AB228" s="2" t="s">
        <v>6547</v>
      </c>
      <c r="AC228" s="2" t="s">
        <v>74</v>
      </c>
      <c r="AD228" s="2" t="s">
        <v>74</v>
      </c>
      <c r="AE228" s="2" t="s">
        <v>74</v>
      </c>
      <c r="AF228" s="2" t="s">
        <v>74</v>
      </c>
      <c r="AG228" s="2" t="s">
        <v>74</v>
      </c>
      <c r="AH228" s="2" t="s">
        <v>74</v>
      </c>
      <c r="AI228" s="2" t="s">
        <v>74</v>
      </c>
      <c r="AJ228" s="2" t="s">
        <v>74</v>
      </c>
      <c r="AK228" s="2" t="s">
        <v>74</v>
      </c>
      <c r="AL228" s="2" t="s">
        <v>74</v>
      </c>
      <c r="AM228" s="2" t="s">
        <v>74</v>
      </c>
      <c r="AN228" s="2" t="s">
        <v>74</v>
      </c>
      <c r="AO228" s="2" t="s">
        <v>974</v>
      </c>
      <c r="AP228" s="2" t="s">
        <v>975</v>
      </c>
      <c r="AQ228" s="2" t="s">
        <v>74</v>
      </c>
      <c r="AR228" s="2" t="s">
        <v>74</v>
      </c>
      <c r="AS228" s="2" t="s">
        <v>74</v>
      </c>
      <c r="AT228" s="2" t="s">
        <v>633</v>
      </c>
      <c r="AU228" s="2">
        <v>2020</v>
      </c>
      <c r="AV228" s="2">
        <v>161</v>
      </c>
      <c r="AW228" s="2">
        <v>2</v>
      </c>
      <c r="AX228" s="2" t="s">
        <v>74</v>
      </c>
      <c r="AY228" s="2" t="s">
        <v>74</v>
      </c>
      <c r="AZ228" s="2" t="s">
        <v>74</v>
      </c>
      <c r="BA228" s="2" t="s">
        <v>74</v>
      </c>
      <c r="BB228" s="2">
        <v>341</v>
      </c>
      <c r="BC228" s="2">
        <v>350</v>
      </c>
      <c r="BD228" s="2" t="s">
        <v>74</v>
      </c>
      <c r="BE228" s="2" t="s">
        <v>6548</v>
      </c>
      <c r="BF228" s="2" t="str">
        <f>HYPERLINK("http://dx.doi.org/10.1007/s10336-019-01730-2","http://dx.doi.org/10.1007/s10336-019-01730-2")</f>
        <v>http://dx.doi.org/10.1007/s10336-019-01730-2</v>
      </c>
      <c r="BG228" s="2" t="s">
        <v>74</v>
      </c>
      <c r="BH228" s="2" t="s">
        <v>2283</v>
      </c>
      <c r="BI228" s="2" t="s">
        <v>74</v>
      </c>
      <c r="BJ228" s="2" t="s">
        <v>74</v>
      </c>
      <c r="BK228" s="2" t="s">
        <v>74</v>
      </c>
      <c r="BL228" s="2" t="s">
        <v>74</v>
      </c>
      <c r="BM228" s="2" t="s">
        <v>74</v>
      </c>
      <c r="BN228" s="2" t="s">
        <v>74</v>
      </c>
      <c r="BO228" s="2" t="s">
        <v>74</v>
      </c>
      <c r="BP228" s="2" t="s">
        <v>74</v>
      </c>
      <c r="BQ228" s="2" t="s">
        <v>74</v>
      </c>
      <c r="BR228" s="2" t="s">
        <v>74</v>
      </c>
      <c r="BS228" s="2" t="s">
        <v>6549</v>
      </c>
      <c r="BT228" s="2" t="str">
        <f>HYPERLINK("https%3A%2F%2Fwww.webofscience.com%2Fwos%2Fwoscc%2Ffull-record%2FWOS:000493944300001","View Full Record in Web of Science")</f>
        <v>View Full Record in Web of Science</v>
      </c>
    </row>
    <row r="229" spans="1:72" s="2" customFormat="1" x14ac:dyDescent="0.4">
      <c r="A229" s="2" t="s">
        <v>72</v>
      </c>
      <c r="B229" s="2" t="s">
        <v>7896</v>
      </c>
      <c r="C229" s="2" t="s">
        <v>74</v>
      </c>
      <c r="D229" s="2" t="s">
        <v>74</v>
      </c>
      <c r="E229" s="2" t="s">
        <v>74</v>
      </c>
      <c r="F229" s="2" t="s">
        <v>7897</v>
      </c>
      <c r="G229" s="2" t="s">
        <v>74</v>
      </c>
      <c r="H229" s="2" t="s">
        <v>74</v>
      </c>
      <c r="I229" s="2" t="s">
        <v>7898</v>
      </c>
      <c r="J229" s="2" t="s">
        <v>842</v>
      </c>
      <c r="K229" s="2" t="s">
        <v>74</v>
      </c>
      <c r="L229" s="2" t="s">
        <v>74</v>
      </c>
      <c r="M229" s="2" t="s">
        <v>74</v>
      </c>
      <c r="N229" s="2" t="s">
        <v>74</v>
      </c>
      <c r="O229" s="2" t="s">
        <v>74</v>
      </c>
      <c r="P229" s="2" t="s">
        <v>74</v>
      </c>
      <c r="Q229" s="2" t="s">
        <v>74</v>
      </c>
      <c r="R229" s="2" t="s">
        <v>74</v>
      </c>
      <c r="S229" s="2" t="s">
        <v>74</v>
      </c>
      <c r="T229" s="2" t="s">
        <v>74</v>
      </c>
      <c r="U229" s="2" t="s">
        <v>74</v>
      </c>
      <c r="V229" s="5" t="s">
        <v>7899</v>
      </c>
      <c r="W229" s="2" t="s">
        <v>74</v>
      </c>
      <c r="X229" s="2" t="s">
        <v>74</v>
      </c>
      <c r="Y229" s="2" t="s">
        <v>74</v>
      </c>
      <c r="Z229" s="2" t="s">
        <v>74</v>
      </c>
      <c r="AA229" s="2" t="s">
        <v>7900</v>
      </c>
      <c r="AB229" s="2" t="s">
        <v>74</v>
      </c>
      <c r="AC229" s="2" t="s">
        <v>74</v>
      </c>
      <c r="AD229" s="2" t="s">
        <v>74</v>
      </c>
      <c r="AE229" s="2" t="s">
        <v>74</v>
      </c>
      <c r="AF229" s="2" t="s">
        <v>74</v>
      </c>
      <c r="AG229" s="2" t="s">
        <v>74</v>
      </c>
      <c r="AH229" s="2" t="s">
        <v>74</v>
      </c>
      <c r="AI229" s="2" t="s">
        <v>74</v>
      </c>
      <c r="AJ229" s="2" t="s">
        <v>74</v>
      </c>
      <c r="AK229" s="2" t="s">
        <v>74</v>
      </c>
      <c r="AL229" s="2" t="s">
        <v>74</v>
      </c>
      <c r="AM229" s="2" t="s">
        <v>74</v>
      </c>
      <c r="AN229" s="2" t="s">
        <v>74</v>
      </c>
      <c r="AO229" s="2" t="s">
        <v>846</v>
      </c>
      <c r="AP229" s="2" t="s">
        <v>847</v>
      </c>
      <c r="AQ229" s="2" t="s">
        <v>74</v>
      </c>
      <c r="AR229" s="2" t="s">
        <v>74</v>
      </c>
      <c r="AS229" s="2" t="s">
        <v>74</v>
      </c>
      <c r="AT229" s="2" t="s">
        <v>305</v>
      </c>
      <c r="AU229" s="2">
        <v>2017</v>
      </c>
      <c r="AV229" s="2">
        <v>79</v>
      </c>
      <c r="AW229" s="2">
        <v>12</v>
      </c>
      <c r="AX229" s="2" t="s">
        <v>74</v>
      </c>
      <c r="AY229" s="2" t="s">
        <v>74</v>
      </c>
      <c r="AZ229" s="2" t="s">
        <v>74</v>
      </c>
      <c r="BA229" s="2" t="s">
        <v>74</v>
      </c>
      <c r="BB229" s="2" t="s">
        <v>74</v>
      </c>
      <c r="BC229" s="2" t="s">
        <v>74</v>
      </c>
      <c r="BD229" s="2" t="s">
        <v>7901</v>
      </c>
      <c r="BE229" s="2" t="s">
        <v>7902</v>
      </c>
      <c r="BF229" s="2" t="str">
        <f>HYPERLINK("http://dx.doi.org/10.1002/ajp.22726","http://dx.doi.org/10.1002/ajp.22726")</f>
        <v>http://dx.doi.org/10.1002/ajp.22726</v>
      </c>
      <c r="BG229" s="2" t="s">
        <v>74</v>
      </c>
      <c r="BH229" s="2" t="s">
        <v>74</v>
      </c>
      <c r="BI229" s="2" t="s">
        <v>74</v>
      </c>
      <c r="BJ229" s="2" t="s">
        <v>74</v>
      </c>
      <c r="BK229" s="2" t="s">
        <v>74</v>
      </c>
      <c r="BL229" s="2" t="s">
        <v>74</v>
      </c>
      <c r="BM229" s="2" t="s">
        <v>74</v>
      </c>
      <c r="BN229" s="2">
        <v>29095514</v>
      </c>
      <c r="BO229" s="2" t="s">
        <v>74</v>
      </c>
      <c r="BP229" s="2" t="s">
        <v>74</v>
      </c>
      <c r="BQ229" s="2" t="s">
        <v>74</v>
      </c>
      <c r="BR229" s="2" t="s">
        <v>74</v>
      </c>
      <c r="BS229" s="2" t="s">
        <v>7903</v>
      </c>
      <c r="BT229" s="2" t="str">
        <f>HYPERLINK("https%3A%2F%2Fwww.webofscience.com%2Fwos%2Fwoscc%2Ffull-record%2FWOS:000417173400004","View Full Record in Web of Science")</f>
        <v>View Full Record in Web of Science</v>
      </c>
    </row>
    <row r="230" spans="1:72" s="2" customFormat="1" x14ac:dyDescent="0.4">
      <c r="A230" s="2" t="s">
        <v>72</v>
      </c>
      <c r="B230" s="2" t="s">
        <v>662</v>
      </c>
      <c r="C230" s="2" t="s">
        <v>74</v>
      </c>
      <c r="D230" s="2" t="s">
        <v>74</v>
      </c>
      <c r="E230" s="2" t="s">
        <v>74</v>
      </c>
      <c r="F230" s="2" t="s">
        <v>662</v>
      </c>
      <c r="G230" s="2" t="s">
        <v>74</v>
      </c>
      <c r="H230" s="2" t="s">
        <v>74</v>
      </c>
      <c r="I230" s="2" t="s">
        <v>663</v>
      </c>
      <c r="J230" s="2" t="s">
        <v>140</v>
      </c>
      <c r="K230" s="2" t="s">
        <v>74</v>
      </c>
      <c r="L230" s="2" t="s">
        <v>74</v>
      </c>
      <c r="M230" s="2" t="s">
        <v>74</v>
      </c>
      <c r="N230" s="2" t="s">
        <v>74</v>
      </c>
      <c r="O230" s="2" t="s">
        <v>74</v>
      </c>
      <c r="P230" s="2" t="s">
        <v>74</v>
      </c>
      <c r="Q230" s="2" t="s">
        <v>74</v>
      </c>
      <c r="R230" s="2" t="s">
        <v>74</v>
      </c>
      <c r="S230" s="2" t="s">
        <v>74</v>
      </c>
      <c r="T230" s="2" t="s">
        <v>74</v>
      </c>
      <c r="U230" s="2" t="s">
        <v>74</v>
      </c>
      <c r="V230" s="5" t="s">
        <v>664</v>
      </c>
      <c r="W230" s="2" t="s">
        <v>74</v>
      </c>
      <c r="X230" s="2" t="s">
        <v>74</v>
      </c>
      <c r="Y230" s="2" t="s">
        <v>74</v>
      </c>
      <c r="Z230" s="2" t="s">
        <v>74</v>
      </c>
      <c r="AA230" s="2" t="s">
        <v>665</v>
      </c>
      <c r="AB230" s="2" t="s">
        <v>666</v>
      </c>
      <c r="AC230" s="2" t="s">
        <v>74</v>
      </c>
      <c r="AD230" s="2" t="s">
        <v>74</v>
      </c>
      <c r="AE230" s="2" t="s">
        <v>74</v>
      </c>
      <c r="AF230" s="2" t="s">
        <v>74</v>
      </c>
      <c r="AG230" s="2" t="s">
        <v>74</v>
      </c>
      <c r="AH230" s="2" t="s">
        <v>74</v>
      </c>
      <c r="AI230" s="2" t="s">
        <v>74</v>
      </c>
      <c r="AJ230" s="2" t="s">
        <v>74</v>
      </c>
      <c r="AK230" s="2" t="s">
        <v>74</v>
      </c>
      <c r="AL230" s="2" t="s">
        <v>74</v>
      </c>
      <c r="AM230" s="2" t="s">
        <v>74</v>
      </c>
      <c r="AN230" s="2" t="s">
        <v>74</v>
      </c>
      <c r="AO230" s="2" t="s">
        <v>143</v>
      </c>
      <c r="AP230" s="2" t="s">
        <v>144</v>
      </c>
      <c r="AQ230" s="2" t="s">
        <v>74</v>
      </c>
      <c r="AR230" s="2" t="s">
        <v>74</v>
      </c>
      <c r="AS230" s="2" t="s">
        <v>74</v>
      </c>
      <c r="AT230" s="2" t="s">
        <v>74</v>
      </c>
      <c r="AU230" s="2">
        <v>1982</v>
      </c>
      <c r="AV230" s="2">
        <v>30</v>
      </c>
      <c r="AW230" s="2" t="s">
        <v>134</v>
      </c>
      <c r="AX230" s="2" t="s">
        <v>74</v>
      </c>
      <c r="AY230" s="2" t="s">
        <v>74</v>
      </c>
      <c r="AZ230" s="2" t="s">
        <v>74</v>
      </c>
      <c r="BA230" s="2" t="s">
        <v>74</v>
      </c>
      <c r="BB230" s="2">
        <v>444</v>
      </c>
      <c r="BC230" s="2">
        <v>455</v>
      </c>
      <c r="BD230" s="2" t="s">
        <v>74</v>
      </c>
      <c r="BE230" s="2" t="s">
        <v>667</v>
      </c>
      <c r="BF230" s="2" t="str">
        <f>HYPERLINK("http://dx.doi.org/10.1016/S0003-3472(82)80055-9","http://dx.doi.org/10.1016/S0003-3472(82)80055-9")</f>
        <v>http://dx.doi.org/10.1016/S0003-3472(82)80055-9</v>
      </c>
      <c r="BG230" s="2" t="s">
        <v>74</v>
      </c>
      <c r="BH230" s="2" t="s">
        <v>74</v>
      </c>
      <c r="BI230" s="2" t="s">
        <v>74</v>
      </c>
      <c r="BJ230" s="2" t="s">
        <v>74</v>
      </c>
      <c r="BK230" s="2" t="s">
        <v>74</v>
      </c>
      <c r="BL230" s="2" t="s">
        <v>74</v>
      </c>
      <c r="BM230" s="2" t="s">
        <v>74</v>
      </c>
      <c r="BN230" s="2" t="s">
        <v>74</v>
      </c>
      <c r="BO230" s="2" t="s">
        <v>74</v>
      </c>
      <c r="BP230" s="2" t="s">
        <v>74</v>
      </c>
      <c r="BQ230" s="2" t="s">
        <v>74</v>
      </c>
      <c r="BR230" s="2" t="s">
        <v>74</v>
      </c>
      <c r="BS230" s="2" t="s">
        <v>668</v>
      </c>
      <c r="BT230" s="2" t="str">
        <f>HYPERLINK("https%3A%2F%2Fwww.webofscience.com%2Fwos%2Fwoscc%2Ffull-record%2FWOS:A1982NQ92800014","View Full Record in Web of Science")</f>
        <v>View Full Record in Web of Science</v>
      </c>
    </row>
    <row r="231" spans="1:72" s="1" customFormat="1" x14ac:dyDescent="0.4">
      <c r="A231" s="2" t="s">
        <v>72</v>
      </c>
      <c r="B231" s="2" t="s">
        <v>6112</v>
      </c>
      <c r="C231" s="2" t="s">
        <v>74</v>
      </c>
      <c r="D231" s="2" t="s">
        <v>74</v>
      </c>
      <c r="E231" s="2" t="s">
        <v>74</v>
      </c>
      <c r="F231" s="2" t="s">
        <v>6112</v>
      </c>
      <c r="G231" s="2" t="s">
        <v>74</v>
      </c>
      <c r="H231" s="2" t="s">
        <v>74</v>
      </c>
      <c r="I231" s="2" t="s">
        <v>6113</v>
      </c>
      <c r="J231" s="2" t="s">
        <v>4655</v>
      </c>
      <c r="K231" s="2" t="s">
        <v>74</v>
      </c>
      <c r="L231" s="2" t="s">
        <v>74</v>
      </c>
      <c r="M231" s="2" t="s">
        <v>74</v>
      </c>
      <c r="N231" s="2" t="s">
        <v>74</v>
      </c>
      <c r="O231" s="2" t="s">
        <v>74</v>
      </c>
      <c r="P231" s="2" t="s">
        <v>74</v>
      </c>
      <c r="Q231" s="2" t="s">
        <v>74</v>
      </c>
      <c r="R231" s="2" t="s">
        <v>74</v>
      </c>
      <c r="S231" s="2" t="s">
        <v>74</v>
      </c>
      <c r="T231" s="2" t="s">
        <v>74</v>
      </c>
      <c r="U231" s="2" t="s">
        <v>74</v>
      </c>
      <c r="V231" s="5" t="s">
        <v>6114</v>
      </c>
      <c r="W231" s="2" t="s">
        <v>74</v>
      </c>
      <c r="X231" s="2" t="s">
        <v>74</v>
      </c>
      <c r="Y231" s="2" t="s">
        <v>74</v>
      </c>
      <c r="Z231" s="2" t="s">
        <v>74</v>
      </c>
      <c r="AA231" s="2" t="s">
        <v>74</v>
      </c>
      <c r="AB231" s="2" t="s">
        <v>74</v>
      </c>
      <c r="AC231" s="2" t="s">
        <v>74</v>
      </c>
      <c r="AD231" s="2" t="s">
        <v>74</v>
      </c>
      <c r="AE231" s="2" t="s">
        <v>74</v>
      </c>
      <c r="AF231" s="2" t="s">
        <v>74</v>
      </c>
      <c r="AG231" s="2" t="s">
        <v>74</v>
      </c>
      <c r="AH231" s="2" t="s">
        <v>74</v>
      </c>
      <c r="AI231" s="2" t="s">
        <v>74</v>
      </c>
      <c r="AJ231" s="2" t="s">
        <v>74</v>
      </c>
      <c r="AK231" s="2" t="s">
        <v>74</v>
      </c>
      <c r="AL231" s="2" t="s">
        <v>74</v>
      </c>
      <c r="AM231" s="2" t="s">
        <v>74</v>
      </c>
      <c r="AN231" s="2" t="s">
        <v>74</v>
      </c>
      <c r="AO231" s="2" t="s">
        <v>4657</v>
      </c>
      <c r="AP231" s="2" t="s">
        <v>74</v>
      </c>
      <c r="AQ231" s="2" t="s">
        <v>74</v>
      </c>
      <c r="AR231" s="2" t="s">
        <v>74</v>
      </c>
      <c r="AS231" s="2" t="s">
        <v>74</v>
      </c>
      <c r="AT231" s="2" t="s">
        <v>352</v>
      </c>
      <c r="AU231" s="2">
        <v>2000</v>
      </c>
      <c r="AV231" s="2">
        <v>112</v>
      </c>
      <c r="AW231" s="2">
        <v>3</v>
      </c>
      <c r="AX231" s="2" t="s">
        <v>74</v>
      </c>
      <c r="AY231" s="2" t="s">
        <v>74</v>
      </c>
      <c r="AZ231" s="2" t="s">
        <v>74</v>
      </c>
      <c r="BA231" s="2" t="s">
        <v>74</v>
      </c>
      <c r="BB231" s="2">
        <v>313</v>
      </c>
      <c r="BC231" s="2">
        <v>317</v>
      </c>
      <c r="BD231" s="2" t="s">
        <v>74</v>
      </c>
      <c r="BE231" s="2" t="s">
        <v>6115</v>
      </c>
      <c r="BF231" s="2" t="str">
        <f>HYPERLINK("http://dx.doi.org/10.1676/0043-5643(2000)112[0313:NROFAS]2.0.CO;2","http://dx.doi.org/10.1676/0043-5643(2000)112[0313:NROFAS]2.0.CO;2")</f>
        <v>http://dx.doi.org/10.1676/0043-5643(2000)112[0313:NROFAS]2.0.CO;2</v>
      </c>
      <c r="BG231" s="2" t="s">
        <v>74</v>
      </c>
      <c r="BH231" s="2" t="s">
        <v>74</v>
      </c>
      <c r="BI231" s="2" t="s">
        <v>74</v>
      </c>
      <c r="BJ231" s="2" t="s">
        <v>74</v>
      </c>
      <c r="BK231" s="2" t="s">
        <v>74</v>
      </c>
      <c r="BL231" s="2" t="s">
        <v>74</v>
      </c>
      <c r="BM231" s="2" t="s">
        <v>74</v>
      </c>
      <c r="BN231" s="2" t="s">
        <v>74</v>
      </c>
      <c r="BO231" s="2" t="s">
        <v>74</v>
      </c>
      <c r="BP231" s="2" t="s">
        <v>74</v>
      </c>
      <c r="BQ231" s="2" t="s">
        <v>74</v>
      </c>
      <c r="BR231" s="2" t="s">
        <v>74</v>
      </c>
      <c r="BS231" s="2" t="s">
        <v>6116</v>
      </c>
      <c r="BT231" s="2" t="str">
        <f>HYPERLINK("https%3A%2F%2Fwww.webofscience.com%2Fwos%2Fwoscc%2Ffull-record%2FWOS:000089097200002","View Full Record in Web of Science")</f>
        <v>View Full Record in Web of Science</v>
      </c>
    </row>
    <row r="232" spans="1:72" s="1" customFormat="1" x14ac:dyDescent="0.4">
      <c r="A232" s="2" t="s">
        <v>72</v>
      </c>
      <c r="B232" s="2" t="s">
        <v>1372</v>
      </c>
      <c r="C232" s="2" t="s">
        <v>74</v>
      </c>
      <c r="D232" s="2" t="s">
        <v>74</v>
      </c>
      <c r="E232" s="2" t="s">
        <v>74</v>
      </c>
      <c r="F232" s="2" t="s">
        <v>1373</v>
      </c>
      <c r="G232" s="2" t="s">
        <v>74</v>
      </c>
      <c r="H232" s="2" t="s">
        <v>74</v>
      </c>
      <c r="I232" s="2" t="s">
        <v>1374</v>
      </c>
      <c r="J232" s="2" t="s">
        <v>1375</v>
      </c>
      <c r="K232" s="2" t="s">
        <v>74</v>
      </c>
      <c r="L232" s="2" t="s">
        <v>74</v>
      </c>
      <c r="M232" s="2" t="s">
        <v>74</v>
      </c>
      <c r="N232" s="2" t="s">
        <v>74</v>
      </c>
      <c r="O232" s="2" t="s">
        <v>74</v>
      </c>
      <c r="P232" s="2" t="s">
        <v>74</v>
      </c>
      <c r="Q232" s="2" t="s">
        <v>74</v>
      </c>
      <c r="R232" s="2" t="s">
        <v>74</v>
      </c>
      <c r="S232" s="2" t="s">
        <v>74</v>
      </c>
      <c r="T232" s="2" t="s">
        <v>74</v>
      </c>
      <c r="U232" s="2" t="s">
        <v>74</v>
      </c>
      <c r="V232" s="5" t="s">
        <v>1376</v>
      </c>
      <c r="W232" s="2" t="s">
        <v>74</v>
      </c>
      <c r="X232" s="2" t="s">
        <v>74</v>
      </c>
      <c r="Y232" s="2" t="s">
        <v>74</v>
      </c>
      <c r="Z232" s="2" t="s">
        <v>74</v>
      </c>
      <c r="AA232" s="2" t="s">
        <v>74</v>
      </c>
      <c r="AB232" s="2" t="s">
        <v>1377</v>
      </c>
      <c r="AC232" s="2" t="s">
        <v>74</v>
      </c>
      <c r="AD232" s="2" t="s">
        <v>74</v>
      </c>
      <c r="AE232" s="2" t="s">
        <v>74</v>
      </c>
      <c r="AF232" s="2" t="s">
        <v>74</v>
      </c>
      <c r="AG232" s="2" t="s">
        <v>74</v>
      </c>
      <c r="AH232" s="2" t="s">
        <v>74</v>
      </c>
      <c r="AI232" s="2" t="s">
        <v>74</v>
      </c>
      <c r="AJ232" s="2" t="s">
        <v>74</v>
      </c>
      <c r="AK232" s="2" t="s">
        <v>74</v>
      </c>
      <c r="AL232" s="2" t="s">
        <v>74</v>
      </c>
      <c r="AM232" s="2" t="s">
        <v>74</v>
      </c>
      <c r="AN232" s="2" t="s">
        <v>74</v>
      </c>
      <c r="AO232" s="2" t="s">
        <v>1378</v>
      </c>
      <c r="AP232" s="2" t="s">
        <v>74</v>
      </c>
      <c r="AQ232" s="2" t="s">
        <v>74</v>
      </c>
      <c r="AR232" s="2" t="s">
        <v>74</v>
      </c>
      <c r="AS232" s="2" t="s">
        <v>74</v>
      </c>
      <c r="AT232" s="2" t="s">
        <v>74</v>
      </c>
      <c r="AU232" s="2">
        <v>2023</v>
      </c>
      <c r="AV232" s="2">
        <v>14</v>
      </c>
      <c r="AW232" s="2" t="s">
        <v>74</v>
      </c>
      <c r="AX232" s="2" t="s">
        <v>74</v>
      </c>
      <c r="AY232" s="2" t="s">
        <v>74</v>
      </c>
      <c r="AZ232" s="2" t="s">
        <v>74</v>
      </c>
      <c r="BA232" s="2" t="s">
        <v>74</v>
      </c>
      <c r="BB232" s="2" t="s">
        <v>74</v>
      </c>
      <c r="BC232" s="2" t="s">
        <v>74</v>
      </c>
      <c r="BD232" s="2">
        <v>100077</v>
      </c>
      <c r="BE232" s="2" t="s">
        <v>1379</v>
      </c>
      <c r="BF232" s="2" t="str">
        <f>HYPERLINK("http://dx.doi.org/10.1016/j.avrs.2023.100077","http://dx.doi.org/10.1016/j.avrs.2023.100077")</f>
        <v>http://dx.doi.org/10.1016/j.avrs.2023.100077</v>
      </c>
      <c r="BG232" s="2" t="s">
        <v>74</v>
      </c>
      <c r="BH232" s="2" t="s">
        <v>74</v>
      </c>
      <c r="BI232" s="2" t="s">
        <v>74</v>
      </c>
      <c r="BJ232" s="2" t="s">
        <v>74</v>
      </c>
      <c r="BK232" s="2" t="s">
        <v>74</v>
      </c>
      <c r="BL232" s="2" t="s">
        <v>74</v>
      </c>
      <c r="BM232" s="2" t="s">
        <v>74</v>
      </c>
      <c r="BN232" s="2" t="s">
        <v>74</v>
      </c>
      <c r="BO232" s="2" t="s">
        <v>74</v>
      </c>
      <c r="BP232" s="2" t="s">
        <v>74</v>
      </c>
      <c r="BQ232" s="2" t="s">
        <v>74</v>
      </c>
      <c r="BR232" s="2" t="s">
        <v>74</v>
      </c>
      <c r="BS232" s="2" t="s">
        <v>1380</v>
      </c>
      <c r="BT232" s="2" t="str">
        <f>HYPERLINK("https%3A%2F%2Fwww.webofscience.com%2Fwos%2Fwoscc%2Ffull-record%2FWOS:000933848900001","View Full Record in Web of Science")</f>
        <v>View Full Record in Web of Science</v>
      </c>
    </row>
    <row r="233" spans="1:72" s="2" customFormat="1" x14ac:dyDescent="0.4">
      <c r="A233" s="2" t="s">
        <v>72</v>
      </c>
      <c r="B233" s="2" t="s">
        <v>2067</v>
      </c>
      <c r="C233" s="2" t="s">
        <v>74</v>
      </c>
      <c r="D233" s="2" t="s">
        <v>74</v>
      </c>
      <c r="E233" s="2" t="s">
        <v>74</v>
      </c>
      <c r="F233" s="2" t="s">
        <v>2068</v>
      </c>
      <c r="G233" s="2" t="s">
        <v>74</v>
      </c>
      <c r="H233" s="2" t="s">
        <v>74</v>
      </c>
      <c r="I233" s="2" t="s">
        <v>2069</v>
      </c>
      <c r="J233" s="2" t="s">
        <v>2070</v>
      </c>
      <c r="K233" s="2" t="s">
        <v>74</v>
      </c>
      <c r="L233" s="2" t="s">
        <v>74</v>
      </c>
      <c r="M233" s="2" t="s">
        <v>74</v>
      </c>
      <c r="N233" s="2" t="s">
        <v>74</v>
      </c>
      <c r="O233" s="2" t="s">
        <v>74</v>
      </c>
      <c r="P233" s="2" t="s">
        <v>74</v>
      </c>
      <c r="Q233" s="2" t="s">
        <v>74</v>
      </c>
      <c r="R233" s="2" t="s">
        <v>74</v>
      </c>
      <c r="S233" s="2" t="s">
        <v>74</v>
      </c>
      <c r="T233" s="2" t="s">
        <v>74</v>
      </c>
      <c r="U233" s="2" t="s">
        <v>74</v>
      </c>
      <c r="V233" s="5" t="s">
        <v>2071</v>
      </c>
      <c r="W233" s="2" t="s">
        <v>74</v>
      </c>
      <c r="X233" s="2" t="s">
        <v>74</v>
      </c>
      <c r="Y233" s="2" t="s">
        <v>74</v>
      </c>
      <c r="Z233" s="2" t="s">
        <v>74</v>
      </c>
      <c r="AA233" s="2" t="s">
        <v>74</v>
      </c>
      <c r="AB233" s="2" t="s">
        <v>274</v>
      </c>
      <c r="AC233" s="2" t="s">
        <v>74</v>
      </c>
      <c r="AD233" s="2" t="s">
        <v>74</v>
      </c>
      <c r="AE233" s="2" t="s">
        <v>74</v>
      </c>
      <c r="AF233" s="2" t="s">
        <v>74</v>
      </c>
      <c r="AG233" s="2" t="s">
        <v>74</v>
      </c>
      <c r="AH233" s="2" t="s">
        <v>74</v>
      </c>
      <c r="AI233" s="2" t="s">
        <v>74</v>
      </c>
      <c r="AJ233" s="2" t="s">
        <v>74</v>
      </c>
      <c r="AK233" s="2" t="s">
        <v>74</v>
      </c>
      <c r="AL233" s="2" t="s">
        <v>74</v>
      </c>
      <c r="AM233" s="2" t="s">
        <v>74</v>
      </c>
      <c r="AN233" s="2" t="s">
        <v>74</v>
      </c>
      <c r="AO233" s="2" t="s">
        <v>2072</v>
      </c>
      <c r="AP233" s="2" t="s">
        <v>2073</v>
      </c>
      <c r="AQ233" s="2" t="s">
        <v>74</v>
      </c>
      <c r="AR233" s="2" t="s">
        <v>74</v>
      </c>
      <c r="AS233" s="2" t="s">
        <v>74</v>
      </c>
      <c r="AT233" s="2" t="s">
        <v>145</v>
      </c>
      <c r="AU233" s="2">
        <v>2007</v>
      </c>
      <c r="AV233" s="2">
        <v>177</v>
      </c>
      <c r="AW233" s="2">
        <v>6</v>
      </c>
      <c r="AX233" s="2" t="s">
        <v>74</v>
      </c>
      <c r="AY233" s="2" t="s">
        <v>74</v>
      </c>
      <c r="AZ233" s="2" t="s">
        <v>74</v>
      </c>
      <c r="BA233" s="2" t="s">
        <v>74</v>
      </c>
      <c r="BB233" s="2">
        <v>641</v>
      </c>
      <c r="BC233" s="2">
        <v>654</v>
      </c>
      <c r="BD233" s="2" t="s">
        <v>74</v>
      </c>
      <c r="BE233" s="2" t="s">
        <v>2074</v>
      </c>
      <c r="BF233" s="2" t="str">
        <f>HYPERLINK("http://dx.doi.org/10.1007/s00360-007-0162-7","http://dx.doi.org/10.1007/s00360-007-0162-7")</f>
        <v>http://dx.doi.org/10.1007/s00360-007-0162-7</v>
      </c>
      <c r="BG233" s="2" t="s">
        <v>74</v>
      </c>
      <c r="BH233" s="2" t="s">
        <v>74</v>
      </c>
      <c r="BI233" s="2" t="s">
        <v>74</v>
      </c>
      <c r="BJ233" s="2" t="s">
        <v>74</v>
      </c>
      <c r="BK233" s="2" t="s">
        <v>74</v>
      </c>
      <c r="BL233" s="2" t="s">
        <v>74</v>
      </c>
      <c r="BM233" s="2" t="s">
        <v>74</v>
      </c>
      <c r="BN233" s="2">
        <v>17520263</v>
      </c>
      <c r="BO233" s="2" t="s">
        <v>74</v>
      </c>
      <c r="BP233" s="2" t="s">
        <v>74</v>
      </c>
      <c r="BQ233" s="2" t="s">
        <v>74</v>
      </c>
      <c r="BR233" s="2" t="s">
        <v>74</v>
      </c>
      <c r="BS233" s="2" t="s">
        <v>2075</v>
      </c>
      <c r="BT233" s="2" t="str">
        <f>HYPERLINK("https%3A%2F%2Fwww.webofscience.com%2Fwos%2Fwoscc%2Ffull-record%2FWOS:000248301500005","View Full Record in Web of Science")</f>
        <v>View Full Record in Web of Science</v>
      </c>
    </row>
    <row r="234" spans="1:72" s="2" customFormat="1" x14ac:dyDescent="0.4">
      <c r="A234" s="2" t="s">
        <v>72</v>
      </c>
      <c r="B234" s="2" t="s">
        <v>6668</v>
      </c>
      <c r="C234" s="2" t="s">
        <v>74</v>
      </c>
      <c r="D234" s="2" t="s">
        <v>74</v>
      </c>
      <c r="E234" s="2" t="s">
        <v>74</v>
      </c>
      <c r="F234" s="2" t="s">
        <v>6669</v>
      </c>
      <c r="G234" s="2" t="s">
        <v>74</v>
      </c>
      <c r="H234" s="2" t="s">
        <v>74</v>
      </c>
      <c r="I234" s="2" t="s">
        <v>6670</v>
      </c>
      <c r="J234" s="2" t="s">
        <v>129</v>
      </c>
      <c r="K234" s="2" t="s">
        <v>74</v>
      </c>
      <c r="L234" s="2" t="s">
        <v>74</v>
      </c>
      <c r="M234" s="2" t="s">
        <v>74</v>
      </c>
      <c r="N234" s="2" t="s">
        <v>74</v>
      </c>
      <c r="O234" s="2" t="s">
        <v>74</v>
      </c>
      <c r="P234" s="2" t="s">
        <v>74</v>
      </c>
      <c r="Q234" s="2" t="s">
        <v>74</v>
      </c>
      <c r="R234" s="2" t="s">
        <v>74</v>
      </c>
      <c r="S234" s="2" t="s">
        <v>74</v>
      </c>
      <c r="T234" s="2" t="s">
        <v>74</v>
      </c>
      <c r="U234" s="2" t="s">
        <v>74</v>
      </c>
      <c r="V234" s="5" t="s">
        <v>6671</v>
      </c>
      <c r="W234" s="2" t="s">
        <v>74</v>
      </c>
      <c r="X234" s="2" t="s">
        <v>74</v>
      </c>
      <c r="Y234" s="2" t="s">
        <v>74</v>
      </c>
      <c r="Z234" s="2" t="s">
        <v>74</v>
      </c>
      <c r="AA234" s="2" t="s">
        <v>6672</v>
      </c>
      <c r="AB234" s="2" t="s">
        <v>6673</v>
      </c>
      <c r="AC234" s="2" t="s">
        <v>74</v>
      </c>
      <c r="AD234" s="2" t="s">
        <v>74</v>
      </c>
      <c r="AE234" s="2" t="s">
        <v>74</v>
      </c>
      <c r="AF234" s="2" t="s">
        <v>74</v>
      </c>
      <c r="AG234" s="2" t="s">
        <v>74</v>
      </c>
      <c r="AH234" s="2" t="s">
        <v>74</v>
      </c>
      <c r="AI234" s="2" t="s">
        <v>74</v>
      </c>
      <c r="AJ234" s="2" t="s">
        <v>74</v>
      </c>
      <c r="AK234" s="2" t="s">
        <v>74</v>
      </c>
      <c r="AL234" s="2" t="s">
        <v>74</v>
      </c>
      <c r="AM234" s="2" t="s">
        <v>74</v>
      </c>
      <c r="AN234" s="2" t="s">
        <v>74</v>
      </c>
      <c r="AO234" s="2" t="s">
        <v>132</v>
      </c>
      <c r="AP234" s="2" t="s">
        <v>133</v>
      </c>
      <c r="AQ234" s="2" t="s">
        <v>74</v>
      </c>
      <c r="AR234" s="2" t="s">
        <v>74</v>
      </c>
      <c r="AS234" s="2" t="s">
        <v>74</v>
      </c>
      <c r="AT234" s="2" t="s">
        <v>204</v>
      </c>
      <c r="AU234" s="2">
        <v>2013</v>
      </c>
      <c r="AV234" s="2">
        <v>67</v>
      </c>
      <c r="AW234" s="2">
        <v>7</v>
      </c>
      <c r="AX234" s="2" t="s">
        <v>74</v>
      </c>
      <c r="AY234" s="2" t="s">
        <v>74</v>
      </c>
      <c r="AZ234" s="2" t="s">
        <v>74</v>
      </c>
      <c r="BA234" s="2" t="s">
        <v>74</v>
      </c>
      <c r="BB234" s="2">
        <v>1163</v>
      </c>
      <c r="BC234" s="2">
        <v>1167</v>
      </c>
      <c r="BD234" s="2" t="s">
        <v>74</v>
      </c>
      <c r="BE234" s="2" t="s">
        <v>6674</v>
      </c>
      <c r="BF234" s="2" t="str">
        <f>HYPERLINK("http://dx.doi.org/10.1007/s00265-013-1541-6","http://dx.doi.org/10.1007/s00265-013-1541-6")</f>
        <v>http://dx.doi.org/10.1007/s00265-013-1541-6</v>
      </c>
      <c r="BG234" s="2" t="s">
        <v>74</v>
      </c>
      <c r="BH234" s="2" t="s">
        <v>74</v>
      </c>
      <c r="BI234" s="2" t="s">
        <v>74</v>
      </c>
      <c r="BJ234" s="2" t="s">
        <v>74</v>
      </c>
      <c r="BK234" s="2" t="s">
        <v>74</v>
      </c>
      <c r="BL234" s="2" t="s">
        <v>74</v>
      </c>
      <c r="BM234" s="2" t="s">
        <v>74</v>
      </c>
      <c r="BN234" s="2" t="s">
        <v>74</v>
      </c>
      <c r="BO234" s="2" t="s">
        <v>74</v>
      </c>
      <c r="BP234" s="2" t="s">
        <v>74</v>
      </c>
      <c r="BQ234" s="2" t="s">
        <v>74</v>
      </c>
      <c r="BR234" s="2" t="s">
        <v>74</v>
      </c>
      <c r="BS234" s="2" t="s">
        <v>6675</v>
      </c>
      <c r="BT234" s="2" t="str">
        <f>HYPERLINK("https%3A%2F%2Fwww.webofscience.com%2Fwos%2Fwoscc%2Ffull-record%2FWOS:000320024200013","View Full Record in Web of Science")</f>
        <v>View Full Record in Web of Science</v>
      </c>
    </row>
    <row r="235" spans="1:72" s="2" customFormat="1" x14ac:dyDescent="0.4">
      <c r="A235" s="2" t="s">
        <v>72</v>
      </c>
      <c r="B235" s="2" t="s">
        <v>4848</v>
      </c>
      <c r="C235" s="2" t="s">
        <v>74</v>
      </c>
      <c r="D235" s="2" t="s">
        <v>74</v>
      </c>
      <c r="E235" s="2" t="s">
        <v>74</v>
      </c>
      <c r="F235" s="2" t="s">
        <v>4848</v>
      </c>
      <c r="G235" s="2" t="s">
        <v>74</v>
      </c>
      <c r="H235" s="2" t="s">
        <v>74</v>
      </c>
      <c r="I235" s="2" t="s">
        <v>4849</v>
      </c>
      <c r="J235" s="2" t="s">
        <v>241</v>
      </c>
      <c r="K235" s="2" t="s">
        <v>74</v>
      </c>
      <c r="L235" s="2" t="s">
        <v>74</v>
      </c>
      <c r="M235" s="2" t="s">
        <v>74</v>
      </c>
      <c r="N235" s="2" t="s">
        <v>74</v>
      </c>
      <c r="O235" s="2" t="s">
        <v>74</v>
      </c>
      <c r="P235" s="2" t="s">
        <v>74</v>
      </c>
      <c r="Q235" s="2" t="s">
        <v>74</v>
      </c>
      <c r="R235" s="2" t="s">
        <v>74</v>
      </c>
      <c r="S235" s="2" t="s">
        <v>74</v>
      </c>
      <c r="T235" s="2" t="s">
        <v>74</v>
      </c>
      <c r="U235" s="2" t="s">
        <v>74</v>
      </c>
      <c r="V235" s="5" t="s">
        <v>4850</v>
      </c>
      <c r="W235" s="2" t="s">
        <v>74</v>
      </c>
      <c r="X235" s="2" t="s">
        <v>74</v>
      </c>
      <c r="Y235" s="2" t="s">
        <v>74</v>
      </c>
      <c r="Z235" s="2" t="s">
        <v>74</v>
      </c>
      <c r="AA235" s="2" t="s">
        <v>74</v>
      </c>
      <c r="AB235" s="2" t="s">
        <v>4851</v>
      </c>
      <c r="AC235" s="2" t="s">
        <v>74</v>
      </c>
      <c r="AD235" s="2" t="s">
        <v>74</v>
      </c>
      <c r="AE235" s="2" t="s">
        <v>74</v>
      </c>
      <c r="AF235" s="2" t="s">
        <v>74</v>
      </c>
      <c r="AG235" s="2" t="s">
        <v>74</v>
      </c>
      <c r="AH235" s="2" t="s">
        <v>74</v>
      </c>
      <c r="AI235" s="2" t="s">
        <v>74</v>
      </c>
      <c r="AJ235" s="2" t="s">
        <v>74</v>
      </c>
      <c r="AK235" s="2" t="s">
        <v>74</v>
      </c>
      <c r="AL235" s="2" t="s">
        <v>74</v>
      </c>
      <c r="AM235" s="2" t="s">
        <v>74</v>
      </c>
      <c r="AN235" s="2" t="s">
        <v>74</v>
      </c>
      <c r="AO235" s="2" t="s">
        <v>245</v>
      </c>
      <c r="AP235" s="2" t="s">
        <v>246</v>
      </c>
      <c r="AQ235" s="2" t="s">
        <v>74</v>
      </c>
      <c r="AR235" s="2" t="s">
        <v>74</v>
      </c>
      <c r="AS235" s="2" t="s">
        <v>74</v>
      </c>
      <c r="AT235" s="2" t="s">
        <v>145</v>
      </c>
      <c r="AU235" s="2">
        <v>2002</v>
      </c>
      <c r="AV235" s="2">
        <v>132</v>
      </c>
      <c r="AW235" s="2">
        <v>3</v>
      </c>
      <c r="AX235" s="2" t="s">
        <v>74</v>
      </c>
      <c r="AY235" s="2" t="s">
        <v>74</v>
      </c>
      <c r="AZ235" s="2" t="s">
        <v>74</v>
      </c>
      <c r="BA235" s="2" t="s">
        <v>74</v>
      </c>
      <c r="BB235" s="2">
        <v>468</v>
      </c>
      <c r="BC235" s="2">
        <v>477</v>
      </c>
      <c r="BD235" s="2" t="s">
        <v>74</v>
      </c>
      <c r="BE235" s="2" t="s">
        <v>4852</v>
      </c>
      <c r="BF235" s="2" t="str">
        <f>HYPERLINK("http://dx.doi.org/10.1007/s00442-002-0975-8","http://dx.doi.org/10.1007/s00442-002-0975-8")</f>
        <v>http://dx.doi.org/10.1007/s00442-002-0975-8</v>
      </c>
      <c r="BG235" s="2" t="s">
        <v>74</v>
      </c>
      <c r="BH235" s="2" t="s">
        <v>74</v>
      </c>
      <c r="BI235" s="2" t="s">
        <v>74</v>
      </c>
      <c r="BJ235" s="2" t="s">
        <v>74</v>
      </c>
      <c r="BK235" s="2" t="s">
        <v>74</v>
      </c>
      <c r="BL235" s="2" t="s">
        <v>74</v>
      </c>
      <c r="BM235" s="2" t="s">
        <v>74</v>
      </c>
      <c r="BN235" s="2">
        <v>28547426</v>
      </c>
      <c r="BO235" s="2" t="s">
        <v>74</v>
      </c>
      <c r="BP235" s="2" t="s">
        <v>74</v>
      </c>
      <c r="BQ235" s="2" t="s">
        <v>74</v>
      </c>
      <c r="BR235" s="2" t="s">
        <v>74</v>
      </c>
      <c r="BS235" s="2" t="s">
        <v>4853</v>
      </c>
      <c r="BT235" s="2" t="str">
        <f>HYPERLINK("https%3A%2F%2Fwww.webofscience.com%2Fwos%2Fwoscc%2Ffull-record%2FWOS:000177752500018","View Full Record in Web of Science")</f>
        <v>View Full Record in Web of Science</v>
      </c>
    </row>
    <row r="236" spans="1:72" s="7" customFormat="1" x14ac:dyDescent="0.4">
      <c r="A236" s="2" t="s">
        <v>72</v>
      </c>
      <c r="B236" s="2" t="s">
        <v>4499</v>
      </c>
      <c r="C236" s="2" t="s">
        <v>74</v>
      </c>
      <c r="D236" s="2" t="s">
        <v>74</v>
      </c>
      <c r="E236" s="2" t="s">
        <v>74</v>
      </c>
      <c r="F236" s="2" t="s">
        <v>4500</v>
      </c>
      <c r="G236" s="2" t="s">
        <v>74</v>
      </c>
      <c r="H236" s="2" t="s">
        <v>74</v>
      </c>
      <c r="I236" s="2" t="s">
        <v>4501</v>
      </c>
      <c r="J236" s="2" t="s">
        <v>281</v>
      </c>
      <c r="K236" s="2" t="s">
        <v>74</v>
      </c>
      <c r="L236" s="2" t="s">
        <v>74</v>
      </c>
      <c r="M236" s="2" t="s">
        <v>74</v>
      </c>
      <c r="N236" s="2" t="s">
        <v>74</v>
      </c>
      <c r="O236" s="2" t="s">
        <v>74</v>
      </c>
      <c r="P236" s="2" t="s">
        <v>74</v>
      </c>
      <c r="Q236" s="2" t="s">
        <v>74</v>
      </c>
      <c r="R236" s="2" t="s">
        <v>74</v>
      </c>
      <c r="S236" s="2" t="s">
        <v>74</v>
      </c>
      <c r="T236" s="2" t="s">
        <v>74</v>
      </c>
      <c r="U236" s="2" t="s">
        <v>74</v>
      </c>
      <c r="V236" s="5" t="s">
        <v>4502</v>
      </c>
      <c r="W236" s="2" t="s">
        <v>74</v>
      </c>
      <c r="X236" s="2" t="s">
        <v>74</v>
      </c>
      <c r="Y236" s="2" t="s">
        <v>74</v>
      </c>
      <c r="Z236" s="2" t="s">
        <v>74</v>
      </c>
      <c r="AA236" s="2" t="s">
        <v>4503</v>
      </c>
      <c r="AB236" s="2" t="s">
        <v>4504</v>
      </c>
      <c r="AC236" s="2" t="s">
        <v>74</v>
      </c>
      <c r="AD236" s="2" t="s">
        <v>74</v>
      </c>
      <c r="AE236" s="2" t="s">
        <v>74</v>
      </c>
      <c r="AF236" s="2" t="s">
        <v>74</v>
      </c>
      <c r="AG236" s="2" t="s">
        <v>74</v>
      </c>
      <c r="AH236" s="2" t="s">
        <v>74</v>
      </c>
      <c r="AI236" s="2" t="s">
        <v>74</v>
      </c>
      <c r="AJ236" s="2" t="s">
        <v>74</v>
      </c>
      <c r="AK236" s="2" t="s">
        <v>74</v>
      </c>
      <c r="AL236" s="2" t="s">
        <v>74</v>
      </c>
      <c r="AM236" s="2" t="s">
        <v>74</v>
      </c>
      <c r="AN236" s="2" t="s">
        <v>74</v>
      </c>
      <c r="AO236" s="2" t="s">
        <v>285</v>
      </c>
      <c r="AP236" s="2" t="s">
        <v>286</v>
      </c>
      <c r="AQ236" s="2" t="s">
        <v>74</v>
      </c>
      <c r="AR236" s="2" t="s">
        <v>74</v>
      </c>
      <c r="AS236" s="2" t="s">
        <v>74</v>
      </c>
      <c r="AT236" s="2" t="s">
        <v>213</v>
      </c>
      <c r="AU236" s="2">
        <v>2021</v>
      </c>
      <c r="AV236" s="2">
        <v>24</v>
      </c>
      <c r="AW236" s="2">
        <v>6</v>
      </c>
      <c r="AX236" s="2" t="s">
        <v>74</v>
      </c>
      <c r="AY236" s="2" t="s">
        <v>74</v>
      </c>
      <c r="AZ236" s="2" t="s">
        <v>74</v>
      </c>
      <c r="BA236" s="2" t="s">
        <v>74</v>
      </c>
      <c r="BB236" s="2">
        <v>1267</v>
      </c>
      <c r="BC236" s="2">
        <v>1277</v>
      </c>
      <c r="BD236" s="2" t="s">
        <v>74</v>
      </c>
      <c r="BE236" s="2" t="s">
        <v>4505</v>
      </c>
      <c r="BF236" s="2" t="str">
        <f>HYPERLINK("http://dx.doi.org/10.1007/s10071-021-01519-y","http://dx.doi.org/10.1007/s10071-021-01519-y")</f>
        <v>http://dx.doi.org/10.1007/s10071-021-01519-y</v>
      </c>
      <c r="BG236" s="2" t="s">
        <v>74</v>
      </c>
      <c r="BH236" s="2" t="s">
        <v>571</v>
      </c>
      <c r="BI236" s="2" t="s">
        <v>74</v>
      </c>
      <c r="BJ236" s="2" t="s">
        <v>74</v>
      </c>
      <c r="BK236" s="2" t="s">
        <v>74</v>
      </c>
      <c r="BL236" s="2" t="s">
        <v>74</v>
      </c>
      <c r="BM236" s="2" t="s">
        <v>74</v>
      </c>
      <c r="BN236" s="2">
        <v>33959875</v>
      </c>
      <c r="BO236" s="2" t="s">
        <v>74</v>
      </c>
      <c r="BP236" s="2" t="s">
        <v>74</v>
      </c>
      <c r="BQ236" s="2" t="s">
        <v>74</v>
      </c>
      <c r="BR236" s="2" t="s">
        <v>74</v>
      </c>
      <c r="BS236" s="2" t="s">
        <v>4506</v>
      </c>
      <c r="BT236" s="2" t="str">
        <f>HYPERLINK("https%3A%2F%2Fwww.webofscience.com%2Fwos%2Fwoscc%2Ffull-record%2FWOS:000647849200001","View Full Record in Web of Science")</f>
        <v>View Full Record in Web of Science</v>
      </c>
    </row>
    <row r="237" spans="1:72" s="2" customFormat="1" x14ac:dyDescent="0.4">
      <c r="A237" s="2" t="s">
        <v>72</v>
      </c>
      <c r="B237" s="2" t="s">
        <v>364</v>
      </c>
      <c r="C237" s="2" t="s">
        <v>74</v>
      </c>
      <c r="D237" s="2" t="s">
        <v>74</v>
      </c>
      <c r="E237" s="2" t="s">
        <v>74</v>
      </c>
      <c r="F237" s="2" t="s">
        <v>2899</v>
      </c>
      <c r="G237" s="2" t="s">
        <v>74</v>
      </c>
      <c r="H237" s="2" t="s">
        <v>74</v>
      </c>
      <c r="I237" s="2" t="s">
        <v>2900</v>
      </c>
      <c r="J237" s="2" t="s">
        <v>2901</v>
      </c>
      <c r="K237" s="2" t="s">
        <v>74</v>
      </c>
      <c r="L237" s="2" t="s">
        <v>74</v>
      </c>
      <c r="M237" s="2" t="s">
        <v>74</v>
      </c>
      <c r="N237" s="2" t="s">
        <v>74</v>
      </c>
      <c r="O237" s="2" t="s">
        <v>74</v>
      </c>
      <c r="P237" s="2" t="s">
        <v>74</v>
      </c>
      <c r="Q237" s="2" t="s">
        <v>74</v>
      </c>
      <c r="R237" s="2" t="s">
        <v>74</v>
      </c>
      <c r="S237" s="2" t="s">
        <v>74</v>
      </c>
      <c r="T237" s="2" t="s">
        <v>74</v>
      </c>
      <c r="U237" s="2" t="s">
        <v>74</v>
      </c>
      <c r="V237" s="5" t="s">
        <v>2902</v>
      </c>
      <c r="W237" s="2" t="s">
        <v>74</v>
      </c>
      <c r="X237" s="2" t="s">
        <v>74</v>
      </c>
      <c r="Y237" s="2" t="s">
        <v>74</v>
      </c>
      <c r="Z237" s="2" t="s">
        <v>74</v>
      </c>
      <c r="AA237" s="2" t="s">
        <v>369</v>
      </c>
      <c r="AB237" s="2" t="s">
        <v>370</v>
      </c>
      <c r="AC237" s="2" t="s">
        <v>74</v>
      </c>
      <c r="AD237" s="2" t="s">
        <v>74</v>
      </c>
      <c r="AE237" s="2" t="s">
        <v>74</v>
      </c>
      <c r="AF237" s="2" t="s">
        <v>74</v>
      </c>
      <c r="AG237" s="2" t="s">
        <v>74</v>
      </c>
      <c r="AH237" s="2" t="s">
        <v>74</v>
      </c>
      <c r="AI237" s="2" t="s">
        <v>74</v>
      </c>
      <c r="AJ237" s="2" t="s">
        <v>74</v>
      </c>
      <c r="AK237" s="2" t="s">
        <v>74</v>
      </c>
      <c r="AL237" s="2" t="s">
        <v>74</v>
      </c>
      <c r="AM237" s="2" t="s">
        <v>74</v>
      </c>
      <c r="AN237" s="2" t="s">
        <v>74</v>
      </c>
      <c r="AO237" s="2" t="s">
        <v>2903</v>
      </c>
      <c r="AP237" s="2" t="s">
        <v>2904</v>
      </c>
      <c r="AQ237" s="2" t="s">
        <v>74</v>
      </c>
      <c r="AR237" s="2" t="s">
        <v>74</v>
      </c>
      <c r="AS237" s="2" t="s">
        <v>74</v>
      </c>
      <c r="AT237" s="2" t="s">
        <v>74</v>
      </c>
      <c r="AU237" s="2">
        <v>2010</v>
      </c>
      <c r="AV237" s="2">
        <v>22</v>
      </c>
      <c r="AW237" s="2">
        <v>2</v>
      </c>
      <c r="AX237" s="2" t="s">
        <v>74</v>
      </c>
      <c r="AY237" s="2" t="s">
        <v>74</v>
      </c>
      <c r="AZ237" s="2" t="s">
        <v>74</v>
      </c>
      <c r="BA237" s="2" t="s">
        <v>74</v>
      </c>
      <c r="BB237" s="2">
        <v>167</v>
      </c>
      <c r="BC237" s="2">
        <v>181</v>
      </c>
      <c r="BD237" s="2" t="s">
        <v>2905</v>
      </c>
      <c r="BE237" s="2" t="s">
        <v>2906</v>
      </c>
      <c r="BF237" s="2" t="str">
        <f>HYPERLINK("http://dx.doi.org/10.1080/03949371003707885","http://dx.doi.org/10.1080/03949371003707885")</f>
        <v>http://dx.doi.org/10.1080/03949371003707885</v>
      </c>
      <c r="BG237" s="2" t="s">
        <v>74</v>
      </c>
      <c r="BH237" s="2" t="s">
        <v>74</v>
      </c>
      <c r="BI237" s="2" t="s">
        <v>74</v>
      </c>
      <c r="BJ237" s="2" t="s">
        <v>74</v>
      </c>
      <c r="BK237" s="2" t="s">
        <v>74</v>
      </c>
      <c r="BL237" s="2" t="s">
        <v>74</v>
      </c>
      <c r="BM237" s="2" t="s">
        <v>74</v>
      </c>
      <c r="BN237" s="2" t="s">
        <v>74</v>
      </c>
      <c r="BO237" s="2" t="s">
        <v>74</v>
      </c>
      <c r="BP237" s="2" t="s">
        <v>74</v>
      </c>
      <c r="BQ237" s="2" t="s">
        <v>74</v>
      </c>
      <c r="BR237" s="2" t="s">
        <v>74</v>
      </c>
      <c r="BS237" s="2" t="s">
        <v>2907</v>
      </c>
      <c r="BT237" s="2" t="str">
        <f>HYPERLINK("https%3A%2F%2Fwww.webofscience.com%2Fwos%2Fwoscc%2Ffull-record%2FWOS:000277606200006","View Full Record in Web of Science")</f>
        <v>View Full Record in Web of Science</v>
      </c>
    </row>
    <row r="238" spans="1:72" s="2" customFormat="1" x14ac:dyDescent="0.4">
      <c r="A238" s="2" t="s">
        <v>72</v>
      </c>
      <c r="B238" s="2" t="s">
        <v>3471</v>
      </c>
      <c r="C238" s="2" t="s">
        <v>74</v>
      </c>
      <c r="D238" s="2" t="s">
        <v>74</v>
      </c>
      <c r="E238" s="2" t="s">
        <v>74</v>
      </c>
      <c r="F238" s="2" t="s">
        <v>3472</v>
      </c>
      <c r="G238" s="2" t="s">
        <v>74</v>
      </c>
      <c r="H238" s="2" t="s">
        <v>74</v>
      </c>
      <c r="I238" s="2" t="s">
        <v>3473</v>
      </c>
      <c r="J238" s="2" t="s">
        <v>218</v>
      </c>
      <c r="K238" s="2" t="s">
        <v>74</v>
      </c>
      <c r="L238" s="2" t="s">
        <v>74</v>
      </c>
      <c r="M238" s="2" t="s">
        <v>74</v>
      </c>
      <c r="N238" s="2" t="s">
        <v>74</v>
      </c>
      <c r="O238" s="2" t="s">
        <v>74</v>
      </c>
      <c r="P238" s="2" t="s">
        <v>74</v>
      </c>
      <c r="Q238" s="2" t="s">
        <v>74</v>
      </c>
      <c r="R238" s="2" t="s">
        <v>74</v>
      </c>
      <c r="S238" s="2" t="s">
        <v>74</v>
      </c>
      <c r="T238" s="2" t="s">
        <v>74</v>
      </c>
      <c r="U238" s="2" t="s">
        <v>74</v>
      </c>
      <c r="V238" s="5" t="s">
        <v>3474</v>
      </c>
      <c r="W238" s="2" t="s">
        <v>74</v>
      </c>
      <c r="X238" s="2" t="s">
        <v>74</v>
      </c>
      <c r="Y238" s="2" t="s">
        <v>74</v>
      </c>
      <c r="Z238" s="2" t="s">
        <v>74</v>
      </c>
      <c r="AA238" s="2" t="s">
        <v>1724</v>
      </c>
      <c r="AB238" s="2" t="s">
        <v>1725</v>
      </c>
      <c r="AC238" s="2" t="s">
        <v>74</v>
      </c>
      <c r="AD238" s="2" t="s">
        <v>74</v>
      </c>
      <c r="AE238" s="2" t="s">
        <v>74</v>
      </c>
      <c r="AF238" s="2" t="s">
        <v>74</v>
      </c>
      <c r="AG238" s="2" t="s">
        <v>74</v>
      </c>
      <c r="AH238" s="2" t="s">
        <v>74</v>
      </c>
      <c r="AI238" s="2" t="s">
        <v>74</v>
      </c>
      <c r="AJ238" s="2" t="s">
        <v>74</v>
      </c>
      <c r="AK238" s="2" t="s">
        <v>74</v>
      </c>
      <c r="AL238" s="2" t="s">
        <v>74</v>
      </c>
      <c r="AM238" s="2" t="s">
        <v>74</v>
      </c>
      <c r="AN238" s="2" t="s">
        <v>74</v>
      </c>
      <c r="AO238" s="2" t="s">
        <v>221</v>
      </c>
      <c r="AP238" s="2" t="s">
        <v>222</v>
      </c>
      <c r="AQ238" s="2" t="s">
        <v>74</v>
      </c>
      <c r="AR238" s="2" t="s">
        <v>74</v>
      </c>
      <c r="AS238" s="2" t="s">
        <v>74</v>
      </c>
      <c r="AT238" s="2" t="s">
        <v>964</v>
      </c>
      <c r="AU238" s="2">
        <v>2014</v>
      </c>
      <c r="AV238" s="2">
        <v>27</v>
      </c>
      <c r="AW238" s="2">
        <v>2</v>
      </c>
      <c r="AX238" s="2" t="s">
        <v>74</v>
      </c>
      <c r="AY238" s="2" t="s">
        <v>74</v>
      </c>
      <c r="AZ238" s="2" t="s">
        <v>74</v>
      </c>
      <c r="BA238" s="2" t="s">
        <v>74</v>
      </c>
      <c r="BB238" s="2">
        <v>325</v>
      </c>
      <c r="BC238" s="2">
        <v>336</v>
      </c>
      <c r="BD238" s="2" t="s">
        <v>74</v>
      </c>
      <c r="BE238" s="2" t="s">
        <v>3475</v>
      </c>
      <c r="BF238" s="2" t="str">
        <f>HYPERLINK("http://dx.doi.org/10.1111/jeb.12295","http://dx.doi.org/10.1111/jeb.12295")</f>
        <v>http://dx.doi.org/10.1111/jeb.12295</v>
      </c>
      <c r="BG238" s="2" t="s">
        <v>74</v>
      </c>
      <c r="BH238" s="2" t="s">
        <v>74</v>
      </c>
      <c r="BI238" s="2" t="s">
        <v>74</v>
      </c>
      <c r="BJ238" s="2" t="s">
        <v>74</v>
      </c>
      <c r="BK238" s="2" t="s">
        <v>74</v>
      </c>
      <c r="BL238" s="2" t="s">
        <v>74</v>
      </c>
      <c r="BM238" s="2" t="s">
        <v>74</v>
      </c>
      <c r="BN238" s="2">
        <v>24341383</v>
      </c>
      <c r="BO238" s="2" t="s">
        <v>74</v>
      </c>
      <c r="BP238" s="2" t="s">
        <v>74</v>
      </c>
      <c r="BQ238" s="2" t="s">
        <v>74</v>
      </c>
      <c r="BR238" s="2" t="s">
        <v>74</v>
      </c>
      <c r="BS238" s="2" t="s">
        <v>3476</v>
      </c>
      <c r="BT238" s="2" t="str">
        <f>HYPERLINK("https%3A%2F%2Fwww.webofscience.com%2Fwos%2Fwoscc%2Ffull-record%2FWOS:000330016400008","View Full Record in Web of Science")</f>
        <v>View Full Record in Web of Science</v>
      </c>
    </row>
    <row r="239" spans="1:72" s="2" customFormat="1" x14ac:dyDescent="0.4">
      <c r="A239" s="2" t="s">
        <v>72</v>
      </c>
      <c r="B239" s="2" t="s">
        <v>364</v>
      </c>
      <c r="C239" s="2" t="s">
        <v>74</v>
      </c>
      <c r="D239" s="2" t="s">
        <v>74</v>
      </c>
      <c r="E239" s="2" t="s">
        <v>74</v>
      </c>
      <c r="F239" s="2" t="s">
        <v>365</v>
      </c>
      <c r="G239" s="2" t="s">
        <v>74</v>
      </c>
      <c r="H239" s="2" t="s">
        <v>74</v>
      </c>
      <c r="I239" s="2" t="s">
        <v>366</v>
      </c>
      <c r="J239" s="2" t="s">
        <v>367</v>
      </c>
      <c r="K239" s="2" t="s">
        <v>74</v>
      </c>
      <c r="L239" s="2" t="s">
        <v>74</v>
      </c>
      <c r="M239" s="2" t="s">
        <v>74</v>
      </c>
      <c r="N239" s="2" t="s">
        <v>74</v>
      </c>
      <c r="O239" s="2" t="s">
        <v>74</v>
      </c>
      <c r="P239" s="2" t="s">
        <v>74</v>
      </c>
      <c r="Q239" s="2" t="s">
        <v>74</v>
      </c>
      <c r="R239" s="2" t="s">
        <v>74</v>
      </c>
      <c r="S239" s="2" t="s">
        <v>74</v>
      </c>
      <c r="T239" s="2" t="s">
        <v>74</v>
      </c>
      <c r="U239" s="2" t="s">
        <v>74</v>
      </c>
      <c r="V239" s="5" t="s">
        <v>368</v>
      </c>
      <c r="W239" s="2" t="s">
        <v>74</v>
      </c>
      <c r="X239" s="2" t="s">
        <v>74</v>
      </c>
      <c r="Y239" s="2" t="s">
        <v>74</v>
      </c>
      <c r="Z239" s="2" t="s">
        <v>74</v>
      </c>
      <c r="AA239" s="2" t="s">
        <v>369</v>
      </c>
      <c r="AB239" s="2" t="s">
        <v>370</v>
      </c>
      <c r="AC239" s="2" t="s">
        <v>74</v>
      </c>
      <c r="AD239" s="2" t="s">
        <v>74</v>
      </c>
      <c r="AE239" s="2" t="s">
        <v>74</v>
      </c>
      <c r="AF239" s="2" t="s">
        <v>74</v>
      </c>
      <c r="AG239" s="2" t="s">
        <v>74</v>
      </c>
      <c r="AH239" s="2" t="s">
        <v>74</v>
      </c>
      <c r="AI239" s="2" t="s">
        <v>74</v>
      </c>
      <c r="AJ239" s="2" t="s">
        <v>74</v>
      </c>
      <c r="AK239" s="2" t="s">
        <v>74</v>
      </c>
      <c r="AL239" s="2" t="s">
        <v>74</v>
      </c>
      <c r="AM239" s="2" t="s">
        <v>74</v>
      </c>
      <c r="AN239" s="2" t="s">
        <v>74</v>
      </c>
      <c r="AO239" s="2" t="s">
        <v>371</v>
      </c>
      <c r="AP239" s="2" t="s">
        <v>372</v>
      </c>
      <c r="AQ239" s="2" t="s">
        <v>74</v>
      </c>
      <c r="AR239" s="2" t="s">
        <v>74</v>
      </c>
      <c r="AS239" s="2" t="s">
        <v>74</v>
      </c>
      <c r="AT239" s="2" t="s">
        <v>145</v>
      </c>
      <c r="AU239" s="2">
        <v>2009</v>
      </c>
      <c r="AV239" s="2">
        <v>123</v>
      </c>
      <c r="AW239" s="2">
        <v>3</v>
      </c>
      <c r="AX239" s="2" t="s">
        <v>74</v>
      </c>
      <c r="AY239" s="2" t="s">
        <v>74</v>
      </c>
      <c r="AZ239" s="2" t="s">
        <v>74</v>
      </c>
      <c r="BA239" s="2" t="s">
        <v>74</v>
      </c>
      <c r="BB239" s="2">
        <v>310</v>
      </c>
      <c r="BC239" s="2">
        <v>315</v>
      </c>
      <c r="BD239" s="2" t="s">
        <v>74</v>
      </c>
      <c r="BE239" s="2" t="s">
        <v>373</v>
      </c>
      <c r="BF239" s="2" t="str">
        <f>HYPERLINK("http://dx.doi.org/10.1037/a0015837","http://dx.doi.org/10.1037/a0015837")</f>
        <v>http://dx.doi.org/10.1037/a0015837</v>
      </c>
      <c r="BG239" s="2" t="s">
        <v>74</v>
      </c>
      <c r="BH239" s="2" t="s">
        <v>74</v>
      </c>
      <c r="BI239" s="2" t="s">
        <v>74</v>
      </c>
      <c r="BJ239" s="2" t="s">
        <v>74</v>
      </c>
      <c r="BK239" s="2" t="s">
        <v>74</v>
      </c>
      <c r="BL239" s="2" t="s">
        <v>74</v>
      </c>
      <c r="BM239" s="2" t="s">
        <v>74</v>
      </c>
      <c r="BN239" s="2">
        <v>19685973</v>
      </c>
      <c r="BO239" s="2" t="s">
        <v>74</v>
      </c>
      <c r="BP239" s="2" t="s">
        <v>74</v>
      </c>
      <c r="BQ239" s="2" t="s">
        <v>74</v>
      </c>
      <c r="BR239" s="2" t="s">
        <v>74</v>
      </c>
      <c r="BS239" s="2" t="s">
        <v>374</v>
      </c>
      <c r="BT239" s="2" t="str">
        <f>HYPERLINK("https%3A%2F%2Fwww.webofscience.com%2Fwos%2Fwoscc%2Ffull-record%2FWOS:000268963900010","View Full Record in Web of Science")</f>
        <v>View Full Record in Web of Science</v>
      </c>
    </row>
    <row r="240" spans="1:72" s="2" customFormat="1" x14ac:dyDescent="0.4">
      <c r="A240" s="2" t="s">
        <v>72</v>
      </c>
      <c r="B240" s="2" t="s">
        <v>364</v>
      </c>
      <c r="C240" s="2" t="s">
        <v>74</v>
      </c>
      <c r="D240" s="2" t="s">
        <v>74</v>
      </c>
      <c r="E240" s="2" t="s">
        <v>74</v>
      </c>
      <c r="F240" s="2" t="s">
        <v>365</v>
      </c>
      <c r="G240" s="2" t="s">
        <v>74</v>
      </c>
      <c r="H240" s="2" t="s">
        <v>74</v>
      </c>
      <c r="I240" s="2" t="s">
        <v>5467</v>
      </c>
      <c r="J240" s="2" t="s">
        <v>119</v>
      </c>
      <c r="K240" s="2" t="s">
        <v>74</v>
      </c>
      <c r="L240" s="2" t="s">
        <v>74</v>
      </c>
      <c r="M240" s="2" t="s">
        <v>74</v>
      </c>
      <c r="N240" s="2" t="s">
        <v>74</v>
      </c>
      <c r="O240" s="2" t="s">
        <v>74</v>
      </c>
      <c r="P240" s="2" t="s">
        <v>74</v>
      </c>
      <c r="Q240" s="2" t="s">
        <v>74</v>
      </c>
      <c r="R240" s="2" t="s">
        <v>74</v>
      </c>
      <c r="S240" s="2" t="s">
        <v>74</v>
      </c>
      <c r="T240" s="2" t="s">
        <v>74</v>
      </c>
      <c r="U240" s="2" t="s">
        <v>74</v>
      </c>
      <c r="V240" s="5" t="s">
        <v>5468</v>
      </c>
      <c r="W240" s="2" t="s">
        <v>74</v>
      </c>
      <c r="X240" s="2" t="s">
        <v>74</v>
      </c>
      <c r="Y240" s="2" t="s">
        <v>74</v>
      </c>
      <c r="Z240" s="2" t="s">
        <v>74</v>
      </c>
      <c r="AA240" s="2" t="s">
        <v>369</v>
      </c>
      <c r="AB240" s="2" t="s">
        <v>370</v>
      </c>
      <c r="AC240" s="2" t="s">
        <v>74</v>
      </c>
      <c r="AD240" s="2" t="s">
        <v>74</v>
      </c>
      <c r="AE240" s="2" t="s">
        <v>74</v>
      </c>
      <c r="AF240" s="2" t="s">
        <v>74</v>
      </c>
      <c r="AG240" s="2" t="s">
        <v>74</v>
      </c>
      <c r="AH240" s="2" t="s">
        <v>74</v>
      </c>
      <c r="AI240" s="2" t="s">
        <v>74</v>
      </c>
      <c r="AJ240" s="2" t="s">
        <v>74</v>
      </c>
      <c r="AK240" s="2" t="s">
        <v>74</v>
      </c>
      <c r="AL240" s="2" t="s">
        <v>74</v>
      </c>
      <c r="AM240" s="2" t="s">
        <v>74</v>
      </c>
      <c r="AN240" s="2" t="s">
        <v>74</v>
      </c>
      <c r="AO240" s="2" t="s">
        <v>121</v>
      </c>
      <c r="AP240" s="2" t="s">
        <v>122</v>
      </c>
      <c r="AQ240" s="2" t="s">
        <v>74</v>
      </c>
      <c r="AR240" s="2" t="s">
        <v>74</v>
      </c>
      <c r="AS240" s="2" t="s">
        <v>74</v>
      </c>
      <c r="AT240" s="2" t="s">
        <v>255</v>
      </c>
      <c r="AU240" s="2">
        <v>2009</v>
      </c>
      <c r="AV240" s="2">
        <v>80</v>
      </c>
      <c r="AW240" s="2">
        <v>1</v>
      </c>
      <c r="AX240" s="2" t="s">
        <v>74</v>
      </c>
      <c r="AY240" s="2" t="s">
        <v>74</v>
      </c>
      <c r="AZ240" s="2" t="s">
        <v>74</v>
      </c>
      <c r="BA240" s="2" t="s">
        <v>74</v>
      </c>
      <c r="BB240" s="2">
        <v>90</v>
      </c>
      <c r="BC240" s="2">
        <v>98</v>
      </c>
      <c r="BD240" s="2" t="s">
        <v>74</v>
      </c>
      <c r="BE240" s="2" t="s">
        <v>5469</v>
      </c>
      <c r="BF240" s="2" t="str">
        <f>HYPERLINK("http://dx.doi.org/10.1016/j.beproc.2008.10.007","http://dx.doi.org/10.1016/j.beproc.2008.10.007")</f>
        <v>http://dx.doi.org/10.1016/j.beproc.2008.10.007</v>
      </c>
      <c r="BG240" s="2" t="s">
        <v>74</v>
      </c>
      <c r="BH240" s="2" t="s">
        <v>74</v>
      </c>
      <c r="BI240" s="2" t="s">
        <v>74</v>
      </c>
      <c r="BJ240" s="2" t="s">
        <v>74</v>
      </c>
      <c r="BK240" s="2" t="s">
        <v>74</v>
      </c>
      <c r="BL240" s="2" t="s">
        <v>74</v>
      </c>
      <c r="BM240" s="2" t="s">
        <v>74</v>
      </c>
      <c r="BN240" s="2">
        <v>19010401</v>
      </c>
      <c r="BO240" s="2" t="s">
        <v>74</v>
      </c>
      <c r="BP240" s="2" t="s">
        <v>74</v>
      </c>
      <c r="BQ240" s="2" t="s">
        <v>74</v>
      </c>
      <c r="BR240" s="2" t="s">
        <v>74</v>
      </c>
      <c r="BS240" s="2" t="s">
        <v>5470</v>
      </c>
      <c r="BT240" s="2" t="str">
        <f>HYPERLINK("https%3A%2F%2Fwww.webofscience.com%2Fwos%2Fwoscc%2Ffull-record%2FWOS:000262546900014","View Full Record in Web of Science")</f>
        <v>View Full Record in Web of Science</v>
      </c>
    </row>
    <row r="241" spans="1:72" s="2" customFormat="1" x14ac:dyDescent="0.4">
      <c r="A241" s="2" t="s">
        <v>72</v>
      </c>
      <c r="B241" s="2" t="s">
        <v>4862</v>
      </c>
      <c r="C241" s="2" t="s">
        <v>74</v>
      </c>
      <c r="D241" s="2" t="s">
        <v>74</v>
      </c>
      <c r="E241" s="2" t="s">
        <v>74</v>
      </c>
      <c r="F241" s="2" t="s">
        <v>4863</v>
      </c>
      <c r="G241" s="2" t="s">
        <v>74</v>
      </c>
      <c r="H241" s="2" t="s">
        <v>74</v>
      </c>
      <c r="I241" s="2" t="s">
        <v>4864</v>
      </c>
      <c r="J241" s="2" t="s">
        <v>610</v>
      </c>
      <c r="K241" s="2" t="s">
        <v>74</v>
      </c>
      <c r="L241" s="2" t="s">
        <v>74</v>
      </c>
      <c r="M241" s="2" t="s">
        <v>74</v>
      </c>
      <c r="N241" s="2" t="s">
        <v>74</v>
      </c>
      <c r="O241" s="2" t="s">
        <v>74</v>
      </c>
      <c r="P241" s="2" t="s">
        <v>74</v>
      </c>
      <c r="Q241" s="2" t="s">
        <v>74</v>
      </c>
      <c r="R241" s="2" t="s">
        <v>74</v>
      </c>
      <c r="S241" s="2" t="s">
        <v>74</v>
      </c>
      <c r="T241" s="2" t="s">
        <v>74</v>
      </c>
      <c r="U241" s="2" t="s">
        <v>74</v>
      </c>
      <c r="V241" s="5" t="s">
        <v>4865</v>
      </c>
      <c r="W241" s="2" t="s">
        <v>74</v>
      </c>
      <c r="X241" s="2" t="s">
        <v>74</v>
      </c>
      <c r="Y241" s="2" t="s">
        <v>74</v>
      </c>
      <c r="Z241" s="2" t="s">
        <v>74</v>
      </c>
      <c r="AA241" s="2" t="s">
        <v>4866</v>
      </c>
      <c r="AB241" s="2" t="s">
        <v>4867</v>
      </c>
      <c r="AC241" s="2" t="s">
        <v>74</v>
      </c>
      <c r="AD241" s="2" t="s">
        <v>74</v>
      </c>
      <c r="AE241" s="2" t="s">
        <v>74</v>
      </c>
      <c r="AF241" s="2" t="s">
        <v>74</v>
      </c>
      <c r="AG241" s="2" t="s">
        <v>74</v>
      </c>
      <c r="AH241" s="2" t="s">
        <v>74</v>
      </c>
      <c r="AI241" s="2" t="s">
        <v>74</v>
      </c>
      <c r="AJ241" s="2" t="s">
        <v>74</v>
      </c>
      <c r="AK241" s="2" t="s">
        <v>74</v>
      </c>
      <c r="AL241" s="2" t="s">
        <v>74</v>
      </c>
      <c r="AM241" s="2" t="s">
        <v>74</v>
      </c>
      <c r="AN241" s="2" t="s">
        <v>74</v>
      </c>
      <c r="AO241" s="2" t="s">
        <v>614</v>
      </c>
      <c r="AP241" s="2" t="s">
        <v>615</v>
      </c>
      <c r="AQ241" s="2" t="s">
        <v>74</v>
      </c>
      <c r="AR241" s="2" t="s">
        <v>74</v>
      </c>
      <c r="AS241" s="2" t="s">
        <v>74</v>
      </c>
      <c r="AT241" s="2" t="s">
        <v>255</v>
      </c>
      <c r="AU241" s="2">
        <v>2009</v>
      </c>
      <c r="AV241" s="2">
        <v>115</v>
      </c>
      <c r="AW241" s="2">
        <v>1</v>
      </c>
      <c r="AX241" s="2" t="s">
        <v>74</v>
      </c>
      <c r="AY241" s="2" t="s">
        <v>74</v>
      </c>
      <c r="AZ241" s="2" t="s">
        <v>74</v>
      </c>
      <c r="BA241" s="2" t="s">
        <v>74</v>
      </c>
      <c r="BB241" s="2">
        <v>23</v>
      </c>
      <c r="BC241" s="2">
        <v>32</v>
      </c>
      <c r="BD241" s="2" t="s">
        <v>74</v>
      </c>
      <c r="BE241" s="2" t="s">
        <v>4868</v>
      </c>
      <c r="BF241" s="2" t="str">
        <f>HYPERLINK("http://dx.doi.org/10.1111/j.1439-0310.2008.01584.x","http://dx.doi.org/10.1111/j.1439-0310.2008.01584.x")</f>
        <v>http://dx.doi.org/10.1111/j.1439-0310.2008.01584.x</v>
      </c>
      <c r="BG241" s="2" t="s">
        <v>74</v>
      </c>
      <c r="BH241" s="2" t="s">
        <v>74</v>
      </c>
      <c r="BI241" s="2" t="s">
        <v>74</v>
      </c>
      <c r="BJ241" s="2" t="s">
        <v>74</v>
      </c>
      <c r="BK241" s="2" t="s">
        <v>74</v>
      </c>
      <c r="BL241" s="2" t="s">
        <v>74</v>
      </c>
      <c r="BM241" s="2" t="s">
        <v>74</v>
      </c>
      <c r="BN241" s="2" t="s">
        <v>74</v>
      </c>
      <c r="BO241" s="2" t="s">
        <v>74</v>
      </c>
      <c r="BP241" s="2" t="s">
        <v>74</v>
      </c>
      <c r="BQ241" s="2" t="s">
        <v>74</v>
      </c>
      <c r="BR241" s="2" t="s">
        <v>74</v>
      </c>
      <c r="BS241" s="2" t="s">
        <v>4869</v>
      </c>
      <c r="BT241" s="2" t="str">
        <f>HYPERLINK("https%3A%2F%2Fwww.webofscience.com%2Fwos%2Fwoscc%2Ffull-record%2FWOS:000261836000004","View Full Record in Web of Science")</f>
        <v>View Full Record in Web of Science</v>
      </c>
    </row>
    <row r="242" spans="1:72" s="2" customFormat="1" x14ac:dyDescent="0.4">
      <c r="A242" s="2" t="s">
        <v>72</v>
      </c>
      <c r="B242" s="2" t="s">
        <v>6759</v>
      </c>
      <c r="C242" s="2" t="s">
        <v>74</v>
      </c>
      <c r="D242" s="2" t="s">
        <v>74</v>
      </c>
      <c r="E242" s="2" t="s">
        <v>74</v>
      </c>
      <c r="F242" s="2" t="s">
        <v>6759</v>
      </c>
      <c r="G242" s="2" t="s">
        <v>74</v>
      </c>
      <c r="H242" s="2" t="s">
        <v>74</v>
      </c>
      <c r="I242" s="2" t="s">
        <v>6760</v>
      </c>
      <c r="J242" s="2" t="s">
        <v>312</v>
      </c>
      <c r="K242" s="2" t="s">
        <v>74</v>
      </c>
      <c r="L242" s="2" t="s">
        <v>74</v>
      </c>
      <c r="M242" s="2" t="s">
        <v>74</v>
      </c>
      <c r="N242" s="2" t="s">
        <v>74</v>
      </c>
      <c r="O242" s="2" t="s">
        <v>74</v>
      </c>
      <c r="P242" s="2" t="s">
        <v>74</v>
      </c>
      <c r="Q242" s="2" t="s">
        <v>74</v>
      </c>
      <c r="R242" s="2" t="s">
        <v>74</v>
      </c>
      <c r="S242" s="2" t="s">
        <v>74</v>
      </c>
      <c r="T242" s="2" t="s">
        <v>74</v>
      </c>
      <c r="U242" s="2" t="s">
        <v>74</v>
      </c>
      <c r="V242" s="5" t="s">
        <v>6761</v>
      </c>
      <c r="W242" s="2" t="s">
        <v>74</v>
      </c>
      <c r="X242" s="2" t="s">
        <v>74</v>
      </c>
      <c r="Y242" s="2" t="s">
        <v>74</v>
      </c>
      <c r="Z242" s="2" t="s">
        <v>74</v>
      </c>
      <c r="AA242" s="2" t="s">
        <v>1724</v>
      </c>
      <c r="AB242" s="2" t="s">
        <v>1725</v>
      </c>
      <c r="AC242" s="2" t="s">
        <v>74</v>
      </c>
      <c r="AD242" s="2" t="s">
        <v>74</v>
      </c>
      <c r="AE242" s="2" t="s">
        <v>74</v>
      </c>
      <c r="AF242" s="2" t="s">
        <v>74</v>
      </c>
      <c r="AG242" s="2" t="s">
        <v>74</v>
      </c>
      <c r="AH242" s="2" t="s">
        <v>74</v>
      </c>
      <c r="AI242" s="2" t="s">
        <v>74</v>
      </c>
      <c r="AJ242" s="2" t="s">
        <v>74</v>
      </c>
      <c r="AK242" s="2" t="s">
        <v>74</v>
      </c>
      <c r="AL242" s="2" t="s">
        <v>74</v>
      </c>
      <c r="AM242" s="2" t="s">
        <v>74</v>
      </c>
      <c r="AN242" s="2" t="s">
        <v>74</v>
      </c>
      <c r="AO242" s="2" t="s">
        <v>314</v>
      </c>
      <c r="AP242" s="2" t="s">
        <v>74</v>
      </c>
      <c r="AQ242" s="2" t="s">
        <v>74</v>
      </c>
      <c r="AR242" s="2" t="s">
        <v>74</v>
      </c>
      <c r="AS242" s="2" t="s">
        <v>74</v>
      </c>
      <c r="AT242" s="2" t="s">
        <v>134</v>
      </c>
      <c r="AU242" s="2">
        <v>2002</v>
      </c>
      <c r="AV242" s="2">
        <v>159</v>
      </c>
      <c r="AW242" s="2">
        <v>5</v>
      </c>
      <c r="AX242" s="2" t="s">
        <v>74</v>
      </c>
      <c r="AY242" s="2" t="s">
        <v>74</v>
      </c>
      <c r="AZ242" s="2" t="s">
        <v>74</v>
      </c>
      <c r="BA242" s="2" t="s">
        <v>74</v>
      </c>
      <c r="BB242" s="2">
        <v>438</v>
      </c>
      <c r="BC242" s="2">
        <v>450</v>
      </c>
      <c r="BD242" s="2" t="s">
        <v>74</v>
      </c>
      <c r="BE242" s="2" t="s">
        <v>6762</v>
      </c>
      <c r="BF242" s="2" t="str">
        <f>HYPERLINK("http://dx.doi.org/10.1086/339457","http://dx.doi.org/10.1086/339457")</f>
        <v>http://dx.doi.org/10.1086/339457</v>
      </c>
      <c r="BG242" s="2" t="s">
        <v>74</v>
      </c>
      <c r="BH242" s="2" t="s">
        <v>74</v>
      </c>
      <c r="BI242" s="2" t="s">
        <v>74</v>
      </c>
      <c r="BJ242" s="2" t="s">
        <v>74</v>
      </c>
      <c r="BK242" s="2" t="s">
        <v>74</v>
      </c>
      <c r="BL242" s="2" t="s">
        <v>74</v>
      </c>
      <c r="BM242" s="2" t="s">
        <v>74</v>
      </c>
      <c r="BN242" s="2">
        <v>18707428</v>
      </c>
      <c r="BO242" s="2" t="s">
        <v>74</v>
      </c>
      <c r="BP242" s="2" t="s">
        <v>74</v>
      </c>
      <c r="BQ242" s="2" t="s">
        <v>74</v>
      </c>
      <c r="BR242" s="2" t="s">
        <v>74</v>
      </c>
      <c r="BS242" s="2" t="s">
        <v>6763</v>
      </c>
      <c r="BT242" s="2" t="str">
        <f>HYPERLINK("https%3A%2F%2Fwww.webofscience.com%2Fwos%2Fwoscc%2Ffull-record%2FWOS:000175302800002","View Full Record in Web of Science")</f>
        <v>View Full Record in Web of Science</v>
      </c>
    </row>
    <row r="243" spans="1:72" s="2" customFormat="1" x14ac:dyDescent="0.4">
      <c r="A243" s="2" t="s">
        <v>72</v>
      </c>
      <c r="B243" s="2" t="s">
        <v>8168</v>
      </c>
      <c r="C243" s="2" t="s">
        <v>74</v>
      </c>
      <c r="D243" s="2" t="s">
        <v>74</v>
      </c>
      <c r="E243" s="2" t="s">
        <v>74</v>
      </c>
      <c r="F243" s="2" t="s">
        <v>8168</v>
      </c>
      <c r="G243" s="2" t="s">
        <v>74</v>
      </c>
      <c r="H243" s="2" t="s">
        <v>74</v>
      </c>
      <c r="I243" s="2" t="s">
        <v>8169</v>
      </c>
      <c r="J243" s="2" t="s">
        <v>171</v>
      </c>
      <c r="K243" s="2" t="s">
        <v>74</v>
      </c>
      <c r="L243" s="2" t="s">
        <v>74</v>
      </c>
      <c r="M243" s="2" t="s">
        <v>74</v>
      </c>
      <c r="N243" s="2" t="s">
        <v>74</v>
      </c>
      <c r="O243" s="2" t="s">
        <v>74</v>
      </c>
      <c r="P243" s="2" t="s">
        <v>74</v>
      </c>
      <c r="Q243" s="2" t="s">
        <v>74</v>
      </c>
      <c r="R243" s="2" t="s">
        <v>74</v>
      </c>
      <c r="S243" s="2" t="s">
        <v>74</v>
      </c>
      <c r="T243" s="2" t="s">
        <v>74</v>
      </c>
      <c r="U243" s="2" t="s">
        <v>74</v>
      </c>
      <c r="V243" s="5" t="s">
        <v>8170</v>
      </c>
      <c r="W243" s="2" t="s">
        <v>74</v>
      </c>
      <c r="X243" s="2" t="s">
        <v>74</v>
      </c>
      <c r="Y243" s="2" t="s">
        <v>74</v>
      </c>
      <c r="Z243" s="2" t="s">
        <v>74</v>
      </c>
      <c r="AA243" s="2" t="s">
        <v>8171</v>
      </c>
      <c r="AB243" s="2" t="s">
        <v>8172</v>
      </c>
      <c r="AC243" s="2" t="s">
        <v>74</v>
      </c>
      <c r="AD243" s="2" t="s">
        <v>74</v>
      </c>
      <c r="AE243" s="2" t="s">
        <v>74</v>
      </c>
      <c r="AF243" s="2" t="s">
        <v>74</v>
      </c>
      <c r="AG243" s="2" t="s">
        <v>74</v>
      </c>
      <c r="AH243" s="2" t="s">
        <v>74</v>
      </c>
      <c r="AI243" s="2" t="s">
        <v>74</v>
      </c>
      <c r="AJ243" s="2" t="s">
        <v>74</v>
      </c>
      <c r="AK243" s="2" t="s">
        <v>74</v>
      </c>
      <c r="AL243" s="2" t="s">
        <v>74</v>
      </c>
      <c r="AM243" s="2" t="s">
        <v>74</v>
      </c>
      <c r="AN243" s="2" t="s">
        <v>74</v>
      </c>
      <c r="AO243" s="2" t="s">
        <v>173</v>
      </c>
      <c r="AP243" s="2" t="s">
        <v>174</v>
      </c>
      <c r="AQ243" s="2" t="s">
        <v>74</v>
      </c>
      <c r="AR243" s="2" t="s">
        <v>74</v>
      </c>
      <c r="AS243" s="2" t="s">
        <v>74</v>
      </c>
      <c r="AT243" s="2" t="s">
        <v>305</v>
      </c>
      <c r="AU243" s="2">
        <v>1998</v>
      </c>
      <c r="AV243" s="2">
        <v>52</v>
      </c>
      <c r="AW243" s="2">
        <v>6</v>
      </c>
      <c r="AX243" s="2" t="s">
        <v>74</v>
      </c>
      <c r="AY243" s="2" t="s">
        <v>74</v>
      </c>
      <c r="AZ243" s="2" t="s">
        <v>74</v>
      </c>
      <c r="BA243" s="2" t="s">
        <v>74</v>
      </c>
      <c r="BB243" s="2">
        <v>1602</v>
      </c>
      <c r="BC243" s="2">
        <v>1611</v>
      </c>
      <c r="BD243" s="2" t="s">
        <v>74</v>
      </c>
      <c r="BE243" s="2" t="s">
        <v>8173</v>
      </c>
      <c r="BF243" s="2" t="str">
        <f>HYPERLINK("http://dx.doi.org/10.1111/j.1558-5646.1998.tb02241.x","http://dx.doi.org/10.1111/j.1558-5646.1998.tb02241.x")</f>
        <v>http://dx.doi.org/10.1111/j.1558-5646.1998.tb02241.x</v>
      </c>
      <c r="BG243" s="2" t="s">
        <v>74</v>
      </c>
      <c r="BH243" s="2" t="s">
        <v>74</v>
      </c>
      <c r="BI243" s="2" t="s">
        <v>74</v>
      </c>
      <c r="BJ243" s="2" t="s">
        <v>74</v>
      </c>
      <c r="BK243" s="2" t="s">
        <v>74</v>
      </c>
      <c r="BL243" s="2" t="s">
        <v>74</v>
      </c>
      <c r="BM243" s="2" t="s">
        <v>74</v>
      </c>
      <c r="BN243" s="2">
        <v>28565336</v>
      </c>
      <c r="BO243" s="2" t="s">
        <v>74</v>
      </c>
      <c r="BP243" s="2" t="s">
        <v>74</v>
      </c>
      <c r="BQ243" s="2" t="s">
        <v>74</v>
      </c>
      <c r="BR243" s="2" t="s">
        <v>74</v>
      </c>
      <c r="BS243" s="2" t="s">
        <v>8174</v>
      </c>
      <c r="BT243" s="2" t="str">
        <f>HYPERLINK("https%3A%2F%2Fwww.webofscience.com%2Fwos%2Fwoscc%2Ffull-record%2FWOS:000078076700007","View Full Record in Web of Science")</f>
        <v>View Full Record in Web of Science</v>
      </c>
    </row>
    <row r="244" spans="1:72" s="2" customFormat="1" x14ac:dyDescent="0.4">
      <c r="A244" s="2" t="s">
        <v>72</v>
      </c>
      <c r="B244" s="2" t="s">
        <v>4640</v>
      </c>
      <c r="C244" s="2" t="s">
        <v>74</v>
      </c>
      <c r="D244" s="2" t="s">
        <v>74</v>
      </c>
      <c r="E244" s="2" t="s">
        <v>74</v>
      </c>
      <c r="F244" s="2" t="s">
        <v>4640</v>
      </c>
      <c r="G244" s="2" t="s">
        <v>74</v>
      </c>
      <c r="H244" s="2" t="s">
        <v>74</v>
      </c>
      <c r="I244" s="2" t="s">
        <v>4641</v>
      </c>
      <c r="J244" s="2" t="s">
        <v>140</v>
      </c>
      <c r="K244" s="2" t="s">
        <v>74</v>
      </c>
      <c r="L244" s="2" t="s">
        <v>74</v>
      </c>
      <c r="M244" s="2" t="s">
        <v>74</v>
      </c>
      <c r="N244" s="2" t="s">
        <v>74</v>
      </c>
      <c r="O244" s="2" t="s">
        <v>74</v>
      </c>
      <c r="P244" s="2" t="s">
        <v>74</v>
      </c>
      <c r="Q244" s="2" t="s">
        <v>74</v>
      </c>
      <c r="R244" s="2" t="s">
        <v>74</v>
      </c>
      <c r="S244" s="2" t="s">
        <v>74</v>
      </c>
      <c r="T244" s="2" t="s">
        <v>74</v>
      </c>
      <c r="U244" s="2" t="s">
        <v>74</v>
      </c>
      <c r="V244" s="5" t="s">
        <v>4642</v>
      </c>
      <c r="W244" s="2" t="s">
        <v>74</v>
      </c>
      <c r="X244" s="2" t="s">
        <v>74</v>
      </c>
      <c r="Y244" s="2" t="s">
        <v>74</v>
      </c>
      <c r="Z244" s="2" t="s">
        <v>74</v>
      </c>
      <c r="AA244" s="2" t="s">
        <v>4643</v>
      </c>
      <c r="AB244" s="2" t="s">
        <v>74</v>
      </c>
      <c r="AC244" s="2" t="s">
        <v>74</v>
      </c>
      <c r="AD244" s="2" t="s">
        <v>74</v>
      </c>
      <c r="AE244" s="2" t="s">
        <v>74</v>
      </c>
      <c r="AF244" s="2" t="s">
        <v>74</v>
      </c>
      <c r="AG244" s="2" t="s">
        <v>74</v>
      </c>
      <c r="AH244" s="2" t="s">
        <v>74</v>
      </c>
      <c r="AI244" s="2" t="s">
        <v>74</v>
      </c>
      <c r="AJ244" s="2" t="s">
        <v>74</v>
      </c>
      <c r="AK244" s="2" t="s">
        <v>74</v>
      </c>
      <c r="AL244" s="2" t="s">
        <v>74</v>
      </c>
      <c r="AM244" s="2" t="s">
        <v>74</v>
      </c>
      <c r="AN244" s="2" t="s">
        <v>74</v>
      </c>
      <c r="AO244" s="2" t="s">
        <v>143</v>
      </c>
      <c r="AP244" s="2" t="s">
        <v>74</v>
      </c>
      <c r="AQ244" s="2" t="s">
        <v>74</v>
      </c>
      <c r="AR244" s="2" t="s">
        <v>74</v>
      </c>
      <c r="AS244" s="2" t="s">
        <v>74</v>
      </c>
      <c r="AT244" s="2" t="s">
        <v>204</v>
      </c>
      <c r="AU244" s="2">
        <v>1999</v>
      </c>
      <c r="AV244" s="2">
        <v>58</v>
      </c>
      <c r="AW244" s="2" t="s">
        <v>74</v>
      </c>
      <c r="AX244" s="2">
        <v>1</v>
      </c>
      <c r="AY244" s="2" t="s">
        <v>74</v>
      </c>
      <c r="AZ244" s="2" t="s">
        <v>74</v>
      </c>
      <c r="BA244" s="2" t="s">
        <v>74</v>
      </c>
      <c r="BB244" s="2">
        <v>151</v>
      </c>
      <c r="BC244" s="2">
        <v>158</v>
      </c>
      <c r="BD244" s="2" t="s">
        <v>74</v>
      </c>
      <c r="BE244" s="2" t="s">
        <v>4644</v>
      </c>
      <c r="BF244" s="2" t="str">
        <f>HYPERLINK("http://dx.doi.org/10.1006/anbe.1999.1121","http://dx.doi.org/10.1006/anbe.1999.1121")</f>
        <v>http://dx.doi.org/10.1006/anbe.1999.1121</v>
      </c>
      <c r="BG244" s="2" t="s">
        <v>74</v>
      </c>
      <c r="BH244" s="2" t="s">
        <v>74</v>
      </c>
      <c r="BI244" s="2" t="s">
        <v>74</v>
      </c>
      <c r="BJ244" s="2" t="s">
        <v>74</v>
      </c>
      <c r="BK244" s="2" t="s">
        <v>74</v>
      </c>
      <c r="BL244" s="2" t="s">
        <v>74</v>
      </c>
      <c r="BM244" s="2" t="s">
        <v>74</v>
      </c>
      <c r="BN244" s="2">
        <v>10413551</v>
      </c>
      <c r="BO244" s="2" t="s">
        <v>74</v>
      </c>
      <c r="BP244" s="2" t="s">
        <v>74</v>
      </c>
      <c r="BQ244" s="2" t="s">
        <v>74</v>
      </c>
      <c r="BR244" s="2" t="s">
        <v>74</v>
      </c>
      <c r="BS244" s="2" t="s">
        <v>4645</v>
      </c>
      <c r="BT244" s="2" t="str">
        <f>HYPERLINK("https%3A%2F%2Fwww.webofscience.com%2Fwos%2Fwoscc%2Ffull-record%2FWOS:000081982700017","View Full Record in Web of Science")</f>
        <v>View Full Record in Web of Science</v>
      </c>
    </row>
    <row r="245" spans="1:72" s="2" customFormat="1" x14ac:dyDescent="0.4">
      <c r="A245" s="2" t="s">
        <v>72</v>
      </c>
      <c r="B245" s="2" t="s">
        <v>8216</v>
      </c>
      <c r="C245" s="2" t="s">
        <v>74</v>
      </c>
      <c r="D245" s="2" t="s">
        <v>74</v>
      </c>
      <c r="E245" s="2" t="s">
        <v>74</v>
      </c>
      <c r="F245" s="2" t="s">
        <v>8217</v>
      </c>
      <c r="G245" s="2" t="s">
        <v>74</v>
      </c>
      <c r="H245" s="2" t="s">
        <v>74</v>
      </c>
      <c r="I245" s="2" t="s">
        <v>8218</v>
      </c>
      <c r="J245" s="2" t="s">
        <v>1574</v>
      </c>
      <c r="K245" s="2" t="s">
        <v>74</v>
      </c>
      <c r="L245" s="2" t="s">
        <v>74</v>
      </c>
      <c r="M245" s="2" t="s">
        <v>74</v>
      </c>
      <c r="N245" s="2" t="s">
        <v>74</v>
      </c>
      <c r="O245" s="2" t="s">
        <v>74</v>
      </c>
      <c r="P245" s="2" t="s">
        <v>74</v>
      </c>
      <c r="Q245" s="2" t="s">
        <v>74</v>
      </c>
      <c r="R245" s="2" t="s">
        <v>74</v>
      </c>
      <c r="S245" s="2" t="s">
        <v>74</v>
      </c>
      <c r="T245" s="2" t="s">
        <v>74</v>
      </c>
      <c r="U245" s="2" t="s">
        <v>74</v>
      </c>
      <c r="V245" s="5" t="s">
        <v>8219</v>
      </c>
      <c r="W245" s="2" t="s">
        <v>74</v>
      </c>
      <c r="X245" s="2" t="s">
        <v>74</v>
      </c>
      <c r="Y245" s="2" t="s">
        <v>74</v>
      </c>
      <c r="Z245" s="2" t="s">
        <v>74</v>
      </c>
      <c r="AA245" s="2" t="s">
        <v>74</v>
      </c>
      <c r="AB245" s="2" t="s">
        <v>74</v>
      </c>
      <c r="AC245" s="2" t="s">
        <v>74</v>
      </c>
      <c r="AD245" s="2" t="s">
        <v>74</v>
      </c>
      <c r="AE245" s="2" t="s">
        <v>74</v>
      </c>
      <c r="AF245" s="2" t="s">
        <v>74</v>
      </c>
      <c r="AG245" s="2" t="s">
        <v>74</v>
      </c>
      <c r="AH245" s="2" t="s">
        <v>74</v>
      </c>
      <c r="AI245" s="2" t="s">
        <v>74</v>
      </c>
      <c r="AJ245" s="2" t="s">
        <v>74</v>
      </c>
      <c r="AK245" s="2" t="s">
        <v>74</v>
      </c>
      <c r="AL245" s="2" t="s">
        <v>74</v>
      </c>
      <c r="AM245" s="2" t="s">
        <v>74</v>
      </c>
      <c r="AN245" s="2" t="s">
        <v>74</v>
      </c>
      <c r="AO245" s="2" t="s">
        <v>1576</v>
      </c>
      <c r="AP245" s="2" t="s">
        <v>1577</v>
      </c>
      <c r="AQ245" s="2" t="s">
        <v>74</v>
      </c>
      <c r="AR245" s="2" t="s">
        <v>74</v>
      </c>
      <c r="AS245" s="2" t="s">
        <v>74</v>
      </c>
      <c r="AT245" s="2" t="s">
        <v>204</v>
      </c>
      <c r="AU245" s="2">
        <v>2022</v>
      </c>
      <c r="AV245" s="2">
        <v>97</v>
      </c>
      <c r="AW245" s="2" t="s">
        <v>1276</v>
      </c>
      <c r="AX245" s="2" t="s">
        <v>74</v>
      </c>
      <c r="AY245" s="2" t="s">
        <v>74</v>
      </c>
      <c r="AZ245" s="2" t="s">
        <v>74</v>
      </c>
      <c r="BA245" s="2" t="s">
        <v>74</v>
      </c>
      <c r="BB245" s="2">
        <v>184</v>
      </c>
      <c r="BC245" s="2">
        <v>196</v>
      </c>
      <c r="BD245" s="2" t="s">
        <v>74</v>
      </c>
      <c r="BE245" s="2" t="s">
        <v>8220</v>
      </c>
      <c r="BF245" s="2" t="str">
        <f>HYPERLINK("http://dx.doi.org/10.1159/000524217","http://dx.doi.org/10.1159/000524217")</f>
        <v>http://dx.doi.org/10.1159/000524217</v>
      </c>
      <c r="BG245" s="2" t="s">
        <v>74</v>
      </c>
      <c r="BH245" s="2" t="s">
        <v>74</v>
      </c>
      <c r="BI245" s="2" t="s">
        <v>74</v>
      </c>
      <c r="BJ245" s="2" t="s">
        <v>74</v>
      </c>
      <c r="BK245" s="2" t="s">
        <v>74</v>
      </c>
      <c r="BL245" s="2" t="s">
        <v>74</v>
      </c>
      <c r="BM245" s="2" t="s">
        <v>74</v>
      </c>
      <c r="BN245" s="2">
        <v>35320812</v>
      </c>
      <c r="BO245" s="2" t="s">
        <v>74</v>
      </c>
      <c r="BP245" s="2" t="s">
        <v>74</v>
      </c>
      <c r="BQ245" s="2" t="s">
        <v>74</v>
      </c>
      <c r="BR245" s="2" t="s">
        <v>74</v>
      </c>
      <c r="BS245" s="2" t="s">
        <v>8221</v>
      </c>
      <c r="BT245" s="2" t="str">
        <f>HYPERLINK("https%3A%2F%2Fwww.webofscience.com%2Fwos%2Fwoscc%2Ffull-record%2FWOS:000840266300008","View Full Record in Web of Science")</f>
        <v>View Full Record in Web of Science</v>
      </c>
    </row>
    <row r="246" spans="1:72" s="2" customFormat="1" x14ac:dyDescent="0.4">
      <c r="A246" s="2" t="s">
        <v>72</v>
      </c>
      <c r="B246" s="2" t="s">
        <v>3913</v>
      </c>
      <c r="C246" s="2" t="s">
        <v>74</v>
      </c>
      <c r="D246" s="2" t="s">
        <v>74</v>
      </c>
      <c r="E246" s="2" t="s">
        <v>74</v>
      </c>
      <c r="F246" s="2" t="s">
        <v>3914</v>
      </c>
      <c r="G246" s="2" t="s">
        <v>74</v>
      </c>
      <c r="H246" s="2" t="s">
        <v>74</v>
      </c>
      <c r="I246" s="2" t="s">
        <v>3915</v>
      </c>
      <c r="J246" s="2" t="s">
        <v>1995</v>
      </c>
      <c r="K246" s="2" t="s">
        <v>74</v>
      </c>
      <c r="L246" s="2" t="s">
        <v>74</v>
      </c>
      <c r="M246" s="2" t="s">
        <v>74</v>
      </c>
      <c r="N246" s="2" t="s">
        <v>74</v>
      </c>
      <c r="O246" s="2" t="s">
        <v>74</v>
      </c>
      <c r="P246" s="2" t="s">
        <v>74</v>
      </c>
      <c r="Q246" s="2" t="s">
        <v>74</v>
      </c>
      <c r="R246" s="2" t="s">
        <v>74</v>
      </c>
      <c r="S246" s="2" t="s">
        <v>74</v>
      </c>
      <c r="T246" s="2" t="s">
        <v>74</v>
      </c>
      <c r="U246" s="2" t="s">
        <v>74</v>
      </c>
      <c r="V246" s="5" t="s">
        <v>3916</v>
      </c>
      <c r="W246" s="2" t="s">
        <v>74</v>
      </c>
      <c r="X246" s="2" t="s">
        <v>74</v>
      </c>
      <c r="Y246" s="2" t="s">
        <v>74</v>
      </c>
      <c r="Z246" s="2" t="s">
        <v>74</v>
      </c>
      <c r="AA246" s="2" t="s">
        <v>74</v>
      </c>
      <c r="AB246" s="2" t="s">
        <v>74</v>
      </c>
      <c r="AC246" s="2" t="s">
        <v>74</v>
      </c>
      <c r="AD246" s="2" t="s">
        <v>74</v>
      </c>
      <c r="AE246" s="2" t="s">
        <v>74</v>
      </c>
      <c r="AF246" s="2" t="s">
        <v>74</v>
      </c>
      <c r="AG246" s="2" t="s">
        <v>74</v>
      </c>
      <c r="AH246" s="2" t="s">
        <v>74</v>
      </c>
      <c r="AI246" s="2" t="s">
        <v>74</v>
      </c>
      <c r="AJ246" s="2" t="s">
        <v>74</v>
      </c>
      <c r="AK246" s="2" t="s">
        <v>74</v>
      </c>
      <c r="AL246" s="2" t="s">
        <v>74</v>
      </c>
      <c r="AM246" s="2" t="s">
        <v>74</v>
      </c>
      <c r="AN246" s="2" t="s">
        <v>74</v>
      </c>
      <c r="AO246" s="2" t="s">
        <v>1997</v>
      </c>
      <c r="AP246" s="2" t="s">
        <v>3917</v>
      </c>
      <c r="AQ246" s="2" t="s">
        <v>74</v>
      </c>
      <c r="AR246" s="2" t="s">
        <v>74</v>
      </c>
      <c r="AS246" s="2" t="s">
        <v>74</v>
      </c>
      <c r="AT246" s="2" t="s">
        <v>102</v>
      </c>
      <c r="AU246" s="2">
        <v>2009</v>
      </c>
      <c r="AV246" s="2">
        <v>80</v>
      </c>
      <c r="AW246" s="2">
        <v>2</v>
      </c>
      <c r="AX246" s="2" t="s">
        <v>74</v>
      </c>
      <c r="AY246" s="2" t="s">
        <v>74</v>
      </c>
      <c r="AZ246" s="2" t="s">
        <v>74</v>
      </c>
      <c r="BA246" s="2" t="s">
        <v>74</v>
      </c>
      <c r="BB246" s="2">
        <v>163</v>
      </c>
      <c r="BC246" s="2">
        <v>170</v>
      </c>
      <c r="BD246" s="2" t="s">
        <v>74</v>
      </c>
      <c r="BE246" s="2" t="s">
        <v>3918</v>
      </c>
      <c r="BF246" s="2" t="str">
        <f>HYPERLINK("http://dx.doi.org/10.1111/j.1557-9263.2009.00218.x","http://dx.doi.org/10.1111/j.1557-9263.2009.00218.x")</f>
        <v>http://dx.doi.org/10.1111/j.1557-9263.2009.00218.x</v>
      </c>
      <c r="BG246" s="2" t="s">
        <v>74</v>
      </c>
      <c r="BH246" s="2" t="s">
        <v>74</v>
      </c>
      <c r="BI246" s="2" t="s">
        <v>74</v>
      </c>
      <c r="BJ246" s="2" t="s">
        <v>74</v>
      </c>
      <c r="BK246" s="2" t="s">
        <v>74</v>
      </c>
      <c r="BL246" s="2" t="s">
        <v>74</v>
      </c>
      <c r="BM246" s="2" t="s">
        <v>74</v>
      </c>
      <c r="BN246" s="2" t="s">
        <v>74</v>
      </c>
      <c r="BO246" s="2" t="s">
        <v>74</v>
      </c>
      <c r="BP246" s="2" t="s">
        <v>74</v>
      </c>
      <c r="BQ246" s="2" t="s">
        <v>74</v>
      </c>
      <c r="BR246" s="2" t="s">
        <v>74</v>
      </c>
      <c r="BS246" s="2" t="s">
        <v>3919</v>
      </c>
      <c r="BT246" s="2" t="str">
        <f>HYPERLINK("https%3A%2F%2Fwww.webofscience.com%2Fwos%2Fwoscc%2Ffull-record%2FWOS:000266465200007","View Full Record in Web of Science")</f>
        <v>View Full Record in Web of Science</v>
      </c>
    </row>
    <row r="247" spans="1:72" s="1" customFormat="1" x14ac:dyDescent="0.4">
      <c r="A247" s="2" t="s">
        <v>72</v>
      </c>
      <c r="B247" s="2" t="s">
        <v>4769</v>
      </c>
      <c r="C247" s="2" t="s">
        <v>74</v>
      </c>
      <c r="D247" s="2" t="s">
        <v>74</v>
      </c>
      <c r="E247" s="2" t="s">
        <v>74</v>
      </c>
      <c r="F247" s="2" t="s">
        <v>4770</v>
      </c>
      <c r="G247" s="2" t="s">
        <v>74</v>
      </c>
      <c r="H247" s="2" t="s">
        <v>74</v>
      </c>
      <c r="I247" s="2" t="s">
        <v>4771</v>
      </c>
      <c r="J247" s="2" t="s">
        <v>4772</v>
      </c>
      <c r="K247" s="2" t="s">
        <v>74</v>
      </c>
      <c r="L247" s="2" t="s">
        <v>74</v>
      </c>
      <c r="M247" s="2" t="s">
        <v>74</v>
      </c>
      <c r="N247" s="2" t="s">
        <v>74</v>
      </c>
      <c r="O247" s="2" t="s">
        <v>74</v>
      </c>
      <c r="P247" s="2" t="s">
        <v>74</v>
      </c>
      <c r="Q247" s="2" t="s">
        <v>74</v>
      </c>
      <c r="R247" s="2" t="s">
        <v>74</v>
      </c>
      <c r="S247" s="2" t="s">
        <v>74</v>
      </c>
      <c r="T247" s="2" t="s">
        <v>74</v>
      </c>
      <c r="U247" s="2" t="s">
        <v>74</v>
      </c>
      <c r="V247" s="5" t="s">
        <v>4773</v>
      </c>
      <c r="W247" s="2" t="s">
        <v>74</v>
      </c>
      <c r="X247" s="2" t="s">
        <v>74</v>
      </c>
      <c r="Y247" s="2" t="s">
        <v>74</v>
      </c>
      <c r="Z247" s="2" t="s">
        <v>74</v>
      </c>
      <c r="AA247" s="2" t="s">
        <v>74</v>
      </c>
      <c r="AB247" s="2" t="s">
        <v>74</v>
      </c>
      <c r="AC247" s="2" t="s">
        <v>74</v>
      </c>
      <c r="AD247" s="2" t="s">
        <v>74</v>
      </c>
      <c r="AE247" s="2" t="s">
        <v>74</v>
      </c>
      <c r="AF247" s="2" t="s">
        <v>74</v>
      </c>
      <c r="AG247" s="2" t="s">
        <v>74</v>
      </c>
      <c r="AH247" s="2" t="s">
        <v>74</v>
      </c>
      <c r="AI247" s="2" t="s">
        <v>74</v>
      </c>
      <c r="AJ247" s="2" t="s">
        <v>74</v>
      </c>
      <c r="AK247" s="2" t="s">
        <v>74</v>
      </c>
      <c r="AL247" s="2" t="s">
        <v>74</v>
      </c>
      <c r="AM247" s="2" t="s">
        <v>74</v>
      </c>
      <c r="AN247" s="2" t="s">
        <v>74</v>
      </c>
      <c r="AO247" s="2" t="s">
        <v>4774</v>
      </c>
      <c r="AP247" s="2" t="s">
        <v>74</v>
      </c>
      <c r="AQ247" s="2" t="s">
        <v>74</v>
      </c>
      <c r="AR247" s="2" t="s">
        <v>74</v>
      </c>
      <c r="AS247" s="2" t="s">
        <v>74</v>
      </c>
      <c r="AT247" s="2" t="s">
        <v>204</v>
      </c>
      <c r="AU247" s="2">
        <v>2010</v>
      </c>
      <c r="AV247" s="2">
        <v>49</v>
      </c>
      <c r="AW247" s="2">
        <v>4</v>
      </c>
      <c r="AX247" s="2" t="s">
        <v>74</v>
      </c>
      <c r="AY247" s="2" t="s">
        <v>74</v>
      </c>
      <c r="AZ247" s="2" t="s">
        <v>74</v>
      </c>
      <c r="BA247" s="2" t="s">
        <v>74</v>
      </c>
      <c r="BB247" s="2">
        <v>336</v>
      </c>
      <c r="BC247" s="2">
        <v>344</v>
      </c>
      <c r="BD247" s="2" t="s">
        <v>74</v>
      </c>
      <c r="BE247" s="2" t="s">
        <v>4775</v>
      </c>
      <c r="BF247" s="2" t="str">
        <f>HYPERLINK("http://dx.doi.org/10.2216/09-19.1","http://dx.doi.org/10.2216/09-19.1")</f>
        <v>http://dx.doi.org/10.2216/09-19.1</v>
      </c>
      <c r="BG247" s="2" t="s">
        <v>74</v>
      </c>
      <c r="BH247" s="2" t="s">
        <v>74</v>
      </c>
      <c r="BI247" s="2" t="s">
        <v>74</v>
      </c>
      <c r="BJ247" s="2" t="s">
        <v>74</v>
      </c>
      <c r="BK247" s="2" t="s">
        <v>74</v>
      </c>
      <c r="BL247" s="2" t="s">
        <v>74</v>
      </c>
      <c r="BM247" s="2" t="s">
        <v>74</v>
      </c>
      <c r="BN247" s="2" t="s">
        <v>74</v>
      </c>
      <c r="BO247" s="2" t="s">
        <v>74</v>
      </c>
      <c r="BP247" s="2" t="s">
        <v>74</v>
      </c>
      <c r="BQ247" s="2" t="s">
        <v>74</v>
      </c>
      <c r="BR247" s="2" t="s">
        <v>74</v>
      </c>
      <c r="BS247" s="2" t="s">
        <v>4776</v>
      </c>
      <c r="BT247" s="2" t="str">
        <f>HYPERLINK("https%3A%2F%2Fwww.webofscience.com%2Fwos%2Fwoscc%2Ffull-record%2FWOS:000280232300004","View Full Record in Web of Science")</f>
        <v>View Full Record in Web of Science</v>
      </c>
    </row>
    <row r="248" spans="1:72" s="2" customFormat="1" x14ac:dyDescent="0.4">
      <c r="A248" s="2" t="s">
        <v>72</v>
      </c>
      <c r="B248" s="2" t="s">
        <v>6800</v>
      </c>
      <c r="C248" s="2" t="s">
        <v>74</v>
      </c>
      <c r="D248" s="2" t="s">
        <v>74</v>
      </c>
      <c r="E248" s="2" t="s">
        <v>74</v>
      </c>
      <c r="F248" s="2" t="s">
        <v>6800</v>
      </c>
      <c r="G248" s="2" t="s">
        <v>74</v>
      </c>
      <c r="H248" s="2" t="s">
        <v>74</v>
      </c>
      <c r="I248" s="2" t="s">
        <v>6801</v>
      </c>
      <c r="J248" s="2" t="s">
        <v>1198</v>
      </c>
      <c r="K248" s="2" t="s">
        <v>74</v>
      </c>
      <c r="L248" s="2" t="s">
        <v>74</v>
      </c>
      <c r="M248" s="2" t="s">
        <v>74</v>
      </c>
      <c r="N248" s="2" t="s">
        <v>74</v>
      </c>
      <c r="O248" s="2" t="s">
        <v>74</v>
      </c>
      <c r="P248" s="2" t="s">
        <v>74</v>
      </c>
      <c r="Q248" s="2" t="s">
        <v>74</v>
      </c>
      <c r="R248" s="2" t="s">
        <v>74</v>
      </c>
      <c r="S248" s="2" t="s">
        <v>74</v>
      </c>
      <c r="T248" s="2" t="s">
        <v>74</v>
      </c>
      <c r="U248" s="2" t="s">
        <v>74</v>
      </c>
      <c r="V248" s="5" t="s">
        <v>6802</v>
      </c>
      <c r="W248" s="2" t="s">
        <v>74</v>
      </c>
      <c r="X248" s="2" t="s">
        <v>74</v>
      </c>
      <c r="Y248" s="2" t="s">
        <v>74</v>
      </c>
      <c r="Z248" s="2" t="s">
        <v>74</v>
      </c>
      <c r="AA248" s="2" t="s">
        <v>74</v>
      </c>
      <c r="AB248" s="2" t="s">
        <v>74</v>
      </c>
      <c r="AC248" s="2" t="s">
        <v>74</v>
      </c>
      <c r="AD248" s="2" t="s">
        <v>74</v>
      </c>
      <c r="AE248" s="2" t="s">
        <v>74</v>
      </c>
      <c r="AF248" s="2" t="s">
        <v>74</v>
      </c>
      <c r="AG248" s="2" t="s">
        <v>74</v>
      </c>
      <c r="AH248" s="2" t="s">
        <v>74</v>
      </c>
      <c r="AI248" s="2" t="s">
        <v>74</v>
      </c>
      <c r="AJ248" s="2" t="s">
        <v>74</v>
      </c>
      <c r="AK248" s="2" t="s">
        <v>74</v>
      </c>
      <c r="AL248" s="2" t="s">
        <v>74</v>
      </c>
      <c r="AM248" s="2" t="s">
        <v>74</v>
      </c>
      <c r="AN248" s="2" t="s">
        <v>74</v>
      </c>
      <c r="AO248" s="2" t="s">
        <v>1202</v>
      </c>
      <c r="AP248" s="2" t="s">
        <v>1203</v>
      </c>
      <c r="AQ248" s="2" t="s">
        <v>74</v>
      </c>
      <c r="AR248" s="2" t="s">
        <v>74</v>
      </c>
      <c r="AS248" s="2" t="s">
        <v>74</v>
      </c>
      <c r="AT248" s="2" t="s">
        <v>102</v>
      </c>
      <c r="AU248" s="2">
        <v>1997</v>
      </c>
      <c r="AV248" s="2">
        <v>53</v>
      </c>
      <c r="AW248" s="2">
        <v>2</v>
      </c>
      <c r="AX248" s="2" t="s">
        <v>74</v>
      </c>
      <c r="AY248" s="2" t="s">
        <v>74</v>
      </c>
      <c r="AZ248" s="2" t="s">
        <v>74</v>
      </c>
      <c r="BA248" s="2" t="s">
        <v>74</v>
      </c>
      <c r="BB248" s="2">
        <v>206</v>
      </c>
      <c r="BC248" s="2">
        <v>217</v>
      </c>
      <c r="BD248" s="2" t="s">
        <v>74</v>
      </c>
      <c r="BE248" s="2" t="s">
        <v>74</v>
      </c>
      <c r="BF248" s="2" t="s">
        <v>74</v>
      </c>
      <c r="BG248" s="2" t="s">
        <v>74</v>
      </c>
      <c r="BH248" s="2" t="s">
        <v>74</v>
      </c>
      <c r="BI248" s="2" t="s">
        <v>74</v>
      </c>
      <c r="BJ248" s="2" t="s">
        <v>74</v>
      </c>
      <c r="BK248" s="2" t="s">
        <v>74</v>
      </c>
      <c r="BL248" s="2" t="s">
        <v>74</v>
      </c>
      <c r="BM248" s="2" t="s">
        <v>74</v>
      </c>
      <c r="BN248" s="2" t="s">
        <v>74</v>
      </c>
      <c r="BO248" s="2" t="s">
        <v>74</v>
      </c>
      <c r="BP248" s="2" t="s">
        <v>74</v>
      </c>
      <c r="BQ248" s="2" t="s">
        <v>74</v>
      </c>
      <c r="BR248" s="2" t="s">
        <v>74</v>
      </c>
      <c r="BS248" s="2" t="s">
        <v>6803</v>
      </c>
      <c r="BT248" s="2" t="str">
        <f>HYPERLINK("https%3A%2F%2Fwww.webofscience.com%2Fwos%2Fwoscc%2Ffull-record%2FWOS:A1997XC82700006","View Full Record in Web of Science")</f>
        <v>View Full Record in Web of Science</v>
      </c>
    </row>
    <row r="249" spans="1:72" s="2" customFormat="1" x14ac:dyDescent="0.4">
      <c r="A249" s="2" t="s">
        <v>72</v>
      </c>
      <c r="B249" s="2" t="s">
        <v>8646</v>
      </c>
      <c r="C249" s="2" t="s">
        <v>74</v>
      </c>
      <c r="D249" s="2" t="s">
        <v>74</v>
      </c>
      <c r="E249" s="2" t="s">
        <v>74</v>
      </c>
      <c r="F249" s="2" t="s">
        <v>8647</v>
      </c>
      <c r="G249" s="2" t="s">
        <v>74</v>
      </c>
      <c r="H249" s="2" t="s">
        <v>74</v>
      </c>
      <c r="I249" s="2" t="s">
        <v>8648</v>
      </c>
      <c r="J249" s="2" t="s">
        <v>3605</v>
      </c>
      <c r="K249" s="2" t="s">
        <v>74</v>
      </c>
      <c r="L249" s="2" t="s">
        <v>74</v>
      </c>
      <c r="M249" s="2" t="s">
        <v>74</v>
      </c>
      <c r="N249" s="2" t="s">
        <v>74</v>
      </c>
      <c r="O249" s="2" t="s">
        <v>74</v>
      </c>
      <c r="P249" s="2" t="s">
        <v>74</v>
      </c>
      <c r="Q249" s="2" t="s">
        <v>74</v>
      </c>
      <c r="R249" s="2" t="s">
        <v>74</v>
      </c>
      <c r="S249" s="2" t="s">
        <v>74</v>
      </c>
      <c r="T249" s="2" t="s">
        <v>74</v>
      </c>
      <c r="U249" s="2" t="s">
        <v>74</v>
      </c>
      <c r="V249" s="5" t="s">
        <v>8649</v>
      </c>
      <c r="W249" s="2" t="s">
        <v>74</v>
      </c>
      <c r="X249" s="2" t="s">
        <v>74</v>
      </c>
      <c r="Y249" s="2" t="s">
        <v>74</v>
      </c>
      <c r="Z249" s="2" t="s">
        <v>74</v>
      </c>
      <c r="AA249" s="2" t="s">
        <v>8650</v>
      </c>
      <c r="AB249" s="2" t="s">
        <v>8651</v>
      </c>
      <c r="AC249" s="2" t="s">
        <v>74</v>
      </c>
      <c r="AD249" s="2" t="s">
        <v>74</v>
      </c>
      <c r="AE249" s="2" t="s">
        <v>74</v>
      </c>
      <c r="AF249" s="2" t="s">
        <v>74</v>
      </c>
      <c r="AG249" s="2" t="s">
        <v>74</v>
      </c>
      <c r="AH249" s="2" t="s">
        <v>74</v>
      </c>
      <c r="AI249" s="2" t="s">
        <v>74</v>
      </c>
      <c r="AJ249" s="2" t="s">
        <v>74</v>
      </c>
      <c r="AK249" s="2" t="s">
        <v>74</v>
      </c>
      <c r="AL249" s="2" t="s">
        <v>74</v>
      </c>
      <c r="AM249" s="2" t="s">
        <v>74</v>
      </c>
      <c r="AN249" s="2" t="s">
        <v>74</v>
      </c>
      <c r="AO249" s="2" t="s">
        <v>3607</v>
      </c>
      <c r="AP249" s="2" t="s">
        <v>3608</v>
      </c>
      <c r="AQ249" s="2" t="s">
        <v>74</v>
      </c>
      <c r="AR249" s="2" t="s">
        <v>74</v>
      </c>
      <c r="AS249" s="2" t="s">
        <v>74</v>
      </c>
      <c r="AT249" s="2" t="s">
        <v>352</v>
      </c>
      <c r="AU249" s="2">
        <v>2019</v>
      </c>
      <c r="AV249" s="2">
        <v>99</v>
      </c>
      <c r="AW249" s="2">
        <v>6</v>
      </c>
      <c r="AX249" s="2" t="s">
        <v>74</v>
      </c>
      <c r="AY249" s="2" t="s">
        <v>74</v>
      </c>
      <c r="AZ249" s="2" t="s">
        <v>74</v>
      </c>
      <c r="BA249" s="2" t="s">
        <v>74</v>
      </c>
      <c r="BB249" s="2">
        <v>1267</v>
      </c>
      <c r="BC249" s="2">
        <v>1271</v>
      </c>
      <c r="BD249" s="2" t="s">
        <v>8652</v>
      </c>
      <c r="BE249" s="2" t="s">
        <v>8653</v>
      </c>
      <c r="BF249" s="2" t="str">
        <f>HYPERLINK("http://dx.doi.org/10.1017/S0025315419000171","http://dx.doi.org/10.1017/S0025315419000171")</f>
        <v>http://dx.doi.org/10.1017/S0025315419000171</v>
      </c>
      <c r="BG249" s="2" t="s">
        <v>74</v>
      </c>
      <c r="BH249" s="2" t="s">
        <v>74</v>
      </c>
      <c r="BI249" s="2" t="s">
        <v>74</v>
      </c>
      <c r="BJ249" s="2" t="s">
        <v>74</v>
      </c>
      <c r="BK249" s="2" t="s">
        <v>74</v>
      </c>
      <c r="BL249" s="2" t="s">
        <v>74</v>
      </c>
      <c r="BM249" s="2" t="s">
        <v>74</v>
      </c>
      <c r="BN249" s="2" t="s">
        <v>74</v>
      </c>
      <c r="BO249" s="2" t="s">
        <v>74</v>
      </c>
      <c r="BP249" s="2" t="s">
        <v>74</v>
      </c>
      <c r="BQ249" s="2" t="s">
        <v>74</v>
      </c>
      <c r="BR249" s="2" t="s">
        <v>74</v>
      </c>
      <c r="BS249" s="2" t="s">
        <v>8654</v>
      </c>
      <c r="BT249" s="2" t="str">
        <f>HYPERLINK("https%3A%2F%2Fwww.webofscience.com%2Fwos%2Fwoscc%2Ffull-record%2FWOS:000482975700004","View Full Record in Web of Science")</f>
        <v>View Full Record in Web of Science</v>
      </c>
    </row>
    <row r="250" spans="1:72" s="2" customFormat="1" x14ac:dyDescent="0.4">
      <c r="A250" s="2" t="s">
        <v>72</v>
      </c>
      <c r="B250" s="2" t="s">
        <v>5088</v>
      </c>
      <c r="C250" s="2" t="s">
        <v>74</v>
      </c>
      <c r="D250" s="2" t="s">
        <v>74</v>
      </c>
      <c r="E250" s="2" t="s">
        <v>74</v>
      </c>
      <c r="F250" s="2" t="s">
        <v>5089</v>
      </c>
      <c r="G250" s="2" t="s">
        <v>74</v>
      </c>
      <c r="H250" s="2" t="s">
        <v>74</v>
      </c>
      <c r="I250" s="2" t="s">
        <v>5090</v>
      </c>
      <c r="J250" s="2" t="s">
        <v>1635</v>
      </c>
      <c r="K250" s="2" t="s">
        <v>74</v>
      </c>
      <c r="L250" s="2" t="s">
        <v>74</v>
      </c>
      <c r="M250" s="2" t="s">
        <v>74</v>
      </c>
      <c r="N250" s="2" t="s">
        <v>74</v>
      </c>
      <c r="O250" s="2" t="s">
        <v>74</v>
      </c>
      <c r="P250" s="2" t="s">
        <v>74</v>
      </c>
      <c r="Q250" s="2" t="s">
        <v>74</v>
      </c>
      <c r="R250" s="2" t="s">
        <v>74</v>
      </c>
      <c r="S250" s="2" t="s">
        <v>74</v>
      </c>
      <c r="T250" s="2" t="s">
        <v>74</v>
      </c>
      <c r="U250" s="2" t="s">
        <v>74</v>
      </c>
      <c r="V250" s="5" t="s">
        <v>5091</v>
      </c>
      <c r="W250" s="2" t="s">
        <v>74</v>
      </c>
      <c r="X250" s="2" t="s">
        <v>74</v>
      </c>
      <c r="Y250" s="2" t="s">
        <v>74</v>
      </c>
      <c r="Z250" s="2" t="s">
        <v>74</v>
      </c>
      <c r="AA250" s="2" t="s">
        <v>74</v>
      </c>
      <c r="AB250" s="2" t="s">
        <v>74</v>
      </c>
      <c r="AC250" s="2" t="s">
        <v>74</v>
      </c>
      <c r="AD250" s="2" t="s">
        <v>74</v>
      </c>
      <c r="AE250" s="2" t="s">
        <v>74</v>
      </c>
      <c r="AF250" s="2" t="s">
        <v>74</v>
      </c>
      <c r="AG250" s="2" t="s">
        <v>74</v>
      </c>
      <c r="AH250" s="2" t="s">
        <v>74</v>
      </c>
      <c r="AI250" s="2" t="s">
        <v>74</v>
      </c>
      <c r="AJ250" s="2" t="s">
        <v>74</v>
      </c>
      <c r="AK250" s="2" t="s">
        <v>74</v>
      </c>
      <c r="AL250" s="2" t="s">
        <v>74</v>
      </c>
      <c r="AM250" s="2" t="s">
        <v>74</v>
      </c>
      <c r="AN250" s="2" t="s">
        <v>74</v>
      </c>
      <c r="AO250" s="2" t="s">
        <v>1639</v>
      </c>
      <c r="AP250" s="2" t="s">
        <v>1640</v>
      </c>
      <c r="AQ250" s="2" t="s">
        <v>74</v>
      </c>
      <c r="AR250" s="2" t="s">
        <v>74</v>
      </c>
      <c r="AS250" s="2" t="s">
        <v>74</v>
      </c>
      <c r="AT250" s="2" t="s">
        <v>5092</v>
      </c>
      <c r="AU250" s="2">
        <v>2009</v>
      </c>
      <c r="AV250" s="2">
        <v>364</v>
      </c>
      <c r="AW250" s="2">
        <v>1516</v>
      </c>
      <c r="AX250" s="2" t="s">
        <v>74</v>
      </c>
      <c r="AY250" s="2" t="s">
        <v>74</v>
      </c>
      <c r="AZ250" s="2" t="s">
        <v>74</v>
      </c>
      <c r="BA250" s="2" t="s">
        <v>74</v>
      </c>
      <c r="BB250" s="2">
        <v>537</v>
      </c>
      <c r="BC250" s="2">
        <v>548</v>
      </c>
      <c r="BD250" s="2" t="s">
        <v>74</v>
      </c>
      <c r="BE250" s="2" t="s">
        <v>5093</v>
      </c>
      <c r="BF250" s="2" t="str">
        <f>HYPERLINK("http://dx.doi.org/10.1098/rstb.2008.0221","http://dx.doi.org/10.1098/rstb.2008.0221")</f>
        <v>http://dx.doi.org/10.1098/rstb.2008.0221</v>
      </c>
      <c r="BG250" s="2" t="s">
        <v>74</v>
      </c>
      <c r="BH250" s="2" t="s">
        <v>74</v>
      </c>
      <c r="BI250" s="2" t="s">
        <v>74</v>
      </c>
      <c r="BJ250" s="2" t="s">
        <v>74</v>
      </c>
      <c r="BK250" s="2" t="s">
        <v>74</v>
      </c>
      <c r="BL250" s="2" t="s">
        <v>74</v>
      </c>
      <c r="BM250" s="2" t="s">
        <v>74</v>
      </c>
      <c r="BN250" s="2">
        <v>18990666</v>
      </c>
      <c r="BO250" s="2" t="s">
        <v>74</v>
      </c>
      <c r="BP250" s="2" t="s">
        <v>74</v>
      </c>
      <c r="BQ250" s="2" t="s">
        <v>74</v>
      </c>
      <c r="BR250" s="2" t="s">
        <v>74</v>
      </c>
      <c r="BS250" s="2" t="s">
        <v>5094</v>
      </c>
      <c r="BT250" s="2" t="str">
        <f>HYPERLINK("https%3A%2F%2Fwww.webofscience.com%2Fwos%2Fwoscc%2Ffull-record%2FWOS:000262353500014","View Full Record in Web of Science")</f>
        <v>View Full Record in Web of Science</v>
      </c>
    </row>
    <row r="251" spans="1:72" s="2" customFormat="1" x14ac:dyDescent="0.4">
      <c r="A251" s="2" t="s">
        <v>72</v>
      </c>
      <c r="B251" s="2" t="s">
        <v>2615</v>
      </c>
      <c r="C251" s="2" t="s">
        <v>74</v>
      </c>
      <c r="D251" s="2" t="s">
        <v>74</v>
      </c>
      <c r="E251" s="2" t="s">
        <v>74</v>
      </c>
      <c r="F251" s="2" t="s">
        <v>2615</v>
      </c>
      <c r="G251" s="2" t="s">
        <v>74</v>
      </c>
      <c r="H251" s="2" t="s">
        <v>74</v>
      </c>
      <c r="I251" s="2" t="s">
        <v>2616</v>
      </c>
      <c r="J251" s="2" t="s">
        <v>1812</v>
      </c>
      <c r="K251" s="2" t="s">
        <v>74</v>
      </c>
      <c r="L251" s="2" t="s">
        <v>74</v>
      </c>
      <c r="M251" s="2" t="s">
        <v>74</v>
      </c>
      <c r="N251" s="2" t="s">
        <v>74</v>
      </c>
      <c r="O251" s="2" t="s">
        <v>74</v>
      </c>
      <c r="P251" s="2" t="s">
        <v>74</v>
      </c>
      <c r="Q251" s="2" t="s">
        <v>74</v>
      </c>
      <c r="R251" s="2" t="s">
        <v>74</v>
      </c>
      <c r="S251" s="2" t="s">
        <v>74</v>
      </c>
      <c r="T251" s="2" t="s">
        <v>74</v>
      </c>
      <c r="U251" s="2" t="s">
        <v>74</v>
      </c>
      <c r="V251" s="5" t="s">
        <v>2617</v>
      </c>
      <c r="W251" s="2" t="s">
        <v>74</v>
      </c>
      <c r="X251" s="2" t="s">
        <v>74</v>
      </c>
      <c r="Y251" s="2" t="s">
        <v>74</v>
      </c>
      <c r="Z251" s="2" t="s">
        <v>74</v>
      </c>
      <c r="AA251" s="2" t="s">
        <v>74</v>
      </c>
      <c r="AB251" s="2" t="s">
        <v>74</v>
      </c>
      <c r="AC251" s="2" t="s">
        <v>74</v>
      </c>
      <c r="AD251" s="2" t="s">
        <v>74</v>
      </c>
      <c r="AE251" s="2" t="s">
        <v>74</v>
      </c>
      <c r="AF251" s="2" t="s">
        <v>74</v>
      </c>
      <c r="AG251" s="2" t="s">
        <v>74</v>
      </c>
      <c r="AH251" s="2" t="s">
        <v>74</v>
      </c>
      <c r="AI251" s="2" t="s">
        <v>74</v>
      </c>
      <c r="AJ251" s="2" t="s">
        <v>74</v>
      </c>
      <c r="AK251" s="2" t="s">
        <v>74</v>
      </c>
      <c r="AL251" s="2" t="s">
        <v>74</v>
      </c>
      <c r="AM251" s="2" t="s">
        <v>74</v>
      </c>
      <c r="AN251" s="2" t="s">
        <v>74</v>
      </c>
      <c r="AO251" s="2" t="s">
        <v>1814</v>
      </c>
      <c r="AP251" s="2" t="s">
        <v>74</v>
      </c>
      <c r="AQ251" s="2" t="s">
        <v>74</v>
      </c>
      <c r="AR251" s="2" t="s">
        <v>74</v>
      </c>
      <c r="AS251" s="2" t="s">
        <v>74</v>
      </c>
      <c r="AT251" s="2" t="s">
        <v>123</v>
      </c>
      <c r="AU251" s="2">
        <v>1995</v>
      </c>
      <c r="AV251" s="2">
        <v>29</v>
      </c>
      <c r="AW251" s="2">
        <v>1</v>
      </c>
      <c r="AX251" s="2" t="s">
        <v>74</v>
      </c>
      <c r="AY251" s="2" t="s">
        <v>74</v>
      </c>
      <c r="AZ251" s="2" t="s">
        <v>74</v>
      </c>
      <c r="BA251" s="2" t="s">
        <v>74</v>
      </c>
      <c r="BB251" s="2">
        <v>7</v>
      </c>
      <c r="BC251" s="2">
        <v>13</v>
      </c>
      <c r="BD251" s="2" t="s">
        <v>74</v>
      </c>
      <c r="BE251" s="2" t="s">
        <v>2618</v>
      </c>
      <c r="BF251" s="2" t="str">
        <f>HYPERLINK("http://dx.doi.org/10.2307/1565079","http://dx.doi.org/10.2307/1565079")</f>
        <v>http://dx.doi.org/10.2307/1565079</v>
      </c>
      <c r="BG251" s="2" t="s">
        <v>74</v>
      </c>
      <c r="BH251" s="2" t="s">
        <v>74</v>
      </c>
      <c r="BI251" s="2" t="s">
        <v>74</v>
      </c>
      <c r="BJ251" s="2" t="s">
        <v>74</v>
      </c>
      <c r="BK251" s="2" t="s">
        <v>74</v>
      </c>
      <c r="BL251" s="2" t="s">
        <v>74</v>
      </c>
      <c r="BM251" s="2" t="s">
        <v>74</v>
      </c>
      <c r="BN251" s="2" t="s">
        <v>74</v>
      </c>
      <c r="BO251" s="2" t="s">
        <v>74</v>
      </c>
      <c r="BP251" s="2" t="s">
        <v>74</v>
      </c>
      <c r="BQ251" s="2" t="s">
        <v>74</v>
      </c>
      <c r="BR251" s="2" t="s">
        <v>74</v>
      </c>
      <c r="BS251" s="2" t="s">
        <v>2619</v>
      </c>
      <c r="BT251" s="2" t="str">
        <f>HYPERLINK("https%3A%2F%2Fwww.webofscience.com%2Fwos%2Fwoscc%2Ffull-record%2FWOS:A1995QM52600002","View Full Record in Web of Science")</f>
        <v>View Full Record in Web of Science</v>
      </c>
    </row>
    <row r="252" spans="1:72" s="2" customFormat="1" x14ac:dyDescent="0.4">
      <c r="A252" s="2" t="s">
        <v>72</v>
      </c>
      <c r="B252" s="2" t="s">
        <v>7904</v>
      </c>
      <c r="C252" s="2" t="s">
        <v>74</v>
      </c>
      <c r="D252" s="2" t="s">
        <v>74</v>
      </c>
      <c r="E252" s="2" t="s">
        <v>74</v>
      </c>
      <c r="F252" s="2" t="s">
        <v>7905</v>
      </c>
      <c r="G252" s="2" t="s">
        <v>74</v>
      </c>
      <c r="H252" s="2" t="s">
        <v>74</v>
      </c>
      <c r="I252" s="2" t="s">
        <v>7906</v>
      </c>
      <c r="J252" s="2" t="s">
        <v>99</v>
      </c>
      <c r="K252" s="2" t="s">
        <v>74</v>
      </c>
      <c r="L252" s="2" t="s">
        <v>74</v>
      </c>
      <c r="M252" s="2" t="s">
        <v>74</v>
      </c>
      <c r="N252" s="2" t="s">
        <v>74</v>
      </c>
      <c r="O252" s="2" t="s">
        <v>74</v>
      </c>
      <c r="P252" s="2" t="s">
        <v>74</v>
      </c>
      <c r="Q252" s="2" t="s">
        <v>74</v>
      </c>
      <c r="R252" s="2" t="s">
        <v>74</v>
      </c>
      <c r="S252" s="2" t="s">
        <v>74</v>
      </c>
      <c r="T252" s="2" t="s">
        <v>74</v>
      </c>
      <c r="U252" s="2" t="s">
        <v>74</v>
      </c>
      <c r="V252" s="5" t="s">
        <v>7907</v>
      </c>
      <c r="W252" s="2" t="s">
        <v>74</v>
      </c>
      <c r="X252" s="2" t="s">
        <v>74</v>
      </c>
      <c r="Y252" s="2" t="s">
        <v>74</v>
      </c>
      <c r="Z252" s="2" t="s">
        <v>74</v>
      </c>
      <c r="AA252" s="2" t="s">
        <v>74</v>
      </c>
      <c r="AB252" s="2" t="s">
        <v>74</v>
      </c>
      <c r="AC252" s="2" t="s">
        <v>74</v>
      </c>
      <c r="AD252" s="2" t="s">
        <v>74</v>
      </c>
      <c r="AE252" s="2" t="s">
        <v>74</v>
      </c>
      <c r="AF252" s="2" t="s">
        <v>74</v>
      </c>
      <c r="AG252" s="2" t="s">
        <v>74</v>
      </c>
      <c r="AH252" s="2" t="s">
        <v>74</v>
      </c>
      <c r="AI252" s="2" t="s">
        <v>74</v>
      </c>
      <c r="AJ252" s="2" t="s">
        <v>74</v>
      </c>
      <c r="AK252" s="2" t="s">
        <v>74</v>
      </c>
      <c r="AL252" s="2" t="s">
        <v>74</v>
      </c>
      <c r="AM252" s="2" t="s">
        <v>74</v>
      </c>
      <c r="AN252" s="2" t="s">
        <v>74</v>
      </c>
      <c r="AO252" s="2" t="s">
        <v>101</v>
      </c>
      <c r="AP252" s="2" t="s">
        <v>1218</v>
      </c>
      <c r="AQ252" s="2" t="s">
        <v>74</v>
      </c>
      <c r="AR252" s="2" t="s">
        <v>74</v>
      </c>
      <c r="AS252" s="2" t="s">
        <v>74</v>
      </c>
      <c r="AT252" s="2" t="s">
        <v>102</v>
      </c>
      <c r="AU252" s="2">
        <v>2020</v>
      </c>
      <c r="AV252" s="2">
        <v>132</v>
      </c>
      <c r="AW252" s="2">
        <v>2</v>
      </c>
      <c r="AX252" s="2" t="s">
        <v>74</v>
      </c>
      <c r="AY252" s="2" t="s">
        <v>74</v>
      </c>
      <c r="AZ252" s="2" t="s">
        <v>74</v>
      </c>
      <c r="BA252" s="2" t="s">
        <v>74</v>
      </c>
      <c r="BB252" s="2">
        <v>295</v>
      </c>
      <c r="BC252" s="2">
        <v>305</v>
      </c>
      <c r="BD252" s="2" t="s">
        <v>74</v>
      </c>
      <c r="BE252" s="2" t="s">
        <v>7908</v>
      </c>
      <c r="BF252" s="2" t="str">
        <f>HYPERLINK("http://dx.doi.org/10.1676/1559-4491-132.2.295","http://dx.doi.org/10.1676/1559-4491-132.2.295")</f>
        <v>http://dx.doi.org/10.1676/1559-4491-132.2.295</v>
      </c>
      <c r="BG252" s="2" t="s">
        <v>74</v>
      </c>
      <c r="BH252" s="2" t="s">
        <v>74</v>
      </c>
      <c r="BI252" s="2" t="s">
        <v>74</v>
      </c>
      <c r="BJ252" s="2" t="s">
        <v>74</v>
      </c>
      <c r="BK252" s="2" t="s">
        <v>74</v>
      </c>
      <c r="BL252" s="2" t="s">
        <v>74</v>
      </c>
      <c r="BM252" s="2" t="s">
        <v>74</v>
      </c>
      <c r="BN252" s="2" t="s">
        <v>74</v>
      </c>
      <c r="BO252" s="2" t="s">
        <v>74</v>
      </c>
      <c r="BP252" s="2" t="s">
        <v>74</v>
      </c>
      <c r="BQ252" s="2" t="s">
        <v>74</v>
      </c>
      <c r="BR252" s="2" t="s">
        <v>74</v>
      </c>
      <c r="BS252" s="2" t="s">
        <v>7909</v>
      </c>
      <c r="BT252" s="2" t="str">
        <f>HYPERLINK("https%3A%2F%2Fwww.webofscience.com%2Fwos%2Fwoscc%2Ffull-record%2FWOS:000617763600006","View Full Record in Web of Science")</f>
        <v>View Full Record in Web of Science</v>
      </c>
    </row>
    <row r="253" spans="1:72" s="2" customFormat="1" x14ac:dyDescent="0.4">
      <c r="A253" s="2" t="s">
        <v>72</v>
      </c>
      <c r="B253" s="2" t="s">
        <v>5482</v>
      </c>
      <c r="C253" s="2" t="s">
        <v>74</v>
      </c>
      <c r="D253" s="2" t="s">
        <v>74</v>
      </c>
      <c r="E253" s="2" t="s">
        <v>74</v>
      </c>
      <c r="F253" s="2" t="s">
        <v>5483</v>
      </c>
      <c r="G253" s="2" t="s">
        <v>74</v>
      </c>
      <c r="H253" s="2" t="s">
        <v>74</v>
      </c>
      <c r="I253" s="2" t="s">
        <v>5484</v>
      </c>
      <c r="J253" s="2" t="s">
        <v>129</v>
      </c>
      <c r="K253" s="2" t="s">
        <v>74</v>
      </c>
      <c r="L253" s="2" t="s">
        <v>74</v>
      </c>
      <c r="M253" s="2" t="s">
        <v>74</v>
      </c>
      <c r="N253" s="2" t="s">
        <v>74</v>
      </c>
      <c r="O253" s="2" t="s">
        <v>74</v>
      </c>
      <c r="P253" s="2" t="s">
        <v>74</v>
      </c>
      <c r="Q253" s="2" t="s">
        <v>74</v>
      </c>
      <c r="R253" s="2" t="s">
        <v>74</v>
      </c>
      <c r="S253" s="2" t="s">
        <v>74</v>
      </c>
      <c r="T253" s="2" t="s">
        <v>74</v>
      </c>
      <c r="U253" s="2" t="s">
        <v>74</v>
      </c>
      <c r="V253" s="5" t="s">
        <v>5485</v>
      </c>
      <c r="W253" s="2" t="s">
        <v>74</v>
      </c>
      <c r="X253" s="2" t="s">
        <v>74</v>
      </c>
      <c r="Y253" s="2" t="s">
        <v>74</v>
      </c>
      <c r="Z253" s="2" t="s">
        <v>74</v>
      </c>
      <c r="AA253" s="2" t="s">
        <v>5486</v>
      </c>
      <c r="AB253" s="2" t="s">
        <v>5487</v>
      </c>
      <c r="AC253" s="2" t="s">
        <v>74</v>
      </c>
      <c r="AD253" s="2" t="s">
        <v>74</v>
      </c>
      <c r="AE253" s="2" t="s">
        <v>74</v>
      </c>
      <c r="AF253" s="2" t="s">
        <v>74</v>
      </c>
      <c r="AG253" s="2" t="s">
        <v>74</v>
      </c>
      <c r="AH253" s="2" t="s">
        <v>74</v>
      </c>
      <c r="AI253" s="2" t="s">
        <v>74</v>
      </c>
      <c r="AJ253" s="2" t="s">
        <v>74</v>
      </c>
      <c r="AK253" s="2" t="s">
        <v>74</v>
      </c>
      <c r="AL253" s="2" t="s">
        <v>74</v>
      </c>
      <c r="AM253" s="2" t="s">
        <v>74</v>
      </c>
      <c r="AN253" s="2" t="s">
        <v>74</v>
      </c>
      <c r="AO253" s="2" t="s">
        <v>132</v>
      </c>
      <c r="AP253" s="2" t="s">
        <v>133</v>
      </c>
      <c r="AQ253" s="2" t="s">
        <v>74</v>
      </c>
      <c r="AR253" s="2" t="s">
        <v>74</v>
      </c>
      <c r="AS253" s="2" t="s">
        <v>74</v>
      </c>
      <c r="AT253" s="2" t="s">
        <v>102</v>
      </c>
      <c r="AU253" s="2">
        <v>2022</v>
      </c>
      <c r="AV253" s="2">
        <v>76</v>
      </c>
      <c r="AW253" s="2">
        <v>6</v>
      </c>
      <c r="AX253" s="2" t="s">
        <v>74</v>
      </c>
      <c r="AY253" s="2" t="s">
        <v>74</v>
      </c>
      <c r="AZ253" s="2" t="s">
        <v>74</v>
      </c>
      <c r="BA253" s="2" t="s">
        <v>74</v>
      </c>
      <c r="BB253" s="2" t="s">
        <v>74</v>
      </c>
      <c r="BC253" s="2" t="s">
        <v>74</v>
      </c>
      <c r="BD253" s="2">
        <v>77</v>
      </c>
      <c r="BE253" s="2" t="s">
        <v>5488</v>
      </c>
      <c r="BF253" s="2" t="str">
        <f>HYPERLINK("http://dx.doi.org/10.1007/s00265-022-03181-x","http://dx.doi.org/10.1007/s00265-022-03181-x")</f>
        <v>http://dx.doi.org/10.1007/s00265-022-03181-x</v>
      </c>
      <c r="BG253" s="2" t="s">
        <v>74</v>
      </c>
      <c r="BH253" s="2" t="s">
        <v>74</v>
      </c>
      <c r="BI253" s="2" t="s">
        <v>74</v>
      </c>
      <c r="BJ253" s="2" t="s">
        <v>74</v>
      </c>
      <c r="BK253" s="2" t="s">
        <v>74</v>
      </c>
      <c r="BL253" s="2" t="s">
        <v>74</v>
      </c>
      <c r="BM253" s="2" t="s">
        <v>74</v>
      </c>
      <c r="BN253" s="2" t="s">
        <v>74</v>
      </c>
      <c r="BO253" s="2" t="s">
        <v>74</v>
      </c>
      <c r="BP253" s="2" t="s">
        <v>74</v>
      </c>
      <c r="BQ253" s="2" t="s">
        <v>74</v>
      </c>
      <c r="BR253" s="2" t="s">
        <v>74</v>
      </c>
      <c r="BS253" s="2" t="s">
        <v>5489</v>
      </c>
      <c r="BT253" s="2" t="str">
        <f>HYPERLINK("https%3A%2F%2Fwww.webofscience.com%2Fwos%2Fwoscc%2Ffull-record%2FWOS:000804747400001","View Full Record in Web of Science")</f>
        <v>View Full Record in Web of Science</v>
      </c>
    </row>
    <row r="254" spans="1:72" s="2" customFormat="1" x14ac:dyDescent="0.4">
      <c r="A254" s="2" t="s">
        <v>72</v>
      </c>
      <c r="B254" s="2" t="s">
        <v>1892</v>
      </c>
      <c r="C254" s="2" t="s">
        <v>74</v>
      </c>
      <c r="D254" s="2" t="s">
        <v>74</v>
      </c>
      <c r="E254" s="2" t="s">
        <v>74</v>
      </c>
      <c r="F254" s="2" t="s">
        <v>1893</v>
      </c>
      <c r="G254" s="2" t="s">
        <v>74</v>
      </c>
      <c r="H254" s="2" t="s">
        <v>74</v>
      </c>
      <c r="I254" s="2" t="s">
        <v>1894</v>
      </c>
      <c r="J254" s="2" t="s">
        <v>1384</v>
      </c>
      <c r="K254" s="2" t="s">
        <v>74</v>
      </c>
      <c r="L254" s="2" t="s">
        <v>74</v>
      </c>
      <c r="M254" s="2" t="s">
        <v>74</v>
      </c>
      <c r="N254" s="2" t="s">
        <v>74</v>
      </c>
      <c r="O254" s="2" t="s">
        <v>74</v>
      </c>
      <c r="P254" s="2" t="s">
        <v>74</v>
      </c>
      <c r="Q254" s="2" t="s">
        <v>74</v>
      </c>
      <c r="R254" s="2" t="s">
        <v>74</v>
      </c>
      <c r="S254" s="2" t="s">
        <v>74</v>
      </c>
      <c r="T254" s="2" t="s">
        <v>74</v>
      </c>
      <c r="U254" s="2" t="s">
        <v>74</v>
      </c>
      <c r="V254" s="5" t="s">
        <v>1895</v>
      </c>
      <c r="W254" s="2" t="s">
        <v>74</v>
      </c>
      <c r="X254" s="2" t="s">
        <v>74</v>
      </c>
      <c r="Y254" s="2" t="s">
        <v>74</v>
      </c>
      <c r="Z254" s="2" t="s">
        <v>74</v>
      </c>
      <c r="AA254" s="2" t="s">
        <v>1896</v>
      </c>
      <c r="AB254" s="2" t="s">
        <v>1897</v>
      </c>
      <c r="AC254" s="2" t="s">
        <v>74</v>
      </c>
      <c r="AD254" s="2" t="s">
        <v>74</v>
      </c>
      <c r="AE254" s="2" t="s">
        <v>74</v>
      </c>
      <c r="AF254" s="2" t="s">
        <v>74</v>
      </c>
      <c r="AG254" s="2" t="s">
        <v>74</v>
      </c>
      <c r="AH254" s="2" t="s">
        <v>74</v>
      </c>
      <c r="AI254" s="2" t="s">
        <v>74</v>
      </c>
      <c r="AJ254" s="2" t="s">
        <v>74</v>
      </c>
      <c r="AK254" s="2" t="s">
        <v>74</v>
      </c>
      <c r="AL254" s="2" t="s">
        <v>74</v>
      </c>
      <c r="AM254" s="2" t="s">
        <v>74</v>
      </c>
      <c r="AN254" s="2" t="s">
        <v>74</v>
      </c>
      <c r="AO254" s="2" t="s">
        <v>1388</v>
      </c>
      <c r="AP254" s="2" t="s">
        <v>1389</v>
      </c>
      <c r="AQ254" s="2" t="s">
        <v>74</v>
      </c>
      <c r="AR254" s="2" t="s">
        <v>74</v>
      </c>
      <c r="AS254" s="2" t="s">
        <v>74</v>
      </c>
      <c r="AT254" s="2" t="s">
        <v>175</v>
      </c>
      <c r="AU254" s="2">
        <v>2009</v>
      </c>
      <c r="AV254" s="2">
        <v>151</v>
      </c>
      <c r="AW254" s="2">
        <v>4</v>
      </c>
      <c r="AX254" s="2" t="s">
        <v>74</v>
      </c>
      <c r="AY254" s="2" t="s">
        <v>74</v>
      </c>
      <c r="AZ254" s="2" t="s">
        <v>74</v>
      </c>
      <c r="BA254" s="2" t="s">
        <v>74</v>
      </c>
      <c r="BB254" s="2">
        <v>689</v>
      </c>
      <c r="BC254" s="2">
        <v>698</v>
      </c>
      <c r="BD254" s="2" t="s">
        <v>74</v>
      </c>
      <c r="BE254" s="2" t="s">
        <v>1898</v>
      </c>
      <c r="BF254" s="2" t="str">
        <f>HYPERLINK("http://dx.doi.org/10.1111/j.1474-919X.2009.00953.x","http://dx.doi.org/10.1111/j.1474-919X.2009.00953.x")</f>
        <v>http://dx.doi.org/10.1111/j.1474-919X.2009.00953.x</v>
      </c>
      <c r="BG254" s="2" t="s">
        <v>74</v>
      </c>
      <c r="BH254" s="2" t="s">
        <v>74</v>
      </c>
      <c r="BI254" s="2" t="s">
        <v>74</v>
      </c>
      <c r="BJ254" s="2" t="s">
        <v>74</v>
      </c>
      <c r="BK254" s="2" t="s">
        <v>74</v>
      </c>
      <c r="BL254" s="2" t="s">
        <v>74</v>
      </c>
      <c r="BM254" s="2" t="s">
        <v>74</v>
      </c>
      <c r="BN254" s="2" t="s">
        <v>74</v>
      </c>
      <c r="BO254" s="2" t="s">
        <v>74</v>
      </c>
      <c r="BP254" s="2" t="s">
        <v>74</v>
      </c>
      <c r="BQ254" s="2" t="s">
        <v>74</v>
      </c>
      <c r="BR254" s="2" t="s">
        <v>74</v>
      </c>
      <c r="BS254" s="2" t="s">
        <v>1899</v>
      </c>
      <c r="BT254" s="2" t="str">
        <f>HYPERLINK("https%3A%2F%2Fwww.webofscience.com%2Fwos%2Fwoscc%2Ffull-record%2FWOS:000269977000006","View Full Record in Web of Science")</f>
        <v>View Full Record in Web of Science</v>
      </c>
    </row>
    <row r="255" spans="1:72" s="2" customFormat="1" x14ac:dyDescent="0.4">
      <c r="A255" s="2" t="s">
        <v>72</v>
      </c>
      <c r="B255" s="2" t="s">
        <v>1264</v>
      </c>
      <c r="C255" s="2" t="s">
        <v>74</v>
      </c>
      <c r="D255" s="2" t="s">
        <v>74</v>
      </c>
      <c r="E255" s="2" t="s">
        <v>74</v>
      </c>
      <c r="F255" s="2" t="s">
        <v>1265</v>
      </c>
      <c r="G255" s="2" t="s">
        <v>74</v>
      </c>
      <c r="H255" s="2" t="s">
        <v>74</v>
      </c>
      <c r="I255" s="2" t="s">
        <v>1266</v>
      </c>
      <c r="J255" s="2" t="s">
        <v>88</v>
      </c>
      <c r="K255" s="2" t="s">
        <v>74</v>
      </c>
      <c r="L255" s="2" t="s">
        <v>74</v>
      </c>
      <c r="M255" s="2" t="s">
        <v>74</v>
      </c>
      <c r="N255" s="2" t="s">
        <v>74</v>
      </c>
      <c r="O255" s="2" t="s">
        <v>74</v>
      </c>
      <c r="P255" s="2" t="s">
        <v>74</v>
      </c>
      <c r="Q255" s="2" t="s">
        <v>74</v>
      </c>
      <c r="R255" s="2" t="s">
        <v>74</v>
      </c>
      <c r="S255" s="2" t="s">
        <v>74</v>
      </c>
      <c r="T255" s="2" t="s">
        <v>74</v>
      </c>
      <c r="U255" s="2" t="s">
        <v>74</v>
      </c>
      <c r="V255" s="5" t="s">
        <v>1267</v>
      </c>
      <c r="W255" s="2" t="s">
        <v>74</v>
      </c>
      <c r="X255" s="2" t="s">
        <v>74</v>
      </c>
      <c r="Y255" s="2" t="s">
        <v>74</v>
      </c>
      <c r="Z255" s="2" t="s">
        <v>74</v>
      </c>
      <c r="AA255" s="2" t="s">
        <v>1268</v>
      </c>
      <c r="AB255" s="2" t="s">
        <v>1269</v>
      </c>
      <c r="AC255" s="2" t="s">
        <v>74</v>
      </c>
      <c r="AD255" s="2" t="s">
        <v>74</v>
      </c>
      <c r="AE255" s="2" t="s">
        <v>74</v>
      </c>
      <c r="AF255" s="2" t="s">
        <v>74</v>
      </c>
      <c r="AG255" s="2" t="s">
        <v>74</v>
      </c>
      <c r="AH255" s="2" t="s">
        <v>74</v>
      </c>
      <c r="AI255" s="2" t="s">
        <v>74</v>
      </c>
      <c r="AJ255" s="2" t="s">
        <v>74</v>
      </c>
      <c r="AK255" s="2" t="s">
        <v>74</v>
      </c>
      <c r="AL255" s="2" t="s">
        <v>74</v>
      </c>
      <c r="AM255" s="2" t="s">
        <v>74</v>
      </c>
      <c r="AN255" s="2" t="s">
        <v>74</v>
      </c>
      <c r="AO255" s="2" t="s">
        <v>91</v>
      </c>
      <c r="AP255" s="2" t="s">
        <v>74</v>
      </c>
      <c r="AQ255" s="2" t="s">
        <v>74</v>
      </c>
      <c r="AR255" s="2" t="s">
        <v>74</v>
      </c>
      <c r="AS255" s="2" t="s">
        <v>74</v>
      </c>
      <c r="AT255" s="2" t="s">
        <v>895</v>
      </c>
      <c r="AU255" s="2">
        <v>2008</v>
      </c>
      <c r="AV255" s="2">
        <v>4</v>
      </c>
      <c r="AW255" s="2">
        <v>5</v>
      </c>
      <c r="AX255" s="2" t="s">
        <v>74</v>
      </c>
      <c r="AY255" s="2" t="s">
        <v>74</v>
      </c>
      <c r="AZ255" s="2" t="s">
        <v>74</v>
      </c>
      <c r="BA255" s="2" t="s">
        <v>74</v>
      </c>
      <c r="BB255" s="2">
        <v>515</v>
      </c>
      <c r="BC255" s="2">
        <v>517</v>
      </c>
      <c r="BD255" s="2" t="s">
        <v>74</v>
      </c>
      <c r="BE255" s="2" t="s">
        <v>1270</v>
      </c>
      <c r="BF255" s="2" t="str">
        <f>HYPERLINK("http://dx.doi.org/10.1098/rsbl.2008.0279","http://dx.doi.org/10.1098/rsbl.2008.0279")</f>
        <v>http://dx.doi.org/10.1098/rsbl.2008.0279</v>
      </c>
      <c r="BG255" s="2" t="s">
        <v>74</v>
      </c>
      <c r="BH255" s="2" t="s">
        <v>74</v>
      </c>
      <c r="BI255" s="2" t="s">
        <v>74</v>
      </c>
      <c r="BJ255" s="2" t="s">
        <v>74</v>
      </c>
      <c r="BK255" s="2" t="s">
        <v>74</v>
      </c>
      <c r="BL255" s="2" t="s">
        <v>74</v>
      </c>
      <c r="BM255" s="2" t="s">
        <v>74</v>
      </c>
      <c r="BN255" s="2">
        <v>18593669</v>
      </c>
      <c r="BO255" s="2" t="s">
        <v>74</v>
      </c>
      <c r="BP255" s="2" t="s">
        <v>74</v>
      </c>
      <c r="BQ255" s="2" t="s">
        <v>74</v>
      </c>
      <c r="BR255" s="2" t="s">
        <v>74</v>
      </c>
      <c r="BS255" s="2" t="s">
        <v>1271</v>
      </c>
      <c r="BT255" s="2" t="str">
        <f>HYPERLINK("https%3A%2F%2Fwww.webofscience.com%2Fwos%2Fwoscc%2Ffull-record%2FWOS:000259085900022","View Full Record in Web of Science")</f>
        <v>View Full Record in Web of Science</v>
      </c>
    </row>
    <row r="256" spans="1:72" s="2" customFormat="1" x14ac:dyDescent="0.4">
      <c r="A256" s="2" t="s">
        <v>72</v>
      </c>
      <c r="B256" s="2" t="s">
        <v>116</v>
      </c>
      <c r="C256" s="2" t="s">
        <v>74</v>
      </c>
      <c r="D256" s="2" t="s">
        <v>74</v>
      </c>
      <c r="E256" s="2" t="s">
        <v>74</v>
      </c>
      <c r="F256" s="2" t="s">
        <v>117</v>
      </c>
      <c r="G256" s="2" t="s">
        <v>74</v>
      </c>
      <c r="H256" s="2" t="s">
        <v>74</v>
      </c>
      <c r="I256" s="2" t="s">
        <v>118</v>
      </c>
      <c r="J256" s="2" t="s">
        <v>119</v>
      </c>
      <c r="K256" s="2" t="s">
        <v>74</v>
      </c>
      <c r="L256" s="2" t="s">
        <v>74</v>
      </c>
      <c r="M256" s="2" t="s">
        <v>74</v>
      </c>
      <c r="N256" s="2" t="s">
        <v>74</v>
      </c>
      <c r="O256" s="2" t="s">
        <v>74</v>
      </c>
      <c r="P256" s="2" t="s">
        <v>74</v>
      </c>
      <c r="Q256" s="2" t="s">
        <v>74</v>
      </c>
      <c r="R256" s="2" t="s">
        <v>74</v>
      </c>
      <c r="S256" s="2" t="s">
        <v>74</v>
      </c>
      <c r="T256" s="2" t="s">
        <v>74</v>
      </c>
      <c r="U256" s="2" t="s">
        <v>74</v>
      </c>
      <c r="V256" s="5" t="s">
        <v>120</v>
      </c>
      <c r="W256" s="2" t="s">
        <v>74</v>
      </c>
      <c r="X256" s="2" t="s">
        <v>74</v>
      </c>
      <c r="Y256" s="2" t="s">
        <v>74</v>
      </c>
      <c r="Z256" s="2" t="s">
        <v>74</v>
      </c>
      <c r="AA256" s="2" t="s">
        <v>74</v>
      </c>
      <c r="AB256" s="2" t="s">
        <v>74</v>
      </c>
      <c r="AC256" s="2" t="s">
        <v>74</v>
      </c>
      <c r="AD256" s="2" t="s">
        <v>74</v>
      </c>
      <c r="AE256" s="2" t="s">
        <v>74</v>
      </c>
      <c r="AF256" s="2" t="s">
        <v>74</v>
      </c>
      <c r="AG256" s="2" t="s">
        <v>74</v>
      </c>
      <c r="AH256" s="2" t="s">
        <v>74</v>
      </c>
      <c r="AI256" s="2" t="s">
        <v>74</v>
      </c>
      <c r="AJ256" s="2" t="s">
        <v>74</v>
      </c>
      <c r="AK256" s="2" t="s">
        <v>74</v>
      </c>
      <c r="AL256" s="2" t="s">
        <v>74</v>
      </c>
      <c r="AM256" s="2" t="s">
        <v>74</v>
      </c>
      <c r="AN256" s="2" t="s">
        <v>74</v>
      </c>
      <c r="AO256" s="2" t="s">
        <v>121</v>
      </c>
      <c r="AP256" s="2" t="s">
        <v>122</v>
      </c>
      <c r="AQ256" s="2" t="s">
        <v>74</v>
      </c>
      <c r="AR256" s="2" t="s">
        <v>74</v>
      </c>
      <c r="AS256" s="2" t="s">
        <v>74</v>
      </c>
      <c r="AT256" s="2" t="s">
        <v>123</v>
      </c>
      <c r="AU256" s="2">
        <v>2017</v>
      </c>
      <c r="AV256" s="2">
        <v>136</v>
      </c>
      <c r="AW256" s="2" t="s">
        <v>74</v>
      </c>
      <c r="AX256" s="2" t="s">
        <v>74</v>
      </c>
      <c r="AY256" s="2" t="s">
        <v>74</v>
      </c>
      <c r="AZ256" s="2" t="s">
        <v>74</v>
      </c>
      <c r="BA256" s="2" t="s">
        <v>74</v>
      </c>
      <c r="BB256" s="2">
        <v>64</v>
      </c>
      <c r="BC256" s="2">
        <v>72</v>
      </c>
      <c r="BD256" s="2" t="s">
        <v>74</v>
      </c>
      <c r="BE256" s="2" t="s">
        <v>124</v>
      </c>
      <c r="BF256" s="2" t="str">
        <f>HYPERLINK("http://dx.doi.org/10.1016/j.beproc.2017.01.011","http://dx.doi.org/10.1016/j.beproc.2017.01.011")</f>
        <v>http://dx.doi.org/10.1016/j.beproc.2017.01.011</v>
      </c>
      <c r="BG256" s="2" t="s">
        <v>74</v>
      </c>
      <c r="BH256" s="2" t="s">
        <v>74</v>
      </c>
      <c r="BI256" s="2" t="s">
        <v>74</v>
      </c>
      <c r="BJ256" s="2" t="s">
        <v>74</v>
      </c>
      <c r="BK256" s="2" t="s">
        <v>74</v>
      </c>
      <c r="BL256" s="2" t="s">
        <v>74</v>
      </c>
      <c r="BM256" s="2" t="s">
        <v>74</v>
      </c>
      <c r="BN256" s="2">
        <v>28143722</v>
      </c>
      <c r="BO256" s="2" t="s">
        <v>74</v>
      </c>
      <c r="BP256" s="2" t="s">
        <v>74</v>
      </c>
      <c r="BQ256" s="2" t="s">
        <v>74</v>
      </c>
      <c r="BR256" s="2" t="s">
        <v>74</v>
      </c>
      <c r="BS256" s="2" t="s">
        <v>125</v>
      </c>
      <c r="BT256" s="2" t="str">
        <f>HYPERLINK("https%3A%2F%2Fwww.webofscience.com%2Fwos%2Fwoscc%2Ffull-record%2FWOS:000395844600010","View Full Record in Web of Science")</f>
        <v>View Full Record in Web of Science</v>
      </c>
    </row>
    <row r="257" spans="1:72" s="2" customFormat="1" x14ac:dyDescent="0.4">
      <c r="A257" s="2" t="s">
        <v>72</v>
      </c>
      <c r="B257" s="2" t="s">
        <v>619</v>
      </c>
      <c r="C257" s="2" t="s">
        <v>74</v>
      </c>
      <c r="D257" s="2" t="s">
        <v>74</v>
      </c>
      <c r="E257" s="2" t="s">
        <v>74</v>
      </c>
      <c r="F257" s="2" t="s">
        <v>620</v>
      </c>
      <c r="G257" s="2" t="s">
        <v>74</v>
      </c>
      <c r="H257" s="2" t="s">
        <v>74</v>
      </c>
      <c r="I257" s="2" t="s">
        <v>621</v>
      </c>
      <c r="J257" s="2" t="s">
        <v>610</v>
      </c>
      <c r="K257" s="2" t="s">
        <v>74</v>
      </c>
      <c r="L257" s="2" t="s">
        <v>74</v>
      </c>
      <c r="M257" s="2" t="s">
        <v>74</v>
      </c>
      <c r="N257" s="2" t="s">
        <v>74</v>
      </c>
      <c r="O257" s="2" t="s">
        <v>74</v>
      </c>
      <c r="P257" s="2" t="s">
        <v>74</v>
      </c>
      <c r="Q257" s="2" t="s">
        <v>74</v>
      </c>
      <c r="R257" s="2" t="s">
        <v>74</v>
      </c>
      <c r="S257" s="2" t="s">
        <v>74</v>
      </c>
      <c r="T257" s="2" t="s">
        <v>74</v>
      </c>
      <c r="U257" s="2" t="s">
        <v>74</v>
      </c>
      <c r="V257" s="5" t="s">
        <v>622</v>
      </c>
      <c r="W257" s="2" t="s">
        <v>74</v>
      </c>
      <c r="X257" s="2" t="s">
        <v>74</v>
      </c>
      <c r="Y257" s="2" t="s">
        <v>74</v>
      </c>
      <c r="Z257" s="2" t="s">
        <v>74</v>
      </c>
      <c r="AA257" s="2" t="s">
        <v>623</v>
      </c>
      <c r="AB257" s="2" t="s">
        <v>624</v>
      </c>
      <c r="AC257" s="2" t="s">
        <v>74</v>
      </c>
      <c r="AD257" s="2" t="s">
        <v>74</v>
      </c>
      <c r="AE257" s="2" t="s">
        <v>74</v>
      </c>
      <c r="AF257" s="2" t="s">
        <v>74</v>
      </c>
      <c r="AG257" s="2" t="s">
        <v>74</v>
      </c>
      <c r="AH257" s="2" t="s">
        <v>74</v>
      </c>
      <c r="AI257" s="2" t="s">
        <v>74</v>
      </c>
      <c r="AJ257" s="2" t="s">
        <v>74</v>
      </c>
      <c r="AK257" s="2" t="s">
        <v>74</v>
      </c>
      <c r="AL257" s="2" t="s">
        <v>74</v>
      </c>
      <c r="AM257" s="2" t="s">
        <v>74</v>
      </c>
      <c r="AN257" s="2" t="s">
        <v>74</v>
      </c>
      <c r="AO257" s="2" t="s">
        <v>614</v>
      </c>
      <c r="AP257" s="2" t="s">
        <v>615</v>
      </c>
      <c r="AQ257" s="2" t="s">
        <v>74</v>
      </c>
      <c r="AR257" s="2" t="s">
        <v>74</v>
      </c>
      <c r="AS257" s="2" t="s">
        <v>74</v>
      </c>
      <c r="AT257" s="2" t="s">
        <v>352</v>
      </c>
      <c r="AU257" s="2">
        <v>2018</v>
      </c>
      <c r="AV257" s="2">
        <v>124</v>
      </c>
      <c r="AW257" s="2">
        <v>9</v>
      </c>
      <c r="AX257" s="2" t="s">
        <v>74</v>
      </c>
      <c r="AY257" s="2" t="s">
        <v>74</v>
      </c>
      <c r="AZ257" s="2" t="s">
        <v>74</v>
      </c>
      <c r="BA257" s="2" t="s">
        <v>74</v>
      </c>
      <c r="BB257" s="2">
        <v>667</v>
      </c>
      <c r="BC257" s="2">
        <v>673</v>
      </c>
      <c r="BD257" s="2" t="s">
        <v>74</v>
      </c>
      <c r="BE257" s="2" t="s">
        <v>625</v>
      </c>
      <c r="BF257" s="2" t="str">
        <f>HYPERLINK("http://dx.doi.org/10.1111/eth.12771","http://dx.doi.org/10.1111/eth.12771")</f>
        <v>http://dx.doi.org/10.1111/eth.12771</v>
      </c>
      <c r="BG257" s="2" t="s">
        <v>74</v>
      </c>
      <c r="BH257" s="2" t="s">
        <v>74</v>
      </c>
      <c r="BI257" s="2" t="s">
        <v>74</v>
      </c>
      <c r="BJ257" s="2" t="s">
        <v>74</v>
      </c>
      <c r="BK257" s="2" t="s">
        <v>74</v>
      </c>
      <c r="BL257" s="2" t="s">
        <v>74</v>
      </c>
      <c r="BM257" s="2" t="s">
        <v>74</v>
      </c>
      <c r="BN257" s="2" t="s">
        <v>74</v>
      </c>
      <c r="BO257" s="2" t="s">
        <v>74</v>
      </c>
      <c r="BP257" s="2" t="s">
        <v>74</v>
      </c>
      <c r="BQ257" s="2" t="s">
        <v>74</v>
      </c>
      <c r="BR257" s="2" t="s">
        <v>74</v>
      </c>
      <c r="BS257" s="2" t="s">
        <v>626</v>
      </c>
      <c r="BT257" s="2" t="str">
        <f>HYPERLINK("https%3A%2F%2Fwww.webofscience.com%2Fwos%2Fwoscc%2Ffull-record%2FWOS:000440649700006","View Full Record in Web of Science")</f>
        <v>View Full Record in Web of Science</v>
      </c>
    </row>
    <row r="258" spans="1:72" s="2" customFormat="1" x14ac:dyDescent="0.4">
      <c r="A258" s="2" t="s">
        <v>72</v>
      </c>
      <c r="B258" s="2" t="s">
        <v>7993</v>
      </c>
      <c r="C258" s="2" t="s">
        <v>74</v>
      </c>
      <c r="D258" s="2" t="s">
        <v>74</v>
      </c>
      <c r="E258" s="2" t="s">
        <v>74</v>
      </c>
      <c r="F258" s="2" t="s">
        <v>7994</v>
      </c>
      <c r="G258" s="2" t="s">
        <v>74</v>
      </c>
      <c r="H258" s="2" t="s">
        <v>74</v>
      </c>
      <c r="I258" s="2" t="s">
        <v>7995</v>
      </c>
      <c r="J258" s="2" t="s">
        <v>408</v>
      </c>
      <c r="K258" s="2" t="s">
        <v>74</v>
      </c>
      <c r="L258" s="2" t="s">
        <v>74</v>
      </c>
      <c r="M258" s="2" t="s">
        <v>74</v>
      </c>
      <c r="N258" s="2" t="s">
        <v>74</v>
      </c>
      <c r="O258" s="2" t="s">
        <v>74</v>
      </c>
      <c r="P258" s="2" t="s">
        <v>74</v>
      </c>
      <c r="Q258" s="2" t="s">
        <v>74</v>
      </c>
      <c r="R258" s="2" t="s">
        <v>74</v>
      </c>
      <c r="S258" s="2" t="s">
        <v>74</v>
      </c>
      <c r="T258" s="2" t="s">
        <v>74</v>
      </c>
      <c r="U258" s="2" t="s">
        <v>74</v>
      </c>
      <c r="V258" s="5" t="s">
        <v>7996</v>
      </c>
      <c r="W258" s="2" t="s">
        <v>74</v>
      </c>
      <c r="X258" s="2" t="s">
        <v>74</v>
      </c>
      <c r="Y258" s="2" t="s">
        <v>74</v>
      </c>
      <c r="Z258" s="2" t="s">
        <v>74</v>
      </c>
      <c r="AA258" s="2" t="s">
        <v>74</v>
      </c>
      <c r="AB258" s="2" t="s">
        <v>74</v>
      </c>
      <c r="AC258" s="2" t="s">
        <v>74</v>
      </c>
      <c r="AD258" s="2" t="s">
        <v>74</v>
      </c>
      <c r="AE258" s="2" t="s">
        <v>74</v>
      </c>
      <c r="AF258" s="2" t="s">
        <v>74</v>
      </c>
      <c r="AG258" s="2" t="s">
        <v>74</v>
      </c>
      <c r="AH258" s="2" t="s">
        <v>74</v>
      </c>
      <c r="AI258" s="2" t="s">
        <v>74</v>
      </c>
      <c r="AJ258" s="2" t="s">
        <v>74</v>
      </c>
      <c r="AK258" s="2" t="s">
        <v>74</v>
      </c>
      <c r="AL258" s="2" t="s">
        <v>74</v>
      </c>
      <c r="AM258" s="2" t="s">
        <v>74</v>
      </c>
      <c r="AN258" s="2" t="s">
        <v>74</v>
      </c>
      <c r="AO258" s="2" t="s">
        <v>412</v>
      </c>
      <c r="AP258" s="2" t="s">
        <v>413</v>
      </c>
      <c r="AQ258" s="2" t="s">
        <v>74</v>
      </c>
      <c r="AR258" s="2" t="s">
        <v>74</v>
      </c>
      <c r="AS258" s="2" t="s">
        <v>74</v>
      </c>
      <c r="AT258" s="2" t="s">
        <v>5887</v>
      </c>
      <c r="AU258" s="2">
        <v>2023</v>
      </c>
      <c r="AV258" s="2">
        <v>139</v>
      </c>
      <c r="AW258" s="2">
        <v>3</v>
      </c>
      <c r="AX258" s="2" t="s">
        <v>74</v>
      </c>
      <c r="AY258" s="2" t="s">
        <v>74</v>
      </c>
      <c r="AZ258" s="2" t="s">
        <v>74</v>
      </c>
      <c r="BA258" s="2" t="s">
        <v>74</v>
      </c>
      <c r="BB258" s="2">
        <v>214</v>
      </c>
      <c r="BC258" s="2">
        <v>230</v>
      </c>
      <c r="BD258" s="2" t="s">
        <v>74</v>
      </c>
      <c r="BE258" s="2" t="s">
        <v>7997</v>
      </c>
      <c r="BF258" s="2" t="str">
        <f>HYPERLINK("http://dx.doi.org/10.1093/biolinnean/blad051","http://dx.doi.org/10.1093/biolinnean/blad051")</f>
        <v>http://dx.doi.org/10.1093/biolinnean/blad051</v>
      </c>
      <c r="BG258" s="2" t="s">
        <v>74</v>
      </c>
      <c r="BH258" s="2" t="s">
        <v>5120</v>
      </c>
      <c r="BI258" s="2" t="s">
        <v>74</v>
      </c>
      <c r="BJ258" s="2" t="s">
        <v>74</v>
      </c>
      <c r="BK258" s="2" t="s">
        <v>74</v>
      </c>
      <c r="BL258" s="2" t="s">
        <v>74</v>
      </c>
      <c r="BM258" s="2" t="s">
        <v>74</v>
      </c>
      <c r="BN258" s="2" t="s">
        <v>74</v>
      </c>
      <c r="BO258" s="2" t="s">
        <v>74</v>
      </c>
      <c r="BP258" s="2" t="s">
        <v>74</v>
      </c>
      <c r="BQ258" s="2" t="s">
        <v>74</v>
      </c>
      <c r="BR258" s="2" t="s">
        <v>74</v>
      </c>
      <c r="BS258" s="2" t="s">
        <v>7998</v>
      </c>
      <c r="BT258" s="2" t="str">
        <f>HYPERLINK("https%3A%2F%2Fwww.webofscience.com%2Fwos%2Fwoscc%2Ffull-record%2FWOS:001004104800001","View Full Record in Web of Science")</f>
        <v>View Full Record in Web of Science</v>
      </c>
    </row>
    <row r="259" spans="1:72" s="2" customFormat="1" x14ac:dyDescent="0.4">
      <c r="A259" s="2" t="s">
        <v>72</v>
      </c>
      <c r="B259" s="2" t="s">
        <v>1843</v>
      </c>
      <c r="C259" s="2" t="s">
        <v>74</v>
      </c>
      <c r="D259" s="2" t="s">
        <v>74</v>
      </c>
      <c r="E259" s="2" t="s">
        <v>74</v>
      </c>
      <c r="F259" s="2" t="s">
        <v>1844</v>
      </c>
      <c r="G259" s="2" t="s">
        <v>74</v>
      </c>
      <c r="H259" s="2" t="s">
        <v>74</v>
      </c>
      <c r="I259" s="2" t="s">
        <v>1845</v>
      </c>
      <c r="J259" s="2" t="s">
        <v>241</v>
      </c>
      <c r="K259" s="2" t="s">
        <v>74</v>
      </c>
      <c r="L259" s="2" t="s">
        <v>74</v>
      </c>
      <c r="M259" s="2" t="s">
        <v>74</v>
      </c>
      <c r="N259" s="2" t="s">
        <v>74</v>
      </c>
      <c r="O259" s="2" t="s">
        <v>74</v>
      </c>
      <c r="P259" s="2" t="s">
        <v>74</v>
      </c>
      <c r="Q259" s="2" t="s">
        <v>74</v>
      </c>
      <c r="R259" s="2" t="s">
        <v>74</v>
      </c>
      <c r="S259" s="2" t="s">
        <v>74</v>
      </c>
      <c r="T259" s="2" t="s">
        <v>74</v>
      </c>
      <c r="U259" s="2" t="s">
        <v>74</v>
      </c>
      <c r="V259" s="5" t="s">
        <v>1846</v>
      </c>
      <c r="W259" s="2" t="s">
        <v>74</v>
      </c>
      <c r="X259" s="2" t="s">
        <v>74</v>
      </c>
      <c r="Y259" s="2" t="s">
        <v>74</v>
      </c>
      <c r="Z259" s="2" t="s">
        <v>74</v>
      </c>
      <c r="AA259" s="2" t="s">
        <v>1847</v>
      </c>
      <c r="AB259" s="2" t="s">
        <v>1848</v>
      </c>
      <c r="AC259" s="2" t="s">
        <v>74</v>
      </c>
      <c r="AD259" s="2" t="s">
        <v>74</v>
      </c>
      <c r="AE259" s="2" t="s">
        <v>74</v>
      </c>
      <c r="AF259" s="2" t="s">
        <v>74</v>
      </c>
      <c r="AG259" s="2" t="s">
        <v>74</v>
      </c>
      <c r="AH259" s="2" t="s">
        <v>74</v>
      </c>
      <c r="AI259" s="2" t="s">
        <v>74</v>
      </c>
      <c r="AJ259" s="2" t="s">
        <v>74</v>
      </c>
      <c r="AK259" s="2" t="s">
        <v>74</v>
      </c>
      <c r="AL259" s="2" t="s">
        <v>74</v>
      </c>
      <c r="AM259" s="2" t="s">
        <v>74</v>
      </c>
      <c r="AN259" s="2" t="s">
        <v>74</v>
      </c>
      <c r="AO259" s="2" t="s">
        <v>245</v>
      </c>
      <c r="AP259" s="2" t="s">
        <v>246</v>
      </c>
      <c r="AQ259" s="2" t="s">
        <v>74</v>
      </c>
      <c r="AR259" s="2" t="s">
        <v>74</v>
      </c>
      <c r="AS259" s="2" t="s">
        <v>74</v>
      </c>
      <c r="AT259" s="2" t="s">
        <v>175</v>
      </c>
      <c r="AU259" s="2">
        <v>2018</v>
      </c>
      <c r="AV259" s="2">
        <v>188</v>
      </c>
      <c r="AW259" s="2">
        <v>2</v>
      </c>
      <c r="AX259" s="2" t="s">
        <v>74</v>
      </c>
      <c r="AY259" s="2" t="s">
        <v>74</v>
      </c>
      <c r="AZ259" s="2" t="s">
        <v>74</v>
      </c>
      <c r="BA259" s="2" t="s">
        <v>74</v>
      </c>
      <c r="BB259" s="2">
        <v>501</v>
      </c>
      <c r="BC259" s="2">
        <v>513</v>
      </c>
      <c r="BD259" s="2" t="s">
        <v>74</v>
      </c>
      <c r="BE259" s="2" t="s">
        <v>1849</v>
      </c>
      <c r="BF259" s="2" t="str">
        <f>HYPERLINK("http://dx.doi.org/10.1007/s00442-018-4239-7","http://dx.doi.org/10.1007/s00442-018-4239-7")</f>
        <v>http://dx.doi.org/10.1007/s00442-018-4239-7</v>
      </c>
      <c r="BG259" s="2" t="s">
        <v>74</v>
      </c>
      <c r="BH259" s="2" t="s">
        <v>74</v>
      </c>
      <c r="BI259" s="2" t="s">
        <v>74</v>
      </c>
      <c r="BJ259" s="2" t="s">
        <v>74</v>
      </c>
      <c r="BK259" s="2" t="s">
        <v>74</v>
      </c>
      <c r="BL259" s="2" t="s">
        <v>74</v>
      </c>
      <c r="BM259" s="2" t="s">
        <v>74</v>
      </c>
      <c r="BN259" s="2">
        <v>30099605</v>
      </c>
      <c r="BO259" s="2" t="s">
        <v>74</v>
      </c>
      <c r="BP259" s="2" t="s">
        <v>74</v>
      </c>
      <c r="BQ259" s="2" t="s">
        <v>74</v>
      </c>
      <c r="BR259" s="2" t="s">
        <v>74</v>
      </c>
      <c r="BS259" s="2" t="s">
        <v>1850</v>
      </c>
      <c r="BT259" s="2" t="str">
        <f>HYPERLINK("https%3A%2F%2Fwww.webofscience.com%2Fwos%2Fwoscc%2Ffull-record%2FWOS:000445426400015","View Full Record in Web of Science")</f>
        <v>View Full Record in Web of Science</v>
      </c>
    </row>
    <row r="260" spans="1:72" s="2" customFormat="1" x14ac:dyDescent="0.4">
      <c r="A260" s="2" t="s">
        <v>72</v>
      </c>
      <c r="B260" s="2" t="s">
        <v>760</v>
      </c>
      <c r="C260" s="2" t="s">
        <v>74</v>
      </c>
      <c r="D260" s="2" t="s">
        <v>74</v>
      </c>
      <c r="E260" s="2" t="s">
        <v>74</v>
      </c>
      <c r="F260" s="2" t="s">
        <v>761</v>
      </c>
      <c r="G260" s="2" t="s">
        <v>74</v>
      </c>
      <c r="H260" s="2" t="s">
        <v>74</v>
      </c>
      <c r="I260" s="2" t="s">
        <v>762</v>
      </c>
      <c r="J260" s="2" t="s">
        <v>763</v>
      </c>
      <c r="K260" s="2" t="s">
        <v>74</v>
      </c>
      <c r="L260" s="2" t="s">
        <v>74</v>
      </c>
      <c r="M260" s="2" t="s">
        <v>74</v>
      </c>
      <c r="N260" s="2" t="s">
        <v>74</v>
      </c>
      <c r="O260" s="2" t="s">
        <v>74</v>
      </c>
      <c r="P260" s="2" t="s">
        <v>74</v>
      </c>
      <c r="Q260" s="2" t="s">
        <v>74</v>
      </c>
      <c r="R260" s="2" t="s">
        <v>74</v>
      </c>
      <c r="S260" s="2" t="s">
        <v>74</v>
      </c>
      <c r="T260" s="2" t="s">
        <v>74</v>
      </c>
      <c r="U260" s="2" t="s">
        <v>74</v>
      </c>
      <c r="V260" s="5" t="s">
        <v>764</v>
      </c>
      <c r="W260" s="2" t="s">
        <v>74</v>
      </c>
      <c r="X260" s="2" t="s">
        <v>74</v>
      </c>
      <c r="Y260" s="2" t="s">
        <v>74</v>
      </c>
      <c r="Z260" s="2" t="s">
        <v>74</v>
      </c>
      <c r="AA260" s="2" t="s">
        <v>765</v>
      </c>
      <c r="AB260" s="2" t="s">
        <v>766</v>
      </c>
      <c r="AC260" s="2" t="s">
        <v>74</v>
      </c>
      <c r="AD260" s="2" t="s">
        <v>74</v>
      </c>
      <c r="AE260" s="2" t="s">
        <v>74</v>
      </c>
      <c r="AF260" s="2" t="s">
        <v>74</v>
      </c>
      <c r="AG260" s="2" t="s">
        <v>74</v>
      </c>
      <c r="AH260" s="2" t="s">
        <v>74</v>
      </c>
      <c r="AI260" s="2" t="s">
        <v>74</v>
      </c>
      <c r="AJ260" s="2" t="s">
        <v>74</v>
      </c>
      <c r="AK260" s="2" t="s">
        <v>74</v>
      </c>
      <c r="AL260" s="2" t="s">
        <v>74</v>
      </c>
      <c r="AM260" s="2" t="s">
        <v>74</v>
      </c>
      <c r="AN260" s="2" t="s">
        <v>74</v>
      </c>
      <c r="AO260" s="2" t="s">
        <v>767</v>
      </c>
      <c r="AP260" s="2" t="s">
        <v>768</v>
      </c>
      <c r="AQ260" s="2" t="s">
        <v>74</v>
      </c>
      <c r="AR260" s="2" t="s">
        <v>74</v>
      </c>
      <c r="AS260" s="2" t="s">
        <v>74</v>
      </c>
      <c r="AT260" s="2" t="s">
        <v>769</v>
      </c>
      <c r="AU260" s="2">
        <v>2016</v>
      </c>
      <c r="AV260" s="2">
        <v>219</v>
      </c>
      <c r="AW260" s="2">
        <v>4</v>
      </c>
      <c r="AX260" s="2" t="s">
        <v>74</v>
      </c>
      <c r="AY260" s="2" t="s">
        <v>74</v>
      </c>
      <c r="AZ260" s="2" t="s">
        <v>74</v>
      </c>
      <c r="BA260" s="2" t="s">
        <v>74</v>
      </c>
      <c r="BB260" s="2">
        <v>597</v>
      </c>
      <c r="BC260" s="2">
        <v>608</v>
      </c>
      <c r="BD260" s="2" t="s">
        <v>74</v>
      </c>
      <c r="BE260" s="2" t="s">
        <v>770</v>
      </c>
      <c r="BF260" s="2" t="str">
        <f>HYPERLINK("http://dx.doi.org/10.1242/jeb.122275","http://dx.doi.org/10.1242/jeb.122275")</f>
        <v>http://dx.doi.org/10.1242/jeb.122275</v>
      </c>
      <c r="BG260" s="2" t="s">
        <v>74</v>
      </c>
      <c r="BH260" s="2" t="s">
        <v>74</v>
      </c>
      <c r="BI260" s="2" t="s">
        <v>74</v>
      </c>
      <c r="BJ260" s="2" t="s">
        <v>74</v>
      </c>
      <c r="BK260" s="2" t="s">
        <v>74</v>
      </c>
      <c r="BL260" s="2" t="s">
        <v>74</v>
      </c>
      <c r="BM260" s="2" t="s">
        <v>74</v>
      </c>
      <c r="BN260" s="2">
        <v>26747903</v>
      </c>
      <c r="BO260" s="2" t="s">
        <v>74</v>
      </c>
      <c r="BP260" s="2" t="s">
        <v>74</v>
      </c>
      <c r="BQ260" s="2" t="s">
        <v>74</v>
      </c>
      <c r="BR260" s="2" t="s">
        <v>74</v>
      </c>
      <c r="BS260" s="2" t="s">
        <v>771</v>
      </c>
      <c r="BT260" s="2" t="str">
        <f>HYPERLINK("https%3A%2F%2Fwww.webofscience.com%2Fwos%2Fwoscc%2Ffull-record%2FWOS:000370238000021","View Full Record in Web of Science")</f>
        <v>View Full Record in Web of Science</v>
      </c>
    </row>
    <row r="261" spans="1:72" s="2" customFormat="1" x14ac:dyDescent="0.4">
      <c r="A261" s="2" t="s">
        <v>72</v>
      </c>
      <c r="B261" s="2" t="s">
        <v>5038</v>
      </c>
      <c r="C261" s="2" t="s">
        <v>74</v>
      </c>
      <c r="D261" s="2" t="s">
        <v>74</v>
      </c>
      <c r="E261" s="2" t="s">
        <v>74</v>
      </c>
      <c r="F261" s="2" t="s">
        <v>5039</v>
      </c>
      <c r="G261" s="2" t="s">
        <v>74</v>
      </c>
      <c r="H261" s="2" t="s">
        <v>74</v>
      </c>
      <c r="I261" s="2" t="s">
        <v>5040</v>
      </c>
      <c r="J261" s="2" t="s">
        <v>108</v>
      </c>
      <c r="K261" s="2" t="s">
        <v>74</v>
      </c>
      <c r="L261" s="2" t="s">
        <v>74</v>
      </c>
      <c r="M261" s="2" t="s">
        <v>74</v>
      </c>
      <c r="N261" s="2" t="s">
        <v>74</v>
      </c>
      <c r="O261" s="2" t="s">
        <v>74</v>
      </c>
      <c r="P261" s="2" t="s">
        <v>74</v>
      </c>
      <c r="Q261" s="2" t="s">
        <v>74</v>
      </c>
      <c r="R261" s="2" t="s">
        <v>74</v>
      </c>
      <c r="S261" s="2" t="s">
        <v>74</v>
      </c>
      <c r="T261" s="2" t="s">
        <v>74</v>
      </c>
      <c r="U261" s="2" t="s">
        <v>74</v>
      </c>
      <c r="V261" s="5" t="s">
        <v>5041</v>
      </c>
      <c r="W261" s="2" t="s">
        <v>74</v>
      </c>
      <c r="X261" s="2" t="s">
        <v>74</v>
      </c>
      <c r="Y261" s="2" t="s">
        <v>74</v>
      </c>
      <c r="Z261" s="2" t="s">
        <v>74</v>
      </c>
      <c r="AA261" s="2" t="s">
        <v>5042</v>
      </c>
      <c r="AB261" s="2" t="s">
        <v>5043</v>
      </c>
      <c r="AC261" s="2" t="s">
        <v>74</v>
      </c>
      <c r="AD261" s="2" t="s">
        <v>74</v>
      </c>
      <c r="AE261" s="2" t="s">
        <v>74</v>
      </c>
      <c r="AF261" s="2" t="s">
        <v>74</v>
      </c>
      <c r="AG261" s="2" t="s">
        <v>74</v>
      </c>
      <c r="AH261" s="2" t="s">
        <v>74</v>
      </c>
      <c r="AI261" s="2" t="s">
        <v>74</v>
      </c>
      <c r="AJ261" s="2" t="s">
        <v>74</v>
      </c>
      <c r="AK261" s="2" t="s">
        <v>74</v>
      </c>
      <c r="AL261" s="2" t="s">
        <v>74</v>
      </c>
      <c r="AM261" s="2" t="s">
        <v>74</v>
      </c>
      <c r="AN261" s="2" t="s">
        <v>74</v>
      </c>
      <c r="AO261" s="2" t="s">
        <v>111</v>
      </c>
      <c r="AP261" s="2" t="s">
        <v>112</v>
      </c>
      <c r="AQ261" s="2" t="s">
        <v>74</v>
      </c>
      <c r="AR261" s="2" t="s">
        <v>74</v>
      </c>
      <c r="AS261" s="2" t="s">
        <v>74</v>
      </c>
      <c r="AT261" s="2" t="s">
        <v>5044</v>
      </c>
      <c r="AU261" s="2">
        <v>2017</v>
      </c>
      <c r="AV261" s="2">
        <v>284</v>
      </c>
      <c r="AW261" s="2">
        <v>1854</v>
      </c>
      <c r="AX261" s="2" t="s">
        <v>74</v>
      </c>
      <c r="AY261" s="2" t="s">
        <v>74</v>
      </c>
      <c r="AZ261" s="2" t="s">
        <v>74</v>
      </c>
      <c r="BA261" s="2" t="s">
        <v>74</v>
      </c>
      <c r="BB261" s="2" t="s">
        <v>74</v>
      </c>
      <c r="BC261" s="2" t="s">
        <v>74</v>
      </c>
      <c r="BD261" s="2">
        <v>20170272</v>
      </c>
      <c r="BE261" s="2" t="s">
        <v>5045</v>
      </c>
      <c r="BF261" s="2" t="str">
        <f>HYPERLINK("http://dx.doi.org/10.1098/rspb.2017.0272","http://dx.doi.org/10.1098/rspb.2017.0272")</f>
        <v>http://dx.doi.org/10.1098/rspb.2017.0272</v>
      </c>
      <c r="BG261" s="2" t="s">
        <v>74</v>
      </c>
      <c r="BH261" s="2" t="s">
        <v>74</v>
      </c>
      <c r="BI261" s="2" t="s">
        <v>74</v>
      </c>
      <c r="BJ261" s="2" t="s">
        <v>74</v>
      </c>
      <c r="BK261" s="2" t="s">
        <v>74</v>
      </c>
      <c r="BL261" s="2" t="s">
        <v>74</v>
      </c>
      <c r="BM261" s="2" t="s">
        <v>74</v>
      </c>
      <c r="BN261" s="2">
        <v>28515202</v>
      </c>
      <c r="BO261" s="2" t="s">
        <v>74</v>
      </c>
      <c r="BP261" s="2" t="s">
        <v>74</v>
      </c>
      <c r="BQ261" s="2" t="s">
        <v>74</v>
      </c>
      <c r="BR261" s="2" t="s">
        <v>74</v>
      </c>
      <c r="BS261" s="2" t="s">
        <v>5046</v>
      </c>
      <c r="BT261" s="2" t="str">
        <f>HYPERLINK("https%3A%2F%2Fwww.webofscience.com%2Fwos%2Fwoscc%2Ffull-record%2FWOS:000404425100019","View Full Record in Web of Science")</f>
        <v>View Full Record in Web of Science</v>
      </c>
    </row>
    <row r="262" spans="1:72" s="2" customFormat="1" x14ac:dyDescent="0.4">
      <c r="A262" s="2" t="s">
        <v>72</v>
      </c>
      <c r="B262" s="2" t="s">
        <v>7143</v>
      </c>
      <c r="C262" s="2" t="s">
        <v>74</v>
      </c>
      <c r="D262" s="2" t="s">
        <v>74</v>
      </c>
      <c r="E262" s="2" t="s">
        <v>74</v>
      </c>
      <c r="F262" s="2" t="s">
        <v>7144</v>
      </c>
      <c r="G262" s="2" t="s">
        <v>74</v>
      </c>
      <c r="H262" s="2" t="s">
        <v>74</v>
      </c>
      <c r="I262" s="2" t="s">
        <v>7145</v>
      </c>
      <c r="J262" s="2" t="s">
        <v>7146</v>
      </c>
      <c r="K262" s="2" t="s">
        <v>74</v>
      </c>
      <c r="L262" s="2" t="s">
        <v>74</v>
      </c>
      <c r="M262" s="2" t="s">
        <v>74</v>
      </c>
      <c r="N262" s="2" t="s">
        <v>74</v>
      </c>
      <c r="O262" s="2" t="s">
        <v>74</v>
      </c>
      <c r="P262" s="2" t="s">
        <v>74</v>
      </c>
      <c r="Q262" s="2" t="s">
        <v>74</v>
      </c>
      <c r="R262" s="2" t="s">
        <v>74</v>
      </c>
      <c r="S262" s="2" t="s">
        <v>74</v>
      </c>
      <c r="T262" s="2" t="s">
        <v>74</v>
      </c>
      <c r="U262" s="2" t="s">
        <v>74</v>
      </c>
      <c r="V262" s="5" t="s">
        <v>7147</v>
      </c>
      <c r="W262" s="2" t="s">
        <v>74</v>
      </c>
      <c r="X262" s="2" t="s">
        <v>74</v>
      </c>
      <c r="Y262" s="2" t="s">
        <v>74</v>
      </c>
      <c r="Z262" s="2" t="s">
        <v>74</v>
      </c>
      <c r="AA262" s="2" t="s">
        <v>7148</v>
      </c>
      <c r="AB262" s="2" t="s">
        <v>7149</v>
      </c>
      <c r="AC262" s="2" t="s">
        <v>74</v>
      </c>
      <c r="AD262" s="2" t="s">
        <v>74</v>
      </c>
      <c r="AE262" s="2" t="s">
        <v>74</v>
      </c>
      <c r="AF262" s="2" t="s">
        <v>74</v>
      </c>
      <c r="AG262" s="2" t="s">
        <v>74</v>
      </c>
      <c r="AH262" s="2" t="s">
        <v>74</v>
      </c>
      <c r="AI262" s="2" t="s">
        <v>74</v>
      </c>
      <c r="AJ262" s="2" t="s">
        <v>74</v>
      </c>
      <c r="AK262" s="2" t="s">
        <v>74</v>
      </c>
      <c r="AL262" s="2" t="s">
        <v>74</v>
      </c>
      <c r="AM262" s="2" t="s">
        <v>74</v>
      </c>
      <c r="AN262" s="2" t="s">
        <v>74</v>
      </c>
      <c r="AO262" s="2" t="s">
        <v>7150</v>
      </c>
      <c r="AP262" s="2" t="s">
        <v>7151</v>
      </c>
      <c r="AQ262" s="2" t="s">
        <v>74</v>
      </c>
      <c r="AR262" s="2" t="s">
        <v>74</v>
      </c>
      <c r="AS262" s="2" t="s">
        <v>74</v>
      </c>
      <c r="AT262" s="2" t="s">
        <v>352</v>
      </c>
      <c r="AU262" s="2">
        <v>2014</v>
      </c>
      <c r="AV262" s="2">
        <v>62</v>
      </c>
      <c r="AW262" s="2">
        <v>3</v>
      </c>
      <c r="AX262" s="2" t="s">
        <v>74</v>
      </c>
      <c r="AY262" s="2" t="s">
        <v>74</v>
      </c>
      <c r="AZ262" s="2" t="s">
        <v>74</v>
      </c>
      <c r="BA262" s="2" t="s">
        <v>74</v>
      </c>
      <c r="BB262" s="2">
        <v>977</v>
      </c>
      <c r="BC262" s="2">
        <v>985</v>
      </c>
      <c r="BD262" s="2" t="s">
        <v>74</v>
      </c>
      <c r="BE262" s="2" t="s">
        <v>7152</v>
      </c>
      <c r="BF262" s="2" t="str">
        <f>HYPERLINK("http://dx.doi.org/10.15517/rbt.v62i3.11643","http://dx.doi.org/10.15517/rbt.v62i3.11643")</f>
        <v>http://dx.doi.org/10.15517/rbt.v62i3.11643</v>
      </c>
      <c r="BG262" s="2" t="s">
        <v>74</v>
      </c>
      <c r="BH262" s="2" t="s">
        <v>74</v>
      </c>
      <c r="BI262" s="2" t="s">
        <v>74</v>
      </c>
      <c r="BJ262" s="2" t="s">
        <v>74</v>
      </c>
      <c r="BK262" s="2" t="s">
        <v>74</v>
      </c>
      <c r="BL262" s="2" t="s">
        <v>74</v>
      </c>
      <c r="BM262" s="2" t="s">
        <v>74</v>
      </c>
      <c r="BN262" s="2">
        <v>25412530</v>
      </c>
      <c r="BO262" s="2" t="s">
        <v>74</v>
      </c>
      <c r="BP262" s="2" t="s">
        <v>74</v>
      </c>
      <c r="BQ262" s="2" t="s">
        <v>74</v>
      </c>
      <c r="BR262" s="2" t="s">
        <v>74</v>
      </c>
      <c r="BS262" s="2" t="s">
        <v>7153</v>
      </c>
      <c r="BT262" s="2" t="str">
        <f>HYPERLINK("https%3A%2F%2Fwww.webofscience.com%2Fwos%2Fwoscc%2Ffull-record%2FWOS:000343187200014","View Full Record in Web of Science")</f>
        <v>View Full Record in Web of Science</v>
      </c>
    </row>
    <row r="263" spans="1:72" s="2" customFormat="1" x14ac:dyDescent="0.4">
      <c r="A263" s="2" t="s">
        <v>72</v>
      </c>
      <c r="B263" s="2" t="s">
        <v>4373</v>
      </c>
      <c r="C263" s="2" t="s">
        <v>74</v>
      </c>
      <c r="D263" s="2" t="s">
        <v>74</v>
      </c>
      <c r="E263" s="2" t="s">
        <v>74</v>
      </c>
      <c r="F263" s="2" t="s">
        <v>4374</v>
      </c>
      <c r="G263" s="2" t="s">
        <v>74</v>
      </c>
      <c r="H263" s="2" t="s">
        <v>74</v>
      </c>
      <c r="I263" s="2" t="s">
        <v>4375</v>
      </c>
      <c r="J263" s="2" t="s">
        <v>140</v>
      </c>
      <c r="K263" s="2" t="s">
        <v>74</v>
      </c>
      <c r="L263" s="2" t="s">
        <v>74</v>
      </c>
      <c r="M263" s="2" t="s">
        <v>74</v>
      </c>
      <c r="N263" s="2" t="s">
        <v>74</v>
      </c>
      <c r="O263" s="2" t="s">
        <v>74</v>
      </c>
      <c r="P263" s="2" t="s">
        <v>74</v>
      </c>
      <c r="Q263" s="2" t="s">
        <v>74</v>
      </c>
      <c r="R263" s="2" t="s">
        <v>74</v>
      </c>
      <c r="S263" s="2" t="s">
        <v>74</v>
      </c>
      <c r="T263" s="2" t="s">
        <v>74</v>
      </c>
      <c r="U263" s="2" t="s">
        <v>74</v>
      </c>
      <c r="V263" s="5" t="s">
        <v>4376</v>
      </c>
      <c r="W263" s="2" t="s">
        <v>74</v>
      </c>
      <c r="X263" s="2" t="s">
        <v>74</v>
      </c>
      <c r="Y263" s="2" t="s">
        <v>74</v>
      </c>
      <c r="Z263" s="2" t="s">
        <v>74</v>
      </c>
      <c r="AA263" s="2" t="s">
        <v>4030</v>
      </c>
      <c r="AB263" s="2" t="s">
        <v>74</v>
      </c>
      <c r="AC263" s="2" t="s">
        <v>74</v>
      </c>
      <c r="AD263" s="2" t="s">
        <v>74</v>
      </c>
      <c r="AE263" s="2" t="s">
        <v>74</v>
      </c>
      <c r="AF263" s="2" t="s">
        <v>74</v>
      </c>
      <c r="AG263" s="2" t="s">
        <v>74</v>
      </c>
      <c r="AH263" s="2" t="s">
        <v>74</v>
      </c>
      <c r="AI263" s="2" t="s">
        <v>74</v>
      </c>
      <c r="AJ263" s="2" t="s">
        <v>74</v>
      </c>
      <c r="AK263" s="2" t="s">
        <v>74</v>
      </c>
      <c r="AL263" s="2" t="s">
        <v>74</v>
      </c>
      <c r="AM263" s="2" t="s">
        <v>74</v>
      </c>
      <c r="AN263" s="2" t="s">
        <v>74</v>
      </c>
      <c r="AO263" s="2" t="s">
        <v>143</v>
      </c>
      <c r="AP263" s="2" t="s">
        <v>144</v>
      </c>
      <c r="AQ263" s="2" t="s">
        <v>74</v>
      </c>
      <c r="AR263" s="2" t="s">
        <v>74</v>
      </c>
      <c r="AS263" s="2" t="s">
        <v>74</v>
      </c>
      <c r="AT263" s="2" t="s">
        <v>964</v>
      </c>
      <c r="AU263" s="2">
        <v>2011</v>
      </c>
      <c r="AV263" s="2">
        <v>81</v>
      </c>
      <c r="AW263" s="2">
        <v>2</v>
      </c>
      <c r="AX263" s="2" t="s">
        <v>74</v>
      </c>
      <c r="AY263" s="2" t="s">
        <v>74</v>
      </c>
      <c r="AZ263" s="2" t="s">
        <v>74</v>
      </c>
      <c r="BA263" s="2" t="s">
        <v>74</v>
      </c>
      <c r="BB263" s="2">
        <v>447</v>
      </c>
      <c r="BC263" s="2">
        <v>453</v>
      </c>
      <c r="BD263" s="2" t="s">
        <v>74</v>
      </c>
      <c r="BE263" s="2" t="s">
        <v>4377</v>
      </c>
      <c r="BF263" s="2" t="str">
        <f>HYPERLINK("http://dx.doi.org/10.1016/j.anbehav.2010.11.016","http://dx.doi.org/10.1016/j.anbehav.2010.11.016")</f>
        <v>http://dx.doi.org/10.1016/j.anbehav.2010.11.016</v>
      </c>
      <c r="BG263" s="2" t="s">
        <v>74</v>
      </c>
      <c r="BH263" s="2" t="s">
        <v>74</v>
      </c>
      <c r="BI263" s="2" t="s">
        <v>74</v>
      </c>
      <c r="BJ263" s="2" t="s">
        <v>74</v>
      </c>
      <c r="BK263" s="2" t="s">
        <v>74</v>
      </c>
      <c r="BL263" s="2" t="s">
        <v>74</v>
      </c>
      <c r="BM263" s="2" t="s">
        <v>74</v>
      </c>
      <c r="BN263" s="2" t="s">
        <v>74</v>
      </c>
      <c r="BO263" s="2" t="s">
        <v>74</v>
      </c>
      <c r="BP263" s="2" t="s">
        <v>74</v>
      </c>
      <c r="BQ263" s="2" t="s">
        <v>74</v>
      </c>
      <c r="BR263" s="2" t="s">
        <v>74</v>
      </c>
      <c r="BS263" s="2" t="s">
        <v>4378</v>
      </c>
      <c r="BT263" s="2" t="str">
        <f>HYPERLINK("https%3A%2F%2Fwww.webofscience.com%2Fwos%2Fwoscc%2Ffull-record%2FWOS:000286455400012","View Full Record in Web of Science")</f>
        <v>View Full Record in Web of Science</v>
      </c>
    </row>
    <row r="264" spans="1:72" s="2" customFormat="1" x14ac:dyDescent="0.4">
      <c r="A264" s="2" t="s">
        <v>72</v>
      </c>
      <c r="B264" s="2" t="s">
        <v>5238</v>
      </c>
      <c r="C264" s="2" t="s">
        <v>74</v>
      </c>
      <c r="D264" s="2" t="s">
        <v>74</v>
      </c>
      <c r="E264" s="2" t="s">
        <v>74</v>
      </c>
      <c r="F264" s="2" t="s">
        <v>5239</v>
      </c>
      <c r="G264" s="2" t="s">
        <v>74</v>
      </c>
      <c r="H264" s="2" t="s">
        <v>74</v>
      </c>
      <c r="I264" s="2" t="s">
        <v>5240</v>
      </c>
      <c r="J264" s="2" t="s">
        <v>824</v>
      </c>
      <c r="K264" s="2" t="s">
        <v>74</v>
      </c>
      <c r="L264" s="2" t="s">
        <v>74</v>
      </c>
      <c r="M264" s="2" t="s">
        <v>74</v>
      </c>
      <c r="N264" s="2" t="s">
        <v>74</v>
      </c>
      <c r="O264" s="2" t="s">
        <v>74</v>
      </c>
      <c r="P264" s="2" t="s">
        <v>74</v>
      </c>
      <c r="Q264" s="2" t="s">
        <v>74</v>
      </c>
      <c r="R264" s="2" t="s">
        <v>74</v>
      </c>
      <c r="S264" s="2" t="s">
        <v>74</v>
      </c>
      <c r="T264" s="2" t="s">
        <v>74</v>
      </c>
      <c r="U264" s="2" t="s">
        <v>74</v>
      </c>
      <c r="V264" s="5" t="s">
        <v>5241</v>
      </c>
      <c r="W264" s="2" t="s">
        <v>74</v>
      </c>
      <c r="X264" s="2" t="s">
        <v>74</v>
      </c>
      <c r="Y264" s="2" t="s">
        <v>74</v>
      </c>
      <c r="Z264" s="2" t="s">
        <v>74</v>
      </c>
      <c r="AA264" s="2" t="s">
        <v>5242</v>
      </c>
      <c r="AB264" s="2" t="s">
        <v>5243</v>
      </c>
      <c r="AC264" s="2" t="s">
        <v>74</v>
      </c>
      <c r="AD264" s="2" t="s">
        <v>74</v>
      </c>
      <c r="AE264" s="2" t="s">
        <v>74</v>
      </c>
      <c r="AF264" s="2" t="s">
        <v>74</v>
      </c>
      <c r="AG264" s="2" t="s">
        <v>74</v>
      </c>
      <c r="AH264" s="2" t="s">
        <v>74</v>
      </c>
      <c r="AI264" s="2" t="s">
        <v>74</v>
      </c>
      <c r="AJ264" s="2" t="s">
        <v>74</v>
      </c>
      <c r="AK264" s="2" t="s">
        <v>74</v>
      </c>
      <c r="AL264" s="2" t="s">
        <v>74</v>
      </c>
      <c r="AM264" s="2" t="s">
        <v>74</v>
      </c>
      <c r="AN264" s="2" t="s">
        <v>74</v>
      </c>
      <c r="AO264" s="2" t="s">
        <v>828</v>
      </c>
      <c r="AP264" s="2" t="s">
        <v>829</v>
      </c>
      <c r="AQ264" s="2" t="s">
        <v>74</v>
      </c>
      <c r="AR264" s="2" t="s">
        <v>74</v>
      </c>
      <c r="AS264" s="2" t="s">
        <v>74</v>
      </c>
      <c r="AT264" s="2" t="s">
        <v>123</v>
      </c>
      <c r="AU264" s="2">
        <v>2009</v>
      </c>
      <c r="AV264" s="2">
        <v>78</v>
      </c>
      <c r="AW264" s="2">
        <v>2</v>
      </c>
      <c r="AX264" s="2" t="s">
        <v>74</v>
      </c>
      <c r="AY264" s="2" t="s">
        <v>74</v>
      </c>
      <c r="AZ264" s="2" t="s">
        <v>74</v>
      </c>
      <c r="BA264" s="2" t="s">
        <v>74</v>
      </c>
      <c r="BB264" s="2">
        <v>476</v>
      </c>
      <c r="BC264" s="2">
        <v>484</v>
      </c>
      <c r="BD264" s="2" t="s">
        <v>74</v>
      </c>
      <c r="BE264" s="2" t="s">
        <v>5244</v>
      </c>
      <c r="BF264" s="2" t="str">
        <f>HYPERLINK("http://dx.doi.org/10.1111/j.1365-2656.2008.01496.x","http://dx.doi.org/10.1111/j.1365-2656.2008.01496.x")</f>
        <v>http://dx.doi.org/10.1111/j.1365-2656.2008.01496.x</v>
      </c>
      <c r="BG264" s="2" t="s">
        <v>74</v>
      </c>
      <c r="BH264" s="2" t="s">
        <v>74</v>
      </c>
      <c r="BI264" s="2" t="s">
        <v>74</v>
      </c>
      <c r="BJ264" s="2" t="s">
        <v>74</v>
      </c>
      <c r="BK264" s="2" t="s">
        <v>74</v>
      </c>
      <c r="BL264" s="2" t="s">
        <v>74</v>
      </c>
      <c r="BM264" s="2" t="s">
        <v>74</v>
      </c>
      <c r="BN264" s="2">
        <v>19021784</v>
      </c>
      <c r="BO264" s="2" t="s">
        <v>74</v>
      </c>
      <c r="BP264" s="2" t="s">
        <v>74</v>
      </c>
      <c r="BQ264" s="2" t="s">
        <v>74</v>
      </c>
      <c r="BR264" s="2" t="s">
        <v>74</v>
      </c>
      <c r="BS264" s="2" t="s">
        <v>5245</v>
      </c>
      <c r="BT264" s="2" t="str">
        <f>HYPERLINK("https%3A%2F%2Fwww.webofscience.com%2Fwos%2Fwoscc%2Ffull-record%2FWOS:000263038800020","View Full Record in Web of Science")</f>
        <v>View Full Record in Web of Science</v>
      </c>
    </row>
    <row r="265" spans="1:72" s="2" customFormat="1" x14ac:dyDescent="0.4">
      <c r="A265" s="2" t="s">
        <v>72</v>
      </c>
      <c r="B265" s="2" t="s">
        <v>5865</v>
      </c>
      <c r="C265" s="2" t="s">
        <v>74</v>
      </c>
      <c r="D265" s="2" t="s">
        <v>74</v>
      </c>
      <c r="E265" s="2" t="s">
        <v>74</v>
      </c>
      <c r="F265" s="2" t="s">
        <v>5865</v>
      </c>
      <c r="G265" s="2" t="s">
        <v>74</v>
      </c>
      <c r="H265" s="2" t="s">
        <v>74</v>
      </c>
      <c r="I265" s="2" t="s">
        <v>5866</v>
      </c>
      <c r="J265" s="2" t="s">
        <v>1673</v>
      </c>
      <c r="K265" s="2" t="s">
        <v>74</v>
      </c>
      <c r="L265" s="2" t="s">
        <v>74</v>
      </c>
      <c r="M265" s="2" t="s">
        <v>74</v>
      </c>
      <c r="N265" s="2" t="s">
        <v>74</v>
      </c>
      <c r="O265" s="2" t="s">
        <v>74</v>
      </c>
      <c r="P265" s="2" t="s">
        <v>74</v>
      </c>
      <c r="Q265" s="2" t="s">
        <v>74</v>
      </c>
      <c r="R265" s="2" t="s">
        <v>74</v>
      </c>
      <c r="S265" s="2" t="s">
        <v>74</v>
      </c>
      <c r="T265" s="2" t="s">
        <v>74</v>
      </c>
      <c r="U265" s="2" t="s">
        <v>74</v>
      </c>
      <c r="V265" s="5" t="s">
        <v>5867</v>
      </c>
      <c r="W265" s="2" t="s">
        <v>74</v>
      </c>
      <c r="X265" s="2" t="s">
        <v>74</v>
      </c>
      <c r="Y265" s="2" t="s">
        <v>74</v>
      </c>
      <c r="Z265" s="2" t="s">
        <v>74</v>
      </c>
      <c r="AA265" s="2" t="s">
        <v>74</v>
      </c>
      <c r="AB265" s="2" t="s">
        <v>74</v>
      </c>
      <c r="AC265" s="2" t="s">
        <v>74</v>
      </c>
      <c r="AD265" s="2" t="s">
        <v>74</v>
      </c>
      <c r="AE265" s="2" t="s">
        <v>74</v>
      </c>
      <c r="AF265" s="2" t="s">
        <v>74</v>
      </c>
      <c r="AG265" s="2" t="s">
        <v>74</v>
      </c>
      <c r="AH265" s="2" t="s">
        <v>74</v>
      </c>
      <c r="AI265" s="2" t="s">
        <v>74</v>
      </c>
      <c r="AJ265" s="2" t="s">
        <v>74</v>
      </c>
      <c r="AK265" s="2" t="s">
        <v>74</v>
      </c>
      <c r="AL265" s="2" t="s">
        <v>74</v>
      </c>
      <c r="AM265" s="2" t="s">
        <v>74</v>
      </c>
      <c r="AN265" s="2" t="s">
        <v>74</v>
      </c>
      <c r="AO265" s="2" t="s">
        <v>1239</v>
      </c>
      <c r="AP265" s="2" t="s">
        <v>1675</v>
      </c>
      <c r="AQ265" s="2" t="s">
        <v>74</v>
      </c>
      <c r="AR265" s="2" t="s">
        <v>74</v>
      </c>
      <c r="AS265" s="2" t="s">
        <v>74</v>
      </c>
      <c r="AT265" s="2" t="s">
        <v>204</v>
      </c>
      <c r="AU265" s="2">
        <v>1986</v>
      </c>
      <c r="AV265" s="2">
        <v>64</v>
      </c>
      <c r="AW265" s="2">
        <v>7</v>
      </c>
      <c r="AX265" s="2" t="s">
        <v>74</v>
      </c>
      <c r="AY265" s="2" t="s">
        <v>74</v>
      </c>
      <c r="AZ265" s="2" t="s">
        <v>74</v>
      </c>
      <c r="BA265" s="2" t="s">
        <v>74</v>
      </c>
      <c r="BB265" s="2">
        <v>1416</v>
      </c>
      <c r="BC265" s="2">
        <v>1421</v>
      </c>
      <c r="BD265" s="2" t="s">
        <v>74</v>
      </c>
      <c r="BE265" s="2" t="s">
        <v>5868</v>
      </c>
      <c r="BF265" s="2" t="str">
        <f>HYPERLINK("http://dx.doi.org/10.1139/z86-211","http://dx.doi.org/10.1139/z86-211")</f>
        <v>http://dx.doi.org/10.1139/z86-211</v>
      </c>
      <c r="BG265" s="2" t="s">
        <v>74</v>
      </c>
      <c r="BH265" s="2" t="s">
        <v>74</v>
      </c>
      <c r="BI265" s="2" t="s">
        <v>74</v>
      </c>
      <c r="BJ265" s="2" t="s">
        <v>74</v>
      </c>
      <c r="BK265" s="2" t="s">
        <v>74</v>
      </c>
      <c r="BL265" s="2" t="s">
        <v>74</v>
      </c>
      <c r="BM265" s="2" t="s">
        <v>74</v>
      </c>
      <c r="BN265" s="2" t="s">
        <v>74</v>
      </c>
      <c r="BO265" s="2" t="s">
        <v>74</v>
      </c>
      <c r="BP265" s="2" t="s">
        <v>74</v>
      </c>
      <c r="BQ265" s="2" t="s">
        <v>74</v>
      </c>
      <c r="BR265" s="2" t="s">
        <v>74</v>
      </c>
      <c r="BS265" s="2" t="s">
        <v>5869</v>
      </c>
      <c r="BT265" s="2" t="str">
        <f>HYPERLINK("https%3A%2F%2Fwww.webofscience.com%2Fwos%2Fwoscc%2Ffull-record%2FWOS:A1986D643700006","View Full Record in Web of Science")</f>
        <v>View Full Record in Web of Science</v>
      </c>
    </row>
    <row r="266" spans="1:72" s="2" customFormat="1" x14ac:dyDescent="0.4">
      <c r="A266" s="2" t="s">
        <v>72</v>
      </c>
      <c r="B266" s="2" t="s">
        <v>6290</v>
      </c>
      <c r="C266" s="2" t="s">
        <v>74</v>
      </c>
      <c r="D266" s="2" t="s">
        <v>74</v>
      </c>
      <c r="E266" s="2" t="s">
        <v>74</v>
      </c>
      <c r="F266" s="2" t="s">
        <v>6290</v>
      </c>
      <c r="G266" s="2" t="s">
        <v>74</v>
      </c>
      <c r="H266" s="2" t="s">
        <v>74</v>
      </c>
      <c r="I266" s="2" t="s">
        <v>6291</v>
      </c>
      <c r="J266" s="2" t="s">
        <v>4333</v>
      </c>
      <c r="K266" s="2" t="s">
        <v>74</v>
      </c>
      <c r="L266" s="2" t="s">
        <v>74</v>
      </c>
      <c r="M266" s="2" t="s">
        <v>74</v>
      </c>
      <c r="N266" s="2" t="s">
        <v>74</v>
      </c>
      <c r="O266" s="2" t="s">
        <v>74</v>
      </c>
      <c r="P266" s="2" t="s">
        <v>74</v>
      </c>
      <c r="Q266" s="2" t="s">
        <v>74</v>
      </c>
      <c r="R266" s="2" t="s">
        <v>74</v>
      </c>
      <c r="S266" s="2" t="s">
        <v>74</v>
      </c>
      <c r="T266" s="2" t="s">
        <v>74</v>
      </c>
      <c r="U266" s="2" t="s">
        <v>74</v>
      </c>
      <c r="V266" s="5" t="s">
        <v>6292</v>
      </c>
      <c r="W266" s="2" t="s">
        <v>74</v>
      </c>
      <c r="X266" s="2" t="s">
        <v>74</v>
      </c>
      <c r="Y266" s="2" t="s">
        <v>74</v>
      </c>
      <c r="Z266" s="2" t="s">
        <v>74</v>
      </c>
      <c r="AA266" s="2" t="s">
        <v>74</v>
      </c>
      <c r="AB266" s="2" t="s">
        <v>74</v>
      </c>
      <c r="AC266" s="2" t="s">
        <v>74</v>
      </c>
      <c r="AD266" s="2" t="s">
        <v>74</v>
      </c>
      <c r="AE266" s="2" t="s">
        <v>74</v>
      </c>
      <c r="AF266" s="2" t="s">
        <v>74</v>
      </c>
      <c r="AG266" s="2" t="s">
        <v>74</v>
      </c>
      <c r="AH266" s="2" t="s">
        <v>74</v>
      </c>
      <c r="AI266" s="2" t="s">
        <v>74</v>
      </c>
      <c r="AJ266" s="2" t="s">
        <v>74</v>
      </c>
      <c r="AK266" s="2" t="s">
        <v>74</v>
      </c>
      <c r="AL266" s="2" t="s">
        <v>74</v>
      </c>
      <c r="AM266" s="2" t="s">
        <v>74</v>
      </c>
      <c r="AN266" s="2" t="s">
        <v>74</v>
      </c>
      <c r="AO266" s="2" t="s">
        <v>4335</v>
      </c>
      <c r="AP266" s="2" t="s">
        <v>74</v>
      </c>
      <c r="AQ266" s="2" t="s">
        <v>74</v>
      </c>
      <c r="AR266" s="2" t="s">
        <v>74</v>
      </c>
      <c r="AS266" s="2" t="s">
        <v>74</v>
      </c>
      <c r="AT266" s="2" t="s">
        <v>74</v>
      </c>
      <c r="AU266" s="2">
        <v>1978</v>
      </c>
      <c r="AV266" s="2">
        <v>3</v>
      </c>
      <c r="AW266" s="2">
        <v>3</v>
      </c>
      <c r="AX266" s="2" t="s">
        <v>74</v>
      </c>
      <c r="AY266" s="2" t="s">
        <v>74</v>
      </c>
      <c r="AZ266" s="2" t="s">
        <v>74</v>
      </c>
      <c r="BA266" s="2" t="s">
        <v>74</v>
      </c>
      <c r="BB266" s="2">
        <v>233</v>
      </c>
      <c r="BC266" s="2">
        <v>241</v>
      </c>
      <c r="BD266" s="2" t="s">
        <v>74</v>
      </c>
      <c r="BE266" s="2" t="s">
        <v>74</v>
      </c>
      <c r="BF266" s="2" t="s">
        <v>74</v>
      </c>
      <c r="BG266" s="2" t="s">
        <v>74</v>
      </c>
      <c r="BH266" s="2" t="s">
        <v>74</v>
      </c>
      <c r="BI266" s="2" t="s">
        <v>74</v>
      </c>
      <c r="BJ266" s="2" t="s">
        <v>74</v>
      </c>
      <c r="BK266" s="2" t="s">
        <v>74</v>
      </c>
      <c r="BL266" s="2" t="s">
        <v>74</v>
      </c>
      <c r="BM266" s="2" t="s">
        <v>74</v>
      </c>
      <c r="BN266" s="2" t="s">
        <v>74</v>
      </c>
      <c r="BO266" s="2" t="s">
        <v>74</v>
      </c>
      <c r="BP266" s="2" t="s">
        <v>74</v>
      </c>
      <c r="BQ266" s="2" t="s">
        <v>74</v>
      </c>
      <c r="BR266" s="2" t="s">
        <v>74</v>
      </c>
      <c r="BS266" s="2" t="s">
        <v>6293</v>
      </c>
      <c r="BT266" s="2" t="str">
        <f>HYPERLINK("https%3A%2F%2Fwww.webofscience.com%2Fwos%2Fwoscc%2Ffull-record%2FWOS:A1978FR83100004","View Full Record in Web of Science")</f>
        <v>View Full Record in Web of Science</v>
      </c>
    </row>
    <row r="267" spans="1:72" s="1" customFormat="1" x14ac:dyDescent="0.4">
      <c r="A267" s="2" t="s">
        <v>72</v>
      </c>
      <c r="B267" s="2" t="s">
        <v>2348</v>
      </c>
      <c r="C267" s="2" t="s">
        <v>74</v>
      </c>
      <c r="D267" s="2" t="s">
        <v>74</v>
      </c>
      <c r="E267" s="2" t="s">
        <v>74</v>
      </c>
      <c r="F267" s="2" t="s">
        <v>2349</v>
      </c>
      <c r="G267" s="2" t="s">
        <v>74</v>
      </c>
      <c r="H267" s="2" t="s">
        <v>74</v>
      </c>
      <c r="I267" s="2" t="s">
        <v>2350</v>
      </c>
      <c r="J267" s="2" t="s">
        <v>1812</v>
      </c>
      <c r="K267" s="2" t="s">
        <v>74</v>
      </c>
      <c r="L267" s="2" t="s">
        <v>74</v>
      </c>
      <c r="M267" s="2" t="s">
        <v>74</v>
      </c>
      <c r="N267" s="2" t="s">
        <v>74</v>
      </c>
      <c r="O267" s="2" t="s">
        <v>74</v>
      </c>
      <c r="P267" s="2" t="s">
        <v>74</v>
      </c>
      <c r="Q267" s="2" t="s">
        <v>74</v>
      </c>
      <c r="R267" s="2" t="s">
        <v>74</v>
      </c>
      <c r="S267" s="2" t="s">
        <v>74</v>
      </c>
      <c r="T267" s="2" t="s">
        <v>74</v>
      </c>
      <c r="U267" s="2" t="s">
        <v>74</v>
      </c>
      <c r="V267" s="5" t="s">
        <v>2351</v>
      </c>
      <c r="W267" s="2" t="s">
        <v>74</v>
      </c>
      <c r="X267" s="2" t="s">
        <v>74</v>
      </c>
      <c r="Y267" s="2" t="s">
        <v>74</v>
      </c>
      <c r="Z267" s="2" t="s">
        <v>74</v>
      </c>
      <c r="AA267" s="2" t="s">
        <v>2352</v>
      </c>
      <c r="AB267" s="2" t="s">
        <v>2353</v>
      </c>
      <c r="AC267" s="2" t="s">
        <v>74</v>
      </c>
      <c r="AD267" s="2" t="s">
        <v>74</v>
      </c>
      <c r="AE267" s="2" t="s">
        <v>74</v>
      </c>
      <c r="AF267" s="2" t="s">
        <v>74</v>
      </c>
      <c r="AG267" s="2" t="s">
        <v>74</v>
      </c>
      <c r="AH267" s="2" t="s">
        <v>74</v>
      </c>
      <c r="AI267" s="2" t="s">
        <v>74</v>
      </c>
      <c r="AJ267" s="2" t="s">
        <v>74</v>
      </c>
      <c r="AK267" s="2" t="s">
        <v>74</v>
      </c>
      <c r="AL267" s="2" t="s">
        <v>74</v>
      </c>
      <c r="AM267" s="2" t="s">
        <v>74</v>
      </c>
      <c r="AN267" s="2" t="s">
        <v>74</v>
      </c>
      <c r="AO267" s="2" t="s">
        <v>1814</v>
      </c>
      <c r="AP267" s="2" t="s">
        <v>1815</v>
      </c>
      <c r="AQ267" s="2" t="s">
        <v>74</v>
      </c>
      <c r="AR267" s="2" t="s">
        <v>74</v>
      </c>
      <c r="AS267" s="2" t="s">
        <v>74</v>
      </c>
      <c r="AT267" s="2" t="s">
        <v>352</v>
      </c>
      <c r="AU267" s="2">
        <v>2020</v>
      </c>
      <c r="AV267" s="2">
        <v>54</v>
      </c>
      <c r="AW267" s="2">
        <v>3</v>
      </c>
      <c r="AX267" s="2" t="s">
        <v>74</v>
      </c>
      <c r="AY267" s="2" t="s">
        <v>74</v>
      </c>
      <c r="AZ267" s="2" t="s">
        <v>74</v>
      </c>
      <c r="BA267" s="2" t="s">
        <v>74</v>
      </c>
      <c r="BB267" s="2">
        <v>361</v>
      </c>
      <c r="BC267" s="2">
        <v>370</v>
      </c>
      <c r="BD267" s="2" t="s">
        <v>74</v>
      </c>
      <c r="BE267" s="2" t="s">
        <v>2354</v>
      </c>
      <c r="BF267" s="2" t="str">
        <f>HYPERLINK("http://dx.doi.org/10.1670/19-110","http://dx.doi.org/10.1670/19-110")</f>
        <v>http://dx.doi.org/10.1670/19-110</v>
      </c>
      <c r="BG267" s="2" t="s">
        <v>74</v>
      </c>
      <c r="BH267" s="2" t="s">
        <v>74</v>
      </c>
      <c r="BI267" s="2" t="s">
        <v>74</v>
      </c>
      <c r="BJ267" s="2" t="s">
        <v>74</v>
      </c>
      <c r="BK267" s="2" t="s">
        <v>74</v>
      </c>
      <c r="BL267" s="2" t="s">
        <v>74</v>
      </c>
      <c r="BM267" s="2" t="s">
        <v>74</v>
      </c>
      <c r="BN267" s="2" t="s">
        <v>74</v>
      </c>
      <c r="BO267" s="2" t="s">
        <v>74</v>
      </c>
      <c r="BP267" s="2" t="s">
        <v>74</v>
      </c>
      <c r="BQ267" s="2" t="s">
        <v>74</v>
      </c>
      <c r="BR267" s="2" t="s">
        <v>74</v>
      </c>
      <c r="BS267" s="2" t="s">
        <v>2355</v>
      </c>
      <c r="BT267" s="2" t="str">
        <f>HYPERLINK("https%3A%2F%2Fwww.webofscience.com%2Fwos%2Fwoscc%2Ffull-record%2FWOS:000589893000013","View Full Record in Web of Science")</f>
        <v>View Full Record in Web of Science</v>
      </c>
    </row>
    <row r="268" spans="1:72" s="2" customFormat="1" x14ac:dyDescent="0.4">
      <c r="A268" s="2" t="s">
        <v>72</v>
      </c>
      <c r="B268" s="2" t="s">
        <v>1572</v>
      </c>
      <c r="C268" s="2" t="s">
        <v>74</v>
      </c>
      <c r="D268" s="2" t="s">
        <v>74</v>
      </c>
      <c r="E268" s="2" t="s">
        <v>74</v>
      </c>
      <c r="F268" s="2" t="s">
        <v>1572</v>
      </c>
      <c r="G268" s="2" t="s">
        <v>74</v>
      </c>
      <c r="H268" s="2" t="s">
        <v>74</v>
      </c>
      <c r="I268" s="2" t="s">
        <v>1573</v>
      </c>
      <c r="J268" s="2" t="s">
        <v>1574</v>
      </c>
      <c r="K268" s="2" t="s">
        <v>74</v>
      </c>
      <c r="L268" s="2" t="s">
        <v>74</v>
      </c>
      <c r="M268" s="2" t="s">
        <v>74</v>
      </c>
      <c r="N268" s="2" t="s">
        <v>74</v>
      </c>
      <c r="O268" s="2" t="s">
        <v>74</v>
      </c>
      <c r="P268" s="2" t="s">
        <v>74</v>
      </c>
      <c r="Q268" s="2" t="s">
        <v>74</v>
      </c>
      <c r="R268" s="2" t="s">
        <v>74</v>
      </c>
      <c r="S268" s="2" t="s">
        <v>74</v>
      </c>
      <c r="T268" s="2" t="s">
        <v>74</v>
      </c>
      <c r="U268" s="2" t="s">
        <v>74</v>
      </c>
      <c r="V268" s="5" t="s">
        <v>1575</v>
      </c>
      <c r="W268" s="2" t="s">
        <v>74</v>
      </c>
      <c r="X268" s="2" t="s">
        <v>74</v>
      </c>
      <c r="Y268" s="2" t="s">
        <v>74</v>
      </c>
      <c r="Z268" s="2" t="s">
        <v>74</v>
      </c>
      <c r="AA268" s="2" t="s">
        <v>74</v>
      </c>
      <c r="AB268" s="2" t="s">
        <v>74</v>
      </c>
      <c r="AC268" s="2" t="s">
        <v>74</v>
      </c>
      <c r="AD268" s="2" t="s">
        <v>74</v>
      </c>
      <c r="AE268" s="2" t="s">
        <v>74</v>
      </c>
      <c r="AF268" s="2" t="s">
        <v>74</v>
      </c>
      <c r="AG268" s="2" t="s">
        <v>74</v>
      </c>
      <c r="AH268" s="2" t="s">
        <v>74</v>
      </c>
      <c r="AI268" s="2" t="s">
        <v>74</v>
      </c>
      <c r="AJ268" s="2" t="s">
        <v>74</v>
      </c>
      <c r="AK268" s="2" t="s">
        <v>74</v>
      </c>
      <c r="AL268" s="2" t="s">
        <v>74</v>
      </c>
      <c r="AM268" s="2" t="s">
        <v>74</v>
      </c>
      <c r="AN268" s="2" t="s">
        <v>74</v>
      </c>
      <c r="AO268" s="2" t="s">
        <v>1576</v>
      </c>
      <c r="AP268" s="2" t="s">
        <v>1577</v>
      </c>
      <c r="AQ268" s="2" t="s">
        <v>74</v>
      </c>
      <c r="AR268" s="2" t="s">
        <v>74</v>
      </c>
      <c r="AS268" s="2" t="s">
        <v>74</v>
      </c>
      <c r="AT268" s="2" t="s">
        <v>74</v>
      </c>
      <c r="AU268" s="2">
        <v>2005</v>
      </c>
      <c r="AV268" s="2">
        <v>66</v>
      </c>
      <c r="AW268" s="2">
        <v>2</v>
      </c>
      <c r="AX268" s="2" t="s">
        <v>74</v>
      </c>
      <c r="AY268" s="2" t="s">
        <v>74</v>
      </c>
      <c r="AZ268" s="2" t="s">
        <v>74</v>
      </c>
      <c r="BA268" s="2" t="s">
        <v>74</v>
      </c>
      <c r="BB268" s="2">
        <v>99</v>
      </c>
      <c r="BC268" s="2">
        <v>113</v>
      </c>
      <c r="BD268" s="2" t="s">
        <v>74</v>
      </c>
      <c r="BE268" s="2" t="s">
        <v>1578</v>
      </c>
      <c r="BF268" s="2" t="str">
        <f>HYPERLINK("http://dx.doi.org/10.1159/000086229","http://dx.doi.org/10.1159/000086229")</f>
        <v>http://dx.doi.org/10.1159/000086229</v>
      </c>
      <c r="BG268" s="2" t="s">
        <v>74</v>
      </c>
      <c r="BH268" s="2" t="s">
        <v>74</v>
      </c>
      <c r="BI268" s="2" t="s">
        <v>74</v>
      </c>
      <c r="BJ268" s="2" t="s">
        <v>74</v>
      </c>
      <c r="BK268" s="2" t="s">
        <v>74</v>
      </c>
      <c r="BL268" s="2" t="s">
        <v>74</v>
      </c>
      <c r="BM268" s="2" t="s">
        <v>74</v>
      </c>
      <c r="BN268" s="2">
        <v>15942161</v>
      </c>
      <c r="BO268" s="2" t="s">
        <v>74</v>
      </c>
      <c r="BP268" s="2" t="s">
        <v>74</v>
      </c>
      <c r="BQ268" s="2" t="s">
        <v>74</v>
      </c>
      <c r="BR268" s="2" t="s">
        <v>74</v>
      </c>
      <c r="BS268" s="2" t="s">
        <v>1579</v>
      </c>
      <c r="BT268" s="2" t="str">
        <f>HYPERLINK("https%3A%2F%2Fwww.webofscience.com%2Fwos%2Fwoscc%2Ffull-record%2FWOS:000230679800003","View Full Record in Web of Science")</f>
        <v>View Full Record in Web of Science</v>
      </c>
    </row>
    <row r="269" spans="1:72" s="2" customFormat="1" x14ac:dyDescent="0.4">
      <c r="A269" s="2" t="s">
        <v>72</v>
      </c>
      <c r="B269" s="2" t="s">
        <v>2413</v>
      </c>
      <c r="C269" s="2" t="s">
        <v>74</v>
      </c>
      <c r="D269" s="2" t="s">
        <v>74</v>
      </c>
      <c r="E269" s="2" t="s">
        <v>74</v>
      </c>
      <c r="F269" s="2" t="s">
        <v>2414</v>
      </c>
      <c r="G269" s="2" t="s">
        <v>74</v>
      </c>
      <c r="H269" s="2" t="s">
        <v>74</v>
      </c>
      <c r="I269" s="2" t="s">
        <v>2415</v>
      </c>
      <c r="J269" s="2" t="s">
        <v>1557</v>
      </c>
      <c r="K269" s="2" t="s">
        <v>74</v>
      </c>
      <c r="L269" s="2" t="s">
        <v>74</v>
      </c>
      <c r="M269" s="2" t="s">
        <v>74</v>
      </c>
      <c r="N269" s="2" t="s">
        <v>74</v>
      </c>
      <c r="O269" s="2" t="s">
        <v>74</v>
      </c>
      <c r="P269" s="2" t="s">
        <v>74</v>
      </c>
      <c r="Q269" s="2" t="s">
        <v>74</v>
      </c>
      <c r="R269" s="2" t="s">
        <v>74</v>
      </c>
      <c r="S269" s="2" t="s">
        <v>74</v>
      </c>
      <c r="T269" s="2" t="s">
        <v>74</v>
      </c>
      <c r="U269" s="2" t="s">
        <v>74</v>
      </c>
      <c r="V269" s="5" t="s">
        <v>2416</v>
      </c>
      <c r="W269" s="2" t="s">
        <v>74</v>
      </c>
      <c r="X269" s="2" t="s">
        <v>74</v>
      </c>
      <c r="Y269" s="2" t="s">
        <v>74</v>
      </c>
      <c r="Z269" s="2" t="s">
        <v>74</v>
      </c>
      <c r="AA269" s="2" t="s">
        <v>74</v>
      </c>
      <c r="AB269" s="2" t="s">
        <v>2417</v>
      </c>
      <c r="AC269" s="2" t="s">
        <v>74</v>
      </c>
      <c r="AD269" s="2" t="s">
        <v>74</v>
      </c>
      <c r="AE269" s="2" t="s">
        <v>74</v>
      </c>
      <c r="AF269" s="2" t="s">
        <v>74</v>
      </c>
      <c r="AG269" s="2" t="s">
        <v>74</v>
      </c>
      <c r="AH269" s="2" t="s">
        <v>74</v>
      </c>
      <c r="AI269" s="2" t="s">
        <v>74</v>
      </c>
      <c r="AJ269" s="2" t="s">
        <v>74</v>
      </c>
      <c r="AK269" s="2" t="s">
        <v>74</v>
      </c>
      <c r="AL269" s="2" t="s">
        <v>74</v>
      </c>
      <c r="AM269" s="2" t="s">
        <v>74</v>
      </c>
      <c r="AN269" s="2" t="s">
        <v>74</v>
      </c>
      <c r="AO269" s="2" t="s">
        <v>1561</v>
      </c>
      <c r="AP269" s="2" t="s">
        <v>74</v>
      </c>
      <c r="AQ269" s="2" t="s">
        <v>74</v>
      </c>
      <c r="AR269" s="2" t="s">
        <v>74</v>
      </c>
      <c r="AS269" s="2" t="s">
        <v>74</v>
      </c>
      <c r="AT269" s="2" t="s">
        <v>74</v>
      </c>
      <c r="AU269" s="2">
        <v>2009</v>
      </c>
      <c r="AV269" s="2">
        <v>42</v>
      </c>
      <c r="AW269" s="2">
        <v>4</v>
      </c>
      <c r="AX269" s="2" t="s">
        <v>74</v>
      </c>
      <c r="AY269" s="2" t="s">
        <v>74</v>
      </c>
      <c r="AZ269" s="2" t="s">
        <v>74</v>
      </c>
      <c r="BA269" s="2" t="s">
        <v>74</v>
      </c>
      <c r="BB269" s="2">
        <v>219</v>
      </c>
      <c r="BC269" s="2">
        <v>232</v>
      </c>
      <c r="BD269" s="2" t="s">
        <v>74</v>
      </c>
      <c r="BE269" s="2" t="s">
        <v>2418</v>
      </c>
      <c r="BF269" s="2" t="str">
        <f>HYPERLINK("http://dx.doi.org/10.1080/10236240903169222","http://dx.doi.org/10.1080/10236240903169222")</f>
        <v>http://dx.doi.org/10.1080/10236240903169222</v>
      </c>
      <c r="BG269" s="2" t="s">
        <v>74</v>
      </c>
      <c r="BH269" s="2" t="s">
        <v>74</v>
      </c>
      <c r="BI269" s="2" t="s">
        <v>74</v>
      </c>
      <c r="BJ269" s="2" t="s">
        <v>74</v>
      </c>
      <c r="BK269" s="2" t="s">
        <v>74</v>
      </c>
      <c r="BL269" s="2" t="s">
        <v>74</v>
      </c>
      <c r="BM269" s="2" t="s">
        <v>74</v>
      </c>
      <c r="BN269" s="2" t="s">
        <v>74</v>
      </c>
      <c r="BO269" s="2" t="s">
        <v>74</v>
      </c>
      <c r="BP269" s="2" t="s">
        <v>74</v>
      </c>
      <c r="BQ269" s="2" t="s">
        <v>74</v>
      </c>
      <c r="BR269" s="2" t="s">
        <v>74</v>
      </c>
      <c r="BS269" s="2" t="s">
        <v>2419</v>
      </c>
      <c r="BT269" s="2" t="str">
        <f>HYPERLINK("https%3A%2F%2Fwww.webofscience.com%2Fwos%2Fwoscc%2Ffull-record%2FWOS:000271013700001","View Full Record in Web of Science")</f>
        <v>View Full Record in Web of Science</v>
      </c>
    </row>
    <row r="270" spans="1:72" s="2" customFormat="1" x14ac:dyDescent="0.4">
      <c r="A270" s="2" t="s">
        <v>72</v>
      </c>
      <c r="B270" s="2" t="s">
        <v>5730</v>
      </c>
      <c r="C270" s="2" t="s">
        <v>74</v>
      </c>
      <c r="D270" s="2" t="s">
        <v>74</v>
      </c>
      <c r="E270" s="2" t="s">
        <v>74</v>
      </c>
      <c r="F270" s="2" t="s">
        <v>5730</v>
      </c>
      <c r="G270" s="2" t="s">
        <v>74</v>
      </c>
      <c r="H270" s="2" t="s">
        <v>74</v>
      </c>
      <c r="I270" s="2" t="s">
        <v>5731</v>
      </c>
      <c r="J270" s="2" t="s">
        <v>456</v>
      </c>
      <c r="K270" s="2" t="s">
        <v>74</v>
      </c>
      <c r="L270" s="2" t="s">
        <v>74</v>
      </c>
      <c r="M270" s="2" t="s">
        <v>74</v>
      </c>
      <c r="N270" s="2" t="s">
        <v>74</v>
      </c>
      <c r="O270" s="2" t="s">
        <v>74</v>
      </c>
      <c r="P270" s="2" t="s">
        <v>74</v>
      </c>
      <c r="Q270" s="2" t="s">
        <v>74</v>
      </c>
      <c r="R270" s="2" t="s">
        <v>74</v>
      </c>
      <c r="S270" s="2" t="s">
        <v>74</v>
      </c>
      <c r="T270" s="2" t="s">
        <v>74</v>
      </c>
      <c r="U270" s="2" t="s">
        <v>74</v>
      </c>
      <c r="V270" s="5" t="s">
        <v>5732</v>
      </c>
      <c r="W270" s="2" t="s">
        <v>74</v>
      </c>
      <c r="X270" s="2" t="s">
        <v>74</v>
      </c>
      <c r="Y270" s="2" t="s">
        <v>74</v>
      </c>
      <c r="Z270" s="2" t="s">
        <v>74</v>
      </c>
      <c r="AA270" s="2" t="s">
        <v>74</v>
      </c>
      <c r="AB270" s="2" t="s">
        <v>74</v>
      </c>
      <c r="AC270" s="2" t="s">
        <v>74</v>
      </c>
      <c r="AD270" s="2" t="s">
        <v>74</v>
      </c>
      <c r="AE270" s="2" t="s">
        <v>74</v>
      </c>
      <c r="AF270" s="2" t="s">
        <v>74</v>
      </c>
      <c r="AG270" s="2" t="s">
        <v>74</v>
      </c>
      <c r="AH270" s="2" t="s">
        <v>74</v>
      </c>
      <c r="AI270" s="2" t="s">
        <v>74</v>
      </c>
      <c r="AJ270" s="2" t="s">
        <v>74</v>
      </c>
      <c r="AK270" s="2" t="s">
        <v>74</v>
      </c>
      <c r="AL270" s="2" t="s">
        <v>74</v>
      </c>
      <c r="AM270" s="2" t="s">
        <v>74</v>
      </c>
      <c r="AN270" s="2" t="s">
        <v>74</v>
      </c>
      <c r="AO270" s="2" t="s">
        <v>460</v>
      </c>
      <c r="AP270" s="2" t="s">
        <v>461</v>
      </c>
      <c r="AQ270" s="2" t="s">
        <v>74</v>
      </c>
      <c r="AR270" s="2" t="s">
        <v>74</v>
      </c>
      <c r="AS270" s="2" t="s">
        <v>74</v>
      </c>
      <c r="AT270" s="2" t="s">
        <v>175</v>
      </c>
      <c r="AU270" s="2">
        <v>1998</v>
      </c>
      <c r="AV270" s="2">
        <v>246</v>
      </c>
      <c r="AW270" s="2" t="s">
        <v>74</v>
      </c>
      <c r="AX270" s="2">
        <v>2</v>
      </c>
      <c r="AY270" s="2" t="s">
        <v>74</v>
      </c>
      <c r="AZ270" s="2" t="s">
        <v>74</v>
      </c>
      <c r="BA270" s="2" t="s">
        <v>74</v>
      </c>
      <c r="BB270" s="2">
        <v>215</v>
      </c>
      <c r="BC270" s="2">
        <v>231</v>
      </c>
      <c r="BD270" s="2" t="s">
        <v>74</v>
      </c>
      <c r="BE270" s="2" t="s">
        <v>5733</v>
      </c>
      <c r="BF270" s="2" t="str">
        <f>HYPERLINK("http://dx.doi.org/10.1111/j.1469-7998.1998.tb00150.x","http://dx.doi.org/10.1111/j.1469-7998.1998.tb00150.x")</f>
        <v>http://dx.doi.org/10.1111/j.1469-7998.1998.tb00150.x</v>
      </c>
      <c r="BG270" s="2" t="s">
        <v>74</v>
      </c>
      <c r="BH270" s="2" t="s">
        <v>74</v>
      </c>
      <c r="BI270" s="2" t="s">
        <v>74</v>
      </c>
      <c r="BJ270" s="2" t="s">
        <v>74</v>
      </c>
      <c r="BK270" s="2" t="s">
        <v>74</v>
      </c>
      <c r="BL270" s="2" t="s">
        <v>74</v>
      </c>
      <c r="BM270" s="2" t="s">
        <v>74</v>
      </c>
      <c r="BN270" s="2" t="s">
        <v>74</v>
      </c>
      <c r="BO270" s="2" t="s">
        <v>74</v>
      </c>
      <c r="BP270" s="2" t="s">
        <v>74</v>
      </c>
      <c r="BQ270" s="2" t="s">
        <v>74</v>
      </c>
      <c r="BR270" s="2" t="s">
        <v>74</v>
      </c>
      <c r="BS270" s="2" t="s">
        <v>5734</v>
      </c>
      <c r="BT270" s="2" t="str">
        <f>HYPERLINK("https%3A%2F%2Fwww.webofscience.com%2Fwos%2Fwoscc%2Ffull-record%2FWOS:000077191700010","View Full Record in Web of Science")</f>
        <v>View Full Record in Web of Science</v>
      </c>
    </row>
    <row r="271" spans="1:72" s="2" customFormat="1" x14ac:dyDescent="0.4">
      <c r="A271" s="2" t="s">
        <v>72</v>
      </c>
      <c r="B271" s="2" t="s">
        <v>4304</v>
      </c>
      <c r="C271" s="2" t="s">
        <v>74</v>
      </c>
      <c r="D271" s="2" t="s">
        <v>74</v>
      </c>
      <c r="E271" s="2" t="s">
        <v>74</v>
      </c>
      <c r="F271" s="2" t="s">
        <v>4305</v>
      </c>
      <c r="G271" s="2" t="s">
        <v>74</v>
      </c>
      <c r="H271" s="2" t="s">
        <v>74</v>
      </c>
      <c r="I271" s="2" t="s">
        <v>4306</v>
      </c>
      <c r="J271" s="2" t="s">
        <v>1126</v>
      </c>
      <c r="K271" s="2" t="s">
        <v>74</v>
      </c>
      <c r="L271" s="2" t="s">
        <v>74</v>
      </c>
      <c r="M271" s="2" t="s">
        <v>74</v>
      </c>
      <c r="N271" s="2" t="s">
        <v>74</v>
      </c>
      <c r="O271" s="2" t="s">
        <v>74</v>
      </c>
      <c r="P271" s="2" t="s">
        <v>74</v>
      </c>
      <c r="Q271" s="2" t="s">
        <v>74</v>
      </c>
      <c r="R271" s="2" t="s">
        <v>74</v>
      </c>
      <c r="S271" s="2" t="s">
        <v>74</v>
      </c>
      <c r="T271" s="2" t="s">
        <v>74</v>
      </c>
      <c r="U271" s="2" t="s">
        <v>74</v>
      </c>
      <c r="V271" s="5" t="s">
        <v>4307</v>
      </c>
      <c r="W271" s="2" t="s">
        <v>74</v>
      </c>
      <c r="X271" s="2" t="s">
        <v>74</v>
      </c>
      <c r="Y271" s="2" t="s">
        <v>74</v>
      </c>
      <c r="Z271" s="2" t="s">
        <v>74</v>
      </c>
      <c r="AA271" s="2" t="s">
        <v>379</v>
      </c>
      <c r="AB271" s="2" t="s">
        <v>74</v>
      </c>
      <c r="AC271" s="2" t="s">
        <v>74</v>
      </c>
      <c r="AD271" s="2" t="s">
        <v>74</v>
      </c>
      <c r="AE271" s="2" t="s">
        <v>74</v>
      </c>
      <c r="AF271" s="2" t="s">
        <v>74</v>
      </c>
      <c r="AG271" s="2" t="s">
        <v>74</v>
      </c>
      <c r="AH271" s="2" t="s">
        <v>74</v>
      </c>
      <c r="AI271" s="2" t="s">
        <v>74</v>
      </c>
      <c r="AJ271" s="2" t="s">
        <v>74</v>
      </c>
      <c r="AK271" s="2" t="s">
        <v>74</v>
      </c>
      <c r="AL271" s="2" t="s">
        <v>74</v>
      </c>
      <c r="AM271" s="2" t="s">
        <v>74</v>
      </c>
      <c r="AN271" s="2" t="s">
        <v>74</v>
      </c>
      <c r="AO271" s="2" t="s">
        <v>1128</v>
      </c>
      <c r="AP271" s="2" t="s">
        <v>1129</v>
      </c>
      <c r="AQ271" s="2" t="s">
        <v>74</v>
      </c>
      <c r="AR271" s="2" t="s">
        <v>74</v>
      </c>
      <c r="AS271" s="2" t="s">
        <v>74</v>
      </c>
      <c r="AT271" s="2" t="s">
        <v>123</v>
      </c>
      <c r="AU271" s="2">
        <v>2013</v>
      </c>
      <c r="AV271" s="2" t="s">
        <v>74</v>
      </c>
      <c r="AW271" s="2">
        <v>1</v>
      </c>
      <c r="AX271" s="2" t="s">
        <v>74</v>
      </c>
      <c r="AY271" s="2" t="s">
        <v>74</v>
      </c>
      <c r="AZ271" s="2" t="s">
        <v>74</v>
      </c>
      <c r="BA271" s="2" t="s">
        <v>74</v>
      </c>
      <c r="BB271" s="2">
        <v>154</v>
      </c>
      <c r="BC271" s="2">
        <v>159</v>
      </c>
      <c r="BD271" s="2" t="s">
        <v>74</v>
      </c>
      <c r="BE271" s="2" t="s">
        <v>4308</v>
      </c>
      <c r="BF271" s="2" t="str">
        <f>HYPERLINK("http://dx.doi.org/10.1643/CE-12-056","http://dx.doi.org/10.1643/CE-12-056")</f>
        <v>http://dx.doi.org/10.1643/CE-12-056</v>
      </c>
      <c r="BG271" s="2" t="s">
        <v>74</v>
      </c>
      <c r="BH271" s="2" t="s">
        <v>74</v>
      </c>
      <c r="BI271" s="2" t="s">
        <v>74</v>
      </c>
      <c r="BJ271" s="2" t="s">
        <v>74</v>
      </c>
      <c r="BK271" s="2" t="s">
        <v>74</v>
      </c>
      <c r="BL271" s="2" t="s">
        <v>74</v>
      </c>
      <c r="BM271" s="2" t="s">
        <v>74</v>
      </c>
      <c r="BN271" s="2" t="s">
        <v>74</v>
      </c>
      <c r="BO271" s="2" t="s">
        <v>74</v>
      </c>
      <c r="BP271" s="2" t="s">
        <v>74</v>
      </c>
      <c r="BQ271" s="2" t="s">
        <v>74</v>
      </c>
      <c r="BR271" s="2" t="s">
        <v>74</v>
      </c>
      <c r="BS271" s="2" t="s">
        <v>4309</v>
      </c>
      <c r="BT271" s="2" t="str">
        <f>HYPERLINK("https%3A%2F%2Fwww.webofscience.com%2Fwos%2Fwoscc%2Ffull-record%2FWOS:000411881100019","View Full Record in Web of Science")</f>
        <v>View Full Record in Web of Science</v>
      </c>
    </row>
    <row r="272" spans="1:72" s="2" customFormat="1" x14ac:dyDescent="0.4">
      <c r="A272" s="2" t="s">
        <v>72</v>
      </c>
      <c r="B272" s="2" t="s">
        <v>8472</v>
      </c>
      <c r="C272" s="2" t="s">
        <v>74</v>
      </c>
      <c r="D272" s="2" t="s">
        <v>74</v>
      </c>
      <c r="E272" s="2" t="s">
        <v>74</v>
      </c>
      <c r="F272" s="2" t="s">
        <v>8473</v>
      </c>
      <c r="G272" s="2" t="s">
        <v>74</v>
      </c>
      <c r="H272" s="2" t="s">
        <v>74</v>
      </c>
      <c r="I272" s="2" t="s">
        <v>8474</v>
      </c>
      <c r="J272" s="2" t="s">
        <v>576</v>
      </c>
      <c r="K272" s="2" t="s">
        <v>74</v>
      </c>
      <c r="L272" s="2" t="s">
        <v>74</v>
      </c>
      <c r="M272" s="2" t="s">
        <v>74</v>
      </c>
      <c r="N272" s="2" t="s">
        <v>74</v>
      </c>
      <c r="O272" s="2" t="s">
        <v>74</v>
      </c>
      <c r="P272" s="2" t="s">
        <v>74</v>
      </c>
      <c r="Q272" s="2" t="s">
        <v>74</v>
      </c>
      <c r="R272" s="2" t="s">
        <v>74</v>
      </c>
      <c r="S272" s="2" t="s">
        <v>74</v>
      </c>
      <c r="T272" s="2" t="s">
        <v>74</v>
      </c>
      <c r="U272" s="2" t="s">
        <v>74</v>
      </c>
      <c r="V272" s="5" t="s">
        <v>8475</v>
      </c>
      <c r="W272" s="2" t="s">
        <v>74</v>
      </c>
      <c r="X272" s="2" t="s">
        <v>74</v>
      </c>
      <c r="Y272" s="2" t="s">
        <v>74</v>
      </c>
      <c r="Z272" s="2" t="s">
        <v>74</v>
      </c>
      <c r="AA272" s="2" t="s">
        <v>8476</v>
      </c>
      <c r="AB272" s="2" t="s">
        <v>8477</v>
      </c>
      <c r="AC272" s="2" t="s">
        <v>74</v>
      </c>
      <c r="AD272" s="2" t="s">
        <v>74</v>
      </c>
      <c r="AE272" s="2" t="s">
        <v>74</v>
      </c>
      <c r="AF272" s="2" t="s">
        <v>74</v>
      </c>
      <c r="AG272" s="2" t="s">
        <v>74</v>
      </c>
      <c r="AH272" s="2" t="s">
        <v>74</v>
      </c>
      <c r="AI272" s="2" t="s">
        <v>74</v>
      </c>
      <c r="AJ272" s="2" t="s">
        <v>74</v>
      </c>
      <c r="AK272" s="2" t="s">
        <v>74</v>
      </c>
      <c r="AL272" s="2" t="s">
        <v>74</v>
      </c>
      <c r="AM272" s="2" t="s">
        <v>74</v>
      </c>
      <c r="AN272" s="2" t="s">
        <v>74</v>
      </c>
      <c r="AO272" s="2" t="s">
        <v>579</v>
      </c>
      <c r="AP272" s="2" t="s">
        <v>580</v>
      </c>
      <c r="AQ272" s="2" t="s">
        <v>74</v>
      </c>
      <c r="AR272" s="2" t="s">
        <v>74</v>
      </c>
      <c r="AS272" s="2" t="s">
        <v>74</v>
      </c>
      <c r="AT272" s="2" t="s">
        <v>352</v>
      </c>
      <c r="AU272" s="2">
        <v>2014</v>
      </c>
      <c r="AV272" s="2">
        <v>28</v>
      </c>
      <c r="AW272" s="2">
        <v>5</v>
      </c>
      <c r="AX272" s="2" t="s">
        <v>74</v>
      </c>
      <c r="AY272" s="2" t="s">
        <v>74</v>
      </c>
      <c r="AZ272" s="2" t="s">
        <v>74</v>
      </c>
      <c r="BA272" s="2" t="s">
        <v>74</v>
      </c>
      <c r="BB272" s="2">
        <v>941</v>
      </c>
      <c r="BC272" s="2">
        <v>956</v>
      </c>
      <c r="BD272" s="2" t="s">
        <v>74</v>
      </c>
      <c r="BE272" s="2" t="s">
        <v>8478</v>
      </c>
      <c r="BF272" s="2" t="str">
        <f>HYPERLINK("http://dx.doi.org/10.1007/s10682-014-9711-1","http://dx.doi.org/10.1007/s10682-014-9711-1")</f>
        <v>http://dx.doi.org/10.1007/s10682-014-9711-1</v>
      </c>
      <c r="BG272" s="2" t="s">
        <v>74</v>
      </c>
      <c r="BH272" s="2" t="s">
        <v>74</v>
      </c>
      <c r="BI272" s="2" t="s">
        <v>74</v>
      </c>
      <c r="BJ272" s="2" t="s">
        <v>74</v>
      </c>
      <c r="BK272" s="2" t="s">
        <v>74</v>
      </c>
      <c r="BL272" s="2" t="s">
        <v>74</v>
      </c>
      <c r="BM272" s="2" t="s">
        <v>74</v>
      </c>
      <c r="BN272" s="2" t="s">
        <v>74</v>
      </c>
      <c r="BO272" s="2" t="s">
        <v>74</v>
      </c>
      <c r="BP272" s="2" t="s">
        <v>74</v>
      </c>
      <c r="BQ272" s="2" t="s">
        <v>74</v>
      </c>
      <c r="BR272" s="2" t="s">
        <v>74</v>
      </c>
      <c r="BS272" s="2" t="s">
        <v>8479</v>
      </c>
      <c r="BT272" s="2" t="str">
        <f>HYPERLINK("https%3A%2F%2Fwww.webofscience.com%2Fwos%2Fwoscc%2Ffull-record%2FWOS:000340496000009","View Full Record in Web of Science")</f>
        <v>View Full Record in Web of Science</v>
      </c>
    </row>
    <row r="273" spans="1:72" s="2" customFormat="1" x14ac:dyDescent="0.4">
      <c r="A273" s="2" t="s">
        <v>72</v>
      </c>
      <c r="B273" s="2" t="s">
        <v>1195</v>
      </c>
      <c r="C273" s="2" t="s">
        <v>74</v>
      </c>
      <c r="D273" s="2" t="s">
        <v>74</v>
      </c>
      <c r="E273" s="2" t="s">
        <v>74</v>
      </c>
      <c r="F273" s="2" t="s">
        <v>1196</v>
      </c>
      <c r="G273" s="2" t="s">
        <v>74</v>
      </c>
      <c r="H273" s="2" t="s">
        <v>74</v>
      </c>
      <c r="I273" s="2" t="s">
        <v>1197</v>
      </c>
      <c r="J273" s="2" t="s">
        <v>1198</v>
      </c>
      <c r="K273" s="2" t="s">
        <v>74</v>
      </c>
      <c r="L273" s="2" t="s">
        <v>74</v>
      </c>
      <c r="M273" s="2" t="s">
        <v>74</v>
      </c>
      <c r="N273" s="2" t="s">
        <v>74</v>
      </c>
      <c r="O273" s="2" t="s">
        <v>74</v>
      </c>
      <c r="P273" s="2" t="s">
        <v>74</v>
      </c>
      <c r="Q273" s="2" t="s">
        <v>74</v>
      </c>
      <c r="R273" s="2" t="s">
        <v>74</v>
      </c>
      <c r="S273" s="2" t="s">
        <v>74</v>
      </c>
      <c r="T273" s="2" t="s">
        <v>74</v>
      </c>
      <c r="U273" s="2" t="s">
        <v>74</v>
      </c>
      <c r="V273" s="5" t="s">
        <v>1199</v>
      </c>
      <c r="W273" s="2" t="s">
        <v>74</v>
      </c>
      <c r="X273" s="2" t="s">
        <v>74</v>
      </c>
      <c r="Y273" s="2" t="s">
        <v>74</v>
      </c>
      <c r="Z273" s="2" t="s">
        <v>74</v>
      </c>
      <c r="AA273" s="2" t="s">
        <v>1200</v>
      </c>
      <c r="AB273" s="2" t="s">
        <v>1201</v>
      </c>
      <c r="AC273" s="2" t="s">
        <v>74</v>
      </c>
      <c r="AD273" s="2" t="s">
        <v>74</v>
      </c>
      <c r="AE273" s="2" t="s">
        <v>74</v>
      </c>
      <c r="AF273" s="2" t="s">
        <v>74</v>
      </c>
      <c r="AG273" s="2" t="s">
        <v>74</v>
      </c>
      <c r="AH273" s="2" t="s">
        <v>74</v>
      </c>
      <c r="AI273" s="2" t="s">
        <v>74</v>
      </c>
      <c r="AJ273" s="2" t="s">
        <v>74</v>
      </c>
      <c r="AK273" s="2" t="s">
        <v>74</v>
      </c>
      <c r="AL273" s="2" t="s">
        <v>74</v>
      </c>
      <c r="AM273" s="2" t="s">
        <v>74</v>
      </c>
      <c r="AN273" s="2" t="s">
        <v>74</v>
      </c>
      <c r="AO273" s="2" t="s">
        <v>1202</v>
      </c>
      <c r="AP273" s="2" t="s">
        <v>1203</v>
      </c>
      <c r="AQ273" s="2" t="s">
        <v>74</v>
      </c>
      <c r="AR273" s="2" t="s">
        <v>74</v>
      </c>
      <c r="AS273" s="2" t="s">
        <v>74</v>
      </c>
      <c r="AT273" s="2" t="s">
        <v>123</v>
      </c>
      <c r="AU273" s="2">
        <v>2023</v>
      </c>
      <c r="AV273" s="2">
        <v>79</v>
      </c>
      <c r="AW273" s="2">
        <v>1</v>
      </c>
      <c r="AX273" s="2" t="s">
        <v>74</v>
      </c>
      <c r="AY273" s="2" t="s">
        <v>74</v>
      </c>
      <c r="AZ273" s="2" t="s">
        <v>74</v>
      </c>
      <c r="BA273" s="2" t="s">
        <v>74</v>
      </c>
      <c r="BB273" s="2">
        <v>37</v>
      </c>
      <c r="BC273" s="2">
        <v>47</v>
      </c>
      <c r="BD273" s="2" t="s">
        <v>74</v>
      </c>
      <c r="BE273" s="2" t="s">
        <v>74</v>
      </c>
      <c r="BF273" s="2" t="s">
        <v>74</v>
      </c>
      <c r="BG273" s="2" t="s">
        <v>74</v>
      </c>
      <c r="BH273" s="2" t="s">
        <v>74</v>
      </c>
      <c r="BI273" s="2" t="s">
        <v>74</v>
      </c>
      <c r="BJ273" s="2" t="s">
        <v>74</v>
      </c>
      <c r="BK273" s="2" t="s">
        <v>74</v>
      </c>
      <c r="BL273" s="2" t="s">
        <v>74</v>
      </c>
      <c r="BM273" s="2" t="s">
        <v>74</v>
      </c>
      <c r="BN273" s="2" t="s">
        <v>74</v>
      </c>
      <c r="BO273" s="2" t="s">
        <v>74</v>
      </c>
      <c r="BP273" s="2" t="s">
        <v>74</v>
      </c>
      <c r="BQ273" s="2" t="s">
        <v>74</v>
      </c>
      <c r="BR273" s="2" t="s">
        <v>74</v>
      </c>
      <c r="BS273" s="2" t="s">
        <v>1204</v>
      </c>
      <c r="BT273" s="2" t="str">
        <f>HYPERLINK("https%3A%2F%2Fwww.webofscience.com%2Fwos%2Fwoscc%2Ffull-record%2FWOS:000948166800005","View Full Record in Web of Science")</f>
        <v>View Full Record in Web of Science</v>
      </c>
    </row>
    <row r="274" spans="1:72" s="2" customFormat="1" x14ac:dyDescent="0.4">
      <c r="A274" s="2" t="s">
        <v>72</v>
      </c>
      <c r="B274" s="2" t="s">
        <v>5849</v>
      </c>
      <c r="C274" s="2" t="s">
        <v>74</v>
      </c>
      <c r="D274" s="2" t="s">
        <v>74</v>
      </c>
      <c r="E274" s="2" t="s">
        <v>74</v>
      </c>
      <c r="F274" s="2" t="s">
        <v>5850</v>
      </c>
      <c r="G274" s="2" t="s">
        <v>74</v>
      </c>
      <c r="H274" s="2" t="s">
        <v>74</v>
      </c>
      <c r="I274" s="2" t="s">
        <v>5851</v>
      </c>
      <c r="J274" s="2" t="s">
        <v>140</v>
      </c>
      <c r="K274" s="2" t="s">
        <v>74</v>
      </c>
      <c r="L274" s="2" t="s">
        <v>74</v>
      </c>
      <c r="M274" s="2" t="s">
        <v>74</v>
      </c>
      <c r="N274" s="2" t="s">
        <v>74</v>
      </c>
      <c r="O274" s="2" t="s">
        <v>74</v>
      </c>
      <c r="P274" s="2" t="s">
        <v>74</v>
      </c>
      <c r="Q274" s="2" t="s">
        <v>74</v>
      </c>
      <c r="R274" s="2" t="s">
        <v>74</v>
      </c>
      <c r="S274" s="2" t="s">
        <v>74</v>
      </c>
      <c r="T274" s="2" t="s">
        <v>74</v>
      </c>
      <c r="U274" s="2" t="s">
        <v>74</v>
      </c>
      <c r="V274" s="5" t="s">
        <v>5852</v>
      </c>
      <c r="W274" s="2" t="s">
        <v>74</v>
      </c>
      <c r="X274" s="2" t="s">
        <v>74</v>
      </c>
      <c r="Y274" s="2" t="s">
        <v>74</v>
      </c>
      <c r="Z274" s="2" t="s">
        <v>74</v>
      </c>
      <c r="AA274" s="2" t="s">
        <v>5853</v>
      </c>
      <c r="AB274" s="2" t="s">
        <v>5854</v>
      </c>
      <c r="AC274" s="2" t="s">
        <v>74</v>
      </c>
      <c r="AD274" s="2" t="s">
        <v>74</v>
      </c>
      <c r="AE274" s="2" t="s">
        <v>74</v>
      </c>
      <c r="AF274" s="2" t="s">
        <v>74</v>
      </c>
      <c r="AG274" s="2" t="s">
        <v>74</v>
      </c>
      <c r="AH274" s="2" t="s">
        <v>74</v>
      </c>
      <c r="AI274" s="2" t="s">
        <v>74</v>
      </c>
      <c r="AJ274" s="2" t="s">
        <v>74</v>
      </c>
      <c r="AK274" s="2" t="s">
        <v>74</v>
      </c>
      <c r="AL274" s="2" t="s">
        <v>74</v>
      </c>
      <c r="AM274" s="2" t="s">
        <v>74</v>
      </c>
      <c r="AN274" s="2" t="s">
        <v>74</v>
      </c>
      <c r="AO274" s="2" t="s">
        <v>143</v>
      </c>
      <c r="AP274" s="2" t="s">
        <v>144</v>
      </c>
      <c r="AQ274" s="2" t="s">
        <v>74</v>
      </c>
      <c r="AR274" s="2" t="s">
        <v>74</v>
      </c>
      <c r="AS274" s="2" t="s">
        <v>74</v>
      </c>
      <c r="AT274" s="2" t="s">
        <v>213</v>
      </c>
      <c r="AU274" s="2">
        <v>2015</v>
      </c>
      <c r="AV274" s="2">
        <v>109</v>
      </c>
      <c r="AW274" s="2" t="s">
        <v>74</v>
      </c>
      <c r="AX274" s="2" t="s">
        <v>74</v>
      </c>
      <c r="AY274" s="2" t="s">
        <v>74</v>
      </c>
      <c r="AZ274" s="2" t="s">
        <v>74</v>
      </c>
      <c r="BA274" s="2" t="s">
        <v>74</v>
      </c>
      <c r="BB274" s="2">
        <v>33</v>
      </c>
      <c r="BC274" s="2">
        <v>44</v>
      </c>
      <c r="BD274" s="2" t="s">
        <v>74</v>
      </c>
      <c r="BE274" s="2" t="s">
        <v>5855</v>
      </c>
      <c r="BF274" s="2" t="str">
        <f>HYPERLINK("http://dx.doi.org/10.1016/j.anbehav.2015.08.002","http://dx.doi.org/10.1016/j.anbehav.2015.08.002")</f>
        <v>http://dx.doi.org/10.1016/j.anbehav.2015.08.002</v>
      </c>
      <c r="BG274" s="2" t="s">
        <v>74</v>
      </c>
      <c r="BH274" s="2" t="s">
        <v>74</v>
      </c>
      <c r="BI274" s="2" t="s">
        <v>74</v>
      </c>
      <c r="BJ274" s="2" t="s">
        <v>74</v>
      </c>
      <c r="BK274" s="2" t="s">
        <v>74</v>
      </c>
      <c r="BL274" s="2" t="s">
        <v>74</v>
      </c>
      <c r="BM274" s="2" t="s">
        <v>74</v>
      </c>
      <c r="BN274" s="2" t="s">
        <v>74</v>
      </c>
      <c r="BO274" s="2" t="s">
        <v>74</v>
      </c>
      <c r="BP274" s="2" t="s">
        <v>74</v>
      </c>
      <c r="BQ274" s="2" t="s">
        <v>74</v>
      </c>
      <c r="BR274" s="2" t="s">
        <v>74</v>
      </c>
      <c r="BS274" s="2" t="s">
        <v>5856</v>
      </c>
      <c r="BT274" s="2" t="str">
        <f>HYPERLINK("https%3A%2F%2Fwww.webofscience.com%2Fwos%2Fwoscc%2Ffull-record%2FWOS:000363268300007","View Full Record in Web of Science")</f>
        <v>View Full Record in Web of Science</v>
      </c>
    </row>
    <row r="275" spans="1:72" s="2" customFormat="1" x14ac:dyDescent="0.4">
      <c r="A275" s="2" t="s">
        <v>72</v>
      </c>
      <c r="B275" s="2" t="s">
        <v>6750</v>
      </c>
      <c r="C275" s="2" t="s">
        <v>74</v>
      </c>
      <c r="D275" s="2" t="s">
        <v>74</v>
      </c>
      <c r="E275" s="2" t="s">
        <v>74</v>
      </c>
      <c r="F275" s="2" t="s">
        <v>6751</v>
      </c>
      <c r="G275" s="2" t="s">
        <v>74</v>
      </c>
      <c r="H275" s="2" t="s">
        <v>74</v>
      </c>
      <c r="I275" s="2" t="s">
        <v>6752</v>
      </c>
      <c r="J275" s="2" t="s">
        <v>610</v>
      </c>
      <c r="K275" s="2" t="s">
        <v>74</v>
      </c>
      <c r="L275" s="2" t="s">
        <v>74</v>
      </c>
      <c r="M275" s="2" t="s">
        <v>74</v>
      </c>
      <c r="N275" s="2" t="s">
        <v>74</v>
      </c>
      <c r="O275" s="2" t="s">
        <v>74</v>
      </c>
      <c r="P275" s="2" t="s">
        <v>74</v>
      </c>
      <c r="Q275" s="2" t="s">
        <v>74</v>
      </c>
      <c r="R275" s="2" t="s">
        <v>74</v>
      </c>
      <c r="S275" s="2" t="s">
        <v>74</v>
      </c>
      <c r="T275" s="2" t="s">
        <v>74</v>
      </c>
      <c r="U275" s="2" t="s">
        <v>74</v>
      </c>
      <c r="V275" s="5" t="s">
        <v>6753</v>
      </c>
      <c r="W275" s="2" t="s">
        <v>74</v>
      </c>
      <c r="X275" s="2" t="s">
        <v>74</v>
      </c>
      <c r="Y275" s="2" t="s">
        <v>74</v>
      </c>
      <c r="Z275" s="2" t="s">
        <v>74</v>
      </c>
      <c r="AA275" s="2" t="s">
        <v>6754</v>
      </c>
      <c r="AB275" s="2" t="s">
        <v>6755</v>
      </c>
      <c r="AC275" s="2" t="s">
        <v>74</v>
      </c>
      <c r="AD275" s="2" t="s">
        <v>74</v>
      </c>
      <c r="AE275" s="2" t="s">
        <v>74</v>
      </c>
      <c r="AF275" s="2" t="s">
        <v>74</v>
      </c>
      <c r="AG275" s="2" t="s">
        <v>74</v>
      </c>
      <c r="AH275" s="2" t="s">
        <v>74</v>
      </c>
      <c r="AI275" s="2" t="s">
        <v>74</v>
      </c>
      <c r="AJ275" s="2" t="s">
        <v>74</v>
      </c>
      <c r="AK275" s="2" t="s">
        <v>74</v>
      </c>
      <c r="AL275" s="2" t="s">
        <v>74</v>
      </c>
      <c r="AM275" s="2" t="s">
        <v>74</v>
      </c>
      <c r="AN275" s="2" t="s">
        <v>74</v>
      </c>
      <c r="AO275" s="2" t="s">
        <v>614</v>
      </c>
      <c r="AP275" s="2" t="s">
        <v>615</v>
      </c>
      <c r="AQ275" s="2" t="s">
        <v>74</v>
      </c>
      <c r="AR275" s="2" t="s">
        <v>74</v>
      </c>
      <c r="AS275" s="2" t="s">
        <v>74</v>
      </c>
      <c r="AT275" s="2" t="s">
        <v>964</v>
      </c>
      <c r="AU275" s="2">
        <v>2020</v>
      </c>
      <c r="AV275" s="2">
        <v>126</v>
      </c>
      <c r="AW275" s="2">
        <v>2</v>
      </c>
      <c r="AX275" s="2" t="s">
        <v>74</v>
      </c>
      <c r="AY275" s="2" t="s">
        <v>74</v>
      </c>
      <c r="AZ275" s="2" t="s">
        <v>848</v>
      </c>
      <c r="BA275" s="2" t="s">
        <v>74</v>
      </c>
      <c r="BB275" s="2">
        <v>140</v>
      </c>
      <c r="BC275" s="2">
        <v>152</v>
      </c>
      <c r="BD275" s="2" t="s">
        <v>74</v>
      </c>
      <c r="BE275" s="2" t="s">
        <v>6756</v>
      </c>
      <c r="BF275" s="2" t="str">
        <f>HYPERLINK("http://dx.doi.org/10.1111/eth.12954","http://dx.doi.org/10.1111/eth.12954")</f>
        <v>http://dx.doi.org/10.1111/eth.12954</v>
      </c>
      <c r="BG275" s="2" t="s">
        <v>74</v>
      </c>
      <c r="BH275" s="2" t="s">
        <v>6757</v>
      </c>
      <c r="BI275" s="2" t="s">
        <v>74</v>
      </c>
      <c r="BJ275" s="2" t="s">
        <v>74</v>
      </c>
      <c r="BK275" s="2" t="s">
        <v>74</v>
      </c>
      <c r="BL275" s="2" t="s">
        <v>74</v>
      </c>
      <c r="BM275" s="2" t="s">
        <v>74</v>
      </c>
      <c r="BN275" s="2" t="s">
        <v>74</v>
      </c>
      <c r="BO275" s="2" t="s">
        <v>74</v>
      </c>
      <c r="BP275" s="2" t="s">
        <v>74</v>
      </c>
      <c r="BQ275" s="2" t="s">
        <v>74</v>
      </c>
      <c r="BR275" s="2" t="s">
        <v>74</v>
      </c>
      <c r="BS275" s="2" t="s">
        <v>6758</v>
      </c>
      <c r="BT275" s="2" t="str">
        <f>HYPERLINK("https%3A%2F%2Fwww.webofscience.com%2Fwos%2Fwoscc%2Ffull-record%2FWOS:000488374300001","View Full Record in Web of Science")</f>
        <v>View Full Record in Web of Science</v>
      </c>
    </row>
    <row r="276" spans="1:72" s="2" customFormat="1" x14ac:dyDescent="0.4">
      <c r="A276" s="2" t="s">
        <v>72</v>
      </c>
      <c r="B276" s="2" t="s">
        <v>5771</v>
      </c>
      <c r="C276" s="2" t="s">
        <v>74</v>
      </c>
      <c r="D276" s="2" t="s">
        <v>74</v>
      </c>
      <c r="E276" s="2" t="s">
        <v>74</v>
      </c>
      <c r="F276" s="2" t="s">
        <v>5772</v>
      </c>
      <c r="G276" s="2" t="s">
        <v>74</v>
      </c>
      <c r="H276" s="2" t="s">
        <v>74</v>
      </c>
      <c r="I276" s="2" t="s">
        <v>5773</v>
      </c>
      <c r="J276" s="2" t="s">
        <v>5774</v>
      </c>
      <c r="K276" s="2" t="s">
        <v>74</v>
      </c>
      <c r="L276" s="2" t="s">
        <v>74</v>
      </c>
      <c r="M276" s="2" t="s">
        <v>74</v>
      </c>
      <c r="N276" s="2" t="s">
        <v>74</v>
      </c>
      <c r="O276" s="2" t="s">
        <v>74</v>
      </c>
      <c r="P276" s="2" t="s">
        <v>74</v>
      </c>
      <c r="Q276" s="2" t="s">
        <v>74</v>
      </c>
      <c r="R276" s="2" t="s">
        <v>74</v>
      </c>
      <c r="S276" s="2" t="s">
        <v>74</v>
      </c>
      <c r="T276" s="2" t="s">
        <v>74</v>
      </c>
      <c r="U276" s="2" t="s">
        <v>74</v>
      </c>
      <c r="V276" s="5" t="s">
        <v>5775</v>
      </c>
      <c r="W276" s="2" t="s">
        <v>74</v>
      </c>
      <c r="X276" s="2" t="s">
        <v>74</v>
      </c>
      <c r="Y276" s="2" t="s">
        <v>74</v>
      </c>
      <c r="Z276" s="2" t="s">
        <v>74</v>
      </c>
      <c r="AA276" s="2" t="s">
        <v>4828</v>
      </c>
      <c r="AB276" s="2" t="s">
        <v>4829</v>
      </c>
      <c r="AC276" s="2" t="s">
        <v>74</v>
      </c>
      <c r="AD276" s="2" t="s">
        <v>74</v>
      </c>
      <c r="AE276" s="2" t="s">
        <v>74</v>
      </c>
      <c r="AF276" s="2" t="s">
        <v>74</v>
      </c>
      <c r="AG276" s="2" t="s">
        <v>74</v>
      </c>
      <c r="AH276" s="2" t="s">
        <v>74</v>
      </c>
      <c r="AI276" s="2" t="s">
        <v>74</v>
      </c>
      <c r="AJ276" s="2" t="s">
        <v>74</v>
      </c>
      <c r="AK276" s="2" t="s">
        <v>74</v>
      </c>
      <c r="AL276" s="2" t="s">
        <v>74</v>
      </c>
      <c r="AM276" s="2" t="s">
        <v>74</v>
      </c>
      <c r="AN276" s="2" t="s">
        <v>74</v>
      </c>
      <c r="AO276" s="2" t="s">
        <v>5776</v>
      </c>
      <c r="AP276" s="2" t="s">
        <v>74</v>
      </c>
      <c r="AQ276" s="2" t="s">
        <v>74</v>
      </c>
      <c r="AR276" s="2" t="s">
        <v>74</v>
      </c>
      <c r="AS276" s="2" t="s">
        <v>74</v>
      </c>
      <c r="AT276" s="2" t="s">
        <v>102</v>
      </c>
      <c r="AU276" s="2">
        <v>2009</v>
      </c>
      <c r="AV276" s="2">
        <v>20</v>
      </c>
      <c r="AW276" s="2">
        <v>2</v>
      </c>
      <c r="AX276" s="2" t="s">
        <v>74</v>
      </c>
      <c r="AY276" s="2" t="s">
        <v>74</v>
      </c>
      <c r="AZ276" s="2" t="s">
        <v>74</v>
      </c>
      <c r="BA276" s="2" t="s">
        <v>74</v>
      </c>
      <c r="BB276" s="2">
        <v>163</v>
      </c>
      <c r="BC276" s="2">
        <v>178</v>
      </c>
      <c r="BD276" s="2" t="s">
        <v>74</v>
      </c>
      <c r="BE276" s="2" t="s">
        <v>74</v>
      </c>
      <c r="BF276" s="2" t="s">
        <v>74</v>
      </c>
      <c r="BG276" s="2" t="s">
        <v>74</v>
      </c>
      <c r="BH276" s="2" t="s">
        <v>74</v>
      </c>
      <c r="BI276" s="2" t="s">
        <v>74</v>
      </c>
      <c r="BJ276" s="2" t="s">
        <v>74</v>
      </c>
      <c r="BK276" s="2" t="s">
        <v>74</v>
      </c>
      <c r="BL276" s="2" t="s">
        <v>74</v>
      </c>
      <c r="BM276" s="2" t="s">
        <v>74</v>
      </c>
      <c r="BN276" s="2" t="s">
        <v>74</v>
      </c>
      <c r="BO276" s="2" t="s">
        <v>74</v>
      </c>
      <c r="BP276" s="2" t="s">
        <v>74</v>
      </c>
      <c r="BQ276" s="2" t="s">
        <v>74</v>
      </c>
      <c r="BR276" s="2" t="s">
        <v>74</v>
      </c>
      <c r="BS276" s="2" t="s">
        <v>5777</v>
      </c>
      <c r="BT276" s="2" t="str">
        <f>HYPERLINK("https%3A%2F%2Fwww.webofscience.com%2Fwos%2Fwoscc%2Ffull-record%2FWOS:000269324600006","View Full Record in Web of Science")</f>
        <v>View Full Record in Web of Science</v>
      </c>
    </row>
    <row r="277" spans="1:72" s="2" customFormat="1" x14ac:dyDescent="0.4">
      <c r="A277" s="2" t="s">
        <v>72</v>
      </c>
      <c r="B277" s="2" t="s">
        <v>6416</v>
      </c>
      <c r="C277" s="2" t="s">
        <v>74</v>
      </c>
      <c r="D277" s="2" t="s">
        <v>74</v>
      </c>
      <c r="E277" s="2" t="s">
        <v>74</v>
      </c>
      <c r="F277" s="2" t="s">
        <v>6417</v>
      </c>
      <c r="G277" s="2" t="s">
        <v>74</v>
      </c>
      <c r="H277" s="2" t="s">
        <v>74</v>
      </c>
      <c r="I277" s="2" t="s">
        <v>6418</v>
      </c>
      <c r="J277" s="2" t="s">
        <v>1812</v>
      </c>
      <c r="K277" s="2" t="s">
        <v>74</v>
      </c>
      <c r="L277" s="2" t="s">
        <v>74</v>
      </c>
      <c r="M277" s="2" t="s">
        <v>74</v>
      </c>
      <c r="N277" s="2" t="s">
        <v>74</v>
      </c>
      <c r="O277" s="2" t="s">
        <v>74</v>
      </c>
      <c r="P277" s="2" t="s">
        <v>74</v>
      </c>
      <c r="Q277" s="2" t="s">
        <v>74</v>
      </c>
      <c r="R277" s="2" t="s">
        <v>74</v>
      </c>
      <c r="S277" s="2" t="s">
        <v>74</v>
      </c>
      <c r="T277" s="2" t="s">
        <v>74</v>
      </c>
      <c r="U277" s="2" t="s">
        <v>74</v>
      </c>
      <c r="V277" s="5" t="s">
        <v>6419</v>
      </c>
      <c r="W277" s="2" t="s">
        <v>74</v>
      </c>
      <c r="X277" s="2" t="s">
        <v>74</v>
      </c>
      <c r="Y277" s="2" t="s">
        <v>74</v>
      </c>
      <c r="Z277" s="2" t="s">
        <v>74</v>
      </c>
      <c r="AA277" s="2" t="s">
        <v>6420</v>
      </c>
      <c r="AB277" s="2" t="s">
        <v>6421</v>
      </c>
      <c r="AC277" s="2" t="s">
        <v>74</v>
      </c>
      <c r="AD277" s="2" t="s">
        <v>74</v>
      </c>
      <c r="AE277" s="2" t="s">
        <v>74</v>
      </c>
      <c r="AF277" s="2" t="s">
        <v>74</v>
      </c>
      <c r="AG277" s="2" t="s">
        <v>74</v>
      </c>
      <c r="AH277" s="2" t="s">
        <v>74</v>
      </c>
      <c r="AI277" s="2" t="s">
        <v>74</v>
      </c>
      <c r="AJ277" s="2" t="s">
        <v>74</v>
      </c>
      <c r="AK277" s="2" t="s">
        <v>74</v>
      </c>
      <c r="AL277" s="2" t="s">
        <v>74</v>
      </c>
      <c r="AM277" s="2" t="s">
        <v>74</v>
      </c>
      <c r="AN277" s="2" t="s">
        <v>74</v>
      </c>
      <c r="AO277" s="2" t="s">
        <v>1814</v>
      </c>
      <c r="AP277" s="2" t="s">
        <v>1815</v>
      </c>
      <c r="AQ277" s="2" t="s">
        <v>74</v>
      </c>
      <c r="AR277" s="2" t="s">
        <v>74</v>
      </c>
      <c r="AS277" s="2" t="s">
        <v>74</v>
      </c>
      <c r="AT277" s="2" t="s">
        <v>123</v>
      </c>
      <c r="AU277" s="2">
        <v>2016</v>
      </c>
      <c r="AV277" s="2">
        <v>50</v>
      </c>
      <c r="AW277" s="2">
        <v>1</v>
      </c>
      <c r="AX277" s="2" t="s">
        <v>74</v>
      </c>
      <c r="AY277" s="2" t="s">
        <v>74</v>
      </c>
      <c r="AZ277" s="2" t="s">
        <v>74</v>
      </c>
      <c r="BA277" s="2" t="s">
        <v>74</v>
      </c>
      <c r="BB277" s="2">
        <v>169</v>
      </c>
      <c r="BC277" s="2">
        <v>178</v>
      </c>
      <c r="BD277" s="2" t="s">
        <v>74</v>
      </c>
      <c r="BE277" s="2" t="s">
        <v>6422</v>
      </c>
      <c r="BF277" s="2" t="str">
        <f>HYPERLINK("http://dx.doi.org/10.1670/14-119","http://dx.doi.org/10.1670/14-119")</f>
        <v>http://dx.doi.org/10.1670/14-119</v>
      </c>
      <c r="BG277" s="2" t="s">
        <v>74</v>
      </c>
      <c r="BH277" s="2" t="s">
        <v>74</v>
      </c>
      <c r="BI277" s="2" t="s">
        <v>74</v>
      </c>
      <c r="BJ277" s="2" t="s">
        <v>74</v>
      </c>
      <c r="BK277" s="2" t="s">
        <v>74</v>
      </c>
      <c r="BL277" s="2" t="s">
        <v>74</v>
      </c>
      <c r="BM277" s="2" t="s">
        <v>74</v>
      </c>
      <c r="BN277" s="2" t="s">
        <v>74</v>
      </c>
      <c r="BO277" s="2" t="s">
        <v>74</v>
      </c>
      <c r="BP277" s="2" t="s">
        <v>74</v>
      </c>
      <c r="BQ277" s="2" t="s">
        <v>74</v>
      </c>
      <c r="BR277" s="2" t="s">
        <v>74</v>
      </c>
      <c r="BS277" s="2" t="s">
        <v>6423</v>
      </c>
      <c r="BT277" s="2" t="str">
        <f>HYPERLINK("https%3A%2F%2Fwww.webofscience.com%2Fwos%2Fwoscc%2Ffull-record%2FWOS:000371617900026","View Full Record in Web of Science")</f>
        <v>View Full Record in Web of Science</v>
      </c>
    </row>
    <row r="278" spans="1:72" s="2" customFormat="1" x14ac:dyDescent="0.4">
      <c r="A278" s="2" t="s">
        <v>72</v>
      </c>
      <c r="B278" s="2" t="s">
        <v>5308</v>
      </c>
      <c r="C278" s="2" t="s">
        <v>74</v>
      </c>
      <c r="D278" s="2" t="s">
        <v>74</v>
      </c>
      <c r="E278" s="2" t="s">
        <v>74</v>
      </c>
      <c r="F278" s="2" t="s">
        <v>5309</v>
      </c>
      <c r="G278" s="2" t="s">
        <v>74</v>
      </c>
      <c r="H278" s="2" t="s">
        <v>74</v>
      </c>
      <c r="I278" s="2" t="s">
        <v>5310</v>
      </c>
      <c r="J278" s="2" t="s">
        <v>119</v>
      </c>
      <c r="K278" s="2" t="s">
        <v>74</v>
      </c>
      <c r="L278" s="2" t="s">
        <v>74</v>
      </c>
      <c r="M278" s="2" t="s">
        <v>74</v>
      </c>
      <c r="N278" s="2" t="s">
        <v>74</v>
      </c>
      <c r="O278" s="2" t="s">
        <v>74</v>
      </c>
      <c r="P278" s="2" t="s">
        <v>74</v>
      </c>
      <c r="Q278" s="2" t="s">
        <v>74</v>
      </c>
      <c r="R278" s="2" t="s">
        <v>74</v>
      </c>
      <c r="S278" s="2" t="s">
        <v>74</v>
      </c>
      <c r="T278" s="2" t="s">
        <v>74</v>
      </c>
      <c r="U278" s="2" t="s">
        <v>74</v>
      </c>
      <c r="V278" s="5" t="s">
        <v>5311</v>
      </c>
      <c r="W278" s="2" t="s">
        <v>74</v>
      </c>
      <c r="X278" s="2" t="s">
        <v>74</v>
      </c>
      <c r="Y278" s="2" t="s">
        <v>74</v>
      </c>
      <c r="Z278" s="2" t="s">
        <v>74</v>
      </c>
      <c r="AA278" s="2" t="s">
        <v>74</v>
      </c>
      <c r="AB278" s="2" t="s">
        <v>74</v>
      </c>
      <c r="AC278" s="2" t="s">
        <v>74</v>
      </c>
      <c r="AD278" s="2" t="s">
        <v>74</v>
      </c>
      <c r="AE278" s="2" t="s">
        <v>74</v>
      </c>
      <c r="AF278" s="2" t="s">
        <v>74</v>
      </c>
      <c r="AG278" s="2" t="s">
        <v>74</v>
      </c>
      <c r="AH278" s="2" t="s">
        <v>74</v>
      </c>
      <c r="AI278" s="2" t="s">
        <v>74</v>
      </c>
      <c r="AJ278" s="2" t="s">
        <v>74</v>
      </c>
      <c r="AK278" s="2" t="s">
        <v>74</v>
      </c>
      <c r="AL278" s="2" t="s">
        <v>74</v>
      </c>
      <c r="AM278" s="2" t="s">
        <v>74</v>
      </c>
      <c r="AN278" s="2" t="s">
        <v>74</v>
      </c>
      <c r="AO278" s="2" t="s">
        <v>121</v>
      </c>
      <c r="AP278" s="2" t="s">
        <v>122</v>
      </c>
      <c r="AQ278" s="2" t="s">
        <v>74</v>
      </c>
      <c r="AR278" s="2" t="s">
        <v>74</v>
      </c>
      <c r="AS278" s="2" t="s">
        <v>74</v>
      </c>
      <c r="AT278" s="2" t="s">
        <v>255</v>
      </c>
      <c r="AU278" s="2">
        <v>2009</v>
      </c>
      <c r="AV278" s="2">
        <v>80</v>
      </c>
      <c r="AW278" s="2">
        <v>1</v>
      </c>
      <c r="AX278" s="2" t="s">
        <v>74</v>
      </c>
      <c r="AY278" s="2" t="s">
        <v>74</v>
      </c>
      <c r="AZ278" s="2" t="s">
        <v>74</v>
      </c>
      <c r="BA278" s="2" t="s">
        <v>74</v>
      </c>
      <c r="BB278" s="2">
        <v>46</v>
      </c>
      <c r="BC278" s="2">
        <v>50</v>
      </c>
      <c r="BD278" s="2" t="s">
        <v>74</v>
      </c>
      <c r="BE278" s="2" t="s">
        <v>5312</v>
      </c>
      <c r="BF278" s="2" t="str">
        <f>HYPERLINK("http://dx.doi.org/10.1016/j.beproc.2008.09.007","http://dx.doi.org/10.1016/j.beproc.2008.09.007")</f>
        <v>http://dx.doi.org/10.1016/j.beproc.2008.09.007</v>
      </c>
      <c r="BG278" s="2" t="s">
        <v>74</v>
      </c>
      <c r="BH278" s="2" t="s">
        <v>74</v>
      </c>
      <c r="BI278" s="2" t="s">
        <v>74</v>
      </c>
      <c r="BJ278" s="2" t="s">
        <v>74</v>
      </c>
      <c r="BK278" s="2" t="s">
        <v>74</v>
      </c>
      <c r="BL278" s="2" t="s">
        <v>74</v>
      </c>
      <c r="BM278" s="2" t="s">
        <v>74</v>
      </c>
      <c r="BN278" s="2">
        <v>18929629</v>
      </c>
      <c r="BO278" s="2" t="s">
        <v>74</v>
      </c>
      <c r="BP278" s="2" t="s">
        <v>74</v>
      </c>
      <c r="BQ278" s="2" t="s">
        <v>74</v>
      </c>
      <c r="BR278" s="2" t="s">
        <v>74</v>
      </c>
      <c r="BS278" s="2" t="s">
        <v>5313</v>
      </c>
      <c r="BT278" s="2" t="str">
        <f>HYPERLINK("https%3A%2F%2Fwww.webofscience.com%2Fwos%2Fwoscc%2Ffull-record%2FWOS:000262546900008","View Full Record in Web of Science")</f>
        <v>View Full Record in Web of Science</v>
      </c>
    </row>
    <row r="279" spans="1:72" s="2" customFormat="1" x14ac:dyDescent="0.4">
      <c r="A279" s="2" t="s">
        <v>72</v>
      </c>
      <c r="B279" s="2" t="s">
        <v>6625</v>
      </c>
      <c r="C279" s="2" t="s">
        <v>74</v>
      </c>
      <c r="D279" s="2" t="s">
        <v>74</v>
      </c>
      <c r="E279" s="2" t="s">
        <v>74</v>
      </c>
      <c r="F279" s="2" t="s">
        <v>6625</v>
      </c>
      <c r="G279" s="2" t="s">
        <v>74</v>
      </c>
      <c r="H279" s="2" t="s">
        <v>74</v>
      </c>
      <c r="I279" s="2" t="s">
        <v>6626</v>
      </c>
      <c r="J279" s="2" t="s">
        <v>814</v>
      </c>
      <c r="K279" s="2" t="s">
        <v>74</v>
      </c>
      <c r="L279" s="2" t="s">
        <v>74</v>
      </c>
      <c r="M279" s="2" t="s">
        <v>74</v>
      </c>
      <c r="N279" s="2" t="s">
        <v>74</v>
      </c>
      <c r="O279" s="2" t="s">
        <v>74</v>
      </c>
      <c r="P279" s="2" t="s">
        <v>74</v>
      </c>
      <c r="Q279" s="2" t="s">
        <v>74</v>
      </c>
      <c r="R279" s="2" t="s">
        <v>74</v>
      </c>
      <c r="S279" s="2" t="s">
        <v>74</v>
      </c>
      <c r="T279" s="2" t="s">
        <v>74</v>
      </c>
      <c r="U279" s="2" t="s">
        <v>74</v>
      </c>
      <c r="V279" s="5" t="s">
        <v>6627</v>
      </c>
      <c r="W279" s="2" t="s">
        <v>74</v>
      </c>
      <c r="X279" s="2" t="s">
        <v>74</v>
      </c>
      <c r="Y279" s="2" t="s">
        <v>74</v>
      </c>
      <c r="Z279" s="2" t="s">
        <v>74</v>
      </c>
      <c r="AA279" s="2" t="s">
        <v>74</v>
      </c>
      <c r="AB279" s="2" t="s">
        <v>74</v>
      </c>
      <c r="AC279" s="2" t="s">
        <v>74</v>
      </c>
      <c r="AD279" s="2" t="s">
        <v>74</v>
      </c>
      <c r="AE279" s="2" t="s">
        <v>74</v>
      </c>
      <c r="AF279" s="2" t="s">
        <v>74</v>
      </c>
      <c r="AG279" s="2" t="s">
        <v>74</v>
      </c>
      <c r="AH279" s="2" t="s">
        <v>74</v>
      </c>
      <c r="AI279" s="2" t="s">
        <v>74</v>
      </c>
      <c r="AJ279" s="2" t="s">
        <v>74</v>
      </c>
      <c r="AK279" s="2" t="s">
        <v>74</v>
      </c>
      <c r="AL279" s="2" t="s">
        <v>74</v>
      </c>
      <c r="AM279" s="2" t="s">
        <v>74</v>
      </c>
      <c r="AN279" s="2" t="s">
        <v>74</v>
      </c>
      <c r="AO279" s="2" t="s">
        <v>818</v>
      </c>
      <c r="AP279" s="2" t="s">
        <v>74</v>
      </c>
      <c r="AQ279" s="2" t="s">
        <v>74</v>
      </c>
      <c r="AR279" s="2" t="s">
        <v>74</v>
      </c>
      <c r="AS279" s="2" t="s">
        <v>74</v>
      </c>
      <c r="AT279" s="2" t="s">
        <v>74</v>
      </c>
      <c r="AU279" s="2">
        <v>2005</v>
      </c>
      <c r="AV279" s="2">
        <v>108</v>
      </c>
      <c r="AW279" s="2">
        <v>1</v>
      </c>
      <c r="AX279" s="2" t="s">
        <v>74</v>
      </c>
      <c r="AY279" s="2" t="s">
        <v>74</v>
      </c>
      <c r="AZ279" s="2" t="s">
        <v>74</v>
      </c>
      <c r="BA279" s="2" t="s">
        <v>74</v>
      </c>
      <c r="BB279" s="2">
        <v>27</v>
      </c>
      <c r="BC279" s="2">
        <v>39</v>
      </c>
      <c r="BD279" s="2" t="s">
        <v>74</v>
      </c>
      <c r="BE279" s="2" t="s">
        <v>6628</v>
      </c>
      <c r="BF279" s="2" t="str">
        <f>HYPERLINK("http://dx.doi.org/10.1016/j.zool.2004.07.007","http://dx.doi.org/10.1016/j.zool.2004.07.007")</f>
        <v>http://dx.doi.org/10.1016/j.zool.2004.07.007</v>
      </c>
      <c r="BG279" s="2" t="s">
        <v>74</v>
      </c>
      <c r="BH279" s="2" t="s">
        <v>74</v>
      </c>
      <c r="BI279" s="2" t="s">
        <v>74</v>
      </c>
      <c r="BJ279" s="2" t="s">
        <v>74</v>
      </c>
      <c r="BK279" s="2" t="s">
        <v>74</v>
      </c>
      <c r="BL279" s="2" t="s">
        <v>74</v>
      </c>
      <c r="BM279" s="2" t="s">
        <v>74</v>
      </c>
      <c r="BN279" s="2">
        <v>16351952</v>
      </c>
      <c r="BO279" s="2" t="s">
        <v>74</v>
      </c>
      <c r="BP279" s="2" t="s">
        <v>74</v>
      </c>
      <c r="BQ279" s="2" t="s">
        <v>74</v>
      </c>
      <c r="BR279" s="2" t="s">
        <v>74</v>
      </c>
      <c r="BS279" s="2" t="s">
        <v>6629</v>
      </c>
      <c r="BT279" s="2" t="str">
        <f>HYPERLINK("https%3A%2F%2Fwww.webofscience.com%2Fwos%2Fwoscc%2Ffull-record%2FWOS:000228395300003","View Full Record in Web of Science")</f>
        <v>View Full Record in Web of Science</v>
      </c>
    </row>
    <row r="280" spans="1:72" s="7" customFormat="1" x14ac:dyDescent="0.4">
      <c r="A280" s="2" t="s">
        <v>72</v>
      </c>
      <c r="B280" s="2" t="s">
        <v>96</v>
      </c>
      <c r="C280" s="2" t="s">
        <v>74</v>
      </c>
      <c r="D280" s="2" t="s">
        <v>74</v>
      </c>
      <c r="E280" s="2" t="s">
        <v>74</v>
      </c>
      <c r="F280" s="2" t="s">
        <v>97</v>
      </c>
      <c r="G280" s="2" t="s">
        <v>74</v>
      </c>
      <c r="H280" s="2" t="s">
        <v>74</v>
      </c>
      <c r="I280" s="2" t="s">
        <v>98</v>
      </c>
      <c r="J280" s="2" t="s">
        <v>99</v>
      </c>
      <c r="K280" s="2" t="s">
        <v>74</v>
      </c>
      <c r="L280" s="2" t="s">
        <v>74</v>
      </c>
      <c r="M280" s="2" t="s">
        <v>74</v>
      </c>
      <c r="N280" s="2" t="s">
        <v>74</v>
      </c>
      <c r="O280" s="2" t="s">
        <v>74</v>
      </c>
      <c r="P280" s="2" t="s">
        <v>74</v>
      </c>
      <c r="Q280" s="2" t="s">
        <v>74</v>
      </c>
      <c r="R280" s="2" t="s">
        <v>74</v>
      </c>
      <c r="S280" s="2" t="s">
        <v>74</v>
      </c>
      <c r="T280" s="2" t="s">
        <v>74</v>
      </c>
      <c r="U280" s="2" t="s">
        <v>74</v>
      </c>
      <c r="V280" s="5" t="s">
        <v>100</v>
      </c>
      <c r="W280" s="2" t="s">
        <v>74</v>
      </c>
      <c r="X280" s="2" t="s">
        <v>74</v>
      </c>
      <c r="Y280" s="2" t="s">
        <v>74</v>
      </c>
      <c r="Z280" s="2" t="s">
        <v>74</v>
      </c>
      <c r="AA280" s="2" t="s">
        <v>74</v>
      </c>
      <c r="AB280" s="2" t="s">
        <v>74</v>
      </c>
      <c r="AC280" s="2" t="s">
        <v>74</v>
      </c>
      <c r="AD280" s="2" t="s">
        <v>74</v>
      </c>
      <c r="AE280" s="2" t="s">
        <v>74</v>
      </c>
      <c r="AF280" s="2" t="s">
        <v>74</v>
      </c>
      <c r="AG280" s="2" t="s">
        <v>74</v>
      </c>
      <c r="AH280" s="2" t="s">
        <v>74</v>
      </c>
      <c r="AI280" s="2" t="s">
        <v>74</v>
      </c>
      <c r="AJ280" s="2" t="s">
        <v>74</v>
      </c>
      <c r="AK280" s="2" t="s">
        <v>74</v>
      </c>
      <c r="AL280" s="2" t="s">
        <v>74</v>
      </c>
      <c r="AM280" s="2" t="s">
        <v>74</v>
      </c>
      <c r="AN280" s="2" t="s">
        <v>74</v>
      </c>
      <c r="AO280" s="2" t="s">
        <v>101</v>
      </c>
      <c r="AP280" s="2" t="s">
        <v>74</v>
      </c>
      <c r="AQ280" s="2" t="s">
        <v>74</v>
      </c>
      <c r="AR280" s="2" t="s">
        <v>74</v>
      </c>
      <c r="AS280" s="2" t="s">
        <v>74</v>
      </c>
      <c r="AT280" s="2" t="s">
        <v>102</v>
      </c>
      <c r="AU280" s="2">
        <v>2013</v>
      </c>
      <c r="AV280" s="2">
        <v>125</v>
      </c>
      <c r="AW280" s="2">
        <v>2</v>
      </c>
      <c r="AX280" s="2" t="s">
        <v>74</v>
      </c>
      <c r="AY280" s="2" t="s">
        <v>74</v>
      </c>
      <c r="AZ280" s="2" t="s">
        <v>74</v>
      </c>
      <c r="BA280" s="2" t="s">
        <v>74</v>
      </c>
      <c r="BB280" s="2">
        <v>348</v>
      </c>
      <c r="BC280" s="2">
        <v>357</v>
      </c>
      <c r="BD280" s="2" t="s">
        <v>74</v>
      </c>
      <c r="BE280" s="2" t="s">
        <v>103</v>
      </c>
      <c r="BF280" s="2" t="str">
        <f>HYPERLINK("http://dx.doi.org/10.1676/12-155.1","http://dx.doi.org/10.1676/12-155.1")</f>
        <v>http://dx.doi.org/10.1676/12-155.1</v>
      </c>
      <c r="BG280" s="2" t="s">
        <v>74</v>
      </c>
      <c r="BH280" s="2" t="s">
        <v>74</v>
      </c>
      <c r="BI280" s="2" t="s">
        <v>74</v>
      </c>
      <c r="BJ280" s="2" t="s">
        <v>74</v>
      </c>
      <c r="BK280" s="2" t="s">
        <v>74</v>
      </c>
      <c r="BL280" s="2" t="s">
        <v>74</v>
      </c>
      <c r="BM280" s="2" t="s">
        <v>74</v>
      </c>
      <c r="BN280" s="2" t="s">
        <v>74</v>
      </c>
      <c r="BO280" s="2" t="s">
        <v>74</v>
      </c>
      <c r="BP280" s="2" t="s">
        <v>74</v>
      </c>
      <c r="BQ280" s="2" t="s">
        <v>74</v>
      </c>
      <c r="BR280" s="2" t="s">
        <v>74</v>
      </c>
      <c r="BS280" s="2" t="s">
        <v>104</v>
      </c>
      <c r="BT280" s="2" t="str">
        <f>HYPERLINK("https%3A%2F%2Fwww.webofscience.com%2Fwos%2Fwoscc%2Ffull-record%2FWOS:000320893300015","View Full Record in Web of Science")</f>
        <v>View Full Record in Web of Science</v>
      </c>
    </row>
    <row r="281" spans="1:72" s="2" customFormat="1" x14ac:dyDescent="0.4">
      <c r="A281" s="2" t="s">
        <v>72</v>
      </c>
      <c r="B281" s="2" t="s">
        <v>3530</v>
      </c>
      <c r="C281" s="2" t="s">
        <v>74</v>
      </c>
      <c r="D281" s="2" t="s">
        <v>74</v>
      </c>
      <c r="E281" s="2" t="s">
        <v>74</v>
      </c>
      <c r="F281" s="2" t="s">
        <v>3531</v>
      </c>
      <c r="G281" s="2" t="s">
        <v>74</v>
      </c>
      <c r="H281" s="2" t="s">
        <v>74</v>
      </c>
      <c r="I281" s="2" t="s">
        <v>3532</v>
      </c>
      <c r="J281" s="2" t="s">
        <v>1112</v>
      </c>
      <c r="K281" s="2" t="s">
        <v>74</v>
      </c>
      <c r="L281" s="2" t="s">
        <v>74</v>
      </c>
      <c r="M281" s="2" t="s">
        <v>74</v>
      </c>
      <c r="N281" s="2" t="s">
        <v>74</v>
      </c>
      <c r="O281" s="2" t="s">
        <v>74</v>
      </c>
      <c r="P281" s="2" t="s">
        <v>74</v>
      </c>
      <c r="Q281" s="2" t="s">
        <v>74</v>
      </c>
      <c r="R281" s="2" t="s">
        <v>74</v>
      </c>
      <c r="S281" s="2" t="s">
        <v>74</v>
      </c>
      <c r="T281" s="2" t="s">
        <v>74</v>
      </c>
      <c r="U281" s="2" t="s">
        <v>74</v>
      </c>
      <c r="V281" s="5" t="s">
        <v>3533</v>
      </c>
      <c r="W281" s="2" t="s">
        <v>74</v>
      </c>
      <c r="X281" s="2" t="s">
        <v>74</v>
      </c>
      <c r="Y281" s="2" t="s">
        <v>74</v>
      </c>
      <c r="Z281" s="2" t="s">
        <v>74</v>
      </c>
      <c r="AA281" s="2" t="s">
        <v>3534</v>
      </c>
      <c r="AB281" s="2" t="s">
        <v>3535</v>
      </c>
      <c r="AC281" s="2" t="s">
        <v>74</v>
      </c>
      <c r="AD281" s="2" t="s">
        <v>74</v>
      </c>
      <c r="AE281" s="2" t="s">
        <v>74</v>
      </c>
      <c r="AF281" s="2" t="s">
        <v>74</v>
      </c>
      <c r="AG281" s="2" t="s">
        <v>74</v>
      </c>
      <c r="AH281" s="2" t="s">
        <v>74</v>
      </c>
      <c r="AI281" s="2" t="s">
        <v>74</v>
      </c>
      <c r="AJ281" s="2" t="s">
        <v>74</v>
      </c>
      <c r="AK281" s="2" t="s">
        <v>74</v>
      </c>
      <c r="AL281" s="2" t="s">
        <v>74</v>
      </c>
      <c r="AM281" s="2" t="s">
        <v>74</v>
      </c>
      <c r="AN281" s="2" t="s">
        <v>74</v>
      </c>
      <c r="AO281" s="2" t="s">
        <v>1114</v>
      </c>
      <c r="AP281" s="2" t="s">
        <v>1115</v>
      </c>
      <c r="AQ281" s="2" t="s">
        <v>74</v>
      </c>
      <c r="AR281" s="2" t="s">
        <v>74</v>
      </c>
      <c r="AS281" s="2" t="s">
        <v>74</v>
      </c>
      <c r="AT281" s="2" t="s">
        <v>123</v>
      </c>
      <c r="AU281" s="2">
        <v>2020</v>
      </c>
      <c r="AV281" s="2">
        <v>224</v>
      </c>
      <c r="AW281" s="2" t="s">
        <v>74</v>
      </c>
      <c r="AX281" s="2" t="s">
        <v>74</v>
      </c>
      <c r="AY281" s="2" t="s">
        <v>74</v>
      </c>
      <c r="AZ281" s="2" t="s">
        <v>74</v>
      </c>
      <c r="BA281" s="2" t="s">
        <v>74</v>
      </c>
      <c r="BB281" s="2" t="s">
        <v>74</v>
      </c>
      <c r="BC281" s="2" t="s">
        <v>74</v>
      </c>
      <c r="BD281" s="2">
        <v>104947</v>
      </c>
      <c r="BE281" s="2" t="s">
        <v>3536</v>
      </c>
      <c r="BF281" s="2" t="str">
        <f>HYPERLINK("http://dx.doi.org/10.1016/j.applanim.2020.104947","http://dx.doi.org/10.1016/j.applanim.2020.104947")</f>
        <v>http://dx.doi.org/10.1016/j.applanim.2020.104947</v>
      </c>
      <c r="BG281" s="2" t="s">
        <v>74</v>
      </c>
      <c r="BH281" s="2" t="s">
        <v>74</v>
      </c>
      <c r="BI281" s="2" t="s">
        <v>74</v>
      </c>
      <c r="BJ281" s="2" t="s">
        <v>74</v>
      </c>
      <c r="BK281" s="2" t="s">
        <v>74</v>
      </c>
      <c r="BL281" s="2" t="s">
        <v>74</v>
      </c>
      <c r="BM281" s="2" t="s">
        <v>74</v>
      </c>
      <c r="BN281" s="2" t="s">
        <v>74</v>
      </c>
      <c r="BO281" s="2" t="s">
        <v>74</v>
      </c>
      <c r="BP281" s="2" t="s">
        <v>74</v>
      </c>
      <c r="BQ281" s="2" t="s">
        <v>74</v>
      </c>
      <c r="BR281" s="2" t="s">
        <v>74</v>
      </c>
      <c r="BS281" s="2" t="s">
        <v>3537</v>
      </c>
      <c r="BT281" s="2" t="str">
        <f>HYPERLINK("https%3A%2F%2Fwww.webofscience.com%2Fwos%2Fwoscc%2Ffull-record%2FWOS:000524493000016","View Full Record in Web of Science")</f>
        <v>View Full Record in Web of Science</v>
      </c>
    </row>
    <row r="282" spans="1:72" s="7" customFormat="1" x14ac:dyDescent="0.4">
      <c r="A282" s="2" t="s">
        <v>72</v>
      </c>
      <c r="B282" s="2" t="s">
        <v>2728</v>
      </c>
      <c r="C282" s="2" t="s">
        <v>74</v>
      </c>
      <c r="D282" s="2" t="s">
        <v>74</v>
      </c>
      <c r="E282" s="2" t="s">
        <v>74</v>
      </c>
      <c r="F282" s="2" t="s">
        <v>2728</v>
      </c>
      <c r="G282" s="2" t="s">
        <v>74</v>
      </c>
      <c r="H282" s="2" t="s">
        <v>74</v>
      </c>
      <c r="I282" s="2" t="s">
        <v>2729</v>
      </c>
      <c r="J282" s="2" t="s">
        <v>431</v>
      </c>
      <c r="K282" s="2" t="s">
        <v>74</v>
      </c>
      <c r="L282" s="2" t="s">
        <v>74</v>
      </c>
      <c r="M282" s="2" t="s">
        <v>74</v>
      </c>
      <c r="N282" s="2" t="s">
        <v>74</v>
      </c>
      <c r="O282" s="2" t="s">
        <v>74</v>
      </c>
      <c r="P282" s="2" t="s">
        <v>74</v>
      </c>
      <c r="Q282" s="2" t="s">
        <v>74</v>
      </c>
      <c r="R282" s="2" t="s">
        <v>74</v>
      </c>
      <c r="S282" s="2" t="s">
        <v>74</v>
      </c>
      <c r="T282" s="2" t="s">
        <v>74</v>
      </c>
      <c r="U282" s="2" t="s">
        <v>74</v>
      </c>
      <c r="V282" s="5" t="s">
        <v>2730</v>
      </c>
      <c r="W282" s="2" t="s">
        <v>74</v>
      </c>
      <c r="X282" s="2" t="s">
        <v>74</v>
      </c>
      <c r="Y282" s="2" t="s">
        <v>74</v>
      </c>
      <c r="Z282" s="2" t="s">
        <v>74</v>
      </c>
      <c r="AA282" s="2" t="s">
        <v>74</v>
      </c>
      <c r="AB282" s="2" t="s">
        <v>74</v>
      </c>
      <c r="AC282" s="2" t="s">
        <v>74</v>
      </c>
      <c r="AD282" s="2" t="s">
        <v>74</v>
      </c>
      <c r="AE282" s="2" t="s">
        <v>74</v>
      </c>
      <c r="AF282" s="2" t="s">
        <v>74</v>
      </c>
      <c r="AG282" s="2" t="s">
        <v>74</v>
      </c>
      <c r="AH282" s="2" t="s">
        <v>74</v>
      </c>
      <c r="AI282" s="2" t="s">
        <v>74</v>
      </c>
      <c r="AJ282" s="2" t="s">
        <v>74</v>
      </c>
      <c r="AK282" s="2" t="s">
        <v>74</v>
      </c>
      <c r="AL282" s="2" t="s">
        <v>74</v>
      </c>
      <c r="AM282" s="2" t="s">
        <v>74</v>
      </c>
      <c r="AN282" s="2" t="s">
        <v>74</v>
      </c>
      <c r="AO282" s="2" t="s">
        <v>1458</v>
      </c>
      <c r="AP282" s="2" t="s">
        <v>435</v>
      </c>
      <c r="AQ282" s="2" t="s">
        <v>74</v>
      </c>
      <c r="AR282" s="2" t="s">
        <v>74</v>
      </c>
      <c r="AS282" s="2" t="s">
        <v>74</v>
      </c>
      <c r="AT282" s="2" t="s">
        <v>175</v>
      </c>
      <c r="AU282" s="2">
        <v>1993</v>
      </c>
      <c r="AV282" s="2">
        <v>110</v>
      </c>
      <c r="AW282" s="2">
        <v>4</v>
      </c>
      <c r="AX282" s="2" t="s">
        <v>74</v>
      </c>
      <c r="AY282" s="2" t="s">
        <v>74</v>
      </c>
      <c r="AZ282" s="2" t="s">
        <v>74</v>
      </c>
      <c r="BA282" s="2" t="s">
        <v>74</v>
      </c>
      <c r="BB282" s="2">
        <v>683</v>
      </c>
      <c r="BC282" s="2">
        <v>692</v>
      </c>
      <c r="BD282" s="2" t="s">
        <v>74</v>
      </c>
      <c r="BE282" s="2" t="s">
        <v>2731</v>
      </c>
      <c r="BF282" s="2" t="str">
        <f>HYPERLINK("http://dx.doi.org/10.2307/4088624","http://dx.doi.org/10.2307/4088624")</f>
        <v>http://dx.doi.org/10.2307/4088624</v>
      </c>
      <c r="BG282" s="2" t="s">
        <v>74</v>
      </c>
      <c r="BH282" s="2" t="s">
        <v>74</v>
      </c>
      <c r="BI282" s="2" t="s">
        <v>74</v>
      </c>
      <c r="BJ282" s="2" t="s">
        <v>74</v>
      </c>
      <c r="BK282" s="2" t="s">
        <v>74</v>
      </c>
      <c r="BL282" s="2" t="s">
        <v>74</v>
      </c>
      <c r="BM282" s="2" t="s">
        <v>74</v>
      </c>
      <c r="BN282" s="2" t="s">
        <v>74</v>
      </c>
      <c r="BO282" s="2" t="s">
        <v>74</v>
      </c>
      <c r="BP282" s="2" t="s">
        <v>74</v>
      </c>
      <c r="BQ282" s="2" t="s">
        <v>74</v>
      </c>
      <c r="BR282" s="2" t="s">
        <v>74</v>
      </c>
      <c r="BS282" s="2" t="s">
        <v>2732</v>
      </c>
      <c r="BT282" s="2" t="str">
        <f>HYPERLINK("https%3A%2F%2Fwww.webofscience.com%2Fwos%2Fwoscc%2Ffull-record%2FWOS:A1993NL01100001","View Full Record in Web of Science")</f>
        <v>View Full Record in Web of Science</v>
      </c>
    </row>
    <row r="283" spans="1:72" s="2" customFormat="1" x14ac:dyDescent="0.4">
      <c r="A283" s="2" t="s">
        <v>72</v>
      </c>
      <c r="B283" s="2" t="s">
        <v>7272</v>
      </c>
      <c r="C283" s="2" t="s">
        <v>74</v>
      </c>
      <c r="D283" s="2" t="s">
        <v>74</v>
      </c>
      <c r="E283" s="2" t="s">
        <v>74</v>
      </c>
      <c r="F283" s="2" t="s">
        <v>7272</v>
      </c>
      <c r="G283" s="2" t="s">
        <v>74</v>
      </c>
      <c r="H283" s="2" t="s">
        <v>74</v>
      </c>
      <c r="I283" s="2" t="s">
        <v>7273</v>
      </c>
      <c r="J283" s="2" t="s">
        <v>431</v>
      </c>
      <c r="K283" s="2" t="s">
        <v>74</v>
      </c>
      <c r="L283" s="2" t="s">
        <v>74</v>
      </c>
      <c r="M283" s="2" t="s">
        <v>74</v>
      </c>
      <c r="N283" s="2" t="s">
        <v>74</v>
      </c>
      <c r="O283" s="2" t="s">
        <v>74</v>
      </c>
      <c r="P283" s="2" t="s">
        <v>74</v>
      </c>
      <c r="Q283" s="2" t="s">
        <v>74</v>
      </c>
      <c r="R283" s="2" t="s">
        <v>74</v>
      </c>
      <c r="S283" s="2" t="s">
        <v>74</v>
      </c>
      <c r="T283" s="2" t="s">
        <v>74</v>
      </c>
      <c r="U283" s="2" t="s">
        <v>74</v>
      </c>
      <c r="V283" s="5" t="s">
        <v>7274</v>
      </c>
      <c r="W283" s="2" t="s">
        <v>74</v>
      </c>
      <c r="X283" s="2" t="s">
        <v>74</v>
      </c>
      <c r="Y283" s="2" t="s">
        <v>74</v>
      </c>
      <c r="Z283" s="2" t="s">
        <v>74</v>
      </c>
      <c r="AA283" s="2" t="s">
        <v>74</v>
      </c>
      <c r="AB283" s="2" t="s">
        <v>74</v>
      </c>
      <c r="AC283" s="2" t="s">
        <v>74</v>
      </c>
      <c r="AD283" s="2" t="s">
        <v>74</v>
      </c>
      <c r="AE283" s="2" t="s">
        <v>74</v>
      </c>
      <c r="AF283" s="2" t="s">
        <v>74</v>
      </c>
      <c r="AG283" s="2" t="s">
        <v>74</v>
      </c>
      <c r="AH283" s="2" t="s">
        <v>74</v>
      </c>
      <c r="AI283" s="2" t="s">
        <v>74</v>
      </c>
      <c r="AJ283" s="2" t="s">
        <v>74</v>
      </c>
      <c r="AK283" s="2" t="s">
        <v>74</v>
      </c>
      <c r="AL283" s="2" t="s">
        <v>74</v>
      </c>
      <c r="AM283" s="2" t="s">
        <v>74</v>
      </c>
      <c r="AN283" s="2" t="s">
        <v>74</v>
      </c>
      <c r="AO283" s="2" t="s">
        <v>74</v>
      </c>
      <c r="AP283" s="2" t="s">
        <v>435</v>
      </c>
      <c r="AQ283" s="2" t="s">
        <v>74</v>
      </c>
      <c r="AR283" s="2" t="s">
        <v>74</v>
      </c>
      <c r="AS283" s="2" t="s">
        <v>74</v>
      </c>
      <c r="AT283" s="2" t="s">
        <v>74</v>
      </c>
      <c r="AU283" s="2">
        <v>1980</v>
      </c>
      <c r="AV283" s="2">
        <v>97</v>
      </c>
      <c r="AW283" s="2">
        <v>2</v>
      </c>
      <c r="AX283" s="2" t="s">
        <v>74</v>
      </c>
      <c r="AY283" s="2" t="s">
        <v>74</v>
      </c>
      <c r="AZ283" s="2" t="s">
        <v>74</v>
      </c>
      <c r="BA283" s="2" t="s">
        <v>74</v>
      </c>
      <c r="BB283" s="2">
        <v>213</v>
      </c>
      <c r="BC283" s="2">
        <v>226</v>
      </c>
      <c r="BD283" s="2" t="s">
        <v>74</v>
      </c>
      <c r="BE283" s="2" t="s">
        <v>74</v>
      </c>
      <c r="BF283" s="2" t="s">
        <v>74</v>
      </c>
      <c r="BG283" s="2" t="s">
        <v>74</v>
      </c>
      <c r="BH283" s="2" t="s">
        <v>74</v>
      </c>
      <c r="BI283" s="2" t="s">
        <v>74</v>
      </c>
      <c r="BJ283" s="2" t="s">
        <v>74</v>
      </c>
      <c r="BK283" s="2" t="s">
        <v>74</v>
      </c>
      <c r="BL283" s="2" t="s">
        <v>74</v>
      </c>
      <c r="BM283" s="2" t="s">
        <v>74</v>
      </c>
      <c r="BN283" s="2" t="s">
        <v>74</v>
      </c>
      <c r="BO283" s="2" t="s">
        <v>74</v>
      </c>
      <c r="BP283" s="2" t="s">
        <v>74</v>
      </c>
      <c r="BQ283" s="2" t="s">
        <v>74</v>
      </c>
      <c r="BR283" s="2" t="s">
        <v>74</v>
      </c>
      <c r="BS283" s="2" t="s">
        <v>7275</v>
      </c>
      <c r="BT283" s="2" t="str">
        <f>HYPERLINK("https%3A%2F%2Fwww.webofscience.com%2Fwos%2Fwoscc%2Ffull-record%2FWOS:A1980JR68800001","View Full Record in Web of Science")</f>
        <v>View Full Record in Web of Science</v>
      </c>
    </row>
    <row r="284" spans="1:72" s="2" customFormat="1" x14ac:dyDescent="0.4">
      <c r="A284" s="2" t="s">
        <v>72</v>
      </c>
      <c r="B284" s="2" t="s">
        <v>2844</v>
      </c>
      <c r="C284" s="2" t="s">
        <v>74</v>
      </c>
      <c r="D284" s="2" t="s">
        <v>74</v>
      </c>
      <c r="E284" s="2" t="s">
        <v>74</v>
      </c>
      <c r="F284" s="2" t="s">
        <v>2845</v>
      </c>
      <c r="G284" s="2" t="s">
        <v>74</v>
      </c>
      <c r="H284" s="2" t="s">
        <v>74</v>
      </c>
      <c r="I284" s="2" t="s">
        <v>2846</v>
      </c>
      <c r="J284" s="2" t="s">
        <v>2847</v>
      </c>
      <c r="K284" s="2" t="s">
        <v>74</v>
      </c>
      <c r="L284" s="2" t="s">
        <v>74</v>
      </c>
      <c r="M284" s="2" t="s">
        <v>74</v>
      </c>
      <c r="N284" s="2" t="s">
        <v>74</v>
      </c>
      <c r="O284" s="2" t="s">
        <v>74</v>
      </c>
      <c r="P284" s="2" t="s">
        <v>74</v>
      </c>
      <c r="Q284" s="2" t="s">
        <v>74</v>
      </c>
      <c r="R284" s="2" t="s">
        <v>74</v>
      </c>
      <c r="S284" s="2" t="s">
        <v>74</v>
      </c>
      <c r="T284" s="2" t="s">
        <v>74</v>
      </c>
      <c r="U284" s="2" t="s">
        <v>74</v>
      </c>
      <c r="V284" s="5" t="s">
        <v>2848</v>
      </c>
      <c r="W284" s="2" t="s">
        <v>74</v>
      </c>
      <c r="X284" s="2" t="s">
        <v>74</v>
      </c>
      <c r="Y284" s="2" t="s">
        <v>74</v>
      </c>
      <c r="Z284" s="2" t="s">
        <v>74</v>
      </c>
      <c r="AA284" s="2" t="s">
        <v>74</v>
      </c>
      <c r="AB284" s="2" t="s">
        <v>74</v>
      </c>
      <c r="AC284" s="2" t="s">
        <v>74</v>
      </c>
      <c r="AD284" s="2" t="s">
        <v>74</v>
      </c>
      <c r="AE284" s="2" t="s">
        <v>74</v>
      </c>
      <c r="AF284" s="2" t="s">
        <v>74</v>
      </c>
      <c r="AG284" s="2" t="s">
        <v>74</v>
      </c>
      <c r="AH284" s="2" t="s">
        <v>74</v>
      </c>
      <c r="AI284" s="2" t="s">
        <v>74</v>
      </c>
      <c r="AJ284" s="2" t="s">
        <v>74</v>
      </c>
      <c r="AK284" s="2" t="s">
        <v>74</v>
      </c>
      <c r="AL284" s="2" t="s">
        <v>74</v>
      </c>
      <c r="AM284" s="2" t="s">
        <v>74</v>
      </c>
      <c r="AN284" s="2" t="s">
        <v>74</v>
      </c>
      <c r="AO284" s="2" t="s">
        <v>2849</v>
      </c>
      <c r="AP284" s="2" t="s">
        <v>2850</v>
      </c>
      <c r="AQ284" s="2" t="s">
        <v>74</v>
      </c>
      <c r="AR284" s="2" t="s">
        <v>74</v>
      </c>
      <c r="AS284" s="2" t="s">
        <v>74</v>
      </c>
      <c r="AT284" s="2" t="s">
        <v>213</v>
      </c>
      <c r="AU284" s="2">
        <v>2017</v>
      </c>
      <c r="AV284" s="2">
        <v>496</v>
      </c>
      <c r="AW284" s="2" t="s">
        <v>74</v>
      </c>
      <c r="AX284" s="2" t="s">
        <v>74</v>
      </c>
      <c r="AY284" s="2" t="s">
        <v>74</v>
      </c>
      <c r="AZ284" s="2" t="s">
        <v>74</v>
      </c>
      <c r="BA284" s="2" t="s">
        <v>74</v>
      </c>
      <c r="BB284" s="2">
        <v>29</v>
      </c>
      <c r="BC284" s="2">
        <v>36</v>
      </c>
      <c r="BD284" s="2" t="s">
        <v>74</v>
      </c>
      <c r="BE284" s="2" t="s">
        <v>2851</v>
      </c>
      <c r="BF284" s="2" t="str">
        <f>HYPERLINK("http://dx.doi.org/10.1016/j.jembe.2017.07.011","http://dx.doi.org/10.1016/j.jembe.2017.07.011")</f>
        <v>http://dx.doi.org/10.1016/j.jembe.2017.07.011</v>
      </c>
      <c r="BG284" s="2" t="s">
        <v>74</v>
      </c>
      <c r="BH284" s="2" t="s">
        <v>74</v>
      </c>
      <c r="BI284" s="2" t="s">
        <v>74</v>
      </c>
      <c r="BJ284" s="2" t="s">
        <v>74</v>
      </c>
      <c r="BK284" s="2" t="s">
        <v>74</v>
      </c>
      <c r="BL284" s="2" t="s">
        <v>74</v>
      </c>
      <c r="BM284" s="2" t="s">
        <v>74</v>
      </c>
      <c r="BN284" s="2" t="s">
        <v>74</v>
      </c>
      <c r="BO284" s="2" t="s">
        <v>74</v>
      </c>
      <c r="BP284" s="2" t="s">
        <v>74</v>
      </c>
      <c r="BQ284" s="2" t="s">
        <v>74</v>
      </c>
      <c r="BR284" s="2" t="s">
        <v>74</v>
      </c>
      <c r="BS284" s="2" t="s">
        <v>2852</v>
      </c>
      <c r="BT284" s="2" t="str">
        <f>HYPERLINK("https%3A%2F%2Fwww.webofscience.com%2Fwos%2Fwoscc%2Ffull-record%2FWOS:000412252700005","View Full Record in Web of Science")</f>
        <v>View Full Record in Web of Science</v>
      </c>
    </row>
    <row r="285" spans="1:72" s="2" customFormat="1" x14ac:dyDescent="0.4">
      <c r="A285" s="2" t="s">
        <v>72</v>
      </c>
      <c r="B285" s="2" t="s">
        <v>6945</v>
      </c>
      <c r="C285" s="2" t="s">
        <v>74</v>
      </c>
      <c r="D285" s="2" t="s">
        <v>74</v>
      </c>
      <c r="E285" s="2" t="s">
        <v>74</v>
      </c>
      <c r="F285" s="2" t="s">
        <v>6946</v>
      </c>
      <c r="G285" s="2" t="s">
        <v>74</v>
      </c>
      <c r="H285" s="2" t="s">
        <v>74</v>
      </c>
      <c r="I285" s="2" t="s">
        <v>6947</v>
      </c>
      <c r="J285" s="2" t="s">
        <v>1480</v>
      </c>
      <c r="K285" s="2" t="s">
        <v>74</v>
      </c>
      <c r="L285" s="2" t="s">
        <v>74</v>
      </c>
      <c r="M285" s="2" t="s">
        <v>74</v>
      </c>
      <c r="N285" s="2" t="s">
        <v>74</v>
      </c>
      <c r="O285" s="2" t="s">
        <v>74</v>
      </c>
      <c r="P285" s="2" t="s">
        <v>74</v>
      </c>
      <c r="Q285" s="2" t="s">
        <v>74</v>
      </c>
      <c r="R285" s="2" t="s">
        <v>74</v>
      </c>
      <c r="S285" s="2" t="s">
        <v>74</v>
      </c>
      <c r="T285" s="2" t="s">
        <v>74</v>
      </c>
      <c r="U285" s="2" t="s">
        <v>74</v>
      </c>
      <c r="V285" s="5" t="s">
        <v>6948</v>
      </c>
      <c r="W285" s="2" t="s">
        <v>74</v>
      </c>
      <c r="X285" s="2" t="s">
        <v>74</v>
      </c>
      <c r="Y285" s="2" t="s">
        <v>74</v>
      </c>
      <c r="Z285" s="2" t="s">
        <v>74</v>
      </c>
      <c r="AA285" s="2" t="s">
        <v>74</v>
      </c>
      <c r="AB285" s="2" t="s">
        <v>74</v>
      </c>
      <c r="AC285" s="2" t="s">
        <v>74</v>
      </c>
      <c r="AD285" s="2" t="s">
        <v>74</v>
      </c>
      <c r="AE285" s="2" t="s">
        <v>74</v>
      </c>
      <c r="AF285" s="2" t="s">
        <v>74</v>
      </c>
      <c r="AG285" s="2" t="s">
        <v>74</v>
      </c>
      <c r="AH285" s="2" t="s">
        <v>74</v>
      </c>
      <c r="AI285" s="2" t="s">
        <v>74</v>
      </c>
      <c r="AJ285" s="2" t="s">
        <v>74</v>
      </c>
      <c r="AK285" s="2" t="s">
        <v>74</v>
      </c>
      <c r="AL285" s="2" t="s">
        <v>74</v>
      </c>
      <c r="AM285" s="2" t="s">
        <v>74</v>
      </c>
      <c r="AN285" s="2" t="s">
        <v>74</v>
      </c>
      <c r="AO285" s="2" t="s">
        <v>1482</v>
      </c>
      <c r="AP285" s="2" t="s">
        <v>6949</v>
      </c>
      <c r="AQ285" s="2" t="s">
        <v>74</v>
      </c>
      <c r="AR285" s="2" t="s">
        <v>74</v>
      </c>
      <c r="AS285" s="2" t="s">
        <v>74</v>
      </c>
      <c r="AT285" s="2" t="s">
        <v>352</v>
      </c>
      <c r="AU285" s="2">
        <v>2014</v>
      </c>
      <c r="AV285" s="2">
        <v>93</v>
      </c>
      <c r="AW285" s="2">
        <v>9</v>
      </c>
      <c r="AX285" s="2" t="s">
        <v>74</v>
      </c>
      <c r="AY285" s="2" t="s">
        <v>74</v>
      </c>
      <c r="AZ285" s="2" t="s">
        <v>74</v>
      </c>
      <c r="BA285" s="2" t="s">
        <v>74</v>
      </c>
      <c r="BB285" s="2">
        <v>2143</v>
      </c>
      <c r="BC285" s="2">
        <v>2150</v>
      </c>
      <c r="BD285" s="2" t="s">
        <v>74</v>
      </c>
      <c r="BE285" s="2" t="s">
        <v>6950</v>
      </c>
      <c r="BF285" s="2" t="str">
        <f>HYPERLINK("http://dx.doi.org/10.3382/ps.2014-03885","http://dx.doi.org/10.3382/ps.2014-03885")</f>
        <v>http://dx.doi.org/10.3382/ps.2014-03885</v>
      </c>
      <c r="BG285" s="2" t="s">
        <v>74</v>
      </c>
      <c r="BH285" s="2" t="s">
        <v>74</v>
      </c>
      <c r="BI285" s="2" t="s">
        <v>74</v>
      </c>
      <c r="BJ285" s="2" t="s">
        <v>74</v>
      </c>
      <c r="BK285" s="2" t="s">
        <v>74</v>
      </c>
      <c r="BL285" s="2" t="s">
        <v>74</v>
      </c>
      <c r="BM285" s="2" t="s">
        <v>74</v>
      </c>
      <c r="BN285" s="2">
        <v>25037824</v>
      </c>
      <c r="BO285" s="2" t="s">
        <v>74</v>
      </c>
      <c r="BP285" s="2" t="s">
        <v>74</v>
      </c>
      <c r="BQ285" s="2" t="s">
        <v>74</v>
      </c>
      <c r="BR285" s="2" t="s">
        <v>74</v>
      </c>
      <c r="BS285" s="2" t="s">
        <v>6951</v>
      </c>
      <c r="BT285" s="2" t="str">
        <f>HYPERLINK("https%3A%2F%2Fwww.webofscience.com%2Fwos%2Fwoscc%2Ffull-record%2FWOS:000341309600001","View Full Record in Web of Science")</f>
        <v>View Full Record in Web of Science</v>
      </c>
    </row>
    <row r="286" spans="1:72" s="1" customFormat="1" x14ac:dyDescent="0.4">
      <c r="A286" s="2" t="s">
        <v>72</v>
      </c>
      <c r="B286" s="2" t="s">
        <v>8398</v>
      </c>
      <c r="C286" s="2" t="s">
        <v>74</v>
      </c>
      <c r="D286" s="2" t="s">
        <v>74</v>
      </c>
      <c r="E286" s="2" t="s">
        <v>74</v>
      </c>
      <c r="F286" s="2" t="s">
        <v>8399</v>
      </c>
      <c r="G286" s="2" t="s">
        <v>74</v>
      </c>
      <c r="H286" s="2" t="s">
        <v>74</v>
      </c>
      <c r="I286" s="2" t="s">
        <v>8400</v>
      </c>
      <c r="J286" s="2" t="s">
        <v>5961</v>
      </c>
      <c r="K286" s="2" t="s">
        <v>74</v>
      </c>
      <c r="L286" s="2" t="s">
        <v>74</v>
      </c>
      <c r="M286" s="2" t="s">
        <v>74</v>
      </c>
      <c r="N286" s="2" t="s">
        <v>74</v>
      </c>
      <c r="O286" s="2" t="s">
        <v>74</v>
      </c>
      <c r="P286" s="2" t="s">
        <v>74</v>
      </c>
      <c r="Q286" s="2" t="s">
        <v>74</v>
      </c>
      <c r="R286" s="2" t="s">
        <v>74</v>
      </c>
      <c r="S286" s="2" t="s">
        <v>74</v>
      </c>
      <c r="T286" s="2" t="s">
        <v>74</v>
      </c>
      <c r="U286" s="2" t="s">
        <v>74</v>
      </c>
      <c r="V286" s="5" t="s">
        <v>8401</v>
      </c>
      <c r="W286" s="2" t="s">
        <v>74</v>
      </c>
      <c r="X286" s="2" t="s">
        <v>74</v>
      </c>
      <c r="Y286" s="2" t="s">
        <v>74</v>
      </c>
      <c r="Z286" s="2" t="s">
        <v>74</v>
      </c>
      <c r="AA286" s="2" t="s">
        <v>74</v>
      </c>
      <c r="AB286" s="2" t="s">
        <v>8402</v>
      </c>
      <c r="AC286" s="2" t="s">
        <v>74</v>
      </c>
      <c r="AD286" s="2" t="s">
        <v>74</v>
      </c>
      <c r="AE286" s="2" t="s">
        <v>74</v>
      </c>
      <c r="AF286" s="2" t="s">
        <v>74</v>
      </c>
      <c r="AG286" s="2" t="s">
        <v>74</v>
      </c>
      <c r="AH286" s="2" t="s">
        <v>74</v>
      </c>
      <c r="AI286" s="2" t="s">
        <v>74</v>
      </c>
      <c r="AJ286" s="2" t="s">
        <v>74</v>
      </c>
      <c r="AK286" s="2" t="s">
        <v>74</v>
      </c>
      <c r="AL286" s="2" t="s">
        <v>74</v>
      </c>
      <c r="AM286" s="2" t="s">
        <v>74</v>
      </c>
      <c r="AN286" s="2" t="s">
        <v>74</v>
      </c>
      <c r="AO286" s="2" t="s">
        <v>5965</v>
      </c>
      <c r="AP286" s="2" t="s">
        <v>5966</v>
      </c>
      <c r="AQ286" s="2" t="s">
        <v>74</v>
      </c>
      <c r="AR286" s="2" t="s">
        <v>74</v>
      </c>
      <c r="AS286" s="2" t="s">
        <v>74</v>
      </c>
      <c r="AT286" s="2" t="s">
        <v>175</v>
      </c>
      <c r="AU286" s="2">
        <v>2020</v>
      </c>
      <c r="AV286" s="2">
        <v>45</v>
      </c>
      <c r="AW286" s="2">
        <v>4</v>
      </c>
      <c r="AX286" s="2" t="s">
        <v>74</v>
      </c>
      <c r="AY286" s="2" t="s">
        <v>74</v>
      </c>
      <c r="AZ286" s="2" t="s">
        <v>74</v>
      </c>
      <c r="BA286" s="2" t="s">
        <v>74</v>
      </c>
      <c r="BB286" s="2">
        <v>803</v>
      </c>
      <c r="BC286" s="2">
        <v>837</v>
      </c>
      <c r="BD286" s="2" t="s">
        <v>74</v>
      </c>
      <c r="BE286" s="2" t="s">
        <v>8403</v>
      </c>
      <c r="BF286" s="2" t="str">
        <f>HYPERLINK("http://dx.doi.org/10.1111/syen.12428","http://dx.doi.org/10.1111/syen.12428")</f>
        <v>http://dx.doi.org/10.1111/syen.12428</v>
      </c>
      <c r="BG286" s="2" t="s">
        <v>74</v>
      </c>
      <c r="BH286" s="2" t="s">
        <v>8404</v>
      </c>
      <c r="BI286" s="2" t="s">
        <v>74</v>
      </c>
      <c r="BJ286" s="2" t="s">
        <v>74</v>
      </c>
      <c r="BK286" s="2" t="s">
        <v>74</v>
      </c>
      <c r="BL286" s="2" t="s">
        <v>74</v>
      </c>
      <c r="BM286" s="2" t="s">
        <v>74</v>
      </c>
      <c r="BN286" s="2">
        <v>34744257</v>
      </c>
      <c r="BO286" s="2" t="s">
        <v>74</v>
      </c>
      <c r="BP286" s="2" t="s">
        <v>74</v>
      </c>
      <c r="BQ286" s="2" t="s">
        <v>74</v>
      </c>
      <c r="BR286" s="2" t="s">
        <v>74</v>
      </c>
      <c r="BS286" s="2" t="s">
        <v>8405</v>
      </c>
      <c r="BT286" s="2" t="str">
        <f>HYPERLINK("https%3A%2F%2Fwww.webofscience.com%2Fwos%2Fwoscc%2Ffull-record%2FWOS:000516977500001","View Full Record in Web of Science")</f>
        <v>View Full Record in Web of Science</v>
      </c>
    </row>
    <row r="287" spans="1:72" s="2" customFormat="1" x14ac:dyDescent="0.4">
      <c r="A287" s="2" t="s">
        <v>72</v>
      </c>
      <c r="B287" s="2" t="s">
        <v>3611</v>
      </c>
      <c r="C287" s="2" t="s">
        <v>74</v>
      </c>
      <c r="D287" s="2" t="s">
        <v>74</v>
      </c>
      <c r="E287" s="2" t="s">
        <v>74</v>
      </c>
      <c r="F287" s="2" t="s">
        <v>3612</v>
      </c>
      <c r="G287" s="2" t="s">
        <v>74</v>
      </c>
      <c r="H287" s="2" t="s">
        <v>74</v>
      </c>
      <c r="I287" s="2" t="s">
        <v>3613</v>
      </c>
      <c r="J287" s="2" t="s">
        <v>610</v>
      </c>
      <c r="K287" s="2" t="s">
        <v>74</v>
      </c>
      <c r="L287" s="2" t="s">
        <v>74</v>
      </c>
      <c r="M287" s="2" t="s">
        <v>74</v>
      </c>
      <c r="N287" s="2" t="s">
        <v>74</v>
      </c>
      <c r="O287" s="2" t="s">
        <v>74</v>
      </c>
      <c r="P287" s="2" t="s">
        <v>74</v>
      </c>
      <c r="Q287" s="2" t="s">
        <v>74</v>
      </c>
      <c r="R287" s="2" t="s">
        <v>74</v>
      </c>
      <c r="S287" s="2" t="s">
        <v>74</v>
      </c>
      <c r="T287" s="2" t="s">
        <v>74</v>
      </c>
      <c r="U287" s="2" t="s">
        <v>74</v>
      </c>
      <c r="V287" s="5" t="s">
        <v>3614</v>
      </c>
      <c r="W287" s="2" t="s">
        <v>74</v>
      </c>
      <c r="X287" s="2" t="s">
        <v>74</v>
      </c>
      <c r="Y287" s="2" t="s">
        <v>74</v>
      </c>
      <c r="Z287" s="2" t="s">
        <v>74</v>
      </c>
      <c r="AA287" s="2" t="s">
        <v>3615</v>
      </c>
      <c r="AB287" s="2" t="s">
        <v>3616</v>
      </c>
      <c r="AC287" s="2" t="s">
        <v>74</v>
      </c>
      <c r="AD287" s="2" t="s">
        <v>74</v>
      </c>
      <c r="AE287" s="2" t="s">
        <v>74</v>
      </c>
      <c r="AF287" s="2" t="s">
        <v>74</v>
      </c>
      <c r="AG287" s="2" t="s">
        <v>74</v>
      </c>
      <c r="AH287" s="2" t="s">
        <v>74</v>
      </c>
      <c r="AI287" s="2" t="s">
        <v>74</v>
      </c>
      <c r="AJ287" s="2" t="s">
        <v>74</v>
      </c>
      <c r="AK287" s="2" t="s">
        <v>74</v>
      </c>
      <c r="AL287" s="2" t="s">
        <v>74</v>
      </c>
      <c r="AM287" s="2" t="s">
        <v>74</v>
      </c>
      <c r="AN287" s="2" t="s">
        <v>74</v>
      </c>
      <c r="AO287" s="2" t="s">
        <v>614</v>
      </c>
      <c r="AP287" s="2" t="s">
        <v>615</v>
      </c>
      <c r="AQ287" s="2" t="s">
        <v>74</v>
      </c>
      <c r="AR287" s="2" t="s">
        <v>74</v>
      </c>
      <c r="AS287" s="2" t="s">
        <v>74</v>
      </c>
      <c r="AT287" s="2" t="s">
        <v>175</v>
      </c>
      <c r="AU287" s="2">
        <v>2007</v>
      </c>
      <c r="AV287" s="2">
        <v>113</v>
      </c>
      <c r="AW287" s="2">
        <v>10</v>
      </c>
      <c r="AX287" s="2" t="s">
        <v>74</v>
      </c>
      <c r="AY287" s="2" t="s">
        <v>74</v>
      </c>
      <c r="AZ287" s="2" t="s">
        <v>74</v>
      </c>
      <c r="BA287" s="2" t="s">
        <v>74</v>
      </c>
      <c r="BB287" s="2">
        <v>944</v>
      </c>
      <c r="BC287" s="2">
        <v>952</v>
      </c>
      <c r="BD287" s="2" t="s">
        <v>74</v>
      </c>
      <c r="BE287" s="2" t="s">
        <v>3617</v>
      </c>
      <c r="BF287" s="2" t="str">
        <f>HYPERLINK("http://dx.doi.org/10.1111/j.1439-0310.2007.01402.x","http://dx.doi.org/10.1111/j.1439-0310.2007.01402.x")</f>
        <v>http://dx.doi.org/10.1111/j.1439-0310.2007.01402.x</v>
      </c>
      <c r="BG287" s="2" t="s">
        <v>74</v>
      </c>
      <c r="BH287" s="2" t="s">
        <v>74</v>
      </c>
      <c r="BI287" s="2" t="s">
        <v>74</v>
      </c>
      <c r="BJ287" s="2" t="s">
        <v>74</v>
      </c>
      <c r="BK287" s="2" t="s">
        <v>74</v>
      </c>
      <c r="BL287" s="2" t="s">
        <v>74</v>
      </c>
      <c r="BM287" s="2" t="s">
        <v>74</v>
      </c>
      <c r="BN287" s="2" t="s">
        <v>74</v>
      </c>
      <c r="BO287" s="2" t="s">
        <v>74</v>
      </c>
      <c r="BP287" s="2" t="s">
        <v>74</v>
      </c>
      <c r="BQ287" s="2" t="s">
        <v>74</v>
      </c>
      <c r="BR287" s="2" t="s">
        <v>74</v>
      </c>
      <c r="BS287" s="2" t="s">
        <v>3618</v>
      </c>
      <c r="BT287" s="2" t="str">
        <f>HYPERLINK("https%3A%2F%2Fwww.webofscience.com%2Fwos%2Fwoscc%2Ffull-record%2FWOS:000249661000004","View Full Record in Web of Science")</f>
        <v>View Full Record in Web of Science</v>
      </c>
    </row>
    <row r="288" spans="1:72" s="2" customFormat="1" x14ac:dyDescent="0.4">
      <c r="A288" s="2" t="s">
        <v>72</v>
      </c>
      <c r="B288" s="2" t="s">
        <v>265</v>
      </c>
      <c r="C288" s="2" t="s">
        <v>74</v>
      </c>
      <c r="D288" s="2" t="s">
        <v>74</v>
      </c>
      <c r="E288" s="2" t="s">
        <v>74</v>
      </c>
      <c r="F288" s="2" t="s">
        <v>266</v>
      </c>
      <c r="G288" s="2" t="s">
        <v>74</v>
      </c>
      <c r="H288" s="2" t="s">
        <v>74</v>
      </c>
      <c r="I288" s="2" t="s">
        <v>267</v>
      </c>
      <c r="J288" s="2" t="s">
        <v>192</v>
      </c>
      <c r="K288" s="2" t="s">
        <v>74</v>
      </c>
      <c r="L288" s="2" t="s">
        <v>74</v>
      </c>
      <c r="M288" s="2" t="s">
        <v>74</v>
      </c>
      <c r="N288" s="2" t="s">
        <v>74</v>
      </c>
      <c r="O288" s="2" t="s">
        <v>74</v>
      </c>
      <c r="P288" s="2" t="s">
        <v>74</v>
      </c>
      <c r="Q288" s="2" t="s">
        <v>74</v>
      </c>
      <c r="R288" s="2" t="s">
        <v>74</v>
      </c>
      <c r="S288" s="2" t="s">
        <v>74</v>
      </c>
      <c r="T288" s="2" t="s">
        <v>74</v>
      </c>
      <c r="U288" s="2" t="s">
        <v>74</v>
      </c>
      <c r="V288" s="5" t="s">
        <v>268</v>
      </c>
      <c r="W288" s="2" t="s">
        <v>74</v>
      </c>
      <c r="X288" s="2" t="s">
        <v>74</v>
      </c>
      <c r="Y288" s="2" t="s">
        <v>74</v>
      </c>
      <c r="Z288" s="2" t="s">
        <v>74</v>
      </c>
      <c r="AA288" s="2" t="s">
        <v>74</v>
      </c>
      <c r="AB288" s="2" t="s">
        <v>74</v>
      </c>
      <c r="AC288" s="2" t="s">
        <v>74</v>
      </c>
      <c r="AD288" s="2" t="s">
        <v>74</v>
      </c>
      <c r="AE288" s="2" t="s">
        <v>74</v>
      </c>
      <c r="AF288" s="2" t="s">
        <v>74</v>
      </c>
      <c r="AG288" s="2" t="s">
        <v>74</v>
      </c>
      <c r="AH288" s="2" t="s">
        <v>74</v>
      </c>
      <c r="AI288" s="2" t="s">
        <v>74</v>
      </c>
      <c r="AJ288" s="2" t="s">
        <v>74</v>
      </c>
      <c r="AK288" s="2" t="s">
        <v>74</v>
      </c>
      <c r="AL288" s="2" t="s">
        <v>74</v>
      </c>
      <c r="AM288" s="2" t="s">
        <v>74</v>
      </c>
      <c r="AN288" s="2" t="s">
        <v>74</v>
      </c>
      <c r="AO288" s="2" t="s">
        <v>195</v>
      </c>
      <c r="AP288" s="2" t="s">
        <v>196</v>
      </c>
      <c r="AQ288" s="2" t="s">
        <v>74</v>
      </c>
      <c r="AR288" s="2" t="s">
        <v>74</v>
      </c>
      <c r="AS288" s="2" t="s">
        <v>74</v>
      </c>
      <c r="AT288" s="2" t="s">
        <v>123</v>
      </c>
      <c r="AU288" s="2">
        <v>2018</v>
      </c>
      <c r="AV288" s="2">
        <v>809</v>
      </c>
      <c r="AW288" s="2">
        <v>1</v>
      </c>
      <c r="AX288" s="2" t="s">
        <v>74</v>
      </c>
      <c r="AY288" s="2" t="s">
        <v>74</v>
      </c>
      <c r="AZ288" s="2" t="s">
        <v>74</v>
      </c>
      <c r="BA288" s="2" t="s">
        <v>74</v>
      </c>
      <c r="BB288" s="2">
        <v>31</v>
      </c>
      <c r="BC288" s="2">
        <v>40</v>
      </c>
      <c r="BD288" s="2" t="s">
        <v>74</v>
      </c>
      <c r="BE288" s="2" t="s">
        <v>269</v>
      </c>
      <c r="BF288" s="2" t="str">
        <f>HYPERLINK("http://dx.doi.org/10.1007/s10750-017-3442-6","http://dx.doi.org/10.1007/s10750-017-3442-6")</f>
        <v>http://dx.doi.org/10.1007/s10750-017-3442-6</v>
      </c>
      <c r="BG288" s="2" t="s">
        <v>74</v>
      </c>
      <c r="BH288" s="2" t="s">
        <v>74</v>
      </c>
      <c r="BI288" s="2" t="s">
        <v>74</v>
      </c>
      <c r="BJ288" s="2" t="s">
        <v>74</v>
      </c>
      <c r="BK288" s="2" t="s">
        <v>74</v>
      </c>
      <c r="BL288" s="2" t="s">
        <v>74</v>
      </c>
      <c r="BM288" s="2" t="s">
        <v>74</v>
      </c>
      <c r="BN288" s="2" t="s">
        <v>74</v>
      </c>
      <c r="BO288" s="2" t="s">
        <v>74</v>
      </c>
      <c r="BP288" s="2" t="s">
        <v>74</v>
      </c>
      <c r="BQ288" s="2" t="s">
        <v>74</v>
      </c>
      <c r="BR288" s="2" t="s">
        <v>74</v>
      </c>
      <c r="BS288" s="2" t="s">
        <v>270</v>
      </c>
      <c r="BT288" s="2" t="str">
        <f>HYPERLINK("https%3A%2F%2Fwww.webofscience.com%2Fwos%2Fwoscc%2Ffull-record%2FWOS:000424203000004","View Full Record in Web of Science")</f>
        <v>View Full Record in Web of Science</v>
      </c>
    </row>
    <row r="289" spans="1:72" s="2" customFormat="1" x14ac:dyDescent="0.4">
      <c r="A289" s="2" t="s">
        <v>72</v>
      </c>
      <c r="B289" s="2" t="s">
        <v>5377</v>
      </c>
      <c r="C289" s="2" t="s">
        <v>74</v>
      </c>
      <c r="D289" s="2" t="s">
        <v>74</v>
      </c>
      <c r="E289" s="2" t="s">
        <v>74</v>
      </c>
      <c r="F289" s="2" t="s">
        <v>5378</v>
      </c>
      <c r="G289" s="2" t="s">
        <v>74</v>
      </c>
      <c r="H289" s="2" t="s">
        <v>74</v>
      </c>
      <c r="I289" s="2" t="s">
        <v>5379</v>
      </c>
      <c r="J289" s="2" t="s">
        <v>1044</v>
      </c>
      <c r="K289" s="2" t="s">
        <v>74</v>
      </c>
      <c r="L289" s="2" t="s">
        <v>74</v>
      </c>
      <c r="M289" s="2" t="s">
        <v>74</v>
      </c>
      <c r="N289" s="2" t="s">
        <v>74</v>
      </c>
      <c r="O289" s="2" t="s">
        <v>74</v>
      </c>
      <c r="P289" s="2" t="s">
        <v>74</v>
      </c>
      <c r="Q289" s="2" t="s">
        <v>74</v>
      </c>
      <c r="R289" s="2" t="s">
        <v>74</v>
      </c>
      <c r="S289" s="2" t="s">
        <v>74</v>
      </c>
      <c r="T289" s="2" t="s">
        <v>74</v>
      </c>
      <c r="U289" s="2" t="s">
        <v>74</v>
      </c>
      <c r="V289" s="5" t="s">
        <v>5380</v>
      </c>
      <c r="W289" s="2" t="s">
        <v>74</v>
      </c>
      <c r="X289" s="2" t="s">
        <v>74</v>
      </c>
      <c r="Y289" s="2" t="s">
        <v>74</v>
      </c>
      <c r="Z289" s="2" t="s">
        <v>74</v>
      </c>
      <c r="AA289" s="2" t="s">
        <v>74</v>
      </c>
      <c r="AB289" s="2" t="s">
        <v>322</v>
      </c>
      <c r="AC289" s="2" t="s">
        <v>74</v>
      </c>
      <c r="AD289" s="2" t="s">
        <v>74</v>
      </c>
      <c r="AE289" s="2" t="s">
        <v>74</v>
      </c>
      <c r="AF289" s="2" t="s">
        <v>74</v>
      </c>
      <c r="AG289" s="2" t="s">
        <v>74</v>
      </c>
      <c r="AH289" s="2" t="s">
        <v>74</v>
      </c>
      <c r="AI289" s="2" t="s">
        <v>74</v>
      </c>
      <c r="AJ289" s="2" t="s">
        <v>74</v>
      </c>
      <c r="AK289" s="2" t="s">
        <v>74</v>
      </c>
      <c r="AL289" s="2" t="s">
        <v>74</v>
      </c>
      <c r="AM289" s="2" t="s">
        <v>74</v>
      </c>
      <c r="AN289" s="2" t="s">
        <v>74</v>
      </c>
      <c r="AO289" s="2" t="s">
        <v>1048</v>
      </c>
      <c r="AP289" s="2" t="s">
        <v>1049</v>
      </c>
      <c r="AQ289" s="2" t="s">
        <v>74</v>
      </c>
      <c r="AR289" s="2" t="s">
        <v>74</v>
      </c>
      <c r="AS289" s="2" t="s">
        <v>74</v>
      </c>
      <c r="AT289" s="2" t="s">
        <v>204</v>
      </c>
      <c r="AU289" s="2">
        <v>2017</v>
      </c>
      <c r="AV289" s="2">
        <v>26</v>
      </c>
      <c r="AW289" s="2">
        <v>14</v>
      </c>
      <c r="AX289" s="2" t="s">
        <v>74</v>
      </c>
      <c r="AY289" s="2" t="s">
        <v>74</v>
      </c>
      <c r="AZ289" s="2" t="s">
        <v>74</v>
      </c>
      <c r="BA289" s="2" t="s">
        <v>74</v>
      </c>
      <c r="BB289" s="2">
        <v>3760</v>
      </c>
      <c r="BC289" s="2">
        <v>3774</v>
      </c>
      <c r="BD289" s="2" t="s">
        <v>74</v>
      </c>
      <c r="BE289" s="2" t="s">
        <v>5381</v>
      </c>
      <c r="BF289" s="2" t="str">
        <f>HYPERLINK("http://dx.doi.org/10.1111/mec.14116","http://dx.doi.org/10.1111/mec.14116")</f>
        <v>http://dx.doi.org/10.1111/mec.14116</v>
      </c>
      <c r="BG289" s="2" t="s">
        <v>74</v>
      </c>
      <c r="BH289" s="2" t="s">
        <v>74</v>
      </c>
      <c r="BI289" s="2" t="s">
        <v>74</v>
      </c>
      <c r="BJ289" s="2" t="s">
        <v>74</v>
      </c>
      <c r="BK289" s="2" t="s">
        <v>74</v>
      </c>
      <c r="BL289" s="2" t="s">
        <v>74</v>
      </c>
      <c r="BM289" s="2" t="s">
        <v>74</v>
      </c>
      <c r="BN289" s="2">
        <v>28370617</v>
      </c>
      <c r="BO289" s="2" t="s">
        <v>74</v>
      </c>
      <c r="BP289" s="2" t="s">
        <v>74</v>
      </c>
      <c r="BQ289" s="2" t="s">
        <v>74</v>
      </c>
      <c r="BR289" s="2" t="s">
        <v>74</v>
      </c>
      <c r="BS289" s="2" t="s">
        <v>5382</v>
      </c>
      <c r="BT289" s="2" t="str">
        <f>HYPERLINK("https%3A%2F%2Fwww.webofscience.com%2Fwos%2Fwoscc%2Ffull-record%2FWOS:000404618000015","View Full Record in Web of Science")</f>
        <v>View Full Record in Web of Science</v>
      </c>
    </row>
    <row r="290" spans="1:72" s="2" customFormat="1" x14ac:dyDescent="0.4">
      <c r="A290" s="2" t="s">
        <v>72</v>
      </c>
      <c r="B290" s="2" t="s">
        <v>8439</v>
      </c>
      <c r="C290" s="2" t="s">
        <v>74</v>
      </c>
      <c r="D290" s="2" t="s">
        <v>74</v>
      </c>
      <c r="E290" s="2" t="s">
        <v>74</v>
      </c>
      <c r="F290" s="2" t="s">
        <v>8439</v>
      </c>
      <c r="G290" s="2" t="s">
        <v>74</v>
      </c>
      <c r="H290" s="2" t="s">
        <v>74</v>
      </c>
      <c r="I290" s="2" t="s">
        <v>8440</v>
      </c>
      <c r="J290" s="2" t="s">
        <v>691</v>
      </c>
      <c r="K290" s="2" t="s">
        <v>74</v>
      </c>
      <c r="L290" s="2" t="s">
        <v>74</v>
      </c>
      <c r="M290" s="2" t="s">
        <v>74</v>
      </c>
      <c r="N290" s="2" t="s">
        <v>74</v>
      </c>
      <c r="O290" s="2" t="s">
        <v>74</v>
      </c>
      <c r="P290" s="2" t="s">
        <v>74</v>
      </c>
      <c r="Q290" s="2" t="s">
        <v>74</v>
      </c>
      <c r="R290" s="2" t="s">
        <v>74</v>
      </c>
      <c r="S290" s="2" t="s">
        <v>74</v>
      </c>
      <c r="T290" s="2" t="s">
        <v>74</v>
      </c>
      <c r="U290" s="2" t="s">
        <v>74</v>
      </c>
      <c r="V290" s="5" t="s">
        <v>8441</v>
      </c>
      <c r="W290" s="2" t="s">
        <v>74</v>
      </c>
      <c r="X290" s="2" t="s">
        <v>74</v>
      </c>
      <c r="Y290" s="2" t="s">
        <v>74</v>
      </c>
      <c r="Z290" s="2" t="s">
        <v>74</v>
      </c>
      <c r="AA290" s="2" t="s">
        <v>74</v>
      </c>
      <c r="AB290" s="2" t="s">
        <v>74</v>
      </c>
      <c r="AC290" s="2" t="s">
        <v>74</v>
      </c>
      <c r="AD290" s="2" t="s">
        <v>74</v>
      </c>
      <c r="AE290" s="2" t="s">
        <v>74</v>
      </c>
      <c r="AF290" s="2" t="s">
        <v>74</v>
      </c>
      <c r="AG290" s="2" t="s">
        <v>74</v>
      </c>
      <c r="AH290" s="2" t="s">
        <v>74</v>
      </c>
      <c r="AI290" s="2" t="s">
        <v>74</v>
      </c>
      <c r="AJ290" s="2" t="s">
        <v>74</v>
      </c>
      <c r="AK290" s="2" t="s">
        <v>74</v>
      </c>
      <c r="AL290" s="2" t="s">
        <v>74</v>
      </c>
      <c r="AM290" s="2" t="s">
        <v>74</v>
      </c>
      <c r="AN290" s="2" t="s">
        <v>74</v>
      </c>
      <c r="AO290" s="2" t="s">
        <v>695</v>
      </c>
      <c r="AP290" s="2" t="s">
        <v>74</v>
      </c>
      <c r="AQ290" s="2" t="s">
        <v>74</v>
      </c>
      <c r="AR290" s="2" t="s">
        <v>74</v>
      </c>
      <c r="AS290" s="2" t="s">
        <v>74</v>
      </c>
      <c r="AT290" s="2" t="s">
        <v>305</v>
      </c>
      <c r="AU290" s="2">
        <v>1995</v>
      </c>
      <c r="AV290" s="2">
        <v>58</v>
      </c>
      <c r="AW290" s="2">
        <v>6</v>
      </c>
      <c r="AX290" s="2" t="s">
        <v>74</v>
      </c>
      <c r="AY290" s="2" t="s">
        <v>74</v>
      </c>
      <c r="AZ290" s="2" t="s">
        <v>74</v>
      </c>
      <c r="BA290" s="2" t="s">
        <v>74</v>
      </c>
      <c r="BB290" s="2">
        <v>1221</v>
      </c>
      <c r="BC290" s="2">
        <v>1225</v>
      </c>
      <c r="BD290" s="2" t="s">
        <v>74</v>
      </c>
      <c r="BE290" s="2" t="s">
        <v>8442</v>
      </c>
      <c r="BF290" s="2" t="str">
        <f>HYPERLINK("http://dx.doi.org/10.1016/0031-9384(95)02057-8","http://dx.doi.org/10.1016/0031-9384(95)02057-8")</f>
        <v>http://dx.doi.org/10.1016/0031-9384(95)02057-8</v>
      </c>
      <c r="BG290" s="2" t="s">
        <v>74</v>
      </c>
      <c r="BH290" s="2" t="s">
        <v>74</v>
      </c>
      <c r="BI290" s="2" t="s">
        <v>74</v>
      </c>
      <c r="BJ290" s="2" t="s">
        <v>74</v>
      </c>
      <c r="BK290" s="2" t="s">
        <v>74</v>
      </c>
      <c r="BL290" s="2" t="s">
        <v>74</v>
      </c>
      <c r="BM290" s="2" t="s">
        <v>74</v>
      </c>
      <c r="BN290" s="2">
        <v>8623024</v>
      </c>
      <c r="BO290" s="2" t="s">
        <v>74</v>
      </c>
      <c r="BP290" s="2" t="s">
        <v>74</v>
      </c>
      <c r="BQ290" s="2" t="s">
        <v>74</v>
      </c>
      <c r="BR290" s="2" t="s">
        <v>74</v>
      </c>
      <c r="BS290" s="2" t="s">
        <v>8443</v>
      </c>
      <c r="BT290" s="2" t="str">
        <f>HYPERLINK("https%3A%2F%2Fwww.webofscience.com%2Fwos%2Fwoscc%2Ffull-record%2FWOS:A1995TH80700023","View Full Record in Web of Science")</f>
        <v>View Full Record in Web of Science</v>
      </c>
    </row>
    <row r="291" spans="1:72" s="2" customFormat="1" x14ac:dyDescent="0.4">
      <c r="A291" s="2" t="s">
        <v>72</v>
      </c>
      <c r="B291" s="2" t="s">
        <v>4532</v>
      </c>
      <c r="C291" s="2" t="s">
        <v>74</v>
      </c>
      <c r="D291" s="2" t="s">
        <v>74</v>
      </c>
      <c r="E291" s="2" t="s">
        <v>74</v>
      </c>
      <c r="F291" s="2" t="s">
        <v>4532</v>
      </c>
      <c r="G291" s="2" t="s">
        <v>74</v>
      </c>
      <c r="H291" s="2" t="s">
        <v>74</v>
      </c>
      <c r="I291" s="2" t="s">
        <v>4533</v>
      </c>
      <c r="J291" s="2" t="s">
        <v>140</v>
      </c>
      <c r="K291" s="2" t="s">
        <v>74</v>
      </c>
      <c r="L291" s="2" t="s">
        <v>74</v>
      </c>
      <c r="M291" s="2" t="s">
        <v>74</v>
      </c>
      <c r="N291" s="2" t="s">
        <v>74</v>
      </c>
      <c r="O291" s="2" t="s">
        <v>74</v>
      </c>
      <c r="P291" s="2" t="s">
        <v>74</v>
      </c>
      <c r="Q291" s="2" t="s">
        <v>74</v>
      </c>
      <c r="R291" s="2" t="s">
        <v>74</v>
      </c>
      <c r="S291" s="2" t="s">
        <v>74</v>
      </c>
      <c r="T291" s="2" t="s">
        <v>74</v>
      </c>
      <c r="U291" s="2" t="s">
        <v>74</v>
      </c>
      <c r="V291" s="5" t="s">
        <v>4534</v>
      </c>
      <c r="W291" s="2" t="s">
        <v>74</v>
      </c>
      <c r="X291" s="2" t="s">
        <v>74</v>
      </c>
      <c r="Y291" s="2" t="s">
        <v>74</v>
      </c>
      <c r="Z291" s="2" t="s">
        <v>74</v>
      </c>
      <c r="AA291" s="2" t="s">
        <v>74</v>
      </c>
      <c r="AB291" s="2" t="s">
        <v>74</v>
      </c>
      <c r="AC291" s="2" t="s">
        <v>74</v>
      </c>
      <c r="AD291" s="2" t="s">
        <v>74</v>
      </c>
      <c r="AE291" s="2" t="s">
        <v>74</v>
      </c>
      <c r="AF291" s="2" t="s">
        <v>74</v>
      </c>
      <c r="AG291" s="2" t="s">
        <v>74</v>
      </c>
      <c r="AH291" s="2" t="s">
        <v>74</v>
      </c>
      <c r="AI291" s="2" t="s">
        <v>74</v>
      </c>
      <c r="AJ291" s="2" t="s">
        <v>74</v>
      </c>
      <c r="AK291" s="2" t="s">
        <v>74</v>
      </c>
      <c r="AL291" s="2" t="s">
        <v>74</v>
      </c>
      <c r="AM291" s="2" t="s">
        <v>74</v>
      </c>
      <c r="AN291" s="2" t="s">
        <v>74</v>
      </c>
      <c r="AO291" s="2" t="s">
        <v>143</v>
      </c>
      <c r="AP291" s="2" t="s">
        <v>144</v>
      </c>
      <c r="AQ291" s="2" t="s">
        <v>74</v>
      </c>
      <c r="AR291" s="2" t="s">
        <v>74</v>
      </c>
      <c r="AS291" s="2" t="s">
        <v>74</v>
      </c>
      <c r="AT291" s="2" t="s">
        <v>145</v>
      </c>
      <c r="AU291" s="2">
        <v>1987</v>
      </c>
      <c r="AV291" s="2">
        <v>35</v>
      </c>
      <c r="AW291" s="2" t="s">
        <v>74</v>
      </c>
      <c r="AX291" s="2">
        <v>4</v>
      </c>
      <c r="AY291" s="2" t="s">
        <v>74</v>
      </c>
      <c r="AZ291" s="2" t="s">
        <v>74</v>
      </c>
      <c r="BA291" s="2" t="s">
        <v>74</v>
      </c>
      <c r="BB291" s="2">
        <v>1177</v>
      </c>
      <c r="BC291" s="2">
        <v>1187</v>
      </c>
      <c r="BD291" s="2" t="s">
        <v>74</v>
      </c>
      <c r="BE291" s="2" t="s">
        <v>4535</v>
      </c>
      <c r="BF291" s="2" t="str">
        <f>HYPERLINK("http://dx.doi.org/10.1016/S0003-3472(87)80174-4","http://dx.doi.org/10.1016/S0003-3472(87)80174-4")</f>
        <v>http://dx.doi.org/10.1016/S0003-3472(87)80174-4</v>
      </c>
      <c r="BG291" s="2" t="s">
        <v>74</v>
      </c>
      <c r="BH291" s="2" t="s">
        <v>74</v>
      </c>
      <c r="BI291" s="2" t="s">
        <v>74</v>
      </c>
      <c r="BJ291" s="2" t="s">
        <v>74</v>
      </c>
      <c r="BK291" s="2" t="s">
        <v>74</v>
      </c>
      <c r="BL291" s="2" t="s">
        <v>74</v>
      </c>
      <c r="BM291" s="2" t="s">
        <v>74</v>
      </c>
      <c r="BN291" s="2" t="s">
        <v>74</v>
      </c>
      <c r="BO291" s="2" t="s">
        <v>74</v>
      </c>
      <c r="BP291" s="2" t="s">
        <v>74</v>
      </c>
      <c r="BQ291" s="2" t="s">
        <v>74</v>
      </c>
      <c r="BR291" s="2" t="s">
        <v>74</v>
      </c>
      <c r="BS291" s="2" t="s">
        <v>4536</v>
      </c>
      <c r="BT291" s="2" t="str">
        <f>HYPERLINK("https%3A%2F%2Fwww.webofscience.com%2Fwos%2Fwoscc%2Ffull-record%2FWOS:A1987J540600022","View Full Record in Web of Science")</f>
        <v>View Full Record in Web of Science</v>
      </c>
    </row>
    <row r="292" spans="1:72" s="1" customFormat="1" x14ac:dyDescent="0.4">
      <c r="A292" s="2" t="s">
        <v>72</v>
      </c>
      <c r="B292" s="2" t="s">
        <v>4021</v>
      </c>
      <c r="C292" s="2" t="s">
        <v>74</v>
      </c>
      <c r="D292" s="2" t="s">
        <v>74</v>
      </c>
      <c r="E292" s="2" t="s">
        <v>74</v>
      </c>
      <c r="F292" s="2" t="s">
        <v>4021</v>
      </c>
      <c r="G292" s="2" t="s">
        <v>74</v>
      </c>
      <c r="H292" s="2" t="s">
        <v>74</v>
      </c>
      <c r="I292" s="2" t="s">
        <v>4022</v>
      </c>
      <c r="J292" s="2" t="s">
        <v>1812</v>
      </c>
      <c r="K292" s="2" t="s">
        <v>74</v>
      </c>
      <c r="L292" s="2" t="s">
        <v>74</v>
      </c>
      <c r="M292" s="2" t="s">
        <v>74</v>
      </c>
      <c r="N292" s="2" t="s">
        <v>74</v>
      </c>
      <c r="O292" s="2" t="s">
        <v>74</v>
      </c>
      <c r="P292" s="2" t="s">
        <v>74</v>
      </c>
      <c r="Q292" s="2" t="s">
        <v>74</v>
      </c>
      <c r="R292" s="2" t="s">
        <v>74</v>
      </c>
      <c r="S292" s="2" t="s">
        <v>74</v>
      </c>
      <c r="T292" s="2" t="s">
        <v>74</v>
      </c>
      <c r="U292" s="2" t="s">
        <v>74</v>
      </c>
      <c r="V292" s="5" t="s">
        <v>4023</v>
      </c>
      <c r="W292" s="2" t="s">
        <v>74</v>
      </c>
      <c r="X292" s="2" t="s">
        <v>74</v>
      </c>
      <c r="Y292" s="2" t="s">
        <v>74</v>
      </c>
      <c r="Z292" s="2" t="s">
        <v>74</v>
      </c>
      <c r="AA292" s="2" t="s">
        <v>74</v>
      </c>
      <c r="AB292" s="2" t="s">
        <v>74</v>
      </c>
      <c r="AC292" s="2" t="s">
        <v>74</v>
      </c>
      <c r="AD292" s="2" t="s">
        <v>74</v>
      </c>
      <c r="AE292" s="2" t="s">
        <v>74</v>
      </c>
      <c r="AF292" s="2" t="s">
        <v>74</v>
      </c>
      <c r="AG292" s="2" t="s">
        <v>74</v>
      </c>
      <c r="AH292" s="2" t="s">
        <v>74</v>
      </c>
      <c r="AI292" s="2" t="s">
        <v>74</v>
      </c>
      <c r="AJ292" s="2" t="s">
        <v>74</v>
      </c>
      <c r="AK292" s="2" t="s">
        <v>74</v>
      </c>
      <c r="AL292" s="2" t="s">
        <v>74</v>
      </c>
      <c r="AM292" s="2" t="s">
        <v>74</v>
      </c>
      <c r="AN292" s="2" t="s">
        <v>74</v>
      </c>
      <c r="AO292" s="2" t="s">
        <v>1814</v>
      </c>
      <c r="AP292" s="2" t="s">
        <v>1815</v>
      </c>
      <c r="AQ292" s="2" t="s">
        <v>74</v>
      </c>
      <c r="AR292" s="2" t="s">
        <v>74</v>
      </c>
      <c r="AS292" s="2" t="s">
        <v>74</v>
      </c>
      <c r="AT292" s="2" t="s">
        <v>102</v>
      </c>
      <c r="AU292" s="2">
        <v>1987</v>
      </c>
      <c r="AV292" s="2">
        <v>21</v>
      </c>
      <c r="AW292" s="2">
        <v>2</v>
      </c>
      <c r="AX292" s="2" t="s">
        <v>74</v>
      </c>
      <c r="AY292" s="2" t="s">
        <v>74</v>
      </c>
      <c r="AZ292" s="2" t="s">
        <v>74</v>
      </c>
      <c r="BA292" s="2" t="s">
        <v>74</v>
      </c>
      <c r="BB292" s="2">
        <v>96</v>
      </c>
      <c r="BC292" s="2">
        <v>101</v>
      </c>
      <c r="BD292" s="2" t="s">
        <v>74</v>
      </c>
      <c r="BE292" s="2" t="s">
        <v>4024</v>
      </c>
      <c r="BF292" s="2" t="str">
        <f>HYPERLINK("http://dx.doi.org/10.2307/1564469","http://dx.doi.org/10.2307/1564469")</f>
        <v>http://dx.doi.org/10.2307/1564469</v>
      </c>
      <c r="BG292" s="2" t="s">
        <v>74</v>
      </c>
      <c r="BH292" s="2" t="s">
        <v>74</v>
      </c>
      <c r="BI292" s="2" t="s">
        <v>74</v>
      </c>
      <c r="BJ292" s="2" t="s">
        <v>74</v>
      </c>
      <c r="BK292" s="2" t="s">
        <v>74</v>
      </c>
      <c r="BL292" s="2" t="s">
        <v>74</v>
      </c>
      <c r="BM292" s="2" t="s">
        <v>74</v>
      </c>
      <c r="BN292" s="2" t="s">
        <v>74</v>
      </c>
      <c r="BO292" s="2" t="s">
        <v>74</v>
      </c>
      <c r="BP292" s="2" t="s">
        <v>74</v>
      </c>
      <c r="BQ292" s="2" t="s">
        <v>74</v>
      </c>
      <c r="BR292" s="2" t="s">
        <v>74</v>
      </c>
      <c r="BS292" s="2" t="s">
        <v>4025</v>
      </c>
      <c r="BT292" s="2" t="str">
        <f>HYPERLINK("https%3A%2F%2Fwww.webofscience.com%2Fwos%2Fwoscc%2Ffull-record%2FWOS:A1987H691700002","View Full Record in Web of Science")</f>
        <v>View Full Record in Web of Science</v>
      </c>
    </row>
    <row r="293" spans="1:72" s="2" customFormat="1" x14ac:dyDescent="0.4">
      <c r="A293" s="2" t="s">
        <v>72</v>
      </c>
      <c r="B293" s="2" t="s">
        <v>4356</v>
      </c>
      <c r="C293" s="2" t="s">
        <v>74</v>
      </c>
      <c r="D293" s="2" t="s">
        <v>74</v>
      </c>
      <c r="E293" s="2" t="s">
        <v>74</v>
      </c>
      <c r="F293" s="2" t="s">
        <v>4356</v>
      </c>
      <c r="G293" s="2" t="s">
        <v>74</v>
      </c>
      <c r="H293" s="2" t="s">
        <v>74</v>
      </c>
      <c r="I293" s="2" t="s">
        <v>4357</v>
      </c>
      <c r="J293" s="2" t="s">
        <v>1126</v>
      </c>
      <c r="K293" s="2" t="s">
        <v>74</v>
      </c>
      <c r="L293" s="2" t="s">
        <v>74</v>
      </c>
      <c r="M293" s="2" t="s">
        <v>74</v>
      </c>
      <c r="N293" s="2" t="s">
        <v>74</v>
      </c>
      <c r="O293" s="2" t="s">
        <v>74</v>
      </c>
      <c r="P293" s="2" t="s">
        <v>74</v>
      </c>
      <c r="Q293" s="2" t="s">
        <v>74</v>
      </c>
      <c r="R293" s="2" t="s">
        <v>74</v>
      </c>
      <c r="S293" s="2" t="s">
        <v>74</v>
      </c>
      <c r="T293" s="2" t="s">
        <v>74</v>
      </c>
      <c r="U293" s="2" t="s">
        <v>74</v>
      </c>
      <c r="V293" s="5" t="s">
        <v>4358</v>
      </c>
      <c r="W293" s="2" t="s">
        <v>74</v>
      </c>
      <c r="X293" s="2" t="s">
        <v>74</v>
      </c>
      <c r="Y293" s="2" t="s">
        <v>74</v>
      </c>
      <c r="Z293" s="2" t="s">
        <v>74</v>
      </c>
      <c r="AA293" s="2" t="s">
        <v>74</v>
      </c>
      <c r="AB293" s="2" t="s">
        <v>74</v>
      </c>
      <c r="AC293" s="2" t="s">
        <v>74</v>
      </c>
      <c r="AD293" s="2" t="s">
        <v>74</v>
      </c>
      <c r="AE293" s="2" t="s">
        <v>74</v>
      </c>
      <c r="AF293" s="2" t="s">
        <v>74</v>
      </c>
      <c r="AG293" s="2" t="s">
        <v>74</v>
      </c>
      <c r="AH293" s="2" t="s">
        <v>74</v>
      </c>
      <c r="AI293" s="2" t="s">
        <v>74</v>
      </c>
      <c r="AJ293" s="2" t="s">
        <v>74</v>
      </c>
      <c r="AK293" s="2" t="s">
        <v>74</v>
      </c>
      <c r="AL293" s="2" t="s">
        <v>74</v>
      </c>
      <c r="AM293" s="2" t="s">
        <v>74</v>
      </c>
      <c r="AN293" s="2" t="s">
        <v>74</v>
      </c>
      <c r="AO293" s="2" t="s">
        <v>1128</v>
      </c>
      <c r="AP293" s="2" t="s">
        <v>1129</v>
      </c>
      <c r="AQ293" s="2" t="s">
        <v>74</v>
      </c>
      <c r="AR293" s="2" t="s">
        <v>74</v>
      </c>
      <c r="AS293" s="2" t="s">
        <v>74</v>
      </c>
      <c r="AT293" s="2" t="s">
        <v>4359</v>
      </c>
      <c r="AU293" s="2">
        <v>1988</v>
      </c>
      <c r="AV293" s="2" t="s">
        <v>74</v>
      </c>
      <c r="AW293" s="2">
        <v>1</v>
      </c>
      <c r="AX293" s="2" t="s">
        <v>74</v>
      </c>
      <c r="AY293" s="2" t="s">
        <v>74</v>
      </c>
      <c r="AZ293" s="2" t="s">
        <v>74</v>
      </c>
      <c r="BA293" s="2" t="s">
        <v>74</v>
      </c>
      <c r="BB293" s="2">
        <v>1</v>
      </c>
      <c r="BC293" s="2">
        <v>6</v>
      </c>
      <c r="BD293" s="2" t="s">
        <v>74</v>
      </c>
      <c r="BE293" s="2" t="s">
        <v>74</v>
      </c>
      <c r="BF293" s="2" t="s">
        <v>74</v>
      </c>
      <c r="BG293" s="2" t="s">
        <v>74</v>
      </c>
      <c r="BH293" s="2" t="s">
        <v>74</v>
      </c>
      <c r="BI293" s="2" t="s">
        <v>74</v>
      </c>
      <c r="BJ293" s="2" t="s">
        <v>74</v>
      </c>
      <c r="BK293" s="2" t="s">
        <v>74</v>
      </c>
      <c r="BL293" s="2" t="s">
        <v>74</v>
      </c>
      <c r="BM293" s="2" t="s">
        <v>74</v>
      </c>
      <c r="BN293" s="2" t="s">
        <v>74</v>
      </c>
      <c r="BO293" s="2" t="s">
        <v>74</v>
      </c>
      <c r="BP293" s="2" t="s">
        <v>74</v>
      </c>
      <c r="BQ293" s="2" t="s">
        <v>74</v>
      </c>
      <c r="BR293" s="2" t="s">
        <v>74</v>
      </c>
      <c r="BS293" s="2" t="s">
        <v>4360</v>
      </c>
      <c r="BT293" s="2" t="str">
        <f>HYPERLINK("https%3A%2F%2Fwww.webofscience.com%2Fwos%2Fwoscc%2Ffull-record%2FWOS:A1988M131600001","View Full Record in Web of Science")</f>
        <v>View Full Record in Web of Science</v>
      </c>
    </row>
    <row r="294" spans="1:72" s="2" customFormat="1" x14ac:dyDescent="0.4">
      <c r="A294" s="2" t="s">
        <v>72</v>
      </c>
      <c r="B294" s="2" t="s">
        <v>8655</v>
      </c>
      <c r="C294" s="2" t="s">
        <v>74</v>
      </c>
      <c r="D294" s="2" t="s">
        <v>74</v>
      </c>
      <c r="E294" s="2" t="s">
        <v>74</v>
      </c>
      <c r="F294" s="2" t="s">
        <v>8656</v>
      </c>
      <c r="G294" s="2" t="s">
        <v>74</v>
      </c>
      <c r="H294" s="2" t="s">
        <v>74</v>
      </c>
      <c r="I294" s="2" t="s">
        <v>8657</v>
      </c>
      <c r="J294" s="2" t="s">
        <v>1044</v>
      </c>
      <c r="K294" s="2" t="s">
        <v>74</v>
      </c>
      <c r="L294" s="2" t="s">
        <v>74</v>
      </c>
      <c r="M294" s="2" t="s">
        <v>74</v>
      </c>
      <c r="N294" s="2" t="s">
        <v>74</v>
      </c>
      <c r="O294" s="2" t="s">
        <v>74</v>
      </c>
      <c r="P294" s="2" t="s">
        <v>74</v>
      </c>
      <c r="Q294" s="2" t="s">
        <v>74</v>
      </c>
      <c r="R294" s="2" t="s">
        <v>74</v>
      </c>
      <c r="S294" s="2" t="s">
        <v>74</v>
      </c>
      <c r="T294" s="2" t="s">
        <v>74</v>
      </c>
      <c r="U294" s="2" t="s">
        <v>74</v>
      </c>
      <c r="V294" s="5" t="s">
        <v>8658</v>
      </c>
      <c r="W294" s="2" t="s">
        <v>74</v>
      </c>
      <c r="X294" s="2" t="s">
        <v>74</v>
      </c>
      <c r="Y294" s="2" t="s">
        <v>74</v>
      </c>
      <c r="Z294" s="2" t="s">
        <v>74</v>
      </c>
      <c r="AA294" s="2" t="s">
        <v>8659</v>
      </c>
      <c r="AB294" s="2" t="s">
        <v>8660</v>
      </c>
      <c r="AC294" s="2" t="s">
        <v>74</v>
      </c>
      <c r="AD294" s="2" t="s">
        <v>74</v>
      </c>
      <c r="AE294" s="2" t="s">
        <v>74</v>
      </c>
      <c r="AF294" s="2" t="s">
        <v>74</v>
      </c>
      <c r="AG294" s="2" t="s">
        <v>74</v>
      </c>
      <c r="AH294" s="2" t="s">
        <v>74</v>
      </c>
      <c r="AI294" s="2" t="s">
        <v>74</v>
      </c>
      <c r="AJ294" s="2" t="s">
        <v>74</v>
      </c>
      <c r="AK294" s="2" t="s">
        <v>74</v>
      </c>
      <c r="AL294" s="2" t="s">
        <v>74</v>
      </c>
      <c r="AM294" s="2" t="s">
        <v>74</v>
      </c>
      <c r="AN294" s="2" t="s">
        <v>74</v>
      </c>
      <c r="AO294" s="2" t="s">
        <v>1048</v>
      </c>
      <c r="AP294" s="2" t="s">
        <v>1049</v>
      </c>
      <c r="AQ294" s="2" t="s">
        <v>74</v>
      </c>
      <c r="AR294" s="2" t="s">
        <v>74</v>
      </c>
      <c r="AS294" s="2" t="s">
        <v>74</v>
      </c>
      <c r="AT294" s="2" t="s">
        <v>633</v>
      </c>
      <c r="AU294" s="2">
        <v>2020</v>
      </c>
      <c r="AV294" s="2">
        <v>29</v>
      </c>
      <c r="AW294" s="2">
        <v>7</v>
      </c>
      <c r="AX294" s="2" t="s">
        <v>74</v>
      </c>
      <c r="AY294" s="2" t="s">
        <v>74</v>
      </c>
      <c r="AZ294" s="2" t="s">
        <v>74</v>
      </c>
      <c r="BA294" s="2" t="s">
        <v>74</v>
      </c>
      <c r="BB294" s="2">
        <v>1358</v>
      </c>
      <c r="BC294" s="2">
        <v>1371</v>
      </c>
      <c r="BD294" s="2" t="s">
        <v>74</v>
      </c>
      <c r="BE294" s="2" t="s">
        <v>8661</v>
      </c>
      <c r="BF294" s="2" t="str">
        <f>HYPERLINK("http://dx.doi.org/10.1111/mec.15398","http://dx.doi.org/10.1111/mec.15398")</f>
        <v>http://dx.doi.org/10.1111/mec.15398</v>
      </c>
      <c r="BG294" s="2" t="s">
        <v>74</v>
      </c>
      <c r="BH294" s="2" t="s">
        <v>3584</v>
      </c>
      <c r="BI294" s="2" t="s">
        <v>74</v>
      </c>
      <c r="BJ294" s="2" t="s">
        <v>74</v>
      </c>
      <c r="BK294" s="2" t="s">
        <v>74</v>
      </c>
      <c r="BL294" s="2" t="s">
        <v>74</v>
      </c>
      <c r="BM294" s="2" t="s">
        <v>74</v>
      </c>
      <c r="BN294" s="2">
        <v>32115796</v>
      </c>
      <c r="BO294" s="2" t="s">
        <v>74</v>
      </c>
      <c r="BP294" s="2" t="s">
        <v>74</v>
      </c>
      <c r="BQ294" s="2" t="s">
        <v>74</v>
      </c>
      <c r="BR294" s="2" t="s">
        <v>74</v>
      </c>
      <c r="BS294" s="2" t="s">
        <v>8662</v>
      </c>
      <c r="BT294" s="2" t="str">
        <f>HYPERLINK("https%3A%2F%2Fwww.webofscience.com%2Fwos%2Fwoscc%2Ffull-record%2FWOS:000524283300001","View Full Record in Web of Science")</f>
        <v>View Full Record in Web of Science</v>
      </c>
    </row>
    <row r="295" spans="1:72" s="2" customFormat="1" x14ac:dyDescent="0.4">
      <c r="A295" s="2" t="s">
        <v>72</v>
      </c>
      <c r="B295" s="2" t="s">
        <v>4243</v>
      </c>
      <c r="C295" s="2" t="s">
        <v>74</v>
      </c>
      <c r="D295" s="2" t="s">
        <v>74</v>
      </c>
      <c r="E295" s="2" t="s">
        <v>74</v>
      </c>
      <c r="F295" s="2" t="s">
        <v>4244</v>
      </c>
      <c r="G295" s="2" t="s">
        <v>74</v>
      </c>
      <c r="H295" s="2" t="s">
        <v>74</v>
      </c>
      <c r="I295" s="2" t="s">
        <v>4245</v>
      </c>
      <c r="J295" s="2" t="s">
        <v>333</v>
      </c>
      <c r="K295" s="2" t="s">
        <v>74</v>
      </c>
      <c r="L295" s="2" t="s">
        <v>74</v>
      </c>
      <c r="M295" s="2" t="s">
        <v>74</v>
      </c>
      <c r="N295" s="2" t="s">
        <v>74</v>
      </c>
      <c r="O295" s="2" t="s">
        <v>74</v>
      </c>
      <c r="P295" s="2" t="s">
        <v>74</v>
      </c>
      <c r="Q295" s="2" t="s">
        <v>74</v>
      </c>
      <c r="R295" s="2" t="s">
        <v>74</v>
      </c>
      <c r="S295" s="2" t="s">
        <v>74</v>
      </c>
      <c r="T295" s="2" t="s">
        <v>74</v>
      </c>
      <c r="U295" s="2" t="s">
        <v>74</v>
      </c>
      <c r="V295" s="5" t="s">
        <v>4246</v>
      </c>
      <c r="W295" s="2" t="s">
        <v>74</v>
      </c>
      <c r="X295" s="2" t="s">
        <v>74</v>
      </c>
      <c r="Y295" s="2" t="s">
        <v>74</v>
      </c>
      <c r="Z295" s="2" t="s">
        <v>74</v>
      </c>
      <c r="AA295" s="2" t="s">
        <v>4247</v>
      </c>
      <c r="AB295" s="2" t="s">
        <v>4248</v>
      </c>
      <c r="AC295" s="2" t="s">
        <v>74</v>
      </c>
      <c r="AD295" s="2" t="s">
        <v>74</v>
      </c>
      <c r="AE295" s="2" t="s">
        <v>74</v>
      </c>
      <c r="AF295" s="2" t="s">
        <v>74</v>
      </c>
      <c r="AG295" s="2" t="s">
        <v>74</v>
      </c>
      <c r="AH295" s="2" t="s">
        <v>74</v>
      </c>
      <c r="AI295" s="2" t="s">
        <v>74</v>
      </c>
      <c r="AJ295" s="2" t="s">
        <v>74</v>
      </c>
      <c r="AK295" s="2" t="s">
        <v>74</v>
      </c>
      <c r="AL295" s="2" t="s">
        <v>74</v>
      </c>
      <c r="AM295" s="2" t="s">
        <v>74</v>
      </c>
      <c r="AN295" s="2" t="s">
        <v>74</v>
      </c>
      <c r="AO295" s="2" t="s">
        <v>337</v>
      </c>
      <c r="AP295" s="2" t="s">
        <v>338</v>
      </c>
      <c r="AQ295" s="2" t="s">
        <v>74</v>
      </c>
      <c r="AR295" s="2" t="s">
        <v>74</v>
      </c>
      <c r="AS295" s="2" t="s">
        <v>74</v>
      </c>
      <c r="AT295" s="2" t="s">
        <v>1075</v>
      </c>
      <c r="AU295" s="2">
        <v>2018</v>
      </c>
      <c r="AV295" s="2">
        <v>29</v>
      </c>
      <c r="AW295" s="2">
        <v>6</v>
      </c>
      <c r="AX295" s="2" t="s">
        <v>74</v>
      </c>
      <c r="AY295" s="2" t="s">
        <v>74</v>
      </c>
      <c r="AZ295" s="2" t="s">
        <v>74</v>
      </c>
      <c r="BA295" s="2" t="s">
        <v>74</v>
      </c>
      <c r="BB295" s="2">
        <v>1472</v>
      </c>
      <c r="BC295" s="2">
        <v>1480</v>
      </c>
      <c r="BD295" s="2" t="s">
        <v>74</v>
      </c>
      <c r="BE295" s="2" t="s">
        <v>4249</v>
      </c>
      <c r="BF295" s="2" t="str">
        <f>HYPERLINK("http://dx.doi.org/10.1093/beheco/ary102","http://dx.doi.org/10.1093/beheco/ary102")</f>
        <v>http://dx.doi.org/10.1093/beheco/ary102</v>
      </c>
      <c r="BG295" s="2" t="s">
        <v>74</v>
      </c>
      <c r="BH295" s="2" t="s">
        <v>74</v>
      </c>
      <c r="BI295" s="2" t="s">
        <v>74</v>
      </c>
      <c r="BJ295" s="2" t="s">
        <v>74</v>
      </c>
      <c r="BK295" s="2" t="s">
        <v>74</v>
      </c>
      <c r="BL295" s="2" t="s">
        <v>74</v>
      </c>
      <c r="BM295" s="2" t="s">
        <v>74</v>
      </c>
      <c r="BN295" s="2" t="s">
        <v>74</v>
      </c>
      <c r="BO295" s="2" t="s">
        <v>74</v>
      </c>
      <c r="BP295" s="2" t="s">
        <v>74</v>
      </c>
      <c r="BQ295" s="2" t="s">
        <v>74</v>
      </c>
      <c r="BR295" s="2" t="s">
        <v>74</v>
      </c>
      <c r="BS295" s="2" t="s">
        <v>4250</v>
      </c>
      <c r="BT295" s="2" t="str">
        <f>HYPERLINK("https%3A%2F%2Fwww.webofscience.com%2Fwos%2Fwoscc%2Ffull-record%2FWOS:000453209600037","View Full Record in Web of Science")</f>
        <v>View Full Record in Web of Science</v>
      </c>
    </row>
    <row r="296" spans="1:72" s="2" customFormat="1" x14ac:dyDescent="0.4">
      <c r="A296" s="2" t="s">
        <v>72</v>
      </c>
      <c r="B296" s="2" t="s">
        <v>5835</v>
      </c>
      <c r="C296" s="2" t="s">
        <v>74</v>
      </c>
      <c r="D296" s="2" t="s">
        <v>74</v>
      </c>
      <c r="E296" s="2" t="s">
        <v>74</v>
      </c>
      <c r="F296" s="2" t="s">
        <v>5836</v>
      </c>
      <c r="G296" s="2" t="s">
        <v>74</v>
      </c>
      <c r="H296" s="2" t="s">
        <v>74</v>
      </c>
      <c r="I296" s="2" t="s">
        <v>5837</v>
      </c>
      <c r="J296" s="2" t="s">
        <v>108</v>
      </c>
      <c r="K296" s="2" t="s">
        <v>74</v>
      </c>
      <c r="L296" s="2" t="s">
        <v>74</v>
      </c>
      <c r="M296" s="2" t="s">
        <v>74</v>
      </c>
      <c r="N296" s="2" t="s">
        <v>74</v>
      </c>
      <c r="O296" s="2" t="s">
        <v>74</v>
      </c>
      <c r="P296" s="2" t="s">
        <v>74</v>
      </c>
      <c r="Q296" s="2" t="s">
        <v>74</v>
      </c>
      <c r="R296" s="2" t="s">
        <v>74</v>
      </c>
      <c r="S296" s="2" t="s">
        <v>74</v>
      </c>
      <c r="T296" s="2" t="s">
        <v>74</v>
      </c>
      <c r="U296" s="2" t="s">
        <v>74</v>
      </c>
      <c r="V296" s="5" t="s">
        <v>5838</v>
      </c>
      <c r="W296" s="2" t="s">
        <v>74</v>
      </c>
      <c r="X296" s="2" t="s">
        <v>74</v>
      </c>
      <c r="Y296" s="2" t="s">
        <v>74</v>
      </c>
      <c r="Z296" s="2" t="s">
        <v>74</v>
      </c>
      <c r="AA296" s="2" t="s">
        <v>5839</v>
      </c>
      <c r="AB296" s="2" t="s">
        <v>5840</v>
      </c>
      <c r="AC296" s="2" t="s">
        <v>74</v>
      </c>
      <c r="AD296" s="2" t="s">
        <v>74</v>
      </c>
      <c r="AE296" s="2" t="s">
        <v>74</v>
      </c>
      <c r="AF296" s="2" t="s">
        <v>74</v>
      </c>
      <c r="AG296" s="2" t="s">
        <v>74</v>
      </c>
      <c r="AH296" s="2" t="s">
        <v>74</v>
      </c>
      <c r="AI296" s="2" t="s">
        <v>74</v>
      </c>
      <c r="AJ296" s="2" t="s">
        <v>74</v>
      </c>
      <c r="AK296" s="2" t="s">
        <v>74</v>
      </c>
      <c r="AL296" s="2" t="s">
        <v>74</v>
      </c>
      <c r="AM296" s="2" t="s">
        <v>74</v>
      </c>
      <c r="AN296" s="2" t="s">
        <v>74</v>
      </c>
      <c r="AO296" s="2" t="s">
        <v>111</v>
      </c>
      <c r="AP296" s="2" t="s">
        <v>112</v>
      </c>
      <c r="AQ296" s="2" t="s">
        <v>74</v>
      </c>
      <c r="AR296" s="2" t="s">
        <v>74</v>
      </c>
      <c r="AS296" s="2" t="s">
        <v>74</v>
      </c>
      <c r="AT296" s="2" t="s">
        <v>3140</v>
      </c>
      <c r="AU296" s="2">
        <v>2007</v>
      </c>
      <c r="AV296" s="2">
        <v>274</v>
      </c>
      <c r="AW296" s="2">
        <v>1624</v>
      </c>
      <c r="AX296" s="2" t="s">
        <v>74</v>
      </c>
      <c r="AY296" s="2" t="s">
        <v>74</v>
      </c>
      <c r="AZ296" s="2" t="s">
        <v>74</v>
      </c>
      <c r="BA296" s="2" t="s">
        <v>74</v>
      </c>
      <c r="BB296" s="2">
        <v>2445</v>
      </c>
      <c r="BC296" s="2">
        <v>2448</v>
      </c>
      <c r="BD296" s="2" t="s">
        <v>74</v>
      </c>
      <c r="BE296" s="2" t="s">
        <v>5841</v>
      </c>
      <c r="BF296" s="2" t="str">
        <f>HYPERLINK("http://dx.doi.org/10.1098/rspb.2007.0797","http://dx.doi.org/10.1098/rspb.2007.0797")</f>
        <v>http://dx.doi.org/10.1098/rspb.2007.0797</v>
      </c>
      <c r="BG296" s="2" t="s">
        <v>74</v>
      </c>
      <c r="BH296" s="2" t="s">
        <v>74</v>
      </c>
      <c r="BI296" s="2" t="s">
        <v>74</v>
      </c>
      <c r="BJ296" s="2" t="s">
        <v>74</v>
      </c>
      <c r="BK296" s="2" t="s">
        <v>74</v>
      </c>
      <c r="BL296" s="2" t="s">
        <v>74</v>
      </c>
      <c r="BM296" s="2" t="s">
        <v>74</v>
      </c>
      <c r="BN296" s="2">
        <v>17652064</v>
      </c>
      <c r="BO296" s="2" t="s">
        <v>74</v>
      </c>
      <c r="BP296" s="2" t="s">
        <v>74</v>
      </c>
      <c r="BQ296" s="2" t="s">
        <v>74</v>
      </c>
      <c r="BR296" s="2" t="s">
        <v>74</v>
      </c>
      <c r="BS296" s="2" t="s">
        <v>5842</v>
      </c>
      <c r="BT296" s="2" t="str">
        <f>HYPERLINK("https%3A%2F%2Fwww.webofscience.com%2Fwos%2Fwoscc%2Ffull-record%2FWOS:000248887800011","View Full Record in Web of Science")</f>
        <v>View Full Record in Web of Science</v>
      </c>
    </row>
    <row r="297" spans="1:72" s="2" customFormat="1" x14ac:dyDescent="0.4">
      <c r="A297" s="2" t="s">
        <v>72</v>
      </c>
      <c r="B297" s="2" t="s">
        <v>5289</v>
      </c>
      <c r="C297" s="2" t="s">
        <v>74</v>
      </c>
      <c r="D297" s="2" t="s">
        <v>74</v>
      </c>
      <c r="E297" s="2" t="s">
        <v>74</v>
      </c>
      <c r="F297" s="2" t="s">
        <v>5290</v>
      </c>
      <c r="G297" s="2" t="s">
        <v>74</v>
      </c>
      <c r="H297" s="2" t="s">
        <v>74</v>
      </c>
      <c r="I297" s="2" t="s">
        <v>5291</v>
      </c>
      <c r="J297" s="2" t="s">
        <v>129</v>
      </c>
      <c r="K297" s="2" t="s">
        <v>74</v>
      </c>
      <c r="L297" s="2" t="s">
        <v>74</v>
      </c>
      <c r="M297" s="2" t="s">
        <v>74</v>
      </c>
      <c r="N297" s="2" t="s">
        <v>74</v>
      </c>
      <c r="O297" s="2" t="s">
        <v>74</v>
      </c>
      <c r="P297" s="2" t="s">
        <v>74</v>
      </c>
      <c r="Q297" s="2" t="s">
        <v>74</v>
      </c>
      <c r="R297" s="2" t="s">
        <v>74</v>
      </c>
      <c r="S297" s="2" t="s">
        <v>74</v>
      </c>
      <c r="T297" s="2" t="s">
        <v>74</v>
      </c>
      <c r="U297" s="2" t="s">
        <v>74</v>
      </c>
      <c r="V297" s="5" t="s">
        <v>5292</v>
      </c>
      <c r="W297" s="2" t="s">
        <v>74</v>
      </c>
      <c r="X297" s="2" t="s">
        <v>74</v>
      </c>
      <c r="Y297" s="2" t="s">
        <v>74</v>
      </c>
      <c r="Z297" s="2" t="s">
        <v>74</v>
      </c>
      <c r="AA297" s="2" t="s">
        <v>74</v>
      </c>
      <c r="AB297" s="2" t="s">
        <v>74</v>
      </c>
      <c r="AC297" s="2" t="s">
        <v>74</v>
      </c>
      <c r="AD297" s="2" t="s">
        <v>74</v>
      </c>
      <c r="AE297" s="2" t="s">
        <v>74</v>
      </c>
      <c r="AF297" s="2" t="s">
        <v>74</v>
      </c>
      <c r="AG297" s="2" t="s">
        <v>74</v>
      </c>
      <c r="AH297" s="2" t="s">
        <v>74</v>
      </c>
      <c r="AI297" s="2" t="s">
        <v>74</v>
      </c>
      <c r="AJ297" s="2" t="s">
        <v>74</v>
      </c>
      <c r="AK297" s="2" t="s">
        <v>74</v>
      </c>
      <c r="AL297" s="2" t="s">
        <v>74</v>
      </c>
      <c r="AM297" s="2" t="s">
        <v>74</v>
      </c>
      <c r="AN297" s="2" t="s">
        <v>74</v>
      </c>
      <c r="AO297" s="2" t="s">
        <v>132</v>
      </c>
      <c r="AP297" s="2" t="s">
        <v>133</v>
      </c>
      <c r="AQ297" s="2" t="s">
        <v>74</v>
      </c>
      <c r="AR297" s="2" t="s">
        <v>74</v>
      </c>
      <c r="AS297" s="2" t="s">
        <v>74</v>
      </c>
      <c r="AT297" s="2" t="s">
        <v>145</v>
      </c>
      <c r="AU297" s="2">
        <v>2013</v>
      </c>
      <c r="AV297" s="2">
        <v>67</v>
      </c>
      <c r="AW297" s="2">
        <v>8</v>
      </c>
      <c r="AX297" s="2" t="s">
        <v>74</v>
      </c>
      <c r="AY297" s="2" t="s">
        <v>74</v>
      </c>
      <c r="AZ297" s="2" t="s">
        <v>74</v>
      </c>
      <c r="BA297" s="2" t="s">
        <v>74</v>
      </c>
      <c r="BB297" s="2">
        <v>1357</v>
      </c>
      <c r="BC297" s="2">
        <v>1367</v>
      </c>
      <c r="BD297" s="2" t="s">
        <v>74</v>
      </c>
      <c r="BE297" s="2" t="s">
        <v>5293</v>
      </c>
      <c r="BF297" s="2" t="str">
        <f>HYPERLINK("http://dx.doi.org/10.1007/s00265-013-1564-z","http://dx.doi.org/10.1007/s00265-013-1564-z")</f>
        <v>http://dx.doi.org/10.1007/s00265-013-1564-z</v>
      </c>
      <c r="BG297" s="2" t="s">
        <v>74</v>
      </c>
      <c r="BH297" s="2" t="s">
        <v>74</v>
      </c>
      <c r="BI297" s="2" t="s">
        <v>74</v>
      </c>
      <c r="BJ297" s="2" t="s">
        <v>74</v>
      </c>
      <c r="BK297" s="2" t="s">
        <v>74</v>
      </c>
      <c r="BL297" s="2" t="s">
        <v>74</v>
      </c>
      <c r="BM297" s="2" t="s">
        <v>74</v>
      </c>
      <c r="BN297" s="2" t="s">
        <v>74</v>
      </c>
      <c r="BO297" s="2" t="s">
        <v>74</v>
      </c>
      <c r="BP297" s="2" t="s">
        <v>74</v>
      </c>
      <c r="BQ297" s="2" t="s">
        <v>74</v>
      </c>
      <c r="BR297" s="2" t="s">
        <v>74</v>
      </c>
      <c r="BS297" s="2" t="s">
        <v>5294</v>
      </c>
      <c r="BT297" s="2" t="str">
        <f>HYPERLINK("https%3A%2F%2Fwww.webofscience.com%2Fwos%2Fwoscc%2Ffull-record%2FWOS:000321964800016","View Full Record in Web of Science")</f>
        <v>View Full Record in Web of Science</v>
      </c>
    </row>
    <row r="298" spans="1:72" s="2" customFormat="1" x14ac:dyDescent="0.4">
      <c r="A298" s="2" t="s">
        <v>72</v>
      </c>
      <c r="B298" s="2" t="s">
        <v>2008</v>
      </c>
      <c r="C298" s="2" t="s">
        <v>74</v>
      </c>
      <c r="D298" s="2" t="s">
        <v>74</v>
      </c>
      <c r="E298" s="2" t="s">
        <v>74</v>
      </c>
      <c r="F298" s="2" t="s">
        <v>2008</v>
      </c>
      <c r="G298" s="2" t="s">
        <v>74</v>
      </c>
      <c r="H298" s="2" t="s">
        <v>74</v>
      </c>
      <c r="I298" s="2" t="s">
        <v>2009</v>
      </c>
      <c r="J298" s="2" t="s">
        <v>333</v>
      </c>
      <c r="K298" s="2" t="s">
        <v>74</v>
      </c>
      <c r="L298" s="2" t="s">
        <v>74</v>
      </c>
      <c r="M298" s="2" t="s">
        <v>74</v>
      </c>
      <c r="N298" s="2" t="s">
        <v>74</v>
      </c>
      <c r="O298" s="2" t="s">
        <v>74</v>
      </c>
      <c r="P298" s="2" t="s">
        <v>74</v>
      </c>
      <c r="Q298" s="2" t="s">
        <v>74</v>
      </c>
      <c r="R298" s="2" t="s">
        <v>74</v>
      </c>
      <c r="S298" s="2" t="s">
        <v>74</v>
      </c>
      <c r="T298" s="2" t="s">
        <v>74</v>
      </c>
      <c r="U298" s="2" t="s">
        <v>74</v>
      </c>
      <c r="V298" s="5" t="s">
        <v>2010</v>
      </c>
      <c r="W298" s="2" t="s">
        <v>74</v>
      </c>
      <c r="X298" s="2" t="s">
        <v>74</v>
      </c>
      <c r="Y298" s="2" t="s">
        <v>74</v>
      </c>
      <c r="Z298" s="2" t="s">
        <v>74</v>
      </c>
      <c r="AA298" s="2" t="s">
        <v>74</v>
      </c>
      <c r="AB298" s="2" t="s">
        <v>2011</v>
      </c>
      <c r="AC298" s="2" t="s">
        <v>74</v>
      </c>
      <c r="AD298" s="2" t="s">
        <v>74</v>
      </c>
      <c r="AE298" s="2" t="s">
        <v>74</v>
      </c>
      <c r="AF298" s="2" t="s">
        <v>74</v>
      </c>
      <c r="AG298" s="2" t="s">
        <v>74</v>
      </c>
      <c r="AH298" s="2" t="s">
        <v>74</v>
      </c>
      <c r="AI298" s="2" t="s">
        <v>74</v>
      </c>
      <c r="AJ298" s="2" t="s">
        <v>74</v>
      </c>
      <c r="AK298" s="2" t="s">
        <v>74</v>
      </c>
      <c r="AL298" s="2" t="s">
        <v>74</v>
      </c>
      <c r="AM298" s="2" t="s">
        <v>74</v>
      </c>
      <c r="AN298" s="2" t="s">
        <v>74</v>
      </c>
      <c r="AO298" s="2" t="s">
        <v>337</v>
      </c>
      <c r="AP298" s="2" t="s">
        <v>74</v>
      </c>
      <c r="AQ298" s="2" t="s">
        <v>74</v>
      </c>
      <c r="AR298" s="2" t="s">
        <v>74</v>
      </c>
      <c r="AS298" s="2" t="s">
        <v>74</v>
      </c>
      <c r="AT298" s="2" t="s">
        <v>255</v>
      </c>
      <c r="AU298" s="2">
        <v>2002</v>
      </c>
      <c r="AV298" s="2">
        <v>13</v>
      </c>
      <c r="AW298" s="2">
        <v>1</v>
      </c>
      <c r="AX298" s="2" t="s">
        <v>74</v>
      </c>
      <c r="AY298" s="2" t="s">
        <v>74</v>
      </c>
      <c r="AZ298" s="2" t="s">
        <v>74</v>
      </c>
      <c r="BA298" s="2" t="s">
        <v>74</v>
      </c>
      <c r="BB298" s="2">
        <v>59</v>
      </c>
      <c r="BC298" s="2">
        <v>64</v>
      </c>
      <c r="BD298" s="2" t="s">
        <v>74</v>
      </c>
      <c r="BE298" s="2" t="s">
        <v>2012</v>
      </c>
      <c r="BF298" s="2" t="str">
        <f>HYPERLINK("http://dx.doi.org/10.1093/beheco/13.1.59","http://dx.doi.org/10.1093/beheco/13.1.59")</f>
        <v>http://dx.doi.org/10.1093/beheco/13.1.59</v>
      </c>
      <c r="BG298" s="2" t="s">
        <v>74</v>
      </c>
      <c r="BH298" s="2" t="s">
        <v>74</v>
      </c>
      <c r="BI298" s="2" t="s">
        <v>74</v>
      </c>
      <c r="BJ298" s="2" t="s">
        <v>74</v>
      </c>
      <c r="BK298" s="2" t="s">
        <v>74</v>
      </c>
      <c r="BL298" s="2" t="s">
        <v>74</v>
      </c>
      <c r="BM298" s="2" t="s">
        <v>74</v>
      </c>
      <c r="BN298" s="2" t="s">
        <v>74</v>
      </c>
      <c r="BO298" s="2" t="s">
        <v>74</v>
      </c>
      <c r="BP298" s="2" t="s">
        <v>74</v>
      </c>
      <c r="BQ298" s="2" t="s">
        <v>74</v>
      </c>
      <c r="BR298" s="2" t="s">
        <v>74</v>
      </c>
      <c r="BS298" s="2" t="s">
        <v>2013</v>
      </c>
      <c r="BT298" s="2" t="str">
        <f>HYPERLINK("https%3A%2F%2Fwww.webofscience.com%2Fwos%2Fwoscc%2Ffull-record%2FWOS:000173390700008","View Full Record in Web of Science")</f>
        <v>View Full Record in Web of Science</v>
      </c>
    </row>
    <row r="299" spans="1:72" s="2" customFormat="1" x14ac:dyDescent="0.4">
      <c r="A299" s="2" t="s">
        <v>72</v>
      </c>
      <c r="B299" s="2" t="s">
        <v>6996</v>
      </c>
      <c r="C299" s="2" t="s">
        <v>74</v>
      </c>
      <c r="D299" s="2" t="s">
        <v>74</v>
      </c>
      <c r="E299" s="2" t="s">
        <v>74</v>
      </c>
      <c r="F299" s="2" t="s">
        <v>6997</v>
      </c>
      <c r="G299" s="2" t="s">
        <v>74</v>
      </c>
      <c r="H299" s="2" t="s">
        <v>74</v>
      </c>
      <c r="I299" s="2" t="s">
        <v>6998</v>
      </c>
      <c r="J299" s="2" t="s">
        <v>99</v>
      </c>
      <c r="K299" s="2" t="s">
        <v>74</v>
      </c>
      <c r="L299" s="2" t="s">
        <v>74</v>
      </c>
      <c r="M299" s="2" t="s">
        <v>74</v>
      </c>
      <c r="N299" s="2" t="s">
        <v>74</v>
      </c>
      <c r="O299" s="2" t="s">
        <v>74</v>
      </c>
      <c r="P299" s="2" t="s">
        <v>74</v>
      </c>
      <c r="Q299" s="2" t="s">
        <v>74</v>
      </c>
      <c r="R299" s="2" t="s">
        <v>74</v>
      </c>
      <c r="S299" s="2" t="s">
        <v>74</v>
      </c>
      <c r="T299" s="2" t="s">
        <v>74</v>
      </c>
      <c r="U299" s="2" t="s">
        <v>74</v>
      </c>
      <c r="V299" s="5" t="s">
        <v>6999</v>
      </c>
      <c r="W299" s="2" t="s">
        <v>74</v>
      </c>
      <c r="X299" s="2" t="s">
        <v>74</v>
      </c>
      <c r="Y299" s="2" t="s">
        <v>74</v>
      </c>
      <c r="Z299" s="2" t="s">
        <v>74</v>
      </c>
      <c r="AA299" s="2" t="s">
        <v>74</v>
      </c>
      <c r="AB299" s="2" t="s">
        <v>74</v>
      </c>
      <c r="AC299" s="2" t="s">
        <v>74</v>
      </c>
      <c r="AD299" s="2" t="s">
        <v>74</v>
      </c>
      <c r="AE299" s="2" t="s">
        <v>74</v>
      </c>
      <c r="AF299" s="2" t="s">
        <v>74</v>
      </c>
      <c r="AG299" s="2" t="s">
        <v>74</v>
      </c>
      <c r="AH299" s="2" t="s">
        <v>74</v>
      </c>
      <c r="AI299" s="2" t="s">
        <v>74</v>
      </c>
      <c r="AJ299" s="2" t="s">
        <v>74</v>
      </c>
      <c r="AK299" s="2" t="s">
        <v>74</v>
      </c>
      <c r="AL299" s="2" t="s">
        <v>74</v>
      </c>
      <c r="AM299" s="2" t="s">
        <v>74</v>
      </c>
      <c r="AN299" s="2" t="s">
        <v>74</v>
      </c>
      <c r="AO299" s="2" t="s">
        <v>101</v>
      </c>
      <c r="AP299" s="2" t="s">
        <v>1218</v>
      </c>
      <c r="AQ299" s="2" t="s">
        <v>74</v>
      </c>
      <c r="AR299" s="2" t="s">
        <v>74</v>
      </c>
      <c r="AS299" s="2" t="s">
        <v>74</v>
      </c>
      <c r="AT299" s="2" t="s">
        <v>102</v>
      </c>
      <c r="AU299" s="2">
        <v>2009</v>
      </c>
      <c r="AV299" s="2">
        <v>121</v>
      </c>
      <c r="AW299" s="2">
        <v>2</v>
      </c>
      <c r="AX299" s="2" t="s">
        <v>74</v>
      </c>
      <c r="AY299" s="2" t="s">
        <v>74</v>
      </c>
      <c r="AZ299" s="2" t="s">
        <v>74</v>
      </c>
      <c r="BA299" s="2" t="s">
        <v>74</v>
      </c>
      <c r="BB299" s="2">
        <v>359</v>
      </c>
      <c r="BC299" s="2">
        <v>365</v>
      </c>
      <c r="BD299" s="2" t="s">
        <v>74</v>
      </c>
      <c r="BE299" s="2" t="s">
        <v>7000</v>
      </c>
      <c r="BF299" s="2" t="str">
        <f>HYPERLINK("http://dx.doi.org/10.1676/07-138.1","http://dx.doi.org/10.1676/07-138.1")</f>
        <v>http://dx.doi.org/10.1676/07-138.1</v>
      </c>
      <c r="BG299" s="2" t="s">
        <v>74</v>
      </c>
      <c r="BH299" s="2" t="s">
        <v>74</v>
      </c>
      <c r="BI299" s="2" t="s">
        <v>74</v>
      </c>
      <c r="BJ299" s="2" t="s">
        <v>74</v>
      </c>
      <c r="BK299" s="2" t="s">
        <v>74</v>
      </c>
      <c r="BL299" s="2" t="s">
        <v>74</v>
      </c>
      <c r="BM299" s="2" t="s">
        <v>74</v>
      </c>
      <c r="BN299" s="2" t="s">
        <v>74</v>
      </c>
      <c r="BO299" s="2" t="s">
        <v>74</v>
      </c>
      <c r="BP299" s="2" t="s">
        <v>74</v>
      </c>
      <c r="BQ299" s="2" t="s">
        <v>74</v>
      </c>
      <c r="BR299" s="2" t="s">
        <v>74</v>
      </c>
      <c r="BS299" s="2" t="s">
        <v>7001</v>
      </c>
      <c r="BT299" s="2" t="str">
        <f>HYPERLINK("https%3A%2F%2Fwww.webofscience.com%2Fwos%2Fwoscc%2Ffull-record%2FWOS:000276803600015","View Full Record in Web of Science")</f>
        <v>View Full Record in Web of Science</v>
      </c>
    </row>
    <row r="300" spans="1:72" s="2" customFormat="1" x14ac:dyDescent="0.4">
      <c r="A300" s="2" t="s">
        <v>72</v>
      </c>
      <c r="B300" s="2" t="s">
        <v>8545</v>
      </c>
      <c r="C300" s="2" t="s">
        <v>74</v>
      </c>
      <c r="D300" s="2" t="s">
        <v>74</v>
      </c>
      <c r="E300" s="2" t="s">
        <v>74</v>
      </c>
      <c r="F300" s="2" t="s">
        <v>8545</v>
      </c>
      <c r="G300" s="2" t="s">
        <v>74</v>
      </c>
      <c r="H300" s="2" t="s">
        <v>74</v>
      </c>
      <c r="I300" s="2" t="s">
        <v>8546</v>
      </c>
      <c r="J300" s="2" t="s">
        <v>1126</v>
      </c>
      <c r="K300" s="2" t="s">
        <v>74</v>
      </c>
      <c r="L300" s="2" t="s">
        <v>74</v>
      </c>
      <c r="M300" s="2" t="s">
        <v>74</v>
      </c>
      <c r="N300" s="2" t="s">
        <v>74</v>
      </c>
      <c r="O300" s="2" t="s">
        <v>74</v>
      </c>
      <c r="P300" s="2" t="s">
        <v>74</v>
      </c>
      <c r="Q300" s="2" t="s">
        <v>74</v>
      </c>
      <c r="R300" s="2" t="s">
        <v>74</v>
      </c>
      <c r="S300" s="2" t="s">
        <v>74</v>
      </c>
      <c r="T300" s="2" t="s">
        <v>74</v>
      </c>
      <c r="U300" s="2" t="s">
        <v>74</v>
      </c>
      <c r="V300" s="5" t="s">
        <v>8547</v>
      </c>
      <c r="W300" s="2" t="s">
        <v>74</v>
      </c>
      <c r="X300" s="2" t="s">
        <v>74</v>
      </c>
      <c r="Y300" s="2" t="s">
        <v>74</v>
      </c>
      <c r="Z300" s="2" t="s">
        <v>74</v>
      </c>
      <c r="AA300" s="2" t="s">
        <v>74</v>
      </c>
      <c r="AB300" s="2" t="s">
        <v>74</v>
      </c>
      <c r="AC300" s="2" t="s">
        <v>74</v>
      </c>
      <c r="AD300" s="2" t="s">
        <v>74</v>
      </c>
      <c r="AE300" s="2" t="s">
        <v>74</v>
      </c>
      <c r="AF300" s="2" t="s">
        <v>74</v>
      </c>
      <c r="AG300" s="2" t="s">
        <v>74</v>
      </c>
      <c r="AH300" s="2" t="s">
        <v>74</v>
      </c>
      <c r="AI300" s="2" t="s">
        <v>74</v>
      </c>
      <c r="AJ300" s="2" t="s">
        <v>74</v>
      </c>
      <c r="AK300" s="2" t="s">
        <v>74</v>
      </c>
      <c r="AL300" s="2" t="s">
        <v>74</v>
      </c>
      <c r="AM300" s="2" t="s">
        <v>74</v>
      </c>
      <c r="AN300" s="2" t="s">
        <v>74</v>
      </c>
      <c r="AO300" s="2" t="s">
        <v>1128</v>
      </c>
      <c r="AP300" s="2" t="s">
        <v>1129</v>
      </c>
      <c r="AQ300" s="2" t="s">
        <v>74</v>
      </c>
      <c r="AR300" s="2" t="s">
        <v>74</v>
      </c>
      <c r="AS300" s="2" t="s">
        <v>74</v>
      </c>
      <c r="AT300" s="2" t="s">
        <v>8548</v>
      </c>
      <c r="AU300" s="2">
        <v>2005</v>
      </c>
      <c r="AV300" s="2" t="s">
        <v>74</v>
      </c>
      <c r="AW300" s="2">
        <v>3</v>
      </c>
      <c r="AX300" s="2" t="s">
        <v>74</v>
      </c>
      <c r="AY300" s="2" t="s">
        <v>74</v>
      </c>
      <c r="AZ300" s="2" t="s">
        <v>74</v>
      </c>
      <c r="BA300" s="2" t="s">
        <v>74</v>
      </c>
      <c r="BB300" s="2">
        <v>597</v>
      </c>
      <c r="BC300" s="2">
        <v>608</v>
      </c>
      <c r="BD300" s="2" t="s">
        <v>74</v>
      </c>
      <c r="BE300" s="2" t="s">
        <v>74</v>
      </c>
      <c r="BF300" s="2" t="s">
        <v>74</v>
      </c>
      <c r="BG300" s="2" t="s">
        <v>74</v>
      </c>
      <c r="BH300" s="2" t="s">
        <v>74</v>
      </c>
      <c r="BI300" s="2" t="s">
        <v>74</v>
      </c>
      <c r="BJ300" s="2" t="s">
        <v>74</v>
      </c>
      <c r="BK300" s="2" t="s">
        <v>74</v>
      </c>
      <c r="BL300" s="2" t="s">
        <v>74</v>
      </c>
      <c r="BM300" s="2" t="s">
        <v>74</v>
      </c>
      <c r="BN300" s="2" t="s">
        <v>74</v>
      </c>
      <c r="BO300" s="2" t="s">
        <v>74</v>
      </c>
      <c r="BP300" s="2" t="s">
        <v>74</v>
      </c>
      <c r="BQ300" s="2" t="s">
        <v>74</v>
      </c>
      <c r="BR300" s="2" t="s">
        <v>74</v>
      </c>
      <c r="BS300" s="2" t="s">
        <v>8549</v>
      </c>
      <c r="BT300" s="2" t="str">
        <f>HYPERLINK("https%3A%2F%2Fwww.webofscience.com%2Fwos%2Fwoscc%2Ffull-record%2FWOS:000231035500014","View Full Record in Web of Science")</f>
        <v>View Full Record in Web of Science</v>
      </c>
    </row>
    <row r="301" spans="1:72" s="2" customFormat="1" x14ac:dyDescent="0.4">
      <c r="A301" s="2" t="s">
        <v>72</v>
      </c>
      <c r="B301" s="2" t="s">
        <v>6039</v>
      </c>
      <c r="C301" s="2" t="s">
        <v>74</v>
      </c>
      <c r="D301" s="2" t="s">
        <v>74</v>
      </c>
      <c r="E301" s="2" t="s">
        <v>74</v>
      </c>
      <c r="F301" s="2" t="s">
        <v>6040</v>
      </c>
      <c r="G301" s="2" t="s">
        <v>74</v>
      </c>
      <c r="H301" s="2" t="s">
        <v>74</v>
      </c>
      <c r="I301" s="2" t="s">
        <v>6041</v>
      </c>
      <c r="J301" s="2" t="s">
        <v>6042</v>
      </c>
      <c r="K301" s="2" t="s">
        <v>74</v>
      </c>
      <c r="L301" s="2" t="s">
        <v>74</v>
      </c>
      <c r="M301" s="2" t="s">
        <v>74</v>
      </c>
      <c r="N301" s="2" t="s">
        <v>74</v>
      </c>
      <c r="O301" s="2" t="s">
        <v>74</v>
      </c>
      <c r="P301" s="2" t="s">
        <v>74</v>
      </c>
      <c r="Q301" s="2" t="s">
        <v>74</v>
      </c>
      <c r="R301" s="2" t="s">
        <v>74</v>
      </c>
      <c r="S301" s="2" t="s">
        <v>74</v>
      </c>
      <c r="T301" s="2" t="s">
        <v>74</v>
      </c>
      <c r="U301" s="2" t="s">
        <v>74</v>
      </c>
      <c r="V301" s="5" t="s">
        <v>6043</v>
      </c>
      <c r="W301" s="2" t="s">
        <v>74</v>
      </c>
      <c r="X301" s="2" t="s">
        <v>74</v>
      </c>
      <c r="Y301" s="2" t="s">
        <v>74</v>
      </c>
      <c r="Z301" s="2" t="s">
        <v>74</v>
      </c>
      <c r="AA301" s="2" t="s">
        <v>74</v>
      </c>
      <c r="AB301" s="2" t="s">
        <v>74</v>
      </c>
      <c r="AC301" s="2" t="s">
        <v>74</v>
      </c>
      <c r="AD301" s="2" t="s">
        <v>74</v>
      </c>
      <c r="AE301" s="2" t="s">
        <v>74</v>
      </c>
      <c r="AF301" s="2" t="s">
        <v>74</v>
      </c>
      <c r="AG301" s="2" t="s">
        <v>74</v>
      </c>
      <c r="AH301" s="2" t="s">
        <v>74</v>
      </c>
      <c r="AI301" s="2" t="s">
        <v>74</v>
      </c>
      <c r="AJ301" s="2" t="s">
        <v>74</v>
      </c>
      <c r="AK301" s="2" t="s">
        <v>74</v>
      </c>
      <c r="AL301" s="2" t="s">
        <v>74</v>
      </c>
      <c r="AM301" s="2" t="s">
        <v>74</v>
      </c>
      <c r="AN301" s="2" t="s">
        <v>74</v>
      </c>
      <c r="AO301" s="2" t="s">
        <v>6044</v>
      </c>
      <c r="AP301" s="2" t="s">
        <v>6045</v>
      </c>
      <c r="AQ301" s="2" t="s">
        <v>74</v>
      </c>
      <c r="AR301" s="2" t="s">
        <v>74</v>
      </c>
      <c r="AS301" s="2" t="s">
        <v>74</v>
      </c>
      <c r="AT301" s="2" t="s">
        <v>1349</v>
      </c>
      <c r="AU301" s="2">
        <v>2008</v>
      </c>
      <c r="AV301" s="2" t="s">
        <v>6046</v>
      </c>
      <c r="AW301" s="2">
        <v>9</v>
      </c>
      <c r="AX301" s="2" t="s">
        <v>74</v>
      </c>
      <c r="AY301" s="2" t="s">
        <v>74</v>
      </c>
      <c r="AZ301" s="2" t="s">
        <v>74</v>
      </c>
      <c r="BA301" s="2" t="s">
        <v>74</v>
      </c>
      <c r="BB301" s="2">
        <v>505</v>
      </c>
      <c r="BC301" s="2">
        <v>514</v>
      </c>
      <c r="BD301" s="2" t="s">
        <v>74</v>
      </c>
      <c r="BE301" s="2" t="s">
        <v>6047</v>
      </c>
      <c r="BF301" s="2" t="str">
        <f>HYPERLINK("http://dx.doi.org/10.1002/jez.481","http://dx.doi.org/10.1002/jez.481")</f>
        <v>http://dx.doi.org/10.1002/jez.481</v>
      </c>
      <c r="BG301" s="2" t="s">
        <v>74</v>
      </c>
      <c r="BH301" s="2" t="s">
        <v>74</v>
      </c>
      <c r="BI301" s="2" t="s">
        <v>74</v>
      </c>
      <c r="BJ301" s="2" t="s">
        <v>74</v>
      </c>
      <c r="BK301" s="2" t="s">
        <v>74</v>
      </c>
      <c r="BL301" s="2" t="s">
        <v>74</v>
      </c>
      <c r="BM301" s="2" t="s">
        <v>74</v>
      </c>
      <c r="BN301" s="2">
        <v>18661470</v>
      </c>
      <c r="BO301" s="2" t="s">
        <v>74</v>
      </c>
      <c r="BP301" s="2" t="s">
        <v>74</v>
      </c>
      <c r="BQ301" s="2" t="s">
        <v>74</v>
      </c>
      <c r="BR301" s="2" t="s">
        <v>74</v>
      </c>
      <c r="BS301" s="2" t="s">
        <v>6048</v>
      </c>
      <c r="BT301" s="2" t="str">
        <f>HYPERLINK("https%3A%2F%2Fwww.webofscience.com%2Fwos%2Fwoscc%2Ffull-record%2FWOS:000260626200001","View Full Record in Web of Science")</f>
        <v>View Full Record in Web of Science</v>
      </c>
    </row>
    <row r="302" spans="1:72" s="2" customFormat="1" x14ac:dyDescent="0.4">
      <c r="A302" s="2" t="s">
        <v>72</v>
      </c>
      <c r="B302" s="2" t="s">
        <v>7252</v>
      </c>
      <c r="C302" s="2" t="s">
        <v>74</v>
      </c>
      <c r="D302" s="2" t="s">
        <v>74</v>
      </c>
      <c r="E302" s="2" t="s">
        <v>74</v>
      </c>
      <c r="F302" s="2" t="s">
        <v>7252</v>
      </c>
      <c r="G302" s="2" t="s">
        <v>74</v>
      </c>
      <c r="H302" s="2" t="s">
        <v>74</v>
      </c>
      <c r="I302" s="2" t="s">
        <v>7253</v>
      </c>
      <c r="J302" s="2" t="s">
        <v>2144</v>
      </c>
      <c r="K302" s="2" t="s">
        <v>74</v>
      </c>
      <c r="L302" s="2" t="s">
        <v>74</v>
      </c>
      <c r="M302" s="2" t="s">
        <v>74</v>
      </c>
      <c r="N302" s="2" t="s">
        <v>74</v>
      </c>
      <c r="O302" s="2" t="s">
        <v>74</v>
      </c>
      <c r="P302" s="2" t="s">
        <v>74</v>
      </c>
      <c r="Q302" s="2" t="s">
        <v>74</v>
      </c>
      <c r="R302" s="2" t="s">
        <v>74</v>
      </c>
      <c r="S302" s="2" t="s">
        <v>74</v>
      </c>
      <c r="T302" s="2" t="s">
        <v>74</v>
      </c>
      <c r="U302" s="2" t="s">
        <v>74</v>
      </c>
      <c r="V302" s="5" t="s">
        <v>7254</v>
      </c>
      <c r="W302" s="2" t="s">
        <v>74</v>
      </c>
      <c r="X302" s="2" t="s">
        <v>74</v>
      </c>
      <c r="Y302" s="2" t="s">
        <v>74</v>
      </c>
      <c r="Z302" s="2" t="s">
        <v>74</v>
      </c>
      <c r="AA302" s="2" t="s">
        <v>74</v>
      </c>
      <c r="AB302" s="2" t="s">
        <v>74</v>
      </c>
      <c r="AC302" s="2" t="s">
        <v>74</v>
      </c>
      <c r="AD302" s="2" t="s">
        <v>74</v>
      </c>
      <c r="AE302" s="2" t="s">
        <v>74</v>
      </c>
      <c r="AF302" s="2" t="s">
        <v>74</v>
      </c>
      <c r="AG302" s="2" t="s">
        <v>74</v>
      </c>
      <c r="AH302" s="2" t="s">
        <v>74</v>
      </c>
      <c r="AI302" s="2" t="s">
        <v>74</v>
      </c>
      <c r="AJ302" s="2" t="s">
        <v>74</v>
      </c>
      <c r="AK302" s="2" t="s">
        <v>74</v>
      </c>
      <c r="AL302" s="2" t="s">
        <v>74</v>
      </c>
      <c r="AM302" s="2" t="s">
        <v>74</v>
      </c>
      <c r="AN302" s="2" t="s">
        <v>74</v>
      </c>
      <c r="AO302" s="2" t="s">
        <v>2146</v>
      </c>
      <c r="AP302" s="2" t="s">
        <v>2147</v>
      </c>
      <c r="AQ302" s="2" t="s">
        <v>74</v>
      </c>
      <c r="AR302" s="2" t="s">
        <v>74</v>
      </c>
      <c r="AS302" s="2" t="s">
        <v>74</v>
      </c>
      <c r="AT302" s="2" t="s">
        <v>74</v>
      </c>
      <c r="AU302" s="2">
        <v>1977</v>
      </c>
      <c r="AV302" s="2">
        <v>4</v>
      </c>
      <c r="AW302" s="2">
        <v>4</v>
      </c>
      <c r="AX302" s="2" t="s">
        <v>74</v>
      </c>
      <c r="AY302" s="2" t="s">
        <v>74</v>
      </c>
      <c r="AZ302" s="2" t="s">
        <v>74</v>
      </c>
      <c r="BA302" s="2" t="s">
        <v>74</v>
      </c>
      <c r="BB302" s="2">
        <v>413</v>
      </c>
      <c r="BC302" s="2">
        <v>433</v>
      </c>
      <c r="BD302" s="2" t="s">
        <v>74</v>
      </c>
      <c r="BE302" s="2" t="s">
        <v>7255</v>
      </c>
      <c r="BF302" s="2" t="str">
        <f>HYPERLINK("http://dx.doi.org/10.1080/03014223.1977.9517966","http://dx.doi.org/10.1080/03014223.1977.9517966")</f>
        <v>http://dx.doi.org/10.1080/03014223.1977.9517966</v>
      </c>
      <c r="BG302" s="2" t="s">
        <v>74</v>
      </c>
      <c r="BH302" s="2" t="s">
        <v>74</v>
      </c>
      <c r="BI302" s="2" t="s">
        <v>74</v>
      </c>
      <c r="BJ302" s="2" t="s">
        <v>74</v>
      </c>
      <c r="BK302" s="2" t="s">
        <v>74</v>
      </c>
      <c r="BL302" s="2" t="s">
        <v>74</v>
      </c>
      <c r="BM302" s="2" t="s">
        <v>74</v>
      </c>
      <c r="BN302" s="2" t="s">
        <v>74</v>
      </c>
      <c r="BO302" s="2" t="s">
        <v>74</v>
      </c>
      <c r="BP302" s="2" t="s">
        <v>74</v>
      </c>
      <c r="BQ302" s="2" t="s">
        <v>74</v>
      </c>
      <c r="BR302" s="2" t="s">
        <v>74</v>
      </c>
      <c r="BS302" s="2" t="s">
        <v>7256</v>
      </c>
      <c r="BT302" s="2" t="str">
        <f>HYPERLINK("https%3A%2F%2Fwww.webofscience.com%2Fwos%2Fwoscc%2Ffull-record%2FWOS:A1977EK27900008","View Full Record in Web of Science")</f>
        <v>View Full Record in Web of Science</v>
      </c>
    </row>
    <row r="303" spans="1:72" s="2" customFormat="1" x14ac:dyDescent="0.4">
      <c r="A303" s="2" t="s">
        <v>72</v>
      </c>
      <c r="B303" s="2" t="s">
        <v>5342</v>
      </c>
      <c r="C303" s="2" t="s">
        <v>74</v>
      </c>
      <c r="D303" s="2" t="s">
        <v>74</v>
      </c>
      <c r="E303" s="2" t="s">
        <v>74</v>
      </c>
      <c r="F303" s="2" t="s">
        <v>5342</v>
      </c>
      <c r="G303" s="2" t="s">
        <v>74</v>
      </c>
      <c r="H303" s="2" t="s">
        <v>74</v>
      </c>
      <c r="I303" s="2" t="s">
        <v>5343</v>
      </c>
      <c r="J303" s="2" t="s">
        <v>1995</v>
      </c>
      <c r="K303" s="2" t="s">
        <v>74</v>
      </c>
      <c r="L303" s="2" t="s">
        <v>74</v>
      </c>
      <c r="M303" s="2" t="s">
        <v>74</v>
      </c>
      <c r="N303" s="2" t="s">
        <v>74</v>
      </c>
      <c r="O303" s="2" t="s">
        <v>74</v>
      </c>
      <c r="P303" s="2" t="s">
        <v>74</v>
      </c>
      <c r="Q303" s="2" t="s">
        <v>74</v>
      </c>
      <c r="R303" s="2" t="s">
        <v>74</v>
      </c>
      <c r="S303" s="2" t="s">
        <v>74</v>
      </c>
      <c r="T303" s="2" t="s">
        <v>74</v>
      </c>
      <c r="U303" s="2" t="s">
        <v>74</v>
      </c>
      <c r="V303" s="5" t="s">
        <v>5344</v>
      </c>
      <c r="W303" s="2" t="s">
        <v>74</v>
      </c>
      <c r="X303" s="2" t="s">
        <v>74</v>
      </c>
      <c r="Y303" s="2" t="s">
        <v>74</v>
      </c>
      <c r="Z303" s="2" t="s">
        <v>74</v>
      </c>
      <c r="AA303" s="2" t="s">
        <v>74</v>
      </c>
      <c r="AB303" s="2" t="s">
        <v>74</v>
      </c>
      <c r="AC303" s="2" t="s">
        <v>74</v>
      </c>
      <c r="AD303" s="2" t="s">
        <v>74</v>
      </c>
      <c r="AE303" s="2" t="s">
        <v>74</v>
      </c>
      <c r="AF303" s="2" t="s">
        <v>74</v>
      </c>
      <c r="AG303" s="2" t="s">
        <v>74</v>
      </c>
      <c r="AH303" s="2" t="s">
        <v>74</v>
      </c>
      <c r="AI303" s="2" t="s">
        <v>74</v>
      </c>
      <c r="AJ303" s="2" t="s">
        <v>74</v>
      </c>
      <c r="AK303" s="2" t="s">
        <v>74</v>
      </c>
      <c r="AL303" s="2" t="s">
        <v>74</v>
      </c>
      <c r="AM303" s="2" t="s">
        <v>74</v>
      </c>
      <c r="AN303" s="2" t="s">
        <v>74</v>
      </c>
      <c r="AO303" s="2" t="s">
        <v>1997</v>
      </c>
      <c r="AP303" s="2" t="s">
        <v>74</v>
      </c>
      <c r="AQ303" s="2" t="s">
        <v>74</v>
      </c>
      <c r="AR303" s="2" t="s">
        <v>74</v>
      </c>
      <c r="AS303" s="2" t="s">
        <v>74</v>
      </c>
      <c r="AT303" s="2" t="s">
        <v>5345</v>
      </c>
      <c r="AU303" s="2">
        <v>2002</v>
      </c>
      <c r="AV303" s="2">
        <v>73</v>
      </c>
      <c r="AW303" s="2">
        <v>1</v>
      </c>
      <c r="AX303" s="2" t="s">
        <v>74</v>
      </c>
      <c r="AY303" s="2" t="s">
        <v>74</v>
      </c>
      <c r="AZ303" s="2" t="s">
        <v>74</v>
      </c>
      <c r="BA303" s="2" t="s">
        <v>74</v>
      </c>
      <c r="BB303" s="2">
        <v>70</v>
      </c>
      <c r="BC303" s="2">
        <v>73</v>
      </c>
      <c r="BD303" s="2" t="s">
        <v>74</v>
      </c>
      <c r="BE303" s="2" t="s">
        <v>5346</v>
      </c>
      <c r="BF303" s="2" t="str">
        <f>HYPERLINK("http://dx.doi.org/10.1648/0273-8570-73.1.70","http://dx.doi.org/10.1648/0273-8570-73.1.70")</f>
        <v>http://dx.doi.org/10.1648/0273-8570-73.1.70</v>
      </c>
      <c r="BG303" s="2" t="s">
        <v>74</v>
      </c>
      <c r="BH303" s="2" t="s">
        <v>74</v>
      </c>
      <c r="BI303" s="2" t="s">
        <v>74</v>
      </c>
      <c r="BJ303" s="2" t="s">
        <v>74</v>
      </c>
      <c r="BK303" s="2" t="s">
        <v>74</v>
      </c>
      <c r="BL303" s="2" t="s">
        <v>74</v>
      </c>
      <c r="BM303" s="2" t="s">
        <v>74</v>
      </c>
      <c r="BN303" s="2" t="s">
        <v>74</v>
      </c>
      <c r="BO303" s="2" t="s">
        <v>74</v>
      </c>
      <c r="BP303" s="2" t="s">
        <v>74</v>
      </c>
      <c r="BQ303" s="2" t="s">
        <v>74</v>
      </c>
      <c r="BR303" s="2" t="s">
        <v>74</v>
      </c>
      <c r="BS303" s="2" t="s">
        <v>5347</v>
      </c>
      <c r="BT303" s="2" t="str">
        <f>HYPERLINK("https%3A%2F%2Fwww.webofscience.com%2Fwos%2Fwoscc%2Ffull-record%2FWOS:000174001500012","View Full Record in Web of Science")</f>
        <v>View Full Record in Web of Science</v>
      </c>
    </row>
    <row r="304" spans="1:72" s="2" customFormat="1" x14ac:dyDescent="0.4">
      <c r="A304" s="2" t="s">
        <v>72</v>
      </c>
      <c r="B304" s="2" t="s">
        <v>2570</v>
      </c>
      <c r="C304" s="2" t="s">
        <v>74</v>
      </c>
      <c r="D304" s="2" t="s">
        <v>74</v>
      </c>
      <c r="E304" s="2" t="s">
        <v>74</v>
      </c>
      <c r="F304" s="2" t="s">
        <v>2570</v>
      </c>
      <c r="G304" s="2" t="s">
        <v>74</v>
      </c>
      <c r="H304" s="2" t="s">
        <v>74</v>
      </c>
      <c r="I304" s="2" t="s">
        <v>2571</v>
      </c>
      <c r="J304" s="2" t="s">
        <v>610</v>
      </c>
      <c r="K304" s="2" t="s">
        <v>74</v>
      </c>
      <c r="L304" s="2" t="s">
        <v>74</v>
      </c>
      <c r="M304" s="2" t="s">
        <v>74</v>
      </c>
      <c r="N304" s="2" t="s">
        <v>74</v>
      </c>
      <c r="O304" s="2" t="s">
        <v>74</v>
      </c>
      <c r="P304" s="2" t="s">
        <v>74</v>
      </c>
      <c r="Q304" s="2" t="s">
        <v>74</v>
      </c>
      <c r="R304" s="2" t="s">
        <v>74</v>
      </c>
      <c r="S304" s="2" t="s">
        <v>74</v>
      </c>
      <c r="T304" s="2" t="s">
        <v>74</v>
      </c>
      <c r="U304" s="2" t="s">
        <v>74</v>
      </c>
      <c r="V304" s="5" t="s">
        <v>2572</v>
      </c>
      <c r="W304" s="2" t="s">
        <v>74</v>
      </c>
      <c r="X304" s="2" t="s">
        <v>74</v>
      </c>
      <c r="Y304" s="2" t="s">
        <v>74</v>
      </c>
      <c r="Z304" s="2" t="s">
        <v>74</v>
      </c>
      <c r="AA304" s="2" t="s">
        <v>74</v>
      </c>
      <c r="AB304" s="2" t="s">
        <v>74</v>
      </c>
      <c r="AC304" s="2" t="s">
        <v>74</v>
      </c>
      <c r="AD304" s="2" t="s">
        <v>74</v>
      </c>
      <c r="AE304" s="2" t="s">
        <v>74</v>
      </c>
      <c r="AF304" s="2" t="s">
        <v>74</v>
      </c>
      <c r="AG304" s="2" t="s">
        <v>74</v>
      </c>
      <c r="AH304" s="2" t="s">
        <v>74</v>
      </c>
      <c r="AI304" s="2" t="s">
        <v>74</v>
      </c>
      <c r="AJ304" s="2" t="s">
        <v>74</v>
      </c>
      <c r="AK304" s="2" t="s">
        <v>74</v>
      </c>
      <c r="AL304" s="2" t="s">
        <v>74</v>
      </c>
      <c r="AM304" s="2" t="s">
        <v>74</v>
      </c>
      <c r="AN304" s="2" t="s">
        <v>74</v>
      </c>
      <c r="AO304" s="2" t="s">
        <v>614</v>
      </c>
      <c r="AP304" s="2" t="s">
        <v>74</v>
      </c>
      <c r="AQ304" s="2" t="s">
        <v>74</v>
      </c>
      <c r="AR304" s="2" t="s">
        <v>74</v>
      </c>
      <c r="AS304" s="2" t="s">
        <v>74</v>
      </c>
      <c r="AT304" s="2" t="s">
        <v>123</v>
      </c>
      <c r="AU304" s="2">
        <v>2005</v>
      </c>
      <c r="AV304" s="2">
        <v>111</v>
      </c>
      <c r="AW304" s="2">
        <v>3</v>
      </c>
      <c r="AX304" s="2" t="s">
        <v>74</v>
      </c>
      <c r="AY304" s="2" t="s">
        <v>74</v>
      </c>
      <c r="AZ304" s="2" t="s">
        <v>74</v>
      </c>
      <c r="BA304" s="2" t="s">
        <v>74</v>
      </c>
      <c r="BB304" s="2">
        <v>287</v>
      </c>
      <c r="BC304" s="2">
        <v>300</v>
      </c>
      <c r="BD304" s="2" t="s">
        <v>74</v>
      </c>
      <c r="BE304" s="2" t="s">
        <v>2573</v>
      </c>
      <c r="BF304" s="2" t="str">
        <f>HYPERLINK("http://dx.doi.org/10.1111/j.1439-0310.2004.01062.x","http://dx.doi.org/10.1111/j.1439-0310.2004.01062.x")</f>
        <v>http://dx.doi.org/10.1111/j.1439-0310.2004.01062.x</v>
      </c>
      <c r="BG304" s="2" t="s">
        <v>74</v>
      </c>
      <c r="BH304" s="2" t="s">
        <v>74</v>
      </c>
      <c r="BI304" s="2" t="s">
        <v>74</v>
      </c>
      <c r="BJ304" s="2" t="s">
        <v>74</v>
      </c>
      <c r="BK304" s="2" t="s">
        <v>74</v>
      </c>
      <c r="BL304" s="2" t="s">
        <v>74</v>
      </c>
      <c r="BM304" s="2" t="s">
        <v>74</v>
      </c>
      <c r="BN304" s="2" t="s">
        <v>74</v>
      </c>
      <c r="BO304" s="2" t="s">
        <v>74</v>
      </c>
      <c r="BP304" s="2" t="s">
        <v>74</v>
      </c>
      <c r="BQ304" s="2" t="s">
        <v>74</v>
      </c>
      <c r="BR304" s="2" t="s">
        <v>74</v>
      </c>
      <c r="BS304" s="2" t="s">
        <v>2574</v>
      </c>
      <c r="BT304" s="2" t="str">
        <f>HYPERLINK("https%3A%2F%2Fwww.webofscience.com%2Fwos%2Fwoscc%2Ffull-record%2FWOS:000227192500004","View Full Record in Web of Science")</f>
        <v>View Full Record in Web of Science</v>
      </c>
    </row>
    <row r="305" spans="1:72" s="2" customFormat="1" x14ac:dyDescent="0.4">
      <c r="A305" s="2" t="s">
        <v>72</v>
      </c>
      <c r="B305" s="2" t="s">
        <v>7556</v>
      </c>
      <c r="C305" s="2" t="s">
        <v>74</v>
      </c>
      <c r="D305" s="2" t="s">
        <v>74</v>
      </c>
      <c r="E305" s="2" t="s">
        <v>74</v>
      </c>
      <c r="F305" s="2" t="s">
        <v>7557</v>
      </c>
      <c r="G305" s="2" t="s">
        <v>74</v>
      </c>
      <c r="H305" s="2" t="s">
        <v>74</v>
      </c>
      <c r="I305" s="2" t="s">
        <v>7558</v>
      </c>
      <c r="J305" s="2" t="s">
        <v>7559</v>
      </c>
      <c r="K305" s="2" t="s">
        <v>74</v>
      </c>
      <c r="L305" s="2" t="s">
        <v>74</v>
      </c>
      <c r="M305" s="2" t="s">
        <v>74</v>
      </c>
      <c r="N305" s="2" t="s">
        <v>74</v>
      </c>
      <c r="O305" s="2" t="s">
        <v>74</v>
      </c>
      <c r="P305" s="2" t="s">
        <v>74</v>
      </c>
      <c r="Q305" s="2" t="s">
        <v>74</v>
      </c>
      <c r="R305" s="2" t="s">
        <v>74</v>
      </c>
      <c r="S305" s="2" t="s">
        <v>74</v>
      </c>
      <c r="T305" s="2" t="s">
        <v>74</v>
      </c>
      <c r="U305" s="2" t="s">
        <v>74</v>
      </c>
      <c r="V305" s="5" t="s">
        <v>7560</v>
      </c>
      <c r="W305" s="2" t="s">
        <v>74</v>
      </c>
      <c r="X305" s="2" t="s">
        <v>74</v>
      </c>
      <c r="Y305" s="2" t="s">
        <v>74</v>
      </c>
      <c r="Z305" s="2" t="s">
        <v>74</v>
      </c>
      <c r="AA305" s="2" t="s">
        <v>7561</v>
      </c>
      <c r="AB305" s="2" t="s">
        <v>7562</v>
      </c>
      <c r="AC305" s="2" t="s">
        <v>74</v>
      </c>
      <c r="AD305" s="2" t="s">
        <v>74</v>
      </c>
      <c r="AE305" s="2" t="s">
        <v>74</v>
      </c>
      <c r="AF305" s="2" t="s">
        <v>74</v>
      </c>
      <c r="AG305" s="2" t="s">
        <v>74</v>
      </c>
      <c r="AH305" s="2" t="s">
        <v>74</v>
      </c>
      <c r="AI305" s="2" t="s">
        <v>74</v>
      </c>
      <c r="AJ305" s="2" t="s">
        <v>74</v>
      </c>
      <c r="AK305" s="2" t="s">
        <v>74</v>
      </c>
      <c r="AL305" s="2" t="s">
        <v>74</v>
      </c>
      <c r="AM305" s="2" t="s">
        <v>74</v>
      </c>
      <c r="AN305" s="2" t="s">
        <v>74</v>
      </c>
      <c r="AO305" s="2" t="s">
        <v>74</v>
      </c>
      <c r="AP305" s="2" t="s">
        <v>7563</v>
      </c>
      <c r="AQ305" s="2" t="s">
        <v>74</v>
      </c>
      <c r="AR305" s="2" t="s">
        <v>74</v>
      </c>
      <c r="AS305" s="2" t="s">
        <v>74</v>
      </c>
      <c r="AT305" s="2" t="s">
        <v>134</v>
      </c>
      <c r="AU305" s="2">
        <v>2024</v>
      </c>
      <c r="AV305" s="2">
        <v>14</v>
      </c>
      <c r="AW305" s="2">
        <v>5</v>
      </c>
      <c r="AX305" s="2" t="s">
        <v>74</v>
      </c>
      <c r="AY305" s="2" t="s">
        <v>74</v>
      </c>
      <c r="AZ305" s="2" t="s">
        <v>74</v>
      </c>
      <c r="BA305" s="2" t="s">
        <v>74</v>
      </c>
      <c r="BB305" s="2" t="s">
        <v>74</v>
      </c>
      <c r="BC305" s="2" t="s">
        <v>74</v>
      </c>
      <c r="BD305" s="2">
        <v>574</v>
      </c>
      <c r="BE305" s="2" t="s">
        <v>7564</v>
      </c>
      <c r="BF305" s="2" t="str">
        <f>HYPERLINK("http://dx.doi.org/10.3390/life14050574","http://dx.doi.org/10.3390/life14050574")</f>
        <v>http://dx.doi.org/10.3390/life14050574</v>
      </c>
      <c r="BG305" s="2" t="s">
        <v>74</v>
      </c>
      <c r="BH305" s="2" t="s">
        <v>74</v>
      </c>
      <c r="BI305" s="2" t="s">
        <v>74</v>
      </c>
      <c r="BJ305" s="2" t="s">
        <v>74</v>
      </c>
      <c r="BK305" s="2" t="s">
        <v>74</v>
      </c>
      <c r="BL305" s="2" t="s">
        <v>74</v>
      </c>
      <c r="BM305" s="2" t="s">
        <v>74</v>
      </c>
      <c r="BN305" s="2">
        <v>38792595</v>
      </c>
      <c r="BO305" s="2" t="s">
        <v>74</v>
      </c>
      <c r="BP305" s="2" t="s">
        <v>74</v>
      </c>
      <c r="BQ305" s="2" t="s">
        <v>74</v>
      </c>
      <c r="BR305" s="2" t="s">
        <v>74</v>
      </c>
      <c r="BS305" s="2" t="s">
        <v>7565</v>
      </c>
      <c r="BT305" s="2" t="str">
        <f>HYPERLINK("https%3A%2F%2Fwww.webofscience.com%2Fwos%2Fwoscc%2Ffull-record%2FWOS:001232301700001","View Full Record in Web of Science")</f>
        <v>View Full Record in Web of Science</v>
      </c>
    </row>
    <row r="306" spans="1:72" s="2" customFormat="1" x14ac:dyDescent="0.4">
      <c r="A306" s="2" t="s">
        <v>72</v>
      </c>
      <c r="B306" s="2" t="s">
        <v>8075</v>
      </c>
      <c r="C306" s="2" t="s">
        <v>74</v>
      </c>
      <c r="D306" s="2" t="s">
        <v>74</v>
      </c>
      <c r="E306" s="2" t="s">
        <v>74</v>
      </c>
      <c r="F306" s="2" t="s">
        <v>8075</v>
      </c>
      <c r="G306" s="2" t="s">
        <v>74</v>
      </c>
      <c r="H306" s="2" t="s">
        <v>74</v>
      </c>
      <c r="I306" s="2" t="s">
        <v>8076</v>
      </c>
      <c r="J306" s="2" t="s">
        <v>8077</v>
      </c>
      <c r="K306" s="2" t="s">
        <v>74</v>
      </c>
      <c r="L306" s="2" t="s">
        <v>74</v>
      </c>
      <c r="M306" s="2" t="s">
        <v>74</v>
      </c>
      <c r="N306" s="2" t="s">
        <v>74</v>
      </c>
      <c r="O306" s="2" t="s">
        <v>74</v>
      </c>
      <c r="P306" s="2" t="s">
        <v>74</v>
      </c>
      <c r="Q306" s="2" t="s">
        <v>74</v>
      </c>
      <c r="R306" s="2" t="s">
        <v>74</v>
      </c>
      <c r="S306" s="2" t="s">
        <v>74</v>
      </c>
      <c r="T306" s="2" t="s">
        <v>74</v>
      </c>
      <c r="U306" s="2" t="s">
        <v>74</v>
      </c>
      <c r="V306" s="5" t="s">
        <v>8078</v>
      </c>
      <c r="W306" s="2" t="s">
        <v>74</v>
      </c>
      <c r="X306" s="2" t="s">
        <v>74</v>
      </c>
      <c r="Y306" s="2" t="s">
        <v>74</v>
      </c>
      <c r="Z306" s="2" t="s">
        <v>74</v>
      </c>
      <c r="AA306" s="2" t="s">
        <v>74</v>
      </c>
      <c r="AB306" s="2" t="s">
        <v>8079</v>
      </c>
      <c r="AC306" s="2" t="s">
        <v>74</v>
      </c>
      <c r="AD306" s="2" t="s">
        <v>74</v>
      </c>
      <c r="AE306" s="2" t="s">
        <v>74</v>
      </c>
      <c r="AF306" s="2" t="s">
        <v>74</v>
      </c>
      <c r="AG306" s="2" t="s">
        <v>74</v>
      </c>
      <c r="AH306" s="2" t="s">
        <v>74</v>
      </c>
      <c r="AI306" s="2" t="s">
        <v>74</v>
      </c>
      <c r="AJ306" s="2" t="s">
        <v>74</v>
      </c>
      <c r="AK306" s="2" t="s">
        <v>74</v>
      </c>
      <c r="AL306" s="2" t="s">
        <v>74</v>
      </c>
      <c r="AM306" s="2" t="s">
        <v>74</v>
      </c>
      <c r="AN306" s="2" t="s">
        <v>74</v>
      </c>
      <c r="AO306" s="2" t="s">
        <v>4147</v>
      </c>
      <c r="AP306" s="2" t="s">
        <v>74</v>
      </c>
      <c r="AQ306" s="2" t="s">
        <v>74</v>
      </c>
      <c r="AR306" s="2" t="s">
        <v>74</v>
      </c>
      <c r="AS306" s="2" t="s">
        <v>74</v>
      </c>
      <c r="AT306" s="2" t="s">
        <v>255</v>
      </c>
      <c r="AU306" s="2">
        <v>2000</v>
      </c>
      <c r="AV306" s="2">
        <v>186</v>
      </c>
      <c r="AW306" s="2">
        <v>1</v>
      </c>
      <c r="AX306" s="2" t="s">
        <v>74</v>
      </c>
      <c r="AY306" s="2" t="s">
        <v>74</v>
      </c>
      <c r="AZ306" s="2" t="s">
        <v>74</v>
      </c>
      <c r="BA306" s="2" t="s">
        <v>74</v>
      </c>
      <c r="BB306" s="2">
        <v>1</v>
      </c>
      <c r="BC306" s="2">
        <v>12</v>
      </c>
      <c r="BD306" s="2" t="s">
        <v>74</v>
      </c>
      <c r="BE306" s="2" t="s">
        <v>8080</v>
      </c>
      <c r="BF306" s="2" t="str">
        <f>HYPERLINK("http://dx.doi.org/10.1007/s003590050001","http://dx.doi.org/10.1007/s003590050001")</f>
        <v>http://dx.doi.org/10.1007/s003590050001</v>
      </c>
      <c r="BG306" s="2" t="s">
        <v>74</v>
      </c>
      <c r="BH306" s="2" t="s">
        <v>74</v>
      </c>
      <c r="BI306" s="2" t="s">
        <v>74</v>
      </c>
      <c r="BJ306" s="2" t="s">
        <v>74</v>
      </c>
      <c r="BK306" s="2" t="s">
        <v>74</v>
      </c>
      <c r="BL306" s="2" t="s">
        <v>74</v>
      </c>
      <c r="BM306" s="2" t="s">
        <v>74</v>
      </c>
      <c r="BN306" s="2">
        <v>10659037</v>
      </c>
      <c r="BO306" s="2" t="s">
        <v>74</v>
      </c>
      <c r="BP306" s="2" t="s">
        <v>74</v>
      </c>
      <c r="BQ306" s="2" t="s">
        <v>74</v>
      </c>
      <c r="BR306" s="2" t="s">
        <v>74</v>
      </c>
      <c r="BS306" s="2" t="s">
        <v>8081</v>
      </c>
      <c r="BT306" s="2" t="str">
        <f>HYPERLINK("https%3A%2F%2Fwww.webofscience.com%2Fwos%2Fwoscc%2Ffull-record%2FWOS:000084937600001","View Full Record in Web of Science")</f>
        <v>View Full Record in Web of Science</v>
      </c>
    </row>
    <row r="307" spans="1:72" s="2" customFormat="1" x14ac:dyDescent="0.4">
      <c r="A307" s="2" t="s">
        <v>72</v>
      </c>
      <c r="B307" s="2" t="s">
        <v>984</v>
      </c>
      <c r="C307" s="2" t="s">
        <v>74</v>
      </c>
      <c r="D307" s="2" t="s">
        <v>74</v>
      </c>
      <c r="E307" s="2" t="s">
        <v>74</v>
      </c>
      <c r="F307" s="2" t="s">
        <v>985</v>
      </c>
      <c r="G307" s="2" t="s">
        <v>74</v>
      </c>
      <c r="H307" s="2" t="s">
        <v>74</v>
      </c>
      <c r="I307" s="2" t="s">
        <v>986</v>
      </c>
      <c r="J307" s="2" t="s">
        <v>862</v>
      </c>
      <c r="K307" s="2" t="s">
        <v>74</v>
      </c>
      <c r="L307" s="2" t="s">
        <v>74</v>
      </c>
      <c r="M307" s="2" t="s">
        <v>74</v>
      </c>
      <c r="N307" s="2" t="s">
        <v>74</v>
      </c>
      <c r="O307" s="2" t="s">
        <v>74</v>
      </c>
      <c r="P307" s="2" t="s">
        <v>74</v>
      </c>
      <c r="Q307" s="2" t="s">
        <v>74</v>
      </c>
      <c r="R307" s="2" t="s">
        <v>74</v>
      </c>
      <c r="S307" s="2" t="s">
        <v>74</v>
      </c>
      <c r="T307" s="2" t="s">
        <v>74</v>
      </c>
      <c r="U307" s="2" t="s">
        <v>74</v>
      </c>
      <c r="V307" s="5" t="s">
        <v>987</v>
      </c>
      <c r="W307" s="2" t="s">
        <v>74</v>
      </c>
      <c r="X307" s="2" t="s">
        <v>74</v>
      </c>
      <c r="Y307" s="2" t="s">
        <v>74</v>
      </c>
      <c r="Z307" s="2" t="s">
        <v>74</v>
      </c>
      <c r="AA307" s="2" t="s">
        <v>74</v>
      </c>
      <c r="AB307" s="2" t="s">
        <v>988</v>
      </c>
      <c r="AC307" s="2" t="s">
        <v>74</v>
      </c>
      <c r="AD307" s="2" t="s">
        <v>74</v>
      </c>
      <c r="AE307" s="2" t="s">
        <v>74</v>
      </c>
      <c r="AF307" s="2" t="s">
        <v>74</v>
      </c>
      <c r="AG307" s="2" t="s">
        <v>74</v>
      </c>
      <c r="AH307" s="2" t="s">
        <v>74</v>
      </c>
      <c r="AI307" s="2" t="s">
        <v>74</v>
      </c>
      <c r="AJ307" s="2" t="s">
        <v>74</v>
      </c>
      <c r="AK307" s="2" t="s">
        <v>74</v>
      </c>
      <c r="AL307" s="2" t="s">
        <v>74</v>
      </c>
      <c r="AM307" s="2" t="s">
        <v>74</v>
      </c>
      <c r="AN307" s="2" t="s">
        <v>74</v>
      </c>
      <c r="AO307" s="2" t="s">
        <v>865</v>
      </c>
      <c r="AP307" s="2" t="s">
        <v>866</v>
      </c>
      <c r="AQ307" s="2" t="s">
        <v>74</v>
      </c>
      <c r="AR307" s="2" t="s">
        <v>74</v>
      </c>
      <c r="AS307" s="2" t="s">
        <v>74</v>
      </c>
      <c r="AT307" s="2" t="s">
        <v>175</v>
      </c>
      <c r="AU307" s="2">
        <v>2021</v>
      </c>
      <c r="AV307" s="2">
        <v>24</v>
      </c>
      <c r="AW307" s="2">
        <v>3</v>
      </c>
      <c r="AX307" s="2" t="s">
        <v>74</v>
      </c>
      <c r="AY307" s="2" t="s">
        <v>74</v>
      </c>
      <c r="AZ307" s="2" t="s">
        <v>74</v>
      </c>
      <c r="BA307" s="2" t="s">
        <v>74</v>
      </c>
      <c r="BB307" s="2">
        <v>143</v>
      </c>
      <c r="BC307" s="2">
        <v>147</v>
      </c>
      <c r="BD307" s="2" t="s">
        <v>74</v>
      </c>
      <c r="BE307" s="2" t="s">
        <v>989</v>
      </c>
      <c r="BF307" s="2" t="str">
        <f>HYPERLINK("http://dx.doi.org/10.1007/s10211-021-00372-z","http://dx.doi.org/10.1007/s10211-021-00372-z")</f>
        <v>http://dx.doi.org/10.1007/s10211-021-00372-z</v>
      </c>
      <c r="BG307" s="2" t="s">
        <v>74</v>
      </c>
      <c r="BH307" s="2" t="s">
        <v>224</v>
      </c>
      <c r="BI307" s="2" t="s">
        <v>74</v>
      </c>
      <c r="BJ307" s="2" t="s">
        <v>74</v>
      </c>
      <c r="BK307" s="2" t="s">
        <v>74</v>
      </c>
      <c r="BL307" s="2" t="s">
        <v>74</v>
      </c>
      <c r="BM307" s="2" t="s">
        <v>74</v>
      </c>
      <c r="BN307" s="2" t="s">
        <v>74</v>
      </c>
      <c r="BO307" s="2" t="s">
        <v>74</v>
      </c>
      <c r="BP307" s="2" t="s">
        <v>74</v>
      </c>
      <c r="BQ307" s="2" t="s">
        <v>74</v>
      </c>
      <c r="BR307" s="2" t="s">
        <v>74</v>
      </c>
      <c r="BS307" s="2" t="s">
        <v>990</v>
      </c>
      <c r="BT307" s="2" t="str">
        <f>HYPERLINK("https%3A%2F%2Fwww.webofscience.com%2Fwos%2Fwoscc%2Ffull-record%2FWOS:000660333200001","View Full Record in Web of Science")</f>
        <v>View Full Record in Web of Science</v>
      </c>
    </row>
    <row r="308" spans="1:72" s="2" customFormat="1" x14ac:dyDescent="0.4">
      <c r="A308" s="2" t="s">
        <v>72</v>
      </c>
      <c r="B308" s="2" t="s">
        <v>2575</v>
      </c>
      <c r="C308" s="2" t="s">
        <v>74</v>
      </c>
      <c r="D308" s="2" t="s">
        <v>74</v>
      </c>
      <c r="E308" s="2" t="s">
        <v>74</v>
      </c>
      <c r="F308" s="2" t="s">
        <v>2576</v>
      </c>
      <c r="G308" s="2" t="s">
        <v>74</v>
      </c>
      <c r="H308" s="2" t="s">
        <v>74</v>
      </c>
      <c r="I308" s="2" t="s">
        <v>2577</v>
      </c>
      <c r="J308" s="2" t="s">
        <v>2578</v>
      </c>
      <c r="K308" s="2" t="s">
        <v>74</v>
      </c>
      <c r="L308" s="2" t="s">
        <v>74</v>
      </c>
      <c r="M308" s="2" t="s">
        <v>74</v>
      </c>
      <c r="N308" s="2" t="s">
        <v>74</v>
      </c>
      <c r="O308" s="2" t="s">
        <v>74</v>
      </c>
      <c r="P308" s="2" t="s">
        <v>74</v>
      </c>
      <c r="Q308" s="2" t="s">
        <v>74</v>
      </c>
      <c r="R308" s="2" t="s">
        <v>74</v>
      </c>
      <c r="S308" s="2" t="s">
        <v>74</v>
      </c>
      <c r="T308" s="2" t="s">
        <v>74</v>
      </c>
      <c r="U308" s="2" t="s">
        <v>74</v>
      </c>
      <c r="V308" s="5" t="s">
        <v>2579</v>
      </c>
      <c r="W308" s="2" t="s">
        <v>74</v>
      </c>
      <c r="X308" s="2" t="s">
        <v>74</v>
      </c>
      <c r="Y308" s="2" t="s">
        <v>74</v>
      </c>
      <c r="Z308" s="2" t="s">
        <v>74</v>
      </c>
      <c r="AA308" s="2" t="s">
        <v>2580</v>
      </c>
      <c r="AB308" s="2" t="s">
        <v>2581</v>
      </c>
      <c r="AC308" s="2" t="s">
        <v>74</v>
      </c>
      <c r="AD308" s="2" t="s">
        <v>74</v>
      </c>
      <c r="AE308" s="2" t="s">
        <v>74</v>
      </c>
      <c r="AF308" s="2" t="s">
        <v>74</v>
      </c>
      <c r="AG308" s="2" t="s">
        <v>74</v>
      </c>
      <c r="AH308" s="2" t="s">
        <v>74</v>
      </c>
      <c r="AI308" s="2" t="s">
        <v>74</v>
      </c>
      <c r="AJ308" s="2" t="s">
        <v>74</v>
      </c>
      <c r="AK308" s="2" t="s">
        <v>74</v>
      </c>
      <c r="AL308" s="2" t="s">
        <v>74</v>
      </c>
      <c r="AM308" s="2" t="s">
        <v>74</v>
      </c>
      <c r="AN308" s="2" t="s">
        <v>74</v>
      </c>
      <c r="AO308" s="2" t="s">
        <v>2582</v>
      </c>
      <c r="AP308" s="2" t="s">
        <v>2583</v>
      </c>
      <c r="AQ308" s="2" t="s">
        <v>74</v>
      </c>
      <c r="AR308" s="2" t="s">
        <v>74</v>
      </c>
      <c r="AS308" s="2" t="s">
        <v>74</v>
      </c>
      <c r="AT308" s="2" t="s">
        <v>123</v>
      </c>
      <c r="AU308" s="2">
        <v>2020</v>
      </c>
      <c r="AV308" s="2">
        <v>48</v>
      </c>
      <c r="AW308" s="2">
        <v>1</v>
      </c>
      <c r="AX308" s="2" t="s">
        <v>74</v>
      </c>
      <c r="AY308" s="2" t="s">
        <v>74</v>
      </c>
      <c r="AZ308" s="2" t="s">
        <v>74</v>
      </c>
      <c r="BA308" s="2" t="s">
        <v>74</v>
      </c>
      <c r="BB308" s="2">
        <v>104</v>
      </c>
      <c r="BC308" s="2">
        <v>112</v>
      </c>
      <c r="BD308" s="2" t="s">
        <v>74</v>
      </c>
      <c r="BE308" s="2" t="s">
        <v>2584</v>
      </c>
      <c r="BF308" s="2" t="str">
        <f>HYPERLINK("http://dx.doi.org/10.3758/s13420-020-00411-y","http://dx.doi.org/10.3758/s13420-020-00411-y")</f>
        <v>http://dx.doi.org/10.3758/s13420-020-00411-y</v>
      </c>
      <c r="BG308" s="2" t="s">
        <v>74</v>
      </c>
      <c r="BH308" s="2" t="s">
        <v>74</v>
      </c>
      <c r="BI308" s="2" t="s">
        <v>74</v>
      </c>
      <c r="BJ308" s="2" t="s">
        <v>74</v>
      </c>
      <c r="BK308" s="2" t="s">
        <v>74</v>
      </c>
      <c r="BL308" s="2" t="s">
        <v>74</v>
      </c>
      <c r="BM308" s="2" t="s">
        <v>74</v>
      </c>
      <c r="BN308" s="2">
        <v>31975326</v>
      </c>
      <c r="BO308" s="2" t="s">
        <v>74</v>
      </c>
      <c r="BP308" s="2" t="s">
        <v>74</v>
      </c>
      <c r="BQ308" s="2" t="s">
        <v>74</v>
      </c>
      <c r="BR308" s="2" t="s">
        <v>74</v>
      </c>
      <c r="BS308" s="2" t="s">
        <v>2585</v>
      </c>
      <c r="BT308" s="2" t="str">
        <f>HYPERLINK("https%3A%2F%2Fwww.webofscience.com%2Fwos%2Fwoscc%2Ffull-record%2FWOS:000520711400013","View Full Record in Web of Science")</f>
        <v>View Full Record in Web of Science</v>
      </c>
    </row>
    <row r="309" spans="1:72" s="2" customFormat="1" x14ac:dyDescent="0.4">
      <c r="A309" s="2" t="s">
        <v>72</v>
      </c>
      <c r="B309" s="2" t="s">
        <v>5537</v>
      </c>
      <c r="C309" s="2" t="s">
        <v>74</v>
      </c>
      <c r="D309" s="2" t="s">
        <v>74</v>
      </c>
      <c r="E309" s="2" t="s">
        <v>74</v>
      </c>
      <c r="F309" s="2" t="s">
        <v>5538</v>
      </c>
      <c r="G309" s="2" t="s">
        <v>74</v>
      </c>
      <c r="H309" s="2" t="s">
        <v>74</v>
      </c>
      <c r="I309" s="2" t="s">
        <v>5539</v>
      </c>
      <c r="J309" s="2" t="s">
        <v>2662</v>
      </c>
      <c r="K309" s="2" t="s">
        <v>74</v>
      </c>
      <c r="L309" s="2" t="s">
        <v>74</v>
      </c>
      <c r="M309" s="2" t="s">
        <v>74</v>
      </c>
      <c r="N309" s="2" t="s">
        <v>74</v>
      </c>
      <c r="O309" s="2" t="s">
        <v>74</v>
      </c>
      <c r="P309" s="2" t="s">
        <v>74</v>
      </c>
      <c r="Q309" s="2" t="s">
        <v>74</v>
      </c>
      <c r="R309" s="2" t="s">
        <v>74</v>
      </c>
      <c r="S309" s="2" t="s">
        <v>74</v>
      </c>
      <c r="T309" s="2" t="s">
        <v>74</v>
      </c>
      <c r="U309" s="2" t="s">
        <v>74</v>
      </c>
      <c r="V309" s="5" t="s">
        <v>5540</v>
      </c>
      <c r="W309" s="2" t="s">
        <v>74</v>
      </c>
      <c r="X309" s="2" t="s">
        <v>74</v>
      </c>
      <c r="Y309" s="2" t="s">
        <v>74</v>
      </c>
      <c r="Z309" s="2" t="s">
        <v>74</v>
      </c>
      <c r="AA309" s="2" t="s">
        <v>5541</v>
      </c>
      <c r="AB309" s="2" t="s">
        <v>74</v>
      </c>
      <c r="AC309" s="2" t="s">
        <v>74</v>
      </c>
      <c r="AD309" s="2" t="s">
        <v>74</v>
      </c>
      <c r="AE309" s="2" t="s">
        <v>74</v>
      </c>
      <c r="AF309" s="2" t="s">
        <v>74</v>
      </c>
      <c r="AG309" s="2" t="s">
        <v>74</v>
      </c>
      <c r="AH309" s="2" t="s">
        <v>74</v>
      </c>
      <c r="AI309" s="2" t="s">
        <v>74</v>
      </c>
      <c r="AJ309" s="2" t="s">
        <v>74</v>
      </c>
      <c r="AK309" s="2" t="s">
        <v>74</v>
      </c>
      <c r="AL309" s="2" t="s">
        <v>74</v>
      </c>
      <c r="AM309" s="2" t="s">
        <v>74</v>
      </c>
      <c r="AN309" s="2" t="s">
        <v>74</v>
      </c>
      <c r="AO309" s="2" t="s">
        <v>2664</v>
      </c>
      <c r="AP309" s="2" t="s">
        <v>2665</v>
      </c>
      <c r="AQ309" s="2" t="s">
        <v>74</v>
      </c>
      <c r="AR309" s="2" t="s">
        <v>74</v>
      </c>
      <c r="AS309" s="2" t="s">
        <v>74</v>
      </c>
      <c r="AT309" s="2" t="s">
        <v>352</v>
      </c>
      <c r="AU309" s="2">
        <v>2018</v>
      </c>
      <c r="AV309" s="2">
        <v>52</v>
      </c>
      <c r="AW309" s="2">
        <v>3</v>
      </c>
      <c r="AX309" s="2" t="s">
        <v>74</v>
      </c>
      <c r="AY309" s="2" t="s">
        <v>74</v>
      </c>
      <c r="AZ309" s="2" t="s">
        <v>74</v>
      </c>
      <c r="BA309" s="2" t="s">
        <v>74</v>
      </c>
      <c r="BB309" s="2">
        <v>370</v>
      </c>
      <c r="BC309" s="2">
        <v>378</v>
      </c>
      <c r="BD309" s="2" t="s">
        <v>74</v>
      </c>
      <c r="BE309" s="2" t="s">
        <v>5542</v>
      </c>
      <c r="BF309" s="2" t="str">
        <f>HYPERLINK("http://dx.doi.org/10.3356/JRR-17-66.1","http://dx.doi.org/10.3356/JRR-17-66.1")</f>
        <v>http://dx.doi.org/10.3356/JRR-17-66.1</v>
      </c>
      <c r="BG309" s="2" t="s">
        <v>74</v>
      </c>
      <c r="BH309" s="2" t="s">
        <v>74</v>
      </c>
      <c r="BI309" s="2" t="s">
        <v>74</v>
      </c>
      <c r="BJ309" s="2" t="s">
        <v>74</v>
      </c>
      <c r="BK309" s="2" t="s">
        <v>74</v>
      </c>
      <c r="BL309" s="2" t="s">
        <v>74</v>
      </c>
      <c r="BM309" s="2" t="s">
        <v>74</v>
      </c>
      <c r="BN309" s="2" t="s">
        <v>74</v>
      </c>
      <c r="BO309" s="2" t="s">
        <v>74</v>
      </c>
      <c r="BP309" s="2" t="s">
        <v>74</v>
      </c>
      <c r="BQ309" s="2" t="s">
        <v>74</v>
      </c>
      <c r="BR309" s="2" t="s">
        <v>74</v>
      </c>
      <c r="BS309" s="2" t="s">
        <v>5543</v>
      </c>
      <c r="BT309" s="2" t="str">
        <f>HYPERLINK("https%3A%2F%2Fwww.webofscience.com%2Fwos%2Fwoscc%2Ffull-record%2FWOS:000441062500010","View Full Record in Web of Science")</f>
        <v>View Full Record in Web of Science</v>
      </c>
    </row>
    <row r="310" spans="1:72" s="2" customFormat="1" x14ac:dyDescent="0.4">
      <c r="A310" s="2" t="s">
        <v>72</v>
      </c>
      <c r="B310" s="2" t="s">
        <v>3638</v>
      </c>
      <c r="C310" s="2" t="s">
        <v>74</v>
      </c>
      <c r="D310" s="2" t="s">
        <v>74</v>
      </c>
      <c r="E310" s="2" t="s">
        <v>74</v>
      </c>
      <c r="F310" s="2" t="s">
        <v>3639</v>
      </c>
      <c r="G310" s="2" t="s">
        <v>74</v>
      </c>
      <c r="H310" s="2" t="s">
        <v>74</v>
      </c>
      <c r="I310" s="2" t="s">
        <v>3640</v>
      </c>
      <c r="J310" s="2" t="s">
        <v>509</v>
      </c>
      <c r="K310" s="2" t="s">
        <v>74</v>
      </c>
      <c r="L310" s="2" t="s">
        <v>74</v>
      </c>
      <c r="M310" s="2" t="s">
        <v>74</v>
      </c>
      <c r="N310" s="2" t="s">
        <v>74</v>
      </c>
      <c r="O310" s="2" t="s">
        <v>74</v>
      </c>
      <c r="P310" s="2" t="s">
        <v>74</v>
      </c>
      <c r="Q310" s="2" t="s">
        <v>74</v>
      </c>
      <c r="R310" s="2" t="s">
        <v>74</v>
      </c>
      <c r="S310" s="2" t="s">
        <v>74</v>
      </c>
      <c r="T310" s="2" t="s">
        <v>74</v>
      </c>
      <c r="U310" s="2" t="s">
        <v>74</v>
      </c>
      <c r="V310" s="5" t="s">
        <v>3641</v>
      </c>
      <c r="W310" s="2" t="s">
        <v>74</v>
      </c>
      <c r="X310" s="2" t="s">
        <v>74</v>
      </c>
      <c r="Y310" s="2" t="s">
        <v>74</v>
      </c>
      <c r="Z310" s="2" t="s">
        <v>74</v>
      </c>
      <c r="AA310" s="2" t="s">
        <v>74</v>
      </c>
      <c r="AB310" s="2" t="s">
        <v>3642</v>
      </c>
      <c r="AC310" s="2" t="s">
        <v>74</v>
      </c>
      <c r="AD310" s="2" t="s">
        <v>74</v>
      </c>
      <c r="AE310" s="2" t="s">
        <v>74</v>
      </c>
      <c r="AF310" s="2" t="s">
        <v>74</v>
      </c>
      <c r="AG310" s="2" t="s">
        <v>74</v>
      </c>
      <c r="AH310" s="2" t="s">
        <v>74</v>
      </c>
      <c r="AI310" s="2" t="s">
        <v>74</v>
      </c>
      <c r="AJ310" s="2" t="s">
        <v>74</v>
      </c>
      <c r="AK310" s="2" t="s">
        <v>74</v>
      </c>
      <c r="AL310" s="2" t="s">
        <v>74</v>
      </c>
      <c r="AM310" s="2" t="s">
        <v>74</v>
      </c>
      <c r="AN310" s="2" t="s">
        <v>74</v>
      </c>
      <c r="AO310" s="2" t="s">
        <v>511</v>
      </c>
      <c r="AP310" s="2" t="s">
        <v>512</v>
      </c>
      <c r="AQ310" s="2" t="s">
        <v>74</v>
      </c>
      <c r="AR310" s="2" t="s">
        <v>74</v>
      </c>
      <c r="AS310" s="2" t="s">
        <v>74</v>
      </c>
      <c r="AT310" s="2" t="s">
        <v>134</v>
      </c>
      <c r="AU310" s="2">
        <v>2007</v>
      </c>
      <c r="AV310" s="2">
        <v>51</v>
      </c>
      <c r="AW310" s="2">
        <v>5</v>
      </c>
      <c r="AX310" s="2" t="s">
        <v>74</v>
      </c>
      <c r="AY310" s="2" t="s">
        <v>74</v>
      </c>
      <c r="AZ310" s="2" t="s">
        <v>74</v>
      </c>
      <c r="BA310" s="2" t="s">
        <v>74</v>
      </c>
      <c r="BB310" s="2">
        <v>611</v>
      </c>
      <c r="BC310" s="2">
        <v>619</v>
      </c>
      <c r="BD310" s="2" t="s">
        <v>74</v>
      </c>
      <c r="BE310" s="2" t="s">
        <v>3643</v>
      </c>
      <c r="BF310" s="2" t="str">
        <f>HYPERLINK("http://dx.doi.org/10.1016/j.yhbeh.2007.02.010","http://dx.doi.org/10.1016/j.yhbeh.2007.02.010")</f>
        <v>http://dx.doi.org/10.1016/j.yhbeh.2007.02.010</v>
      </c>
      <c r="BG310" s="2" t="s">
        <v>74</v>
      </c>
      <c r="BH310" s="2" t="s">
        <v>74</v>
      </c>
      <c r="BI310" s="2" t="s">
        <v>74</v>
      </c>
      <c r="BJ310" s="2" t="s">
        <v>74</v>
      </c>
      <c r="BK310" s="2" t="s">
        <v>74</v>
      </c>
      <c r="BL310" s="2" t="s">
        <v>74</v>
      </c>
      <c r="BM310" s="2" t="s">
        <v>74</v>
      </c>
      <c r="BN310" s="2">
        <v>17462644</v>
      </c>
      <c r="BO310" s="2" t="s">
        <v>74</v>
      </c>
      <c r="BP310" s="2" t="s">
        <v>74</v>
      </c>
      <c r="BQ310" s="2" t="s">
        <v>74</v>
      </c>
      <c r="BR310" s="2" t="s">
        <v>74</v>
      </c>
      <c r="BS310" s="2" t="s">
        <v>3644</v>
      </c>
      <c r="BT310" s="2" t="str">
        <f>HYPERLINK("https%3A%2F%2Fwww.webofscience.com%2Fwos%2Fwoscc%2Ffull-record%2FWOS:000247275800006","View Full Record in Web of Science")</f>
        <v>View Full Record in Web of Science</v>
      </c>
    </row>
    <row r="311" spans="1:72" s="2" customFormat="1" x14ac:dyDescent="0.4">
      <c r="A311" s="2" t="s">
        <v>72</v>
      </c>
      <c r="B311" s="2" t="s">
        <v>2908</v>
      </c>
      <c r="C311" s="2" t="s">
        <v>74</v>
      </c>
      <c r="D311" s="2" t="s">
        <v>74</v>
      </c>
      <c r="E311" s="2" t="s">
        <v>74</v>
      </c>
      <c r="F311" s="2" t="s">
        <v>2909</v>
      </c>
      <c r="G311" s="2" t="s">
        <v>74</v>
      </c>
      <c r="H311" s="2" t="s">
        <v>74</v>
      </c>
      <c r="I311" s="2" t="s">
        <v>2910</v>
      </c>
      <c r="J311" s="2" t="s">
        <v>2911</v>
      </c>
      <c r="K311" s="2" t="s">
        <v>74</v>
      </c>
      <c r="L311" s="2" t="s">
        <v>74</v>
      </c>
      <c r="M311" s="2" t="s">
        <v>74</v>
      </c>
      <c r="N311" s="2" t="s">
        <v>74</v>
      </c>
      <c r="O311" s="2" t="s">
        <v>74</v>
      </c>
      <c r="P311" s="2" t="s">
        <v>74</v>
      </c>
      <c r="Q311" s="2" t="s">
        <v>74</v>
      </c>
      <c r="R311" s="2" t="s">
        <v>74</v>
      </c>
      <c r="S311" s="2" t="s">
        <v>74</v>
      </c>
      <c r="T311" s="2" t="s">
        <v>74</v>
      </c>
      <c r="U311" s="2" t="s">
        <v>74</v>
      </c>
      <c r="V311" s="5" t="s">
        <v>2912</v>
      </c>
      <c r="W311" s="2" t="s">
        <v>74</v>
      </c>
      <c r="X311" s="2" t="s">
        <v>74</v>
      </c>
      <c r="Y311" s="2" t="s">
        <v>74</v>
      </c>
      <c r="Z311" s="2" t="s">
        <v>74</v>
      </c>
      <c r="AA311" s="2" t="s">
        <v>2913</v>
      </c>
      <c r="AB311" s="2" t="s">
        <v>2914</v>
      </c>
      <c r="AC311" s="2" t="s">
        <v>74</v>
      </c>
      <c r="AD311" s="2" t="s">
        <v>74</v>
      </c>
      <c r="AE311" s="2" t="s">
        <v>74</v>
      </c>
      <c r="AF311" s="2" t="s">
        <v>74</v>
      </c>
      <c r="AG311" s="2" t="s">
        <v>74</v>
      </c>
      <c r="AH311" s="2" t="s">
        <v>74</v>
      </c>
      <c r="AI311" s="2" t="s">
        <v>74</v>
      </c>
      <c r="AJ311" s="2" t="s">
        <v>74</v>
      </c>
      <c r="AK311" s="2" t="s">
        <v>74</v>
      </c>
      <c r="AL311" s="2" t="s">
        <v>74</v>
      </c>
      <c r="AM311" s="2" t="s">
        <v>74</v>
      </c>
      <c r="AN311" s="2" t="s">
        <v>74</v>
      </c>
      <c r="AO311" s="2" t="s">
        <v>2915</v>
      </c>
      <c r="AP311" s="2" t="s">
        <v>2916</v>
      </c>
      <c r="AQ311" s="2" t="s">
        <v>74</v>
      </c>
      <c r="AR311" s="2" t="s">
        <v>74</v>
      </c>
      <c r="AS311" s="2" t="s">
        <v>74</v>
      </c>
      <c r="AT311" s="2" t="s">
        <v>769</v>
      </c>
      <c r="AU311" s="2">
        <v>2022</v>
      </c>
      <c r="AV311" s="2" t="s">
        <v>74</v>
      </c>
      <c r="AW311" s="2">
        <v>1084</v>
      </c>
      <c r="AX311" s="2" t="s">
        <v>74</v>
      </c>
      <c r="AY311" s="2" t="s">
        <v>74</v>
      </c>
      <c r="AZ311" s="2" t="s">
        <v>74</v>
      </c>
      <c r="BA311" s="2" t="s">
        <v>74</v>
      </c>
      <c r="BB311" s="2">
        <v>151</v>
      </c>
      <c r="BC311" s="2">
        <v>164</v>
      </c>
      <c r="BD311" s="2" t="s">
        <v>74</v>
      </c>
      <c r="BE311" s="2" t="s">
        <v>2917</v>
      </c>
      <c r="BF311" s="2" t="str">
        <f>HYPERLINK("http://dx.doi.org/10.3897/zookeys.1084.79415","http://dx.doi.org/10.3897/zookeys.1084.79415")</f>
        <v>http://dx.doi.org/10.3897/zookeys.1084.79415</v>
      </c>
      <c r="BG311" s="2" t="s">
        <v>74</v>
      </c>
      <c r="BH311" s="2" t="s">
        <v>74</v>
      </c>
      <c r="BI311" s="2" t="s">
        <v>74</v>
      </c>
      <c r="BJ311" s="2" t="s">
        <v>74</v>
      </c>
      <c r="BK311" s="2" t="s">
        <v>74</v>
      </c>
      <c r="BL311" s="2" t="s">
        <v>74</v>
      </c>
      <c r="BM311" s="2" t="s">
        <v>74</v>
      </c>
      <c r="BN311" s="2">
        <v>35233167</v>
      </c>
      <c r="BO311" s="2" t="s">
        <v>74</v>
      </c>
      <c r="BP311" s="2" t="s">
        <v>74</v>
      </c>
      <c r="BQ311" s="2" t="s">
        <v>74</v>
      </c>
      <c r="BR311" s="2" t="s">
        <v>74</v>
      </c>
      <c r="BS311" s="2" t="s">
        <v>2918</v>
      </c>
      <c r="BT311" s="2" t="str">
        <f>HYPERLINK("https%3A%2F%2Fwww.webofscience.com%2Fwos%2Fwoscc%2Ffull-record%2FWOS:000750859100001","View Full Record in Web of Science")</f>
        <v>View Full Record in Web of Science</v>
      </c>
    </row>
    <row r="312" spans="1:72" s="2" customFormat="1" x14ac:dyDescent="0.4">
      <c r="A312" s="2" t="s">
        <v>72</v>
      </c>
      <c r="B312" s="2" t="s">
        <v>2481</v>
      </c>
      <c r="C312" s="2" t="s">
        <v>74</v>
      </c>
      <c r="D312" s="2" t="s">
        <v>74</v>
      </c>
      <c r="E312" s="2" t="s">
        <v>74</v>
      </c>
      <c r="F312" s="2" t="s">
        <v>2482</v>
      </c>
      <c r="G312" s="2" t="s">
        <v>74</v>
      </c>
      <c r="H312" s="2" t="s">
        <v>74</v>
      </c>
      <c r="I312" s="2" t="s">
        <v>2483</v>
      </c>
      <c r="J312" s="2" t="s">
        <v>77</v>
      </c>
      <c r="K312" s="2" t="s">
        <v>74</v>
      </c>
      <c r="L312" s="2" t="s">
        <v>74</v>
      </c>
      <c r="M312" s="2" t="s">
        <v>74</v>
      </c>
      <c r="N312" s="2" t="s">
        <v>74</v>
      </c>
      <c r="O312" s="2" t="s">
        <v>74</v>
      </c>
      <c r="P312" s="2" t="s">
        <v>74</v>
      </c>
      <c r="Q312" s="2" t="s">
        <v>74</v>
      </c>
      <c r="R312" s="2" t="s">
        <v>74</v>
      </c>
      <c r="S312" s="2" t="s">
        <v>74</v>
      </c>
      <c r="T312" s="2" t="s">
        <v>74</v>
      </c>
      <c r="U312" s="2" t="s">
        <v>74</v>
      </c>
      <c r="V312" s="5" t="s">
        <v>2484</v>
      </c>
      <c r="W312" s="2" t="s">
        <v>74</v>
      </c>
      <c r="X312" s="2" t="s">
        <v>74</v>
      </c>
      <c r="Y312" s="2" t="s">
        <v>74</v>
      </c>
      <c r="Z312" s="2" t="s">
        <v>74</v>
      </c>
      <c r="AA312" s="2" t="s">
        <v>74</v>
      </c>
      <c r="AB312" s="2" t="s">
        <v>74</v>
      </c>
      <c r="AC312" s="2" t="s">
        <v>74</v>
      </c>
      <c r="AD312" s="2" t="s">
        <v>74</v>
      </c>
      <c r="AE312" s="2" t="s">
        <v>74</v>
      </c>
      <c r="AF312" s="2" t="s">
        <v>74</v>
      </c>
      <c r="AG312" s="2" t="s">
        <v>74</v>
      </c>
      <c r="AH312" s="2" t="s">
        <v>74</v>
      </c>
      <c r="AI312" s="2" t="s">
        <v>74</v>
      </c>
      <c r="AJ312" s="2" t="s">
        <v>74</v>
      </c>
      <c r="AK312" s="2" t="s">
        <v>74</v>
      </c>
      <c r="AL312" s="2" t="s">
        <v>74</v>
      </c>
      <c r="AM312" s="2" t="s">
        <v>74</v>
      </c>
      <c r="AN312" s="2" t="s">
        <v>74</v>
      </c>
      <c r="AO312" s="2" t="s">
        <v>81</v>
      </c>
      <c r="AP312" s="2" t="s">
        <v>82</v>
      </c>
      <c r="AQ312" s="2" t="s">
        <v>74</v>
      </c>
      <c r="AR312" s="2" t="s">
        <v>74</v>
      </c>
      <c r="AS312" s="2" t="s">
        <v>74</v>
      </c>
      <c r="AT312" s="2" t="s">
        <v>74</v>
      </c>
      <c r="AU312" s="2">
        <v>2015</v>
      </c>
      <c r="AV312" s="2">
        <v>152</v>
      </c>
      <c r="AW312" s="2">
        <v>11</v>
      </c>
      <c r="AX312" s="2" t="s">
        <v>74</v>
      </c>
      <c r="AY312" s="2" t="s">
        <v>74</v>
      </c>
      <c r="AZ312" s="2" t="s">
        <v>74</v>
      </c>
      <c r="BA312" s="2" t="s">
        <v>74</v>
      </c>
      <c r="BB312" s="2">
        <v>1463</v>
      </c>
      <c r="BC312" s="2">
        <v>1479</v>
      </c>
      <c r="BD312" s="2" t="s">
        <v>74</v>
      </c>
      <c r="BE312" s="2" t="s">
        <v>2485</v>
      </c>
      <c r="BF312" s="2" t="str">
        <f>HYPERLINK("http://dx.doi.org/10.1163/1568539X-00003287","http://dx.doi.org/10.1163/1568539X-00003287")</f>
        <v>http://dx.doi.org/10.1163/1568539X-00003287</v>
      </c>
      <c r="BG312" s="2" t="s">
        <v>74</v>
      </c>
      <c r="BH312" s="2" t="s">
        <v>74</v>
      </c>
      <c r="BI312" s="2" t="s">
        <v>74</v>
      </c>
      <c r="BJ312" s="2" t="s">
        <v>74</v>
      </c>
      <c r="BK312" s="2" t="s">
        <v>74</v>
      </c>
      <c r="BL312" s="2" t="s">
        <v>74</v>
      </c>
      <c r="BM312" s="2" t="s">
        <v>74</v>
      </c>
      <c r="BN312" s="2" t="s">
        <v>74</v>
      </c>
      <c r="BO312" s="2" t="s">
        <v>74</v>
      </c>
      <c r="BP312" s="2" t="s">
        <v>74</v>
      </c>
      <c r="BQ312" s="2" t="s">
        <v>74</v>
      </c>
      <c r="BR312" s="2" t="s">
        <v>74</v>
      </c>
      <c r="BS312" s="2" t="s">
        <v>2486</v>
      </c>
      <c r="BT312" s="2" t="str">
        <f>HYPERLINK("https%3A%2F%2Fwww.webofscience.com%2Fwos%2Fwoscc%2Ffull-record%2FWOS:000359994100002","View Full Record in Web of Science")</f>
        <v>View Full Record in Web of Science</v>
      </c>
    </row>
    <row r="313" spans="1:72" s="2" customFormat="1" x14ac:dyDescent="0.4">
      <c r="A313" s="2" t="s">
        <v>72</v>
      </c>
      <c r="B313" s="2" t="s">
        <v>2134</v>
      </c>
      <c r="C313" s="2" t="s">
        <v>74</v>
      </c>
      <c r="D313" s="2" t="s">
        <v>74</v>
      </c>
      <c r="E313" s="2" t="s">
        <v>74</v>
      </c>
      <c r="F313" s="2" t="s">
        <v>2135</v>
      </c>
      <c r="G313" s="2" t="s">
        <v>74</v>
      </c>
      <c r="H313" s="2" t="s">
        <v>74</v>
      </c>
      <c r="I313" s="2" t="s">
        <v>2136</v>
      </c>
      <c r="J313" s="2" t="s">
        <v>119</v>
      </c>
      <c r="K313" s="2" t="s">
        <v>74</v>
      </c>
      <c r="L313" s="2" t="s">
        <v>74</v>
      </c>
      <c r="M313" s="2" t="s">
        <v>74</v>
      </c>
      <c r="N313" s="2" t="s">
        <v>74</v>
      </c>
      <c r="O313" s="2" t="s">
        <v>74</v>
      </c>
      <c r="P313" s="2" t="s">
        <v>74</v>
      </c>
      <c r="Q313" s="2" t="s">
        <v>74</v>
      </c>
      <c r="R313" s="2" t="s">
        <v>74</v>
      </c>
      <c r="S313" s="2" t="s">
        <v>74</v>
      </c>
      <c r="T313" s="2" t="s">
        <v>74</v>
      </c>
      <c r="U313" s="2" t="s">
        <v>74</v>
      </c>
      <c r="V313" s="5" t="s">
        <v>2137</v>
      </c>
      <c r="W313" s="2" t="s">
        <v>74</v>
      </c>
      <c r="X313" s="2" t="s">
        <v>74</v>
      </c>
      <c r="Y313" s="2" t="s">
        <v>74</v>
      </c>
      <c r="Z313" s="2" t="s">
        <v>74</v>
      </c>
      <c r="AA313" s="2" t="s">
        <v>2138</v>
      </c>
      <c r="AB313" s="2" t="s">
        <v>2139</v>
      </c>
      <c r="AC313" s="2" t="s">
        <v>74</v>
      </c>
      <c r="AD313" s="2" t="s">
        <v>74</v>
      </c>
      <c r="AE313" s="2" t="s">
        <v>74</v>
      </c>
      <c r="AF313" s="2" t="s">
        <v>74</v>
      </c>
      <c r="AG313" s="2" t="s">
        <v>74</v>
      </c>
      <c r="AH313" s="2" t="s">
        <v>74</v>
      </c>
      <c r="AI313" s="2" t="s">
        <v>74</v>
      </c>
      <c r="AJ313" s="2" t="s">
        <v>74</v>
      </c>
      <c r="AK313" s="2" t="s">
        <v>74</v>
      </c>
      <c r="AL313" s="2" t="s">
        <v>74</v>
      </c>
      <c r="AM313" s="2" t="s">
        <v>74</v>
      </c>
      <c r="AN313" s="2" t="s">
        <v>74</v>
      </c>
      <c r="AO313" s="2" t="s">
        <v>121</v>
      </c>
      <c r="AP313" s="2" t="s">
        <v>122</v>
      </c>
      <c r="AQ313" s="2" t="s">
        <v>74</v>
      </c>
      <c r="AR313" s="2" t="s">
        <v>74</v>
      </c>
      <c r="AS313" s="2" t="s">
        <v>74</v>
      </c>
      <c r="AT313" s="2" t="s">
        <v>352</v>
      </c>
      <c r="AU313" s="2">
        <v>2014</v>
      </c>
      <c r="AV313" s="2">
        <v>107</v>
      </c>
      <c r="AW313" s="2" t="s">
        <v>74</v>
      </c>
      <c r="AX313" s="2" t="s">
        <v>74</v>
      </c>
      <c r="AY313" s="2" t="s">
        <v>74</v>
      </c>
      <c r="AZ313" s="2" t="s">
        <v>74</v>
      </c>
      <c r="BA313" s="2" t="s">
        <v>74</v>
      </c>
      <c r="BB313" s="2">
        <v>158</v>
      </c>
      <c r="BC313" s="2">
        <v>162</v>
      </c>
      <c r="BD313" s="2" t="s">
        <v>74</v>
      </c>
      <c r="BE313" s="2" t="s">
        <v>2140</v>
      </c>
      <c r="BF313" s="2" t="str">
        <f>HYPERLINK("http://dx.doi.org/10.1016/j.beproc.2014.08.010","http://dx.doi.org/10.1016/j.beproc.2014.08.010")</f>
        <v>http://dx.doi.org/10.1016/j.beproc.2014.08.010</v>
      </c>
      <c r="BG313" s="2" t="s">
        <v>74</v>
      </c>
      <c r="BH313" s="2" t="s">
        <v>74</v>
      </c>
      <c r="BI313" s="2" t="s">
        <v>74</v>
      </c>
      <c r="BJ313" s="2" t="s">
        <v>74</v>
      </c>
      <c r="BK313" s="2" t="s">
        <v>74</v>
      </c>
      <c r="BL313" s="2" t="s">
        <v>74</v>
      </c>
      <c r="BM313" s="2" t="s">
        <v>74</v>
      </c>
      <c r="BN313" s="2">
        <v>25151939</v>
      </c>
      <c r="BO313" s="2" t="s">
        <v>74</v>
      </c>
      <c r="BP313" s="2" t="s">
        <v>74</v>
      </c>
      <c r="BQ313" s="2" t="s">
        <v>74</v>
      </c>
      <c r="BR313" s="2" t="s">
        <v>74</v>
      </c>
      <c r="BS313" s="2" t="s">
        <v>2141</v>
      </c>
      <c r="BT313" s="2" t="str">
        <f>HYPERLINK("https%3A%2F%2Fwww.webofscience.com%2Fwos%2Fwoscc%2Ffull-record%2FWOS:000343628400020","View Full Record in Web of Science")</f>
        <v>View Full Record in Web of Science</v>
      </c>
    </row>
    <row r="314" spans="1:72" s="2" customFormat="1" x14ac:dyDescent="0.4">
      <c r="A314" s="2" t="s">
        <v>72</v>
      </c>
      <c r="B314" s="2" t="s">
        <v>6982</v>
      </c>
      <c r="C314" s="2" t="s">
        <v>74</v>
      </c>
      <c r="D314" s="2" t="s">
        <v>74</v>
      </c>
      <c r="E314" s="2" t="s">
        <v>74</v>
      </c>
      <c r="F314" s="2" t="s">
        <v>6983</v>
      </c>
      <c r="G314" s="2" t="s">
        <v>74</v>
      </c>
      <c r="H314" s="2" t="s">
        <v>74</v>
      </c>
      <c r="I314" s="2" t="s">
        <v>6984</v>
      </c>
      <c r="J314" s="2" t="s">
        <v>140</v>
      </c>
      <c r="K314" s="2" t="s">
        <v>74</v>
      </c>
      <c r="L314" s="2" t="s">
        <v>74</v>
      </c>
      <c r="M314" s="2" t="s">
        <v>74</v>
      </c>
      <c r="N314" s="2" t="s">
        <v>74</v>
      </c>
      <c r="O314" s="2" t="s">
        <v>74</v>
      </c>
      <c r="P314" s="2" t="s">
        <v>74</v>
      </c>
      <c r="Q314" s="2" t="s">
        <v>74</v>
      </c>
      <c r="R314" s="2" t="s">
        <v>74</v>
      </c>
      <c r="S314" s="2" t="s">
        <v>74</v>
      </c>
      <c r="T314" s="2" t="s">
        <v>74</v>
      </c>
      <c r="U314" s="2" t="s">
        <v>74</v>
      </c>
      <c r="V314" s="5" t="s">
        <v>6985</v>
      </c>
      <c r="W314" s="2" t="s">
        <v>74</v>
      </c>
      <c r="X314" s="2" t="s">
        <v>74</v>
      </c>
      <c r="Y314" s="2" t="s">
        <v>74</v>
      </c>
      <c r="Z314" s="2" t="s">
        <v>74</v>
      </c>
      <c r="AA314" s="2" t="s">
        <v>6986</v>
      </c>
      <c r="AB314" s="2" t="s">
        <v>6987</v>
      </c>
      <c r="AC314" s="2" t="s">
        <v>74</v>
      </c>
      <c r="AD314" s="2" t="s">
        <v>74</v>
      </c>
      <c r="AE314" s="2" t="s">
        <v>74</v>
      </c>
      <c r="AF314" s="2" t="s">
        <v>74</v>
      </c>
      <c r="AG314" s="2" t="s">
        <v>74</v>
      </c>
      <c r="AH314" s="2" t="s">
        <v>74</v>
      </c>
      <c r="AI314" s="2" t="s">
        <v>74</v>
      </c>
      <c r="AJ314" s="2" t="s">
        <v>74</v>
      </c>
      <c r="AK314" s="2" t="s">
        <v>74</v>
      </c>
      <c r="AL314" s="2" t="s">
        <v>74</v>
      </c>
      <c r="AM314" s="2" t="s">
        <v>74</v>
      </c>
      <c r="AN314" s="2" t="s">
        <v>74</v>
      </c>
      <c r="AO314" s="2" t="s">
        <v>143</v>
      </c>
      <c r="AP314" s="2" t="s">
        <v>144</v>
      </c>
      <c r="AQ314" s="2" t="s">
        <v>74</v>
      </c>
      <c r="AR314" s="2" t="s">
        <v>74</v>
      </c>
      <c r="AS314" s="2" t="s">
        <v>74</v>
      </c>
      <c r="AT314" s="2" t="s">
        <v>255</v>
      </c>
      <c r="AU314" s="2">
        <v>2008</v>
      </c>
      <c r="AV314" s="2">
        <v>75</v>
      </c>
      <c r="AW314" s="2" t="s">
        <v>74</v>
      </c>
      <c r="AX314" s="2">
        <v>1</v>
      </c>
      <c r="AY314" s="2" t="s">
        <v>74</v>
      </c>
      <c r="AZ314" s="2" t="s">
        <v>74</v>
      </c>
      <c r="BA314" s="2" t="s">
        <v>74</v>
      </c>
      <c r="BB314" s="2">
        <v>175</v>
      </c>
      <c r="BC314" s="2">
        <v>188</v>
      </c>
      <c r="BD314" s="2" t="s">
        <v>74</v>
      </c>
      <c r="BE314" s="2" t="s">
        <v>6988</v>
      </c>
      <c r="BF314" s="2" t="str">
        <f>HYPERLINK("http://dx.doi.org/10.1016/j.anbehav.2007.04.016","http://dx.doi.org/10.1016/j.anbehav.2007.04.016")</f>
        <v>http://dx.doi.org/10.1016/j.anbehav.2007.04.016</v>
      </c>
      <c r="BG314" s="2" t="s">
        <v>74</v>
      </c>
      <c r="BH314" s="2" t="s">
        <v>74</v>
      </c>
      <c r="BI314" s="2" t="s">
        <v>74</v>
      </c>
      <c r="BJ314" s="2" t="s">
        <v>74</v>
      </c>
      <c r="BK314" s="2" t="s">
        <v>74</v>
      </c>
      <c r="BL314" s="2" t="s">
        <v>74</v>
      </c>
      <c r="BM314" s="2" t="s">
        <v>74</v>
      </c>
      <c r="BN314" s="2" t="s">
        <v>74</v>
      </c>
      <c r="BO314" s="2" t="s">
        <v>74</v>
      </c>
      <c r="BP314" s="2" t="s">
        <v>74</v>
      </c>
      <c r="BQ314" s="2" t="s">
        <v>74</v>
      </c>
      <c r="BR314" s="2" t="s">
        <v>74</v>
      </c>
      <c r="BS314" s="2" t="s">
        <v>6989</v>
      </c>
      <c r="BT314" s="2" t="str">
        <f>HYPERLINK("https%3A%2F%2Fwww.webofscience.com%2Fwos%2Fwoscc%2Ffull-record%2FWOS:000252710000021","View Full Record in Web of Science")</f>
        <v>View Full Record in Web of Science</v>
      </c>
    </row>
    <row r="315" spans="1:72" s="2" customFormat="1" x14ac:dyDescent="0.4">
      <c r="A315" s="2" t="s">
        <v>72</v>
      </c>
      <c r="B315" s="2" t="s">
        <v>3814</v>
      </c>
      <c r="C315" s="2" t="s">
        <v>74</v>
      </c>
      <c r="D315" s="2" t="s">
        <v>74</v>
      </c>
      <c r="E315" s="2" t="s">
        <v>74</v>
      </c>
      <c r="F315" s="2" t="s">
        <v>3815</v>
      </c>
      <c r="G315" s="2" t="s">
        <v>74</v>
      </c>
      <c r="H315" s="2" t="s">
        <v>74</v>
      </c>
      <c r="I315" s="2" t="s">
        <v>3816</v>
      </c>
      <c r="J315" s="2" t="s">
        <v>3817</v>
      </c>
      <c r="K315" s="2" t="s">
        <v>74</v>
      </c>
      <c r="L315" s="2" t="s">
        <v>74</v>
      </c>
      <c r="M315" s="2" t="s">
        <v>74</v>
      </c>
      <c r="N315" s="2" t="s">
        <v>74</v>
      </c>
      <c r="O315" s="2" t="s">
        <v>74</v>
      </c>
      <c r="P315" s="2" t="s">
        <v>74</v>
      </c>
      <c r="Q315" s="2" t="s">
        <v>74</v>
      </c>
      <c r="R315" s="2" t="s">
        <v>74</v>
      </c>
      <c r="S315" s="2" t="s">
        <v>74</v>
      </c>
      <c r="T315" s="2" t="s">
        <v>74</v>
      </c>
      <c r="U315" s="2" t="s">
        <v>74</v>
      </c>
      <c r="V315" s="5" t="s">
        <v>3818</v>
      </c>
      <c r="W315" s="2" t="s">
        <v>74</v>
      </c>
      <c r="X315" s="2" t="s">
        <v>74</v>
      </c>
      <c r="Y315" s="2" t="s">
        <v>74</v>
      </c>
      <c r="Z315" s="2" t="s">
        <v>74</v>
      </c>
      <c r="AA315" s="2" t="s">
        <v>3819</v>
      </c>
      <c r="AB315" s="2" t="s">
        <v>3820</v>
      </c>
      <c r="AC315" s="2" t="s">
        <v>74</v>
      </c>
      <c r="AD315" s="2" t="s">
        <v>74</v>
      </c>
      <c r="AE315" s="2" t="s">
        <v>74</v>
      </c>
      <c r="AF315" s="2" t="s">
        <v>74</v>
      </c>
      <c r="AG315" s="2" t="s">
        <v>74</v>
      </c>
      <c r="AH315" s="2" t="s">
        <v>74</v>
      </c>
      <c r="AI315" s="2" t="s">
        <v>74</v>
      </c>
      <c r="AJ315" s="2" t="s">
        <v>74</v>
      </c>
      <c r="AK315" s="2" t="s">
        <v>74</v>
      </c>
      <c r="AL315" s="2" t="s">
        <v>74</v>
      </c>
      <c r="AM315" s="2" t="s">
        <v>74</v>
      </c>
      <c r="AN315" s="2" t="s">
        <v>74</v>
      </c>
      <c r="AO315" s="2" t="s">
        <v>3821</v>
      </c>
      <c r="AP315" s="2" t="s">
        <v>3822</v>
      </c>
      <c r="AQ315" s="2" t="s">
        <v>74</v>
      </c>
      <c r="AR315" s="2" t="s">
        <v>74</v>
      </c>
      <c r="AS315" s="2" t="s">
        <v>74</v>
      </c>
      <c r="AT315" s="2" t="s">
        <v>3823</v>
      </c>
      <c r="AU315" s="2">
        <v>2021</v>
      </c>
      <c r="AV315" s="2" t="s">
        <v>74</v>
      </c>
      <c r="AW315" s="2" t="s">
        <v>74</v>
      </c>
      <c r="AX315" s="2" t="s">
        <v>74</v>
      </c>
      <c r="AY315" s="2" t="s">
        <v>74</v>
      </c>
      <c r="AZ315" s="2" t="s">
        <v>74</v>
      </c>
      <c r="BA315" s="2" t="s">
        <v>74</v>
      </c>
      <c r="BB315" s="2" t="s">
        <v>74</v>
      </c>
      <c r="BC315" s="2" t="s">
        <v>74</v>
      </c>
      <c r="BD315" s="2" t="s">
        <v>3824</v>
      </c>
      <c r="BE315" s="2" t="s">
        <v>3825</v>
      </c>
      <c r="BF315" s="2" t="str">
        <f>HYPERLINK("http://dx.doi.org/10.1093/zoolinnean/zlab015","http://dx.doi.org/10.1093/zoolinnean/zlab015")</f>
        <v>http://dx.doi.org/10.1093/zoolinnean/zlab015</v>
      </c>
      <c r="BG315" s="2" t="s">
        <v>74</v>
      </c>
      <c r="BH315" s="2" t="s">
        <v>3826</v>
      </c>
      <c r="BI315" s="2" t="s">
        <v>74</v>
      </c>
      <c r="BJ315" s="2" t="s">
        <v>74</v>
      </c>
      <c r="BK315" s="2" t="s">
        <v>74</v>
      </c>
      <c r="BL315" s="2" t="s">
        <v>74</v>
      </c>
      <c r="BM315" s="2" t="s">
        <v>74</v>
      </c>
      <c r="BN315" s="2" t="s">
        <v>74</v>
      </c>
      <c r="BO315" s="2" t="s">
        <v>74</v>
      </c>
      <c r="BP315" s="2" t="s">
        <v>74</v>
      </c>
      <c r="BQ315" s="2" t="s">
        <v>74</v>
      </c>
      <c r="BR315" s="2" t="s">
        <v>74</v>
      </c>
      <c r="BS315" s="2" t="s">
        <v>3827</v>
      </c>
      <c r="BT315" s="2" t="str">
        <f>HYPERLINK("https%3A%2F%2Fwww.webofscience.com%2Fwos%2Fwoscc%2Ffull-record%2FWOS:000764722000001","View Full Record in Web of Science")</f>
        <v>View Full Record in Web of Science</v>
      </c>
    </row>
    <row r="316" spans="1:72" s="2" customFormat="1" x14ac:dyDescent="0.4">
      <c r="A316" s="2" t="s">
        <v>72</v>
      </c>
      <c r="B316" s="2" t="s">
        <v>3828</v>
      </c>
      <c r="C316" s="2" t="s">
        <v>74</v>
      </c>
      <c r="D316" s="2" t="s">
        <v>74</v>
      </c>
      <c r="E316" s="2" t="s">
        <v>74</v>
      </c>
      <c r="F316" s="2" t="s">
        <v>3829</v>
      </c>
      <c r="G316" s="2" t="s">
        <v>74</v>
      </c>
      <c r="H316" s="2" t="s">
        <v>74</v>
      </c>
      <c r="I316" s="2" t="s">
        <v>3816</v>
      </c>
      <c r="J316" s="2" t="s">
        <v>3817</v>
      </c>
      <c r="K316" s="2" t="s">
        <v>74</v>
      </c>
      <c r="L316" s="2" t="s">
        <v>74</v>
      </c>
      <c r="M316" s="2" t="s">
        <v>74</v>
      </c>
      <c r="N316" s="2" t="s">
        <v>74</v>
      </c>
      <c r="O316" s="2" t="s">
        <v>74</v>
      </c>
      <c r="P316" s="2" t="s">
        <v>74</v>
      </c>
      <c r="Q316" s="2" t="s">
        <v>74</v>
      </c>
      <c r="R316" s="2" t="s">
        <v>74</v>
      </c>
      <c r="S316" s="2" t="s">
        <v>74</v>
      </c>
      <c r="T316" s="2" t="s">
        <v>74</v>
      </c>
      <c r="U316" s="2" t="s">
        <v>74</v>
      </c>
      <c r="V316" s="5" t="s">
        <v>3830</v>
      </c>
      <c r="W316" s="2" t="s">
        <v>74</v>
      </c>
      <c r="X316" s="2" t="s">
        <v>74</v>
      </c>
      <c r="Y316" s="2" t="s">
        <v>74</v>
      </c>
      <c r="Z316" s="2" t="s">
        <v>74</v>
      </c>
      <c r="AA316" s="2" t="s">
        <v>3831</v>
      </c>
      <c r="AB316" s="2" t="s">
        <v>3832</v>
      </c>
      <c r="AC316" s="2" t="s">
        <v>74</v>
      </c>
      <c r="AD316" s="2" t="s">
        <v>74</v>
      </c>
      <c r="AE316" s="2" t="s">
        <v>74</v>
      </c>
      <c r="AF316" s="2" t="s">
        <v>74</v>
      </c>
      <c r="AG316" s="2" t="s">
        <v>74</v>
      </c>
      <c r="AH316" s="2" t="s">
        <v>74</v>
      </c>
      <c r="AI316" s="2" t="s">
        <v>74</v>
      </c>
      <c r="AJ316" s="2" t="s">
        <v>74</v>
      </c>
      <c r="AK316" s="2" t="s">
        <v>74</v>
      </c>
      <c r="AL316" s="2" t="s">
        <v>74</v>
      </c>
      <c r="AM316" s="2" t="s">
        <v>74</v>
      </c>
      <c r="AN316" s="2" t="s">
        <v>74</v>
      </c>
      <c r="AO316" s="2" t="s">
        <v>3821</v>
      </c>
      <c r="AP316" s="2" t="s">
        <v>3822</v>
      </c>
      <c r="AQ316" s="2" t="s">
        <v>74</v>
      </c>
      <c r="AR316" s="2" t="s">
        <v>74</v>
      </c>
      <c r="AS316" s="2" t="s">
        <v>74</v>
      </c>
      <c r="AT316" s="2" t="s">
        <v>3833</v>
      </c>
      <c r="AU316" s="2">
        <v>2022</v>
      </c>
      <c r="AV316" s="2">
        <v>194</v>
      </c>
      <c r="AW316" s="2">
        <v>3</v>
      </c>
      <c r="AX316" s="2" t="s">
        <v>74</v>
      </c>
      <c r="AY316" s="2" t="s">
        <v>74</v>
      </c>
      <c r="AZ316" s="2" t="s">
        <v>74</v>
      </c>
      <c r="BA316" s="2" t="s">
        <v>74</v>
      </c>
      <c r="BB316" s="2">
        <v>973</v>
      </c>
      <c r="BC316" s="2">
        <v>1034</v>
      </c>
      <c r="BD316" s="2" t="s">
        <v>74</v>
      </c>
      <c r="BE316" s="2" t="s">
        <v>74</v>
      </c>
      <c r="BF316" s="2" t="s">
        <v>74</v>
      </c>
      <c r="BG316" s="2" t="s">
        <v>74</v>
      </c>
      <c r="BH316" s="2" t="s">
        <v>74</v>
      </c>
      <c r="BI316" s="2" t="s">
        <v>74</v>
      </c>
      <c r="BJ316" s="2" t="s">
        <v>74</v>
      </c>
      <c r="BK316" s="2" t="s">
        <v>74</v>
      </c>
      <c r="BL316" s="2" t="s">
        <v>74</v>
      </c>
      <c r="BM316" s="2" t="s">
        <v>74</v>
      </c>
      <c r="BN316" s="2" t="s">
        <v>74</v>
      </c>
      <c r="BO316" s="2" t="s">
        <v>74</v>
      </c>
      <c r="BP316" s="2" t="s">
        <v>74</v>
      </c>
      <c r="BQ316" s="2" t="s">
        <v>74</v>
      </c>
      <c r="BR316" s="2" t="s">
        <v>74</v>
      </c>
      <c r="BS316" s="2" t="s">
        <v>3834</v>
      </c>
      <c r="BT316" s="2" t="str">
        <f>HYPERLINK("https%3A%2F%2Fwww.webofscience.com%2Fwos%2Fwoscc%2Ffull-record%2FWOS:000766308500011","View Full Record in Web of Science")</f>
        <v>View Full Record in Web of Science</v>
      </c>
    </row>
    <row r="317" spans="1:72" s="2" customFormat="1" x14ac:dyDescent="0.4">
      <c r="A317" s="2" t="s">
        <v>72</v>
      </c>
      <c r="B317" s="2" t="s">
        <v>2690</v>
      </c>
      <c r="C317" s="2" t="s">
        <v>74</v>
      </c>
      <c r="D317" s="2" t="s">
        <v>74</v>
      </c>
      <c r="E317" s="2" t="s">
        <v>74</v>
      </c>
      <c r="F317" s="2" t="s">
        <v>2690</v>
      </c>
      <c r="G317" s="2" t="s">
        <v>74</v>
      </c>
      <c r="H317" s="2" t="s">
        <v>74</v>
      </c>
      <c r="I317" s="2" t="s">
        <v>2691</v>
      </c>
      <c r="J317" s="2" t="s">
        <v>2692</v>
      </c>
      <c r="K317" s="2" t="s">
        <v>74</v>
      </c>
      <c r="L317" s="2" t="s">
        <v>74</v>
      </c>
      <c r="M317" s="2" t="s">
        <v>74</v>
      </c>
      <c r="N317" s="2" t="s">
        <v>74</v>
      </c>
      <c r="O317" s="2" t="s">
        <v>74</v>
      </c>
      <c r="P317" s="2" t="s">
        <v>74</v>
      </c>
      <c r="Q317" s="2" t="s">
        <v>74</v>
      </c>
      <c r="R317" s="2" t="s">
        <v>74</v>
      </c>
      <c r="S317" s="2" t="s">
        <v>74</v>
      </c>
      <c r="T317" s="2" t="s">
        <v>74</v>
      </c>
      <c r="U317" s="2" t="s">
        <v>74</v>
      </c>
      <c r="V317" s="5" t="s">
        <v>2693</v>
      </c>
      <c r="W317" s="2" t="s">
        <v>74</v>
      </c>
      <c r="X317" s="2" t="s">
        <v>74</v>
      </c>
      <c r="Y317" s="2" t="s">
        <v>74</v>
      </c>
      <c r="Z317" s="2" t="s">
        <v>74</v>
      </c>
      <c r="AA317" s="2" t="s">
        <v>74</v>
      </c>
      <c r="AB317" s="2" t="s">
        <v>74</v>
      </c>
      <c r="AC317" s="2" t="s">
        <v>74</v>
      </c>
      <c r="AD317" s="2" t="s">
        <v>74</v>
      </c>
      <c r="AE317" s="2" t="s">
        <v>74</v>
      </c>
      <c r="AF317" s="2" t="s">
        <v>74</v>
      </c>
      <c r="AG317" s="2" t="s">
        <v>74</v>
      </c>
      <c r="AH317" s="2" t="s">
        <v>74</v>
      </c>
      <c r="AI317" s="2" t="s">
        <v>74</v>
      </c>
      <c r="AJ317" s="2" t="s">
        <v>74</v>
      </c>
      <c r="AK317" s="2" t="s">
        <v>74</v>
      </c>
      <c r="AL317" s="2" t="s">
        <v>74</v>
      </c>
      <c r="AM317" s="2" t="s">
        <v>74</v>
      </c>
      <c r="AN317" s="2" t="s">
        <v>74</v>
      </c>
      <c r="AO317" s="2" t="s">
        <v>2694</v>
      </c>
      <c r="AP317" s="2" t="s">
        <v>74</v>
      </c>
      <c r="AQ317" s="2" t="s">
        <v>74</v>
      </c>
      <c r="AR317" s="2" t="s">
        <v>74</v>
      </c>
      <c r="AS317" s="2" t="s">
        <v>74</v>
      </c>
      <c r="AT317" s="2" t="s">
        <v>305</v>
      </c>
      <c r="AU317" s="2">
        <v>2002</v>
      </c>
      <c r="AV317" s="2">
        <v>12</v>
      </c>
      <c r="AW317" s="2">
        <v>4</v>
      </c>
      <c r="AX317" s="2" t="s">
        <v>74</v>
      </c>
      <c r="AY317" s="2" t="s">
        <v>74</v>
      </c>
      <c r="AZ317" s="2" t="s">
        <v>74</v>
      </c>
      <c r="BA317" s="2" t="s">
        <v>74</v>
      </c>
      <c r="BB317" s="2">
        <v>353</v>
      </c>
      <c r="BC317" s="2">
        <v>364</v>
      </c>
      <c r="BD317" s="2" t="s">
        <v>74</v>
      </c>
      <c r="BE317" s="2" t="s">
        <v>2695</v>
      </c>
      <c r="BF317" s="2" t="str">
        <f>HYPERLINK("http://dx.doi.org/10.1017/S0959270902002228","http://dx.doi.org/10.1017/S0959270902002228")</f>
        <v>http://dx.doi.org/10.1017/S0959270902002228</v>
      </c>
      <c r="BG317" s="2" t="s">
        <v>74</v>
      </c>
      <c r="BH317" s="2" t="s">
        <v>74</v>
      </c>
      <c r="BI317" s="2" t="s">
        <v>74</v>
      </c>
      <c r="BJ317" s="2" t="s">
        <v>74</v>
      </c>
      <c r="BK317" s="2" t="s">
        <v>74</v>
      </c>
      <c r="BL317" s="2" t="s">
        <v>74</v>
      </c>
      <c r="BM317" s="2" t="s">
        <v>74</v>
      </c>
      <c r="BN317" s="2" t="s">
        <v>74</v>
      </c>
      <c r="BO317" s="2" t="s">
        <v>74</v>
      </c>
      <c r="BP317" s="2" t="s">
        <v>74</v>
      </c>
      <c r="BQ317" s="2" t="s">
        <v>74</v>
      </c>
      <c r="BR317" s="2" t="s">
        <v>74</v>
      </c>
      <c r="BS317" s="2" t="s">
        <v>2696</v>
      </c>
      <c r="BT317" s="2" t="str">
        <f>HYPERLINK("https%3A%2F%2Fwww.webofscience.com%2Fwos%2Fwoscc%2Ffull-record%2FWOS:000180506600005","View Full Record in Web of Science")</f>
        <v>View Full Record in Web of Science</v>
      </c>
    </row>
    <row r="318" spans="1:72" s="2" customFormat="1" x14ac:dyDescent="0.4">
      <c r="A318" s="2" t="s">
        <v>72</v>
      </c>
      <c r="B318" s="2" t="s">
        <v>2865</v>
      </c>
      <c r="C318" s="2" t="s">
        <v>74</v>
      </c>
      <c r="D318" s="2" t="s">
        <v>74</v>
      </c>
      <c r="E318" s="2" t="s">
        <v>74</v>
      </c>
      <c r="F318" s="2" t="s">
        <v>2866</v>
      </c>
      <c r="G318" s="2" t="s">
        <v>74</v>
      </c>
      <c r="H318" s="2" t="s">
        <v>74</v>
      </c>
      <c r="I318" s="2" t="s">
        <v>2867</v>
      </c>
      <c r="J318" s="2" t="s">
        <v>1673</v>
      </c>
      <c r="K318" s="2" t="s">
        <v>74</v>
      </c>
      <c r="L318" s="2" t="s">
        <v>74</v>
      </c>
      <c r="M318" s="2" t="s">
        <v>74</v>
      </c>
      <c r="N318" s="2" t="s">
        <v>74</v>
      </c>
      <c r="O318" s="2" t="s">
        <v>74</v>
      </c>
      <c r="P318" s="2" t="s">
        <v>74</v>
      </c>
      <c r="Q318" s="2" t="s">
        <v>74</v>
      </c>
      <c r="R318" s="2" t="s">
        <v>74</v>
      </c>
      <c r="S318" s="2" t="s">
        <v>74</v>
      </c>
      <c r="T318" s="2" t="s">
        <v>74</v>
      </c>
      <c r="U318" s="2" t="s">
        <v>74</v>
      </c>
      <c r="V318" s="5" t="s">
        <v>2868</v>
      </c>
      <c r="W318" s="2" t="s">
        <v>74</v>
      </c>
      <c r="X318" s="2" t="s">
        <v>74</v>
      </c>
      <c r="Y318" s="2" t="s">
        <v>74</v>
      </c>
      <c r="Z318" s="2" t="s">
        <v>74</v>
      </c>
      <c r="AA318" s="2" t="s">
        <v>2869</v>
      </c>
      <c r="AB318" s="2" t="s">
        <v>2870</v>
      </c>
      <c r="AC318" s="2" t="s">
        <v>74</v>
      </c>
      <c r="AD318" s="2" t="s">
        <v>74</v>
      </c>
      <c r="AE318" s="2" t="s">
        <v>74</v>
      </c>
      <c r="AF318" s="2" t="s">
        <v>74</v>
      </c>
      <c r="AG318" s="2" t="s">
        <v>74</v>
      </c>
      <c r="AH318" s="2" t="s">
        <v>74</v>
      </c>
      <c r="AI318" s="2" t="s">
        <v>74</v>
      </c>
      <c r="AJ318" s="2" t="s">
        <v>74</v>
      </c>
      <c r="AK318" s="2" t="s">
        <v>74</v>
      </c>
      <c r="AL318" s="2" t="s">
        <v>74</v>
      </c>
      <c r="AM318" s="2" t="s">
        <v>74</v>
      </c>
      <c r="AN318" s="2" t="s">
        <v>74</v>
      </c>
      <c r="AO318" s="2" t="s">
        <v>1239</v>
      </c>
      <c r="AP318" s="2" t="s">
        <v>1675</v>
      </c>
      <c r="AQ318" s="2" t="s">
        <v>74</v>
      </c>
      <c r="AR318" s="2" t="s">
        <v>74</v>
      </c>
      <c r="AS318" s="2" t="s">
        <v>74</v>
      </c>
      <c r="AT318" s="2" t="s">
        <v>145</v>
      </c>
      <c r="AU318" s="2">
        <v>2023</v>
      </c>
      <c r="AV318" s="2">
        <v>101</v>
      </c>
      <c r="AW318" s="2">
        <v>8</v>
      </c>
      <c r="AX318" s="2" t="s">
        <v>74</v>
      </c>
      <c r="AY318" s="2" t="s">
        <v>74</v>
      </c>
      <c r="AZ318" s="2" t="s">
        <v>74</v>
      </c>
      <c r="BA318" s="2" t="s">
        <v>74</v>
      </c>
      <c r="BB318" s="2">
        <v>658</v>
      </c>
      <c r="BC318" s="2">
        <v>671</v>
      </c>
      <c r="BD318" s="2" t="s">
        <v>74</v>
      </c>
      <c r="BE318" s="2" t="s">
        <v>2871</v>
      </c>
      <c r="BF318" s="2" t="str">
        <f>HYPERLINK("http://dx.doi.org/10.1139/cjz-2023-0039","http://dx.doi.org/10.1139/cjz-2023-0039")</f>
        <v>http://dx.doi.org/10.1139/cjz-2023-0039</v>
      </c>
      <c r="BG318" s="2" t="s">
        <v>74</v>
      </c>
      <c r="BH318" s="2" t="s">
        <v>1391</v>
      </c>
      <c r="BI318" s="2" t="s">
        <v>74</v>
      </c>
      <c r="BJ318" s="2" t="s">
        <v>74</v>
      </c>
      <c r="BK318" s="2" t="s">
        <v>74</v>
      </c>
      <c r="BL318" s="2" t="s">
        <v>74</v>
      </c>
      <c r="BM318" s="2" t="s">
        <v>74</v>
      </c>
      <c r="BN318" s="2" t="s">
        <v>74</v>
      </c>
      <c r="BO318" s="2" t="s">
        <v>74</v>
      </c>
      <c r="BP318" s="2" t="s">
        <v>74</v>
      </c>
      <c r="BQ318" s="2" t="s">
        <v>74</v>
      </c>
      <c r="BR318" s="2" t="s">
        <v>74</v>
      </c>
      <c r="BS318" s="2" t="s">
        <v>2872</v>
      </c>
      <c r="BT318" s="2" t="str">
        <f>HYPERLINK("https%3A%2F%2Fwww.webofscience.com%2Fwos%2Fwoscc%2Ffull-record%2FWOS:000995450300001","View Full Record in Web of Science")</f>
        <v>View Full Record in Web of Science</v>
      </c>
    </row>
    <row r="319" spans="1:72" s="2" customFormat="1" x14ac:dyDescent="0.4">
      <c r="A319" s="2" t="s">
        <v>72</v>
      </c>
      <c r="B319" s="2" t="s">
        <v>4403</v>
      </c>
      <c r="C319" s="2" t="s">
        <v>74</v>
      </c>
      <c r="D319" s="2" t="s">
        <v>74</v>
      </c>
      <c r="E319" s="2" t="s">
        <v>74</v>
      </c>
      <c r="F319" s="2" t="s">
        <v>4403</v>
      </c>
      <c r="G319" s="2" t="s">
        <v>74</v>
      </c>
      <c r="H319" s="2" t="s">
        <v>74</v>
      </c>
      <c r="I319" s="2" t="s">
        <v>4404</v>
      </c>
      <c r="J319" s="2" t="s">
        <v>2152</v>
      </c>
      <c r="K319" s="2" t="s">
        <v>74</v>
      </c>
      <c r="L319" s="2" t="s">
        <v>74</v>
      </c>
      <c r="M319" s="2" t="s">
        <v>74</v>
      </c>
      <c r="N319" s="2" t="s">
        <v>74</v>
      </c>
      <c r="O319" s="2" t="s">
        <v>74</v>
      </c>
      <c r="P319" s="2" t="s">
        <v>74</v>
      </c>
      <c r="Q319" s="2" t="s">
        <v>74</v>
      </c>
      <c r="R319" s="2" t="s">
        <v>74</v>
      </c>
      <c r="S319" s="2" t="s">
        <v>74</v>
      </c>
      <c r="T319" s="2" t="s">
        <v>74</v>
      </c>
      <c r="U319" s="2" t="s">
        <v>74</v>
      </c>
      <c r="V319" s="5" t="s">
        <v>4405</v>
      </c>
      <c r="W319" s="2" t="s">
        <v>74</v>
      </c>
      <c r="X319" s="2" t="s">
        <v>74</v>
      </c>
      <c r="Y319" s="2" t="s">
        <v>74</v>
      </c>
      <c r="Z319" s="2" t="s">
        <v>74</v>
      </c>
      <c r="AA319" s="2" t="s">
        <v>74</v>
      </c>
      <c r="AB319" s="2" t="s">
        <v>74</v>
      </c>
      <c r="AC319" s="2" t="s">
        <v>74</v>
      </c>
      <c r="AD319" s="2" t="s">
        <v>74</v>
      </c>
      <c r="AE319" s="2" t="s">
        <v>74</v>
      </c>
      <c r="AF319" s="2" t="s">
        <v>74</v>
      </c>
      <c r="AG319" s="2" t="s">
        <v>74</v>
      </c>
      <c r="AH319" s="2" t="s">
        <v>74</v>
      </c>
      <c r="AI319" s="2" t="s">
        <v>74</v>
      </c>
      <c r="AJ319" s="2" t="s">
        <v>74</v>
      </c>
      <c r="AK319" s="2" t="s">
        <v>74</v>
      </c>
      <c r="AL319" s="2" t="s">
        <v>74</v>
      </c>
      <c r="AM319" s="2" t="s">
        <v>74</v>
      </c>
      <c r="AN319" s="2" t="s">
        <v>74</v>
      </c>
      <c r="AO319" s="2" t="s">
        <v>2153</v>
      </c>
      <c r="AP319" s="2" t="s">
        <v>74</v>
      </c>
      <c r="AQ319" s="2" t="s">
        <v>74</v>
      </c>
      <c r="AR319" s="2" t="s">
        <v>74</v>
      </c>
      <c r="AS319" s="2" t="s">
        <v>74</v>
      </c>
      <c r="AT319" s="2" t="s">
        <v>74</v>
      </c>
      <c r="AU319" s="2">
        <v>1983</v>
      </c>
      <c r="AV319" s="2">
        <v>32</v>
      </c>
      <c r="AW319" s="2">
        <v>1</v>
      </c>
      <c r="AX319" s="2" t="s">
        <v>74</v>
      </c>
      <c r="AY319" s="2" t="s">
        <v>74</v>
      </c>
      <c r="AZ319" s="2" t="s">
        <v>74</v>
      </c>
      <c r="BA319" s="2" t="s">
        <v>74</v>
      </c>
      <c r="BB319" s="2">
        <v>1</v>
      </c>
      <c r="BC319" s="2">
        <v>12</v>
      </c>
      <c r="BD319" s="2" t="s">
        <v>74</v>
      </c>
      <c r="BE319" s="2" t="s">
        <v>74</v>
      </c>
      <c r="BF319" s="2" t="s">
        <v>74</v>
      </c>
      <c r="BG319" s="2" t="s">
        <v>74</v>
      </c>
      <c r="BH319" s="2" t="s">
        <v>74</v>
      </c>
      <c r="BI319" s="2" t="s">
        <v>74</v>
      </c>
      <c r="BJ319" s="2" t="s">
        <v>74</v>
      </c>
      <c r="BK319" s="2" t="s">
        <v>74</v>
      </c>
      <c r="BL319" s="2" t="s">
        <v>74</v>
      </c>
      <c r="BM319" s="2" t="s">
        <v>74</v>
      </c>
      <c r="BN319" s="2" t="s">
        <v>74</v>
      </c>
      <c r="BO319" s="2" t="s">
        <v>74</v>
      </c>
      <c r="BP319" s="2" t="s">
        <v>74</v>
      </c>
      <c r="BQ319" s="2" t="s">
        <v>74</v>
      </c>
      <c r="BR319" s="2" t="s">
        <v>74</v>
      </c>
      <c r="BS319" s="2" t="s">
        <v>4406</v>
      </c>
      <c r="BT319" s="2" t="str">
        <f>HYPERLINK("https%3A%2F%2Fwww.webofscience.com%2Fwos%2Fwoscc%2Ffull-record%2FWOS:A1983RJ22700001","View Full Record in Web of Science")</f>
        <v>View Full Record in Web of Science</v>
      </c>
    </row>
    <row r="320" spans="1:72" s="2" customFormat="1" x14ac:dyDescent="0.4">
      <c r="A320" s="2" t="s">
        <v>72</v>
      </c>
      <c r="B320" s="2" t="s">
        <v>8007</v>
      </c>
      <c r="C320" s="2" t="s">
        <v>74</v>
      </c>
      <c r="D320" s="2" t="s">
        <v>74</v>
      </c>
      <c r="E320" s="2" t="s">
        <v>74</v>
      </c>
      <c r="F320" s="2" t="s">
        <v>8008</v>
      </c>
      <c r="G320" s="2" t="s">
        <v>74</v>
      </c>
      <c r="H320" s="2" t="s">
        <v>74</v>
      </c>
      <c r="I320" s="2" t="s">
        <v>8009</v>
      </c>
      <c r="J320" s="2" t="s">
        <v>333</v>
      </c>
      <c r="K320" s="2" t="s">
        <v>74</v>
      </c>
      <c r="L320" s="2" t="s">
        <v>74</v>
      </c>
      <c r="M320" s="2" t="s">
        <v>74</v>
      </c>
      <c r="N320" s="2" t="s">
        <v>74</v>
      </c>
      <c r="O320" s="2" t="s">
        <v>74</v>
      </c>
      <c r="P320" s="2" t="s">
        <v>74</v>
      </c>
      <c r="Q320" s="2" t="s">
        <v>74</v>
      </c>
      <c r="R320" s="2" t="s">
        <v>74</v>
      </c>
      <c r="S320" s="2" t="s">
        <v>74</v>
      </c>
      <c r="T320" s="2" t="s">
        <v>74</v>
      </c>
      <c r="U320" s="2" t="s">
        <v>74</v>
      </c>
      <c r="V320" s="5" t="s">
        <v>8010</v>
      </c>
      <c r="W320" s="2" t="s">
        <v>74</v>
      </c>
      <c r="X320" s="2" t="s">
        <v>74</v>
      </c>
      <c r="Y320" s="2" t="s">
        <v>74</v>
      </c>
      <c r="Z320" s="2" t="s">
        <v>74</v>
      </c>
      <c r="AA320" s="2" t="s">
        <v>1416</v>
      </c>
      <c r="AB320" s="2" t="s">
        <v>74</v>
      </c>
      <c r="AC320" s="2" t="s">
        <v>74</v>
      </c>
      <c r="AD320" s="2" t="s">
        <v>74</v>
      </c>
      <c r="AE320" s="2" t="s">
        <v>74</v>
      </c>
      <c r="AF320" s="2" t="s">
        <v>74</v>
      </c>
      <c r="AG320" s="2" t="s">
        <v>74</v>
      </c>
      <c r="AH320" s="2" t="s">
        <v>74</v>
      </c>
      <c r="AI320" s="2" t="s">
        <v>74</v>
      </c>
      <c r="AJ320" s="2" t="s">
        <v>74</v>
      </c>
      <c r="AK320" s="2" t="s">
        <v>74</v>
      </c>
      <c r="AL320" s="2" t="s">
        <v>74</v>
      </c>
      <c r="AM320" s="2" t="s">
        <v>74</v>
      </c>
      <c r="AN320" s="2" t="s">
        <v>74</v>
      </c>
      <c r="AO320" s="2" t="s">
        <v>337</v>
      </c>
      <c r="AP320" s="2" t="s">
        <v>338</v>
      </c>
      <c r="AQ320" s="2" t="s">
        <v>74</v>
      </c>
      <c r="AR320" s="2" t="s">
        <v>74</v>
      </c>
      <c r="AS320" s="2" t="s">
        <v>74</v>
      </c>
      <c r="AT320" s="2" t="s">
        <v>1013</v>
      </c>
      <c r="AU320" s="2">
        <v>2014</v>
      </c>
      <c r="AV320" s="2">
        <v>25</v>
      </c>
      <c r="AW320" s="2">
        <v>5</v>
      </c>
      <c r="AX320" s="2" t="s">
        <v>74</v>
      </c>
      <c r="AY320" s="2" t="s">
        <v>74</v>
      </c>
      <c r="AZ320" s="2" t="s">
        <v>74</v>
      </c>
      <c r="BA320" s="2" t="s">
        <v>74</v>
      </c>
      <c r="BB320" s="2">
        <v>1097</v>
      </c>
      <c r="BC320" s="2">
        <v>1104</v>
      </c>
      <c r="BD320" s="2" t="s">
        <v>74</v>
      </c>
      <c r="BE320" s="2" t="s">
        <v>8011</v>
      </c>
      <c r="BF320" s="2" t="str">
        <f>HYPERLINK("http://dx.doi.org/10.1093/beheco/aru087","http://dx.doi.org/10.1093/beheco/aru087")</f>
        <v>http://dx.doi.org/10.1093/beheco/aru087</v>
      </c>
      <c r="BG320" s="2" t="s">
        <v>74</v>
      </c>
      <c r="BH320" s="2" t="s">
        <v>74</v>
      </c>
      <c r="BI320" s="2" t="s">
        <v>74</v>
      </c>
      <c r="BJ320" s="2" t="s">
        <v>74</v>
      </c>
      <c r="BK320" s="2" t="s">
        <v>74</v>
      </c>
      <c r="BL320" s="2" t="s">
        <v>74</v>
      </c>
      <c r="BM320" s="2" t="s">
        <v>74</v>
      </c>
      <c r="BN320" s="2" t="s">
        <v>74</v>
      </c>
      <c r="BO320" s="2" t="s">
        <v>74</v>
      </c>
      <c r="BP320" s="2" t="s">
        <v>74</v>
      </c>
      <c r="BQ320" s="2" t="s">
        <v>74</v>
      </c>
      <c r="BR320" s="2" t="s">
        <v>74</v>
      </c>
      <c r="BS320" s="2" t="s">
        <v>8012</v>
      </c>
      <c r="BT320" s="2" t="str">
        <f>HYPERLINK("https%3A%2F%2Fwww.webofscience.com%2Fwos%2Fwoscc%2Ffull-record%2FWOS:000342360200015","View Full Record in Web of Science")</f>
        <v>View Full Record in Web of Science</v>
      </c>
    </row>
    <row r="321" spans="1:72" s="2" customFormat="1" x14ac:dyDescent="0.4">
      <c r="A321" s="2" t="s">
        <v>72</v>
      </c>
      <c r="B321" s="2" t="s">
        <v>6217</v>
      </c>
      <c r="C321" s="2" t="s">
        <v>74</v>
      </c>
      <c r="D321" s="2" t="s">
        <v>74</v>
      </c>
      <c r="E321" s="2" t="s">
        <v>74</v>
      </c>
      <c r="F321" s="2" t="s">
        <v>6217</v>
      </c>
      <c r="G321" s="2" t="s">
        <v>74</v>
      </c>
      <c r="H321" s="2" t="s">
        <v>74</v>
      </c>
      <c r="I321" s="2" t="s">
        <v>6218</v>
      </c>
      <c r="J321" s="2" t="s">
        <v>312</v>
      </c>
      <c r="K321" s="2" t="s">
        <v>74</v>
      </c>
      <c r="L321" s="2" t="s">
        <v>74</v>
      </c>
      <c r="M321" s="2" t="s">
        <v>74</v>
      </c>
      <c r="N321" s="2" t="s">
        <v>74</v>
      </c>
      <c r="O321" s="2" t="s">
        <v>74</v>
      </c>
      <c r="P321" s="2" t="s">
        <v>74</v>
      </c>
      <c r="Q321" s="2" t="s">
        <v>74</v>
      </c>
      <c r="R321" s="2" t="s">
        <v>74</v>
      </c>
      <c r="S321" s="2" t="s">
        <v>74</v>
      </c>
      <c r="T321" s="2" t="s">
        <v>74</v>
      </c>
      <c r="U321" s="2" t="s">
        <v>74</v>
      </c>
      <c r="V321" s="5" t="s">
        <v>6219</v>
      </c>
      <c r="W321" s="2" t="s">
        <v>74</v>
      </c>
      <c r="X321" s="2" t="s">
        <v>74</v>
      </c>
      <c r="Y321" s="2" t="s">
        <v>74</v>
      </c>
      <c r="Z321" s="2" t="s">
        <v>74</v>
      </c>
      <c r="AA321" s="2" t="s">
        <v>6220</v>
      </c>
      <c r="AB321" s="2" t="s">
        <v>6221</v>
      </c>
      <c r="AC321" s="2" t="s">
        <v>74</v>
      </c>
      <c r="AD321" s="2" t="s">
        <v>74</v>
      </c>
      <c r="AE321" s="2" t="s">
        <v>74</v>
      </c>
      <c r="AF321" s="2" t="s">
        <v>74</v>
      </c>
      <c r="AG321" s="2" t="s">
        <v>74</v>
      </c>
      <c r="AH321" s="2" t="s">
        <v>74</v>
      </c>
      <c r="AI321" s="2" t="s">
        <v>74</v>
      </c>
      <c r="AJ321" s="2" t="s">
        <v>74</v>
      </c>
      <c r="AK321" s="2" t="s">
        <v>74</v>
      </c>
      <c r="AL321" s="2" t="s">
        <v>74</v>
      </c>
      <c r="AM321" s="2" t="s">
        <v>74</v>
      </c>
      <c r="AN321" s="2" t="s">
        <v>74</v>
      </c>
      <c r="AO321" s="2" t="s">
        <v>314</v>
      </c>
      <c r="AP321" s="2" t="s">
        <v>315</v>
      </c>
      <c r="AQ321" s="2" t="s">
        <v>74</v>
      </c>
      <c r="AR321" s="2" t="s">
        <v>74</v>
      </c>
      <c r="AS321" s="2" t="s">
        <v>74</v>
      </c>
      <c r="AT321" s="2" t="s">
        <v>204</v>
      </c>
      <c r="AU321" s="2">
        <v>2001</v>
      </c>
      <c r="AV321" s="2">
        <v>158</v>
      </c>
      <c r="AW321" s="2">
        <v>1</v>
      </c>
      <c r="AX321" s="2" t="s">
        <v>74</v>
      </c>
      <c r="AY321" s="2" t="s">
        <v>74</v>
      </c>
      <c r="AZ321" s="2" t="s">
        <v>74</v>
      </c>
      <c r="BA321" s="2" t="s">
        <v>74</v>
      </c>
      <c r="BB321" s="2">
        <v>75</v>
      </c>
      <c r="BC321" s="2">
        <v>86</v>
      </c>
      <c r="BD321" s="2" t="s">
        <v>74</v>
      </c>
      <c r="BE321" s="2" t="s">
        <v>6222</v>
      </c>
      <c r="BF321" s="2" t="str">
        <f>HYPERLINK("http://dx.doi.org/10.1086/320861","http://dx.doi.org/10.1086/320861")</f>
        <v>http://dx.doi.org/10.1086/320861</v>
      </c>
      <c r="BG321" s="2" t="s">
        <v>74</v>
      </c>
      <c r="BH321" s="2" t="s">
        <v>74</v>
      </c>
      <c r="BI321" s="2" t="s">
        <v>74</v>
      </c>
      <c r="BJ321" s="2" t="s">
        <v>74</v>
      </c>
      <c r="BK321" s="2" t="s">
        <v>74</v>
      </c>
      <c r="BL321" s="2" t="s">
        <v>74</v>
      </c>
      <c r="BM321" s="2" t="s">
        <v>74</v>
      </c>
      <c r="BN321" s="2">
        <v>18707316</v>
      </c>
      <c r="BO321" s="2" t="s">
        <v>74</v>
      </c>
      <c r="BP321" s="2" t="s">
        <v>74</v>
      </c>
      <c r="BQ321" s="2" t="s">
        <v>74</v>
      </c>
      <c r="BR321" s="2" t="s">
        <v>74</v>
      </c>
      <c r="BS321" s="2" t="s">
        <v>6223</v>
      </c>
      <c r="BT321" s="2" t="str">
        <f>HYPERLINK("https%3A%2F%2Fwww.webofscience.com%2Fwos%2Fwoscc%2Ffull-record%2FWOS:000169198200006","View Full Record in Web of Science")</f>
        <v>View Full Record in Web of Science</v>
      </c>
    </row>
    <row r="322" spans="1:72" s="2" customFormat="1" x14ac:dyDescent="0.4">
      <c r="A322" s="2" t="s">
        <v>72</v>
      </c>
      <c r="B322" s="2" t="s">
        <v>6259</v>
      </c>
      <c r="C322" s="2" t="s">
        <v>74</v>
      </c>
      <c r="D322" s="2" t="s">
        <v>74</v>
      </c>
      <c r="E322" s="2" t="s">
        <v>74</v>
      </c>
      <c r="F322" s="2" t="s">
        <v>6260</v>
      </c>
      <c r="G322" s="2" t="s">
        <v>74</v>
      </c>
      <c r="H322" s="2" t="s">
        <v>74</v>
      </c>
      <c r="I322" s="2" t="s">
        <v>6261</v>
      </c>
      <c r="J322" s="2" t="s">
        <v>6262</v>
      </c>
      <c r="K322" s="2" t="s">
        <v>74</v>
      </c>
      <c r="L322" s="2" t="s">
        <v>74</v>
      </c>
      <c r="M322" s="2" t="s">
        <v>74</v>
      </c>
      <c r="N322" s="2" t="s">
        <v>74</v>
      </c>
      <c r="O322" s="2" t="s">
        <v>74</v>
      </c>
      <c r="P322" s="2" t="s">
        <v>74</v>
      </c>
      <c r="Q322" s="2" t="s">
        <v>74</v>
      </c>
      <c r="R322" s="2" t="s">
        <v>74</v>
      </c>
      <c r="S322" s="2" t="s">
        <v>74</v>
      </c>
      <c r="T322" s="2" t="s">
        <v>74</v>
      </c>
      <c r="U322" s="2" t="s">
        <v>74</v>
      </c>
      <c r="V322" s="5" t="s">
        <v>6263</v>
      </c>
      <c r="W322" s="2" t="s">
        <v>74</v>
      </c>
      <c r="X322" s="2" t="s">
        <v>74</v>
      </c>
      <c r="Y322" s="2" t="s">
        <v>74</v>
      </c>
      <c r="Z322" s="2" t="s">
        <v>74</v>
      </c>
      <c r="AA322" s="2" t="s">
        <v>6264</v>
      </c>
      <c r="AB322" s="2" t="s">
        <v>6265</v>
      </c>
      <c r="AC322" s="2" t="s">
        <v>74</v>
      </c>
      <c r="AD322" s="2" t="s">
        <v>74</v>
      </c>
      <c r="AE322" s="2" t="s">
        <v>74</v>
      </c>
      <c r="AF322" s="2" t="s">
        <v>74</v>
      </c>
      <c r="AG322" s="2" t="s">
        <v>74</v>
      </c>
      <c r="AH322" s="2" t="s">
        <v>74</v>
      </c>
      <c r="AI322" s="2" t="s">
        <v>74</v>
      </c>
      <c r="AJ322" s="2" t="s">
        <v>74</v>
      </c>
      <c r="AK322" s="2" t="s">
        <v>74</v>
      </c>
      <c r="AL322" s="2" t="s">
        <v>74</v>
      </c>
      <c r="AM322" s="2" t="s">
        <v>74</v>
      </c>
      <c r="AN322" s="2" t="s">
        <v>74</v>
      </c>
      <c r="AO322" s="2" t="s">
        <v>6266</v>
      </c>
      <c r="AP322" s="2" t="s">
        <v>74</v>
      </c>
      <c r="AQ322" s="2" t="s">
        <v>74</v>
      </c>
      <c r="AR322" s="2" t="s">
        <v>74</v>
      </c>
      <c r="AS322" s="2" t="s">
        <v>74</v>
      </c>
      <c r="AT322" s="2" t="s">
        <v>305</v>
      </c>
      <c r="AU322" s="2">
        <v>2006</v>
      </c>
      <c r="AV322" s="2">
        <v>29</v>
      </c>
      <c r="AW322" s="2">
        <v>6</v>
      </c>
      <c r="AX322" s="2" t="s">
        <v>74</v>
      </c>
      <c r="AY322" s="2" t="s">
        <v>74</v>
      </c>
      <c r="AZ322" s="2" t="s">
        <v>74</v>
      </c>
      <c r="BA322" s="2" t="s">
        <v>74</v>
      </c>
      <c r="BB322" s="2">
        <v>886</v>
      </c>
      <c r="BC322" s="2">
        <v>898</v>
      </c>
      <c r="BD322" s="2" t="s">
        <v>74</v>
      </c>
      <c r="BE322" s="2" t="s">
        <v>6267</v>
      </c>
      <c r="BF322" s="2" t="str">
        <f>HYPERLINK("http://dx.doi.org/10.1111/j.2006.0906-7590.04816.x","http://dx.doi.org/10.1111/j.2006.0906-7590.04816.x")</f>
        <v>http://dx.doi.org/10.1111/j.2006.0906-7590.04816.x</v>
      </c>
      <c r="BG322" s="2" t="s">
        <v>74</v>
      </c>
      <c r="BH322" s="2" t="s">
        <v>74</v>
      </c>
      <c r="BI322" s="2" t="s">
        <v>74</v>
      </c>
      <c r="BJ322" s="2" t="s">
        <v>74</v>
      </c>
      <c r="BK322" s="2" t="s">
        <v>74</v>
      </c>
      <c r="BL322" s="2" t="s">
        <v>74</v>
      </c>
      <c r="BM322" s="2" t="s">
        <v>74</v>
      </c>
      <c r="BN322" s="2" t="s">
        <v>74</v>
      </c>
      <c r="BO322" s="2" t="s">
        <v>74</v>
      </c>
      <c r="BP322" s="2" t="s">
        <v>74</v>
      </c>
      <c r="BQ322" s="2" t="s">
        <v>74</v>
      </c>
      <c r="BR322" s="2" t="s">
        <v>74</v>
      </c>
      <c r="BS322" s="2" t="s">
        <v>6268</v>
      </c>
      <c r="BT322" s="2" t="str">
        <f>HYPERLINK("https%3A%2F%2Fwww.webofscience.com%2Fwos%2Fwoscc%2Ffull-record%2FWOS:000243634500010","View Full Record in Web of Science")</f>
        <v>View Full Record in Web of Science</v>
      </c>
    </row>
    <row r="323" spans="1:72" s="2" customFormat="1" x14ac:dyDescent="0.4">
      <c r="A323" s="2" t="s">
        <v>72</v>
      </c>
      <c r="B323" s="2" t="s">
        <v>6781</v>
      </c>
      <c r="C323" s="2" t="s">
        <v>74</v>
      </c>
      <c r="D323" s="2" t="s">
        <v>74</v>
      </c>
      <c r="E323" s="2" t="s">
        <v>74</v>
      </c>
      <c r="F323" s="2" t="s">
        <v>6782</v>
      </c>
      <c r="G323" s="2" t="s">
        <v>74</v>
      </c>
      <c r="H323" s="2" t="s">
        <v>74</v>
      </c>
      <c r="I323" s="2" t="s">
        <v>6783</v>
      </c>
      <c r="J323" s="2" t="s">
        <v>367</v>
      </c>
      <c r="K323" s="2" t="s">
        <v>74</v>
      </c>
      <c r="L323" s="2" t="s">
        <v>74</v>
      </c>
      <c r="M323" s="2" t="s">
        <v>74</v>
      </c>
      <c r="N323" s="2" t="s">
        <v>74</v>
      </c>
      <c r="O323" s="2" t="s">
        <v>74</v>
      </c>
      <c r="P323" s="2" t="s">
        <v>74</v>
      </c>
      <c r="Q323" s="2" t="s">
        <v>74</v>
      </c>
      <c r="R323" s="2" t="s">
        <v>74</v>
      </c>
      <c r="S323" s="2" t="s">
        <v>74</v>
      </c>
      <c r="T323" s="2" t="s">
        <v>74</v>
      </c>
      <c r="U323" s="2" t="s">
        <v>74</v>
      </c>
      <c r="V323" s="5" t="s">
        <v>6784</v>
      </c>
      <c r="W323" s="2" t="s">
        <v>74</v>
      </c>
      <c r="X323" s="2" t="s">
        <v>74</v>
      </c>
      <c r="Y323" s="2" t="s">
        <v>74</v>
      </c>
      <c r="Z323" s="2" t="s">
        <v>74</v>
      </c>
      <c r="AA323" s="2" t="s">
        <v>6785</v>
      </c>
      <c r="AB323" s="2" t="s">
        <v>6786</v>
      </c>
      <c r="AC323" s="2" t="s">
        <v>74</v>
      </c>
      <c r="AD323" s="2" t="s">
        <v>74</v>
      </c>
      <c r="AE323" s="2" t="s">
        <v>74</v>
      </c>
      <c r="AF323" s="2" t="s">
        <v>74</v>
      </c>
      <c r="AG323" s="2" t="s">
        <v>74</v>
      </c>
      <c r="AH323" s="2" t="s">
        <v>74</v>
      </c>
      <c r="AI323" s="2" t="s">
        <v>74</v>
      </c>
      <c r="AJ323" s="2" t="s">
        <v>74</v>
      </c>
      <c r="AK323" s="2" t="s">
        <v>74</v>
      </c>
      <c r="AL323" s="2" t="s">
        <v>74</v>
      </c>
      <c r="AM323" s="2" t="s">
        <v>74</v>
      </c>
      <c r="AN323" s="2" t="s">
        <v>74</v>
      </c>
      <c r="AO323" s="2" t="s">
        <v>371</v>
      </c>
      <c r="AP323" s="2" t="s">
        <v>372</v>
      </c>
      <c r="AQ323" s="2" t="s">
        <v>74</v>
      </c>
      <c r="AR323" s="2" t="s">
        <v>74</v>
      </c>
      <c r="AS323" s="2" t="s">
        <v>74</v>
      </c>
      <c r="AT323" s="2" t="s">
        <v>134</v>
      </c>
      <c r="AU323" s="2">
        <v>2019</v>
      </c>
      <c r="AV323" s="2">
        <v>133</v>
      </c>
      <c r="AW323" s="2">
        <v>2</v>
      </c>
      <c r="AX323" s="2" t="s">
        <v>74</v>
      </c>
      <c r="AY323" s="2" t="s">
        <v>74</v>
      </c>
      <c r="AZ323" s="2" t="s">
        <v>74</v>
      </c>
      <c r="BA323" s="2" t="s">
        <v>74</v>
      </c>
      <c r="BB323" s="2">
        <v>262</v>
      </c>
      <c r="BC323" s="2">
        <v>271</v>
      </c>
      <c r="BD323" s="2" t="s">
        <v>74</v>
      </c>
      <c r="BE323" s="2" t="s">
        <v>6787</v>
      </c>
      <c r="BF323" s="2" t="str">
        <f>HYPERLINK("http://dx.doi.org/10.1037/com0000148","http://dx.doi.org/10.1037/com0000148")</f>
        <v>http://dx.doi.org/10.1037/com0000148</v>
      </c>
      <c r="BG323" s="2" t="s">
        <v>74</v>
      </c>
      <c r="BH323" s="2" t="s">
        <v>74</v>
      </c>
      <c r="BI323" s="2" t="s">
        <v>74</v>
      </c>
      <c r="BJ323" s="2" t="s">
        <v>74</v>
      </c>
      <c r="BK323" s="2" t="s">
        <v>74</v>
      </c>
      <c r="BL323" s="2" t="s">
        <v>74</v>
      </c>
      <c r="BM323" s="2" t="s">
        <v>74</v>
      </c>
      <c r="BN323" s="2">
        <v>30550303</v>
      </c>
      <c r="BO323" s="2" t="s">
        <v>74</v>
      </c>
      <c r="BP323" s="2" t="s">
        <v>74</v>
      </c>
      <c r="BQ323" s="2" t="s">
        <v>74</v>
      </c>
      <c r="BR323" s="2" t="s">
        <v>74</v>
      </c>
      <c r="BS323" s="2" t="s">
        <v>6788</v>
      </c>
      <c r="BT323" s="2" t="str">
        <f>HYPERLINK("https%3A%2F%2Fwww.webofscience.com%2Fwos%2Fwoscc%2Ffull-record%2FWOS:000467403500013","View Full Record in Web of Science")</f>
        <v>View Full Record in Web of Science</v>
      </c>
    </row>
    <row r="324" spans="1:72" s="2" customFormat="1" x14ac:dyDescent="0.4">
      <c r="A324" s="2" t="s">
        <v>72</v>
      </c>
      <c r="B324" s="2" t="s">
        <v>8126</v>
      </c>
      <c r="C324" s="2" t="s">
        <v>74</v>
      </c>
      <c r="D324" s="2" t="s">
        <v>74</v>
      </c>
      <c r="E324" s="2" t="s">
        <v>74</v>
      </c>
      <c r="F324" s="2" t="s">
        <v>8127</v>
      </c>
      <c r="G324" s="2" t="s">
        <v>74</v>
      </c>
      <c r="H324" s="2" t="s">
        <v>74</v>
      </c>
      <c r="I324" s="2" t="s">
        <v>8128</v>
      </c>
      <c r="J324" s="2" t="s">
        <v>8129</v>
      </c>
      <c r="K324" s="2" t="s">
        <v>74</v>
      </c>
      <c r="L324" s="2" t="s">
        <v>74</v>
      </c>
      <c r="M324" s="2" t="s">
        <v>74</v>
      </c>
      <c r="N324" s="2" t="s">
        <v>74</v>
      </c>
      <c r="O324" s="2" t="s">
        <v>74</v>
      </c>
      <c r="P324" s="2" t="s">
        <v>74</v>
      </c>
      <c r="Q324" s="2" t="s">
        <v>74</v>
      </c>
      <c r="R324" s="2" t="s">
        <v>74</v>
      </c>
      <c r="S324" s="2" t="s">
        <v>74</v>
      </c>
      <c r="T324" s="2" t="s">
        <v>74</v>
      </c>
      <c r="U324" s="2" t="s">
        <v>74</v>
      </c>
      <c r="V324" s="5" t="s">
        <v>8130</v>
      </c>
      <c r="W324" s="2" t="s">
        <v>74</v>
      </c>
      <c r="X324" s="2" t="s">
        <v>74</v>
      </c>
      <c r="Y324" s="2" t="s">
        <v>74</v>
      </c>
      <c r="Z324" s="2" t="s">
        <v>74</v>
      </c>
      <c r="AA324" s="2" t="s">
        <v>74</v>
      </c>
      <c r="AB324" s="2" t="s">
        <v>74</v>
      </c>
      <c r="AC324" s="2" t="s">
        <v>74</v>
      </c>
      <c r="AD324" s="2" t="s">
        <v>74</v>
      </c>
      <c r="AE324" s="2" t="s">
        <v>74</v>
      </c>
      <c r="AF324" s="2" t="s">
        <v>74</v>
      </c>
      <c r="AG324" s="2" t="s">
        <v>74</v>
      </c>
      <c r="AH324" s="2" t="s">
        <v>74</v>
      </c>
      <c r="AI324" s="2" t="s">
        <v>74</v>
      </c>
      <c r="AJ324" s="2" t="s">
        <v>74</v>
      </c>
      <c r="AK324" s="2" t="s">
        <v>74</v>
      </c>
      <c r="AL324" s="2" t="s">
        <v>74</v>
      </c>
      <c r="AM324" s="2" t="s">
        <v>74</v>
      </c>
      <c r="AN324" s="2" t="s">
        <v>74</v>
      </c>
      <c r="AO324" s="2" t="s">
        <v>8131</v>
      </c>
      <c r="AP324" s="2" t="s">
        <v>8132</v>
      </c>
      <c r="AQ324" s="2" t="s">
        <v>74</v>
      </c>
      <c r="AR324" s="2" t="s">
        <v>74</v>
      </c>
      <c r="AS324" s="2" t="s">
        <v>74</v>
      </c>
      <c r="AT324" s="2" t="s">
        <v>964</v>
      </c>
      <c r="AU324" s="2">
        <v>2020</v>
      </c>
      <c r="AV324" s="2">
        <v>22</v>
      </c>
      <c r="AW324" s="2">
        <v>2</v>
      </c>
      <c r="AX324" s="2" t="s">
        <v>74</v>
      </c>
      <c r="AY324" s="2" t="s">
        <v>74</v>
      </c>
      <c r="AZ324" s="2" t="s">
        <v>74</v>
      </c>
      <c r="BA324" s="2" t="s">
        <v>74</v>
      </c>
      <c r="BB324" s="2">
        <v>783</v>
      </c>
      <c r="BC324" s="2">
        <v>797</v>
      </c>
      <c r="BD324" s="2" t="s">
        <v>74</v>
      </c>
      <c r="BE324" s="2" t="s">
        <v>8133</v>
      </c>
      <c r="BF324" s="2" t="str">
        <f>HYPERLINK("http://dx.doi.org/10.1007/s10530-019-02130-6","http://dx.doi.org/10.1007/s10530-019-02130-6")</f>
        <v>http://dx.doi.org/10.1007/s10530-019-02130-6</v>
      </c>
      <c r="BG324" s="2" t="s">
        <v>74</v>
      </c>
      <c r="BH324" s="2" t="s">
        <v>2283</v>
      </c>
      <c r="BI324" s="2" t="s">
        <v>74</v>
      </c>
      <c r="BJ324" s="2" t="s">
        <v>74</v>
      </c>
      <c r="BK324" s="2" t="s">
        <v>74</v>
      </c>
      <c r="BL324" s="2" t="s">
        <v>74</v>
      </c>
      <c r="BM324" s="2" t="s">
        <v>74</v>
      </c>
      <c r="BN324" s="2" t="s">
        <v>74</v>
      </c>
      <c r="BO324" s="2" t="s">
        <v>74</v>
      </c>
      <c r="BP324" s="2" t="s">
        <v>74</v>
      </c>
      <c r="BQ324" s="2" t="s">
        <v>74</v>
      </c>
      <c r="BR324" s="2" t="s">
        <v>74</v>
      </c>
      <c r="BS324" s="2" t="s">
        <v>8134</v>
      </c>
      <c r="BT324" s="2" t="str">
        <f>HYPERLINK("https%3A%2F%2Fwww.webofscience.com%2Fwos%2Fwoscc%2Ffull-record%2FWOS:000498741600005","View Full Record in Web of Science")</f>
        <v>View Full Record in Web of Science</v>
      </c>
    </row>
    <row r="325" spans="1:72" s="2" customFormat="1" x14ac:dyDescent="0.4">
      <c r="A325" s="2" t="s">
        <v>72</v>
      </c>
      <c r="B325" s="2" t="s">
        <v>4453</v>
      </c>
      <c r="C325" s="2" t="s">
        <v>74</v>
      </c>
      <c r="D325" s="2" t="s">
        <v>74</v>
      </c>
      <c r="E325" s="2" t="s">
        <v>74</v>
      </c>
      <c r="F325" s="2" t="s">
        <v>4454</v>
      </c>
      <c r="G325" s="2" t="s">
        <v>74</v>
      </c>
      <c r="H325" s="2" t="s">
        <v>74</v>
      </c>
      <c r="I325" s="2" t="s">
        <v>4455</v>
      </c>
      <c r="J325" s="2" t="s">
        <v>4456</v>
      </c>
      <c r="K325" s="2" t="s">
        <v>74</v>
      </c>
      <c r="L325" s="2" t="s">
        <v>74</v>
      </c>
      <c r="M325" s="2" t="s">
        <v>74</v>
      </c>
      <c r="N325" s="2" t="s">
        <v>74</v>
      </c>
      <c r="O325" s="2" t="s">
        <v>74</v>
      </c>
      <c r="P325" s="2" t="s">
        <v>74</v>
      </c>
      <c r="Q325" s="2" t="s">
        <v>74</v>
      </c>
      <c r="R325" s="2" t="s">
        <v>74</v>
      </c>
      <c r="S325" s="2" t="s">
        <v>74</v>
      </c>
      <c r="T325" s="2" t="s">
        <v>74</v>
      </c>
      <c r="U325" s="2" t="s">
        <v>74</v>
      </c>
      <c r="V325" s="5" t="s">
        <v>4457</v>
      </c>
      <c r="W325" s="2" t="s">
        <v>74</v>
      </c>
      <c r="X325" s="2" t="s">
        <v>74</v>
      </c>
      <c r="Y325" s="2" t="s">
        <v>74</v>
      </c>
      <c r="Z325" s="2" t="s">
        <v>74</v>
      </c>
      <c r="AA325" s="2" t="s">
        <v>4458</v>
      </c>
      <c r="AB325" s="2" t="s">
        <v>4459</v>
      </c>
      <c r="AC325" s="2" t="s">
        <v>74</v>
      </c>
      <c r="AD325" s="2" t="s">
        <v>74</v>
      </c>
      <c r="AE325" s="2" t="s">
        <v>74</v>
      </c>
      <c r="AF325" s="2" t="s">
        <v>74</v>
      </c>
      <c r="AG325" s="2" t="s">
        <v>74</v>
      </c>
      <c r="AH325" s="2" t="s">
        <v>74</v>
      </c>
      <c r="AI325" s="2" t="s">
        <v>74</v>
      </c>
      <c r="AJ325" s="2" t="s">
        <v>74</v>
      </c>
      <c r="AK325" s="2" t="s">
        <v>74</v>
      </c>
      <c r="AL325" s="2" t="s">
        <v>74</v>
      </c>
      <c r="AM325" s="2" t="s">
        <v>74</v>
      </c>
      <c r="AN325" s="2" t="s">
        <v>74</v>
      </c>
      <c r="AO325" s="2" t="s">
        <v>4460</v>
      </c>
      <c r="AP325" s="2" t="s">
        <v>4461</v>
      </c>
      <c r="AQ325" s="2" t="s">
        <v>74</v>
      </c>
      <c r="AR325" s="2" t="s">
        <v>74</v>
      </c>
      <c r="AS325" s="2" t="s">
        <v>74</v>
      </c>
      <c r="AT325" s="2" t="s">
        <v>3445</v>
      </c>
      <c r="AU325" s="2">
        <v>2011</v>
      </c>
      <c r="AV325" s="2">
        <v>239</v>
      </c>
      <c r="AW325" s="2">
        <v>6</v>
      </c>
      <c r="AX325" s="2" t="s">
        <v>74</v>
      </c>
      <c r="AY325" s="2" t="s">
        <v>74</v>
      </c>
      <c r="AZ325" s="2" t="s">
        <v>74</v>
      </c>
      <c r="BA325" s="2" t="s">
        <v>74</v>
      </c>
      <c r="BB325" s="2">
        <v>796</v>
      </c>
      <c r="BC325" s="2">
        <v>801</v>
      </c>
      <c r="BD325" s="2" t="s">
        <v>74</v>
      </c>
      <c r="BE325" s="2" t="s">
        <v>74</v>
      </c>
      <c r="BF325" s="2" t="s">
        <v>74</v>
      </c>
      <c r="BG325" s="2" t="s">
        <v>74</v>
      </c>
      <c r="BH325" s="2" t="s">
        <v>74</v>
      </c>
      <c r="BI325" s="2" t="s">
        <v>74</v>
      </c>
      <c r="BJ325" s="2" t="s">
        <v>74</v>
      </c>
      <c r="BK325" s="2" t="s">
        <v>74</v>
      </c>
      <c r="BL325" s="2" t="s">
        <v>74</v>
      </c>
      <c r="BM325" s="2" t="s">
        <v>74</v>
      </c>
      <c r="BN325" s="2">
        <v>21916762</v>
      </c>
      <c r="BO325" s="2" t="s">
        <v>74</v>
      </c>
      <c r="BP325" s="2" t="s">
        <v>74</v>
      </c>
      <c r="BQ325" s="2" t="s">
        <v>74</v>
      </c>
      <c r="BR325" s="2" t="s">
        <v>74</v>
      </c>
      <c r="BS325" s="2" t="s">
        <v>4462</v>
      </c>
      <c r="BT325" s="2" t="str">
        <f>HYPERLINK("https%3A%2F%2Fwww.webofscience.com%2Fwos%2Fwoscc%2Ffull-record%2FWOS:000294792100008","View Full Record in Web of Science")</f>
        <v>View Full Record in Web of Science</v>
      </c>
    </row>
    <row r="326" spans="1:72" s="2" customFormat="1" x14ac:dyDescent="0.4">
      <c r="A326" s="2" t="s">
        <v>72</v>
      </c>
      <c r="B326" s="2" t="s">
        <v>7609</v>
      </c>
      <c r="C326" s="2" t="s">
        <v>74</v>
      </c>
      <c r="D326" s="2" t="s">
        <v>74</v>
      </c>
      <c r="E326" s="2" t="s">
        <v>74</v>
      </c>
      <c r="F326" s="2" t="s">
        <v>7610</v>
      </c>
      <c r="G326" s="2" t="s">
        <v>74</v>
      </c>
      <c r="H326" s="2" t="s">
        <v>74</v>
      </c>
      <c r="I326" s="2" t="s">
        <v>7611</v>
      </c>
      <c r="J326" s="2" t="s">
        <v>7612</v>
      </c>
      <c r="K326" s="2" t="s">
        <v>74</v>
      </c>
      <c r="L326" s="2" t="s">
        <v>74</v>
      </c>
      <c r="M326" s="2" t="s">
        <v>74</v>
      </c>
      <c r="N326" s="2" t="s">
        <v>74</v>
      </c>
      <c r="O326" s="2" t="s">
        <v>74</v>
      </c>
      <c r="P326" s="2" t="s">
        <v>74</v>
      </c>
      <c r="Q326" s="2" t="s">
        <v>74</v>
      </c>
      <c r="R326" s="2" t="s">
        <v>74</v>
      </c>
      <c r="S326" s="2" t="s">
        <v>74</v>
      </c>
      <c r="T326" s="2" t="s">
        <v>74</v>
      </c>
      <c r="U326" s="2" t="s">
        <v>74</v>
      </c>
      <c r="V326" s="5" t="s">
        <v>7613</v>
      </c>
      <c r="W326" s="2" t="s">
        <v>74</v>
      </c>
      <c r="X326" s="2" t="s">
        <v>74</v>
      </c>
      <c r="Y326" s="2" t="s">
        <v>74</v>
      </c>
      <c r="Z326" s="2" t="s">
        <v>74</v>
      </c>
      <c r="AA326" s="2" t="s">
        <v>74</v>
      </c>
      <c r="AB326" s="2" t="s">
        <v>7614</v>
      </c>
      <c r="AC326" s="2" t="s">
        <v>74</v>
      </c>
      <c r="AD326" s="2" t="s">
        <v>74</v>
      </c>
      <c r="AE326" s="2" t="s">
        <v>74</v>
      </c>
      <c r="AF326" s="2" t="s">
        <v>74</v>
      </c>
      <c r="AG326" s="2" t="s">
        <v>74</v>
      </c>
      <c r="AH326" s="2" t="s">
        <v>74</v>
      </c>
      <c r="AI326" s="2" t="s">
        <v>74</v>
      </c>
      <c r="AJ326" s="2" t="s">
        <v>74</v>
      </c>
      <c r="AK326" s="2" t="s">
        <v>74</v>
      </c>
      <c r="AL326" s="2" t="s">
        <v>74</v>
      </c>
      <c r="AM326" s="2" t="s">
        <v>74</v>
      </c>
      <c r="AN326" s="2" t="s">
        <v>74</v>
      </c>
      <c r="AO326" s="2" t="s">
        <v>7615</v>
      </c>
      <c r="AP326" s="2" t="s">
        <v>7616</v>
      </c>
      <c r="AQ326" s="2" t="s">
        <v>74</v>
      </c>
      <c r="AR326" s="2" t="s">
        <v>74</v>
      </c>
      <c r="AS326" s="2" t="s">
        <v>74</v>
      </c>
      <c r="AT326" s="2" t="s">
        <v>305</v>
      </c>
      <c r="AU326" s="2">
        <v>2019</v>
      </c>
      <c r="AV326" s="2">
        <v>35</v>
      </c>
      <c r="AW326" s="2">
        <v>6</v>
      </c>
      <c r="AX326" s="2" t="s">
        <v>74</v>
      </c>
      <c r="AY326" s="2" t="s">
        <v>74</v>
      </c>
      <c r="AZ326" s="2" t="s">
        <v>74</v>
      </c>
      <c r="BA326" s="2" t="s">
        <v>74</v>
      </c>
      <c r="BB326" s="2">
        <v>1225</v>
      </c>
      <c r="BC326" s="2">
        <v>1233</v>
      </c>
      <c r="BD326" s="2" t="s">
        <v>74</v>
      </c>
      <c r="BE326" s="2" t="s">
        <v>7617</v>
      </c>
      <c r="BF326" s="2" t="str">
        <f>HYPERLINK("http://dx.doi.org/10.1111/jai.13982","http://dx.doi.org/10.1111/jai.13982")</f>
        <v>http://dx.doi.org/10.1111/jai.13982</v>
      </c>
      <c r="BG326" s="2" t="s">
        <v>74</v>
      </c>
      <c r="BH326" s="2" t="s">
        <v>74</v>
      </c>
      <c r="BI326" s="2" t="s">
        <v>74</v>
      </c>
      <c r="BJ326" s="2" t="s">
        <v>74</v>
      </c>
      <c r="BK326" s="2" t="s">
        <v>74</v>
      </c>
      <c r="BL326" s="2" t="s">
        <v>74</v>
      </c>
      <c r="BM326" s="2" t="s">
        <v>74</v>
      </c>
      <c r="BN326" s="2" t="s">
        <v>74</v>
      </c>
      <c r="BO326" s="2" t="s">
        <v>74</v>
      </c>
      <c r="BP326" s="2" t="s">
        <v>74</v>
      </c>
      <c r="BQ326" s="2" t="s">
        <v>74</v>
      </c>
      <c r="BR326" s="2" t="s">
        <v>74</v>
      </c>
      <c r="BS326" s="2" t="s">
        <v>7618</v>
      </c>
      <c r="BT326" s="2" t="str">
        <f>HYPERLINK("https%3A%2F%2Fwww.webofscience.com%2Fwos%2Fwoscc%2Ffull-record%2FWOS:000499266300006","View Full Record in Web of Science")</f>
        <v>View Full Record in Web of Science</v>
      </c>
    </row>
    <row r="327" spans="1:72" s="7" customFormat="1" x14ac:dyDescent="0.4">
      <c r="A327" s="2" t="s">
        <v>72</v>
      </c>
      <c r="B327" s="2" t="s">
        <v>7643</v>
      </c>
      <c r="C327" s="2" t="s">
        <v>74</v>
      </c>
      <c r="D327" s="2" t="s">
        <v>74</v>
      </c>
      <c r="E327" s="2" t="s">
        <v>74</v>
      </c>
      <c r="F327" s="2" t="s">
        <v>7643</v>
      </c>
      <c r="G327" s="2" t="s">
        <v>74</v>
      </c>
      <c r="H327" s="2" t="s">
        <v>74</v>
      </c>
      <c r="I327" s="2" t="s">
        <v>7644</v>
      </c>
      <c r="J327" s="2" t="s">
        <v>431</v>
      </c>
      <c r="K327" s="2" t="s">
        <v>74</v>
      </c>
      <c r="L327" s="2" t="s">
        <v>74</v>
      </c>
      <c r="M327" s="2" t="s">
        <v>74</v>
      </c>
      <c r="N327" s="2" t="s">
        <v>74</v>
      </c>
      <c r="O327" s="2" t="s">
        <v>74</v>
      </c>
      <c r="P327" s="2" t="s">
        <v>74</v>
      </c>
      <c r="Q327" s="2" t="s">
        <v>74</v>
      </c>
      <c r="R327" s="2" t="s">
        <v>74</v>
      </c>
      <c r="S327" s="2" t="s">
        <v>74</v>
      </c>
      <c r="T327" s="2" t="s">
        <v>74</v>
      </c>
      <c r="U327" s="2" t="s">
        <v>74</v>
      </c>
      <c r="V327" s="5" t="s">
        <v>7645</v>
      </c>
      <c r="W327" s="2" t="s">
        <v>74</v>
      </c>
      <c r="X327" s="2" t="s">
        <v>74</v>
      </c>
      <c r="Y327" s="2" t="s">
        <v>74</v>
      </c>
      <c r="Z327" s="2" t="s">
        <v>74</v>
      </c>
      <c r="AA327" s="2" t="s">
        <v>74</v>
      </c>
      <c r="AB327" s="2" t="s">
        <v>74</v>
      </c>
      <c r="AC327" s="2" t="s">
        <v>74</v>
      </c>
      <c r="AD327" s="2" t="s">
        <v>74</v>
      </c>
      <c r="AE327" s="2" t="s">
        <v>74</v>
      </c>
      <c r="AF327" s="2" t="s">
        <v>74</v>
      </c>
      <c r="AG327" s="2" t="s">
        <v>74</v>
      </c>
      <c r="AH327" s="2" t="s">
        <v>74</v>
      </c>
      <c r="AI327" s="2" t="s">
        <v>74</v>
      </c>
      <c r="AJ327" s="2" t="s">
        <v>74</v>
      </c>
      <c r="AK327" s="2" t="s">
        <v>74</v>
      </c>
      <c r="AL327" s="2" t="s">
        <v>74</v>
      </c>
      <c r="AM327" s="2" t="s">
        <v>74</v>
      </c>
      <c r="AN327" s="2" t="s">
        <v>74</v>
      </c>
      <c r="AO327" s="2" t="s">
        <v>74</v>
      </c>
      <c r="AP327" s="2" t="s">
        <v>435</v>
      </c>
      <c r="AQ327" s="2" t="s">
        <v>74</v>
      </c>
      <c r="AR327" s="2" t="s">
        <v>74</v>
      </c>
      <c r="AS327" s="2" t="s">
        <v>74</v>
      </c>
      <c r="AT327" s="2" t="s">
        <v>74</v>
      </c>
      <c r="AU327" s="2">
        <v>1965</v>
      </c>
      <c r="AV327" s="2">
        <v>82</v>
      </c>
      <c r="AW327" s="2">
        <v>4</v>
      </c>
      <c r="AX327" s="2" t="s">
        <v>74</v>
      </c>
      <c r="AY327" s="2" t="s">
        <v>74</v>
      </c>
      <c r="AZ327" s="2" t="s">
        <v>74</v>
      </c>
      <c r="BA327" s="2" t="s">
        <v>74</v>
      </c>
      <c r="BB327" s="2">
        <v>537</v>
      </c>
      <c r="BC327" s="2" t="s">
        <v>726</v>
      </c>
      <c r="BD327" s="2" t="s">
        <v>74</v>
      </c>
      <c r="BE327" s="2" t="s">
        <v>7646</v>
      </c>
      <c r="BF327" s="2" t="str">
        <f>HYPERLINK("http://dx.doi.org/10.2307/4083220","http://dx.doi.org/10.2307/4083220")</f>
        <v>http://dx.doi.org/10.2307/4083220</v>
      </c>
      <c r="BG327" s="2" t="s">
        <v>74</v>
      </c>
      <c r="BH327" s="2" t="s">
        <v>74</v>
      </c>
      <c r="BI327" s="2" t="s">
        <v>74</v>
      </c>
      <c r="BJ327" s="2" t="s">
        <v>74</v>
      </c>
      <c r="BK327" s="2" t="s">
        <v>74</v>
      </c>
      <c r="BL327" s="2" t="s">
        <v>74</v>
      </c>
      <c r="BM327" s="2" t="s">
        <v>74</v>
      </c>
      <c r="BN327" s="2" t="s">
        <v>74</v>
      </c>
      <c r="BO327" s="2" t="s">
        <v>74</v>
      </c>
      <c r="BP327" s="2" t="s">
        <v>74</v>
      </c>
      <c r="BQ327" s="2" t="s">
        <v>74</v>
      </c>
      <c r="BR327" s="2" t="s">
        <v>74</v>
      </c>
      <c r="BS327" s="2" t="s">
        <v>7647</v>
      </c>
      <c r="BT327" s="2" t="str">
        <f>HYPERLINK("https%3A%2F%2Fwww.webofscience.com%2Fwos%2Fwoscc%2Ffull-record%2FWOS:A19657680200001","View Full Record in Web of Science")</f>
        <v>View Full Record in Web of Science</v>
      </c>
    </row>
    <row r="328" spans="1:72" s="2" customFormat="1" x14ac:dyDescent="0.4">
      <c r="A328" s="2" t="s">
        <v>72</v>
      </c>
      <c r="B328" s="2" t="s">
        <v>1176</v>
      </c>
      <c r="C328" s="2" t="s">
        <v>74</v>
      </c>
      <c r="D328" s="2" t="s">
        <v>74</v>
      </c>
      <c r="E328" s="2" t="s">
        <v>74</v>
      </c>
      <c r="F328" s="2" t="s">
        <v>1176</v>
      </c>
      <c r="G328" s="2" t="s">
        <v>74</v>
      </c>
      <c r="H328" s="2" t="s">
        <v>74</v>
      </c>
      <c r="I328" s="2" t="s">
        <v>1177</v>
      </c>
      <c r="J328" s="2" t="s">
        <v>119</v>
      </c>
      <c r="K328" s="2" t="s">
        <v>74</v>
      </c>
      <c r="L328" s="2" t="s">
        <v>74</v>
      </c>
      <c r="M328" s="2" t="s">
        <v>74</v>
      </c>
      <c r="N328" s="2" t="s">
        <v>74</v>
      </c>
      <c r="O328" s="2" t="s">
        <v>74</v>
      </c>
      <c r="P328" s="2" t="s">
        <v>74</v>
      </c>
      <c r="Q328" s="2" t="s">
        <v>74</v>
      </c>
      <c r="R328" s="2" t="s">
        <v>74</v>
      </c>
      <c r="S328" s="2" t="s">
        <v>74</v>
      </c>
      <c r="T328" s="2" t="s">
        <v>74</v>
      </c>
      <c r="U328" s="2" t="s">
        <v>74</v>
      </c>
      <c r="V328" s="5" t="s">
        <v>1178</v>
      </c>
      <c r="W328" s="2" t="s">
        <v>74</v>
      </c>
      <c r="X328" s="2" t="s">
        <v>74</v>
      </c>
      <c r="Y328" s="2" t="s">
        <v>74</v>
      </c>
      <c r="Z328" s="2" t="s">
        <v>74</v>
      </c>
      <c r="AA328" s="2" t="s">
        <v>74</v>
      </c>
      <c r="AB328" s="2" t="s">
        <v>74</v>
      </c>
      <c r="AC328" s="2" t="s">
        <v>74</v>
      </c>
      <c r="AD328" s="2" t="s">
        <v>74</v>
      </c>
      <c r="AE328" s="2" t="s">
        <v>74</v>
      </c>
      <c r="AF328" s="2" t="s">
        <v>74</v>
      </c>
      <c r="AG328" s="2" t="s">
        <v>74</v>
      </c>
      <c r="AH328" s="2" t="s">
        <v>74</v>
      </c>
      <c r="AI328" s="2" t="s">
        <v>74</v>
      </c>
      <c r="AJ328" s="2" t="s">
        <v>74</v>
      </c>
      <c r="AK328" s="2" t="s">
        <v>74</v>
      </c>
      <c r="AL328" s="2" t="s">
        <v>74</v>
      </c>
      <c r="AM328" s="2" t="s">
        <v>74</v>
      </c>
      <c r="AN328" s="2" t="s">
        <v>74</v>
      </c>
      <c r="AO328" s="2" t="s">
        <v>121</v>
      </c>
      <c r="AP328" s="2" t="s">
        <v>74</v>
      </c>
      <c r="AQ328" s="2" t="s">
        <v>74</v>
      </c>
      <c r="AR328" s="2" t="s">
        <v>74</v>
      </c>
      <c r="AS328" s="2" t="s">
        <v>74</v>
      </c>
      <c r="AT328" s="2" t="s">
        <v>305</v>
      </c>
      <c r="AU328" s="2">
        <v>1993</v>
      </c>
      <c r="AV328" s="2">
        <v>30</v>
      </c>
      <c r="AW328" s="2">
        <v>3</v>
      </c>
      <c r="AX328" s="2" t="s">
        <v>74</v>
      </c>
      <c r="AY328" s="2" t="s">
        <v>74</v>
      </c>
      <c r="AZ328" s="2" t="s">
        <v>74</v>
      </c>
      <c r="BA328" s="2" t="s">
        <v>74</v>
      </c>
      <c r="BB328" s="2">
        <v>245</v>
      </c>
      <c r="BC328" s="2">
        <v>251</v>
      </c>
      <c r="BD328" s="2" t="s">
        <v>74</v>
      </c>
      <c r="BE328" s="2" t="s">
        <v>1179</v>
      </c>
      <c r="BF328" s="2" t="str">
        <f>HYPERLINK("http://dx.doi.org/10.1016/0376-6357(93)90136-F","http://dx.doi.org/10.1016/0376-6357(93)90136-F")</f>
        <v>http://dx.doi.org/10.1016/0376-6357(93)90136-F</v>
      </c>
      <c r="BG328" s="2" t="s">
        <v>74</v>
      </c>
      <c r="BH328" s="2" t="s">
        <v>74</v>
      </c>
      <c r="BI328" s="2" t="s">
        <v>74</v>
      </c>
      <c r="BJ328" s="2" t="s">
        <v>74</v>
      </c>
      <c r="BK328" s="2" t="s">
        <v>74</v>
      </c>
      <c r="BL328" s="2" t="s">
        <v>74</v>
      </c>
      <c r="BM328" s="2" t="s">
        <v>74</v>
      </c>
      <c r="BN328" s="2">
        <v>24896948</v>
      </c>
      <c r="BO328" s="2" t="s">
        <v>74</v>
      </c>
      <c r="BP328" s="2" t="s">
        <v>74</v>
      </c>
      <c r="BQ328" s="2" t="s">
        <v>74</v>
      </c>
      <c r="BR328" s="2" t="s">
        <v>74</v>
      </c>
      <c r="BS328" s="2" t="s">
        <v>1180</v>
      </c>
      <c r="BT328" s="2" t="str">
        <f>HYPERLINK("https%3A%2F%2Fwww.webofscience.com%2Fwos%2Fwoscc%2Ffull-record%2FWOS:A1993MR36400005","View Full Record in Web of Science")</f>
        <v>View Full Record in Web of Science</v>
      </c>
    </row>
    <row r="329" spans="1:72" s="7" customFormat="1" x14ac:dyDescent="0.4">
      <c r="A329" s="2" t="s">
        <v>72</v>
      </c>
      <c r="B329" s="2" t="s">
        <v>4379</v>
      </c>
      <c r="C329" s="2" t="s">
        <v>74</v>
      </c>
      <c r="D329" s="2" t="s">
        <v>74</v>
      </c>
      <c r="E329" s="2" t="s">
        <v>74</v>
      </c>
      <c r="F329" s="2" t="s">
        <v>4379</v>
      </c>
      <c r="G329" s="2" t="s">
        <v>74</v>
      </c>
      <c r="H329" s="2" t="s">
        <v>74</v>
      </c>
      <c r="I329" s="2" t="s">
        <v>4380</v>
      </c>
      <c r="J329" s="2" t="s">
        <v>509</v>
      </c>
      <c r="K329" s="2" t="s">
        <v>74</v>
      </c>
      <c r="L329" s="2" t="s">
        <v>74</v>
      </c>
      <c r="M329" s="2" t="s">
        <v>74</v>
      </c>
      <c r="N329" s="2" t="s">
        <v>74</v>
      </c>
      <c r="O329" s="2" t="s">
        <v>74</v>
      </c>
      <c r="P329" s="2" t="s">
        <v>74</v>
      </c>
      <c r="Q329" s="2" t="s">
        <v>74</v>
      </c>
      <c r="R329" s="2" t="s">
        <v>74</v>
      </c>
      <c r="S329" s="2" t="s">
        <v>74</v>
      </c>
      <c r="T329" s="2" t="s">
        <v>74</v>
      </c>
      <c r="U329" s="2" t="s">
        <v>74</v>
      </c>
      <c r="V329" s="5" t="s">
        <v>4381</v>
      </c>
      <c r="W329" s="2" t="s">
        <v>74</v>
      </c>
      <c r="X329" s="2" t="s">
        <v>74</v>
      </c>
      <c r="Y329" s="2" t="s">
        <v>74</v>
      </c>
      <c r="Z329" s="2" t="s">
        <v>74</v>
      </c>
      <c r="AA329" s="2" t="s">
        <v>4382</v>
      </c>
      <c r="AB329" s="2" t="s">
        <v>4383</v>
      </c>
      <c r="AC329" s="2" t="s">
        <v>74</v>
      </c>
      <c r="AD329" s="2" t="s">
        <v>74</v>
      </c>
      <c r="AE329" s="2" t="s">
        <v>74</v>
      </c>
      <c r="AF329" s="2" t="s">
        <v>74</v>
      </c>
      <c r="AG329" s="2" t="s">
        <v>74</v>
      </c>
      <c r="AH329" s="2" t="s">
        <v>74</v>
      </c>
      <c r="AI329" s="2" t="s">
        <v>74</v>
      </c>
      <c r="AJ329" s="2" t="s">
        <v>74</v>
      </c>
      <c r="AK329" s="2" t="s">
        <v>74</v>
      </c>
      <c r="AL329" s="2" t="s">
        <v>74</v>
      </c>
      <c r="AM329" s="2" t="s">
        <v>74</v>
      </c>
      <c r="AN329" s="2" t="s">
        <v>74</v>
      </c>
      <c r="AO329" s="2" t="s">
        <v>511</v>
      </c>
      <c r="AP329" s="2" t="s">
        <v>512</v>
      </c>
      <c r="AQ329" s="2" t="s">
        <v>74</v>
      </c>
      <c r="AR329" s="2" t="s">
        <v>74</v>
      </c>
      <c r="AS329" s="2" t="s">
        <v>74</v>
      </c>
      <c r="AT329" s="2" t="s">
        <v>964</v>
      </c>
      <c r="AU329" s="2">
        <v>2006</v>
      </c>
      <c r="AV329" s="2">
        <v>49</v>
      </c>
      <c r="AW329" s="2">
        <v>2</v>
      </c>
      <c r="AX329" s="2" t="s">
        <v>74</v>
      </c>
      <c r="AY329" s="2" t="s">
        <v>74</v>
      </c>
      <c r="AZ329" s="2" t="s">
        <v>74</v>
      </c>
      <c r="BA329" s="2" t="s">
        <v>74</v>
      </c>
      <c r="BB329" s="2">
        <v>223</v>
      </c>
      <c r="BC329" s="2">
        <v>232</v>
      </c>
      <c r="BD329" s="2" t="s">
        <v>74</v>
      </c>
      <c r="BE329" s="2" t="s">
        <v>4384</v>
      </c>
      <c r="BF329" s="2" t="str">
        <f>HYPERLINK("http://dx.doi.org/10.1016/j.yhbeh.2005.07.006","http://dx.doi.org/10.1016/j.yhbeh.2005.07.006")</f>
        <v>http://dx.doi.org/10.1016/j.yhbeh.2005.07.006</v>
      </c>
      <c r="BG329" s="2" t="s">
        <v>74</v>
      </c>
      <c r="BH329" s="2" t="s">
        <v>74</v>
      </c>
      <c r="BI329" s="2" t="s">
        <v>74</v>
      </c>
      <c r="BJ329" s="2" t="s">
        <v>74</v>
      </c>
      <c r="BK329" s="2" t="s">
        <v>74</v>
      </c>
      <c r="BL329" s="2" t="s">
        <v>74</v>
      </c>
      <c r="BM329" s="2" t="s">
        <v>74</v>
      </c>
      <c r="BN329" s="2">
        <v>16085049</v>
      </c>
      <c r="BO329" s="2" t="s">
        <v>74</v>
      </c>
      <c r="BP329" s="2" t="s">
        <v>74</v>
      </c>
      <c r="BQ329" s="2" t="s">
        <v>74</v>
      </c>
      <c r="BR329" s="2" t="s">
        <v>74</v>
      </c>
      <c r="BS329" s="2" t="s">
        <v>4385</v>
      </c>
      <c r="BT329" s="2" t="str">
        <f>HYPERLINK("https%3A%2F%2Fwww.webofscience.com%2Fwos%2Fwoscc%2Ffull-record%2FWOS:000235502600013","View Full Record in Web of Science")</f>
        <v>View Full Record in Web of Science</v>
      </c>
    </row>
    <row r="330" spans="1:72" s="2" customFormat="1" x14ac:dyDescent="0.4">
      <c r="A330" s="2" t="s">
        <v>72</v>
      </c>
      <c r="B330" s="2" t="s">
        <v>2786</v>
      </c>
      <c r="C330" s="2" t="s">
        <v>74</v>
      </c>
      <c r="D330" s="2" t="s">
        <v>74</v>
      </c>
      <c r="E330" s="2" t="s">
        <v>74</v>
      </c>
      <c r="F330" s="2" t="s">
        <v>2787</v>
      </c>
      <c r="G330" s="2" t="s">
        <v>74</v>
      </c>
      <c r="H330" s="2" t="s">
        <v>74</v>
      </c>
      <c r="I330" s="2" t="s">
        <v>2788</v>
      </c>
      <c r="J330" s="2" t="s">
        <v>842</v>
      </c>
      <c r="K330" s="2" t="s">
        <v>74</v>
      </c>
      <c r="L330" s="2" t="s">
        <v>74</v>
      </c>
      <c r="M330" s="2" t="s">
        <v>74</v>
      </c>
      <c r="N330" s="2" t="s">
        <v>74</v>
      </c>
      <c r="O330" s="2" t="s">
        <v>74</v>
      </c>
      <c r="P330" s="2" t="s">
        <v>74</v>
      </c>
      <c r="Q330" s="2" t="s">
        <v>74</v>
      </c>
      <c r="R330" s="2" t="s">
        <v>74</v>
      </c>
      <c r="S330" s="2" t="s">
        <v>74</v>
      </c>
      <c r="T330" s="2" t="s">
        <v>74</v>
      </c>
      <c r="U330" s="2" t="s">
        <v>74</v>
      </c>
      <c r="V330" s="5" t="s">
        <v>2789</v>
      </c>
      <c r="W330" s="2" t="s">
        <v>74</v>
      </c>
      <c r="X330" s="2" t="s">
        <v>74</v>
      </c>
      <c r="Y330" s="2" t="s">
        <v>74</v>
      </c>
      <c r="Z330" s="2" t="s">
        <v>74</v>
      </c>
      <c r="AA330" s="2" t="s">
        <v>2790</v>
      </c>
      <c r="AB330" s="2" t="s">
        <v>2791</v>
      </c>
      <c r="AC330" s="2" t="s">
        <v>74</v>
      </c>
      <c r="AD330" s="2" t="s">
        <v>74</v>
      </c>
      <c r="AE330" s="2" t="s">
        <v>74</v>
      </c>
      <c r="AF330" s="2" t="s">
        <v>74</v>
      </c>
      <c r="AG330" s="2" t="s">
        <v>74</v>
      </c>
      <c r="AH330" s="2" t="s">
        <v>74</v>
      </c>
      <c r="AI330" s="2" t="s">
        <v>74</v>
      </c>
      <c r="AJ330" s="2" t="s">
        <v>74</v>
      </c>
      <c r="AK330" s="2" t="s">
        <v>74</v>
      </c>
      <c r="AL330" s="2" t="s">
        <v>74</v>
      </c>
      <c r="AM330" s="2" t="s">
        <v>74</v>
      </c>
      <c r="AN330" s="2" t="s">
        <v>74</v>
      </c>
      <c r="AO330" s="2" t="s">
        <v>846</v>
      </c>
      <c r="AP330" s="2" t="s">
        <v>847</v>
      </c>
      <c r="AQ330" s="2" t="s">
        <v>74</v>
      </c>
      <c r="AR330" s="2" t="s">
        <v>74</v>
      </c>
      <c r="AS330" s="2" t="s">
        <v>74</v>
      </c>
      <c r="AT330" s="2" t="s">
        <v>305</v>
      </c>
      <c r="AU330" s="2">
        <v>2006</v>
      </c>
      <c r="AV330" s="2">
        <v>68</v>
      </c>
      <c r="AW330" s="2">
        <v>12</v>
      </c>
      <c r="AX330" s="2" t="s">
        <v>74</v>
      </c>
      <c r="AY330" s="2" t="s">
        <v>74</v>
      </c>
      <c r="AZ330" s="2" t="s">
        <v>74</v>
      </c>
      <c r="BA330" s="2" t="s">
        <v>74</v>
      </c>
      <c r="BB330" s="2">
        <v>1129</v>
      </c>
      <c r="BC330" s="2">
        <v>1137</v>
      </c>
      <c r="BD330" s="2" t="s">
        <v>74</v>
      </c>
      <c r="BE330" s="2" t="s">
        <v>2792</v>
      </c>
      <c r="BF330" s="2" t="str">
        <f>HYPERLINK("http://dx.doi.org/10.1002/ajp.20312","http://dx.doi.org/10.1002/ajp.20312")</f>
        <v>http://dx.doi.org/10.1002/ajp.20312</v>
      </c>
      <c r="BG330" s="2" t="s">
        <v>74</v>
      </c>
      <c r="BH330" s="2" t="s">
        <v>74</v>
      </c>
      <c r="BI330" s="2" t="s">
        <v>74</v>
      </c>
      <c r="BJ330" s="2" t="s">
        <v>74</v>
      </c>
      <c r="BK330" s="2" t="s">
        <v>74</v>
      </c>
      <c r="BL330" s="2" t="s">
        <v>74</v>
      </c>
      <c r="BM330" s="2" t="s">
        <v>74</v>
      </c>
      <c r="BN330" s="2">
        <v>17096422</v>
      </c>
      <c r="BO330" s="2" t="s">
        <v>74</v>
      </c>
      <c r="BP330" s="2" t="s">
        <v>74</v>
      </c>
      <c r="BQ330" s="2" t="s">
        <v>74</v>
      </c>
      <c r="BR330" s="2" t="s">
        <v>74</v>
      </c>
      <c r="BS330" s="2" t="s">
        <v>2793</v>
      </c>
      <c r="BT330" s="2" t="str">
        <f>HYPERLINK("https%3A%2F%2Fwww.webofscience.com%2Fwos%2Fwoscc%2Ffull-record%2FWOS:000242416400001","View Full Record in Web of Science")</f>
        <v>View Full Record in Web of Science</v>
      </c>
    </row>
    <row r="331" spans="1:72" s="2" customFormat="1" x14ac:dyDescent="0.4">
      <c r="A331" s="2" t="s">
        <v>72</v>
      </c>
      <c r="B331" s="2" t="s">
        <v>6572</v>
      </c>
      <c r="C331" s="2" t="s">
        <v>74</v>
      </c>
      <c r="D331" s="2" t="s">
        <v>74</v>
      </c>
      <c r="E331" s="2" t="s">
        <v>74</v>
      </c>
      <c r="F331" s="2" t="s">
        <v>6573</v>
      </c>
      <c r="G331" s="2" t="s">
        <v>74</v>
      </c>
      <c r="H331" s="2" t="s">
        <v>74</v>
      </c>
      <c r="I331" s="2" t="s">
        <v>6574</v>
      </c>
      <c r="J331" s="2" t="s">
        <v>842</v>
      </c>
      <c r="K331" s="2" t="s">
        <v>74</v>
      </c>
      <c r="L331" s="2" t="s">
        <v>74</v>
      </c>
      <c r="M331" s="2" t="s">
        <v>74</v>
      </c>
      <c r="N331" s="2" t="s">
        <v>74</v>
      </c>
      <c r="O331" s="2" t="s">
        <v>74</v>
      </c>
      <c r="P331" s="2" t="s">
        <v>74</v>
      </c>
      <c r="Q331" s="2" t="s">
        <v>74</v>
      </c>
      <c r="R331" s="2" t="s">
        <v>74</v>
      </c>
      <c r="S331" s="2" t="s">
        <v>74</v>
      </c>
      <c r="T331" s="2" t="s">
        <v>74</v>
      </c>
      <c r="U331" s="2" t="s">
        <v>74</v>
      </c>
      <c r="V331" s="5" t="s">
        <v>6575</v>
      </c>
      <c r="W331" s="2" t="s">
        <v>74</v>
      </c>
      <c r="X331" s="2" t="s">
        <v>74</v>
      </c>
      <c r="Y331" s="2" t="s">
        <v>74</v>
      </c>
      <c r="Z331" s="2" t="s">
        <v>74</v>
      </c>
      <c r="AA331" s="2" t="s">
        <v>6576</v>
      </c>
      <c r="AB331" s="2" t="s">
        <v>6577</v>
      </c>
      <c r="AC331" s="2" t="s">
        <v>74</v>
      </c>
      <c r="AD331" s="2" t="s">
        <v>74</v>
      </c>
      <c r="AE331" s="2" t="s">
        <v>74</v>
      </c>
      <c r="AF331" s="2" t="s">
        <v>74</v>
      </c>
      <c r="AG331" s="2" t="s">
        <v>74</v>
      </c>
      <c r="AH331" s="2" t="s">
        <v>74</v>
      </c>
      <c r="AI331" s="2" t="s">
        <v>74</v>
      </c>
      <c r="AJ331" s="2" t="s">
        <v>74</v>
      </c>
      <c r="AK331" s="2" t="s">
        <v>74</v>
      </c>
      <c r="AL331" s="2" t="s">
        <v>74</v>
      </c>
      <c r="AM331" s="2" t="s">
        <v>74</v>
      </c>
      <c r="AN331" s="2" t="s">
        <v>74</v>
      </c>
      <c r="AO331" s="2" t="s">
        <v>846</v>
      </c>
      <c r="AP331" s="2" t="s">
        <v>847</v>
      </c>
      <c r="AQ331" s="2" t="s">
        <v>74</v>
      </c>
      <c r="AR331" s="2" t="s">
        <v>74</v>
      </c>
      <c r="AS331" s="2" t="s">
        <v>74</v>
      </c>
      <c r="AT331" s="2" t="s">
        <v>213</v>
      </c>
      <c r="AU331" s="2">
        <v>2013</v>
      </c>
      <c r="AV331" s="2">
        <v>75</v>
      </c>
      <c r="AW331" s="2">
        <v>11</v>
      </c>
      <c r="AX331" s="2" t="s">
        <v>74</v>
      </c>
      <c r="AY331" s="2" t="s">
        <v>74</v>
      </c>
      <c r="AZ331" s="2" t="s">
        <v>74</v>
      </c>
      <c r="BA331" s="2" t="s">
        <v>74</v>
      </c>
      <c r="BB331" s="2">
        <v>1084</v>
      </c>
      <c r="BC331" s="2">
        <v>1095</v>
      </c>
      <c r="BD331" s="2" t="s">
        <v>74</v>
      </c>
      <c r="BE331" s="2" t="s">
        <v>6578</v>
      </c>
      <c r="BF331" s="2" t="str">
        <f>HYPERLINK("http://dx.doi.org/10.1002/ajp.22167","http://dx.doi.org/10.1002/ajp.22167")</f>
        <v>http://dx.doi.org/10.1002/ajp.22167</v>
      </c>
      <c r="BG331" s="2" t="s">
        <v>74</v>
      </c>
      <c r="BH331" s="2" t="s">
        <v>74</v>
      </c>
      <c r="BI331" s="2" t="s">
        <v>74</v>
      </c>
      <c r="BJ331" s="2" t="s">
        <v>74</v>
      </c>
      <c r="BK331" s="2" t="s">
        <v>74</v>
      </c>
      <c r="BL331" s="2" t="s">
        <v>74</v>
      </c>
      <c r="BM331" s="2" t="s">
        <v>74</v>
      </c>
      <c r="BN331" s="2">
        <v>23776035</v>
      </c>
      <c r="BO331" s="2" t="s">
        <v>74</v>
      </c>
      <c r="BP331" s="2" t="s">
        <v>74</v>
      </c>
      <c r="BQ331" s="2" t="s">
        <v>74</v>
      </c>
      <c r="BR331" s="2" t="s">
        <v>74</v>
      </c>
      <c r="BS331" s="2" t="s">
        <v>6579</v>
      </c>
      <c r="BT331" s="2" t="str">
        <f>HYPERLINK("https%3A%2F%2Fwww.webofscience.com%2Fwos%2Fwoscc%2Ffull-record%2FWOS:000324914600002","View Full Record in Web of Science")</f>
        <v>View Full Record in Web of Science</v>
      </c>
    </row>
    <row r="332" spans="1:72" s="2" customFormat="1" x14ac:dyDescent="0.4">
      <c r="A332" s="2" t="s">
        <v>72</v>
      </c>
      <c r="B332" s="2" t="s">
        <v>6462</v>
      </c>
      <c r="C332" s="2" t="s">
        <v>74</v>
      </c>
      <c r="D332" s="2" t="s">
        <v>74</v>
      </c>
      <c r="E332" s="2" t="s">
        <v>74</v>
      </c>
      <c r="F332" s="2" t="s">
        <v>6463</v>
      </c>
      <c r="G332" s="2" t="s">
        <v>74</v>
      </c>
      <c r="H332" s="2" t="s">
        <v>74</v>
      </c>
      <c r="I332" s="2" t="s">
        <v>6464</v>
      </c>
      <c r="J332" s="2" t="s">
        <v>1656</v>
      </c>
      <c r="K332" s="2" t="s">
        <v>74</v>
      </c>
      <c r="L332" s="2" t="s">
        <v>74</v>
      </c>
      <c r="M332" s="2" t="s">
        <v>74</v>
      </c>
      <c r="N332" s="2" t="s">
        <v>74</v>
      </c>
      <c r="O332" s="2" t="s">
        <v>74</v>
      </c>
      <c r="P332" s="2" t="s">
        <v>74</v>
      </c>
      <c r="Q332" s="2" t="s">
        <v>74</v>
      </c>
      <c r="R332" s="2" t="s">
        <v>74</v>
      </c>
      <c r="S332" s="2" t="s">
        <v>74</v>
      </c>
      <c r="T332" s="2" t="s">
        <v>74</v>
      </c>
      <c r="U332" s="2" t="s">
        <v>74</v>
      </c>
      <c r="V332" s="5" t="s">
        <v>6465</v>
      </c>
      <c r="W332" s="2" t="s">
        <v>74</v>
      </c>
      <c r="X332" s="2" t="s">
        <v>74</v>
      </c>
      <c r="Y332" s="2" t="s">
        <v>74</v>
      </c>
      <c r="Z332" s="2" t="s">
        <v>74</v>
      </c>
      <c r="AA332" s="2" t="s">
        <v>74</v>
      </c>
      <c r="AB332" s="2" t="s">
        <v>6466</v>
      </c>
      <c r="AC332" s="2" t="s">
        <v>74</v>
      </c>
      <c r="AD332" s="2" t="s">
        <v>74</v>
      </c>
      <c r="AE332" s="2" t="s">
        <v>74</v>
      </c>
      <c r="AF332" s="2" t="s">
        <v>74</v>
      </c>
      <c r="AG332" s="2" t="s">
        <v>74</v>
      </c>
      <c r="AH332" s="2" t="s">
        <v>74</v>
      </c>
      <c r="AI332" s="2" t="s">
        <v>74</v>
      </c>
      <c r="AJ332" s="2" t="s">
        <v>74</v>
      </c>
      <c r="AK332" s="2" t="s">
        <v>74</v>
      </c>
      <c r="AL332" s="2" t="s">
        <v>74</v>
      </c>
      <c r="AM332" s="2" t="s">
        <v>74</v>
      </c>
      <c r="AN332" s="2" t="s">
        <v>74</v>
      </c>
      <c r="AO332" s="2" t="s">
        <v>1658</v>
      </c>
      <c r="AP332" s="2" t="s">
        <v>1659</v>
      </c>
      <c r="AQ332" s="2" t="s">
        <v>74</v>
      </c>
      <c r="AR332" s="2" t="s">
        <v>74</v>
      </c>
      <c r="AS332" s="2" t="s">
        <v>74</v>
      </c>
      <c r="AT332" s="2" t="s">
        <v>6467</v>
      </c>
      <c r="AU332" s="2">
        <v>2012</v>
      </c>
      <c r="AV332" s="2" t="s">
        <v>74</v>
      </c>
      <c r="AW332" s="2">
        <v>3367</v>
      </c>
      <c r="AX332" s="2" t="s">
        <v>74</v>
      </c>
      <c r="AY332" s="2" t="s">
        <v>74</v>
      </c>
      <c r="AZ332" s="2" t="s">
        <v>848</v>
      </c>
      <c r="BA332" s="2" t="s">
        <v>74</v>
      </c>
      <c r="BB332" s="2">
        <v>95</v>
      </c>
      <c r="BC332" s="2">
        <v>102</v>
      </c>
      <c r="BD332" s="2" t="s">
        <v>74</v>
      </c>
      <c r="BE332" s="2" t="s">
        <v>6468</v>
      </c>
      <c r="BF332" s="2" t="str">
        <f>HYPERLINK("http://dx.doi.org/10.11646/zootaxa.3367.1.9","http://dx.doi.org/10.11646/zootaxa.3367.1.9")</f>
        <v>http://dx.doi.org/10.11646/zootaxa.3367.1.9</v>
      </c>
      <c r="BG332" s="2" t="s">
        <v>74</v>
      </c>
      <c r="BH332" s="2" t="s">
        <v>74</v>
      </c>
      <c r="BI332" s="2" t="s">
        <v>74</v>
      </c>
      <c r="BJ332" s="2" t="s">
        <v>74</v>
      </c>
      <c r="BK332" s="2" t="s">
        <v>74</v>
      </c>
      <c r="BL332" s="2" t="s">
        <v>74</v>
      </c>
      <c r="BM332" s="2" t="s">
        <v>74</v>
      </c>
      <c r="BN332" s="2" t="s">
        <v>74</v>
      </c>
      <c r="BO332" s="2" t="s">
        <v>74</v>
      </c>
      <c r="BP332" s="2" t="s">
        <v>74</v>
      </c>
      <c r="BQ332" s="2" t="s">
        <v>74</v>
      </c>
      <c r="BR332" s="2" t="s">
        <v>74</v>
      </c>
      <c r="BS332" s="2" t="s">
        <v>6469</v>
      </c>
      <c r="BT332" s="2" t="str">
        <f>HYPERLINK("https%3A%2F%2Fwww.webofscience.com%2Fwos%2Fwoscc%2Ffull-record%2FWOS:000305937000008","View Full Record in Web of Science")</f>
        <v>View Full Record in Web of Science</v>
      </c>
    </row>
    <row r="333" spans="1:72" s="2" customFormat="1" x14ac:dyDescent="0.4">
      <c r="A333" s="2" t="s">
        <v>72</v>
      </c>
      <c r="B333" s="2" t="s">
        <v>999</v>
      </c>
      <c r="C333" s="2" t="s">
        <v>74</v>
      </c>
      <c r="D333" s="2" t="s">
        <v>74</v>
      </c>
      <c r="E333" s="2" t="s">
        <v>74</v>
      </c>
      <c r="F333" s="2" t="s">
        <v>1000</v>
      </c>
      <c r="G333" s="2" t="s">
        <v>74</v>
      </c>
      <c r="H333" s="2" t="s">
        <v>74</v>
      </c>
      <c r="I333" s="2" t="s">
        <v>1001</v>
      </c>
      <c r="J333" s="2" t="s">
        <v>140</v>
      </c>
      <c r="K333" s="2" t="s">
        <v>74</v>
      </c>
      <c r="L333" s="2" t="s">
        <v>74</v>
      </c>
      <c r="M333" s="2" t="s">
        <v>74</v>
      </c>
      <c r="N333" s="2" t="s">
        <v>74</v>
      </c>
      <c r="O333" s="2" t="s">
        <v>74</v>
      </c>
      <c r="P333" s="2" t="s">
        <v>74</v>
      </c>
      <c r="Q333" s="2" t="s">
        <v>74</v>
      </c>
      <c r="R333" s="2" t="s">
        <v>74</v>
      </c>
      <c r="S333" s="2" t="s">
        <v>74</v>
      </c>
      <c r="T333" s="2" t="s">
        <v>74</v>
      </c>
      <c r="U333" s="2" t="s">
        <v>74</v>
      </c>
      <c r="V333" s="5" t="s">
        <v>1002</v>
      </c>
      <c r="W333" s="2" t="s">
        <v>74</v>
      </c>
      <c r="X333" s="2" t="s">
        <v>74</v>
      </c>
      <c r="Y333" s="2" t="s">
        <v>74</v>
      </c>
      <c r="Z333" s="2" t="s">
        <v>74</v>
      </c>
      <c r="AA333" s="2" t="s">
        <v>1003</v>
      </c>
      <c r="AB333" s="2" t="s">
        <v>1004</v>
      </c>
      <c r="AC333" s="2" t="s">
        <v>74</v>
      </c>
      <c r="AD333" s="2" t="s">
        <v>74</v>
      </c>
      <c r="AE333" s="2" t="s">
        <v>74</v>
      </c>
      <c r="AF333" s="2" t="s">
        <v>74</v>
      </c>
      <c r="AG333" s="2" t="s">
        <v>74</v>
      </c>
      <c r="AH333" s="2" t="s">
        <v>74</v>
      </c>
      <c r="AI333" s="2" t="s">
        <v>74</v>
      </c>
      <c r="AJ333" s="2" t="s">
        <v>74</v>
      </c>
      <c r="AK333" s="2" t="s">
        <v>74</v>
      </c>
      <c r="AL333" s="2" t="s">
        <v>74</v>
      </c>
      <c r="AM333" s="2" t="s">
        <v>74</v>
      </c>
      <c r="AN333" s="2" t="s">
        <v>74</v>
      </c>
      <c r="AO333" s="2" t="s">
        <v>143</v>
      </c>
      <c r="AP333" s="2" t="s">
        <v>144</v>
      </c>
      <c r="AQ333" s="2" t="s">
        <v>74</v>
      </c>
      <c r="AR333" s="2" t="s">
        <v>74</v>
      </c>
      <c r="AS333" s="2" t="s">
        <v>74</v>
      </c>
      <c r="AT333" s="2" t="s">
        <v>123</v>
      </c>
      <c r="AU333" s="2">
        <v>2010</v>
      </c>
      <c r="AV333" s="2">
        <v>79</v>
      </c>
      <c r="AW333" s="2">
        <v>3</v>
      </c>
      <c r="AX333" s="2" t="s">
        <v>74</v>
      </c>
      <c r="AY333" s="2" t="s">
        <v>74</v>
      </c>
      <c r="AZ333" s="2" t="s">
        <v>74</v>
      </c>
      <c r="BA333" s="2" t="s">
        <v>74</v>
      </c>
      <c r="BB333" s="2">
        <v>739</v>
      </c>
      <c r="BC333" s="2">
        <v>745</v>
      </c>
      <c r="BD333" s="2" t="s">
        <v>74</v>
      </c>
      <c r="BE333" s="2" t="s">
        <v>1005</v>
      </c>
      <c r="BF333" s="2" t="str">
        <f>HYPERLINK("http://dx.doi.org/10.1016/j.anbehav.2009.12.031","http://dx.doi.org/10.1016/j.anbehav.2009.12.031")</f>
        <v>http://dx.doi.org/10.1016/j.anbehav.2009.12.031</v>
      </c>
      <c r="BG333" s="2" t="s">
        <v>74</v>
      </c>
      <c r="BH333" s="2" t="s">
        <v>74</v>
      </c>
      <c r="BI333" s="2" t="s">
        <v>74</v>
      </c>
      <c r="BJ333" s="2" t="s">
        <v>74</v>
      </c>
      <c r="BK333" s="2" t="s">
        <v>74</v>
      </c>
      <c r="BL333" s="2" t="s">
        <v>74</v>
      </c>
      <c r="BM333" s="2" t="s">
        <v>74</v>
      </c>
      <c r="BN333" s="2" t="s">
        <v>74</v>
      </c>
      <c r="BO333" s="2" t="s">
        <v>74</v>
      </c>
      <c r="BP333" s="2" t="s">
        <v>74</v>
      </c>
      <c r="BQ333" s="2" t="s">
        <v>74</v>
      </c>
      <c r="BR333" s="2" t="s">
        <v>74</v>
      </c>
      <c r="BS333" s="2" t="s">
        <v>1006</v>
      </c>
      <c r="BT333" s="2" t="str">
        <f>HYPERLINK("https%3A%2F%2Fwww.webofscience.com%2Fwos%2Fwoscc%2Ffull-record%2FWOS:000274587400029","View Full Record in Web of Science")</f>
        <v>View Full Record in Web of Science</v>
      </c>
    </row>
    <row r="334" spans="1:72" s="2" customFormat="1" x14ac:dyDescent="0.4">
      <c r="A334" s="2" t="s">
        <v>72</v>
      </c>
      <c r="B334" s="2" t="s">
        <v>4432</v>
      </c>
      <c r="C334" s="2" t="s">
        <v>74</v>
      </c>
      <c r="D334" s="2" t="s">
        <v>74</v>
      </c>
      <c r="E334" s="2" t="s">
        <v>74</v>
      </c>
      <c r="F334" s="2" t="s">
        <v>4433</v>
      </c>
      <c r="G334" s="2" t="s">
        <v>74</v>
      </c>
      <c r="H334" s="2" t="s">
        <v>74</v>
      </c>
      <c r="I334" s="2" t="s">
        <v>4434</v>
      </c>
      <c r="J334" s="2" t="s">
        <v>3374</v>
      </c>
      <c r="K334" s="2" t="s">
        <v>74</v>
      </c>
      <c r="L334" s="2" t="s">
        <v>74</v>
      </c>
      <c r="M334" s="2" t="s">
        <v>74</v>
      </c>
      <c r="N334" s="2" t="s">
        <v>74</v>
      </c>
      <c r="O334" s="2" t="s">
        <v>74</v>
      </c>
      <c r="P334" s="2" t="s">
        <v>74</v>
      </c>
      <c r="Q334" s="2" t="s">
        <v>74</v>
      </c>
      <c r="R334" s="2" t="s">
        <v>74</v>
      </c>
      <c r="S334" s="2" t="s">
        <v>74</v>
      </c>
      <c r="T334" s="2" t="s">
        <v>74</v>
      </c>
      <c r="U334" s="2" t="s">
        <v>74</v>
      </c>
      <c r="V334" s="5" t="s">
        <v>4435</v>
      </c>
      <c r="W334" s="2" t="s">
        <v>74</v>
      </c>
      <c r="X334" s="2" t="s">
        <v>74</v>
      </c>
      <c r="Y334" s="2" t="s">
        <v>74</v>
      </c>
      <c r="Z334" s="2" t="s">
        <v>74</v>
      </c>
      <c r="AA334" s="2" t="s">
        <v>4436</v>
      </c>
      <c r="AB334" s="2" t="s">
        <v>4437</v>
      </c>
      <c r="AC334" s="2" t="s">
        <v>74</v>
      </c>
      <c r="AD334" s="2" t="s">
        <v>74</v>
      </c>
      <c r="AE334" s="2" t="s">
        <v>74</v>
      </c>
      <c r="AF334" s="2" t="s">
        <v>74</v>
      </c>
      <c r="AG334" s="2" t="s">
        <v>74</v>
      </c>
      <c r="AH334" s="2" t="s">
        <v>74</v>
      </c>
      <c r="AI334" s="2" t="s">
        <v>74</v>
      </c>
      <c r="AJ334" s="2" t="s">
        <v>74</v>
      </c>
      <c r="AK334" s="2" t="s">
        <v>74</v>
      </c>
      <c r="AL334" s="2" t="s">
        <v>74</v>
      </c>
      <c r="AM334" s="2" t="s">
        <v>74</v>
      </c>
      <c r="AN334" s="2" t="s">
        <v>74</v>
      </c>
      <c r="AO334" s="2" t="s">
        <v>3378</v>
      </c>
      <c r="AP334" s="2" t="s">
        <v>3379</v>
      </c>
      <c r="AQ334" s="2" t="s">
        <v>74</v>
      </c>
      <c r="AR334" s="2" t="s">
        <v>74</v>
      </c>
      <c r="AS334" s="2" t="s">
        <v>74</v>
      </c>
      <c r="AT334" s="2" t="s">
        <v>134</v>
      </c>
      <c r="AU334" s="2">
        <v>2011</v>
      </c>
      <c r="AV334" s="2">
        <v>42</v>
      </c>
      <c r="AW334" s="2">
        <v>3</v>
      </c>
      <c r="AX334" s="2" t="s">
        <v>74</v>
      </c>
      <c r="AY334" s="2" t="s">
        <v>74</v>
      </c>
      <c r="AZ334" s="2" t="s">
        <v>74</v>
      </c>
      <c r="BA334" s="2" t="s">
        <v>74</v>
      </c>
      <c r="BB334" s="2">
        <v>301</v>
      </c>
      <c r="BC334" s="2">
        <v>306</v>
      </c>
      <c r="BD334" s="2" t="s">
        <v>74</v>
      </c>
      <c r="BE334" s="2" t="s">
        <v>4438</v>
      </c>
      <c r="BF334" s="2" t="str">
        <f>HYPERLINK("http://dx.doi.org/10.1007/s13592-011-0022-z","http://dx.doi.org/10.1007/s13592-011-0022-z")</f>
        <v>http://dx.doi.org/10.1007/s13592-011-0022-z</v>
      </c>
      <c r="BG334" s="2" t="s">
        <v>74</v>
      </c>
      <c r="BH334" s="2" t="s">
        <v>74</v>
      </c>
      <c r="BI334" s="2" t="s">
        <v>74</v>
      </c>
      <c r="BJ334" s="2" t="s">
        <v>74</v>
      </c>
      <c r="BK334" s="2" t="s">
        <v>74</v>
      </c>
      <c r="BL334" s="2" t="s">
        <v>74</v>
      </c>
      <c r="BM334" s="2" t="s">
        <v>74</v>
      </c>
      <c r="BN334" s="2" t="s">
        <v>74</v>
      </c>
      <c r="BO334" s="2" t="s">
        <v>74</v>
      </c>
      <c r="BP334" s="2" t="s">
        <v>74</v>
      </c>
      <c r="BQ334" s="2" t="s">
        <v>74</v>
      </c>
      <c r="BR334" s="2" t="s">
        <v>74</v>
      </c>
      <c r="BS334" s="2" t="s">
        <v>4439</v>
      </c>
      <c r="BT334" s="2" t="str">
        <f>HYPERLINK("https%3A%2F%2Fwww.webofscience.com%2Fwos%2Fwoscc%2Ffull-record%2FWOS:000292612900006","View Full Record in Web of Science")</f>
        <v>View Full Record in Web of Science</v>
      </c>
    </row>
    <row r="335" spans="1:72" s="2" customFormat="1" x14ac:dyDescent="0.4">
      <c r="A335" s="2" t="s">
        <v>72</v>
      </c>
      <c r="B335" s="2" t="s">
        <v>1678</v>
      </c>
      <c r="C335" s="2" t="s">
        <v>74</v>
      </c>
      <c r="D335" s="2" t="s">
        <v>74</v>
      </c>
      <c r="E335" s="2" t="s">
        <v>74</v>
      </c>
      <c r="F335" s="2" t="s">
        <v>1679</v>
      </c>
      <c r="G335" s="2" t="s">
        <v>74</v>
      </c>
      <c r="H335" s="2" t="s">
        <v>74</v>
      </c>
      <c r="I335" s="2" t="s">
        <v>1680</v>
      </c>
      <c r="J335" s="2" t="s">
        <v>367</v>
      </c>
      <c r="K335" s="2" t="s">
        <v>74</v>
      </c>
      <c r="L335" s="2" t="s">
        <v>74</v>
      </c>
      <c r="M335" s="2" t="s">
        <v>74</v>
      </c>
      <c r="N335" s="2" t="s">
        <v>74</v>
      </c>
      <c r="O335" s="2" t="s">
        <v>74</v>
      </c>
      <c r="P335" s="2" t="s">
        <v>74</v>
      </c>
      <c r="Q335" s="2" t="s">
        <v>74</v>
      </c>
      <c r="R335" s="2" t="s">
        <v>74</v>
      </c>
      <c r="S335" s="2" t="s">
        <v>74</v>
      </c>
      <c r="T335" s="2" t="s">
        <v>74</v>
      </c>
      <c r="U335" s="2" t="s">
        <v>74</v>
      </c>
      <c r="V335" s="5" t="s">
        <v>1681</v>
      </c>
      <c r="W335" s="2" t="s">
        <v>74</v>
      </c>
      <c r="X335" s="2" t="s">
        <v>74</v>
      </c>
      <c r="Y335" s="2" t="s">
        <v>74</v>
      </c>
      <c r="Z335" s="2" t="s">
        <v>74</v>
      </c>
      <c r="AA335" s="2" t="s">
        <v>1682</v>
      </c>
      <c r="AB335" s="2" t="s">
        <v>1683</v>
      </c>
      <c r="AC335" s="2" t="s">
        <v>74</v>
      </c>
      <c r="AD335" s="2" t="s">
        <v>74</v>
      </c>
      <c r="AE335" s="2" t="s">
        <v>74</v>
      </c>
      <c r="AF335" s="2" t="s">
        <v>74</v>
      </c>
      <c r="AG335" s="2" t="s">
        <v>74</v>
      </c>
      <c r="AH335" s="2" t="s">
        <v>74</v>
      </c>
      <c r="AI335" s="2" t="s">
        <v>74</v>
      </c>
      <c r="AJ335" s="2" t="s">
        <v>74</v>
      </c>
      <c r="AK335" s="2" t="s">
        <v>74</v>
      </c>
      <c r="AL335" s="2" t="s">
        <v>74</v>
      </c>
      <c r="AM335" s="2" t="s">
        <v>74</v>
      </c>
      <c r="AN335" s="2" t="s">
        <v>74</v>
      </c>
      <c r="AO335" s="2" t="s">
        <v>371</v>
      </c>
      <c r="AP335" s="2" t="s">
        <v>372</v>
      </c>
      <c r="AQ335" s="2" t="s">
        <v>74</v>
      </c>
      <c r="AR335" s="2" t="s">
        <v>74</v>
      </c>
      <c r="AS335" s="2" t="s">
        <v>74</v>
      </c>
      <c r="AT335" s="2" t="s">
        <v>145</v>
      </c>
      <c r="AU335" s="2">
        <v>2021</v>
      </c>
      <c r="AV335" s="2">
        <v>135</v>
      </c>
      <c r="AW335" s="2">
        <v>3</v>
      </c>
      <c r="AX335" s="2" t="s">
        <v>74</v>
      </c>
      <c r="AY335" s="2" t="s">
        <v>74</v>
      </c>
      <c r="AZ335" s="2" t="s">
        <v>74</v>
      </c>
      <c r="BA335" s="2" t="s">
        <v>74</v>
      </c>
      <c r="BB335" s="2">
        <v>338</v>
      </c>
      <c r="BC335" s="2">
        <v>348</v>
      </c>
      <c r="BD335" s="2" t="s">
        <v>74</v>
      </c>
      <c r="BE335" s="2" t="s">
        <v>1684</v>
      </c>
      <c r="BF335" s="2" t="str">
        <f>HYPERLINK("http://dx.doi.org/10.1037/com0000267","http://dx.doi.org/10.1037/com0000267")</f>
        <v>http://dx.doi.org/10.1037/com0000267</v>
      </c>
      <c r="BG335" s="2" t="s">
        <v>74</v>
      </c>
      <c r="BH335" s="2" t="s">
        <v>74</v>
      </c>
      <c r="BI335" s="2" t="s">
        <v>74</v>
      </c>
      <c r="BJ335" s="2" t="s">
        <v>74</v>
      </c>
      <c r="BK335" s="2" t="s">
        <v>74</v>
      </c>
      <c r="BL335" s="2" t="s">
        <v>74</v>
      </c>
      <c r="BM335" s="2" t="s">
        <v>74</v>
      </c>
      <c r="BN335" s="2">
        <v>33475388</v>
      </c>
      <c r="BO335" s="2" t="s">
        <v>74</v>
      </c>
      <c r="BP335" s="2" t="s">
        <v>74</v>
      </c>
      <c r="BQ335" s="2" t="s">
        <v>74</v>
      </c>
      <c r="BR335" s="2" t="s">
        <v>74</v>
      </c>
      <c r="BS335" s="2" t="s">
        <v>1685</v>
      </c>
      <c r="BT335" s="2" t="str">
        <f>HYPERLINK("https%3A%2F%2Fwww.webofscience.com%2Fwos%2Fwoscc%2Ffull-record%2FWOS:000699927200011","View Full Record in Web of Science")</f>
        <v>View Full Record in Web of Science</v>
      </c>
    </row>
    <row r="336" spans="1:72" s="2" customFormat="1" x14ac:dyDescent="0.4">
      <c r="A336" s="2" t="s">
        <v>72</v>
      </c>
      <c r="B336" s="2" t="s">
        <v>7659</v>
      </c>
      <c r="C336" s="2" t="s">
        <v>74</v>
      </c>
      <c r="D336" s="2" t="s">
        <v>74</v>
      </c>
      <c r="E336" s="2" t="s">
        <v>74</v>
      </c>
      <c r="F336" s="2" t="s">
        <v>7659</v>
      </c>
      <c r="G336" s="2" t="s">
        <v>74</v>
      </c>
      <c r="H336" s="2" t="s">
        <v>74</v>
      </c>
      <c r="I336" s="2" t="s">
        <v>7660</v>
      </c>
      <c r="J336" s="2" t="s">
        <v>431</v>
      </c>
      <c r="K336" s="2" t="s">
        <v>74</v>
      </c>
      <c r="L336" s="2" t="s">
        <v>74</v>
      </c>
      <c r="M336" s="2" t="s">
        <v>74</v>
      </c>
      <c r="N336" s="2" t="s">
        <v>74</v>
      </c>
      <c r="O336" s="2" t="s">
        <v>74</v>
      </c>
      <c r="P336" s="2" t="s">
        <v>74</v>
      </c>
      <c r="Q336" s="2" t="s">
        <v>74</v>
      </c>
      <c r="R336" s="2" t="s">
        <v>74</v>
      </c>
      <c r="S336" s="2" t="s">
        <v>74</v>
      </c>
      <c r="T336" s="2" t="s">
        <v>74</v>
      </c>
      <c r="U336" s="2" t="s">
        <v>74</v>
      </c>
      <c r="V336" s="5" t="s">
        <v>7661</v>
      </c>
      <c r="W336" s="2" t="s">
        <v>74</v>
      </c>
      <c r="X336" s="2" t="s">
        <v>74</v>
      </c>
      <c r="Y336" s="2" t="s">
        <v>74</v>
      </c>
      <c r="Z336" s="2" t="s">
        <v>74</v>
      </c>
      <c r="AA336" s="2" t="s">
        <v>7662</v>
      </c>
      <c r="AB336" s="2" t="s">
        <v>74</v>
      </c>
      <c r="AC336" s="2" t="s">
        <v>74</v>
      </c>
      <c r="AD336" s="2" t="s">
        <v>74</v>
      </c>
      <c r="AE336" s="2" t="s">
        <v>74</v>
      </c>
      <c r="AF336" s="2" t="s">
        <v>74</v>
      </c>
      <c r="AG336" s="2" t="s">
        <v>74</v>
      </c>
      <c r="AH336" s="2" t="s">
        <v>74</v>
      </c>
      <c r="AI336" s="2" t="s">
        <v>74</v>
      </c>
      <c r="AJ336" s="2" t="s">
        <v>74</v>
      </c>
      <c r="AK336" s="2" t="s">
        <v>74</v>
      </c>
      <c r="AL336" s="2" t="s">
        <v>74</v>
      </c>
      <c r="AM336" s="2" t="s">
        <v>74</v>
      </c>
      <c r="AN336" s="2" t="s">
        <v>74</v>
      </c>
      <c r="AO336" s="2" t="s">
        <v>1458</v>
      </c>
      <c r="AP336" s="2" t="s">
        <v>74</v>
      </c>
      <c r="AQ336" s="2" t="s">
        <v>74</v>
      </c>
      <c r="AR336" s="2" t="s">
        <v>74</v>
      </c>
      <c r="AS336" s="2" t="s">
        <v>74</v>
      </c>
      <c r="AT336" s="2" t="s">
        <v>633</v>
      </c>
      <c r="AU336" s="2">
        <v>2002</v>
      </c>
      <c r="AV336" s="2">
        <v>119</v>
      </c>
      <c r="AW336" s="2">
        <v>2</v>
      </c>
      <c r="AX336" s="2" t="s">
        <v>74</v>
      </c>
      <c r="AY336" s="2" t="s">
        <v>74</v>
      </c>
      <c r="AZ336" s="2" t="s">
        <v>74</v>
      </c>
      <c r="BA336" s="2" t="s">
        <v>74</v>
      </c>
      <c r="BB336" s="2">
        <v>487</v>
      </c>
      <c r="BC336" s="2">
        <v>497</v>
      </c>
      <c r="BD336" s="2" t="s">
        <v>74</v>
      </c>
      <c r="BE336" s="2" t="s">
        <v>7663</v>
      </c>
      <c r="BF336" s="2" t="str">
        <f>HYPERLINK("http://dx.doi.org/10.1642/0004-8038(2002)119[0487:SALTEO]2.0.CO;2","http://dx.doi.org/10.1642/0004-8038(2002)119[0487:SALTEO]2.0.CO;2")</f>
        <v>http://dx.doi.org/10.1642/0004-8038(2002)119[0487:SALTEO]2.0.CO;2</v>
      </c>
      <c r="BG336" s="2" t="s">
        <v>74</v>
      </c>
      <c r="BH336" s="2" t="s">
        <v>74</v>
      </c>
      <c r="BI336" s="2" t="s">
        <v>74</v>
      </c>
      <c r="BJ336" s="2" t="s">
        <v>74</v>
      </c>
      <c r="BK336" s="2" t="s">
        <v>74</v>
      </c>
      <c r="BL336" s="2" t="s">
        <v>74</v>
      </c>
      <c r="BM336" s="2" t="s">
        <v>74</v>
      </c>
      <c r="BN336" s="2" t="s">
        <v>74</v>
      </c>
      <c r="BO336" s="2" t="s">
        <v>74</v>
      </c>
      <c r="BP336" s="2" t="s">
        <v>74</v>
      </c>
      <c r="BQ336" s="2" t="s">
        <v>74</v>
      </c>
      <c r="BR336" s="2" t="s">
        <v>74</v>
      </c>
      <c r="BS336" s="2" t="s">
        <v>7664</v>
      </c>
      <c r="BT336" s="2" t="str">
        <f>HYPERLINK("https%3A%2F%2Fwww.webofscience.com%2Fwos%2Fwoscc%2Ffull-record%2FWOS:000175709400016","View Full Record in Web of Science")</f>
        <v>View Full Record in Web of Science</v>
      </c>
    </row>
    <row r="337" spans="1:72" s="2" customFormat="1" x14ac:dyDescent="0.4">
      <c r="A337" s="2" t="s">
        <v>72</v>
      </c>
      <c r="B337" s="2" t="s">
        <v>3108</v>
      </c>
      <c r="C337" s="2" t="s">
        <v>74</v>
      </c>
      <c r="D337" s="2" t="s">
        <v>74</v>
      </c>
      <c r="E337" s="2" t="s">
        <v>74</v>
      </c>
      <c r="F337" s="2" t="s">
        <v>3109</v>
      </c>
      <c r="G337" s="2" t="s">
        <v>74</v>
      </c>
      <c r="H337" s="2" t="s">
        <v>74</v>
      </c>
      <c r="I337" s="2" t="s">
        <v>3110</v>
      </c>
      <c r="J337" s="2" t="s">
        <v>3111</v>
      </c>
      <c r="K337" s="2" t="s">
        <v>74</v>
      </c>
      <c r="L337" s="2" t="s">
        <v>74</v>
      </c>
      <c r="M337" s="2" t="s">
        <v>74</v>
      </c>
      <c r="N337" s="2" t="s">
        <v>74</v>
      </c>
      <c r="O337" s="2" t="s">
        <v>74</v>
      </c>
      <c r="P337" s="2" t="s">
        <v>74</v>
      </c>
      <c r="Q337" s="2" t="s">
        <v>74</v>
      </c>
      <c r="R337" s="2" t="s">
        <v>74</v>
      </c>
      <c r="S337" s="2" t="s">
        <v>74</v>
      </c>
      <c r="T337" s="2" t="s">
        <v>74</v>
      </c>
      <c r="U337" s="2" t="s">
        <v>74</v>
      </c>
      <c r="V337" s="5" t="s">
        <v>3112</v>
      </c>
      <c r="W337" s="2" t="s">
        <v>74</v>
      </c>
      <c r="X337" s="2" t="s">
        <v>74</v>
      </c>
      <c r="Y337" s="2" t="s">
        <v>74</v>
      </c>
      <c r="Z337" s="2" t="s">
        <v>74</v>
      </c>
      <c r="AA337" s="2" t="s">
        <v>3113</v>
      </c>
      <c r="AB337" s="2" t="s">
        <v>3114</v>
      </c>
      <c r="AC337" s="2" t="s">
        <v>74</v>
      </c>
      <c r="AD337" s="2" t="s">
        <v>74</v>
      </c>
      <c r="AE337" s="2" t="s">
        <v>74</v>
      </c>
      <c r="AF337" s="2" t="s">
        <v>74</v>
      </c>
      <c r="AG337" s="2" t="s">
        <v>74</v>
      </c>
      <c r="AH337" s="2" t="s">
        <v>74</v>
      </c>
      <c r="AI337" s="2" t="s">
        <v>74</v>
      </c>
      <c r="AJ337" s="2" t="s">
        <v>74</v>
      </c>
      <c r="AK337" s="2" t="s">
        <v>74</v>
      </c>
      <c r="AL337" s="2" t="s">
        <v>74</v>
      </c>
      <c r="AM337" s="2" t="s">
        <v>74</v>
      </c>
      <c r="AN337" s="2" t="s">
        <v>74</v>
      </c>
      <c r="AO337" s="2" t="s">
        <v>3115</v>
      </c>
      <c r="AP337" s="2" t="s">
        <v>3116</v>
      </c>
      <c r="AQ337" s="2" t="s">
        <v>74</v>
      </c>
      <c r="AR337" s="2" t="s">
        <v>74</v>
      </c>
      <c r="AS337" s="2" t="s">
        <v>74</v>
      </c>
      <c r="AT337" s="2" t="s">
        <v>633</v>
      </c>
      <c r="AU337" s="2">
        <v>2010</v>
      </c>
      <c r="AV337" s="2">
        <v>4</v>
      </c>
      <c r="AW337" s="2">
        <v>4</v>
      </c>
      <c r="AX337" s="2" t="s">
        <v>74</v>
      </c>
      <c r="AY337" s="2" t="s">
        <v>74</v>
      </c>
      <c r="AZ337" s="2" t="s">
        <v>74</v>
      </c>
      <c r="BA337" s="2" t="s">
        <v>74</v>
      </c>
      <c r="BB337" s="2">
        <v>604</v>
      </c>
      <c r="BC337" s="2">
        <v>616</v>
      </c>
      <c r="BD337" s="2" t="s">
        <v>74</v>
      </c>
      <c r="BE337" s="2" t="s">
        <v>3117</v>
      </c>
      <c r="BF337" s="2" t="str">
        <f>HYPERLINK("http://dx.doi.org/10.1017/S1751731109991406","http://dx.doi.org/10.1017/S1751731109991406")</f>
        <v>http://dx.doi.org/10.1017/S1751731109991406</v>
      </c>
      <c r="BG337" s="2" t="s">
        <v>74</v>
      </c>
      <c r="BH337" s="2" t="s">
        <v>74</v>
      </c>
      <c r="BI337" s="2" t="s">
        <v>74</v>
      </c>
      <c r="BJ337" s="2" t="s">
        <v>74</v>
      </c>
      <c r="BK337" s="2" t="s">
        <v>74</v>
      </c>
      <c r="BL337" s="2" t="s">
        <v>74</v>
      </c>
      <c r="BM337" s="2" t="s">
        <v>74</v>
      </c>
      <c r="BN337" s="2">
        <v>22444048</v>
      </c>
      <c r="BO337" s="2" t="s">
        <v>74</v>
      </c>
      <c r="BP337" s="2" t="s">
        <v>74</v>
      </c>
      <c r="BQ337" s="2" t="s">
        <v>74</v>
      </c>
      <c r="BR337" s="2" t="s">
        <v>74</v>
      </c>
      <c r="BS337" s="2" t="s">
        <v>3118</v>
      </c>
      <c r="BT337" s="2" t="str">
        <f>HYPERLINK("https%3A%2F%2Fwww.webofscience.com%2Fwos%2Fwoscc%2Ffull-record%2FWOS:000276005600013","View Full Record in Web of Science")</f>
        <v>View Full Record in Web of Science</v>
      </c>
    </row>
    <row r="338" spans="1:72" s="2" customFormat="1" x14ac:dyDescent="0.4">
      <c r="A338" s="2" t="s">
        <v>72</v>
      </c>
      <c r="B338" s="2" t="s">
        <v>3076</v>
      </c>
      <c r="C338" s="2" t="s">
        <v>74</v>
      </c>
      <c r="D338" s="2" t="s">
        <v>74</v>
      </c>
      <c r="E338" s="2" t="s">
        <v>74</v>
      </c>
      <c r="F338" s="2" t="s">
        <v>3076</v>
      </c>
      <c r="G338" s="2" t="s">
        <v>74</v>
      </c>
      <c r="H338" s="2" t="s">
        <v>74</v>
      </c>
      <c r="I338" s="2" t="s">
        <v>3077</v>
      </c>
      <c r="J338" s="2" t="s">
        <v>731</v>
      </c>
      <c r="K338" s="2" t="s">
        <v>74</v>
      </c>
      <c r="L338" s="2" t="s">
        <v>74</v>
      </c>
      <c r="M338" s="2" t="s">
        <v>74</v>
      </c>
      <c r="N338" s="2" t="s">
        <v>74</v>
      </c>
      <c r="O338" s="2" t="s">
        <v>74</v>
      </c>
      <c r="P338" s="2" t="s">
        <v>74</v>
      </c>
      <c r="Q338" s="2" t="s">
        <v>74</v>
      </c>
      <c r="R338" s="2" t="s">
        <v>74</v>
      </c>
      <c r="S338" s="2" t="s">
        <v>74</v>
      </c>
      <c r="T338" s="2" t="s">
        <v>74</v>
      </c>
      <c r="U338" s="2" t="s">
        <v>74</v>
      </c>
      <c r="V338" s="5" t="s">
        <v>3078</v>
      </c>
      <c r="W338" s="2" t="s">
        <v>74</v>
      </c>
      <c r="X338" s="2" t="s">
        <v>74</v>
      </c>
      <c r="Y338" s="2" t="s">
        <v>74</v>
      </c>
      <c r="Z338" s="2" t="s">
        <v>74</v>
      </c>
      <c r="AA338" s="2" t="s">
        <v>74</v>
      </c>
      <c r="AB338" s="2" t="s">
        <v>74</v>
      </c>
      <c r="AC338" s="2" t="s">
        <v>74</v>
      </c>
      <c r="AD338" s="2" t="s">
        <v>74</v>
      </c>
      <c r="AE338" s="2" t="s">
        <v>74</v>
      </c>
      <c r="AF338" s="2" t="s">
        <v>74</v>
      </c>
      <c r="AG338" s="2" t="s">
        <v>74</v>
      </c>
      <c r="AH338" s="2" t="s">
        <v>74</v>
      </c>
      <c r="AI338" s="2" t="s">
        <v>74</v>
      </c>
      <c r="AJ338" s="2" t="s">
        <v>74</v>
      </c>
      <c r="AK338" s="2" t="s">
        <v>74</v>
      </c>
      <c r="AL338" s="2" t="s">
        <v>74</v>
      </c>
      <c r="AM338" s="2" t="s">
        <v>74</v>
      </c>
      <c r="AN338" s="2" t="s">
        <v>74</v>
      </c>
      <c r="AO338" s="2" t="s">
        <v>733</v>
      </c>
      <c r="AP338" s="2" t="s">
        <v>74</v>
      </c>
      <c r="AQ338" s="2" t="s">
        <v>74</v>
      </c>
      <c r="AR338" s="2" t="s">
        <v>74</v>
      </c>
      <c r="AS338" s="2" t="s">
        <v>74</v>
      </c>
      <c r="AT338" s="2" t="s">
        <v>145</v>
      </c>
      <c r="AU338" s="2">
        <v>1996</v>
      </c>
      <c r="AV338" s="2">
        <v>78</v>
      </c>
      <c r="AW338" s="2">
        <v>2</v>
      </c>
      <c r="AX338" s="2" t="s">
        <v>74</v>
      </c>
      <c r="AY338" s="2" t="s">
        <v>74</v>
      </c>
      <c r="AZ338" s="2" t="s">
        <v>74</v>
      </c>
      <c r="BA338" s="2" t="s">
        <v>74</v>
      </c>
      <c r="BB338" s="2">
        <v>175</v>
      </c>
      <c r="BC338" s="2">
        <v>182</v>
      </c>
      <c r="BD338" s="2" t="s">
        <v>74</v>
      </c>
      <c r="BE338" s="2" t="s">
        <v>74</v>
      </c>
      <c r="BF338" s="2" t="s">
        <v>74</v>
      </c>
      <c r="BG338" s="2" t="s">
        <v>74</v>
      </c>
      <c r="BH338" s="2" t="s">
        <v>74</v>
      </c>
      <c r="BI338" s="2" t="s">
        <v>74</v>
      </c>
      <c r="BJ338" s="2" t="s">
        <v>74</v>
      </c>
      <c r="BK338" s="2" t="s">
        <v>74</v>
      </c>
      <c r="BL338" s="2" t="s">
        <v>74</v>
      </c>
      <c r="BM338" s="2" t="s">
        <v>74</v>
      </c>
      <c r="BN338" s="2">
        <v>8864049</v>
      </c>
      <c r="BO338" s="2" t="s">
        <v>74</v>
      </c>
      <c r="BP338" s="2" t="s">
        <v>74</v>
      </c>
      <c r="BQ338" s="2" t="s">
        <v>74</v>
      </c>
      <c r="BR338" s="2" t="s">
        <v>74</v>
      </c>
      <c r="BS338" s="2" t="s">
        <v>3079</v>
      </c>
      <c r="BT338" s="2" t="str">
        <f>HYPERLINK("https%3A%2F%2Fwww.webofscience.com%2Fwos%2Fwoscc%2Ffull-record%2FWOS:A1996VD71100011","View Full Record in Web of Science")</f>
        <v>View Full Record in Web of Science</v>
      </c>
    </row>
    <row r="339" spans="1:72" s="2" customFormat="1" x14ac:dyDescent="0.4">
      <c r="A339" s="2" t="s">
        <v>72</v>
      </c>
      <c r="B339" s="2" t="s">
        <v>5822</v>
      </c>
      <c r="C339" s="2" t="s">
        <v>74</v>
      </c>
      <c r="D339" s="2" t="s">
        <v>74</v>
      </c>
      <c r="E339" s="2" t="s">
        <v>74</v>
      </c>
      <c r="F339" s="2" t="s">
        <v>5822</v>
      </c>
      <c r="G339" s="2" t="s">
        <v>74</v>
      </c>
      <c r="H339" s="2" t="s">
        <v>74</v>
      </c>
      <c r="I339" s="2" t="s">
        <v>5823</v>
      </c>
      <c r="J339" s="2" t="s">
        <v>4791</v>
      </c>
      <c r="K339" s="2" t="s">
        <v>74</v>
      </c>
      <c r="L339" s="2" t="s">
        <v>74</v>
      </c>
      <c r="M339" s="2" t="s">
        <v>74</v>
      </c>
      <c r="N339" s="2" t="s">
        <v>74</v>
      </c>
      <c r="O339" s="2" t="s">
        <v>74</v>
      </c>
      <c r="P339" s="2" t="s">
        <v>74</v>
      </c>
      <c r="Q339" s="2" t="s">
        <v>74</v>
      </c>
      <c r="R339" s="2" t="s">
        <v>74</v>
      </c>
      <c r="S339" s="2" t="s">
        <v>74</v>
      </c>
      <c r="T339" s="2" t="s">
        <v>74</v>
      </c>
      <c r="U339" s="2" t="s">
        <v>74</v>
      </c>
      <c r="V339" s="5" t="s">
        <v>5824</v>
      </c>
      <c r="W339" s="2" t="s">
        <v>74</v>
      </c>
      <c r="X339" s="2" t="s">
        <v>74</v>
      </c>
      <c r="Y339" s="2" t="s">
        <v>74</v>
      </c>
      <c r="Z339" s="2" t="s">
        <v>74</v>
      </c>
      <c r="AA339" s="2" t="s">
        <v>74</v>
      </c>
      <c r="AB339" s="2" t="s">
        <v>74</v>
      </c>
      <c r="AC339" s="2" t="s">
        <v>74</v>
      </c>
      <c r="AD339" s="2" t="s">
        <v>74</v>
      </c>
      <c r="AE339" s="2" t="s">
        <v>74</v>
      </c>
      <c r="AF339" s="2" t="s">
        <v>74</v>
      </c>
      <c r="AG339" s="2" t="s">
        <v>74</v>
      </c>
      <c r="AH339" s="2" t="s">
        <v>74</v>
      </c>
      <c r="AI339" s="2" t="s">
        <v>74</v>
      </c>
      <c r="AJ339" s="2" t="s">
        <v>74</v>
      </c>
      <c r="AK339" s="2" t="s">
        <v>74</v>
      </c>
      <c r="AL339" s="2" t="s">
        <v>74</v>
      </c>
      <c r="AM339" s="2" t="s">
        <v>74</v>
      </c>
      <c r="AN339" s="2" t="s">
        <v>74</v>
      </c>
      <c r="AO339" s="2" t="s">
        <v>4793</v>
      </c>
      <c r="AP339" s="2" t="s">
        <v>74</v>
      </c>
      <c r="AQ339" s="2" t="s">
        <v>74</v>
      </c>
      <c r="AR339" s="2" t="s">
        <v>74</v>
      </c>
      <c r="AS339" s="2" t="s">
        <v>74</v>
      </c>
      <c r="AT339" s="2" t="s">
        <v>932</v>
      </c>
      <c r="AU339" s="2">
        <v>1995</v>
      </c>
      <c r="AV339" s="2">
        <v>272</v>
      </c>
      <c r="AW339" s="2">
        <v>3</v>
      </c>
      <c r="AX339" s="2" t="s">
        <v>74</v>
      </c>
      <c r="AY339" s="2" t="s">
        <v>74</v>
      </c>
      <c r="AZ339" s="2" t="s">
        <v>74</v>
      </c>
      <c r="BA339" s="2" t="s">
        <v>74</v>
      </c>
      <c r="BB339" s="2">
        <v>194</v>
      </c>
      <c r="BC339" s="2">
        <v>200</v>
      </c>
      <c r="BD339" s="2" t="s">
        <v>74</v>
      </c>
      <c r="BE339" s="2" t="s">
        <v>5825</v>
      </c>
      <c r="BF339" s="2" t="str">
        <f>HYPERLINK("http://dx.doi.org/10.1002/jez.1402720304","http://dx.doi.org/10.1002/jez.1402720304")</f>
        <v>http://dx.doi.org/10.1002/jez.1402720304</v>
      </c>
      <c r="BG339" s="2" t="s">
        <v>74</v>
      </c>
      <c r="BH339" s="2" t="s">
        <v>74</v>
      </c>
      <c r="BI339" s="2" t="s">
        <v>74</v>
      </c>
      <c r="BJ339" s="2" t="s">
        <v>74</v>
      </c>
      <c r="BK339" s="2" t="s">
        <v>74</v>
      </c>
      <c r="BL339" s="2" t="s">
        <v>74</v>
      </c>
      <c r="BM339" s="2" t="s">
        <v>74</v>
      </c>
      <c r="BN339" s="2" t="s">
        <v>74</v>
      </c>
      <c r="BO339" s="2" t="s">
        <v>74</v>
      </c>
      <c r="BP339" s="2" t="s">
        <v>74</v>
      </c>
      <c r="BQ339" s="2" t="s">
        <v>74</v>
      </c>
      <c r="BR339" s="2" t="s">
        <v>74</v>
      </c>
      <c r="BS339" s="2" t="s">
        <v>5826</v>
      </c>
      <c r="BT339" s="2" t="str">
        <f>HYPERLINK("https%3A%2F%2Fwww.webofscience.com%2Fwos%2Fwoscc%2Ffull-record%2FWOS:A1995RG10200003","View Full Record in Web of Science")</f>
        <v>View Full Record in Web of Science</v>
      </c>
    </row>
    <row r="340" spans="1:72" s="2" customFormat="1" x14ac:dyDescent="0.4">
      <c r="A340" s="2" t="s">
        <v>72</v>
      </c>
      <c r="B340" s="2" t="s">
        <v>729</v>
      </c>
      <c r="C340" s="2" t="s">
        <v>74</v>
      </c>
      <c r="D340" s="2" t="s">
        <v>74</v>
      </c>
      <c r="E340" s="2" t="s">
        <v>74</v>
      </c>
      <c r="F340" s="2" t="s">
        <v>729</v>
      </c>
      <c r="G340" s="2" t="s">
        <v>74</v>
      </c>
      <c r="H340" s="2" t="s">
        <v>74</v>
      </c>
      <c r="I340" s="2" t="s">
        <v>730</v>
      </c>
      <c r="J340" s="2" t="s">
        <v>731</v>
      </c>
      <c r="K340" s="2" t="s">
        <v>74</v>
      </c>
      <c r="L340" s="2" t="s">
        <v>74</v>
      </c>
      <c r="M340" s="2" t="s">
        <v>74</v>
      </c>
      <c r="N340" s="2" t="s">
        <v>74</v>
      </c>
      <c r="O340" s="2" t="s">
        <v>74</v>
      </c>
      <c r="P340" s="2" t="s">
        <v>74</v>
      </c>
      <c r="Q340" s="2" t="s">
        <v>74</v>
      </c>
      <c r="R340" s="2" t="s">
        <v>74</v>
      </c>
      <c r="S340" s="2" t="s">
        <v>74</v>
      </c>
      <c r="T340" s="2" t="s">
        <v>74</v>
      </c>
      <c r="U340" s="2" t="s">
        <v>74</v>
      </c>
      <c r="V340" s="5" t="s">
        <v>732</v>
      </c>
      <c r="W340" s="2" t="s">
        <v>74</v>
      </c>
      <c r="X340" s="2" t="s">
        <v>74</v>
      </c>
      <c r="Y340" s="2" t="s">
        <v>74</v>
      </c>
      <c r="Z340" s="2" t="s">
        <v>74</v>
      </c>
      <c r="AA340" s="2" t="s">
        <v>74</v>
      </c>
      <c r="AB340" s="2" t="s">
        <v>74</v>
      </c>
      <c r="AC340" s="2" t="s">
        <v>74</v>
      </c>
      <c r="AD340" s="2" t="s">
        <v>74</v>
      </c>
      <c r="AE340" s="2" t="s">
        <v>74</v>
      </c>
      <c r="AF340" s="2" t="s">
        <v>74</v>
      </c>
      <c r="AG340" s="2" t="s">
        <v>74</v>
      </c>
      <c r="AH340" s="2" t="s">
        <v>74</v>
      </c>
      <c r="AI340" s="2" t="s">
        <v>74</v>
      </c>
      <c r="AJ340" s="2" t="s">
        <v>74</v>
      </c>
      <c r="AK340" s="2" t="s">
        <v>74</v>
      </c>
      <c r="AL340" s="2" t="s">
        <v>74</v>
      </c>
      <c r="AM340" s="2" t="s">
        <v>74</v>
      </c>
      <c r="AN340" s="2" t="s">
        <v>74</v>
      </c>
      <c r="AO340" s="2" t="s">
        <v>733</v>
      </c>
      <c r="AP340" s="2" t="s">
        <v>734</v>
      </c>
      <c r="AQ340" s="2" t="s">
        <v>74</v>
      </c>
      <c r="AR340" s="2" t="s">
        <v>74</v>
      </c>
      <c r="AS340" s="2" t="s">
        <v>74</v>
      </c>
      <c r="AT340" s="2" t="s">
        <v>175</v>
      </c>
      <c r="AU340" s="2">
        <v>1998</v>
      </c>
      <c r="AV340" s="2">
        <v>95</v>
      </c>
      <c r="AW340" s="2">
        <v>2</v>
      </c>
      <c r="AX340" s="2" t="s">
        <v>74</v>
      </c>
      <c r="AY340" s="2" t="s">
        <v>74</v>
      </c>
      <c r="AZ340" s="2" t="s">
        <v>74</v>
      </c>
      <c r="BA340" s="2" t="s">
        <v>74</v>
      </c>
      <c r="BB340" s="2">
        <v>227</v>
      </c>
      <c r="BC340" s="2">
        <v>232</v>
      </c>
      <c r="BD340" s="2" t="s">
        <v>74</v>
      </c>
      <c r="BE340" s="2" t="s">
        <v>735</v>
      </c>
      <c r="BF340" s="2" t="str">
        <f>HYPERLINK("http://dx.doi.org/10.1016/S0166-4328(98)00048-5","http://dx.doi.org/10.1016/S0166-4328(98)00048-5")</f>
        <v>http://dx.doi.org/10.1016/S0166-4328(98)00048-5</v>
      </c>
      <c r="BG340" s="2" t="s">
        <v>74</v>
      </c>
      <c r="BH340" s="2" t="s">
        <v>74</v>
      </c>
      <c r="BI340" s="2" t="s">
        <v>74</v>
      </c>
      <c r="BJ340" s="2" t="s">
        <v>74</v>
      </c>
      <c r="BK340" s="2" t="s">
        <v>74</v>
      </c>
      <c r="BL340" s="2" t="s">
        <v>74</v>
      </c>
      <c r="BM340" s="2" t="s">
        <v>74</v>
      </c>
      <c r="BN340" s="2">
        <v>9806442</v>
      </c>
      <c r="BO340" s="2" t="s">
        <v>74</v>
      </c>
      <c r="BP340" s="2" t="s">
        <v>74</v>
      </c>
      <c r="BQ340" s="2" t="s">
        <v>74</v>
      </c>
      <c r="BR340" s="2" t="s">
        <v>74</v>
      </c>
      <c r="BS340" s="2" t="s">
        <v>736</v>
      </c>
      <c r="BT340" s="2" t="str">
        <f>HYPERLINK("https%3A%2F%2Fwww.webofscience.com%2Fwos%2Fwoscc%2Ffull-record%2FWOS:000076619000008","View Full Record in Web of Science")</f>
        <v>View Full Record in Web of Science</v>
      </c>
    </row>
    <row r="341" spans="1:72" s="2" customFormat="1" x14ac:dyDescent="0.4">
      <c r="A341" s="2" t="s">
        <v>72</v>
      </c>
      <c r="B341" s="2" t="s">
        <v>7597</v>
      </c>
      <c r="C341" s="2" t="s">
        <v>74</v>
      </c>
      <c r="D341" s="2" t="s">
        <v>74</v>
      </c>
      <c r="E341" s="2" t="s">
        <v>74</v>
      </c>
      <c r="F341" s="2" t="s">
        <v>7597</v>
      </c>
      <c r="G341" s="2" t="s">
        <v>74</v>
      </c>
      <c r="H341" s="2" t="s">
        <v>74</v>
      </c>
      <c r="I341" s="2" t="s">
        <v>7598</v>
      </c>
      <c r="J341" s="2" t="s">
        <v>7599</v>
      </c>
      <c r="K341" s="2" t="s">
        <v>74</v>
      </c>
      <c r="L341" s="2" t="s">
        <v>74</v>
      </c>
      <c r="M341" s="2" t="s">
        <v>74</v>
      </c>
      <c r="N341" s="2" t="s">
        <v>74</v>
      </c>
      <c r="O341" s="2" t="s">
        <v>74</v>
      </c>
      <c r="P341" s="2" t="s">
        <v>74</v>
      </c>
      <c r="Q341" s="2" t="s">
        <v>74</v>
      </c>
      <c r="R341" s="2" t="s">
        <v>74</v>
      </c>
      <c r="S341" s="2" t="s">
        <v>74</v>
      </c>
      <c r="T341" s="2" t="s">
        <v>74</v>
      </c>
      <c r="U341" s="2" t="s">
        <v>74</v>
      </c>
      <c r="V341" s="5" t="s">
        <v>7600</v>
      </c>
      <c r="W341" s="2" t="s">
        <v>74</v>
      </c>
      <c r="X341" s="2" t="s">
        <v>74</v>
      </c>
      <c r="Y341" s="2" t="s">
        <v>74</v>
      </c>
      <c r="Z341" s="2" t="s">
        <v>74</v>
      </c>
      <c r="AA341" s="2" t="s">
        <v>74</v>
      </c>
      <c r="AB341" s="2" t="s">
        <v>74</v>
      </c>
      <c r="AC341" s="2" t="s">
        <v>74</v>
      </c>
      <c r="AD341" s="2" t="s">
        <v>74</v>
      </c>
      <c r="AE341" s="2" t="s">
        <v>74</v>
      </c>
      <c r="AF341" s="2" t="s">
        <v>74</v>
      </c>
      <c r="AG341" s="2" t="s">
        <v>74</v>
      </c>
      <c r="AH341" s="2" t="s">
        <v>74</v>
      </c>
      <c r="AI341" s="2" t="s">
        <v>74</v>
      </c>
      <c r="AJ341" s="2" t="s">
        <v>74</v>
      </c>
      <c r="AK341" s="2" t="s">
        <v>74</v>
      </c>
      <c r="AL341" s="2" t="s">
        <v>74</v>
      </c>
      <c r="AM341" s="2" t="s">
        <v>74</v>
      </c>
      <c r="AN341" s="2" t="s">
        <v>74</v>
      </c>
      <c r="AO341" s="2" t="s">
        <v>7601</v>
      </c>
      <c r="AP341" s="2" t="s">
        <v>74</v>
      </c>
      <c r="AQ341" s="2" t="s">
        <v>74</v>
      </c>
      <c r="AR341" s="2" t="s">
        <v>74</v>
      </c>
      <c r="AS341" s="2" t="s">
        <v>74</v>
      </c>
      <c r="AT341" s="2" t="s">
        <v>7602</v>
      </c>
      <c r="AU341" s="2">
        <v>1991</v>
      </c>
      <c r="AV341" s="2">
        <v>104</v>
      </c>
      <c r="AW341" s="2">
        <v>2</v>
      </c>
      <c r="AX341" s="2" t="s">
        <v>74</v>
      </c>
      <c r="AY341" s="2" t="s">
        <v>74</v>
      </c>
      <c r="AZ341" s="2" t="s">
        <v>74</v>
      </c>
      <c r="BA341" s="2" t="s">
        <v>74</v>
      </c>
      <c r="BB341" s="2">
        <v>370</v>
      </c>
      <c r="BC341" s="2">
        <v>386</v>
      </c>
      <c r="BD341" s="2" t="s">
        <v>74</v>
      </c>
      <c r="BE341" s="2" t="s">
        <v>74</v>
      </c>
      <c r="BF341" s="2" t="s">
        <v>74</v>
      </c>
      <c r="BG341" s="2" t="s">
        <v>74</v>
      </c>
      <c r="BH341" s="2" t="s">
        <v>74</v>
      </c>
      <c r="BI341" s="2" t="s">
        <v>74</v>
      </c>
      <c r="BJ341" s="2" t="s">
        <v>74</v>
      </c>
      <c r="BK341" s="2" t="s">
        <v>74</v>
      </c>
      <c r="BL341" s="2" t="s">
        <v>74</v>
      </c>
      <c r="BM341" s="2" t="s">
        <v>74</v>
      </c>
      <c r="BN341" s="2" t="s">
        <v>74</v>
      </c>
      <c r="BO341" s="2" t="s">
        <v>74</v>
      </c>
      <c r="BP341" s="2" t="s">
        <v>74</v>
      </c>
      <c r="BQ341" s="2" t="s">
        <v>74</v>
      </c>
      <c r="BR341" s="2" t="s">
        <v>74</v>
      </c>
      <c r="BS341" s="2" t="s">
        <v>7603</v>
      </c>
      <c r="BT341" s="2" t="str">
        <f>HYPERLINK("https%3A%2F%2Fwww.webofscience.com%2Fwos%2Fwoscc%2Ffull-record%2FWOS:A1991FT32000019","View Full Record in Web of Science")</f>
        <v>View Full Record in Web of Science</v>
      </c>
    </row>
    <row r="342" spans="1:72" s="2" customFormat="1" x14ac:dyDescent="0.4">
      <c r="A342" s="2" t="s">
        <v>72</v>
      </c>
      <c r="B342" s="2" t="s">
        <v>7484</v>
      </c>
      <c r="C342" s="2" t="s">
        <v>74</v>
      </c>
      <c r="D342" s="2" t="s">
        <v>74</v>
      </c>
      <c r="E342" s="2" t="s">
        <v>74</v>
      </c>
      <c r="F342" s="2" t="s">
        <v>7484</v>
      </c>
      <c r="G342" s="2" t="s">
        <v>74</v>
      </c>
      <c r="H342" s="2" t="s">
        <v>74</v>
      </c>
      <c r="I342" s="2" t="s">
        <v>7485</v>
      </c>
      <c r="J342" s="2" t="s">
        <v>7486</v>
      </c>
      <c r="K342" s="2" t="s">
        <v>74</v>
      </c>
      <c r="L342" s="2" t="s">
        <v>74</v>
      </c>
      <c r="M342" s="2" t="s">
        <v>74</v>
      </c>
      <c r="N342" s="2" t="s">
        <v>74</v>
      </c>
      <c r="O342" s="2" t="s">
        <v>74</v>
      </c>
      <c r="P342" s="2" t="s">
        <v>74</v>
      </c>
      <c r="Q342" s="2" t="s">
        <v>74</v>
      </c>
      <c r="R342" s="2" t="s">
        <v>74</v>
      </c>
      <c r="S342" s="2" t="s">
        <v>74</v>
      </c>
      <c r="T342" s="2" t="s">
        <v>74</v>
      </c>
      <c r="U342" s="2" t="s">
        <v>74</v>
      </c>
      <c r="V342" s="5" t="s">
        <v>7487</v>
      </c>
      <c r="W342" s="2" t="s">
        <v>74</v>
      </c>
      <c r="X342" s="2" t="s">
        <v>74</v>
      </c>
      <c r="Y342" s="2" t="s">
        <v>74</v>
      </c>
      <c r="Z342" s="2" t="s">
        <v>74</v>
      </c>
      <c r="AA342" s="2" t="s">
        <v>74</v>
      </c>
      <c r="AB342" s="2" t="s">
        <v>74</v>
      </c>
      <c r="AC342" s="2" t="s">
        <v>74</v>
      </c>
      <c r="AD342" s="2" t="s">
        <v>74</v>
      </c>
      <c r="AE342" s="2" t="s">
        <v>74</v>
      </c>
      <c r="AF342" s="2" t="s">
        <v>74</v>
      </c>
      <c r="AG342" s="2" t="s">
        <v>74</v>
      </c>
      <c r="AH342" s="2" t="s">
        <v>74</v>
      </c>
      <c r="AI342" s="2" t="s">
        <v>74</v>
      </c>
      <c r="AJ342" s="2" t="s">
        <v>74</v>
      </c>
      <c r="AK342" s="2" t="s">
        <v>74</v>
      </c>
      <c r="AL342" s="2" t="s">
        <v>74</v>
      </c>
      <c r="AM342" s="2" t="s">
        <v>74</v>
      </c>
      <c r="AN342" s="2" t="s">
        <v>74</v>
      </c>
      <c r="AO342" s="2" t="s">
        <v>74</v>
      </c>
      <c r="AP342" s="2" t="s">
        <v>74</v>
      </c>
      <c r="AQ342" s="2" t="s">
        <v>74</v>
      </c>
      <c r="AR342" s="2" t="s">
        <v>74</v>
      </c>
      <c r="AS342" s="2" t="s">
        <v>74</v>
      </c>
      <c r="AT342" s="2" t="s">
        <v>74</v>
      </c>
      <c r="AU342" s="2">
        <v>1982</v>
      </c>
      <c r="AV342" s="2">
        <v>36</v>
      </c>
      <c r="AW342" s="2">
        <v>1</v>
      </c>
      <c r="AX342" s="2" t="s">
        <v>74</v>
      </c>
      <c r="AY342" s="2" t="s">
        <v>74</v>
      </c>
      <c r="AZ342" s="2" t="s">
        <v>74</v>
      </c>
      <c r="BA342" s="2" t="s">
        <v>74</v>
      </c>
      <c r="BB342" s="2">
        <v>37</v>
      </c>
      <c r="BC342" s="2">
        <v>78</v>
      </c>
      <c r="BD342" s="2" t="s">
        <v>74</v>
      </c>
      <c r="BE342" s="2" t="s">
        <v>74</v>
      </c>
      <c r="BF342" s="2" t="s">
        <v>74</v>
      </c>
      <c r="BG342" s="2" t="s">
        <v>74</v>
      </c>
      <c r="BH342" s="2" t="s">
        <v>74</v>
      </c>
      <c r="BI342" s="2" t="s">
        <v>74</v>
      </c>
      <c r="BJ342" s="2" t="s">
        <v>74</v>
      </c>
      <c r="BK342" s="2" t="s">
        <v>74</v>
      </c>
      <c r="BL342" s="2" t="s">
        <v>74</v>
      </c>
      <c r="BM342" s="2" t="s">
        <v>74</v>
      </c>
      <c r="BN342" s="2" t="s">
        <v>74</v>
      </c>
      <c r="BO342" s="2" t="s">
        <v>74</v>
      </c>
      <c r="BP342" s="2" t="s">
        <v>74</v>
      </c>
      <c r="BQ342" s="2" t="s">
        <v>74</v>
      </c>
      <c r="BR342" s="2" t="s">
        <v>74</v>
      </c>
      <c r="BS342" s="2" t="s">
        <v>7488</v>
      </c>
      <c r="BT342" s="2" t="str">
        <f>HYPERLINK("https%3A%2F%2Fwww.webofscience.com%2Fwos%2Fwoscc%2Ffull-record%2FWOS:A1982MW10500003","View Full Record in Web of Science")</f>
        <v>View Full Record in Web of Science</v>
      </c>
    </row>
    <row r="343" spans="1:72" s="2" customFormat="1" x14ac:dyDescent="0.4">
      <c r="A343" s="2" t="s">
        <v>72</v>
      </c>
      <c r="B343" s="2" t="s">
        <v>1491</v>
      </c>
      <c r="C343" s="2" t="s">
        <v>74</v>
      </c>
      <c r="D343" s="2" t="s">
        <v>74</v>
      </c>
      <c r="E343" s="2" t="s">
        <v>74</v>
      </c>
      <c r="F343" s="2" t="s">
        <v>1492</v>
      </c>
      <c r="G343" s="2" t="s">
        <v>74</v>
      </c>
      <c r="H343" s="2" t="s">
        <v>74</v>
      </c>
      <c r="I343" s="2" t="s">
        <v>1493</v>
      </c>
      <c r="J343" s="2" t="s">
        <v>1494</v>
      </c>
      <c r="K343" s="2" t="s">
        <v>74</v>
      </c>
      <c r="L343" s="2" t="s">
        <v>74</v>
      </c>
      <c r="M343" s="2" t="s">
        <v>74</v>
      </c>
      <c r="N343" s="2" t="s">
        <v>74</v>
      </c>
      <c r="O343" s="2" t="s">
        <v>74</v>
      </c>
      <c r="P343" s="2" t="s">
        <v>74</v>
      </c>
      <c r="Q343" s="2" t="s">
        <v>74</v>
      </c>
      <c r="R343" s="2" t="s">
        <v>74</v>
      </c>
      <c r="S343" s="2" t="s">
        <v>74</v>
      </c>
      <c r="T343" s="2" t="s">
        <v>74</v>
      </c>
      <c r="U343" s="2" t="s">
        <v>74</v>
      </c>
      <c r="V343" s="5" t="s">
        <v>1495</v>
      </c>
      <c r="W343" s="2" t="s">
        <v>74</v>
      </c>
      <c r="X343" s="2" t="s">
        <v>74</v>
      </c>
      <c r="Y343" s="2" t="s">
        <v>74</v>
      </c>
      <c r="Z343" s="2" t="s">
        <v>74</v>
      </c>
      <c r="AA343" s="2" t="s">
        <v>1496</v>
      </c>
      <c r="AB343" s="2" t="s">
        <v>1497</v>
      </c>
      <c r="AC343" s="2" t="s">
        <v>74</v>
      </c>
      <c r="AD343" s="2" t="s">
        <v>74</v>
      </c>
      <c r="AE343" s="2" t="s">
        <v>74</v>
      </c>
      <c r="AF343" s="2" t="s">
        <v>74</v>
      </c>
      <c r="AG343" s="2" t="s">
        <v>74</v>
      </c>
      <c r="AH343" s="2" t="s">
        <v>74</v>
      </c>
      <c r="AI343" s="2" t="s">
        <v>74</v>
      </c>
      <c r="AJ343" s="2" t="s">
        <v>74</v>
      </c>
      <c r="AK343" s="2" t="s">
        <v>74</v>
      </c>
      <c r="AL343" s="2" t="s">
        <v>74</v>
      </c>
      <c r="AM343" s="2" t="s">
        <v>74</v>
      </c>
      <c r="AN343" s="2" t="s">
        <v>74</v>
      </c>
      <c r="AO343" s="2" t="s">
        <v>1498</v>
      </c>
      <c r="AP343" s="2" t="s">
        <v>74</v>
      </c>
      <c r="AQ343" s="2" t="s">
        <v>74</v>
      </c>
      <c r="AR343" s="2" t="s">
        <v>74</v>
      </c>
      <c r="AS343" s="2" t="s">
        <v>74</v>
      </c>
      <c r="AT343" s="2" t="s">
        <v>74</v>
      </c>
      <c r="AU343" s="2">
        <v>2019</v>
      </c>
      <c r="AV343" s="2">
        <v>32</v>
      </c>
      <c r="AW343" s="2" t="s">
        <v>74</v>
      </c>
      <c r="AX343" s="2" t="s">
        <v>74</v>
      </c>
      <c r="AY343" s="2" t="s">
        <v>74</v>
      </c>
      <c r="AZ343" s="2" t="s">
        <v>74</v>
      </c>
      <c r="BA343" s="2" t="s">
        <v>74</v>
      </c>
      <c r="BB343" s="2">
        <v>95</v>
      </c>
      <c r="BC343" s="2">
        <v>99</v>
      </c>
      <c r="BD343" s="2" t="s">
        <v>74</v>
      </c>
      <c r="BE343" s="2" t="s">
        <v>1499</v>
      </c>
      <c r="BF343" s="2" t="str">
        <f>HYPERLINK("http://dx.doi.org/10.3897/herpetozoa.32.e36023","http://dx.doi.org/10.3897/herpetozoa.32.e36023")</f>
        <v>http://dx.doi.org/10.3897/herpetozoa.32.e36023</v>
      </c>
      <c r="BG343" s="2" t="s">
        <v>74</v>
      </c>
      <c r="BH343" s="2" t="s">
        <v>74</v>
      </c>
      <c r="BI343" s="2" t="s">
        <v>74</v>
      </c>
      <c r="BJ343" s="2" t="s">
        <v>74</v>
      </c>
      <c r="BK343" s="2" t="s">
        <v>74</v>
      </c>
      <c r="BL343" s="2" t="s">
        <v>74</v>
      </c>
      <c r="BM343" s="2" t="s">
        <v>74</v>
      </c>
      <c r="BN343" s="2" t="s">
        <v>74</v>
      </c>
      <c r="BO343" s="2" t="s">
        <v>74</v>
      </c>
      <c r="BP343" s="2" t="s">
        <v>74</v>
      </c>
      <c r="BQ343" s="2" t="s">
        <v>74</v>
      </c>
      <c r="BR343" s="2" t="s">
        <v>74</v>
      </c>
      <c r="BS343" s="2" t="s">
        <v>1500</v>
      </c>
      <c r="BT343" s="2" t="str">
        <f>HYPERLINK("https%3A%2F%2Fwww.webofscience.com%2Fwos%2Fwoscc%2Ffull-record%2FWOS:000471808100016","View Full Record in Web of Science")</f>
        <v>View Full Record in Web of Science</v>
      </c>
    </row>
    <row r="344" spans="1:72" s="2" customFormat="1" x14ac:dyDescent="0.4">
      <c r="A344" s="2" t="s">
        <v>72</v>
      </c>
      <c r="B344" s="2" t="s">
        <v>2205</v>
      </c>
      <c r="C344" s="2" t="s">
        <v>74</v>
      </c>
      <c r="D344" s="2" t="s">
        <v>74</v>
      </c>
      <c r="E344" s="2" t="s">
        <v>74</v>
      </c>
      <c r="F344" s="2" t="s">
        <v>2205</v>
      </c>
      <c r="G344" s="2" t="s">
        <v>74</v>
      </c>
      <c r="H344" s="2" t="s">
        <v>74</v>
      </c>
      <c r="I344" s="2" t="s">
        <v>2206</v>
      </c>
      <c r="J344" s="2" t="s">
        <v>2207</v>
      </c>
      <c r="K344" s="2" t="s">
        <v>74</v>
      </c>
      <c r="L344" s="2" t="s">
        <v>74</v>
      </c>
      <c r="M344" s="2" t="s">
        <v>74</v>
      </c>
      <c r="N344" s="2" t="s">
        <v>74</v>
      </c>
      <c r="O344" s="2" t="s">
        <v>74</v>
      </c>
      <c r="P344" s="2" t="s">
        <v>74</v>
      </c>
      <c r="Q344" s="2" t="s">
        <v>74</v>
      </c>
      <c r="R344" s="2" t="s">
        <v>74</v>
      </c>
      <c r="S344" s="2" t="s">
        <v>74</v>
      </c>
      <c r="T344" s="2" t="s">
        <v>74</v>
      </c>
      <c r="U344" s="2" t="s">
        <v>74</v>
      </c>
      <c r="V344" s="5" t="s">
        <v>2208</v>
      </c>
      <c r="W344" s="2" t="s">
        <v>74</v>
      </c>
      <c r="X344" s="2" t="s">
        <v>74</v>
      </c>
      <c r="Y344" s="2" t="s">
        <v>74</v>
      </c>
      <c r="Z344" s="2" t="s">
        <v>74</v>
      </c>
      <c r="AA344" s="2" t="s">
        <v>2209</v>
      </c>
      <c r="AB344" s="2" t="s">
        <v>2210</v>
      </c>
      <c r="AC344" s="2" t="s">
        <v>74</v>
      </c>
      <c r="AD344" s="2" t="s">
        <v>74</v>
      </c>
      <c r="AE344" s="2" t="s">
        <v>74</v>
      </c>
      <c r="AF344" s="2" t="s">
        <v>74</v>
      </c>
      <c r="AG344" s="2" t="s">
        <v>74</v>
      </c>
      <c r="AH344" s="2" t="s">
        <v>74</v>
      </c>
      <c r="AI344" s="2" t="s">
        <v>74</v>
      </c>
      <c r="AJ344" s="2" t="s">
        <v>74</v>
      </c>
      <c r="AK344" s="2" t="s">
        <v>74</v>
      </c>
      <c r="AL344" s="2" t="s">
        <v>74</v>
      </c>
      <c r="AM344" s="2" t="s">
        <v>74</v>
      </c>
      <c r="AN344" s="2" t="s">
        <v>74</v>
      </c>
      <c r="AO344" s="2" t="s">
        <v>2211</v>
      </c>
      <c r="AP344" s="2" t="s">
        <v>74</v>
      </c>
      <c r="AQ344" s="2" t="s">
        <v>74</v>
      </c>
      <c r="AR344" s="2" t="s">
        <v>74</v>
      </c>
      <c r="AS344" s="2" t="s">
        <v>74</v>
      </c>
      <c r="AT344" s="2" t="s">
        <v>204</v>
      </c>
      <c r="AU344" s="2">
        <v>2006</v>
      </c>
      <c r="AV344" s="2">
        <v>37</v>
      </c>
      <c r="AW344" s="2">
        <v>4</v>
      </c>
      <c r="AX344" s="2" t="s">
        <v>74</v>
      </c>
      <c r="AY344" s="2" t="s">
        <v>74</v>
      </c>
      <c r="AZ344" s="2" t="s">
        <v>74</v>
      </c>
      <c r="BA344" s="2" t="s">
        <v>74</v>
      </c>
      <c r="BB344" s="2">
        <v>339</v>
      </c>
      <c r="BC344" s="2">
        <v>348</v>
      </c>
      <c r="BD344" s="2" t="s">
        <v>74</v>
      </c>
      <c r="BE344" s="2" t="s">
        <v>2212</v>
      </c>
      <c r="BF344" s="2" t="str">
        <f>HYPERLINK("http://dx.doi.org/10.1111/j.2006.0908-8857.03655.x","http://dx.doi.org/10.1111/j.2006.0908-8857.03655.x")</f>
        <v>http://dx.doi.org/10.1111/j.2006.0908-8857.03655.x</v>
      </c>
      <c r="BG344" s="2" t="s">
        <v>74</v>
      </c>
      <c r="BH344" s="2" t="s">
        <v>74</v>
      </c>
      <c r="BI344" s="2" t="s">
        <v>74</v>
      </c>
      <c r="BJ344" s="2" t="s">
        <v>74</v>
      </c>
      <c r="BK344" s="2" t="s">
        <v>74</v>
      </c>
      <c r="BL344" s="2" t="s">
        <v>74</v>
      </c>
      <c r="BM344" s="2" t="s">
        <v>74</v>
      </c>
      <c r="BN344" s="2" t="s">
        <v>74</v>
      </c>
      <c r="BO344" s="2" t="s">
        <v>74</v>
      </c>
      <c r="BP344" s="2" t="s">
        <v>74</v>
      </c>
      <c r="BQ344" s="2" t="s">
        <v>74</v>
      </c>
      <c r="BR344" s="2" t="s">
        <v>74</v>
      </c>
      <c r="BS344" s="2" t="s">
        <v>2213</v>
      </c>
      <c r="BT344" s="2" t="str">
        <f>HYPERLINK("https%3A%2F%2Fwww.webofscience.com%2Fwos%2Fwoscc%2Ffull-record%2FWOS:000238486700008","View Full Record in Web of Science")</f>
        <v>View Full Record in Web of Science</v>
      </c>
    </row>
    <row r="345" spans="1:72" s="2" customFormat="1" x14ac:dyDescent="0.4">
      <c r="A345" s="2" t="s">
        <v>72</v>
      </c>
      <c r="B345" s="2" t="s">
        <v>7287</v>
      </c>
      <c r="C345" s="2" t="s">
        <v>74</v>
      </c>
      <c r="D345" s="2" t="s">
        <v>74</v>
      </c>
      <c r="E345" s="2" t="s">
        <v>74</v>
      </c>
      <c r="F345" s="2" t="s">
        <v>7287</v>
      </c>
      <c r="G345" s="2" t="s">
        <v>74</v>
      </c>
      <c r="H345" s="2" t="s">
        <v>74</v>
      </c>
      <c r="I345" s="2" t="s">
        <v>7288</v>
      </c>
      <c r="J345" s="2" t="s">
        <v>367</v>
      </c>
      <c r="K345" s="2" t="s">
        <v>74</v>
      </c>
      <c r="L345" s="2" t="s">
        <v>74</v>
      </c>
      <c r="M345" s="2" t="s">
        <v>74</v>
      </c>
      <c r="N345" s="2" t="s">
        <v>74</v>
      </c>
      <c r="O345" s="2" t="s">
        <v>74</v>
      </c>
      <c r="P345" s="2" t="s">
        <v>74</v>
      </c>
      <c r="Q345" s="2" t="s">
        <v>74</v>
      </c>
      <c r="R345" s="2" t="s">
        <v>74</v>
      </c>
      <c r="S345" s="2" t="s">
        <v>74</v>
      </c>
      <c r="T345" s="2" t="s">
        <v>74</v>
      </c>
      <c r="U345" s="2" t="s">
        <v>74</v>
      </c>
      <c r="V345" s="5" t="s">
        <v>7289</v>
      </c>
      <c r="W345" s="2" t="s">
        <v>74</v>
      </c>
      <c r="X345" s="2" t="s">
        <v>74</v>
      </c>
      <c r="Y345" s="2" t="s">
        <v>74</v>
      </c>
      <c r="Z345" s="2" t="s">
        <v>74</v>
      </c>
      <c r="AA345" s="2" t="s">
        <v>74</v>
      </c>
      <c r="AB345" s="2" t="s">
        <v>74</v>
      </c>
      <c r="AC345" s="2" t="s">
        <v>74</v>
      </c>
      <c r="AD345" s="2" t="s">
        <v>74</v>
      </c>
      <c r="AE345" s="2" t="s">
        <v>74</v>
      </c>
      <c r="AF345" s="2" t="s">
        <v>74</v>
      </c>
      <c r="AG345" s="2" t="s">
        <v>74</v>
      </c>
      <c r="AH345" s="2" t="s">
        <v>74</v>
      </c>
      <c r="AI345" s="2" t="s">
        <v>74</v>
      </c>
      <c r="AJ345" s="2" t="s">
        <v>74</v>
      </c>
      <c r="AK345" s="2" t="s">
        <v>74</v>
      </c>
      <c r="AL345" s="2" t="s">
        <v>74</v>
      </c>
      <c r="AM345" s="2" t="s">
        <v>74</v>
      </c>
      <c r="AN345" s="2" t="s">
        <v>74</v>
      </c>
      <c r="AO345" s="2" t="s">
        <v>371</v>
      </c>
      <c r="AP345" s="2" t="s">
        <v>372</v>
      </c>
      <c r="AQ345" s="2" t="s">
        <v>74</v>
      </c>
      <c r="AR345" s="2" t="s">
        <v>74</v>
      </c>
      <c r="AS345" s="2" t="s">
        <v>74</v>
      </c>
      <c r="AT345" s="2" t="s">
        <v>102</v>
      </c>
      <c r="AU345" s="2">
        <v>1992</v>
      </c>
      <c r="AV345" s="2">
        <v>106</v>
      </c>
      <c r="AW345" s="2">
        <v>2</v>
      </c>
      <c r="AX345" s="2" t="s">
        <v>74</v>
      </c>
      <c r="AY345" s="2" t="s">
        <v>74</v>
      </c>
      <c r="AZ345" s="2" t="s">
        <v>74</v>
      </c>
      <c r="BA345" s="2" t="s">
        <v>74</v>
      </c>
      <c r="BB345" s="2">
        <v>150</v>
      </c>
      <c r="BC345" s="2">
        <v>162</v>
      </c>
      <c r="BD345" s="2" t="s">
        <v>74</v>
      </c>
      <c r="BE345" s="2" t="s">
        <v>74</v>
      </c>
      <c r="BF345" s="2" t="s">
        <v>74</v>
      </c>
      <c r="BG345" s="2" t="s">
        <v>74</v>
      </c>
      <c r="BH345" s="2" t="s">
        <v>74</v>
      </c>
      <c r="BI345" s="2" t="s">
        <v>74</v>
      </c>
      <c r="BJ345" s="2" t="s">
        <v>74</v>
      </c>
      <c r="BK345" s="2" t="s">
        <v>74</v>
      </c>
      <c r="BL345" s="2" t="s">
        <v>74</v>
      </c>
      <c r="BM345" s="2" t="s">
        <v>74</v>
      </c>
      <c r="BN345" s="2" t="s">
        <v>74</v>
      </c>
      <c r="BO345" s="2" t="s">
        <v>74</v>
      </c>
      <c r="BP345" s="2" t="s">
        <v>74</v>
      </c>
      <c r="BQ345" s="2" t="s">
        <v>74</v>
      </c>
      <c r="BR345" s="2" t="s">
        <v>74</v>
      </c>
      <c r="BS345" s="2" t="s">
        <v>7290</v>
      </c>
      <c r="BT345" s="2" t="str">
        <f>HYPERLINK("https%3A%2F%2Fwww.webofscience.com%2Fwos%2Fwoscc%2Ffull-record%2FWOS:A1992HW96900007","View Full Record in Web of Science")</f>
        <v>View Full Record in Web of Science</v>
      </c>
    </row>
    <row r="346" spans="1:72" s="2" customFormat="1" x14ac:dyDescent="0.4">
      <c r="A346" s="2" t="s">
        <v>72</v>
      </c>
      <c r="B346" s="2" t="s">
        <v>4178</v>
      </c>
      <c r="C346" s="2" t="s">
        <v>74</v>
      </c>
      <c r="D346" s="2" t="s">
        <v>74</v>
      </c>
      <c r="E346" s="2" t="s">
        <v>74</v>
      </c>
      <c r="F346" s="2" t="s">
        <v>4178</v>
      </c>
      <c r="G346" s="2" t="s">
        <v>74</v>
      </c>
      <c r="H346" s="2" t="s">
        <v>74</v>
      </c>
      <c r="I346" s="2" t="s">
        <v>4179</v>
      </c>
      <c r="J346" s="2" t="s">
        <v>1126</v>
      </c>
      <c r="K346" s="2" t="s">
        <v>74</v>
      </c>
      <c r="L346" s="2" t="s">
        <v>74</v>
      </c>
      <c r="M346" s="2" t="s">
        <v>74</v>
      </c>
      <c r="N346" s="2" t="s">
        <v>74</v>
      </c>
      <c r="O346" s="2" t="s">
        <v>74</v>
      </c>
      <c r="P346" s="2" t="s">
        <v>74</v>
      </c>
      <c r="Q346" s="2" t="s">
        <v>74</v>
      </c>
      <c r="R346" s="2" t="s">
        <v>74</v>
      </c>
      <c r="S346" s="2" t="s">
        <v>74</v>
      </c>
      <c r="T346" s="2" t="s">
        <v>74</v>
      </c>
      <c r="U346" s="2" t="s">
        <v>74</v>
      </c>
      <c r="V346" s="5" t="s">
        <v>4180</v>
      </c>
      <c r="W346" s="2" t="s">
        <v>74</v>
      </c>
      <c r="X346" s="2" t="s">
        <v>74</v>
      </c>
      <c r="Y346" s="2" t="s">
        <v>74</v>
      </c>
      <c r="Z346" s="2" t="s">
        <v>74</v>
      </c>
      <c r="AA346" s="2" t="s">
        <v>4181</v>
      </c>
      <c r="AB346" s="2" t="s">
        <v>74</v>
      </c>
      <c r="AC346" s="2" t="s">
        <v>74</v>
      </c>
      <c r="AD346" s="2" t="s">
        <v>74</v>
      </c>
      <c r="AE346" s="2" t="s">
        <v>74</v>
      </c>
      <c r="AF346" s="2" t="s">
        <v>74</v>
      </c>
      <c r="AG346" s="2" t="s">
        <v>74</v>
      </c>
      <c r="AH346" s="2" t="s">
        <v>74</v>
      </c>
      <c r="AI346" s="2" t="s">
        <v>74</v>
      </c>
      <c r="AJ346" s="2" t="s">
        <v>74</v>
      </c>
      <c r="AK346" s="2" t="s">
        <v>74</v>
      </c>
      <c r="AL346" s="2" t="s">
        <v>74</v>
      </c>
      <c r="AM346" s="2" t="s">
        <v>74</v>
      </c>
      <c r="AN346" s="2" t="s">
        <v>74</v>
      </c>
      <c r="AO346" s="2" t="s">
        <v>1128</v>
      </c>
      <c r="AP346" s="2" t="s">
        <v>1129</v>
      </c>
      <c r="AQ346" s="2" t="s">
        <v>74</v>
      </c>
      <c r="AR346" s="2" t="s">
        <v>74</v>
      </c>
      <c r="AS346" s="2" t="s">
        <v>74</v>
      </c>
      <c r="AT346" s="2" t="s">
        <v>2028</v>
      </c>
      <c r="AU346" s="2">
        <v>1985</v>
      </c>
      <c r="AV346" s="2" t="s">
        <v>74</v>
      </c>
      <c r="AW346" s="2">
        <v>4</v>
      </c>
      <c r="AX346" s="2" t="s">
        <v>74</v>
      </c>
      <c r="AY346" s="2" t="s">
        <v>74</v>
      </c>
      <c r="AZ346" s="2" t="s">
        <v>74</v>
      </c>
      <c r="BA346" s="2" t="s">
        <v>74</v>
      </c>
      <c r="BB346" s="2">
        <v>966</v>
      </c>
      <c r="BC346" s="2">
        <v>975</v>
      </c>
      <c r="BD346" s="2" t="s">
        <v>74</v>
      </c>
      <c r="BE346" s="2" t="s">
        <v>74</v>
      </c>
      <c r="BF346" s="2" t="s">
        <v>74</v>
      </c>
      <c r="BG346" s="2" t="s">
        <v>74</v>
      </c>
      <c r="BH346" s="2" t="s">
        <v>74</v>
      </c>
      <c r="BI346" s="2" t="s">
        <v>74</v>
      </c>
      <c r="BJ346" s="2" t="s">
        <v>74</v>
      </c>
      <c r="BK346" s="2" t="s">
        <v>74</v>
      </c>
      <c r="BL346" s="2" t="s">
        <v>74</v>
      </c>
      <c r="BM346" s="2" t="s">
        <v>74</v>
      </c>
      <c r="BN346" s="2" t="s">
        <v>74</v>
      </c>
      <c r="BO346" s="2" t="s">
        <v>74</v>
      </c>
      <c r="BP346" s="2" t="s">
        <v>74</v>
      </c>
      <c r="BQ346" s="2" t="s">
        <v>74</v>
      </c>
      <c r="BR346" s="2" t="s">
        <v>74</v>
      </c>
      <c r="BS346" s="2" t="s">
        <v>4182</v>
      </c>
      <c r="BT346" s="2" t="str">
        <f>HYPERLINK("https%3A%2F%2Fwww.webofscience.com%2Fwos%2Fwoscc%2Ffull-record%2FWOS:A1985AXC0800019","View Full Record in Web of Science")</f>
        <v>View Full Record in Web of Science</v>
      </c>
    </row>
    <row r="347" spans="1:72" s="2" customFormat="1" x14ac:dyDescent="0.4">
      <c r="A347" s="2" t="s">
        <v>72</v>
      </c>
      <c r="B347" s="2" t="s">
        <v>920</v>
      </c>
      <c r="C347" s="2" t="s">
        <v>74</v>
      </c>
      <c r="D347" s="2" t="s">
        <v>74</v>
      </c>
      <c r="E347" s="2" t="s">
        <v>74</v>
      </c>
      <c r="F347" s="2" t="s">
        <v>921</v>
      </c>
      <c r="G347" s="2" t="s">
        <v>74</v>
      </c>
      <c r="H347" s="2" t="s">
        <v>74</v>
      </c>
      <c r="I347" s="2" t="s">
        <v>922</v>
      </c>
      <c r="J347" s="2" t="s">
        <v>108</v>
      </c>
      <c r="K347" s="2" t="s">
        <v>74</v>
      </c>
      <c r="L347" s="2" t="s">
        <v>74</v>
      </c>
      <c r="M347" s="2" t="s">
        <v>74</v>
      </c>
      <c r="N347" s="2" t="s">
        <v>74</v>
      </c>
      <c r="O347" s="2" t="s">
        <v>74</v>
      </c>
      <c r="P347" s="2" t="s">
        <v>74</v>
      </c>
      <c r="Q347" s="2" t="s">
        <v>74</v>
      </c>
      <c r="R347" s="2" t="s">
        <v>74</v>
      </c>
      <c r="S347" s="2" t="s">
        <v>74</v>
      </c>
      <c r="T347" s="2" t="s">
        <v>74</v>
      </c>
      <c r="U347" s="2" t="s">
        <v>74</v>
      </c>
      <c r="V347" s="5" t="s">
        <v>923</v>
      </c>
      <c r="W347" s="2" t="s">
        <v>74</v>
      </c>
      <c r="X347" s="2" t="s">
        <v>74</v>
      </c>
      <c r="Y347" s="2" t="s">
        <v>74</v>
      </c>
      <c r="Z347" s="2" t="s">
        <v>74</v>
      </c>
      <c r="AA347" s="2" t="s">
        <v>74</v>
      </c>
      <c r="AB347" s="2" t="s">
        <v>74</v>
      </c>
      <c r="AC347" s="2" t="s">
        <v>74</v>
      </c>
      <c r="AD347" s="2" t="s">
        <v>74</v>
      </c>
      <c r="AE347" s="2" t="s">
        <v>74</v>
      </c>
      <c r="AF347" s="2" t="s">
        <v>74</v>
      </c>
      <c r="AG347" s="2" t="s">
        <v>74</v>
      </c>
      <c r="AH347" s="2" t="s">
        <v>74</v>
      </c>
      <c r="AI347" s="2" t="s">
        <v>74</v>
      </c>
      <c r="AJ347" s="2" t="s">
        <v>74</v>
      </c>
      <c r="AK347" s="2" t="s">
        <v>74</v>
      </c>
      <c r="AL347" s="2" t="s">
        <v>74</v>
      </c>
      <c r="AM347" s="2" t="s">
        <v>74</v>
      </c>
      <c r="AN347" s="2" t="s">
        <v>74</v>
      </c>
      <c r="AO347" s="2" t="s">
        <v>111</v>
      </c>
      <c r="AP347" s="2" t="s">
        <v>112</v>
      </c>
      <c r="AQ347" s="2" t="s">
        <v>74</v>
      </c>
      <c r="AR347" s="2" t="s">
        <v>74</v>
      </c>
      <c r="AS347" s="2" t="s">
        <v>74</v>
      </c>
      <c r="AT347" s="2" t="s">
        <v>924</v>
      </c>
      <c r="AU347" s="2">
        <v>2007</v>
      </c>
      <c r="AV347" s="2">
        <v>274</v>
      </c>
      <c r="AW347" s="2">
        <v>1627</v>
      </c>
      <c r="AX347" s="2" t="s">
        <v>74</v>
      </c>
      <c r="AY347" s="2" t="s">
        <v>74</v>
      </c>
      <c r="AZ347" s="2" t="s">
        <v>74</v>
      </c>
      <c r="BA347" s="2" t="s">
        <v>74</v>
      </c>
      <c r="BB347" s="2">
        <v>2785</v>
      </c>
      <c r="BC347" s="2">
        <v>2790</v>
      </c>
      <c r="BD347" s="2" t="s">
        <v>74</v>
      </c>
      <c r="BE347" s="2" t="s">
        <v>925</v>
      </c>
      <c r="BF347" s="2" t="str">
        <f>HYPERLINK("http://dx.doi.org/10.1098/rspb.2007.1059","http://dx.doi.org/10.1098/rspb.2007.1059")</f>
        <v>http://dx.doi.org/10.1098/rspb.2007.1059</v>
      </c>
      <c r="BG347" s="2" t="s">
        <v>74</v>
      </c>
      <c r="BH347" s="2" t="s">
        <v>74</v>
      </c>
      <c r="BI347" s="2" t="s">
        <v>74</v>
      </c>
      <c r="BJ347" s="2" t="s">
        <v>74</v>
      </c>
      <c r="BK347" s="2" t="s">
        <v>74</v>
      </c>
      <c r="BL347" s="2" t="s">
        <v>74</v>
      </c>
      <c r="BM347" s="2" t="s">
        <v>74</v>
      </c>
      <c r="BN347" s="2">
        <v>17848366</v>
      </c>
      <c r="BO347" s="2" t="s">
        <v>74</v>
      </c>
      <c r="BP347" s="2" t="s">
        <v>74</v>
      </c>
      <c r="BQ347" s="2" t="s">
        <v>74</v>
      </c>
      <c r="BR347" s="2" t="s">
        <v>74</v>
      </c>
      <c r="BS347" s="2" t="s">
        <v>926</v>
      </c>
      <c r="BT347" s="2" t="str">
        <f>HYPERLINK("https%3A%2F%2Fwww.webofscience.com%2Fwos%2Fwoscc%2Ffull-record%2FWOS:000250555000002","View Full Record in Web of Science")</f>
        <v>View Full Record in Web of Science</v>
      </c>
    </row>
    <row r="348" spans="1:72" s="2" customFormat="1" x14ac:dyDescent="0.4">
      <c r="A348" s="2" t="s">
        <v>72</v>
      </c>
      <c r="B348" s="2" t="s">
        <v>7098</v>
      </c>
      <c r="C348" s="2" t="s">
        <v>74</v>
      </c>
      <c r="D348" s="2" t="s">
        <v>74</v>
      </c>
      <c r="E348" s="2" t="s">
        <v>74</v>
      </c>
      <c r="F348" s="2" t="s">
        <v>7098</v>
      </c>
      <c r="G348" s="2" t="s">
        <v>74</v>
      </c>
      <c r="H348" s="2" t="s">
        <v>74</v>
      </c>
      <c r="I348" s="2" t="s">
        <v>7099</v>
      </c>
      <c r="J348" s="2" t="s">
        <v>4064</v>
      </c>
      <c r="K348" s="2" t="s">
        <v>74</v>
      </c>
      <c r="L348" s="2" t="s">
        <v>74</v>
      </c>
      <c r="M348" s="2" t="s">
        <v>74</v>
      </c>
      <c r="N348" s="2" t="s">
        <v>74</v>
      </c>
      <c r="O348" s="2" t="s">
        <v>74</v>
      </c>
      <c r="P348" s="2" t="s">
        <v>74</v>
      </c>
      <c r="Q348" s="2" t="s">
        <v>74</v>
      </c>
      <c r="R348" s="2" t="s">
        <v>74</v>
      </c>
      <c r="S348" s="2" t="s">
        <v>74</v>
      </c>
      <c r="T348" s="2" t="s">
        <v>74</v>
      </c>
      <c r="U348" s="2" t="s">
        <v>74</v>
      </c>
      <c r="V348" s="5" t="s">
        <v>7100</v>
      </c>
      <c r="W348" s="2" t="s">
        <v>74</v>
      </c>
      <c r="X348" s="2" t="s">
        <v>74</v>
      </c>
      <c r="Y348" s="2" t="s">
        <v>74</v>
      </c>
      <c r="Z348" s="2" t="s">
        <v>74</v>
      </c>
      <c r="AA348" s="2" t="s">
        <v>74</v>
      </c>
      <c r="AB348" s="2" t="s">
        <v>74</v>
      </c>
      <c r="AC348" s="2" t="s">
        <v>74</v>
      </c>
      <c r="AD348" s="2" t="s">
        <v>74</v>
      </c>
      <c r="AE348" s="2" t="s">
        <v>74</v>
      </c>
      <c r="AF348" s="2" t="s">
        <v>74</v>
      </c>
      <c r="AG348" s="2" t="s">
        <v>74</v>
      </c>
      <c r="AH348" s="2" t="s">
        <v>74</v>
      </c>
      <c r="AI348" s="2" t="s">
        <v>74</v>
      </c>
      <c r="AJ348" s="2" t="s">
        <v>74</v>
      </c>
      <c r="AK348" s="2" t="s">
        <v>74</v>
      </c>
      <c r="AL348" s="2" t="s">
        <v>74</v>
      </c>
      <c r="AM348" s="2" t="s">
        <v>74</v>
      </c>
      <c r="AN348" s="2" t="s">
        <v>74</v>
      </c>
      <c r="AO348" s="2" t="s">
        <v>4068</v>
      </c>
      <c r="AP348" s="2" t="s">
        <v>4069</v>
      </c>
      <c r="AQ348" s="2" t="s">
        <v>74</v>
      </c>
      <c r="AR348" s="2" t="s">
        <v>74</v>
      </c>
      <c r="AS348" s="2" t="s">
        <v>74</v>
      </c>
      <c r="AT348" s="2" t="s">
        <v>7101</v>
      </c>
      <c r="AU348" s="2">
        <v>2005</v>
      </c>
      <c r="AV348" s="2">
        <v>15</v>
      </c>
      <c r="AW348" s="2">
        <v>23</v>
      </c>
      <c r="AX348" s="2" t="s">
        <v>74</v>
      </c>
      <c r="AY348" s="2" t="s">
        <v>74</v>
      </c>
      <c r="AZ348" s="2" t="s">
        <v>74</v>
      </c>
      <c r="BA348" s="2" t="s">
        <v>74</v>
      </c>
      <c r="BB348" s="2">
        <v>2170</v>
      </c>
      <c r="BC348" s="2">
        <v>2174</v>
      </c>
      <c r="BD348" s="2" t="s">
        <v>74</v>
      </c>
      <c r="BE348" s="2" t="s">
        <v>7102</v>
      </c>
      <c r="BF348" s="2" t="str">
        <f>HYPERLINK("http://dx.doi.org/10.1016/j.cub.2005.10.067","http://dx.doi.org/10.1016/j.cub.2005.10.067")</f>
        <v>http://dx.doi.org/10.1016/j.cub.2005.10.067</v>
      </c>
      <c r="BG348" s="2" t="s">
        <v>74</v>
      </c>
      <c r="BH348" s="2" t="s">
        <v>74</v>
      </c>
      <c r="BI348" s="2" t="s">
        <v>74</v>
      </c>
      <c r="BJ348" s="2" t="s">
        <v>74</v>
      </c>
      <c r="BK348" s="2" t="s">
        <v>74</v>
      </c>
      <c r="BL348" s="2" t="s">
        <v>74</v>
      </c>
      <c r="BM348" s="2" t="s">
        <v>74</v>
      </c>
      <c r="BN348" s="2">
        <v>16332544</v>
      </c>
      <c r="BO348" s="2" t="s">
        <v>74</v>
      </c>
      <c r="BP348" s="2" t="s">
        <v>74</v>
      </c>
      <c r="BQ348" s="2" t="s">
        <v>74</v>
      </c>
      <c r="BR348" s="2" t="s">
        <v>74</v>
      </c>
      <c r="BS348" s="2" t="s">
        <v>7103</v>
      </c>
      <c r="BT348" s="2" t="str">
        <f>HYPERLINK("https%3A%2F%2Fwww.webofscience.com%2Fwos%2Fwoscc%2Ffull-record%2FWOS:000234013400033","View Full Record in Web of Science")</f>
        <v>View Full Record in Web of Science</v>
      </c>
    </row>
    <row r="349" spans="1:72" s="2" customFormat="1" x14ac:dyDescent="0.4">
      <c r="A349" s="2" t="s">
        <v>72</v>
      </c>
      <c r="B349" s="2" t="s">
        <v>7460</v>
      </c>
      <c r="C349" s="2" t="s">
        <v>74</v>
      </c>
      <c r="D349" s="2" t="s">
        <v>74</v>
      </c>
      <c r="E349" s="2" t="s">
        <v>74</v>
      </c>
      <c r="F349" s="2" t="s">
        <v>7461</v>
      </c>
      <c r="G349" s="2" t="s">
        <v>74</v>
      </c>
      <c r="H349" s="2" t="s">
        <v>74</v>
      </c>
      <c r="I349" s="2" t="s">
        <v>7462</v>
      </c>
      <c r="J349" s="2" t="s">
        <v>1026</v>
      </c>
      <c r="K349" s="2" t="s">
        <v>74</v>
      </c>
      <c r="L349" s="2" t="s">
        <v>74</v>
      </c>
      <c r="M349" s="2" t="s">
        <v>74</v>
      </c>
      <c r="N349" s="2" t="s">
        <v>74</v>
      </c>
      <c r="O349" s="2" t="s">
        <v>7463</v>
      </c>
      <c r="P349" s="2" t="s">
        <v>7464</v>
      </c>
      <c r="Q349" s="2" t="s">
        <v>7465</v>
      </c>
      <c r="R349" s="2" t="s">
        <v>7466</v>
      </c>
      <c r="S349" s="2" t="s">
        <v>74</v>
      </c>
      <c r="T349" s="2" t="s">
        <v>74</v>
      </c>
      <c r="U349" s="2" t="s">
        <v>74</v>
      </c>
      <c r="V349" s="5" t="s">
        <v>7467</v>
      </c>
      <c r="W349" s="2" t="s">
        <v>74</v>
      </c>
      <c r="X349" s="2" t="s">
        <v>74</v>
      </c>
      <c r="Y349" s="2" t="s">
        <v>74</v>
      </c>
      <c r="Z349" s="2" t="s">
        <v>74</v>
      </c>
      <c r="AA349" s="2" t="s">
        <v>74</v>
      </c>
      <c r="AB349" s="2" t="s">
        <v>74</v>
      </c>
      <c r="AC349" s="2" t="s">
        <v>74</v>
      </c>
      <c r="AD349" s="2" t="s">
        <v>74</v>
      </c>
      <c r="AE349" s="2" t="s">
        <v>74</v>
      </c>
      <c r="AF349" s="2" t="s">
        <v>74</v>
      </c>
      <c r="AG349" s="2" t="s">
        <v>74</v>
      </c>
      <c r="AH349" s="2" t="s">
        <v>74</v>
      </c>
      <c r="AI349" s="2" t="s">
        <v>74</v>
      </c>
      <c r="AJ349" s="2" t="s">
        <v>74</v>
      </c>
      <c r="AK349" s="2" t="s">
        <v>74</v>
      </c>
      <c r="AL349" s="2" t="s">
        <v>74</v>
      </c>
      <c r="AM349" s="2" t="s">
        <v>74</v>
      </c>
      <c r="AN349" s="2" t="s">
        <v>74</v>
      </c>
      <c r="AO349" s="2" t="s">
        <v>1030</v>
      </c>
      <c r="AP349" s="2" t="s">
        <v>1031</v>
      </c>
      <c r="AQ349" s="2" t="s">
        <v>74</v>
      </c>
      <c r="AR349" s="2" t="s">
        <v>74</v>
      </c>
      <c r="AS349" s="2" t="s">
        <v>74</v>
      </c>
      <c r="AT349" s="2" t="s">
        <v>964</v>
      </c>
      <c r="AU349" s="2">
        <v>2019</v>
      </c>
      <c r="AV349" s="2">
        <v>40</v>
      </c>
      <c r="AW349" s="2">
        <v>1</v>
      </c>
      <c r="AX349" s="2" t="s">
        <v>74</v>
      </c>
      <c r="AY349" s="2" t="s">
        <v>74</v>
      </c>
      <c r="AZ349" s="2" t="s">
        <v>848</v>
      </c>
      <c r="BA349" s="2" t="s">
        <v>74</v>
      </c>
      <c r="BB349" s="2">
        <v>28</v>
      </c>
      <c r="BC349" s="2">
        <v>52</v>
      </c>
      <c r="BD349" s="2" t="s">
        <v>74</v>
      </c>
      <c r="BE349" s="2" t="s">
        <v>7468</v>
      </c>
      <c r="BF349" s="2" t="str">
        <f>HYPERLINK("http://dx.doi.org/10.1007/s10764-018-0029-7","http://dx.doi.org/10.1007/s10764-018-0029-7")</f>
        <v>http://dx.doi.org/10.1007/s10764-018-0029-7</v>
      </c>
      <c r="BG349" s="2" t="s">
        <v>74</v>
      </c>
      <c r="BH349" s="2" t="s">
        <v>74</v>
      </c>
      <c r="BI349" s="2" t="s">
        <v>74</v>
      </c>
      <c r="BJ349" s="2" t="s">
        <v>74</v>
      </c>
      <c r="BK349" s="2" t="s">
        <v>74</v>
      </c>
      <c r="BL349" s="2" t="s">
        <v>74</v>
      </c>
      <c r="BM349" s="2" t="s">
        <v>74</v>
      </c>
      <c r="BN349" s="2" t="s">
        <v>74</v>
      </c>
      <c r="BO349" s="2" t="s">
        <v>74</v>
      </c>
      <c r="BP349" s="2" t="s">
        <v>74</v>
      </c>
      <c r="BQ349" s="2" t="s">
        <v>74</v>
      </c>
      <c r="BR349" s="2" t="s">
        <v>74</v>
      </c>
      <c r="BS349" s="2" t="s">
        <v>7469</v>
      </c>
      <c r="BT349" s="2" t="str">
        <f>HYPERLINK("https%3A%2F%2Fwww.webofscience.com%2Fwos%2Fwoscc%2Ffull-record%2FWOS:000460006300003","View Full Record in Web of Science")</f>
        <v>View Full Record in Web of Science</v>
      </c>
    </row>
    <row r="350" spans="1:72" s="2" customFormat="1" x14ac:dyDescent="0.4">
      <c r="A350" s="2" t="s">
        <v>72</v>
      </c>
      <c r="B350" s="2" t="s">
        <v>2321</v>
      </c>
      <c r="C350" s="2" t="s">
        <v>74</v>
      </c>
      <c r="D350" s="2" t="s">
        <v>74</v>
      </c>
      <c r="E350" s="2" t="s">
        <v>74</v>
      </c>
      <c r="F350" s="2" t="s">
        <v>2322</v>
      </c>
      <c r="G350" s="2" t="s">
        <v>74</v>
      </c>
      <c r="H350" s="2" t="s">
        <v>74</v>
      </c>
      <c r="I350" s="2" t="s">
        <v>2323</v>
      </c>
      <c r="J350" s="2" t="s">
        <v>431</v>
      </c>
      <c r="K350" s="2" t="s">
        <v>74</v>
      </c>
      <c r="L350" s="2" t="s">
        <v>74</v>
      </c>
      <c r="M350" s="2" t="s">
        <v>74</v>
      </c>
      <c r="N350" s="2" t="s">
        <v>74</v>
      </c>
      <c r="O350" s="2" t="s">
        <v>74</v>
      </c>
      <c r="P350" s="2" t="s">
        <v>74</v>
      </c>
      <c r="Q350" s="2" t="s">
        <v>74</v>
      </c>
      <c r="R350" s="2" t="s">
        <v>74</v>
      </c>
      <c r="S350" s="2" t="s">
        <v>74</v>
      </c>
      <c r="T350" s="2" t="s">
        <v>74</v>
      </c>
      <c r="U350" s="2" t="s">
        <v>74</v>
      </c>
      <c r="V350" s="5" t="s">
        <v>2324</v>
      </c>
      <c r="W350" s="2" t="s">
        <v>74</v>
      </c>
      <c r="X350" s="2" t="s">
        <v>74</v>
      </c>
      <c r="Y350" s="2" t="s">
        <v>74</v>
      </c>
      <c r="Z350" s="2" t="s">
        <v>74</v>
      </c>
      <c r="AA350" s="2" t="s">
        <v>74</v>
      </c>
      <c r="AB350" s="2" t="s">
        <v>2325</v>
      </c>
      <c r="AC350" s="2" t="s">
        <v>74</v>
      </c>
      <c r="AD350" s="2" t="s">
        <v>74</v>
      </c>
      <c r="AE350" s="2" t="s">
        <v>74</v>
      </c>
      <c r="AF350" s="2" t="s">
        <v>74</v>
      </c>
      <c r="AG350" s="2" t="s">
        <v>74</v>
      </c>
      <c r="AH350" s="2" t="s">
        <v>74</v>
      </c>
      <c r="AI350" s="2" t="s">
        <v>74</v>
      </c>
      <c r="AJ350" s="2" t="s">
        <v>74</v>
      </c>
      <c r="AK350" s="2" t="s">
        <v>74</v>
      </c>
      <c r="AL350" s="2" t="s">
        <v>74</v>
      </c>
      <c r="AM350" s="2" t="s">
        <v>74</v>
      </c>
      <c r="AN350" s="2" t="s">
        <v>74</v>
      </c>
      <c r="AO350" s="2" t="s">
        <v>74</v>
      </c>
      <c r="AP350" s="2" t="s">
        <v>435</v>
      </c>
      <c r="AQ350" s="2" t="s">
        <v>74</v>
      </c>
      <c r="AR350" s="2" t="s">
        <v>74</v>
      </c>
      <c r="AS350" s="2" t="s">
        <v>74</v>
      </c>
      <c r="AT350" s="2" t="s">
        <v>633</v>
      </c>
      <c r="AU350" s="2">
        <v>2017</v>
      </c>
      <c r="AV350" s="2">
        <v>134</v>
      </c>
      <c r="AW350" s="2">
        <v>2</v>
      </c>
      <c r="AX350" s="2" t="s">
        <v>74</v>
      </c>
      <c r="AY350" s="2" t="s">
        <v>74</v>
      </c>
      <c r="AZ350" s="2" t="s">
        <v>74</v>
      </c>
      <c r="BA350" s="2" t="s">
        <v>74</v>
      </c>
      <c r="BB350" s="2">
        <v>317</v>
      </c>
      <c r="BC350" s="2">
        <v>329</v>
      </c>
      <c r="BD350" s="2" t="s">
        <v>74</v>
      </c>
      <c r="BE350" s="2" t="s">
        <v>2326</v>
      </c>
      <c r="BF350" s="2" t="str">
        <f>HYPERLINK("http://dx.doi.org/10.1642/AUK-16-119.1","http://dx.doi.org/10.1642/AUK-16-119.1")</f>
        <v>http://dx.doi.org/10.1642/AUK-16-119.1</v>
      </c>
      <c r="BG350" s="2" t="s">
        <v>74</v>
      </c>
      <c r="BH350" s="2" t="s">
        <v>74</v>
      </c>
      <c r="BI350" s="2" t="s">
        <v>74</v>
      </c>
      <c r="BJ350" s="2" t="s">
        <v>74</v>
      </c>
      <c r="BK350" s="2" t="s">
        <v>74</v>
      </c>
      <c r="BL350" s="2" t="s">
        <v>74</v>
      </c>
      <c r="BM350" s="2" t="s">
        <v>74</v>
      </c>
      <c r="BN350" s="2" t="s">
        <v>74</v>
      </c>
      <c r="BO350" s="2" t="s">
        <v>74</v>
      </c>
      <c r="BP350" s="2" t="s">
        <v>74</v>
      </c>
      <c r="BQ350" s="2" t="s">
        <v>74</v>
      </c>
      <c r="BR350" s="2" t="s">
        <v>74</v>
      </c>
      <c r="BS350" s="2" t="s">
        <v>2327</v>
      </c>
      <c r="BT350" s="2" t="str">
        <f>HYPERLINK("https%3A%2F%2Fwww.webofscience.com%2Fwos%2Fwoscc%2Ffull-record%2FWOS:000398573200004","View Full Record in Web of Science")</f>
        <v>View Full Record in Web of Science</v>
      </c>
    </row>
    <row r="351" spans="1:72" s="2" customFormat="1" x14ac:dyDescent="0.4">
      <c r="A351" s="2" t="s">
        <v>72</v>
      </c>
      <c r="B351" s="2" t="s">
        <v>3496</v>
      </c>
      <c r="C351" s="2" t="s">
        <v>74</v>
      </c>
      <c r="D351" s="2" t="s">
        <v>74</v>
      </c>
      <c r="E351" s="2" t="s">
        <v>74</v>
      </c>
      <c r="F351" s="2" t="s">
        <v>3496</v>
      </c>
      <c r="G351" s="2" t="s">
        <v>74</v>
      </c>
      <c r="H351" s="2" t="s">
        <v>74</v>
      </c>
      <c r="I351" s="2" t="s">
        <v>3497</v>
      </c>
      <c r="J351" s="2" t="s">
        <v>3498</v>
      </c>
      <c r="K351" s="2" t="s">
        <v>74</v>
      </c>
      <c r="L351" s="2" t="s">
        <v>74</v>
      </c>
      <c r="M351" s="2" t="s">
        <v>74</v>
      </c>
      <c r="N351" s="2" t="s">
        <v>74</v>
      </c>
      <c r="O351" s="2" t="s">
        <v>74</v>
      </c>
      <c r="P351" s="2" t="s">
        <v>74</v>
      </c>
      <c r="Q351" s="2" t="s">
        <v>74</v>
      </c>
      <c r="R351" s="2" t="s">
        <v>74</v>
      </c>
      <c r="S351" s="2" t="s">
        <v>74</v>
      </c>
      <c r="T351" s="2" t="s">
        <v>74</v>
      </c>
      <c r="U351" s="2" t="s">
        <v>74</v>
      </c>
      <c r="V351" s="5" t="s">
        <v>3499</v>
      </c>
      <c r="W351" s="2" t="s">
        <v>74</v>
      </c>
      <c r="X351" s="2" t="s">
        <v>74</v>
      </c>
      <c r="Y351" s="2" t="s">
        <v>74</v>
      </c>
      <c r="Z351" s="2" t="s">
        <v>74</v>
      </c>
      <c r="AA351" s="2" t="s">
        <v>74</v>
      </c>
      <c r="AB351" s="2" t="s">
        <v>3500</v>
      </c>
      <c r="AC351" s="2" t="s">
        <v>74</v>
      </c>
      <c r="AD351" s="2" t="s">
        <v>74</v>
      </c>
      <c r="AE351" s="2" t="s">
        <v>74</v>
      </c>
      <c r="AF351" s="2" t="s">
        <v>74</v>
      </c>
      <c r="AG351" s="2" t="s">
        <v>74</v>
      </c>
      <c r="AH351" s="2" t="s">
        <v>74</v>
      </c>
      <c r="AI351" s="2" t="s">
        <v>74</v>
      </c>
      <c r="AJ351" s="2" t="s">
        <v>74</v>
      </c>
      <c r="AK351" s="2" t="s">
        <v>74</v>
      </c>
      <c r="AL351" s="2" t="s">
        <v>74</v>
      </c>
      <c r="AM351" s="2" t="s">
        <v>74</v>
      </c>
      <c r="AN351" s="2" t="s">
        <v>74</v>
      </c>
      <c r="AO351" s="2" t="s">
        <v>3501</v>
      </c>
      <c r="AP351" s="2" t="s">
        <v>3502</v>
      </c>
      <c r="AQ351" s="2" t="s">
        <v>74</v>
      </c>
      <c r="AR351" s="2" t="s">
        <v>74</v>
      </c>
      <c r="AS351" s="2" t="s">
        <v>74</v>
      </c>
      <c r="AT351" s="2" t="s">
        <v>633</v>
      </c>
      <c r="AU351" s="2">
        <v>1997</v>
      </c>
      <c r="AV351" s="2">
        <v>26</v>
      </c>
      <c r="AW351" s="2">
        <v>2</v>
      </c>
      <c r="AX351" s="2" t="s">
        <v>74</v>
      </c>
      <c r="AY351" s="2" t="s">
        <v>74</v>
      </c>
      <c r="AZ351" s="2" t="s">
        <v>74</v>
      </c>
      <c r="BA351" s="2" t="s">
        <v>74</v>
      </c>
      <c r="BB351" s="2">
        <v>318</v>
      </c>
      <c r="BC351" s="2">
        <v>326</v>
      </c>
      <c r="BD351" s="2" t="s">
        <v>74</v>
      </c>
      <c r="BE351" s="2" t="s">
        <v>3503</v>
      </c>
      <c r="BF351" s="2" t="str">
        <f>HYPERLINK("http://dx.doi.org/10.1093/ee/26.2.318","http://dx.doi.org/10.1093/ee/26.2.318")</f>
        <v>http://dx.doi.org/10.1093/ee/26.2.318</v>
      </c>
      <c r="BG351" s="2" t="s">
        <v>74</v>
      </c>
      <c r="BH351" s="2" t="s">
        <v>74</v>
      </c>
      <c r="BI351" s="2" t="s">
        <v>74</v>
      </c>
      <c r="BJ351" s="2" t="s">
        <v>74</v>
      </c>
      <c r="BK351" s="2" t="s">
        <v>74</v>
      </c>
      <c r="BL351" s="2" t="s">
        <v>74</v>
      </c>
      <c r="BM351" s="2" t="s">
        <v>74</v>
      </c>
      <c r="BN351" s="2" t="s">
        <v>74</v>
      </c>
      <c r="BO351" s="2" t="s">
        <v>74</v>
      </c>
      <c r="BP351" s="2" t="s">
        <v>74</v>
      </c>
      <c r="BQ351" s="2" t="s">
        <v>74</v>
      </c>
      <c r="BR351" s="2" t="s">
        <v>74</v>
      </c>
      <c r="BS351" s="2" t="s">
        <v>3504</v>
      </c>
      <c r="BT351" s="2" t="str">
        <f>HYPERLINK("https%3A%2F%2Fwww.webofscience.com%2Fwos%2Fwoscc%2Ffull-record%2FWOS:A1997WZ11800024","View Full Record in Web of Science")</f>
        <v>View Full Record in Web of Science</v>
      </c>
    </row>
    <row r="352" spans="1:72" s="2" customFormat="1" x14ac:dyDescent="0.4">
      <c r="A352" s="2" t="s">
        <v>72</v>
      </c>
      <c r="B352" s="2" t="s">
        <v>6849</v>
      </c>
      <c r="C352" s="2" t="s">
        <v>74</v>
      </c>
      <c r="D352" s="2" t="s">
        <v>74</v>
      </c>
      <c r="E352" s="2" t="s">
        <v>74</v>
      </c>
      <c r="F352" s="2" t="s">
        <v>6850</v>
      </c>
      <c r="G352" s="2" t="s">
        <v>74</v>
      </c>
      <c r="H352" s="2" t="s">
        <v>74</v>
      </c>
      <c r="I352" s="2" t="s">
        <v>6851</v>
      </c>
      <c r="J352" s="2" t="s">
        <v>2901</v>
      </c>
      <c r="K352" s="2" t="s">
        <v>74</v>
      </c>
      <c r="L352" s="2" t="s">
        <v>74</v>
      </c>
      <c r="M352" s="2" t="s">
        <v>74</v>
      </c>
      <c r="N352" s="2" t="s">
        <v>74</v>
      </c>
      <c r="O352" s="2" t="s">
        <v>74</v>
      </c>
      <c r="P352" s="2" t="s">
        <v>74</v>
      </c>
      <c r="Q352" s="2" t="s">
        <v>74</v>
      </c>
      <c r="R352" s="2" t="s">
        <v>74</v>
      </c>
      <c r="S352" s="2" t="s">
        <v>74</v>
      </c>
      <c r="T352" s="2" t="s">
        <v>74</v>
      </c>
      <c r="U352" s="2" t="s">
        <v>74</v>
      </c>
      <c r="V352" s="5" t="s">
        <v>6852</v>
      </c>
      <c r="W352" s="2" t="s">
        <v>74</v>
      </c>
      <c r="X352" s="2" t="s">
        <v>74</v>
      </c>
      <c r="Y352" s="2" t="s">
        <v>74</v>
      </c>
      <c r="Z352" s="2" t="s">
        <v>74</v>
      </c>
      <c r="AA352" s="2" t="s">
        <v>6853</v>
      </c>
      <c r="AB352" s="2" t="s">
        <v>6854</v>
      </c>
      <c r="AC352" s="2" t="s">
        <v>74</v>
      </c>
      <c r="AD352" s="2" t="s">
        <v>74</v>
      </c>
      <c r="AE352" s="2" t="s">
        <v>74</v>
      </c>
      <c r="AF352" s="2" t="s">
        <v>74</v>
      </c>
      <c r="AG352" s="2" t="s">
        <v>74</v>
      </c>
      <c r="AH352" s="2" t="s">
        <v>74</v>
      </c>
      <c r="AI352" s="2" t="s">
        <v>74</v>
      </c>
      <c r="AJ352" s="2" t="s">
        <v>74</v>
      </c>
      <c r="AK352" s="2" t="s">
        <v>74</v>
      </c>
      <c r="AL352" s="2" t="s">
        <v>74</v>
      </c>
      <c r="AM352" s="2" t="s">
        <v>74</v>
      </c>
      <c r="AN352" s="2" t="s">
        <v>74</v>
      </c>
      <c r="AO352" s="2" t="s">
        <v>2903</v>
      </c>
      <c r="AP352" s="2" t="s">
        <v>2904</v>
      </c>
      <c r="AQ352" s="2" t="s">
        <v>74</v>
      </c>
      <c r="AR352" s="2" t="s">
        <v>74</v>
      </c>
      <c r="AS352" s="2" t="s">
        <v>74</v>
      </c>
      <c r="AT352" s="2" t="s">
        <v>74</v>
      </c>
      <c r="AU352" s="2">
        <v>2016</v>
      </c>
      <c r="AV352" s="2">
        <v>28</v>
      </c>
      <c r="AW352" s="2">
        <v>4</v>
      </c>
      <c r="AX352" s="2" t="s">
        <v>74</v>
      </c>
      <c r="AY352" s="2" t="s">
        <v>74</v>
      </c>
      <c r="AZ352" s="2" t="s">
        <v>74</v>
      </c>
      <c r="BA352" s="2" t="s">
        <v>74</v>
      </c>
      <c r="BB352" s="2">
        <v>462</v>
      </c>
      <c r="BC352" s="2">
        <v>476</v>
      </c>
      <c r="BD352" s="2" t="s">
        <v>74</v>
      </c>
      <c r="BE352" s="2" t="s">
        <v>6855</v>
      </c>
      <c r="BF352" s="2" t="str">
        <f>HYPERLINK("http://dx.doi.org/10.1080/03949370.2015.1077892","http://dx.doi.org/10.1080/03949370.2015.1077892")</f>
        <v>http://dx.doi.org/10.1080/03949370.2015.1077892</v>
      </c>
      <c r="BG352" s="2" t="s">
        <v>74</v>
      </c>
      <c r="BH352" s="2" t="s">
        <v>74</v>
      </c>
      <c r="BI352" s="2" t="s">
        <v>74</v>
      </c>
      <c r="BJ352" s="2" t="s">
        <v>74</v>
      </c>
      <c r="BK352" s="2" t="s">
        <v>74</v>
      </c>
      <c r="BL352" s="2" t="s">
        <v>74</v>
      </c>
      <c r="BM352" s="2" t="s">
        <v>74</v>
      </c>
      <c r="BN352" s="2" t="s">
        <v>74</v>
      </c>
      <c r="BO352" s="2" t="s">
        <v>74</v>
      </c>
      <c r="BP352" s="2" t="s">
        <v>74</v>
      </c>
      <c r="BQ352" s="2" t="s">
        <v>74</v>
      </c>
      <c r="BR352" s="2" t="s">
        <v>74</v>
      </c>
      <c r="BS352" s="2" t="s">
        <v>6856</v>
      </c>
      <c r="BT352" s="2" t="str">
        <f>HYPERLINK("https%3A%2F%2Fwww.webofscience.com%2Fwos%2Fwoscc%2Ffull-record%2FWOS:000384547700009","View Full Record in Web of Science")</f>
        <v>View Full Record in Web of Science</v>
      </c>
    </row>
    <row r="353" spans="1:72" s="1" customFormat="1" x14ac:dyDescent="0.4">
      <c r="A353" s="2" t="s">
        <v>72</v>
      </c>
      <c r="B353" s="2" t="s">
        <v>8135</v>
      </c>
      <c r="C353" s="2" t="s">
        <v>74</v>
      </c>
      <c r="D353" s="2" t="s">
        <v>74</v>
      </c>
      <c r="E353" s="2" t="s">
        <v>74</v>
      </c>
      <c r="F353" s="2" t="s">
        <v>8135</v>
      </c>
      <c r="G353" s="2" t="s">
        <v>74</v>
      </c>
      <c r="H353" s="2" t="s">
        <v>74</v>
      </c>
      <c r="I353" s="2" t="s">
        <v>8136</v>
      </c>
      <c r="J353" s="2" t="s">
        <v>1237</v>
      </c>
      <c r="K353" s="2" t="s">
        <v>74</v>
      </c>
      <c r="L353" s="2" t="s">
        <v>74</v>
      </c>
      <c r="M353" s="2" t="s">
        <v>74</v>
      </c>
      <c r="N353" s="2" t="s">
        <v>74</v>
      </c>
      <c r="O353" s="2" t="s">
        <v>74</v>
      </c>
      <c r="P353" s="2" t="s">
        <v>74</v>
      </c>
      <c r="Q353" s="2" t="s">
        <v>74</v>
      </c>
      <c r="R353" s="2" t="s">
        <v>74</v>
      </c>
      <c r="S353" s="2" t="s">
        <v>74</v>
      </c>
      <c r="T353" s="2" t="s">
        <v>74</v>
      </c>
      <c r="U353" s="2" t="s">
        <v>74</v>
      </c>
      <c r="V353" s="5" t="s">
        <v>8137</v>
      </c>
      <c r="W353" s="2" t="s">
        <v>74</v>
      </c>
      <c r="X353" s="2" t="s">
        <v>74</v>
      </c>
      <c r="Y353" s="2" t="s">
        <v>74</v>
      </c>
      <c r="Z353" s="2" t="s">
        <v>74</v>
      </c>
      <c r="AA353" s="2" t="s">
        <v>8138</v>
      </c>
      <c r="AB353" s="2" t="s">
        <v>8139</v>
      </c>
      <c r="AC353" s="2" t="s">
        <v>74</v>
      </c>
      <c r="AD353" s="2" t="s">
        <v>74</v>
      </c>
      <c r="AE353" s="2" t="s">
        <v>74</v>
      </c>
      <c r="AF353" s="2" t="s">
        <v>74</v>
      </c>
      <c r="AG353" s="2" t="s">
        <v>74</v>
      </c>
      <c r="AH353" s="2" t="s">
        <v>74</v>
      </c>
      <c r="AI353" s="2" t="s">
        <v>74</v>
      </c>
      <c r="AJ353" s="2" t="s">
        <v>74</v>
      </c>
      <c r="AK353" s="2" t="s">
        <v>74</v>
      </c>
      <c r="AL353" s="2" t="s">
        <v>74</v>
      </c>
      <c r="AM353" s="2" t="s">
        <v>74</v>
      </c>
      <c r="AN353" s="2" t="s">
        <v>74</v>
      </c>
      <c r="AO353" s="2" t="s">
        <v>1239</v>
      </c>
      <c r="AP353" s="2" t="s">
        <v>74</v>
      </c>
      <c r="AQ353" s="2" t="s">
        <v>74</v>
      </c>
      <c r="AR353" s="2" t="s">
        <v>74</v>
      </c>
      <c r="AS353" s="2" t="s">
        <v>74</v>
      </c>
      <c r="AT353" s="2" t="s">
        <v>102</v>
      </c>
      <c r="AU353" s="2">
        <v>1993</v>
      </c>
      <c r="AV353" s="2">
        <v>71</v>
      </c>
      <c r="AW353" s="2">
        <v>6</v>
      </c>
      <c r="AX353" s="2" t="s">
        <v>74</v>
      </c>
      <c r="AY353" s="2" t="s">
        <v>74</v>
      </c>
      <c r="AZ353" s="2" t="s">
        <v>74</v>
      </c>
      <c r="BA353" s="2" t="s">
        <v>74</v>
      </c>
      <c r="BB353" s="2">
        <v>1104</v>
      </c>
      <c r="BC353" s="2">
        <v>1110</v>
      </c>
      <c r="BD353" s="2" t="s">
        <v>74</v>
      </c>
      <c r="BE353" s="2" t="s">
        <v>8140</v>
      </c>
      <c r="BF353" s="2" t="str">
        <f>HYPERLINK("http://dx.doi.org/10.1139/z93-150","http://dx.doi.org/10.1139/z93-150")</f>
        <v>http://dx.doi.org/10.1139/z93-150</v>
      </c>
      <c r="BG353" s="2" t="s">
        <v>74</v>
      </c>
      <c r="BH353" s="2" t="s">
        <v>74</v>
      </c>
      <c r="BI353" s="2" t="s">
        <v>74</v>
      </c>
      <c r="BJ353" s="2" t="s">
        <v>74</v>
      </c>
      <c r="BK353" s="2" t="s">
        <v>74</v>
      </c>
      <c r="BL353" s="2" t="s">
        <v>74</v>
      </c>
      <c r="BM353" s="2" t="s">
        <v>74</v>
      </c>
      <c r="BN353" s="2" t="s">
        <v>74</v>
      </c>
      <c r="BO353" s="2" t="s">
        <v>74</v>
      </c>
      <c r="BP353" s="2" t="s">
        <v>74</v>
      </c>
      <c r="BQ353" s="2" t="s">
        <v>74</v>
      </c>
      <c r="BR353" s="2" t="s">
        <v>74</v>
      </c>
      <c r="BS353" s="2" t="s">
        <v>8141</v>
      </c>
      <c r="BT353" s="2" t="str">
        <f>HYPERLINK("https%3A%2F%2Fwww.webofscience.com%2Fwos%2Fwoscc%2Ffull-record%2FWOS:A1993LU73200006","View Full Record in Web of Science")</f>
        <v>View Full Record in Web of Science</v>
      </c>
    </row>
    <row r="354" spans="1:72" s="2" customFormat="1" x14ac:dyDescent="0.4">
      <c r="A354" s="2" t="s">
        <v>72</v>
      </c>
      <c r="B354" s="2" t="s">
        <v>480</v>
      </c>
      <c r="C354" s="2" t="s">
        <v>74</v>
      </c>
      <c r="D354" s="2" t="s">
        <v>74</v>
      </c>
      <c r="E354" s="2" t="s">
        <v>74</v>
      </c>
      <c r="F354" s="2" t="s">
        <v>481</v>
      </c>
      <c r="G354" s="2" t="s">
        <v>74</v>
      </c>
      <c r="H354" s="2" t="s">
        <v>74</v>
      </c>
      <c r="I354" s="2" t="s">
        <v>482</v>
      </c>
      <c r="J354" s="2" t="s">
        <v>218</v>
      </c>
      <c r="K354" s="2" t="s">
        <v>74</v>
      </c>
      <c r="L354" s="2" t="s">
        <v>74</v>
      </c>
      <c r="M354" s="2" t="s">
        <v>74</v>
      </c>
      <c r="N354" s="2" t="s">
        <v>74</v>
      </c>
      <c r="O354" s="2" t="s">
        <v>74</v>
      </c>
      <c r="P354" s="2" t="s">
        <v>74</v>
      </c>
      <c r="Q354" s="2" t="s">
        <v>74</v>
      </c>
      <c r="R354" s="2" t="s">
        <v>74</v>
      </c>
      <c r="S354" s="2" t="s">
        <v>74</v>
      </c>
      <c r="T354" s="2" t="s">
        <v>74</v>
      </c>
      <c r="U354" s="2" t="s">
        <v>74</v>
      </c>
      <c r="V354" s="5" t="s">
        <v>483</v>
      </c>
      <c r="W354" s="2" t="s">
        <v>74</v>
      </c>
      <c r="X354" s="2" t="s">
        <v>74</v>
      </c>
      <c r="Y354" s="2" t="s">
        <v>74</v>
      </c>
      <c r="Z354" s="2" t="s">
        <v>74</v>
      </c>
      <c r="AA354" s="2" t="s">
        <v>484</v>
      </c>
      <c r="AB354" s="2" t="s">
        <v>485</v>
      </c>
      <c r="AC354" s="2" t="s">
        <v>74</v>
      </c>
      <c r="AD354" s="2" t="s">
        <v>74</v>
      </c>
      <c r="AE354" s="2" t="s">
        <v>74</v>
      </c>
      <c r="AF354" s="2" t="s">
        <v>74</v>
      </c>
      <c r="AG354" s="2" t="s">
        <v>74</v>
      </c>
      <c r="AH354" s="2" t="s">
        <v>74</v>
      </c>
      <c r="AI354" s="2" t="s">
        <v>74</v>
      </c>
      <c r="AJ354" s="2" t="s">
        <v>74</v>
      </c>
      <c r="AK354" s="2" t="s">
        <v>74</v>
      </c>
      <c r="AL354" s="2" t="s">
        <v>74</v>
      </c>
      <c r="AM354" s="2" t="s">
        <v>74</v>
      </c>
      <c r="AN354" s="2" t="s">
        <v>74</v>
      </c>
      <c r="AO354" s="2" t="s">
        <v>221</v>
      </c>
      <c r="AP354" s="2" t="s">
        <v>222</v>
      </c>
      <c r="AQ354" s="2" t="s">
        <v>74</v>
      </c>
      <c r="AR354" s="2" t="s">
        <v>74</v>
      </c>
      <c r="AS354" s="2" t="s">
        <v>74</v>
      </c>
      <c r="AT354" s="2" t="s">
        <v>123</v>
      </c>
      <c r="AU354" s="2">
        <v>2007</v>
      </c>
      <c r="AV354" s="2">
        <v>20</v>
      </c>
      <c r="AW354" s="2">
        <v>2</v>
      </c>
      <c r="AX354" s="2" t="s">
        <v>74</v>
      </c>
      <c r="AY354" s="2" t="s">
        <v>74</v>
      </c>
      <c r="AZ354" s="2" t="s">
        <v>74</v>
      </c>
      <c r="BA354" s="2" t="s">
        <v>74</v>
      </c>
      <c r="BB354" s="2">
        <v>496</v>
      </c>
      <c r="BC354" s="2">
        <v>502</v>
      </c>
      <c r="BD354" s="2" t="s">
        <v>74</v>
      </c>
      <c r="BE354" s="2" t="s">
        <v>486</v>
      </c>
      <c r="BF354" s="2" t="str">
        <f>HYPERLINK("http://dx.doi.org/10.1111/j.1420-9101.2006.01266.x","http://dx.doi.org/10.1111/j.1420-9101.2006.01266.x")</f>
        <v>http://dx.doi.org/10.1111/j.1420-9101.2006.01266.x</v>
      </c>
      <c r="BG354" s="2" t="s">
        <v>74</v>
      </c>
      <c r="BH354" s="2" t="s">
        <v>74</v>
      </c>
      <c r="BI354" s="2" t="s">
        <v>74</v>
      </c>
      <c r="BJ354" s="2" t="s">
        <v>74</v>
      </c>
      <c r="BK354" s="2" t="s">
        <v>74</v>
      </c>
      <c r="BL354" s="2" t="s">
        <v>74</v>
      </c>
      <c r="BM354" s="2" t="s">
        <v>74</v>
      </c>
      <c r="BN354" s="2">
        <v>17305815</v>
      </c>
      <c r="BO354" s="2" t="s">
        <v>74</v>
      </c>
      <c r="BP354" s="2" t="s">
        <v>74</v>
      </c>
      <c r="BQ354" s="2" t="s">
        <v>74</v>
      </c>
      <c r="BR354" s="2" t="s">
        <v>74</v>
      </c>
      <c r="BS354" s="2" t="s">
        <v>487</v>
      </c>
      <c r="BT354" s="2" t="str">
        <f>HYPERLINK("https%3A%2F%2Fwww.webofscience.com%2Fwos%2Fwoscc%2Ffull-record%2FWOS:000244244300008","View Full Record in Web of Science")</f>
        <v>View Full Record in Web of Science</v>
      </c>
    </row>
    <row r="355" spans="1:72" s="2" customFormat="1" x14ac:dyDescent="0.4">
      <c r="A355" s="2" t="s">
        <v>72</v>
      </c>
      <c r="B355" s="2" t="s">
        <v>4678</v>
      </c>
      <c r="C355" s="2" t="s">
        <v>74</v>
      </c>
      <c r="D355" s="2" t="s">
        <v>74</v>
      </c>
      <c r="E355" s="2" t="s">
        <v>74</v>
      </c>
      <c r="F355" s="2" t="s">
        <v>4679</v>
      </c>
      <c r="G355" s="2" t="s">
        <v>74</v>
      </c>
      <c r="H355" s="2" t="s">
        <v>74</v>
      </c>
      <c r="I355" s="2" t="s">
        <v>4680</v>
      </c>
      <c r="J355" s="2" t="s">
        <v>218</v>
      </c>
      <c r="K355" s="2" t="s">
        <v>74</v>
      </c>
      <c r="L355" s="2" t="s">
        <v>74</v>
      </c>
      <c r="M355" s="2" t="s">
        <v>74</v>
      </c>
      <c r="N355" s="2" t="s">
        <v>74</v>
      </c>
      <c r="O355" s="2" t="s">
        <v>74</v>
      </c>
      <c r="P355" s="2" t="s">
        <v>74</v>
      </c>
      <c r="Q355" s="2" t="s">
        <v>74</v>
      </c>
      <c r="R355" s="2" t="s">
        <v>74</v>
      </c>
      <c r="S355" s="2" t="s">
        <v>74</v>
      </c>
      <c r="T355" s="2" t="s">
        <v>74</v>
      </c>
      <c r="U355" s="2" t="s">
        <v>74</v>
      </c>
      <c r="V355" s="5" t="s">
        <v>4681</v>
      </c>
      <c r="W355" s="2" t="s">
        <v>74</v>
      </c>
      <c r="X355" s="2" t="s">
        <v>74</v>
      </c>
      <c r="Y355" s="2" t="s">
        <v>74</v>
      </c>
      <c r="Z355" s="2" t="s">
        <v>74</v>
      </c>
      <c r="AA355" s="2" t="s">
        <v>4682</v>
      </c>
      <c r="AB355" s="2" t="s">
        <v>4683</v>
      </c>
      <c r="AC355" s="2" t="s">
        <v>74</v>
      </c>
      <c r="AD355" s="2" t="s">
        <v>74</v>
      </c>
      <c r="AE355" s="2" t="s">
        <v>74</v>
      </c>
      <c r="AF355" s="2" t="s">
        <v>74</v>
      </c>
      <c r="AG355" s="2" t="s">
        <v>74</v>
      </c>
      <c r="AH355" s="2" t="s">
        <v>74</v>
      </c>
      <c r="AI355" s="2" t="s">
        <v>74</v>
      </c>
      <c r="AJ355" s="2" t="s">
        <v>74</v>
      </c>
      <c r="AK355" s="2" t="s">
        <v>74</v>
      </c>
      <c r="AL355" s="2" t="s">
        <v>74</v>
      </c>
      <c r="AM355" s="2" t="s">
        <v>74</v>
      </c>
      <c r="AN355" s="2" t="s">
        <v>74</v>
      </c>
      <c r="AO355" s="2" t="s">
        <v>221</v>
      </c>
      <c r="AP355" s="2" t="s">
        <v>222</v>
      </c>
      <c r="AQ355" s="2" t="s">
        <v>74</v>
      </c>
      <c r="AR355" s="2" t="s">
        <v>74</v>
      </c>
      <c r="AS355" s="2" t="s">
        <v>74</v>
      </c>
      <c r="AT355" s="2" t="s">
        <v>305</v>
      </c>
      <c r="AU355" s="2">
        <v>2011</v>
      </c>
      <c r="AV355" s="2">
        <v>24</v>
      </c>
      <c r="AW355" s="2">
        <v>12</v>
      </c>
      <c r="AX355" s="2" t="s">
        <v>74</v>
      </c>
      <c r="AY355" s="2" t="s">
        <v>74</v>
      </c>
      <c r="AZ355" s="2" t="s">
        <v>74</v>
      </c>
      <c r="BA355" s="2" t="s">
        <v>74</v>
      </c>
      <c r="BB355" s="2">
        <v>2639</v>
      </c>
      <c r="BC355" s="2">
        <v>2652</v>
      </c>
      <c r="BD355" s="2" t="s">
        <v>74</v>
      </c>
      <c r="BE355" s="2" t="s">
        <v>4684</v>
      </c>
      <c r="BF355" s="2" t="str">
        <f>HYPERLINK("http://dx.doi.org/10.1111/j.1420-9101.2011.02389.x","http://dx.doi.org/10.1111/j.1420-9101.2011.02389.x")</f>
        <v>http://dx.doi.org/10.1111/j.1420-9101.2011.02389.x</v>
      </c>
      <c r="BG355" s="2" t="s">
        <v>74</v>
      </c>
      <c r="BH355" s="2" t="s">
        <v>74</v>
      </c>
      <c r="BI355" s="2" t="s">
        <v>74</v>
      </c>
      <c r="BJ355" s="2" t="s">
        <v>74</v>
      </c>
      <c r="BK355" s="2" t="s">
        <v>74</v>
      </c>
      <c r="BL355" s="2" t="s">
        <v>74</v>
      </c>
      <c r="BM355" s="2" t="s">
        <v>74</v>
      </c>
      <c r="BN355" s="2">
        <v>21955260</v>
      </c>
      <c r="BO355" s="2" t="s">
        <v>74</v>
      </c>
      <c r="BP355" s="2" t="s">
        <v>74</v>
      </c>
      <c r="BQ355" s="2" t="s">
        <v>74</v>
      </c>
      <c r="BR355" s="2" t="s">
        <v>74</v>
      </c>
      <c r="BS355" s="2" t="s">
        <v>4685</v>
      </c>
      <c r="BT355" s="2" t="str">
        <f>HYPERLINK("https%3A%2F%2Fwww.webofscience.com%2Fwos%2Fwoscc%2Ffull-record%2FWOS:000297639600010","View Full Record in Web of Science")</f>
        <v>View Full Record in Web of Science</v>
      </c>
    </row>
    <row r="356" spans="1:72" s="2" customFormat="1" x14ac:dyDescent="0.4">
      <c r="A356" s="2" t="s">
        <v>72</v>
      </c>
      <c r="B356" s="2" t="s">
        <v>1078</v>
      </c>
      <c r="C356" s="2" t="s">
        <v>74</v>
      </c>
      <c r="D356" s="2" t="s">
        <v>74</v>
      </c>
      <c r="E356" s="2" t="s">
        <v>74</v>
      </c>
      <c r="F356" s="2" t="s">
        <v>1078</v>
      </c>
      <c r="G356" s="2" t="s">
        <v>74</v>
      </c>
      <c r="H356" s="2" t="s">
        <v>74</v>
      </c>
      <c r="I356" s="2" t="s">
        <v>1079</v>
      </c>
      <c r="J356" s="2" t="s">
        <v>129</v>
      </c>
      <c r="K356" s="2" t="s">
        <v>74</v>
      </c>
      <c r="L356" s="2" t="s">
        <v>74</v>
      </c>
      <c r="M356" s="2" t="s">
        <v>74</v>
      </c>
      <c r="N356" s="2" t="s">
        <v>74</v>
      </c>
      <c r="O356" s="2" t="s">
        <v>74</v>
      </c>
      <c r="P356" s="2" t="s">
        <v>74</v>
      </c>
      <c r="Q356" s="2" t="s">
        <v>74</v>
      </c>
      <c r="R356" s="2" t="s">
        <v>74</v>
      </c>
      <c r="S356" s="2" t="s">
        <v>74</v>
      </c>
      <c r="T356" s="2" t="s">
        <v>74</v>
      </c>
      <c r="U356" s="2" t="s">
        <v>74</v>
      </c>
      <c r="V356" s="5" t="s">
        <v>1080</v>
      </c>
      <c r="W356" s="2" t="s">
        <v>74</v>
      </c>
      <c r="X356" s="2" t="s">
        <v>74</v>
      </c>
      <c r="Y356" s="2" t="s">
        <v>74</v>
      </c>
      <c r="Z356" s="2" t="s">
        <v>74</v>
      </c>
      <c r="AA356" s="2" t="s">
        <v>1081</v>
      </c>
      <c r="AB356" s="2" t="s">
        <v>1082</v>
      </c>
      <c r="AC356" s="2" t="s">
        <v>74</v>
      </c>
      <c r="AD356" s="2" t="s">
        <v>74</v>
      </c>
      <c r="AE356" s="2" t="s">
        <v>74</v>
      </c>
      <c r="AF356" s="2" t="s">
        <v>74</v>
      </c>
      <c r="AG356" s="2" t="s">
        <v>74</v>
      </c>
      <c r="AH356" s="2" t="s">
        <v>74</v>
      </c>
      <c r="AI356" s="2" t="s">
        <v>74</v>
      </c>
      <c r="AJ356" s="2" t="s">
        <v>74</v>
      </c>
      <c r="AK356" s="2" t="s">
        <v>74</v>
      </c>
      <c r="AL356" s="2" t="s">
        <v>74</v>
      </c>
      <c r="AM356" s="2" t="s">
        <v>74</v>
      </c>
      <c r="AN356" s="2" t="s">
        <v>74</v>
      </c>
      <c r="AO356" s="2" t="s">
        <v>132</v>
      </c>
      <c r="AP356" s="2" t="s">
        <v>133</v>
      </c>
      <c r="AQ356" s="2" t="s">
        <v>74</v>
      </c>
      <c r="AR356" s="2" t="s">
        <v>74</v>
      </c>
      <c r="AS356" s="2" t="s">
        <v>74</v>
      </c>
      <c r="AT356" s="2" t="s">
        <v>123</v>
      </c>
      <c r="AU356" s="2">
        <v>2006</v>
      </c>
      <c r="AV356" s="2">
        <v>59</v>
      </c>
      <c r="AW356" s="2">
        <v>5</v>
      </c>
      <c r="AX356" s="2" t="s">
        <v>74</v>
      </c>
      <c r="AY356" s="2" t="s">
        <v>74</v>
      </c>
      <c r="AZ356" s="2" t="s">
        <v>74</v>
      </c>
      <c r="BA356" s="2" t="s">
        <v>74</v>
      </c>
      <c r="BB356" s="2">
        <v>704</v>
      </c>
      <c r="BC356" s="2">
        <v>713</v>
      </c>
      <c r="BD356" s="2" t="s">
        <v>74</v>
      </c>
      <c r="BE356" s="2" t="s">
        <v>1083</v>
      </c>
      <c r="BF356" s="2" t="str">
        <f>HYPERLINK("http://dx.doi.org/10.1007/s00265-005-0100-1","http://dx.doi.org/10.1007/s00265-005-0100-1")</f>
        <v>http://dx.doi.org/10.1007/s00265-005-0100-1</v>
      </c>
      <c r="BG356" s="2" t="s">
        <v>74</v>
      </c>
      <c r="BH356" s="2" t="s">
        <v>74</v>
      </c>
      <c r="BI356" s="2" t="s">
        <v>74</v>
      </c>
      <c r="BJ356" s="2" t="s">
        <v>74</v>
      </c>
      <c r="BK356" s="2" t="s">
        <v>74</v>
      </c>
      <c r="BL356" s="2" t="s">
        <v>74</v>
      </c>
      <c r="BM356" s="2" t="s">
        <v>74</v>
      </c>
      <c r="BN356" s="2" t="s">
        <v>74</v>
      </c>
      <c r="BO356" s="2" t="s">
        <v>74</v>
      </c>
      <c r="BP356" s="2" t="s">
        <v>74</v>
      </c>
      <c r="BQ356" s="2" t="s">
        <v>74</v>
      </c>
      <c r="BR356" s="2" t="s">
        <v>74</v>
      </c>
      <c r="BS356" s="2" t="s">
        <v>1084</v>
      </c>
      <c r="BT356" s="2" t="str">
        <f>HYPERLINK("https%3A%2F%2Fwww.webofscience.com%2Fwos%2Fwoscc%2Ffull-record%2FWOS:000235219700015","View Full Record in Web of Science")</f>
        <v>View Full Record in Web of Science</v>
      </c>
    </row>
    <row r="357" spans="1:72" s="2" customFormat="1" x14ac:dyDescent="0.4">
      <c r="A357" s="2" t="s">
        <v>72</v>
      </c>
      <c r="B357" s="2" t="s">
        <v>1913</v>
      </c>
      <c r="C357" s="2" t="s">
        <v>74</v>
      </c>
      <c r="D357" s="2" t="s">
        <v>74</v>
      </c>
      <c r="E357" s="2" t="s">
        <v>74</v>
      </c>
      <c r="F357" s="2" t="s">
        <v>1914</v>
      </c>
      <c r="G357" s="2" t="s">
        <v>74</v>
      </c>
      <c r="H357" s="2" t="s">
        <v>74</v>
      </c>
      <c r="I357" s="2" t="s">
        <v>1915</v>
      </c>
      <c r="J357" s="2" t="s">
        <v>108</v>
      </c>
      <c r="K357" s="2" t="s">
        <v>74</v>
      </c>
      <c r="L357" s="2" t="s">
        <v>74</v>
      </c>
      <c r="M357" s="2" t="s">
        <v>74</v>
      </c>
      <c r="N357" s="2" t="s">
        <v>74</v>
      </c>
      <c r="O357" s="2" t="s">
        <v>74</v>
      </c>
      <c r="P357" s="2" t="s">
        <v>74</v>
      </c>
      <c r="Q357" s="2" t="s">
        <v>74</v>
      </c>
      <c r="R357" s="2" t="s">
        <v>74</v>
      </c>
      <c r="S357" s="2" t="s">
        <v>74</v>
      </c>
      <c r="T357" s="2" t="s">
        <v>74</v>
      </c>
      <c r="U357" s="2" t="s">
        <v>74</v>
      </c>
      <c r="V357" s="5" t="s">
        <v>1916</v>
      </c>
      <c r="W357" s="2" t="s">
        <v>74</v>
      </c>
      <c r="X357" s="2" t="s">
        <v>74</v>
      </c>
      <c r="Y357" s="2" t="s">
        <v>74</v>
      </c>
      <c r="Z357" s="2" t="s">
        <v>74</v>
      </c>
      <c r="AA357" s="2" t="s">
        <v>1917</v>
      </c>
      <c r="AB357" s="2" t="s">
        <v>1918</v>
      </c>
      <c r="AC357" s="2" t="s">
        <v>74</v>
      </c>
      <c r="AD357" s="2" t="s">
        <v>74</v>
      </c>
      <c r="AE357" s="2" t="s">
        <v>74</v>
      </c>
      <c r="AF357" s="2" t="s">
        <v>74</v>
      </c>
      <c r="AG357" s="2" t="s">
        <v>74</v>
      </c>
      <c r="AH357" s="2" t="s">
        <v>74</v>
      </c>
      <c r="AI357" s="2" t="s">
        <v>74</v>
      </c>
      <c r="AJ357" s="2" t="s">
        <v>74</v>
      </c>
      <c r="AK357" s="2" t="s">
        <v>74</v>
      </c>
      <c r="AL357" s="2" t="s">
        <v>74</v>
      </c>
      <c r="AM357" s="2" t="s">
        <v>74</v>
      </c>
      <c r="AN357" s="2" t="s">
        <v>74</v>
      </c>
      <c r="AO357" s="2" t="s">
        <v>111</v>
      </c>
      <c r="AP357" s="2" t="s">
        <v>112</v>
      </c>
      <c r="AQ357" s="2" t="s">
        <v>74</v>
      </c>
      <c r="AR357" s="2" t="s">
        <v>74</v>
      </c>
      <c r="AS357" s="2" t="s">
        <v>74</v>
      </c>
      <c r="AT357" s="2" t="s">
        <v>1919</v>
      </c>
      <c r="AU357" s="2">
        <v>2017</v>
      </c>
      <c r="AV357" s="2">
        <v>284</v>
      </c>
      <c r="AW357" s="2">
        <v>1851</v>
      </c>
      <c r="AX357" s="2" t="s">
        <v>74</v>
      </c>
      <c r="AY357" s="2" t="s">
        <v>74</v>
      </c>
      <c r="AZ357" s="2" t="s">
        <v>74</v>
      </c>
      <c r="BA357" s="2" t="s">
        <v>74</v>
      </c>
      <c r="BB357" s="2" t="s">
        <v>74</v>
      </c>
      <c r="BC357" s="2" t="s">
        <v>74</v>
      </c>
      <c r="BD357" s="2">
        <v>20162838</v>
      </c>
      <c r="BE357" s="2" t="s">
        <v>1920</v>
      </c>
      <c r="BF357" s="2" t="str">
        <f>HYPERLINK("http://dx.doi.org/10.1098/rspb.2016.2838","http://dx.doi.org/10.1098/rspb.2016.2838")</f>
        <v>http://dx.doi.org/10.1098/rspb.2016.2838</v>
      </c>
      <c r="BG357" s="2" t="s">
        <v>74</v>
      </c>
      <c r="BH357" s="2" t="s">
        <v>74</v>
      </c>
      <c r="BI357" s="2" t="s">
        <v>74</v>
      </c>
      <c r="BJ357" s="2" t="s">
        <v>74</v>
      </c>
      <c r="BK357" s="2" t="s">
        <v>74</v>
      </c>
      <c r="BL357" s="2" t="s">
        <v>74</v>
      </c>
      <c r="BM357" s="2" t="s">
        <v>74</v>
      </c>
      <c r="BN357" s="2">
        <v>28356453</v>
      </c>
      <c r="BO357" s="2" t="s">
        <v>74</v>
      </c>
      <c r="BP357" s="2" t="s">
        <v>74</v>
      </c>
      <c r="BQ357" s="2" t="s">
        <v>74</v>
      </c>
      <c r="BR357" s="2" t="s">
        <v>74</v>
      </c>
      <c r="BS357" s="2" t="s">
        <v>1921</v>
      </c>
      <c r="BT357" s="2" t="str">
        <f>HYPERLINK("https%3A%2F%2Fwww.webofscience.com%2Fwos%2Fwoscc%2Ffull-record%2FWOS:000397884000018","View Full Record in Web of Science")</f>
        <v>View Full Record in Web of Science</v>
      </c>
    </row>
    <row r="358" spans="1:72" s="2" customFormat="1" x14ac:dyDescent="0.4">
      <c r="A358" s="2" t="s">
        <v>72</v>
      </c>
      <c r="B358" s="2" t="s">
        <v>3398</v>
      </c>
      <c r="C358" s="2" t="s">
        <v>74</v>
      </c>
      <c r="D358" s="2" t="s">
        <v>74</v>
      </c>
      <c r="E358" s="2" t="s">
        <v>74</v>
      </c>
      <c r="F358" s="2" t="s">
        <v>3399</v>
      </c>
      <c r="G358" s="2" t="s">
        <v>74</v>
      </c>
      <c r="H358" s="2" t="s">
        <v>74</v>
      </c>
      <c r="I358" s="2" t="s">
        <v>3400</v>
      </c>
      <c r="J358" s="2" t="s">
        <v>192</v>
      </c>
      <c r="K358" s="2" t="s">
        <v>74</v>
      </c>
      <c r="L358" s="2" t="s">
        <v>74</v>
      </c>
      <c r="M358" s="2" t="s">
        <v>74</v>
      </c>
      <c r="N358" s="2" t="s">
        <v>74</v>
      </c>
      <c r="O358" s="2" t="s">
        <v>74</v>
      </c>
      <c r="P358" s="2" t="s">
        <v>74</v>
      </c>
      <c r="Q358" s="2" t="s">
        <v>74</v>
      </c>
      <c r="R358" s="2" t="s">
        <v>74</v>
      </c>
      <c r="S358" s="2" t="s">
        <v>74</v>
      </c>
      <c r="T358" s="2" t="s">
        <v>74</v>
      </c>
      <c r="U358" s="2" t="s">
        <v>74</v>
      </c>
      <c r="V358" s="5" t="s">
        <v>3401</v>
      </c>
      <c r="W358" s="2" t="s">
        <v>74</v>
      </c>
      <c r="X358" s="2" t="s">
        <v>74</v>
      </c>
      <c r="Y358" s="2" t="s">
        <v>74</v>
      </c>
      <c r="Z358" s="2" t="s">
        <v>74</v>
      </c>
      <c r="AA358" s="2" t="s">
        <v>3402</v>
      </c>
      <c r="AB358" s="2" t="s">
        <v>3403</v>
      </c>
      <c r="AC358" s="2" t="s">
        <v>74</v>
      </c>
      <c r="AD358" s="2" t="s">
        <v>74</v>
      </c>
      <c r="AE358" s="2" t="s">
        <v>74</v>
      </c>
      <c r="AF358" s="2" t="s">
        <v>74</v>
      </c>
      <c r="AG358" s="2" t="s">
        <v>74</v>
      </c>
      <c r="AH358" s="2" t="s">
        <v>74</v>
      </c>
      <c r="AI358" s="2" t="s">
        <v>74</v>
      </c>
      <c r="AJ358" s="2" t="s">
        <v>74</v>
      </c>
      <c r="AK358" s="2" t="s">
        <v>74</v>
      </c>
      <c r="AL358" s="2" t="s">
        <v>74</v>
      </c>
      <c r="AM358" s="2" t="s">
        <v>74</v>
      </c>
      <c r="AN358" s="2" t="s">
        <v>74</v>
      </c>
      <c r="AO358" s="2" t="s">
        <v>195</v>
      </c>
      <c r="AP358" s="2" t="s">
        <v>196</v>
      </c>
      <c r="AQ358" s="2" t="s">
        <v>74</v>
      </c>
      <c r="AR358" s="2" t="s">
        <v>74</v>
      </c>
      <c r="AS358" s="2" t="s">
        <v>74</v>
      </c>
      <c r="AT358" s="2" t="s">
        <v>102</v>
      </c>
      <c r="AU358" s="2">
        <v>2023</v>
      </c>
      <c r="AV358" s="2">
        <v>850</v>
      </c>
      <c r="AW358" s="2" t="s">
        <v>3404</v>
      </c>
      <c r="AX358" s="2" t="s">
        <v>74</v>
      </c>
      <c r="AY358" s="2" t="s">
        <v>74</v>
      </c>
      <c r="AZ358" s="2" t="s">
        <v>848</v>
      </c>
      <c r="BA358" s="2" t="s">
        <v>74</v>
      </c>
      <c r="BB358" s="2">
        <v>2405</v>
      </c>
      <c r="BC358" s="2">
        <v>2423</v>
      </c>
      <c r="BD358" s="2" t="s">
        <v>74</v>
      </c>
      <c r="BE358" s="2" t="s">
        <v>3405</v>
      </c>
      <c r="BF358" s="2" t="str">
        <f>HYPERLINK("http://dx.doi.org/10.1007/s10750-022-04980-z","http://dx.doi.org/10.1007/s10750-022-04980-z")</f>
        <v>http://dx.doi.org/10.1007/s10750-022-04980-z</v>
      </c>
      <c r="BG358" s="2" t="s">
        <v>74</v>
      </c>
      <c r="BH358" s="2" t="s">
        <v>3406</v>
      </c>
      <c r="BI358" s="2" t="s">
        <v>74</v>
      </c>
      <c r="BJ358" s="2" t="s">
        <v>74</v>
      </c>
      <c r="BK358" s="2" t="s">
        <v>74</v>
      </c>
      <c r="BL358" s="2" t="s">
        <v>74</v>
      </c>
      <c r="BM358" s="2" t="s">
        <v>74</v>
      </c>
      <c r="BN358" s="2" t="s">
        <v>74</v>
      </c>
      <c r="BO358" s="2" t="s">
        <v>74</v>
      </c>
      <c r="BP358" s="2" t="s">
        <v>74</v>
      </c>
      <c r="BQ358" s="2" t="s">
        <v>74</v>
      </c>
      <c r="BR358" s="2" t="s">
        <v>74</v>
      </c>
      <c r="BS358" s="2" t="s">
        <v>3407</v>
      </c>
      <c r="BT358" s="2" t="str">
        <f>HYPERLINK("https%3A%2F%2Fwww.webofscience.com%2Fwos%2Fwoscc%2Ffull-record%2FWOS:000849168800001","View Full Record in Web of Science")</f>
        <v>View Full Record in Web of Science</v>
      </c>
    </row>
    <row r="359" spans="1:72" s="2" customFormat="1" x14ac:dyDescent="0.4">
      <c r="A359" s="2" t="s">
        <v>72</v>
      </c>
      <c r="B359" s="2" t="s">
        <v>3960</v>
      </c>
      <c r="C359" s="2" t="s">
        <v>74</v>
      </c>
      <c r="D359" s="2" t="s">
        <v>74</v>
      </c>
      <c r="E359" s="2" t="s">
        <v>74</v>
      </c>
      <c r="F359" s="2" t="s">
        <v>3961</v>
      </c>
      <c r="G359" s="2" t="s">
        <v>74</v>
      </c>
      <c r="H359" s="2" t="s">
        <v>74</v>
      </c>
      <c r="I359" s="2" t="s">
        <v>3962</v>
      </c>
      <c r="J359" s="2" t="s">
        <v>108</v>
      </c>
      <c r="K359" s="2" t="s">
        <v>74</v>
      </c>
      <c r="L359" s="2" t="s">
        <v>74</v>
      </c>
      <c r="M359" s="2" t="s">
        <v>74</v>
      </c>
      <c r="N359" s="2" t="s">
        <v>74</v>
      </c>
      <c r="O359" s="2" t="s">
        <v>74</v>
      </c>
      <c r="P359" s="2" t="s">
        <v>74</v>
      </c>
      <c r="Q359" s="2" t="s">
        <v>74</v>
      </c>
      <c r="R359" s="2" t="s">
        <v>74</v>
      </c>
      <c r="S359" s="2" t="s">
        <v>74</v>
      </c>
      <c r="T359" s="2" t="s">
        <v>74</v>
      </c>
      <c r="U359" s="2" t="s">
        <v>74</v>
      </c>
      <c r="V359" s="5" t="s">
        <v>3963</v>
      </c>
      <c r="W359" s="2" t="s">
        <v>74</v>
      </c>
      <c r="X359" s="2" t="s">
        <v>74</v>
      </c>
      <c r="Y359" s="2" t="s">
        <v>74</v>
      </c>
      <c r="Z359" s="2" t="s">
        <v>74</v>
      </c>
      <c r="AA359" s="2" t="s">
        <v>74</v>
      </c>
      <c r="AB359" s="2" t="s">
        <v>2478</v>
      </c>
      <c r="AC359" s="2" t="s">
        <v>74</v>
      </c>
      <c r="AD359" s="2" t="s">
        <v>74</v>
      </c>
      <c r="AE359" s="2" t="s">
        <v>74</v>
      </c>
      <c r="AF359" s="2" t="s">
        <v>74</v>
      </c>
      <c r="AG359" s="2" t="s">
        <v>74</v>
      </c>
      <c r="AH359" s="2" t="s">
        <v>74</v>
      </c>
      <c r="AI359" s="2" t="s">
        <v>74</v>
      </c>
      <c r="AJ359" s="2" t="s">
        <v>74</v>
      </c>
      <c r="AK359" s="2" t="s">
        <v>74</v>
      </c>
      <c r="AL359" s="2" t="s">
        <v>74</v>
      </c>
      <c r="AM359" s="2" t="s">
        <v>74</v>
      </c>
      <c r="AN359" s="2" t="s">
        <v>74</v>
      </c>
      <c r="AO359" s="2" t="s">
        <v>111</v>
      </c>
      <c r="AP359" s="2" t="s">
        <v>112</v>
      </c>
      <c r="AQ359" s="2" t="s">
        <v>74</v>
      </c>
      <c r="AR359" s="2" t="s">
        <v>74</v>
      </c>
      <c r="AS359" s="2" t="s">
        <v>74</v>
      </c>
      <c r="AT359" s="2" t="s">
        <v>2345</v>
      </c>
      <c r="AU359" s="2">
        <v>2008</v>
      </c>
      <c r="AV359" s="2">
        <v>275</v>
      </c>
      <c r="AW359" s="2">
        <v>1639</v>
      </c>
      <c r="AX359" s="2" t="s">
        <v>74</v>
      </c>
      <c r="AY359" s="2" t="s">
        <v>74</v>
      </c>
      <c r="AZ359" s="2" t="s">
        <v>74</v>
      </c>
      <c r="BA359" s="2" t="s">
        <v>74</v>
      </c>
      <c r="BB359" s="2">
        <v>1157</v>
      </c>
      <c r="BC359" s="2">
        <v>1162</v>
      </c>
      <c r="BD359" s="2" t="s">
        <v>74</v>
      </c>
      <c r="BE359" s="2" t="s">
        <v>3964</v>
      </c>
      <c r="BF359" s="2" t="str">
        <f>HYPERLINK("http://dx.doi.org/10.1098/rspb.2007.1700","http://dx.doi.org/10.1098/rspb.2007.1700")</f>
        <v>http://dx.doi.org/10.1098/rspb.2007.1700</v>
      </c>
      <c r="BG359" s="2" t="s">
        <v>74</v>
      </c>
      <c r="BH359" s="2" t="s">
        <v>74</v>
      </c>
      <c r="BI359" s="2" t="s">
        <v>74</v>
      </c>
      <c r="BJ359" s="2" t="s">
        <v>74</v>
      </c>
      <c r="BK359" s="2" t="s">
        <v>74</v>
      </c>
      <c r="BL359" s="2" t="s">
        <v>74</v>
      </c>
      <c r="BM359" s="2" t="s">
        <v>74</v>
      </c>
      <c r="BN359" s="2">
        <v>18270157</v>
      </c>
      <c r="BO359" s="2" t="s">
        <v>74</v>
      </c>
      <c r="BP359" s="2" t="s">
        <v>74</v>
      </c>
      <c r="BQ359" s="2" t="s">
        <v>74</v>
      </c>
      <c r="BR359" s="2" t="s">
        <v>74</v>
      </c>
      <c r="BS359" s="2" t="s">
        <v>3965</v>
      </c>
      <c r="BT359" s="2" t="str">
        <f>HYPERLINK("https%3A%2F%2Fwww.webofscience.com%2Fwos%2Fwoscc%2Ffull-record%2FWOS:000254464000008","View Full Record in Web of Science")</f>
        <v>View Full Record in Web of Science</v>
      </c>
    </row>
    <row r="360" spans="1:72" s="2" customFormat="1" x14ac:dyDescent="0.4">
      <c r="A360" s="2" t="s">
        <v>72</v>
      </c>
      <c r="B360" s="2" t="s">
        <v>1700</v>
      </c>
      <c r="C360" s="2" t="s">
        <v>74</v>
      </c>
      <c r="D360" s="2" t="s">
        <v>74</v>
      </c>
      <c r="E360" s="2" t="s">
        <v>74</v>
      </c>
      <c r="F360" s="2" t="s">
        <v>1701</v>
      </c>
      <c r="G360" s="2" t="s">
        <v>74</v>
      </c>
      <c r="H360" s="2" t="s">
        <v>74</v>
      </c>
      <c r="I360" s="2" t="s">
        <v>1702</v>
      </c>
      <c r="J360" s="2" t="s">
        <v>140</v>
      </c>
      <c r="K360" s="2" t="s">
        <v>74</v>
      </c>
      <c r="L360" s="2" t="s">
        <v>74</v>
      </c>
      <c r="M360" s="2" t="s">
        <v>74</v>
      </c>
      <c r="N360" s="2" t="s">
        <v>74</v>
      </c>
      <c r="O360" s="2" t="s">
        <v>74</v>
      </c>
      <c r="P360" s="2" t="s">
        <v>74</v>
      </c>
      <c r="Q360" s="2" t="s">
        <v>74</v>
      </c>
      <c r="R360" s="2" t="s">
        <v>74</v>
      </c>
      <c r="S360" s="2" t="s">
        <v>74</v>
      </c>
      <c r="T360" s="2" t="s">
        <v>74</v>
      </c>
      <c r="U360" s="2" t="s">
        <v>74</v>
      </c>
      <c r="V360" s="5" t="s">
        <v>1703</v>
      </c>
      <c r="W360" s="2" t="s">
        <v>74</v>
      </c>
      <c r="X360" s="2" t="s">
        <v>74</v>
      </c>
      <c r="Y360" s="2" t="s">
        <v>74</v>
      </c>
      <c r="Z360" s="2" t="s">
        <v>74</v>
      </c>
      <c r="AA360" s="2" t="s">
        <v>1106</v>
      </c>
      <c r="AB360" s="2" t="s">
        <v>1704</v>
      </c>
      <c r="AC360" s="2" t="s">
        <v>74</v>
      </c>
      <c r="AD360" s="2" t="s">
        <v>74</v>
      </c>
      <c r="AE360" s="2" t="s">
        <v>74</v>
      </c>
      <c r="AF360" s="2" t="s">
        <v>74</v>
      </c>
      <c r="AG360" s="2" t="s">
        <v>74</v>
      </c>
      <c r="AH360" s="2" t="s">
        <v>74</v>
      </c>
      <c r="AI360" s="2" t="s">
        <v>74</v>
      </c>
      <c r="AJ360" s="2" t="s">
        <v>74</v>
      </c>
      <c r="AK360" s="2" t="s">
        <v>74</v>
      </c>
      <c r="AL360" s="2" t="s">
        <v>74</v>
      </c>
      <c r="AM360" s="2" t="s">
        <v>74</v>
      </c>
      <c r="AN360" s="2" t="s">
        <v>74</v>
      </c>
      <c r="AO360" s="2" t="s">
        <v>143</v>
      </c>
      <c r="AP360" s="2" t="s">
        <v>144</v>
      </c>
      <c r="AQ360" s="2" t="s">
        <v>74</v>
      </c>
      <c r="AR360" s="2" t="s">
        <v>74</v>
      </c>
      <c r="AS360" s="2" t="s">
        <v>74</v>
      </c>
      <c r="AT360" s="2" t="s">
        <v>352</v>
      </c>
      <c r="AU360" s="2">
        <v>2008</v>
      </c>
      <c r="AV360" s="2">
        <v>76</v>
      </c>
      <c r="AW360" s="2" t="s">
        <v>74</v>
      </c>
      <c r="AX360" s="2">
        <v>3</v>
      </c>
      <c r="AY360" s="2" t="s">
        <v>74</v>
      </c>
      <c r="AZ360" s="2" t="s">
        <v>74</v>
      </c>
      <c r="BA360" s="2" t="s">
        <v>74</v>
      </c>
      <c r="BB360" s="2">
        <v>649</v>
      </c>
      <c r="BC360" s="2">
        <v>655</v>
      </c>
      <c r="BD360" s="2" t="s">
        <v>74</v>
      </c>
      <c r="BE360" s="2" t="s">
        <v>1705</v>
      </c>
      <c r="BF360" s="2" t="str">
        <f>HYPERLINK("http://dx.doi.org/10.1016/j.anbehav.2008.03.013","http://dx.doi.org/10.1016/j.anbehav.2008.03.013")</f>
        <v>http://dx.doi.org/10.1016/j.anbehav.2008.03.013</v>
      </c>
      <c r="BG360" s="2" t="s">
        <v>74</v>
      </c>
      <c r="BH360" s="2" t="s">
        <v>74</v>
      </c>
      <c r="BI360" s="2" t="s">
        <v>74</v>
      </c>
      <c r="BJ360" s="2" t="s">
        <v>74</v>
      </c>
      <c r="BK360" s="2" t="s">
        <v>74</v>
      </c>
      <c r="BL360" s="2" t="s">
        <v>74</v>
      </c>
      <c r="BM360" s="2" t="s">
        <v>74</v>
      </c>
      <c r="BN360" s="2" t="s">
        <v>74</v>
      </c>
      <c r="BO360" s="2" t="s">
        <v>74</v>
      </c>
      <c r="BP360" s="2" t="s">
        <v>74</v>
      </c>
      <c r="BQ360" s="2" t="s">
        <v>74</v>
      </c>
      <c r="BR360" s="2" t="s">
        <v>74</v>
      </c>
      <c r="BS360" s="2" t="s">
        <v>1706</v>
      </c>
      <c r="BT360" s="2" t="str">
        <f>HYPERLINK("https%3A%2F%2Fwww.webofscience.com%2Fwos%2Fwoscc%2Ffull-record%2FWOS:000258490800015","View Full Record in Web of Science")</f>
        <v>View Full Record in Web of Science</v>
      </c>
    </row>
    <row r="361" spans="1:72" s="2" customFormat="1" x14ac:dyDescent="0.4">
      <c r="A361" s="2" t="s">
        <v>72</v>
      </c>
      <c r="B361" s="2" t="s">
        <v>1956</v>
      </c>
      <c r="C361" s="2" t="s">
        <v>74</v>
      </c>
      <c r="D361" s="2" t="s">
        <v>74</v>
      </c>
      <c r="E361" s="2" t="s">
        <v>74</v>
      </c>
      <c r="F361" s="2" t="s">
        <v>1957</v>
      </c>
      <c r="G361" s="2" t="s">
        <v>74</v>
      </c>
      <c r="H361" s="2" t="s">
        <v>74</v>
      </c>
      <c r="I361" s="2" t="s">
        <v>1958</v>
      </c>
      <c r="J361" s="2" t="s">
        <v>108</v>
      </c>
      <c r="K361" s="2" t="s">
        <v>74</v>
      </c>
      <c r="L361" s="2" t="s">
        <v>74</v>
      </c>
      <c r="M361" s="2" t="s">
        <v>74</v>
      </c>
      <c r="N361" s="2" t="s">
        <v>74</v>
      </c>
      <c r="O361" s="2" t="s">
        <v>74</v>
      </c>
      <c r="P361" s="2" t="s">
        <v>74</v>
      </c>
      <c r="Q361" s="2" t="s">
        <v>74</v>
      </c>
      <c r="R361" s="2" t="s">
        <v>74</v>
      </c>
      <c r="S361" s="2" t="s">
        <v>74</v>
      </c>
      <c r="T361" s="2" t="s">
        <v>74</v>
      </c>
      <c r="U361" s="2" t="s">
        <v>74</v>
      </c>
      <c r="V361" s="5" t="s">
        <v>1959</v>
      </c>
      <c r="W361" s="2" t="s">
        <v>74</v>
      </c>
      <c r="X361" s="2" t="s">
        <v>74</v>
      </c>
      <c r="Y361" s="2" t="s">
        <v>74</v>
      </c>
      <c r="Z361" s="2" t="s">
        <v>74</v>
      </c>
      <c r="AA361" s="2" t="s">
        <v>1106</v>
      </c>
      <c r="AB361" s="2" t="s">
        <v>1704</v>
      </c>
      <c r="AC361" s="2" t="s">
        <v>74</v>
      </c>
      <c r="AD361" s="2" t="s">
        <v>74</v>
      </c>
      <c r="AE361" s="2" t="s">
        <v>74</v>
      </c>
      <c r="AF361" s="2" t="s">
        <v>74</v>
      </c>
      <c r="AG361" s="2" t="s">
        <v>74</v>
      </c>
      <c r="AH361" s="2" t="s">
        <v>74</v>
      </c>
      <c r="AI361" s="2" t="s">
        <v>74</v>
      </c>
      <c r="AJ361" s="2" t="s">
        <v>74</v>
      </c>
      <c r="AK361" s="2" t="s">
        <v>74</v>
      </c>
      <c r="AL361" s="2" t="s">
        <v>74</v>
      </c>
      <c r="AM361" s="2" t="s">
        <v>74</v>
      </c>
      <c r="AN361" s="2" t="s">
        <v>74</v>
      </c>
      <c r="AO361" s="2" t="s">
        <v>111</v>
      </c>
      <c r="AP361" s="2" t="s">
        <v>112</v>
      </c>
      <c r="AQ361" s="2" t="s">
        <v>74</v>
      </c>
      <c r="AR361" s="2" t="s">
        <v>74</v>
      </c>
      <c r="AS361" s="2" t="s">
        <v>74</v>
      </c>
      <c r="AT361" s="2" t="s">
        <v>1960</v>
      </c>
      <c r="AU361" s="2">
        <v>2008</v>
      </c>
      <c r="AV361" s="2">
        <v>275</v>
      </c>
      <c r="AW361" s="2">
        <v>1634</v>
      </c>
      <c r="AX361" s="2" t="s">
        <v>74</v>
      </c>
      <c r="AY361" s="2" t="s">
        <v>74</v>
      </c>
      <c r="AZ361" s="2" t="s">
        <v>74</v>
      </c>
      <c r="BA361" s="2" t="s">
        <v>74</v>
      </c>
      <c r="BB361" s="2">
        <v>519</v>
      </c>
      <c r="BC361" s="2">
        <v>526</v>
      </c>
      <c r="BD361" s="2" t="s">
        <v>74</v>
      </c>
      <c r="BE361" s="2" t="s">
        <v>1961</v>
      </c>
      <c r="BF361" s="2" t="str">
        <f>HYPERLINK("http://dx.doi.org/10.1098/rspb.2007.1441","http://dx.doi.org/10.1098/rspb.2007.1441")</f>
        <v>http://dx.doi.org/10.1098/rspb.2007.1441</v>
      </c>
      <c r="BG361" s="2" t="s">
        <v>74</v>
      </c>
      <c r="BH361" s="2" t="s">
        <v>74</v>
      </c>
      <c r="BI361" s="2" t="s">
        <v>74</v>
      </c>
      <c r="BJ361" s="2" t="s">
        <v>74</v>
      </c>
      <c r="BK361" s="2" t="s">
        <v>74</v>
      </c>
      <c r="BL361" s="2" t="s">
        <v>74</v>
      </c>
      <c r="BM361" s="2" t="s">
        <v>74</v>
      </c>
      <c r="BN361" s="2">
        <v>18077255</v>
      </c>
      <c r="BO361" s="2" t="s">
        <v>74</v>
      </c>
      <c r="BP361" s="2" t="s">
        <v>74</v>
      </c>
      <c r="BQ361" s="2" t="s">
        <v>74</v>
      </c>
      <c r="BR361" s="2" t="s">
        <v>74</v>
      </c>
      <c r="BS361" s="2" t="s">
        <v>1962</v>
      </c>
      <c r="BT361" s="2" t="str">
        <f>HYPERLINK("https%3A%2F%2Fwww.webofscience.com%2Fwos%2Fwoscc%2Ffull-record%2FWOS:000252764800006","View Full Record in Web of Science")</f>
        <v>View Full Record in Web of Science</v>
      </c>
    </row>
    <row r="362" spans="1:72" s="2" customFormat="1" x14ac:dyDescent="0.4">
      <c r="A362" s="2" t="s">
        <v>72</v>
      </c>
      <c r="B362" s="2" t="s">
        <v>1905</v>
      </c>
      <c r="C362" s="2" t="s">
        <v>74</v>
      </c>
      <c r="D362" s="2" t="s">
        <v>74</v>
      </c>
      <c r="E362" s="2" t="s">
        <v>74</v>
      </c>
      <c r="F362" s="2" t="s">
        <v>1906</v>
      </c>
      <c r="G362" s="2" t="s">
        <v>74</v>
      </c>
      <c r="H362" s="2" t="s">
        <v>74</v>
      </c>
      <c r="I362" s="2" t="s">
        <v>1907</v>
      </c>
      <c r="J362" s="2" t="s">
        <v>509</v>
      </c>
      <c r="K362" s="2" t="s">
        <v>74</v>
      </c>
      <c r="L362" s="2" t="s">
        <v>74</v>
      </c>
      <c r="M362" s="2" t="s">
        <v>74</v>
      </c>
      <c r="N362" s="2" t="s">
        <v>74</v>
      </c>
      <c r="O362" s="2" t="s">
        <v>74</v>
      </c>
      <c r="P362" s="2" t="s">
        <v>74</v>
      </c>
      <c r="Q362" s="2" t="s">
        <v>74</v>
      </c>
      <c r="R362" s="2" t="s">
        <v>74</v>
      </c>
      <c r="S362" s="2" t="s">
        <v>74</v>
      </c>
      <c r="T362" s="2" t="s">
        <v>74</v>
      </c>
      <c r="U362" s="2" t="s">
        <v>74</v>
      </c>
      <c r="V362" s="5" t="s">
        <v>1908</v>
      </c>
      <c r="W362" s="2" t="s">
        <v>74</v>
      </c>
      <c r="X362" s="2" t="s">
        <v>74</v>
      </c>
      <c r="Y362" s="2" t="s">
        <v>74</v>
      </c>
      <c r="Z362" s="2" t="s">
        <v>74</v>
      </c>
      <c r="AA362" s="2" t="s">
        <v>1909</v>
      </c>
      <c r="AB362" s="2" t="s">
        <v>1910</v>
      </c>
      <c r="AC362" s="2" t="s">
        <v>74</v>
      </c>
      <c r="AD362" s="2" t="s">
        <v>74</v>
      </c>
      <c r="AE362" s="2" t="s">
        <v>74</v>
      </c>
      <c r="AF362" s="2" t="s">
        <v>74</v>
      </c>
      <c r="AG362" s="2" t="s">
        <v>74</v>
      </c>
      <c r="AH362" s="2" t="s">
        <v>74</v>
      </c>
      <c r="AI362" s="2" t="s">
        <v>74</v>
      </c>
      <c r="AJ362" s="2" t="s">
        <v>74</v>
      </c>
      <c r="AK362" s="2" t="s">
        <v>74</v>
      </c>
      <c r="AL362" s="2" t="s">
        <v>74</v>
      </c>
      <c r="AM362" s="2" t="s">
        <v>74</v>
      </c>
      <c r="AN362" s="2" t="s">
        <v>74</v>
      </c>
      <c r="AO362" s="2" t="s">
        <v>511</v>
      </c>
      <c r="AP362" s="2" t="s">
        <v>512</v>
      </c>
      <c r="AQ362" s="2" t="s">
        <v>74</v>
      </c>
      <c r="AR362" s="2" t="s">
        <v>74</v>
      </c>
      <c r="AS362" s="2" t="s">
        <v>74</v>
      </c>
      <c r="AT362" s="2" t="s">
        <v>633</v>
      </c>
      <c r="AU362" s="2">
        <v>2012</v>
      </c>
      <c r="AV362" s="2">
        <v>61</v>
      </c>
      <c r="AW362" s="2">
        <v>4</v>
      </c>
      <c r="AX362" s="2" t="s">
        <v>74</v>
      </c>
      <c r="AY362" s="2" t="s">
        <v>74</v>
      </c>
      <c r="AZ362" s="2" t="s">
        <v>74</v>
      </c>
      <c r="BA362" s="2" t="s">
        <v>74</v>
      </c>
      <c r="BB362" s="2">
        <v>518</v>
      </c>
      <c r="BC362" s="2">
        <v>526</v>
      </c>
      <c r="BD362" s="2" t="s">
        <v>74</v>
      </c>
      <c r="BE362" s="2" t="s">
        <v>1911</v>
      </c>
      <c r="BF362" s="2" t="str">
        <f>HYPERLINK("http://dx.doi.org/10.1016/j.yhbeh.2012.01.011","http://dx.doi.org/10.1016/j.yhbeh.2012.01.011")</f>
        <v>http://dx.doi.org/10.1016/j.yhbeh.2012.01.011</v>
      </c>
      <c r="BG362" s="2" t="s">
        <v>74</v>
      </c>
      <c r="BH362" s="2" t="s">
        <v>74</v>
      </c>
      <c r="BI362" s="2" t="s">
        <v>74</v>
      </c>
      <c r="BJ362" s="2" t="s">
        <v>74</v>
      </c>
      <c r="BK362" s="2" t="s">
        <v>74</v>
      </c>
      <c r="BL362" s="2" t="s">
        <v>74</v>
      </c>
      <c r="BM362" s="2" t="s">
        <v>74</v>
      </c>
      <c r="BN362" s="2">
        <v>22289206</v>
      </c>
      <c r="BO362" s="2" t="s">
        <v>74</v>
      </c>
      <c r="BP362" s="2" t="s">
        <v>74</v>
      </c>
      <c r="BQ362" s="2" t="s">
        <v>74</v>
      </c>
      <c r="BR362" s="2" t="s">
        <v>74</v>
      </c>
      <c r="BS362" s="2" t="s">
        <v>1912</v>
      </c>
      <c r="BT362" s="2" t="str">
        <f>HYPERLINK("https%3A%2F%2Fwww.webofscience.com%2Fwos%2Fwoscc%2Ffull-record%2FWOS:000302763700008","View Full Record in Web of Science")</f>
        <v>View Full Record in Web of Science</v>
      </c>
    </row>
    <row r="363" spans="1:72" s="2" customFormat="1" x14ac:dyDescent="0.4">
      <c r="A363" s="2" t="s">
        <v>72</v>
      </c>
      <c r="B363" s="2" t="s">
        <v>8485</v>
      </c>
      <c r="C363" s="2" t="s">
        <v>74</v>
      </c>
      <c r="D363" s="2" t="s">
        <v>74</v>
      </c>
      <c r="E363" s="2" t="s">
        <v>74</v>
      </c>
      <c r="F363" s="2" t="s">
        <v>8485</v>
      </c>
      <c r="G363" s="2" t="s">
        <v>74</v>
      </c>
      <c r="H363" s="2" t="s">
        <v>74</v>
      </c>
      <c r="I363" s="2" t="s">
        <v>8486</v>
      </c>
      <c r="J363" s="2" t="s">
        <v>333</v>
      </c>
      <c r="K363" s="2" t="s">
        <v>74</v>
      </c>
      <c r="L363" s="2" t="s">
        <v>74</v>
      </c>
      <c r="M363" s="2" t="s">
        <v>74</v>
      </c>
      <c r="N363" s="2" t="s">
        <v>74</v>
      </c>
      <c r="O363" s="2" t="s">
        <v>74</v>
      </c>
      <c r="P363" s="2" t="s">
        <v>74</v>
      </c>
      <c r="Q363" s="2" t="s">
        <v>74</v>
      </c>
      <c r="R363" s="2" t="s">
        <v>74</v>
      </c>
      <c r="S363" s="2" t="s">
        <v>74</v>
      </c>
      <c r="T363" s="2" t="s">
        <v>74</v>
      </c>
      <c r="U363" s="2" t="s">
        <v>74</v>
      </c>
      <c r="V363" s="5" t="s">
        <v>8487</v>
      </c>
      <c r="W363" s="2" t="s">
        <v>74</v>
      </c>
      <c r="X363" s="2" t="s">
        <v>74</v>
      </c>
      <c r="Y363" s="2" t="s">
        <v>74</v>
      </c>
      <c r="Z363" s="2" t="s">
        <v>74</v>
      </c>
      <c r="AA363" s="2" t="s">
        <v>8488</v>
      </c>
      <c r="AB363" s="2" t="s">
        <v>8489</v>
      </c>
      <c r="AC363" s="2" t="s">
        <v>74</v>
      </c>
      <c r="AD363" s="2" t="s">
        <v>74</v>
      </c>
      <c r="AE363" s="2" t="s">
        <v>74</v>
      </c>
      <c r="AF363" s="2" t="s">
        <v>74</v>
      </c>
      <c r="AG363" s="2" t="s">
        <v>74</v>
      </c>
      <c r="AH363" s="2" t="s">
        <v>74</v>
      </c>
      <c r="AI363" s="2" t="s">
        <v>74</v>
      </c>
      <c r="AJ363" s="2" t="s">
        <v>74</v>
      </c>
      <c r="AK363" s="2" t="s">
        <v>74</v>
      </c>
      <c r="AL363" s="2" t="s">
        <v>74</v>
      </c>
      <c r="AM363" s="2" t="s">
        <v>74</v>
      </c>
      <c r="AN363" s="2" t="s">
        <v>74</v>
      </c>
      <c r="AO363" s="2" t="s">
        <v>337</v>
      </c>
      <c r="AP363" s="2" t="s">
        <v>338</v>
      </c>
      <c r="AQ363" s="2" t="s">
        <v>74</v>
      </c>
      <c r="AR363" s="2" t="s">
        <v>74</v>
      </c>
      <c r="AS363" s="2" t="s">
        <v>74</v>
      </c>
      <c r="AT363" s="2" t="s">
        <v>213</v>
      </c>
      <c r="AU363" s="2">
        <v>2004</v>
      </c>
      <c r="AV363" s="2">
        <v>15</v>
      </c>
      <c r="AW363" s="2">
        <v>6</v>
      </c>
      <c r="AX363" s="2" t="s">
        <v>74</v>
      </c>
      <c r="AY363" s="2" t="s">
        <v>74</v>
      </c>
      <c r="AZ363" s="2" t="s">
        <v>74</v>
      </c>
      <c r="BA363" s="2" t="s">
        <v>74</v>
      </c>
      <c r="BB363" s="2">
        <v>1023</v>
      </c>
      <c r="BC363" s="2">
        <v>1030</v>
      </c>
      <c r="BD363" s="2" t="s">
        <v>74</v>
      </c>
      <c r="BE363" s="2" t="s">
        <v>8490</v>
      </c>
      <c r="BF363" s="2" t="str">
        <f>HYPERLINK("http://dx.doi.org/10.1093/beheco/arh115","http://dx.doi.org/10.1093/beheco/arh115")</f>
        <v>http://dx.doi.org/10.1093/beheco/arh115</v>
      </c>
      <c r="BG363" s="2" t="s">
        <v>74</v>
      </c>
      <c r="BH363" s="2" t="s">
        <v>74</v>
      </c>
      <c r="BI363" s="2" t="s">
        <v>74</v>
      </c>
      <c r="BJ363" s="2" t="s">
        <v>74</v>
      </c>
      <c r="BK363" s="2" t="s">
        <v>74</v>
      </c>
      <c r="BL363" s="2" t="s">
        <v>74</v>
      </c>
      <c r="BM363" s="2" t="s">
        <v>74</v>
      </c>
      <c r="BN363" s="2" t="s">
        <v>74</v>
      </c>
      <c r="BO363" s="2" t="s">
        <v>74</v>
      </c>
      <c r="BP363" s="2" t="s">
        <v>74</v>
      </c>
      <c r="BQ363" s="2" t="s">
        <v>74</v>
      </c>
      <c r="BR363" s="2" t="s">
        <v>74</v>
      </c>
      <c r="BS363" s="2" t="s">
        <v>8491</v>
      </c>
      <c r="BT363" s="2" t="str">
        <f>HYPERLINK("https%3A%2F%2Fwww.webofscience.com%2Fwos%2Fwoscc%2Ffull-record%2FWOS:000224482000019","View Full Record in Web of Science")</f>
        <v>View Full Record in Web of Science</v>
      </c>
    </row>
    <row r="364" spans="1:72" s="2" customFormat="1" x14ac:dyDescent="0.4">
      <c r="A364" s="2" t="s">
        <v>72</v>
      </c>
      <c r="B364" s="2" t="s">
        <v>7007</v>
      </c>
      <c r="C364" s="2" t="s">
        <v>74</v>
      </c>
      <c r="D364" s="2" t="s">
        <v>74</v>
      </c>
      <c r="E364" s="2" t="s">
        <v>74</v>
      </c>
      <c r="F364" s="2" t="s">
        <v>7007</v>
      </c>
      <c r="G364" s="2" t="s">
        <v>74</v>
      </c>
      <c r="H364" s="2" t="s">
        <v>74</v>
      </c>
      <c r="I364" s="2" t="s">
        <v>7008</v>
      </c>
      <c r="J364" s="2" t="s">
        <v>7009</v>
      </c>
      <c r="K364" s="2" t="s">
        <v>74</v>
      </c>
      <c r="L364" s="2" t="s">
        <v>74</v>
      </c>
      <c r="M364" s="2" t="s">
        <v>74</v>
      </c>
      <c r="N364" s="2" t="s">
        <v>74</v>
      </c>
      <c r="O364" s="2" t="s">
        <v>74</v>
      </c>
      <c r="P364" s="2" t="s">
        <v>74</v>
      </c>
      <c r="Q364" s="2" t="s">
        <v>74</v>
      </c>
      <c r="R364" s="2" t="s">
        <v>74</v>
      </c>
      <c r="S364" s="2" t="s">
        <v>74</v>
      </c>
      <c r="T364" s="2" t="s">
        <v>74</v>
      </c>
      <c r="U364" s="2" t="s">
        <v>74</v>
      </c>
      <c r="V364" s="5" t="s">
        <v>7010</v>
      </c>
      <c r="W364" s="2" t="s">
        <v>74</v>
      </c>
      <c r="X364" s="2" t="s">
        <v>74</v>
      </c>
      <c r="Y364" s="2" t="s">
        <v>74</v>
      </c>
      <c r="Z364" s="2" t="s">
        <v>74</v>
      </c>
      <c r="AA364" s="2" t="s">
        <v>74</v>
      </c>
      <c r="AB364" s="2" t="s">
        <v>74</v>
      </c>
      <c r="AC364" s="2" t="s">
        <v>74</v>
      </c>
      <c r="AD364" s="2" t="s">
        <v>74</v>
      </c>
      <c r="AE364" s="2" t="s">
        <v>74</v>
      </c>
      <c r="AF364" s="2" t="s">
        <v>74</v>
      </c>
      <c r="AG364" s="2" t="s">
        <v>74</v>
      </c>
      <c r="AH364" s="2" t="s">
        <v>74</v>
      </c>
      <c r="AI364" s="2" t="s">
        <v>74</v>
      </c>
      <c r="AJ364" s="2" t="s">
        <v>74</v>
      </c>
      <c r="AK364" s="2" t="s">
        <v>74</v>
      </c>
      <c r="AL364" s="2" t="s">
        <v>74</v>
      </c>
      <c r="AM364" s="2" t="s">
        <v>74</v>
      </c>
      <c r="AN364" s="2" t="s">
        <v>74</v>
      </c>
      <c r="AO364" s="2" t="s">
        <v>7011</v>
      </c>
      <c r="AP364" s="2" t="s">
        <v>74</v>
      </c>
      <c r="AQ364" s="2" t="s">
        <v>74</v>
      </c>
      <c r="AR364" s="2" t="s">
        <v>74</v>
      </c>
      <c r="AS364" s="2" t="s">
        <v>74</v>
      </c>
      <c r="AT364" s="2" t="s">
        <v>964</v>
      </c>
      <c r="AU364" s="2">
        <v>1998</v>
      </c>
      <c r="AV364" s="2">
        <v>33</v>
      </c>
      <c r="AW364" s="2">
        <v>1</v>
      </c>
      <c r="AX364" s="2" t="s">
        <v>74</v>
      </c>
      <c r="AY364" s="2" t="s">
        <v>74</v>
      </c>
      <c r="AZ364" s="2" t="s">
        <v>74</v>
      </c>
      <c r="BA364" s="2" t="s">
        <v>74</v>
      </c>
      <c r="BB364" s="2">
        <v>73</v>
      </c>
      <c r="BC364" s="2">
        <v>80</v>
      </c>
      <c r="BD364" s="2" t="s">
        <v>74</v>
      </c>
      <c r="BE364" s="2" t="s">
        <v>7012</v>
      </c>
      <c r="BF364" s="2" t="str">
        <f>HYPERLINK("http://dx.doi.org/10.1017/S0967026298001607","http://dx.doi.org/10.1017/S0967026298001607")</f>
        <v>http://dx.doi.org/10.1017/S0967026298001607</v>
      </c>
      <c r="BG364" s="2" t="s">
        <v>74</v>
      </c>
      <c r="BH364" s="2" t="s">
        <v>74</v>
      </c>
      <c r="BI364" s="2" t="s">
        <v>74</v>
      </c>
      <c r="BJ364" s="2" t="s">
        <v>74</v>
      </c>
      <c r="BK364" s="2" t="s">
        <v>74</v>
      </c>
      <c r="BL364" s="2" t="s">
        <v>74</v>
      </c>
      <c r="BM364" s="2" t="s">
        <v>74</v>
      </c>
      <c r="BN364" s="2" t="s">
        <v>74</v>
      </c>
      <c r="BO364" s="2" t="s">
        <v>74</v>
      </c>
      <c r="BP364" s="2" t="s">
        <v>74</v>
      </c>
      <c r="BQ364" s="2" t="s">
        <v>74</v>
      </c>
      <c r="BR364" s="2" t="s">
        <v>74</v>
      </c>
      <c r="BS364" s="2" t="s">
        <v>7013</v>
      </c>
      <c r="BT364" s="2" t="str">
        <f>HYPERLINK("https%3A%2F%2Fwww.webofscience.com%2Fwos%2Fwoscc%2Ffull-record%2FWOS:000073192900008","View Full Record in Web of Science")</f>
        <v>View Full Record in Web of Science</v>
      </c>
    </row>
    <row r="365" spans="1:72" s="2" customFormat="1" x14ac:dyDescent="0.4">
      <c r="A365" s="2" t="s">
        <v>72</v>
      </c>
      <c r="B365" s="2" t="s">
        <v>6643</v>
      </c>
      <c r="C365" s="2" t="s">
        <v>74</v>
      </c>
      <c r="D365" s="2" t="s">
        <v>74</v>
      </c>
      <c r="E365" s="2" t="s">
        <v>74</v>
      </c>
      <c r="F365" s="2" t="s">
        <v>6644</v>
      </c>
      <c r="G365" s="2" t="s">
        <v>74</v>
      </c>
      <c r="H365" s="2" t="s">
        <v>74</v>
      </c>
      <c r="I365" s="2" t="s">
        <v>6645</v>
      </c>
      <c r="J365" s="2" t="s">
        <v>171</v>
      </c>
      <c r="K365" s="2" t="s">
        <v>74</v>
      </c>
      <c r="L365" s="2" t="s">
        <v>74</v>
      </c>
      <c r="M365" s="2" t="s">
        <v>74</v>
      </c>
      <c r="N365" s="2" t="s">
        <v>74</v>
      </c>
      <c r="O365" s="2" t="s">
        <v>74</v>
      </c>
      <c r="P365" s="2" t="s">
        <v>74</v>
      </c>
      <c r="Q365" s="2" t="s">
        <v>74</v>
      </c>
      <c r="R365" s="2" t="s">
        <v>74</v>
      </c>
      <c r="S365" s="2" t="s">
        <v>74</v>
      </c>
      <c r="T365" s="2" t="s">
        <v>74</v>
      </c>
      <c r="U365" s="2" t="s">
        <v>74</v>
      </c>
      <c r="V365" s="5" t="s">
        <v>6646</v>
      </c>
      <c r="W365" s="2" t="s">
        <v>74</v>
      </c>
      <c r="X365" s="2" t="s">
        <v>74</v>
      </c>
      <c r="Y365" s="2" t="s">
        <v>74</v>
      </c>
      <c r="Z365" s="2" t="s">
        <v>74</v>
      </c>
      <c r="AA365" s="2" t="s">
        <v>74</v>
      </c>
      <c r="AB365" s="2" t="s">
        <v>6647</v>
      </c>
      <c r="AC365" s="2" t="s">
        <v>74</v>
      </c>
      <c r="AD365" s="2" t="s">
        <v>74</v>
      </c>
      <c r="AE365" s="2" t="s">
        <v>74</v>
      </c>
      <c r="AF365" s="2" t="s">
        <v>74</v>
      </c>
      <c r="AG365" s="2" t="s">
        <v>74</v>
      </c>
      <c r="AH365" s="2" t="s">
        <v>74</v>
      </c>
      <c r="AI365" s="2" t="s">
        <v>74</v>
      </c>
      <c r="AJ365" s="2" t="s">
        <v>74</v>
      </c>
      <c r="AK365" s="2" t="s">
        <v>74</v>
      </c>
      <c r="AL365" s="2" t="s">
        <v>74</v>
      </c>
      <c r="AM365" s="2" t="s">
        <v>74</v>
      </c>
      <c r="AN365" s="2" t="s">
        <v>74</v>
      </c>
      <c r="AO365" s="2" t="s">
        <v>173</v>
      </c>
      <c r="AP365" s="2" t="s">
        <v>174</v>
      </c>
      <c r="AQ365" s="2" t="s">
        <v>74</v>
      </c>
      <c r="AR365" s="2" t="s">
        <v>74</v>
      </c>
      <c r="AS365" s="2" t="s">
        <v>74</v>
      </c>
      <c r="AT365" s="2" t="s">
        <v>6648</v>
      </c>
      <c r="AU365" s="2">
        <v>2023</v>
      </c>
      <c r="AV365" s="2">
        <v>77</v>
      </c>
      <c r="AW365" s="2">
        <v>10</v>
      </c>
      <c r="AX365" s="2" t="s">
        <v>74</v>
      </c>
      <c r="AY365" s="2" t="s">
        <v>74</v>
      </c>
      <c r="AZ365" s="2" t="s">
        <v>74</v>
      </c>
      <c r="BA365" s="2" t="s">
        <v>74</v>
      </c>
      <c r="BB365" s="2">
        <v>2224</v>
      </c>
      <c r="BC365" s="2">
        <v>2233</v>
      </c>
      <c r="BD365" s="2" t="s">
        <v>74</v>
      </c>
      <c r="BE365" s="2" t="s">
        <v>6649</v>
      </c>
      <c r="BF365" s="2" t="str">
        <f>HYPERLINK("http://dx.doi.org/10.1093/evolut/qpad134","http://dx.doi.org/10.1093/evolut/qpad134")</f>
        <v>http://dx.doi.org/10.1093/evolut/qpad134</v>
      </c>
      <c r="BG365" s="2" t="s">
        <v>74</v>
      </c>
      <c r="BH365" s="2" t="s">
        <v>2726</v>
      </c>
      <c r="BI365" s="2" t="s">
        <v>74</v>
      </c>
      <c r="BJ365" s="2" t="s">
        <v>74</v>
      </c>
      <c r="BK365" s="2" t="s">
        <v>74</v>
      </c>
      <c r="BL365" s="2" t="s">
        <v>74</v>
      </c>
      <c r="BM365" s="2" t="s">
        <v>74</v>
      </c>
      <c r="BN365" s="2">
        <v>37482374</v>
      </c>
      <c r="BO365" s="2" t="s">
        <v>74</v>
      </c>
      <c r="BP365" s="2" t="s">
        <v>74</v>
      </c>
      <c r="BQ365" s="2" t="s">
        <v>74</v>
      </c>
      <c r="BR365" s="2" t="s">
        <v>74</v>
      </c>
      <c r="BS365" s="2" t="s">
        <v>6650</v>
      </c>
      <c r="BT365" s="2" t="str">
        <f>HYPERLINK("https%3A%2F%2Fwww.webofscience.com%2Fwos%2Fwoscc%2Ffull-record%2FWOS:001050661400001","View Full Record in Web of Science")</f>
        <v>View Full Record in Web of Science</v>
      </c>
    </row>
    <row r="366" spans="1:72" s="2" customFormat="1" x14ac:dyDescent="0.4">
      <c r="A366" s="2" t="s">
        <v>72</v>
      </c>
      <c r="B366" s="2" t="s">
        <v>5331</v>
      </c>
      <c r="C366" s="2" t="s">
        <v>74</v>
      </c>
      <c r="D366" s="2" t="s">
        <v>74</v>
      </c>
      <c r="E366" s="2" t="s">
        <v>74</v>
      </c>
      <c r="F366" s="2" t="s">
        <v>5331</v>
      </c>
      <c r="G366" s="2" t="s">
        <v>74</v>
      </c>
      <c r="H366" s="2" t="s">
        <v>74</v>
      </c>
      <c r="I366" s="2" t="s">
        <v>5332</v>
      </c>
      <c r="J366" s="2" t="s">
        <v>5333</v>
      </c>
      <c r="K366" s="2" t="s">
        <v>74</v>
      </c>
      <c r="L366" s="2" t="s">
        <v>74</v>
      </c>
      <c r="M366" s="2" t="s">
        <v>74</v>
      </c>
      <c r="N366" s="2" t="s">
        <v>74</v>
      </c>
      <c r="O366" s="2" t="s">
        <v>74</v>
      </c>
      <c r="P366" s="2" t="s">
        <v>74</v>
      </c>
      <c r="Q366" s="2" t="s">
        <v>74</v>
      </c>
      <c r="R366" s="2" t="s">
        <v>74</v>
      </c>
      <c r="S366" s="2" t="s">
        <v>74</v>
      </c>
      <c r="T366" s="2" t="s">
        <v>74</v>
      </c>
      <c r="U366" s="2" t="s">
        <v>74</v>
      </c>
      <c r="V366" s="5" t="s">
        <v>5334</v>
      </c>
      <c r="W366" s="2" t="s">
        <v>74</v>
      </c>
      <c r="X366" s="2" t="s">
        <v>74</v>
      </c>
      <c r="Y366" s="2" t="s">
        <v>74</v>
      </c>
      <c r="Z366" s="2" t="s">
        <v>74</v>
      </c>
      <c r="AA366" s="2" t="s">
        <v>74</v>
      </c>
      <c r="AB366" s="2" t="s">
        <v>74</v>
      </c>
      <c r="AC366" s="2" t="s">
        <v>74</v>
      </c>
      <c r="AD366" s="2" t="s">
        <v>74</v>
      </c>
      <c r="AE366" s="2" t="s">
        <v>74</v>
      </c>
      <c r="AF366" s="2" t="s">
        <v>74</v>
      </c>
      <c r="AG366" s="2" t="s">
        <v>74</v>
      </c>
      <c r="AH366" s="2" t="s">
        <v>74</v>
      </c>
      <c r="AI366" s="2" t="s">
        <v>74</v>
      </c>
      <c r="AJ366" s="2" t="s">
        <v>74</v>
      </c>
      <c r="AK366" s="2" t="s">
        <v>74</v>
      </c>
      <c r="AL366" s="2" t="s">
        <v>74</v>
      </c>
      <c r="AM366" s="2" t="s">
        <v>74</v>
      </c>
      <c r="AN366" s="2" t="s">
        <v>74</v>
      </c>
      <c r="AO366" s="2" t="s">
        <v>5335</v>
      </c>
      <c r="AP366" s="2" t="s">
        <v>74</v>
      </c>
      <c r="AQ366" s="2" t="s">
        <v>74</v>
      </c>
      <c r="AR366" s="2" t="s">
        <v>74</v>
      </c>
      <c r="AS366" s="2" t="s">
        <v>74</v>
      </c>
      <c r="AT366" s="2" t="s">
        <v>74</v>
      </c>
      <c r="AU366" s="2">
        <v>1981</v>
      </c>
      <c r="AV366" s="2">
        <v>46</v>
      </c>
      <c r="AW366" s="2">
        <v>3</v>
      </c>
      <c r="AX366" s="2" t="s">
        <v>74</v>
      </c>
      <c r="AY366" s="2" t="s">
        <v>74</v>
      </c>
      <c r="AZ366" s="2" t="s">
        <v>74</v>
      </c>
      <c r="BA366" s="2" t="s">
        <v>74</v>
      </c>
      <c r="BB366" s="2">
        <v>151</v>
      </c>
      <c r="BC366" s="2">
        <v>161</v>
      </c>
      <c r="BD366" s="2" t="s">
        <v>74</v>
      </c>
      <c r="BE366" s="2" t="s">
        <v>74</v>
      </c>
      <c r="BF366" s="2" t="s">
        <v>74</v>
      </c>
      <c r="BG366" s="2" t="s">
        <v>74</v>
      </c>
      <c r="BH366" s="2" t="s">
        <v>74</v>
      </c>
      <c r="BI366" s="2" t="s">
        <v>74</v>
      </c>
      <c r="BJ366" s="2" t="s">
        <v>74</v>
      </c>
      <c r="BK366" s="2" t="s">
        <v>74</v>
      </c>
      <c r="BL366" s="2" t="s">
        <v>74</v>
      </c>
      <c r="BM366" s="2" t="s">
        <v>74</v>
      </c>
      <c r="BN366" s="2" t="s">
        <v>74</v>
      </c>
      <c r="BO366" s="2" t="s">
        <v>74</v>
      </c>
      <c r="BP366" s="2" t="s">
        <v>74</v>
      </c>
      <c r="BQ366" s="2" t="s">
        <v>74</v>
      </c>
      <c r="BR366" s="2" t="s">
        <v>74</v>
      </c>
      <c r="BS366" s="2" t="s">
        <v>5336</v>
      </c>
      <c r="BT366" s="2" t="str">
        <f>HYPERLINK("https%3A%2F%2Fwww.webofscience.com%2Fwos%2Fwoscc%2Ffull-record%2FWOS:A1981LX86400004","View Full Record in Web of Science")</f>
        <v>View Full Record in Web of Science</v>
      </c>
    </row>
    <row r="367" spans="1:72" s="2" customFormat="1" x14ac:dyDescent="0.4">
      <c r="A367" s="2" t="s">
        <v>72</v>
      </c>
      <c r="B367" s="2" t="s">
        <v>3439</v>
      </c>
      <c r="C367" s="2" t="s">
        <v>74</v>
      </c>
      <c r="D367" s="2" t="s">
        <v>74</v>
      </c>
      <c r="E367" s="2" t="s">
        <v>74</v>
      </c>
      <c r="F367" s="2" t="s">
        <v>3440</v>
      </c>
      <c r="G367" s="2" t="s">
        <v>74</v>
      </c>
      <c r="H367" s="2" t="s">
        <v>74</v>
      </c>
      <c r="I367" s="2" t="s">
        <v>3441</v>
      </c>
      <c r="J367" s="2" t="s">
        <v>763</v>
      </c>
      <c r="K367" s="2" t="s">
        <v>74</v>
      </c>
      <c r="L367" s="2" t="s">
        <v>74</v>
      </c>
      <c r="M367" s="2" t="s">
        <v>74</v>
      </c>
      <c r="N367" s="2" t="s">
        <v>74</v>
      </c>
      <c r="O367" s="2" t="s">
        <v>74</v>
      </c>
      <c r="P367" s="2" t="s">
        <v>74</v>
      </c>
      <c r="Q367" s="2" t="s">
        <v>74</v>
      </c>
      <c r="R367" s="2" t="s">
        <v>74</v>
      </c>
      <c r="S367" s="2" t="s">
        <v>74</v>
      </c>
      <c r="T367" s="2" t="s">
        <v>74</v>
      </c>
      <c r="U367" s="2" t="s">
        <v>74</v>
      </c>
      <c r="V367" s="5" t="s">
        <v>3442</v>
      </c>
      <c r="W367" s="2" t="s">
        <v>74</v>
      </c>
      <c r="X367" s="2" t="s">
        <v>74</v>
      </c>
      <c r="Y367" s="2" t="s">
        <v>74</v>
      </c>
      <c r="Z367" s="2" t="s">
        <v>74</v>
      </c>
      <c r="AA367" s="2" t="s">
        <v>3443</v>
      </c>
      <c r="AB367" s="2" t="s">
        <v>3444</v>
      </c>
      <c r="AC367" s="2" t="s">
        <v>74</v>
      </c>
      <c r="AD367" s="2" t="s">
        <v>74</v>
      </c>
      <c r="AE367" s="2" t="s">
        <v>74</v>
      </c>
      <c r="AF367" s="2" t="s">
        <v>74</v>
      </c>
      <c r="AG367" s="2" t="s">
        <v>74</v>
      </c>
      <c r="AH367" s="2" t="s">
        <v>74</v>
      </c>
      <c r="AI367" s="2" t="s">
        <v>74</v>
      </c>
      <c r="AJ367" s="2" t="s">
        <v>74</v>
      </c>
      <c r="AK367" s="2" t="s">
        <v>74</v>
      </c>
      <c r="AL367" s="2" t="s">
        <v>74</v>
      </c>
      <c r="AM367" s="2" t="s">
        <v>74</v>
      </c>
      <c r="AN367" s="2" t="s">
        <v>74</v>
      </c>
      <c r="AO367" s="2" t="s">
        <v>767</v>
      </c>
      <c r="AP367" s="2" t="s">
        <v>768</v>
      </c>
      <c r="AQ367" s="2" t="s">
        <v>74</v>
      </c>
      <c r="AR367" s="2" t="s">
        <v>74</v>
      </c>
      <c r="AS367" s="2" t="s">
        <v>74</v>
      </c>
      <c r="AT367" s="2" t="s">
        <v>3445</v>
      </c>
      <c r="AU367" s="2">
        <v>2016</v>
      </c>
      <c r="AV367" s="2">
        <v>219</v>
      </c>
      <c r="AW367" s="2">
        <v>18</v>
      </c>
      <c r="AX367" s="2" t="s">
        <v>74</v>
      </c>
      <c r="AY367" s="2" t="s">
        <v>74</v>
      </c>
      <c r="AZ367" s="2" t="s">
        <v>74</v>
      </c>
      <c r="BA367" s="2" t="s">
        <v>74</v>
      </c>
      <c r="BB367" s="2">
        <v>2837</v>
      </c>
      <c r="BC367" s="2">
        <v>2843</v>
      </c>
      <c r="BD367" s="2" t="s">
        <v>74</v>
      </c>
      <c r="BE367" s="2" t="s">
        <v>3446</v>
      </c>
      <c r="BF367" s="2" t="str">
        <f>HYPERLINK("http://dx.doi.org/10.1242/jeb.137885","http://dx.doi.org/10.1242/jeb.137885")</f>
        <v>http://dx.doi.org/10.1242/jeb.137885</v>
      </c>
      <c r="BG367" s="2" t="s">
        <v>74</v>
      </c>
      <c r="BH367" s="2" t="s">
        <v>74</v>
      </c>
      <c r="BI367" s="2" t="s">
        <v>74</v>
      </c>
      <c r="BJ367" s="2" t="s">
        <v>74</v>
      </c>
      <c r="BK367" s="2" t="s">
        <v>74</v>
      </c>
      <c r="BL367" s="2" t="s">
        <v>74</v>
      </c>
      <c r="BM367" s="2" t="s">
        <v>74</v>
      </c>
      <c r="BN367" s="2">
        <v>27401761</v>
      </c>
      <c r="BO367" s="2" t="s">
        <v>74</v>
      </c>
      <c r="BP367" s="2" t="s">
        <v>74</v>
      </c>
      <c r="BQ367" s="2" t="s">
        <v>74</v>
      </c>
      <c r="BR367" s="2" t="s">
        <v>74</v>
      </c>
      <c r="BS367" s="2" t="s">
        <v>3447</v>
      </c>
      <c r="BT367" s="2" t="str">
        <f>HYPERLINK("https%3A%2F%2Fwww.webofscience.com%2Fwos%2Fwoscc%2Ffull-record%2FWOS:000384250600015","View Full Record in Web of Science")</f>
        <v>View Full Record in Web of Science</v>
      </c>
    </row>
    <row r="368" spans="1:72" s="2" customFormat="1" x14ac:dyDescent="0.4">
      <c r="A368" s="2" t="s">
        <v>72</v>
      </c>
      <c r="B368" s="2" t="s">
        <v>8591</v>
      </c>
      <c r="C368" s="2" t="s">
        <v>74</v>
      </c>
      <c r="D368" s="2" t="s">
        <v>74</v>
      </c>
      <c r="E368" s="2" t="s">
        <v>74</v>
      </c>
      <c r="F368" s="2" t="s">
        <v>8591</v>
      </c>
      <c r="G368" s="2" t="s">
        <v>74</v>
      </c>
      <c r="H368" s="2" t="s">
        <v>74</v>
      </c>
      <c r="I368" s="2" t="s">
        <v>8592</v>
      </c>
      <c r="J368" s="2" t="s">
        <v>8067</v>
      </c>
      <c r="K368" s="2" t="s">
        <v>74</v>
      </c>
      <c r="L368" s="2" t="s">
        <v>74</v>
      </c>
      <c r="M368" s="2" t="s">
        <v>74</v>
      </c>
      <c r="N368" s="2" t="s">
        <v>74</v>
      </c>
      <c r="O368" s="2" t="s">
        <v>74</v>
      </c>
      <c r="P368" s="2" t="s">
        <v>74</v>
      </c>
      <c r="Q368" s="2" t="s">
        <v>74</v>
      </c>
      <c r="R368" s="2" t="s">
        <v>74</v>
      </c>
      <c r="S368" s="2" t="s">
        <v>74</v>
      </c>
      <c r="T368" s="2" t="s">
        <v>74</v>
      </c>
      <c r="U368" s="2" t="s">
        <v>74</v>
      </c>
      <c r="V368" s="5" t="s">
        <v>8593</v>
      </c>
      <c r="W368" s="2" t="s">
        <v>74</v>
      </c>
      <c r="X368" s="2" t="s">
        <v>74</v>
      </c>
      <c r="Y368" s="2" t="s">
        <v>74</v>
      </c>
      <c r="Z368" s="2" t="s">
        <v>74</v>
      </c>
      <c r="AA368" s="2" t="s">
        <v>8594</v>
      </c>
      <c r="AB368" s="2" t="s">
        <v>8595</v>
      </c>
      <c r="AC368" s="2" t="s">
        <v>74</v>
      </c>
      <c r="AD368" s="2" t="s">
        <v>74</v>
      </c>
      <c r="AE368" s="2" t="s">
        <v>74</v>
      </c>
      <c r="AF368" s="2" t="s">
        <v>74</v>
      </c>
      <c r="AG368" s="2" t="s">
        <v>74</v>
      </c>
      <c r="AH368" s="2" t="s">
        <v>74</v>
      </c>
      <c r="AI368" s="2" t="s">
        <v>74</v>
      </c>
      <c r="AJ368" s="2" t="s">
        <v>74</v>
      </c>
      <c r="AK368" s="2" t="s">
        <v>74</v>
      </c>
      <c r="AL368" s="2" t="s">
        <v>74</v>
      </c>
      <c r="AM368" s="2" t="s">
        <v>74</v>
      </c>
      <c r="AN368" s="2" t="s">
        <v>74</v>
      </c>
      <c r="AO368" s="2" t="s">
        <v>8071</v>
      </c>
      <c r="AP368" s="2" t="s">
        <v>74</v>
      </c>
      <c r="AQ368" s="2" t="s">
        <v>74</v>
      </c>
      <c r="AR368" s="2" t="s">
        <v>74</v>
      </c>
      <c r="AS368" s="2" t="s">
        <v>74</v>
      </c>
      <c r="AT368" s="2" t="s">
        <v>305</v>
      </c>
      <c r="AU368" s="2">
        <v>1995</v>
      </c>
      <c r="AV368" s="2">
        <v>189</v>
      </c>
      <c r="AW368" s="2">
        <v>3</v>
      </c>
      <c r="AX368" s="2" t="s">
        <v>74</v>
      </c>
      <c r="AY368" s="2" t="s">
        <v>74</v>
      </c>
      <c r="AZ368" s="2" t="s">
        <v>74</v>
      </c>
      <c r="BA368" s="2" t="s">
        <v>74</v>
      </c>
      <c r="BB368" s="2">
        <v>288</v>
      </c>
      <c r="BC368" s="2">
        <v>297</v>
      </c>
      <c r="BD368" s="2" t="s">
        <v>74</v>
      </c>
      <c r="BE368" s="2" t="s">
        <v>8596</v>
      </c>
      <c r="BF368" s="2" t="str">
        <f>HYPERLINK("http://dx.doi.org/10.2307/1542146","http://dx.doi.org/10.2307/1542146")</f>
        <v>http://dx.doi.org/10.2307/1542146</v>
      </c>
      <c r="BG368" s="2" t="s">
        <v>74</v>
      </c>
      <c r="BH368" s="2" t="s">
        <v>74</v>
      </c>
      <c r="BI368" s="2" t="s">
        <v>74</v>
      </c>
      <c r="BJ368" s="2" t="s">
        <v>74</v>
      </c>
      <c r="BK368" s="2" t="s">
        <v>74</v>
      </c>
      <c r="BL368" s="2" t="s">
        <v>74</v>
      </c>
      <c r="BM368" s="2" t="s">
        <v>74</v>
      </c>
      <c r="BN368" s="2">
        <v>29244570</v>
      </c>
      <c r="BO368" s="2" t="s">
        <v>74</v>
      </c>
      <c r="BP368" s="2" t="s">
        <v>74</v>
      </c>
      <c r="BQ368" s="2" t="s">
        <v>74</v>
      </c>
      <c r="BR368" s="2" t="s">
        <v>74</v>
      </c>
      <c r="BS368" s="2" t="s">
        <v>8597</v>
      </c>
      <c r="BT368" s="2" t="str">
        <f>HYPERLINK("https%3A%2F%2Fwww.webofscience.com%2Fwos%2Fwoscc%2Ffull-record%2FWOS:A1995TL76800004","View Full Record in Web of Science")</f>
        <v>View Full Record in Web of Science</v>
      </c>
    </row>
    <row r="369" spans="1:72" s="2" customFormat="1" x14ac:dyDescent="0.4">
      <c r="A369" s="2" t="s">
        <v>72</v>
      </c>
      <c r="B369" s="2" t="s">
        <v>6529</v>
      </c>
      <c r="C369" s="2" t="s">
        <v>74</v>
      </c>
      <c r="D369" s="2" t="s">
        <v>74</v>
      </c>
      <c r="E369" s="2" t="s">
        <v>74</v>
      </c>
      <c r="F369" s="2" t="s">
        <v>6530</v>
      </c>
      <c r="G369" s="2" t="s">
        <v>74</v>
      </c>
      <c r="H369" s="2" t="s">
        <v>74</v>
      </c>
      <c r="I369" s="2" t="s">
        <v>6531</v>
      </c>
      <c r="J369" s="2" t="s">
        <v>1302</v>
      </c>
      <c r="K369" s="2" t="s">
        <v>74</v>
      </c>
      <c r="L369" s="2" t="s">
        <v>74</v>
      </c>
      <c r="M369" s="2" t="s">
        <v>74</v>
      </c>
      <c r="N369" s="2" t="s">
        <v>74</v>
      </c>
      <c r="O369" s="2" t="s">
        <v>74</v>
      </c>
      <c r="P369" s="2" t="s">
        <v>74</v>
      </c>
      <c r="Q369" s="2" t="s">
        <v>74</v>
      </c>
      <c r="R369" s="2" t="s">
        <v>74</v>
      </c>
      <c r="S369" s="2" t="s">
        <v>74</v>
      </c>
      <c r="T369" s="2" t="s">
        <v>74</v>
      </c>
      <c r="U369" s="2" t="s">
        <v>74</v>
      </c>
      <c r="V369" s="5" t="s">
        <v>6532</v>
      </c>
      <c r="W369" s="2" t="s">
        <v>74</v>
      </c>
      <c r="X369" s="2" t="s">
        <v>74</v>
      </c>
      <c r="Y369" s="2" t="s">
        <v>74</v>
      </c>
      <c r="Z369" s="2" t="s">
        <v>74</v>
      </c>
      <c r="AA369" s="2" t="s">
        <v>74</v>
      </c>
      <c r="AB369" s="2" t="s">
        <v>6533</v>
      </c>
      <c r="AC369" s="2" t="s">
        <v>74</v>
      </c>
      <c r="AD369" s="2" t="s">
        <v>74</v>
      </c>
      <c r="AE369" s="2" t="s">
        <v>74</v>
      </c>
      <c r="AF369" s="2" t="s">
        <v>74</v>
      </c>
      <c r="AG369" s="2" t="s">
        <v>74</v>
      </c>
      <c r="AH369" s="2" t="s">
        <v>74</v>
      </c>
      <c r="AI369" s="2" t="s">
        <v>74</v>
      </c>
      <c r="AJ369" s="2" t="s">
        <v>74</v>
      </c>
      <c r="AK369" s="2" t="s">
        <v>74</v>
      </c>
      <c r="AL369" s="2" t="s">
        <v>74</v>
      </c>
      <c r="AM369" s="2" t="s">
        <v>74</v>
      </c>
      <c r="AN369" s="2" t="s">
        <v>74</v>
      </c>
      <c r="AO369" s="2" t="s">
        <v>1306</v>
      </c>
      <c r="AP369" s="2" t="s">
        <v>74</v>
      </c>
      <c r="AQ369" s="2" t="s">
        <v>74</v>
      </c>
      <c r="AR369" s="2" t="s">
        <v>74</v>
      </c>
      <c r="AS369" s="2" t="s">
        <v>74</v>
      </c>
      <c r="AT369" s="2" t="s">
        <v>74</v>
      </c>
      <c r="AU369" s="2">
        <v>2022</v>
      </c>
      <c r="AV369" s="2">
        <v>20</v>
      </c>
      <c r="AW369" s="2">
        <v>4</v>
      </c>
      <c r="AX369" s="2" t="s">
        <v>74</v>
      </c>
      <c r="AY369" s="2" t="s">
        <v>74</v>
      </c>
      <c r="AZ369" s="2" t="s">
        <v>74</v>
      </c>
      <c r="BA369" s="2" t="s">
        <v>74</v>
      </c>
      <c r="BB369" s="2" t="s">
        <v>74</v>
      </c>
      <c r="BC369" s="2" t="s">
        <v>74</v>
      </c>
      <c r="BD369" s="2" t="s">
        <v>6534</v>
      </c>
      <c r="BE369" s="2" t="s">
        <v>6535</v>
      </c>
      <c r="BF369" s="2" t="str">
        <f>HYPERLINK("http://dx.doi.org/10.1590/1982-0224-2022-0067","http://dx.doi.org/10.1590/1982-0224-2022-0067")</f>
        <v>http://dx.doi.org/10.1590/1982-0224-2022-0067</v>
      </c>
      <c r="BG369" s="2" t="s">
        <v>74</v>
      </c>
      <c r="BH369" s="2" t="s">
        <v>74</v>
      </c>
      <c r="BI369" s="2" t="s">
        <v>74</v>
      </c>
      <c r="BJ369" s="2" t="s">
        <v>74</v>
      </c>
      <c r="BK369" s="2" t="s">
        <v>74</v>
      </c>
      <c r="BL369" s="2" t="s">
        <v>74</v>
      </c>
      <c r="BM369" s="2" t="s">
        <v>74</v>
      </c>
      <c r="BN369" s="2" t="s">
        <v>74</v>
      </c>
      <c r="BO369" s="2" t="s">
        <v>74</v>
      </c>
      <c r="BP369" s="2" t="s">
        <v>74</v>
      </c>
      <c r="BQ369" s="2" t="s">
        <v>74</v>
      </c>
      <c r="BR369" s="2" t="s">
        <v>74</v>
      </c>
      <c r="BS369" s="2" t="s">
        <v>6536</v>
      </c>
      <c r="BT369" s="2" t="str">
        <f>HYPERLINK("https%3A%2F%2Fwww.webofscience.com%2Fwos%2Fwoscc%2Ffull-record%2FWOS:000889065500001","View Full Record in Web of Science")</f>
        <v>View Full Record in Web of Science</v>
      </c>
    </row>
    <row r="370" spans="1:72" s="2" customFormat="1" x14ac:dyDescent="0.4">
      <c r="A370" s="2" t="s">
        <v>72</v>
      </c>
      <c r="B370" s="2" t="s">
        <v>5890</v>
      </c>
      <c r="C370" s="2" t="s">
        <v>74</v>
      </c>
      <c r="D370" s="2" t="s">
        <v>74</v>
      </c>
      <c r="E370" s="2" t="s">
        <v>74</v>
      </c>
      <c r="F370" s="2" t="s">
        <v>5890</v>
      </c>
      <c r="G370" s="2" t="s">
        <v>74</v>
      </c>
      <c r="H370" s="2" t="s">
        <v>74</v>
      </c>
      <c r="I370" s="2" t="s">
        <v>5891</v>
      </c>
      <c r="J370" s="2" t="s">
        <v>367</v>
      </c>
      <c r="K370" s="2" t="s">
        <v>74</v>
      </c>
      <c r="L370" s="2" t="s">
        <v>74</v>
      </c>
      <c r="M370" s="2" t="s">
        <v>74</v>
      </c>
      <c r="N370" s="2" t="s">
        <v>74</v>
      </c>
      <c r="O370" s="2" t="s">
        <v>74</v>
      </c>
      <c r="P370" s="2" t="s">
        <v>74</v>
      </c>
      <c r="Q370" s="2" t="s">
        <v>74</v>
      </c>
      <c r="R370" s="2" t="s">
        <v>74</v>
      </c>
      <c r="S370" s="2" t="s">
        <v>74</v>
      </c>
      <c r="T370" s="2" t="s">
        <v>74</v>
      </c>
      <c r="U370" s="2" t="s">
        <v>74</v>
      </c>
      <c r="V370" s="5" t="s">
        <v>5892</v>
      </c>
      <c r="W370" s="2" t="s">
        <v>74</v>
      </c>
      <c r="X370" s="2" t="s">
        <v>74</v>
      </c>
      <c r="Y370" s="2" t="s">
        <v>74</v>
      </c>
      <c r="Z370" s="2" t="s">
        <v>74</v>
      </c>
      <c r="AA370" s="2" t="s">
        <v>74</v>
      </c>
      <c r="AB370" s="2" t="s">
        <v>74</v>
      </c>
      <c r="AC370" s="2" t="s">
        <v>74</v>
      </c>
      <c r="AD370" s="2" t="s">
        <v>74</v>
      </c>
      <c r="AE370" s="2" t="s">
        <v>74</v>
      </c>
      <c r="AF370" s="2" t="s">
        <v>74</v>
      </c>
      <c r="AG370" s="2" t="s">
        <v>74</v>
      </c>
      <c r="AH370" s="2" t="s">
        <v>74</v>
      </c>
      <c r="AI370" s="2" t="s">
        <v>74</v>
      </c>
      <c r="AJ370" s="2" t="s">
        <v>74</v>
      </c>
      <c r="AK370" s="2" t="s">
        <v>74</v>
      </c>
      <c r="AL370" s="2" t="s">
        <v>74</v>
      </c>
      <c r="AM370" s="2" t="s">
        <v>74</v>
      </c>
      <c r="AN370" s="2" t="s">
        <v>74</v>
      </c>
      <c r="AO370" s="2" t="s">
        <v>371</v>
      </c>
      <c r="AP370" s="2" t="s">
        <v>74</v>
      </c>
      <c r="AQ370" s="2" t="s">
        <v>74</v>
      </c>
      <c r="AR370" s="2" t="s">
        <v>74</v>
      </c>
      <c r="AS370" s="2" t="s">
        <v>74</v>
      </c>
      <c r="AT370" s="2" t="s">
        <v>102</v>
      </c>
      <c r="AU370" s="2">
        <v>1998</v>
      </c>
      <c r="AV370" s="2">
        <v>112</v>
      </c>
      <c r="AW370" s="2">
        <v>2</v>
      </c>
      <c r="AX370" s="2" t="s">
        <v>74</v>
      </c>
      <c r="AY370" s="2" t="s">
        <v>74</v>
      </c>
      <c r="AZ370" s="2" t="s">
        <v>74</v>
      </c>
      <c r="BA370" s="2" t="s">
        <v>74</v>
      </c>
      <c r="BB370" s="2">
        <v>170</v>
      </c>
      <c r="BC370" s="2">
        <v>182</v>
      </c>
      <c r="BD370" s="2" t="s">
        <v>74</v>
      </c>
      <c r="BE370" s="2" t="s">
        <v>5893</v>
      </c>
      <c r="BF370" s="2" t="str">
        <f>HYPERLINK("http://dx.doi.org/10.1037/0735-7036.112.2.170","http://dx.doi.org/10.1037/0735-7036.112.2.170")</f>
        <v>http://dx.doi.org/10.1037/0735-7036.112.2.170</v>
      </c>
      <c r="BG370" s="2" t="s">
        <v>74</v>
      </c>
      <c r="BH370" s="2" t="s">
        <v>74</v>
      </c>
      <c r="BI370" s="2" t="s">
        <v>74</v>
      </c>
      <c r="BJ370" s="2" t="s">
        <v>74</v>
      </c>
      <c r="BK370" s="2" t="s">
        <v>74</v>
      </c>
      <c r="BL370" s="2" t="s">
        <v>74</v>
      </c>
      <c r="BM370" s="2" t="s">
        <v>74</v>
      </c>
      <c r="BN370" s="2">
        <v>9642786</v>
      </c>
      <c r="BO370" s="2" t="s">
        <v>74</v>
      </c>
      <c r="BP370" s="2" t="s">
        <v>74</v>
      </c>
      <c r="BQ370" s="2" t="s">
        <v>74</v>
      </c>
      <c r="BR370" s="2" t="s">
        <v>74</v>
      </c>
      <c r="BS370" s="2" t="s">
        <v>5894</v>
      </c>
      <c r="BT370" s="2" t="str">
        <f>HYPERLINK("https%3A%2F%2Fwww.webofscience.com%2Fwos%2Fwoscc%2Ffull-record%2FWOS:000074164800007","View Full Record in Web of Science")</f>
        <v>View Full Record in Web of Science</v>
      </c>
    </row>
    <row r="371" spans="1:72" s="7" customFormat="1" x14ac:dyDescent="0.4">
      <c r="A371" s="2" t="s">
        <v>72</v>
      </c>
      <c r="B371" s="2" t="s">
        <v>4463</v>
      </c>
      <c r="C371" s="2" t="s">
        <v>74</v>
      </c>
      <c r="D371" s="2" t="s">
        <v>74</v>
      </c>
      <c r="E371" s="2" t="s">
        <v>74</v>
      </c>
      <c r="F371" s="2" t="s">
        <v>4464</v>
      </c>
      <c r="G371" s="2" t="s">
        <v>74</v>
      </c>
      <c r="H371" s="2" t="s">
        <v>74</v>
      </c>
      <c r="I371" s="2" t="s">
        <v>4465</v>
      </c>
      <c r="J371" s="2" t="s">
        <v>129</v>
      </c>
      <c r="K371" s="2" t="s">
        <v>74</v>
      </c>
      <c r="L371" s="2" t="s">
        <v>74</v>
      </c>
      <c r="M371" s="2" t="s">
        <v>74</v>
      </c>
      <c r="N371" s="2" t="s">
        <v>74</v>
      </c>
      <c r="O371" s="2" t="s">
        <v>74</v>
      </c>
      <c r="P371" s="2" t="s">
        <v>74</v>
      </c>
      <c r="Q371" s="2" t="s">
        <v>74</v>
      </c>
      <c r="R371" s="2" t="s">
        <v>74</v>
      </c>
      <c r="S371" s="2" t="s">
        <v>74</v>
      </c>
      <c r="T371" s="2" t="s">
        <v>74</v>
      </c>
      <c r="U371" s="2" t="s">
        <v>74</v>
      </c>
      <c r="V371" s="5" t="s">
        <v>4466</v>
      </c>
      <c r="W371" s="2" t="s">
        <v>74</v>
      </c>
      <c r="X371" s="2" t="s">
        <v>74</v>
      </c>
      <c r="Y371" s="2" t="s">
        <v>74</v>
      </c>
      <c r="Z371" s="2" t="s">
        <v>74</v>
      </c>
      <c r="AA371" s="2" t="s">
        <v>4467</v>
      </c>
      <c r="AB371" s="2" t="s">
        <v>4468</v>
      </c>
      <c r="AC371" s="2" t="s">
        <v>74</v>
      </c>
      <c r="AD371" s="2" t="s">
        <v>74</v>
      </c>
      <c r="AE371" s="2" t="s">
        <v>74</v>
      </c>
      <c r="AF371" s="2" t="s">
        <v>74</v>
      </c>
      <c r="AG371" s="2" t="s">
        <v>74</v>
      </c>
      <c r="AH371" s="2" t="s">
        <v>74</v>
      </c>
      <c r="AI371" s="2" t="s">
        <v>74</v>
      </c>
      <c r="AJ371" s="2" t="s">
        <v>74</v>
      </c>
      <c r="AK371" s="2" t="s">
        <v>74</v>
      </c>
      <c r="AL371" s="2" t="s">
        <v>74</v>
      </c>
      <c r="AM371" s="2" t="s">
        <v>74</v>
      </c>
      <c r="AN371" s="2" t="s">
        <v>74</v>
      </c>
      <c r="AO371" s="2" t="s">
        <v>132</v>
      </c>
      <c r="AP371" s="2" t="s">
        <v>133</v>
      </c>
      <c r="AQ371" s="2" t="s">
        <v>74</v>
      </c>
      <c r="AR371" s="2" t="s">
        <v>74</v>
      </c>
      <c r="AS371" s="2" t="s">
        <v>74</v>
      </c>
      <c r="AT371" s="2" t="s">
        <v>145</v>
      </c>
      <c r="AU371" s="2">
        <v>2015</v>
      </c>
      <c r="AV371" s="2">
        <v>69</v>
      </c>
      <c r="AW371" s="2">
        <v>8</v>
      </c>
      <c r="AX371" s="2" t="s">
        <v>74</v>
      </c>
      <c r="AY371" s="2" t="s">
        <v>74</v>
      </c>
      <c r="AZ371" s="2" t="s">
        <v>74</v>
      </c>
      <c r="BA371" s="2" t="s">
        <v>74</v>
      </c>
      <c r="BB371" s="2">
        <v>1251</v>
      </c>
      <c r="BC371" s="2">
        <v>1264</v>
      </c>
      <c r="BD371" s="2" t="s">
        <v>74</v>
      </c>
      <c r="BE371" s="2" t="s">
        <v>4469</v>
      </c>
      <c r="BF371" s="2" t="str">
        <f>HYPERLINK("http://dx.doi.org/10.1007/s00265-015-1938-5","http://dx.doi.org/10.1007/s00265-015-1938-5")</f>
        <v>http://dx.doi.org/10.1007/s00265-015-1938-5</v>
      </c>
      <c r="BG371" s="2" t="s">
        <v>74</v>
      </c>
      <c r="BH371" s="2" t="s">
        <v>74</v>
      </c>
      <c r="BI371" s="2" t="s">
        <v>74</v>
      </c>
      <c r="BJ371" s="2" t="s">
        <v>74</v>
      </c>
      <c r="BK371" s="2" t="s">
        <v>74</v>
      </c>
      <c r="BL371" s="2" t="s">
        <v>74</v>
      </c>
      <c r="BM371" s="2" t="s">
        <v>74</v>
      </c>
      <c r="BN371" s="2" t="s">
        <v>74</v>
      </c>
      <c r="BO371" s="2" t="s">
        <v>74</v>
      </c>
      <c r="BP371" s="2" t="s">
        <v>74</v>
      </c>
      <c r="BQ371" s="2" t="s">
        <v>74</v>
      </c>
      <c r="BR371" s="2" t="s">
        <v>74</v>
      </c>
      <c r="BS371" s="2" t="s">
        <v>4470</v>
      </c>
      <c r="BT371" s="2" t="str">
        <f>HYPERLINK("https%3A%2F%2Fwww.webofscience.com%2Fwos%2Fwoscc%2Ffull-record%2FWOS:000358734700002","View Full Record in Web of Science")</f>
        <v>View Full Record in Web of Science</v>
      </c>
    </row>
    <row r="372" spans="1:72" s="2" customFormat="1" x14ac:dyDescent="0.4">
      <c r="A372" s="2" t="s">
        <v>72</v>
      </c>
      <c r="B372" s="2" t="s">
        <v>3929</v>
      </c>
      <c r="C372" s="2" t="s">
        <v>74</v>
      </c>
      <c r="D372" s="2" t="s">
        <v>74</v>
      </c>
      <c r="E372" s="2" t="s">
        <v>74</v>
      </c>
      <c r="F372" s="2" t="s">
        <v>3930</v>
      </c>
      <c r="G372" s="2" t="s">
        <v>74</v>
      </c>
      <c r="H372" s="2" t="s">
        <v>74</v>
      </c>
      <c r="I372" s="2" t="s">
        <v>3931</v>
      </c>
      <c r="J372" s="2" t="s">
        <v>763</v>
      </c>
      <c r="K372" s="2" t="s">
        <v>74</v>
      </c>
      <c r="L372" s="2" t="s">
        <v>74</v>
      </c>
      <c r="M372" s="2" t="s">
        <v>74</v>
      </c>
      <c r="N372" s="2" t="s">
        <v>74</v>
      </c>
      <c r="O372" s="2" t="s">
        <v>74</v>
      </c>
      <c r="P372" s="2" t="s">
        <v>74</v>
      </c>
      <c r="Q372" s="2" t="s">
        <v>74</v>
      </c>
      <c r="R372" s="2" t="s">
        <v>74</v>
      </c>
      <c r="S372" s="2" t="s">
        <v>74</v>
      </c>
      <c r="T372" s="2" t="s">
        <v>74</v>
      </c>
      <c r="U372" s="2" t="s">
        <v>74</v>
      </c>
      <c r="V372" s="5" t="s">
        <v>3932</v>
      </c>
      <c r="W372" s="2" t="s">
        <v>74</v>
      </c>
      <c r="X372" s="2" t="s">
        <v>74</v>
      </c>
      <c r="Y372" s="2" t="s">
        <v>74</v>
      </c>
      <c r="Z372" s="2" t="s">
        <v>74</v>
      </c>
      <c r="AA372" s="2" t="s">
        <v>3933</v>
      </c>
      <c r="AB372" s="2" t="s">
        <v>3934</v>
      </c>
      <c r="AC372" s="2" t="s">
        <v>74</v>
      </c>
      <c r="AD372" s="2" t="s">
        <v>74</v>
      </c>
      <c r="AE372" s="2" t="s">
        <v>74</v>
      </c>
      <c r="AF372" s="2" t="s">
        <v>74</v>
      </c>
      <c r="AG372" s="2" t="s">
        <v>74</v>
      </c>
      <c r="AH372" s="2" t="s">
        <v>74</v>
      </c>
      <c r="AI372" s="2" t="s">
        <v>74</v>
      </c>
      <c r="AJ372" s="2" t="s">
        <v>74</v>
      </c>
      <c r="AK372" s="2" t="s">
        <v>74</v>
      </c>
      <c r="AL372" s="2" t="s">
        <v>74</v>
      </c>
      <c r="AM372" s="2" t="s">
        <v>74</v>
      </c>
      <c r="AN372" s="2" t="s">
        <v>74</v>
      </c>
      <c r="AO372" s="2" t="s">
        <v>767</v>
      </c>
      <c r="AP372" s="2" t="s">
        <v>768</v>
      </c>
      <c r="AQ372" s="2" t="s">
        <v>74</v>
      </c>
      <c r="AR372" s="2" t="s">
        <v>74</v>
      </c>
      <c r="AS372" s="2" t="s">
        <v>74</v>
      </c>
      <c r="AT372" s="2" t="s">
        <v>134</v>
      </c>
      <c r="AU372" s="2">
        <v>2022</v>
      </c>
      <c r="AV372" s="2">
        <v>225</v>
      </c>
      <c r="AW372" s="2">
        <v>10</v>
      </c>
      <c r="AX372" s="2" t="s">
        <v>74</v>
      </c>
      <c r="AY372" s="2" t="s">
        <v>74</v>
      </c>
      <c r="AZ372" s="2" t="s">
        <v>74</v>
      </c>
      <c r="BA372" s="2" t="s">
        <v>74</v>
      </c>
      <c r="BB372" s="2" t="s">
        <v>74</v>
      </c>
      <c r="BC372" s="2" t="s">
        <v>74</v>
      </c>
      <c r="BD372" s="2" t="s">
        <v>3935</v>
      </c>
      <c r="BE372" s="2" t="s">
        <v>3936</v>
      </c>
      <c r="BF372" s="2" t="str">
        <f>HYPERLINK("http://dx.doi.org/10.1242/jeb.242955","http://dx.doi.org/10.1242/jeb.242955")</f>
        <v>http://dx.doi.org/10.1242/jeb.242955</v>
      </c>
      <c r="BG372" s="2" t="s">
        <v>74</v>
      </c>
      <c r="BH372" s="2" t="s">
        <v>74</v>
      </c>
      <c r="BI372" s="2" t="s">
        <v>74</v>
      </c>
      <c r="BJ372" s="2" t="s">
        <v>74</v>
      </c>
      <c r="BK372" s="2" t="s">
        <v>74</v>
      </c>
      <c r="BL372" s="2" t="s">
        <v>74</v>
      </c>
      <c r="BM372" s="2" t="s">
        <v>74</v>
      </c>
      <c r="BN372" s="2">
        <v>35514228</v>
      </c>
      <c r="BO372" s="2" t="s">
        <v>74</v>
      </c>
      <c r="BP372" s="2" t="s">
        <v>74</v>
      </c>
      <c r="BQ372" s="2" t="s">
        <v>74</v>
      </c>
      <c r="BR372" s="2" t="s">
        <v>74</v>
      </c>
      <c r="BS372" s="2" t="s">
        <v>3937</v>
      </c>
      <c r="BT372" s="2" t="str">
        <f>HYPERLINK("https%3A%2F%2Fwww.webofscience.com%2Fwos%2Fwoscc%2Ffull-record%2FWOS:000806042900004","View Full Record in Web of Science")</f>
        <v>View Full Record in Web of Science</v>
      </c>
    </row>
    <row r="373" spans="1:72" s="2" customFormat="1" x14ac:dyDescent="0.4">
      <c r="A373" s="2" t="s">
        <v>72</v>
      </c>
      <c r="B373" s="2" t="s">
        <v>3304</v>
      </c>
      <c r="C373" s="2" t="s">
        <v>74</v>
      </c>
      <c r="D373" s="2" t="s">
        <v>74</v>
      </c>
      <c r="E373" s="2" t="s">
        <v>74</v>
      </c>
      <c r="F373" s="2" t="s">
        <v>3305</v>
      </c>
      <c r="G373" s="2" t="s">
        <v>74</v>
      </c>
      <c r="H373" s="2" t="s">
        <v>74</v>
      </c>
      <c r="I373" s="2" t="s">
        <v>3306</v>
      </c>
      <c r="J373" s="2" t="s">
        <v>218</v>
      </c>
      <c r="K373" s="2" t="s">
        <v>74</v>
      </c>
      <c r="L373" s="2" t="s">
        <v>74</v>
      </c>
      <c r="M373" s="2" t="s">
        <v>74</v>
      </c>
      <c r="N373" s="2" t="s">
        <v>74</v>
      </c>
      <c r="O373" s="2" t="s">
        <v>74</v>
      </c>
      <c r="P373" s="2" t="s">
        <v>74</v>
      </c>
      <c r="Q373" s="2" t="s">
        <v>74</v>
      </c>
      <c r="R373" s="2" t="s">
        <v>74</v>
      </c>
      <c r="S373" s="2" t="s">
        <v>74</v>
      </c>
      <c r="T373" s="2" t="s">
        <v>74</v>
      </c>
      <c r="U373" s="2" t="s">
        <v>74</v>
      </c>
      <c r="V373" s="5" t="s">
        <v>3307</v>
      </c>
      <c r="W373" s="2" t="s">
        <v>74</v>
      </c>
      <c r="X373" s="2" t="s">
        <v>74</v>
      </c>
      <c r="Y373" s="2" t="s">
        <v>74</v>
      </c>
      <c r="Z373" s="2" t="s">
        <v>74</v>
      </c>
      <c r="AA373" s="2" t="s">
        <v>623</v>
      </c>
      <c r="AB373" s="2" t="s">
        <v>1336</v>
      </c>
      <c r="AC373" s="2" t="s">
        <v>74</v>
      </c>
      <c r="AD373" s="2" t="s">
        <v>74</v>
      </c>
      <c r="AE373" s="2" t="s">
        <v>74</v>
      </c>
      <c r="AF373" s="2" t="s">
        <v>74</v>
      </c>
      <c r="AG373" s="2" t="s">
        <v>74</v>
      </c>
      <c r="AH373" s="2" t="s">
        <v>74</v>
      </c>
      <c r="AI373" s="2" t="s">
        <v>74</v>
      </c>
      <c r="AJ373" s="2" t="s">
        <v>74</v>
      </c>
      <c r="AK373" s="2" t="s">
        <v>74</v>
      </c>
      <c r="AL373" s="2" t="s">
        <v>74</v>
      </c>
      <c r="AM373" s="2" t="s">
        <v>74</v>
      </c>
      <c r="AN373" s="2" t="s">
        <v>74</v>
      </c>
      <c r="AO373" s="2" t="s">
        <v>221</v>
      </c>
      <c r="AP373" s="2" t="s">
        <v>222</v>
      </c>
      <c r="AQ373" s="2" t="s">
        <v>74</v>
      </c>
      <c r="AR373" s="2" t="s">
        <v>74</v>
      </c>
      <c r="AS373" s="2" t="s">
        <v>74</v>
      </c>
      <c r="AT373" s="2" t="s">
        <v>145</v>
      </c>
      <c r="AU373" s="2">
        <v>2015</v>
      </c>
      <c r="AV373" s="2">
        <v>28</v>
      </c>
      <c r="AW373" s="2">
        <v>8</v>
      </c>
      <c r="AX373" s="2" t="s">
        <v>74</v>
      </c>
      <c r="AY373" s="2" t="s">
        <v>74</v>
      </c>
      <c r="AZ373" s="2" t="s">
        <v>74</v>
      </c>
      <c r="BA373" s="2" t="s">
        <v>74</v>
      </c>
      <c r="BB373" s="2">
        <v>1439</v>
      </c>
      <c r="BC373" s="2">
        <v>1452</v>
      </c>
      <c r="BD373" s="2" t="s">
        <v>74</v>
      </c>
      <c r="BE373" s="2" t="s">
        <v>3308</v>
      </c>
      <c r="BF373" s="2" t="str">
        <f>HYPERLINK("http://dx.doi.org/10.1111/jeb.12665","http://dx.doi.org/10.1111/jeb.12665")</f>
        <v>http://dx.doi.org/10.1111/jeb.12665</v>
      </c>
      <c r="BG373" s="2" t="s">
        <v>74</v>
      </c>
      <c r="BH373" s="2" t="s">
        <v>74</v>
      </c>
      <c r="BI373" s="2" t="s">
        <v>74</v>
      </c>
      <c r="BJ373" s="2" t="s">
        <v>74</v>
      </c>
      <c r="BK373" s="2" t="s">
        <v>74</v>
      </c>
      <c r="BL373" s="2" t="s">
        <v>74</v>
      </c>
      <c r="BM373" s="2" t="s">
        <v>74</v>
      </c>
      <c r="BN373" s="2">
        <v>26033550</v>
      </c>
      <c r="BO373" s="2" t="s">
        <v>74</v>
      </c>
      <c r="BP373" s="2" t="s">
        <v>74</v>
      </c>
      <c r="BQ373" s="2" t="s">
        <v>74</v>
      </c>
      <c r="BR373" s="2" t="s">
        <v>74</v>
      </c>
      <c r="BS373" s="2" t="s">
        <v>3309</v>
      </c>
      <c r="BT373" s="2" t="str">
        <f>HYPERLINK("https%3A%2F%2Fwww.webofscience.com%2Fwos%2Fwoscc%2Ffull-record%2FWOS:000359606200002","View Full Record in Web of Science")</f>
        <v>View Full Record in Web of Science</v>
      </c>
    </row>
    <row r="374" spans="1:72" s="2" customFormat="1" x14ac:dyDescent="0.4">
      <c r="A374" s="2" t="s">
        <v>72</v>
      </c>
      <c r="B374" s="2" t="s">
        <v>1332</v>
      </c>
      <c r="C374" s="2" t="s">
        <v>74</v>
      </c>
      <c r="D374" s="2" t="s">
        <v>74</v>
      </c>
      <c r="E374" s="2" t="s">
        <v>74</v>
      </c>
      <c r="F374" s="2" t="s">
        <v>1333</v>
      </c>
      <c r="G374" s="2" t="s">
        <v>74</v>
      </c>
      <c r="H374" s="2" t="s">
        <v>74</v>
      </c>
      <c r="I374" s="2" t="s">
        <v>1334</v>
      </c>
      <c r="J374" s="2" t="s">
        <v>108</v>
      </c>
      <c r="K374" s="2" t="s">
        <v>74</v>
      </c>
      <c r="L374" s="2" t="s">
        <v>74</v>
      </c>
      <c r="M374" s="2" t="s">
        <v>74</v>
      </c>
      <c r="N374" s="2" t="s">
        <v>74</v>
      </c>
      <c r="O374" s="2" t="s">
        <v>74</v>
      </c>
      <c r="P374" s="2" t="s">
        <v>74</v>
      </c>
      <c r="Q374" s="2" t="s">
        <v>74</v>
      </c>
      <c r="R374" s="2" t="s">
        <v>74</v>
      </c>
      <c r="S374" s="2" t="s">
        <v>74</v>
      </c>
      <c r="T374" s="2" t="s">
        <v>74</v>
      </c>
      <c r="U374" s="2" t="s">
        <v>74</v>
      </c>
      <c r="V374" s="5" t="s">
        <v>1335</v>
      </c>
      <c r="W374" s="2" t="s">
        <v>74</v>
      </c>
      <c r="X374" s="2" t="s">
        <v>74</v>
      </c>
      <c r="Y374" s="2" t="s">
        <v>74</v>
      </c>
      <c r="Z374" s="2" t="s">
        <v>74</v>
      </c>
      <c r="AA374" s="2" t="s">
        <v>623</v>
      </c>
      <c r="AB374" s="2" t="s">
        <v>1336</v>
      </c>
      <c r="AC374" s="2" t="s">
        <v>74</v>
      </c>
      <c r="AD374" s="2" t="s">
        <v>74</v>
      </c>
      <c r="AE374" s="2" t="s">
        <v>74</v>
      </c>
      <c r="AF374" s="2" t="s">
        <v>74</v>
      </c>
      <c r="AG374" s="2" t="s">
        <v>74</v>
      </c>
      <c r="AH374" s="2" t="s">
        <v>74</v>
      </c>
      <c r="AI374" s="2" t="s">
        <v>74</v>
      </c>
      <c r="AJ374" s="2" t="s">
        <v>74</v>
      </c>
      <c r="AK374" s="2" t="s">
        <v>74</v>
      </c>
      <c r="AL374" s="2" t="s">
        <v>74</v>
      </c>
      <c r="AM374" s="2" t="s">
        <v>74</v>
      </c>
      <c r="AN374" s="2" t="s">
        <v>74</v>
      </c>
      <c r="AO374" s="2" t="s">
        <v>111</v>
      </c>
      <c r="AP374" s="2" t="s">
        <v>112</v>
      </c>
      <c r="AQ374" s="2" t="s">
        <v>74</v>
      </c>
      <c r="AR374" s="2" t="s">
        <v>74</v>
      </c>
      <c r="AS374" s="2" t="s">
        <v>74</v>
      </c>
      <c r="AT374" s="2" t="s">
        <v>939</v>
      </c>
      <c r="AU374" s="2">
        <v>2014</v>
      </c>
      <c r="AV374" s="2">
        <v>281</v>
      </c>
      <c r="AW374" s="2">
        <v>1796</v>
      </c>
      <c r="AX374" s="2" t="s">
        <v>74</v>
      </c>
      <c r="AY374" s="2" t="s">
        <v>74</v>
      </c>
      <c r="AZ374" s="2" t="s">
        <v>74</v>
      </c>
      <c r="BA374" s="2" t="s">
        <v>74</v>
      </c>
      <c r="BB374" s="2" t="s">
        <v>74</v>
      </c>
      <c r="BC374" s="2" t="s">
        <v>74</v>
      </c>
      <c r="BD374" s="2">
        <v>20141737</v>
      </c>
      <c r="BE374" s="2" t="s">
        <v>1337</v>
      </c>
      <c r="BF374" s="2" t="str">
        <f>HYPERLINK("http://dx.doi.org/10.1098/rspb.2014.1737","http://dx.doi.org/10.1098/rspb.2014.1737")</f>
        <v>http://dx.doi.org/10.1098/rspb.2014.1737</v>
      </c>
      <c r="BG374" s="2" t="s">
        <v>74</v>
      </c>
      <c r="BH374" s="2" t="s">
        <v>74</v>
      </c>
      <c r="BI374" s="2" t="s">
        <v>74</v>
      </c>
      <c r="BJ374" s="2" t="s">
        <v>74</v>
      </c>
      <c r="BK374" s="2" t="s">
        <v>74</v>
      </c>
      <c r="BL374" s="2" t="s">
        <v>74</v>
      </c>
      <c r="BM374" s="2" t="s">
        <v>74</v>
      </c>
      <c r="BN374" s="2">
        <v>25339724</v>
      </c>
      <c r="BO374" s="2" t="s">
        <v>74</v>
      </c>
      <c r="BP374" s="2" t="s">
        <v>74</v>
      </c>
      <c r="BQ374" s="2" t="s">
        <v>74</v>
      </c>
      <c r="BR374" s="2" t="s">
        <v>74</v>
      </c>
      <c r="BS374" s="2" t="s">
        <v>1338</v>
      </c>
      <c r="BT374" s="2" t="str">
        <f>HYPERLINK("https%3A%2F%2Fwww.webofscience.com%2Fwos%2Fwoscc%2Ffull-record%2FWOS:000343674500017","View Full Record in Web of Science")</f>
        <v>View Full Record in Web of Science</v>
      </c>
    </row>
    <row r="375" spans="1:72" s="2" customFormat="1" x14ac:dyDescent="0.4">
      <c r="A375" s="2" t="s">
        <v>72</v>
      </c>
      <c r="B375" s="2" t="s">
        <v>1979</v>
      </c>
      <c r="C375" s="2" t="s">
        <v>74</v>
      </c>
      <c r="D375" s="2" t="s">
        <v>74</v>
      </c>
      <c r="E375" s="2" t="s">
        <v>74</v>
      </c>
      <c r="F375" s="2" t="s">
        <v>1979</v>
      </c>
      <c r="G375" s="2" t="s">
        <v>74</v>
      </c>
      <c r="H375" s="2" t="s">
        <v>74</v>
      </c>
      <c r="I375" s="2" t="s">
        <v>1980</v>
      </c>
      <c r="J375" s="2" t="s">
        <v>1981</v>
      </c>
      <c r="K375" s="2" t="s">
        <v>74</v>
      </c>
      <c r="L375" s="2" t="s">
        <v>74</v>
      </c>
      <c r="M375" s="2" t="s">
        <v>74</v>
      </c>
      <c r="N375" s="2" t="s">
        <v>74</v>
      </c>
      <c r="O375" s="2" t="s">
        <v>74</v>
      </c>
      <c r="P375" s="2" t="s">
        <v>74</v>
      </c>
      <c r="Q375" s="2" t="s">
        <v>74</v>
      </c>
      <c r="R375" s="2" t="s">
        <v>74</v>
      </c>
      <c r="S375" s="2" t="s">
        <v>74</v>
      </c>
      <c r="T375" s="2" t="s">
        <v>74</v>
      </c>
      <c r="U375" s="2" t="s">
        <v>74</v>
      </c>
      <c r="V375" s="5" t="s">
        <v>1982</v>
      </c>
      <c r="W375" s="2" t="s">
        <v>74</v>
      </c>
      <c r="X375" s="2" t="s">
        <v>74</v>
      </c>
      <c r="Y375" s="2" t="s">
        <v>74</v>
      </c>
      <c r="Z375" s="2" t="s">
        <v>74</v>
      </c>
      <c r="AA375" s="2" t="s">
        <v>74</v>
      </c>
      <c r="AB375" s="2" t="s">
        <v>74</v>
      </c>
      <c r="AC375" s="2" t="s">
        <v>74</v>
      </c>
      <c r="AD375" s="2" t="s">
        <v>74</v>
      </c>
      <c r="AE375" s="2" t="s">
        <v>74</v>
      </c>
      <c r="AF375" s="2" t="s">
        <v>74</v>
      </c>
      <c r="AG375" s="2" t="s">
        <v>74</v>
      </c>
      <c r="AH375" s="2" t="s">
        <v>74</v>
      </c>
      <c r="AI375" s="2" t="s">
        <v>74</v>
      </c>
      <c r="AJ375" s="2" t="s">
        <v>74</v>
      </c>
      <c r="AK375" s="2" t="s">
        <v>74</v>
      </c>
      <c r="AL375" s="2" t="s">
        <v>74</v>
      </c>
      <c r="AM375" s="2" t="s">
        <v>74</v>
      </c>
      <c r="AN375" s="2" t="s">
        <v>74</v>
      </c>
      <c r="AO375" s="2" t="s">
        <v>1983</v>
      </c>
      <c r="AP375" s="2" t="s">
        <v>74</v>
      </c>
      <c r="AQ375" s="2" t="s">
        <v>74</v>
      </c>
      <c r="AR375" s="2" t="s">
        <v>74</v>
      </c>
      <c r="AS375" s="2" t="s">
        <v>74</v>
      </c>
      <c r="AT375" s="2" t="s">
        <v>102</v>
      </c>
      <c r="AU375" s="2">
        <v>1991</v>
      </c>
      <c r="AV375" s="2">
        <v>29</v>
      </c>
      <c r="AW375" s="2">
        <v>2</v>
      </c>
      <c r="AX375" s="2" t="s">
        <v>74</v>
      </c>
      <c r="AY375" s="2" t="s">
        <v>74</v>
      </c>
      <c r="AZ375" s="2" t="s">
        <v>74</v>
      </c>
      <c r="BA375" s="2" t="s">
        <v>74</v>
      </c>
      <c r="BB375" s="2">
        <v>123</v>
      </c>
      <c r="BC375" s="2">
        <v>138</v>
      </c>
      <c r="BD375" s="2" t="s">
        <v>74</v>
      </c>
      <c r="BE375" s="2" t="s">
        <v>74</v>
      </c>
      <c r="BF375" s="2" t="s">
        <v>74</v>
      </c>
      <c r="BG375" s="2" t="s">
        <v>74</v>
      </c>
      <c r="BH375" s="2" t="s">
        <v>74</v>
      </c>
      <c r="BI375" s="2" t="s">
        <v>74</v>
      </c>
      <c r="BJ375" s="2" t="s">
        <v>74</v>
      </c>
      <c r="BK375" s="2" t="s">
        <v>74</v>
      </c>
      <c r="BL375" s="2" t="s">
        <v>74</v>
      </c>
      <c r="BM375" s="2" t="s">
        <v>74</v>
      </c>
      <c r="BN375" s="2" t="s">
        <v>74</v>
      </c>
      <c r="BO375" s="2" t="s">
        <v>74</v>
      </c>
      <c r="BP375" s="2" t="s">
        <v>74</v>
      </c>
      <c r="BQ375" s="2" t="s">
        <v>74</v>
      </c>
      <c r="BR375" s="2" t="s">
        <v>74</v>
      </c>
      <c r="BS375" s="2" t="s">
        <v>1984</v>
      </c>
      <c r="BT375" s="2" t="str">
        <f>HYPERLINK("https%3A%2F%2Fwww.webofscience.com%2Fwos%2Fwoscc%2Ffull-record%2FWOS:A1991FW08800006","View Full Record in Web of Science")</f>
        <v>View Full Record in Web of Science</v>
      </c>
    </row>
    <row r="376" spans="1:72" s="2" customFormat="1" x14ac:dyDescent="0.4">
      <c r="A376" s="2" t="s">
        <v>72</v>
      </c>
      <c r="B376" s="2" t="s">
        <v>7477</v>
      </c>
      <c r="C376" s="2" t="s">
        <v>74</v>
      </c>
      <c r="D376" s="2" t="s">
        <v>74</v>
      </c>
      <c r="E376" s="2" t="s">
        <v>74</v>
      </c>
      <c r="F376" s="2" t="s">
        <v>7477</v>
      </c>
      <c r="G376" s="2" t="s">
        <v>74</v>
      </c>
      <c r="H376" s="2" t="s">
        <v>74</v>
      </c>
      <c r="I376" s="2" t="s">
        <v>7478</v>
      </c>
      <c r="J376" s="2" t="s">
        <v>408</v>
      </c>
      <c r="K376" s="2" t="s">
        <v>74</v>
      </c>
      <c r="L376" s="2" t="s">
        <v>74</v>
      </c>
      <c r="M376" s="2" t="s">
        <v>74</v>
      </c>
      <c r="N376" s="2" t="s">
        <v>74</v>
      </c>
      <c r="O376" s="2" t="s">
        <v>74</v>
      </c>
      <c r="P376" s="2" t="s">
        <v>74</v>
      </c>
      <c r="Q376" s="2" t="s">
        <v>74</v>
      </c>
      <c r="R376" s="2" t="s">
        <v>74</v>
      </c>
      <c r="S376" s="2" t="s">
        <v>74</v>
      </c>
      <c r="T376" s="2" t="s">
        <v>74</v>
      </c>
      <c r="U376" s="2" t="s">
        <v>74</v>
      </c>
      <c r="V376" s="5" t="s">
        <v>7479</v>
      </c>
      <c r="W376" s="2" t="s">
        <v>74</v>
      </c>
      <c r="X376" s="2" t="s">
        <v>74</v>
      </c>
      <c r="Y376" s="2" t="s">
        <v>74</v>
      </c>
      <c r="Z376" s="2" t="s">
        <v>74</v>
      </c>
      <c r="AA376" s="2" t="s">
        <v>7480</v>
      </c>
      <c r="AB376" s="2" t="s">
        <v>7481</v>
      </c>
      <c r="AC376" s="2" t="s">
        <v>74</v>
      </c>
      <c r="AD376" s="2" t="s">
        <v>74</v>
      </c>
      <c r="AE376" s="2" t="s">
        <v>74</v>
      </c>
      <c r="AF376" s="2" t="s">
        <v>74</v>
      </c>
      <c r="AG376" s="2" t="s">
        <v>74</v>
      </c>
      <c r="AH376" s="2" t="s">
        <v>74</v>
      </c>
      <c r="AI376" s="2" t="s">
        <v>74</v>
      </c>
      <c r="AJ376" s="2" t="s">
        <v>74</v>
      </c>
      <c r="AK376" s="2" t="s">
        <v>74</v>
      </c>
      <c r="AL376" s="2" t="s">
        <v>74</v>
      </c>
      <c r="AM376" s="2" t="s">
        <v>74</v>
      </c>
      <c r="AN376" s="2" t="s">
        <v>74</v>
      </c>
      <c r="AO376" s="2" t="s">
        <v>412</v>
      </c>
      <c r="AP376" s="2" t="s">
        <v>74</v>
      </c>
      <c r="AQ376" s="2" t="s">
        <v>74</v>
      </c>
      <c r="AR376" s="2" t="s">
        <v>74</v>
      </c>
      <c r="AS376" s="2" t="s">
        <v>74</v>
      </c>
      <c r="AT376" s="2" t="s">
        <v>204</v>
      </c>
      <c r="AU376" s="2">
        <v>1996</v>
      </c>
      <c r="AV376" s="2">
        <v>58</v>
      </c>
      <c r="AW376" s="2">
        <v>3</v>
      </c>
      <c r="AX376" s="2" t="s">
        <v>74</v>
      </c>
      <c r="AY376" s="2" t="s">
        <v>74</v>
      </c>
      <c r="AZ376" s="2" t="s">
        <v>74</v>
      </c>
      <c r="BA376" s="2" t="s">
        <v>74</v>
      </c>
      <c r="BB376" s="2">
        <v>307</v>
      </c>
      <c r="BC376" s="2">
        <v>324</v>
      </c>
      <c r="BD376" s="2" t="s">
        <v>74</v>
      </c>
      <c r="BE376" s="2" t="s">
        <v>7482</v>
      </c>
      <c r="BF376" s="2" t="str">
        <f>HYPERLINK("http://dx.doi.org/10.1111/j.1095-8312.1996.tb01437.x","http://dx.doi.org/10.1111/j.1095-8312.1996.tb01437.x")</f>
        <v>http://dx.doi.org/10.1111/j.1095-8312.1996.tb01437.x</v>
      </c>
      <c r="BG376" s="2" t="s">
        <v>74</v>
      </c>
      <c r="BH376" s="2" t="s">
        <v>74</v>
      </c>
      <c r="BI376" s="2" t="s">
        <v>74</v>
      </c>
      <c r="BJ376" s="2" t="s">
        <v>74</v>
      </c>
      <c r="BK376" s="2" t="s">
        <v>74</v>
      </c>
      <c r="BL376" s="2" t="s">
        <v>74</v>
      </c>
      <c r="BM376" s="2" t="s">
        <v>74</v>
      </c>
      <c r="BN376" s="2" t="s">
        <v>74</v>
      </c>
      <c r="BO376" s="2" t="s">
        <v>74</v>
      </c>
      <c r="BP376" s="2" t="s">
        <v>74</v>
      </c>
      <c r="BQ376" s="2" t="s">
        <v>74</v>
      </c>
      <c r="BR376" s="2" t="s">
        <v>74</v>
      </c>
      <c r="BS376" s="2" t="s">
        <v>7483</v>
      </c>
      <c r="BT376" s="2" t="str">
        <f>HYPERLINK("https%3A%2F%2Fwww.webofscience.com%2Fwos%2Fwoscc%2Ffull-record%2FWOS:A1996UY83000004","View Full Record in Web of Science")</f>
        <v>View Full Record in Web of Science</v>
      </c>
    </row>
    <row r="377" spans="1:72" s="2" customFormat="1" x14ac:dyDescent="0.4">
      <c r="A377" s="2" t="s">
        <v>72</v>
      </c>
      <c r="B377" s="2" t="s">
        <v>6091</v>
      </c>
      <c r="C377" s="2" t="s">
        <v>74</v>
      </c>
      <c r="D377" s="2" t="s">
        <v>74</v>
      </c>
      <c r="E377" s="2" t="s">
        <v>74</v>
      </c>
      <c r="F377" s="2" t="s">
        <v>6092</v>
      </c>
      <c r="G377" s="2" t="s">
        <v>74</v>
      </c>
      <c r="H377" s="2" t="s">
        <v>74</v>
      </c>
      <c r="I377" s="2" t="s">
        <v>6093</v>
      </c>
      <c r="J377" s="2" t="s">
        <v>4064</v>
      </c>
      <c r="K377" s="2" t="s">
        <v>74</v>
      </c>
      <c r="L377" s="2" t="s">
        <v>74</v>
      </c>
      <c r="M377" s="2" t="s">
        <v>74</v>
      </c>
      <c r="N377" s="2" t="s">
        <v>74</v>
      </c>
      <c r="O377" s="2" t="s">
        <v>74</v>
      </c>
      <c r="P377" s="2" t="s">
        <v>74</v>
      </c>
      <c r="Q377" s="2" t="s">
        <v>74</v>
      </c>
      <c r="R377" s="2" t="s">
        <v>74</v>
      </c>
      <c r="S377" s="2" t="s">
        <v>74</v>
      </c>
      <c r="T377" s="2" t="s">
        <v>74</v>
      </c>
      <c r="U377" s="2" t="s">
        <v>74</v>
      </c>
      <c r="V377" s="5" t="s">
        <v>6094</v>
      </c>
      <c r="W377" s="2" t="s">
        <v>74</v>
      </c>
      <c r="X377" s="2" t="s">
        <v>74</v>
      </c>
      <c r="Y377" s="2" t="s">
        <v>74</v>
      </c>
      <c r="Z377" s="2" t="s">
        <v>74</v>
      </c>
      <c r="AA377" s="2" t="s">
        <v>74</v>
      </c>
      <c r="AB377" s="2" t="s">
        <v>6095</v>
      </c>
      <c r="AC377" s="2" t="s">
        <v>74</v>
      </c>
      <c r="AD377" s="2" t="s">
        <v>74</v>
      </c>
      <c r="AE377" s="2" t="s">
        <v>74</v>
      </c>
      <c r="AF377" s="2" t="s">
        <v>74</v>
      </c>
      <c r="AG377" s="2" t="s">
        <v>74</v>
      </c>
      <c r="AH377" s="2" t="s">
        <v>74</v>
      </c>
      <c r="AI377" s="2" t="s">
        <v>74</v>
      </c>
      <c r="AJ377" s="2" t="s">
        <v>74</v>
      </c>
      <c r="AK377" s="2" t="s">
        <v>74</v>
      </c>
      <c r="AL377" s="2" t="s">
        <v>74</v>
      </c>
      <c r="AM377" s="2" t="s">
        <v>74</v>
      </c>
      <c r="AN377" s="2" t="s">
        <v>74</v>
      </c>
      <c r="AO377" s="2" t="s">
        <v>4068</v>
      </c>
      <c r="AP377" s="2" t="s">
        <v>4069</v>
      </c>
      <c r="AQ377" s="2" t="s">
        <v>74</v>
      </c>
      <c r="AR377" s="2" t="s">
        <v>74</v>
      </c>
      <c r="AS377" s="2" t="s">
        <v>74</v>
      </c>
      <c r="AT377" s="2" t="s">
        <v>6096</v>
      </c>
      <c r="AU377" s="2">
        <v>2016</v>
      </c>
      <c r="AV377" s="2">
        <v>26</v>
      </c>
      <c r="AW377" s="2">
        <v>9</v>
      </c>
      <c r="AX377" s="2" t="s">
        <v>74</v>
      </c>
      <c r="AY377" s="2" t="s">
        <v>74</v>
      </c>
      <c r="AZ377" s="2" t="s">
        <v>74</v>
      </c>
      <c r="BA377" s="2" t="s">
        <v>74</v>
      </c>
      <c r="BB377" s="2">
        <v>1195</v>
      </c>
      <c r="BC377" s="2">
        <v>1199</v>
      </c>
      <c r="BD377" s="2" t="s">
        <v>74</v>
      </c>
      <c r="BE377" s="2" t="s">
        <v>6097</v>
      </c>
      <c r="BF377" s="2" t="str">
        <f>HYPERLINK("http://dx.doi.org/10.1016/j.cub.2016.03.009","http://dx.doi.org/10.1016/j.cub.2016.03.009")</f>
        <v>http://dx.doi.org/10.1016/j.cub.2016.03.009</v>
      </c>
      <c r="BG377" s="2" t="s">
        <v>74</v>
      </c>
      <c r="BH377" s="2" t="s">
        <v>74</v>
      </c>
      <c r="BI377" s="2" t="s">
        <v>74</v>
      </c>
      <c r="BJ377" s="2" t="s">
        <v>74</v>
      </c>
      <c r="BK377" s="2" t="s">
        <v>74</v>
      </c>
      <c r="BL377" s="2" t="s">
        <v>74</v>
      </c>
      <c r="BM377" s="2" t="s">
        <v>74</v>
      </c>
      <c r="BN377" s="2">
        <v>27133871</v>
      </c>
      <c r="BO377" s="2" t="s">
        <v>74</v>
      </c>
      <c r="BP377" s="2" t="s">
        <v>74</v>
      </c>
      <c r="BQ377" s="2" t="s">
        <v>74</v>
      </c>
      <c r="BR377" s="2" t="s">
        <v>74</v>
      </c>
      <c r="BS377" s="2" t="s">
        <v>6098</v>
      </c>
      <c r="BT377" s="2" t="str">
        <f>HYPERLINK("https%3A%2F%2Fwww.webofscience.com%2Fwos%2Fwoscc%2Ffull-record%2FWOS:000375413700026","View Full Record in Web of Science")</f>
        <v>View Full Record in Web of Science</v>
      </c>
    </row>
    <row r="378" spans="1:72" s="2" customFormat="1" x14ac:dyDescent="0.4">
      <c r="A378" s="2" t="s">
        <v>72</v>
      </c>
      <c r="B378" s="2" t="s">
        <v>8037</v>
      </c>
      <c r="C378" s="2" t="s">
        <v>74</v>
      </c>
      <c r="D378" s="2" t="s">
        <v>74</v>
      </c>
      <c r="E378" s="2" t="s">
        <v>74</v>
      </c>
      <c r="F378" s="2" t="s">
        <v>8037</v>
      </c>
      <c r="G378" s="2" t="s">
        <v>74</v>
      </c>
      <c r="H378" s="2" t="s">
        <v>74</v>
      </c>
      <c r="I378" s="2" t="s">
        <v>8038</v>
      </c>
      <c r="J378" s="2" t="s">
        <v>77</v>
      </c>
      <c r="K378" s="2" t="s">
        <v>74</v>
      </c>
      <c r="L378" s="2" t="s">
        <v>74</v>
      </c>
      <c r="M378" s="2" t="s">
        <v>74</v>
      </c>
      <c r="N378" s="2" t="s">
        <v>74</v>
      </c>
      <c r="O378" s="2" t="s">
        <v>74</v>
      </c>
      <c r="P378" s="2" t="s">
        <v>74</v>
      </c>
      <c r="Q378" s="2" t="s">
        <v>74</v>
      </c>
      <c r="R378" s="2" t="s">
        <v>74</v>
      </c>
      <c r="S378" s="2" t="s">
        <v>74</v>
      </c>
      <c r="T378" s="2" t="s">
        <v>74</v>
      </c>
      <c r="U378" s="2" t="s">
        <v>74</v>
      </c>
      <c r="V378" s="5" t="s">
        <v>8039</v>
      </c>
      <c r="W378" s="2" t="s">
        <v>74</v>
      </c>
      <c r="X378" s="2" t="s">
        <v>74</v>
      </c>
      <c r="Y378" s="2" t="s">
        <v>74</v>
      </c>
      <c r="Z378" s="2" t="s">
        <v>74</v>
      </c>
      <c r="AA378" s="2" t="s">
        <v>74</v>
      </c>
      <c r="AB378" s="2" t="s">
        <v>74</v>
      </c>
      <c r="AC378" s="2" t="s">
        <v>74</v>
      </c>
      <c r="AD378" s="2" t="s">
        <v>74</v>
      </c>
      <c r="AE378" s="2" t="s">
        <v>74</v>
      </c>
      <c r="AF378" s="2" t="s">
        <v>74</v>
      </c>
      <c r="AG378" s="2" t="s">
        <v>74</v>
      </c>
      <c r="AH378" s="2" t="s">
        <v>74</v>
      </c>
      <c r="AI378" s="2" t="s">
        <v>74</v>
      </c>
      <c r="AJ378" s="2" t="s">
        <v>74</v>
      </c>
      <c r="AK378" s="2" t="s">
        <v>74</v>
      </c>
      <c r="AL378" s="2" t="s">
        <v>74</v>
      </c>
      <c r="AM378" s="2" t="s">
        <v>74</v>
      </c>
      <c r="AN378" s="2" t="s">
        <v>74</v>
      </c>
      <c r="AO378" s="2" t="s">
        <v>81</v>
      </c>
      <c r="AP378" s="2" t="s">
        <v>74</v>
      </c>
      <c r="AQ378" s="2" t="s">
        <v>74</v>
      </c>
      <c r="AR378" s="2" t="s">
        <v>74</v>
      </c>
      <c r="AS378" s="2" t="s">
        <v>74</v>
      </c>
      <c r="AT378" s="2" t="s">
        <v>964</v>
      </c>
      <c r="AU378" s="2">
        <v>1997</v>
      </c>
      <c r="AV378" s="2">
        <v>134</v>
      </c>
      <c r="AW378" s="2" t="s">
        <v>74</v>
      </c>
      <c r="AX378" s="2" t="s">
        <v>548</v>
      </c>
      <c r="AY378" s="2" t="s">
        <v>74</v>
      </c>
      <c r="AZ378" s="2" t="s">
        <v>74</v>
      </c>
      <c r="BA378" s="2" t="s">
        <v>74</v>
      </c>
      <c r="BB378" s="2">
        <v>127</v>
      </c>
      <c r="BC378" s="2">
        <v>142</v>
      </c>
      <c r="BD378" s="2" t="s">
        <v>74</v>
      </c>
      <c r="BE378" s="2" t="s">
        <v>8040</v>
      </c>
      <c r="BF378" s="2" t="str">
        <f>HYPERLINK("http://dx.doi.org/10.1163/156853997X00313","http://dx.doi.org/10.1163/156853997X00313")</f>
        <v>http://dx.doi.org/10.1163/156853997X00313</v>
      </c>
      <c r="BG378" s="2" t="s">
        <v>74</v>
      </c>
      <c r="BH378" s="2" t="s">
        <v>74</v>
      </c>
      <c r="BI378" s="2" t="s">
        <v>74</v>
      </c>
      <c r="BJ378" s="2" t="s">
        <v>74</v>
      </c>
      <c r="BK378" s="2" t="s">
        <v>74</v>
      </c>
      <c r="BL378" s="2" t="s">
        <v>74</v>
      </c>
      <c r="BM378" s="2" t="s">
        <v>74</v>
      </c>
      <c r="BN378" s="2" t="s">
        <v>74</v>
      </c>
      <c r="BO378" s="2" t="s">
        <v>74</v>
      </c>
      <c r="BP378" s="2" t="s">
        <v>74</v>
      </c>
      <c r="BQ378" s="2" t="s">
        <v>74</v>
      </c>
      <c r="BR378" s="2" t="s">
        <v>74</v>
      </c>
      <c r="BS378" s="2" t="s">
        <v>8041</v>
      </c>
      <c r="BT378" s="2" t="str">
        <f>HYPERLINK("https%3A%2F%2Fwww.webofscience.com%2Fwos%2Fwoscc%2Ffull-record%2FWOS:A1997WJ21600007","View Full Record in Web of Science")</f>
        <v>View Full Record in Web of Science</v>
      </c>
    </row>
    <row r="379" spans="1:72" s="2" customFormat="1" x14ac:dyDescent="0.4">
      <c r="A379" s="2" t="s">
        <v>72</v>
      </c>
      <c r="B379" s="2" t="s">
        <v>2659</v>
      </c>
      <c r="C379" s="2" t="s">
        <v>74</v>
      </c>
      <c r="D379" s="2" t="s">
        <v>74</v>
      </c>
      <c r="E379" s="2" t="s">
        <v>74</v>
      </c>
      <c r="F379" s="2" t="s">
        <v>2660</v>
      </c>
      <c r="G379" s="2" t="s">
        <v>74</v>
      </c>
      <c r="H379" s="2" t="s">
        <v>74</v>
      </c>
      <c r="I379" s="2" t="s">
        <v>2661</v>
      </c>
      <c r="J379" s="2" t="s">
        <v>2662</v>
      </c>
      <c r="K379" s="2" t="s">
        <v>74</v>
      </c>
      <c r="L379" s="2" t="s">
        <v>74</v>
      </c>
      <c r="M379" s="2" t="s">
        <v>74</v>
      </c>
      <c r="N379" s="2" t="s">
        <v>74</v>
      </c>
      <c r="O379" s="2" t="s">
        <v>74</v>
      </c>
      <c r="P379" s="2" t="s">
        <v>74</v>
      </c>
      <c r="Q379" s="2" t="s">
        <v>74</v>
      </c>
      <c r="R379" s="2" t="s">
        <v>74</v>
      </c>
      <c r="S379" s="2" t="s">
        <v>74</v>
      </c>
      <c r="T379" s="2" t="s">
        <v>74</v>
      </c>
      <c r="U379" s="2" t="s">
        <v>74</v>
      </c>
      <c r="V379" s="5" t="s">
        <v>2663</v>
      </c>
      <c r="W379" s="2" t="s">
        <v>74</v>
      </c>
      <c r="X379" s="2" t="s">
        <v>74</v>
      </c>
      <c r="Y379" s="2" t="s">
        <v>74</v>
      </c>
      <c r="Z379" s="2" t="s">
        <v>74</v>
      </c>
      <c r="AA379" s="2" t="s">
        <v>74</v>
      </c>
      <c r="AB379" s="2" t="s">
        <v>74</v>
      </c>
      <c r="AC379" s="2" t="s">
        <v>74</v>
      </c>
      <c r="AD379" s="2" t="s">
        <v>74</v>
      </c>
      <c r="AE379" s="2" t="s">
        <v>74</v>
      </c>
      <c r="AF379" s="2" t="s">
        <v>74</v>
      </c>
      <c r="AG379" s="2" t="s">
        <v>74</v>
      </c>
      <c r="AH379" s="2" t="s">
        <v>74</v>
      </c>
      <c r="AI379" s="2" t="s">
        <v>74</v>
      </c>
      <c r="AJ379" s="2" t="s">
        <v>74</v>
      </c>
      <c r="AK379" s="2" t="s">
        <v>74</v>
      </c>
      <c r="AL379" s="2" t="s">
        <v>74</v>
      </c>
      <c r="AM379" s="2" t="s">
        <v>74</v>
      </c>
      <c r="AN379" s="2" t="s">
        <v>74</v>
      </c>
      <c r="AO379" s="2" t="s">
        <v>2664</v>
      </c>
      <c r="AP379" s="2" t="s">
        <v>2665</v>
      </c>
      <c r="AQ379" s="2" t="s">
        <v>74</v>
      </c>
      <c r="AR379" s="2" t="s">
        <v>74</v>
      </c>
      <c r="AS379" s="2" t="s">
        <v>74</v>
      </c>
      <c r="AT379" s="2" t="s">
        <v>352</v>
      </c>
      <c r="AU379" s="2">
        <v>2014</v>
      </c>
      <c r="AV379" s="2">
        <v>48</v>
      </c>
      <c r="AW379" s="2">
        <v>3</v>
      </c>
      <c r="AX379" s="2" t="s">
        <v>74</v>
      </c>
      <c r="AY379" s="2" t="s">
        <v>74</v>
      </c>
      <c r="AZ379" s="2" t="s">
        <v>74</v>
      </c>
      <c r="BA379" s="2" t="s">
        <v>74</v>
      </c>
      <c r="BB379" s="2">
        <v>240</v>
      </c>
      <c r="BC379" s="2">
        <v>247</v>
      </c>
      <c r="BD379" s="2" t="s">
        <v>74</v>
      </c>
      <c r="BE379" s="2" t="s">
        <v>2666</v>
      </c>
      <c r="BF379" s="2" t="str">
        <f>HYPERLINK("http://dx.doi.org/10.3356/0892-1016-48.3.240","http://dx.doi.org/10.3356/0892-1016-48.3.240")</f>
        <v>http://dx.doi.org/10.3356/0892-1016-48.3.240</v>
      </c>
      <c r="BG379" s="2" t="s">
        <v>74</v>
      </c>
      <c r="BH379" s="2" t="s">
        <v>74</v>
      </c>
      <c r="BI379" s="2" t="s">
        <v>74</v>
      </c>
      <c r="BJ379" s="2" t="s">
        <v>74</v>
      </c>
      <c r="BK379" s="2" t="s">
        <v>74</v>
      </c>
      <c r="BL379" s="2" t="s">
        <v>74</v>
      </c>
      <c r="BM379" s="2" t="s">
        <v>74</v>
      </c>
      <c r="BN379" s="2" t="s">
        <v>74</v>
      </c>
      <c r="BO379" s="2" t="s">
        <v>74</v>
      </c>
      <c r="BP379" s="2" t="s">
        <v>74</v>
      </c>
      <c r="BQ379" s="2" t="s">
        <v>74</v>
      </c>
      <c r="BR379" s="2" t="s">
        <v>74</v>
      </c>
      <c r="BS379" s="2" t="s">
        <v>2667</v>
      </c>
      <c r="BT379" s="2" t="str">
        <f>HYPERLINK("https%3A%2F%2Fwww.webofscience.com%2Fwos%2Fwoscc%2Ffull-record%2FWOS:000341096200005","View Full Record in Web of Science")</f>
        <v>View Full Record in Web of Science</v>
      </c>
    </row>
    <row r="380" spans="1:72" s="2" customFormat="1" x14ac:dyDescent="0.4">
      <c r="A380" s="2" t="s">
        <v>72</v>
      </c>
      <c r="B380" s="2" t="s">
        <v>1624</v>
      </c>
      <c r="C380" s="2" t="s">
        <v>74</v>
      </c>
      <c r="D380" s="2" t="s">
        <v>74</v>
      </c>
      <c r="E380" s="2" t="s">
        <v>74</v>
      </c>
      <c r="F380" s="2" t="s">
        <v>1625</v>
      </c>
      <c r="G380" s="2" t="s">
        <v>74</v>
      </c>
      <c r="H380" s="2" t="s">
        <v>74</v>
      </c>
      <c r="I380" s="2" t="s">
        <v>1626</v>
      </c>
      <c r="J380" s="2" t="s">
        <v>129</v>
      </c>
      <c r="K380" s="2" t="s">
        <v>74</v>
      </c>
      <c r="L380" s="2" t="s">
        <v>74</v>
      </c>
      <c r="M380" s="2" t="s">
        <v>74</v>
      </c>
      <c r="N380" s="2" t="s">
        <v>74</v>
      </c>
      <c r="O380" s="2" t="s">
        <v>74</v>
      </c>
      <c r="P380" s="2" t="s">
        <v>74</v>
      </c>
      <c r="Q380" s="2" t="s">
        <v>74</v>
      </c>
      <c r="R380" s="2" t="s">
        <v>74</v>
      </c>
      <c r="S380" s="2" t="s">
        <v>74</v>
      </c>
      <c r="T380" s="2" t="s">
        <v>74</v>
      </c>
      <c r="U380" s="2" t="s">
        <v>74</v>
      </c>
      <c r="V380" s="5" t="s">
        <v>1627</v>
      </c>
      <c r="W380" s="2" t="s">
        <v>74</v>
      </c>
      <c r="X380" s="2" t="s">
        <v>74</v>
      </c>
      <c r="Y380" s="2" t="s">
        <v>74</v>
      </c>
      <c r="Z380" s="2" t="s">
        <v>74</v>
      </c>
      <c r="AA380" s="2" t="s">
        <v>74</v>
      </c>
      <c r="AB380" s="2" t="s">
        <v>1628</v>
      </c>
      <c r="AC380" s="2" t="s">
        <v>74</v>
      </c>
      <c r="AD380" s="2" t="s">
        <v>74</v>
      </c>
      <c r="AE380" s="2" t="s">
        <v>74</v>
      </c>
      <c r="AF380" s="2" t="s">
        <v>74</v>
      </c>
      <c r="AG380" s="2" t="s">
        <v>74</v>
      </c>
      <c r="AH380" s="2" t="s">
        <v>74</v>
      </c>
      <c r="AI380" s="2" t="s">
        <v>74</v>
      </c>
      <c r="AJ380" s="2" t="s">
        <v>74</v>
      </c>
      <c r="AK380" s="2" t="s">
        <v>74</v>
      </c>
      <c r="AL380" s="2" t="s">
        <v>74</v>
      </c>
      <c r="AM380" s="2" t="s">
        <v>74</v>
      </c>
      <c r="AN380" s="2" t="s">
        <v>74</v>
      </c>
      <c r="AO380" s="2" t="s">
        <v>132</v>
      </c>
      <c r="AP380" s="2" t="s">
        <v>133</v>
      </c>
      <c r="AQ380" s="2" t="s">
        <v>74</v>
      </c>
      <c r="AR380" s="2" t="s">
        <v>74</v>
      </c>
      <c r="AS380" s="2" t="s">
        <v>74</v>
      </c>
      <c r="AT380" s="2" t="s">
        <v>1629</v>
      </c>
      <c r="AU380" s="2">
        <v>2020</v>
      </c>
      <c r="AV380" s="2">
        <v>74</v>
      </c>
      <c r="AW380" s="2">
        <v>10</v>
      </c>
      <c r="AX380" s="2" t="s">
        <v>74</v>
      </c>
      <c r="AY380" s="2" t="s">
        <v>74</v>
      </c>
      <c r="AZ380" s="2" t="s">
        <v>74</v>
      </c>
      <c r="BA380" s="2" t="s">
        <v>74</v>
      </c>
      <c r="BB380" s="2" t="s">
        <v>74</v>
      </c>
      <c r="BC380" s="2" t="s">
        <v>74</v>
      </c>
      <c r="BD380" s="2">
        <v>116</v>
      </c>
      <c r="BE380" s="2" t="s">
        <v>1630</v>
      </c>
      <c r="BF380" s="2" t="str">
        <f>HYPERLINK("http://dx.doi.org/10.1007/s00265-020-02899-w","http://dx.doi.org/10.1007/s00265-020-02899-w")</f>
        <v>http://dx.doi.org/10.1007/s00265-020-02899-w</v>
      </c>
      <c r="BG380" s="2" t="s">
        <v>74</v>
      </c>
      <c r="BH380" s="2" t="s">
        <v>74</v>
      </c>
      <c r="BI380" s="2" t="s">
        <v>74</v>
      </c>
      <c r="BJ380" s="2" t="s">
        <v>74</v>
      </c>
      <c r="BK380" s="2" t="s">
        <v>74</v>
      </c>
      <c r="BL380" s="2" t="s">
        <v>74</v>
      </c>
      <c r="BM380" s="2" t="s">
        <v>74</v>
      </c>
      <c r="BN380" s="2" t="s">
        <v>74</v>
      </c>
      <c r="BO380" s="2" t="s">
        <v>74</v>
      </c>
      <c r="BP380" s="2" t="s">
        <v>74</v>
      </c>
      <c r="BQ380" s="2" t="s">
        <v>74</v>
      </c>
      <c r="BR380" s="2" t="s">
        <v>74</v>
      </c>
      <c r="BS380" s="2" t="s">
        <v>1631</v>
      </c>
      <c r="BT380" s="2" t="str">
        <f>HYPERLINK("https%3A%2F%2Fwww.webofscience.com%2Fwos%2Fwoscc%2Ffull-record%2FWOS:000565883300001","View Full Record in Web of Science")</f>
        <v>View Full Record in Web of Science</v>
      </c>
    </row>
    <row r="381" spans="1:72" s="2" customFormat="1" x14ac:dyDescent="0.4">
      <c r="A381" s="2" t="s">
        <v>72</v>
      </c>
      <c r="B381" s="2" t="s">
        <v>3408</v>
      </c>
      <c r="C381" s="2" t="s">
        <v>74</v>
      </c>
      <c r="D381" s="2" t="s">
        <v>74</v>
      </c>
      <c r="E381" s="2" t="s">
        <v>74</v>
      </c>
      <c r="F381" s="2" t="s">
        <v>3409</v>
      </c>
      <c r="G381" s="2" t="s">
        <v>74</v>
      </c>
      <c r="H381" s="2" t="s">
        <v>74</v>
      </c>
      <c r="I381" s="2" t="s">
        <v>3410</v>
      </c>
      <c r="J381" s="2" t="s">
        <v>3411</v>
      </c>
      <c r="K381" s="2" t="s">
        <v>74</v>
      </c>
      <c r="L381" s="2" t="s">
        <v>74</v>
      </c>
      <c r="M381" s="2" t="s">
        <v>74</v>
      </c>
      <c r="N381" s="2" t="s">
        <v>74</v>
      </c>
      <c r="O381" s="2" t="s">
        <v>74</v>
      </c>
      <c r="P381" s="2" t="s">
        <v>74</v>
      </c>
      <c r="Q381" s="2" t="s">
        <v>74</v>
      </c>
      <c r="R381" s="2" t="s">
        <v>74</v>
      </c>
      <c r="S381" s="2" t="s">
        <v>74</v>
      </c>
      <c r="T381" s="2" t="s">
        <v>74</v>
      </c>
      <c r="U381" s="2" t="s">
        <v>74</v>
      </c>
      <c r="V381" s="5" t="s">
        <v>3412</v>
      </c>
      <c r="W381" s="2" t="s">
        <v>74</v>
      </c>
      <c r="X381" s="2" t="s">
        <v>74</v>
      </c>
      <c r="Y381" s="2" t="s">
        <v>74</v>
      </c>
      <c r="Z381" s="2" t="s">
        <v>74</v>
      </c>
      <c r="AA381" s="2" t="s">
        <v>3413</v>
      </c>
      <c r="AB381" s="2" t="s">
        <v>3414</v>
      </c>
      <c r="AC381" s="2" t="s">
        <v>74</v>
      </c>
      <c r="AD381" s="2" t="s">
        <v>74</v>
      </c>
      <c r="AE381" s="2" t="s">
        <v>74</v>
      </c>
      <c r="AF381" s="2" t="s">
        <v>74</v>
      </c>
      <c r="AG381" s="2" t="s">
        <v>74</v>
      </c>
      <c r="AH381" s="2" t="s">
        <v>74</v>
      </c>
      <c r="AI381" s="2" t="s">
        <v>74</v>
      </c>
      <c r="AJ381" s="2" t="s">
        <v>74</v>
      </c>
      <c r="AK381" s="2" t="s">
        <v>74</v>
      </c>
      <c r="AL381" s="2" t="s">
        <v>74</v>
      </c>
      <c r="AM381" s="2" t="s">
        <v>74</v>
      </c>
      <c r="AN381" s="2" t="s">
        <v>74</v>
      </c>
      <c r="AO381" s="2" t="s">
        <v>3415</v>
      </c>
      <c r="AP381" s="2" t="s">
        <v>3416</v>
      </c>
      <c r="AQ381" s="2" t="s">
        <v>74</v>
      </c>
      <c r="AR381" s="2" t="s">
        <v>74</v>
      </c>
      <c r="AS381" s="2" t="s">
        <v>74</v>
      </c>
      <c r="AT381" s="2" t="s">
        <v>74</v>
      </c>
      <c r="AU381" s="2">
        <v>2018</v>
      </c>
      <c r="AV381" s="2">
        <v>118</v>
      </c>
      <c r="AW381" s="2">
        <v>4</v>
      </c>
      <c r="AX381" s="2" t="s">
        <v>74</v>
      </c>
      <c r="AY381" s="2" t="s">
        <v>74</v>
      </c>
      <c r="AZ381" s="2" t="s">
        <v>74</v>
      </c>
      <c r="BA381" s="2" t="s">
        <v>74</v>
      </c>
      <c r="BB381" s="2">
        <v>369</v>
      </c>
      <c r="BC381" s="2">
        <v>374</v>
      </c>
      <c r="BD381" s="2" t="s">
        <v>74</v>
      </c>
      <c r="BE381" s="2" t="s">
        <v>3417</v>
      </c>
      <c r="BF381" s="2" t="str">
        <f>HYPERLINK("http://dx.doi.org/10.1080/01584197.2018.1453304","http://dx.doi.org/10.1080/01584197.2018.1453304")</f>
        <v>http://dx.doi.org/10.1080/01584197.2018.1453304</v>
      </c>
      <c r="BG381" s="2" t="s">
        <v>74</v>
      </c>
      <c r="BH381" s="2" t="s">
        <v>74</v>
      </c>
      <c r="BI381" s="2" t="s">
        <v>74</v>
      </c>
      <c r="BJ381" s="2" t="s">
        <v>74</v>
      </c>
      <c r="BK381" s="2" t="s">
        <v>74</v>
      </c>
      <c r="BL381" s="2" t="s">
        <v>74</v>
      </c>
      <c r="BM381" s="2" t="s">
        <v>74</v>
      </c>
      <c r="BN381" s="2" t="s">
        <v>74</v>
      </c>
      <c r="BO381" s="2" t="s">
        <v>74</v>
      </c>
      <c r="BP381" s="2" t="s">
        <v>74</v>
      </c>
      <c r="BQ381" s="2" t="s">
        <v>74</v>
      </c>
      <c r="BR381" s="2" t="s">
        <v>74</v>
      </c>
      <c r="BS381" s="2" t="s">
        <v>3418</v>
      </c>
      <c r="BT381" s="2" t="str">
        <f>HYPERLINK("https%3A%2F%2Fwww.webofscience.com%2Fwos%2Fwoscc%2Ffull-record%2FWOS:000451715900007","View Full Record in Web of Science")</f>
        <v>View Full Record in Web of Science</v>
      </c>
    </row>
    <row r="382" spans="1:72" s="2" customFormat="1" x14ac:dyDescent="0.4">
      <c r="A382" s="2" t="s">
        <v>72</v>
      </c>
      <c r="B382" s="2" t="s">
        <v>2356</v>
      </c>
      <c r="C382" s="2" t="s">
        <v>74</v>
      </c>
      <c r="D382" s="2" t="s">
        <v>74</v>
      </c>
      <c r="E382" s="2" t="s">
        <v>74</v>
      </c>
      <c r="F382" s="2" t="s">
        <v>2357</v>
      </c>
      <c r="G382" s="2" t="s">
        <v>74</v>
      </c>
      <c r="H382" s="2" t="s">
        <v>74</v>
      </c>
      <c r="I382" s="2" t="s">
        <v>2358</v>
      </c>
      <c r="J382" s="2" t="s">
        <v>509</v>
      </c>
      <c r="K382" s="2" t="s">
        <v>74</v>
      </c>
      <c r="L382" s="2" t="s">
        <v>74</v>
      </c>
      <c r="M382" s="2" t="s">
        <v>74</v>
      </c>
      <c r="N382" s="2" t="s">
        <v>74</v>
      </c>
      <c r="O382" s="2" t="s">
        <v>74</v>
      </c>
      <c r="P382" s="2" t="s">
        <v>74</v>
      </c>
      <c r="Q382" s="2" t="s">
        <v>74</v>
      </c>
      <c r="R382" s="2" t="s">
        <v>74</v>
      </c>
      <c r="S382" s="2" t="s">
        <v>74</v>
      </c>
      <c r="T382" s="2" t="s">
        <v>74</v>
      </c>
      <c r="U382" s="2" t="s">
        <v>74</v>
      </c>
      <c r="V382" s="5" t="s">
        <v>2359</v>
      </c>
      <c r="W382" s="2" t="s">
        <v>74</v>
      </c>
      <c r="X382" s="2" t="s">
        <v>74</v>
      </c>
      <c r="Y382" s="2" t="s">
        <v>74</v>
      </c>
      <c r="Z382" s="2" t="s">
        <v>74</v>
      </c>
      <c r="AA382" s="2" t="s">
        <v>2360</v>
      </c>
      <c r="AB382" s="2" t="s">
        <v>2361</v>
      </c>
      <c r="AC382" s="2" t="s">
        <v>74</v>
      </c>
      <c r="AD382" s="2" t="s">
        <v>74</v>
      </c>
      <c r="AE382" s="2" t="s">
        <v>74</v>
      </c>
      <c r="AF382" s="2" t="s">
        <v>74</v>
      </c>
      <c r="AG382" s="2" t="s">
        <v>74</v>
      </c>
      <c r="AH382" s="2" t="s">
        <v>74</v>
      </c>
      <c r="AI382" s="2" t="s">
        <v>74</v>
      </c>
      <c r="AJ382" s="2" t="s">
        <v>74</v>
      </c>
      <c r="AK382" s="2" t="s">
        <v>74</v>
      </c>
      <c r="AL382" s="2" t="s">
        <v>74</v>
      </c>
      <c r="AM382" s="2" t="s">
        <v>74</v>
      </c>
      <c r="AN382" s="2" t="s">
        <v>74</v>
      </c>
      <c r="AO382" s="2" t="s">
        <v>511</v>
      </c>
      <c r="AP382" s="2" t="s">
        <v>512</v>
      </c>
      <c r="AQ382" s="2" t="s">
        <v>74</v>
      </c>
      <c r="AR382" s="2" t="s">
        <v>74</v>
      </c>
      <c r="AS382" s="2" t="s">
        <v>74</v>
      </c>
      <c r="AT382" s="2" t="s">
        <v>134</v>
      </c>
      <c r="AU382" s="2">
        <v>2015</v>
      </c>
      <c r="AV382" s="2">
        <v>71</v>
      </c>
      <c r="AW382" s="2" t="s">
        <v>74</v>
      </c>
      <c r="AX382" s="2" t="s">
        <v>74</v>
      </c>
      <c r="AY382" s="2" t="s">
        <v>74</v>
      </c>
      <c r="AZ382" s="2" t="s">
        <v>74</v>
      </c>
      <c r="BA382" s="2" t="s">
        <v>74</v>
      </c>
      <c r="BB382" s="2">
        <v>10</v>
      </c>
      <c r="BC382" s="2">
        <v>15</v>
      </c>
      <c r="BD382" s="2" t="s">
        <v>74</v>
      </c>
      <c r="BE382" s="2" t="s">
        <v>2362</v>
      </c>
      <c r="BF382" s="2" t="str">
        <f>HYPERLINK("http://dx.doi.org/10.1016/j.yhbeh.2015.03.005","http://dx.doi.org/10.1016/j.yhbeh.2015.03.005")</f>
        <v>http://dx.doi.org/10.1016/j.yhbeh.2015.03.005</v>
      </c>
      <c r="BG382" s="2" t="s">
        <v>74</v>
      </c>
      <c r="BH382" s="2" t="s">
        <v>74</v>
      </c>
      <c r="BI382" s="2" t="s">
        <v>74</v>
      </c>
      <c r="BJ382" s="2" t="s">
        <v>74</v>
      </c>
      <c r="BK382" s="2" t="s">
        <v>74</v>
      </c>
      <c r="BL382" s="2" t="s">
        <v>74</v>
      </c>
      <c r="BM382" s="2" t="s">
        <v>74</v>
      </c>
      <c r="BN382" s="2">
        <v>25840012</v>
      </c>
      <c r="BO382" s="2" t="s">
        <v>74</v>
      </c>
      <c r="BP382" s="2" t="s">
        <v>74</v>
      </c>
      <c r="BQ382" s="2" t="s">
        <v>74</v>
      </c>
      <c r="BR382" s="2" t="s">
        <v>74</v>
      </c>
      <c r="BS382" s="2" t="s">
        <v>2363</v>
      </c>
      <c r="BT382" s="2" t="str">
        <f>HYPERLINK("https%3A%2F%2Fwww.webofscience.com%2Fwos%2Fwoscc%2Ffull-record%2FWOS:000355573500002","View Full Record in Web of Science")</f>
        <v>View Full Record in Web of Science</v>
      </c>
    </row>
    <row r="383" spans="1:72" s="2" customFormat="1" x14ac:dyDescent="0.4">
      <c r="A383" s="2" t="s">
        <v>72</v>
      </c>
      <c r="B383" s="2" t="s">
        <v>5806</v>
      </c>
      <c r="C383" s="2" t="s">
        <v>74</v>
      </c>
      <c r="D383" s="2" t="s">
        <v>74</v>
      </c>
      <c r="E383" s="2" t="s">
        <v>74</v>
      </c>
      <c r="F383" s="2" t="s">
        <v>5806</v>
      </c>
      <c r="G383" s="2" t="s">
        <v>74</v>
      </c>
      <c r="H383" s="2" t="s">
        <v>74</v>
      </c>
      <c r="I383" s="2" t="s">
        <v>5807</v>
      </c>
      <c r="J383" s="2" t="s">
        <v>1533</v>
      </c>
      <c r="K383" s="2" t="s">
        <v>74</v>
      </c>
      <c r="L383" s="2" t="s">
        <v>74</v>
      </c>
      <c r="M383" s="2" t="s">
        <v>74</v>
      </c>
      <c r="N383" s="2" t="s">
        <v>74</v>
      </c>
      <c r="O383" s="2" t="s">
        <v>74</v>
      </c>
      <c r="P383" s="2" t="s">
        <v>74</v>
      </c>
      <c r="Q383" s="2" t="s">
        <v>74</v>
      </c>
      <c r="R383" s="2" t="s">
        <v>74</v>
      </c>
      <c r="S383" s="2" t="s">
        <v>74</v>
      </c>
      <c r="T383" s="2" t="s">
        <v>74</v>
      </c>
      <c r="U383" s="2" t="s">
        <v>74</v>
      </c>
      <c r="V383" s="5" t="s">
        <v>5808</v>
      </c>
      <c r="W383" s="2" t="s">
        <v>74</v>
      </c>
      <c r="X383" s="2" t="s">
        <v>74</v>
      </c>
      <c r="Y383" s="2" t="s">
        <v>74</v>
      </c>
      <c r="Z383" s="2" t="s">
        <v>74</v>
      </c>
      <c r="AA383" s="2" t="s">
        <v>74</v>
      </c>
      <c r="AB383" s="2" t="s">
        <v>74</v>
      </c>
      <c r="AC383" s="2" t="s">
        <v>74</v>
      </c>
      <c r="AD383" s="2" t="s">
        <v>74</v>
      </c>
      <c r="AE383" s="2" t="s">
        <v>74</v>
      </c>
      <c r="AF383" s="2" t="s">
        <v>74</v>
      </c>
      <c r="AG383" s="2" t="s">
        <v>74</v>
      </c>
      <c r="AH383" s="2" t="s">
        <v>74</v>
      </c>
      <c r="AI383" s="2" t="s">
        <v>74</v>
      </c>
      <c r="AJ383" s="2" t="s">
        <v>74</v>
      </c>
      <c r="AK383" s="2" t="s">
        <v>74</v>
      </c>
      <c r="AL383" s="2" t="s">
        <v>74</v>
      </c>
      <c r="AM383" s="2" t="s">
        <v>74</v>
      </c>
      <c r="AN383" s="2" t="s">
        <v>74</v>
      </c>
      <c r="AO383" s="2" t="s">
        <v>1535</v>
      </c>
      <c r="AP383" s="2" t="s">
        <v>1536</v>
      </c>
      <c r="AQ383" s="2" t="s">
        <v>74</v>
      </c>
      <c r="AR383" s="2" t="s">
        <v>74</v>
      </c>
      <c r="AS383" s="2" t="s">
        <v>74</v>
      </c>
      <c r="AT383" s="2" t="s">
        <v>74</v>
      </c>
      <c r="AU383" s="2">
        <v>1980</v>
      </c>
      <c r="AV383" s="2">
        <v>33</v>
      </c>
      <c r="AW383" s="2">
        <v>3</v>
      </c>
      <c r="AX383" s="2" t="s">
        <v>74</v>
      </c>
      <c r="AY383" s="2" t="s">
        <v>74</v>
      </c>
      <c r="AZ383" s="2" t="s">
        <v>74</v>
      </c>
      <c r="BA383" s="2" t="s">
        <v>74</v>
      </c>
      <c r="BB383" s="2">
        <v>383</v>
      </c>
      <c r="BC383" s="2">
        <v>395</v>
      </c>
      <c r="BD383" s="2" t="s">
        <v>74</v>
      </c>
      <c r="BE383" s="2" t="s">
        <v>5809</v>
      </c>
      <c r="BF383" s="2" t="str">
        <f>HYPERLINK("http://dx.doi.org/10.1901/jeab.1980.33-383","http://dx.doi.org/10.1901/jeab.1980.33-383")</f>
        <v>http://dx.doi.org/10.1901/jeab.1980.33-383</v>
      </c>
      <c r="BG383" s="2" t="s">
        <v>74</v>
      </c>
      <c r="BH383" s="2" t="s">
        <v>74</v>
      </c>
      <c r="BI383" s="2" t="s">
        <v>74</v>
      </c>
      <c r="BJ383" s="2" t="s">
        <v>74</v>
      </c>
      <c r="BK383" s="2" t="s">
        <v>74</v>
      </c>
      <c r="BL383" s="2" t="s">
        <v>74</v>
      </c>
      <c r="BM383" s="2" t="s">
        <v>74</v>
      </c>
      <c r="BN383" s="2">
        <v>16812171</v>
      </c>
      <c r="BO383" s="2" t="s">
        <v>74</v>
      </c>
      <c r="BP383" s="2" t="s">
        <v>74</v>
      </c>
      <c r="BQ383" s="2" t="s">
        <v>74</v>
      </c>
      <c r="BR383" s="2" t="s">
        <v>74</v>
      </c>
      <c r="BS383" s="2" t="s">
        <v>5810</v>
      </c>
      <c r="BT383" s="2" t="str">
        <f>HYPERLINK("https%3A%2F%2Fwww.webofscience.com%2Fwos%2Fwoscc%2Ffull-record%2FWOS:A1980JR70200008","View Full Record in Web of Science")</f>
        <v>View Full Record in Web of Science</v>
      </c>
    </row>
    <row r="384" spans="1:72" s="2" customFormat="1" x14ac:dyDescent="0.4">
      <c r="A384" s="2" t="s">
        <v>72</v>
      </c>
      <c r="B384" s="2" t="s">
        <v>7332</v>
      </c>
      <c r="C384" s="2" t="s">
        <v>74</v>
      </c>
      <c r="D384" s="2" t="s">
        <v>74</v>
      </c>
      <c r="E384" s="2" t="s">
        <v>74</v>
      </c>
      <c r="F384" s="2" t="s">
        <v>7333</v>
      </c>
      <c r="G384" s="2" t="s">
        <v>74</v>
      </c>
      <c r="H384" s="2" t="s">
        <v>74</v>
      </c>
      <c r="I384" s="2" t="s">
        <v>7334</v>
      </c>
      <c r="J384" s="2" t="s">
        <v>1384</v>
      </c>
      <c r="K384" s="2" t="s">
        <v>74</v>
      </c>
      <c r="L384" s="2" t="s">
        <v>74</v>
      </c>
      <c r="M384" s="2" t="s">
        <v>74</v>
      </c>
      <c r="N384" s="2" t="s">
        <v>74</v>
      </c>
      <c r="O384" s="2" t="s">
        <v>74</v>
      </c>
      <c r="P384" s="2" t="s">
        <v>74</v>
      </c>
      <c r="Q384" s="2" t="s">
        <v>74</v>
      </c>
      <c r="R384" s="2" t="s">
        <v>74</v>
      </c>
      <c r="S384" s="2" t="s">
        <v>74</v>
      </c>
      <c r="T384" s="2" t="s">
        <v>74</v>
      </c>
      <c r="U384" s="2" t="s">
        <v>74</v>
      </c>
      <c r="V384" s="5" t="s">
        <v>7335</v>
      </c>
      <c r="W384" s="2" t="s">
        <v>74</v>
      </c>
      <c r="X384" s="2" t="s">
        <v>74</v>
      </c>
      <c r="Y384" s="2" t="s">
        <v>74</v>
      </c>
      <c r="Z384" s="2" t="s">
        <v>74</v>
      </c>
      <c r="AA384" s="2" t="s">
        <v>7336</v>
      </c>
      <c r="AB384" s="2" t="s">
        <v>7337</v>
      </c>
      <c r="AC384" s="2" t="s">
        <v>74</v>
      </c>
      <c r="AD384" s="2" t="s">
        <v>74</v>
      </c>
      <c r="AE384" s="2" t="s">
        <v>74</v>
      </c>
      <c r="AF384" s="2" t="s">
        <v>74</v>
      </c>
      <c r="AG384" s="2" t="s">
        <v>74</v>
      </c>
      <c r="AH384" s="2" t="s">
        <v>74</v>
      </c>
      <c r="AI384" s="2" t="s">
        <v>74</v>
      </c>
      <c r="AJ384" s="2" t="s">
        <v>74</v>
      </c>
      <c r="AK384" s="2" t="s">
        <v>74</v>
      </c>
      <c r="AL384" s="2" t="s">
        <v>74</v>
      </c>
      <c r="AM384" s="2" t="s">
        <v>74</v>
      </c>
      <c r="AN384" s="2" t="s">
        <v>74</v>
      </c>
      <c r="AO384" s="2" t="s">
        <v>1388</v>
      </c>
      <c r="AP384" s="2" t="s">
        <v>1389</v>
      </c>
      <c r="AQ384" s="2" t="s">
        <v>74</v>
      </c>
      <c r="AR384" s="2" t="s">
        <v>74</v>
      </c>
      <c r="AS384" s="2" t="s">
        <v>74</v>
      </c>
      <c r="AT384" s="2" t="s">
        <v>633</v>
      </c>
      <c r="AU384" s="2">
        <v>2007</v>
      </c>
      <c r="AV384" s="2">
        <v>149</v>
      </c>
      <c r="AW384" s="2">
        <v>2</v>
      </c>
      <c r="AX384" s="2" t="s">
        <v>74</v>
      </c>
      <c r="AY384" s="2" t="s">
        <v>74</v>
      </c>
      <c r="AZ384" s="2" t="s">
        <v>74</v>
      </c>
      <c r="BA384" s="2" t="s">
        <v>74</v>
      </c>
      <c r="BB384" s="2">
        <v>313</v>
      </c>
      <c r="BC384" s="2">
        <v>320</v>
      </c>
      <c r="BD384" s="2" t="s">
        <v>74</v>
      </c>
      <c r="BE384" s="2" t="s">
        <v>7338</v>
      </c>
      <c r="BF384" s="2" t="str">
        <f>HYPERLINK("http://dx.doi.org/10.1111/j.1474-919X.2006.00632.x","http://dx.doi.org/10.1111/j.1474-919X.2006.00632.x")</f>
        <v>http://dx.doi.org/10.1111/j.1474-919X.2006.00632.x</v>
      </c>
      <c r="BG384" s="2" t="s">
        <v>74</v>
      </c>
      <c r="BH384" s="2" t="s">
        <v>74</v>
      </c>
      <c r="BI384" s="2" t="s">
        <v>74</v>
      </c>
      <c r="BJ384" s="2" t="s">
        <v>74</v>
      </c>
      <c r="BK384" s="2" t="s">
        <v>74</v>
      </c>
      <c r="BL384" s="2" t="s">
        <v>74</v>
      </c>
      <c r="BM384" s="2" t="s">
        <v>74</v>
      </c>
      <c r="BN384" s="2" t="s">
        <v>74</v>
      </c>
      <c r="BO384" s="2" t="s">
        <v>74</v>
      </c>
      <c r="BP384" s="2" t="s">
        <v>74</v>
      </c>
      <c r="BQ384" s="2" t="s">
        <v>74</v>
      </c>
      <c r="BR384" s="2" t="s">
        <v>74</v>
      </c>
      <c r="BS384" s="2" t="s">
        <v>7339</v>
      </c>
      <c r="BT384" s="2" t="str">
        <f>HYPERLINK("https%3A%2F%2Fwww.webofscience.com%2Fwos%2Fwoscc%2Ffull-record%2FWOS:000245312000012","View Full Record in Web of Science")</f>
        <v>View Full Record in Web of Science</v>
      </c>
    </row>
    <row r="385" spans="1:72" s="2" customFormat="1" x14ac:dyDescent="0.4">
      <c r="A385" s="2" t="s">
        <v>72</v>
      </c>
      <c r="B385" s="2" t="s">
        <v>8550</v>
      </c>
      <c r="C385" s="2" t="s">
        <v>74</v>
      </c>
      <c r="D385" s="2" t="s">
        <v>74</v>
      </c>
      <c r="E385" s="2" t="s">
        <v>74</v>
      </c>
      <c r="F385" s="2" t="s">
        <v>8551</v>
      </c>
      <c r="G385" s="2" t="s">
        <v>74</v>
      </c>
      <c r="H385" s="2" t="s">
        <v>74</v>
      </c>
      <c r="I385" s="2" t="s">
        <v>8552</v>
      </c>
      <c r="J385" s="2" t="s">
        <v>3595</v>
      </c>
      <c r="K385" s="2" t="s">
        <v>74</v>
      </c>
      <c r="L385" s="2" t="s">
        <v>74</v>
      </c>
      <c r="M385" s="2" t="s">
        <v>74</v>
      </c>
      <c r="N385" s="2" t="s">
        <v>74</v>
      </c>
      <c r="O385" s="2" t="s">
        <v>74</v>
      </c>
      <c r="P385" s="2" t="s">
        <v>74</v>
      </c>
      <c r="Q385" s="2" t="s">
        <v>74</v>
      </c>
      <c r="R385" s="2" t="s">
        <v>74</v>
      </c>
      <c r="S385" s="2" t="s">
        <v>74</v>
      </c>
      <c r="T385" s="2" t="s">
        <v>74</v>
      </c>
      <c r="U385" s="2" t="s">
        <v>74</v>
      </c>
      <c r="V385" s="5" t="s">
        <v>8553</v>
      </c>
      <c r="W385" s="2" t="s">
        <v>74</v>
      </c>
      <c r="X385" s="2" t="s">
        <v>74</v>
      </c>
      <c r="Y385" s="2" t="s">
        <v>74</v>
      </c>
      <c r="Z385" s="2" t="s">
        <v>74</v>
      </c>
      <c r="AA385" s="2" t="s">
        <v>74</v>
      </c>
      <c r="AB385" s="2" t="s">
        <v>8554</v>
      </c>
      <c r="AC385" s="2" t="s">
        <v>74</v>
      </c>
      <c r="AD385" s="2" t="s">
        <v>74</v>
      </c>
      <c r="AE385" s="2" t="s">
        <v>74</v>
      </c>
      <c r="AF385" s="2" t="s">
        <v>74</v>
      </c>
      <c r="AG385" s="2" t="s">
        <v>74</v>
      </c>
      <c r="AH385" s="2" t="s">
        <v>74</v>
      </c>
      <c r="AI385" s="2" t="s">
        <v>74</v>
      </c>
      <c r="AJ385" s="2" t="s">
        <v>74</v>
      </c>
      <c r="AK385" s="2" t="s">
        <v>74</v>
      </c>
      <c r="AL385" s="2" t="s">
        <v>74</v>
      </c>
      <c r="AM385" s="2" t="s">
        <v>74</v>
      </c>
      <c r="AN385" s="2" t="s">
        <v>74</v>
      </c>
      <c r="AO385" s="2" t="s">
        <v>3599</v>
      </c>
      <c r="AP385" s="2" t="s">
        <v>3600</v>
      </c>
      <c r="AQ385" s="2" t="s">
        <v>74</v>
      </c>
      <c r="AR385" s="2" t="s">
        <v>74</v>
      </c>
      <c r="AS385" s="2" t="s">
        <v>74</v>
      </c>
      <c r="AT385" s="2" t="s">
        <v>134</v>
      </c>
      <c r="AU385" s="2">
        <v>2020</v>
      </c>
      <c r="AV385" s="2">
        <v>172</v>
      </c>
      <c r="AW385" s="2">
        <v>1</v>
      </c>
      <c r="AX385" s="2" t="s">
        <v>74</v>
      </c>
      <c r="AY385" s="2" t="s">
        <v>74</v>
      </c>
      <c r="AZ385" s="2" t="s">
        <v>74</v>
      </c>
      <c r="BA385" s="2" t="s">
        <v>74</v>
      </c>
      <c r="BB385" s="2">
        <v>140</v>
      </c>
      <c r="BC385" s="2">
        <v>147</v>
      </c>
      <c r="BD385" s="2" t="s">
        <v>74</v>
      </c>
      <c r="BE385" s="2" t="s">
        <v>8555</v>
      </c>
      <c r="BF385" s="2" t="str">
        <f>HYPERLINK("http://dx.doi.org/10.1002/ajpa.24049","http://dx.doi.org/10.1002/ajpa.24049")</f>
        <v>http://dx.doi.org/10.1002/ajpa.24049</v>
      </c>
      <c r="BG385" s="2" t="s">
        <v>74</v>
      </c>
      <c r="BH385" s="2" t="s">
        <v>74</v>
      </c>
      <c r="BI385" s="2" t="s">
        <v>74</v>
      </c>
      <c r="BJ385" s="2" t="s">
        <v>74</v>
      </c>
      <c r="BK385" s="2" t="s">
        <v>74</v>
      </c>
      <c r="BL385" s="2" t="s">
        <v>74</v>
      </c>
      <c r="BM385" s="2" t="s">
        <v>74</v>
      </c>
      <c r="BN385" s="2">
        <v>32170724</v>
      </c>
      <c r="BO385" s="2" t="s">
        <v>74</v>
      </c>
      <c r="BP385" s="2" t="s">
        <v>74</v>
      </c>
      <c r="BQ385" s="2" t="s">
        <v>74</v>
      </c>
      <c r="BR385" s="2" t="s">
        <v>74</v>
      </c>
      <c r="BS385" s="2" t="s">
        <v>8556</v>
      </c>
      <c r="BT385" s="2" t="str">
        <f>HYPERLINK("https%3A%2F%2Fwww.webofscience.com%2Fwos%2Fwoscc%2Ffull-record%2FWOS:000527838500012","View Full Record in Web of Science")</f>
        <v>View Full Record in Web of Science</v>
      </c>
    </row>
    <row r="386" spans="1:72" s="2" customFormat="1" x14ac:dyDescent="0.4">
      <c r="A386" s="2" t="s">
        <v>72</v>
      </c>
      <c r="B386" s="2" t="s">
        <v>8114</v>
      </c>
      <c r="C386" s="2" t="s">
        <v>74</v>
      </c>
      <c r="D386" s="2" t="s">
        <v>74</v>
      </c>
      <c r="E386" s="2" t="s">
        <v>74</v>
      </c>
      <c r="F386" s="2" t="s">
        <v>8115</v>
      </c>
      <c r="G386" s="2" t="s">
        <v>74</v>
      </c>
      <c r="H386" s="2" t="s">
        <v>74</v>
      </c>
      <c r="I386" s="2" t="s">
        <v>8116</v>
      </c>
      <c r="J386" s="2" t="s">
        <v>2662</v>
      </c>
      <c r="K386" s="2" t="s">
        <v>74</v>
      </c>
      <c r="L386" s="2" t="s">
        <v>74</v>
      </c>
      <c r="M386" s="2" t="s">
        <v>74</v>
      </c>
      <c r="N386" s="2" t="s">
        <v>74</v>
      </c>
      <c r="O386" s="2" t="s">
        <v>74</v>
      </c>
      <c r="P386" s="2" t="s">
        <v>74</v>
      </c>
      <c r="Q386" s="2" t="s">
        <v>74</v>
      </c>
      <c r="R386" s="2" t="s">
        <v>74</v>
      </c>
      <c r="S386" s="2" t="s">
        <v>74</v>
      </c>
      <c r="T386" s="2" t="s">
        <v>74</v>
      </c>
      <c r="U386" s="2" t="s">
        <v>74</v>
      </c>
      <c r="V386" s="5" t="s">
        <v>8117</v>
      </c>
      <c r="W386" s="2" t="s">
        <v>74</v>
      </c>
      <c r="X386" s="2" t="s">
        <v>74</v>
      </c>
      <c r="Y386" s="2" t="s">
        <v>74</v>
      </c>
      <c r="Z386" s="2" t="s">
        <v>74</v>
      </c>
      <c r="AA386" s="2" t="s">
        <v>74</v>
      </c>
      <c r="AB386" s="2" t="s">
        <v>2537</v>
      </c>
      <c r="AC386" s="2" t="s">
        <v>74</v>
      </c>
      <c r="AD386" s="2" t="s">
        <v>74</v>
      </c>
      <c r="AE386" s="2" t="s">
        <v>74</v>
      </c>
      <c r="AF386" s="2" t="s">
        <v>74</v>
      </c>
      <c r="AG386" s="2" t="s">
        <v>74</v>
      </c>
      <c r="AH386" s="2" t="s">
        <v>74</v>
      </c>
      <c r="AI386" s="2" t="s">
        <v>74</v>
      </c>
      <c r="AJ386" s="2" t="s">
        <v>74</v>
      </c>
      <c r="AK386" s="2" t="s">
        <v>74</v>
      </c>
      <c r="AL386" s="2" t="s">
        <v>74</v>
      </c>
      <c r="AM386" s="2" t="s">
        <v>74</v>
      </c>
      <c r="AN386" s="2" t="s">
        <v>74</v>
      </c>
      <c r="AO386" s="2" t="s">
        <v>2664</v>
      </c>
      <c r="AP386" s="2" t="s">
        <v>2665</v>
      </c>
      <c r="AQ386" s="2" t="s">
        <v>74</v>
      </c>
      <c r="AR386" s="2" t="s">
        <v>74</v>
      </c>
      <c r="AS386" s="2" t="s">
        <v>74</v>
      </c>
      <c r="AT386" s="2" t="s">
        <v>123</v>
      </c>
      <c r="AU386" s="2">
        <v>2006</v>
      </c>
      <c r="AV386" s="2">
        <v>40</v>
      </c>
      <c r="AW386" s="2">
        <v>1</v>
      </c>
      <c r="AX386" s="2" t="s">
        <v>74</v>
      </c>
      <c r="AY386" s="2" t="s">
        <v>74</v>
      </c>
      <c r="AZ386" s="2" t="s">
        <v>74</v>
      </c>
      <c r="BA386" s="2" t="s">
        <v>74</v>
      </c>
      <c r="BB386" s="2">
        <v>1</v>
      </c>
      <c r="BC386" s="2">
        <v>28</v>
      </c>
      <c r="BD386" s="2" t="s">
        <v>74</v>
      </c>
      <c r="BE386" s="2" t="s">
        <v>8118</v>
      </c>
      <c r="BF386" s="2" t="str">
        <f>HYPERLINK("http://dx.doi.org/10.3356/0892-1016(2006)40[1:TAFAOG]2.0.CO;2","http://dx.doi.org/10.3356/0892-1016(2006)40[1:TAFAOG]2.0.CO;2")</f>
        <v>http://dx.doi.org/10.3356/0892-1016(2006)40[1:TAFAOG]2.0.CO;2</v>
      </c>
      <c r="BG386" s="2" t="s">
        <v>74</v>
      </c>
      <c r="BH386" s="2" t="s">
        <v>74</v>
      </c>
      <c r="BI386" s="2" t="s">
        <v>74</v>
      </c>
      <c r="BJ386" s="2" t="s">
        <v>74</v>
      </c>
      <c r="BK386" s="2" t="s">
        <v>74</v>
      </c>
      <c r="BL386" s="2" t="s">
        <v>74</v>
      </c>
      <c r="BM386" s="2" t="s">
        <v>74</v>
      </c>
      <c r="BN386" s="2" t="s">
        <v>74</v>
      </c>
      <c r="BO386" s="2" t="s">
        <v>74</v>
      </c>
      <c r="BP386" s="2" t="s">
        <v>74</v>
      </c>
      <c r="BQ386" s="2" t="s">
        <v>74</v>
      </c>
      <c r="BR386" s="2" t="s">
        <v>74</v>
      </c>
      <c r="BS386" s="2" t="s">
        <v>8119</v>
      </c>
      <c r="BT386" s="2" t="str">
        <f>HYPERLINK("https%3A%2F%2Fwww.webofscience.com%2Fwos%2Fwoscc%2Ffull-record%2FWOS:000237905000001","View Full Record in Web of Science")</f>
        <v>View Full Record in Web of Science</v>
      </c>
    </row>
    <row r="387" spans="1:72" s="2" customFormat="1" x14ac:dyDescent="0.4">
      <c r="A387" s="2" t="s">
        <v>72</v>
      </c>
      <c r="B387" s="2" t="s">
        <v>2534</v>
      </c>
      <c r="C387" s="2" t="s">
        <v>74</v>
      </c>
      <c r="D387" s="2" t="s">
        <v>74</v>
      </c>
      <c r="E387" s="2" t="s">
        <v>74</v>
      </c>
      <c r="F387" s="2" t="s">
        <v>2534</v>
      </c>
      <c r="G387" s="2" t="s">
        <v>74</v>
      </c>
      <c r="H387" s="2" t="s">
        <v>74</v>
      </c>
      <c r="I387" s="2" t="s">
        <v>2535</v>
      </c>
      <c r="J387" s="2" t="s">
        <v>431</v>
      </c>
      <c r="K387" s="2" t="s">
        <v>74</v>
      </c>
      <c r="L387" s="2" t="s">
        <v>74</v>
      </c>
      <c r="M387" s="2" t="s">
        <v>74</v>
      </c>
      <c r="N387" s="2" t="s">
        <v>74</v>
      </c>
      <c r="O387" s="2" t="s">
        <v>74</v>
      </c>
      <c r="P387" s="2" t="s">
        <v>74</v>
      </c>
      <c r="Q387" s="2" t="s">
        <v>74</v>
      </c>
      <c r="R387" s="2" t="s">
        <v>74</v>
      </c>
      <c r="S387" s="2" t="s">
        <v>74</v>
      </c>
      <c r="T387" s="2" t="s">
        <v>74</v>
      </c>
      <c r="U387" s="2" t="s">
        <v>74</v>
      </c>
      <c r="V387" s="5" t="s">
        <v>2536</v>
      </c>
      <c r="W387" s="2" t="s">
        <v>74</v>
      </c>
      <c r="X387" s="2" t="s">
        <v>74</v>
      </c>
      <c r="Y387" s="2" t="s">
        <v>74</v>
      </c>
      <c r="Z387" s="2" t="s">
        <v>74</v>
      </c>
      <c r="AA387" s="2" t="s">
        <v>74</v>
      </c>
      <c r="AB387" s="2" t="s">
        <v>2537</v>
      </c>
      <c r="AC387" s="2" t="s">
        <v>74</v>
      </c>
      <c r="AD387" s="2" t="s">
        <v>74</v>
      </c>
      <c r="AE387" s="2" t="s">
        <v>74</v>
      </c>
      <c r="AF387" s="2" t="s">
        <v>74</v>
      </c>
      <c r="AG387" s="2" t="s">
        <v>74</v>
      </c>
      <c r="AH387" s="2" t="s">
        <v>74</v>
      </c>
      <c r="AI387" s="2" t="s">
        <v>74</v>
      </c>
      <c r="AJ387" s="2" t="s">
        <v>74</v>
      </c>
      <c r="AK387" s="2" t="s">
        <v>74</v>
      </c>
      <c r="AL387" s="2" t="s">
        <v>74</v>
      </c>
      <c r="AM387" s="2" t="s">
        <v>74</v>
      </c>
      <c r="AN387" s="2" t="s">
        <v>74</v>
      </c>
      <c r="AO387" s="2" t="s">
        <v>74</v>
      </c>
      <c r="AP387" s="2" t="s">
        <v>435</v>
      </c>
      <c r="AQ387" s="2" t="s">
        <v>74</v>
      </c>
      <c r="AR387" s="2" t="s">
        <v>74</v>
      </c>
      <c r="AS387" s="2" t="s">
        <v>74</v>
      </c>
      <c r="AT387" s="2" t="s">
        <v>74</v>
      </c>
      <c r="AU387" s="2">
        <v>1983</v>
      </c>
      <c r="AV387" s="2">
        <v>100</v>
      </c>
      <c r="AW387" s="2">
        <v>2</v>
      </c>
      <c r="AX387" s="2" t="s">
        <v>74</v>
      </c>
      <c r="AY387" s="2" t="s">
        <v>74</v>
      </c>
      <c r="AZ387" s="2" t="s">
        <v>74</v>
      </c>
      <c r="BA387" s="2" t="s">
        <v>74</v>
      </c>
      <c r="BB387" s="2">
        <v>269</v>
      </c>
      <c r="BC387" s="2" t="s">
        <v>726</v>
      </c>
      <c r="BD387" s="2" t="s">
        <v>74</v>
      </c>
      <c r="BE387" s="2" t="s">
        <v>2538</v>
      </c>
      <c r="BF387" s="2" t="str">
        <f>HYPERLINK("http://dx.doi.org/10.1093/auk/100.2.269","http://dx.doi.org/10.1093/auk/100.2.269")</f>
        <v>http://dx.doi.org/10.1093/auk/100.2.269</v>
      </c>
      <c r="BG387" s="2" t="s">
        <v>74</v>
      </c>
      <c r="BH387" s="2" t="s">
        <v>74</v>
      </c>
      <c r="BI387" s="2" t="s">
        <v>74</v>
      </c>
      <c r="BJ387" s="2" t="s">
        <v>74</v>
      </c>
      <c r="BK387" s="2" t="s">
        <v>74</v>
      </c>
      <c r="BL387" s="2" t="s">
        <v>74</v>
      </c>
      <c r="BM387" s="2" t="s">
        <v>74</v>
      </c>
      <c r="BN387" s="2" t="s">
        <v>74</v>
      </c>
      <c r="BO387" s="2" t="s">
        <v>74</v>
      </c>
      <c r="BP387" s="2" t="s">
        <v>74</v>
      </c>
      <c r="BQ387" s="2" t="s">
        <v>74</v>
      </c>
      <c r="BR387" s="2" t="s">
        <v>74</v>
      </c>
      <c r="BS387" s="2" t="s">
        <v>2539</v>
      </c>
      <c r="BT387" s="2" t="str">
        <f>HYPERLINK("https%3A%2F%2Fwww.webofscience.com%2Fwos%2Fwoscc%2Ffull-record%2FWOS:A1983QX26300001","View Full Record in Web of Science")</f>
        <v>View Full Record in Web of Science</v>
      </c>
    </row>
    <row r="388" spans="1:72" s="2" customFormat="1" x14ac:dyDescent="0.4">
      <c r="A388" s="2" t="s">
        <v>72</v>
      </c>
      <c r="B388" s="2" t="s">
        <v>707</v>
      </c>
      <c r="C388" s="2" t="s">
        <v>74</v>
      </c>
      <c r="D388" s="2" t="s">
        <v>74</v>
      </c>
      <c r="E388" s="2" t="s">
        <v>74</v>
      </c>
      <c r="F388" s="2" t="s">
        <v>707</v>
      </c>
      <c r="G388" s="2" t="s">
        <v>74</v>
      </c>
      <c r="H388" s="2" t="s">
        <v>74</v>
      </c>
      <c r="I388" s="2" t="s">
        <v>708</v>
      </c>
      <c r="J388" s="2" t="s">
        <v>408</v>
      </c>
      <c r="K388" s="2" t="s">
        <v>74</v>
      </c>
      <c r="L388" s="2" t="s">
        <v>74</v>
      </c>
      <c r="M388" s="2" t="s">
        <v>74</v>
      </c>
      <c r="N388" s="2" t="s">
        <v>74</v>
      </c>
      <c r="O388" s="2" t="s">
        <v>74</v>
      </c>
      <c r="P388" s="2" t="s">
        <v>74</v>
      </c>
      <c r="Q388" s="2" t="s">
        <v>74</v>
      </c>
      <c r="R388" s="2" t="s">
        <v>74</v>
      </c>
      <c r="S388" s="2" t="s">
        <v>74</v>
      </c>
      <c r="T388" s="2" t="s">
        <v>74</v>
      </c>
      <c r="U388" s="2" t="s">
        <v>74</v>
      </c>
      <c r="V388" s="5" t="s">
        <v>709</v>
      </c>
      <c r="W388" s="2" t="s">
        <v>74</v>
      </c>
      <c r="X388" s="2" t="s">
        <v>74</v>
      </c>
      <c r="Y388" s="2" t="s">
        <v>74</v>
      </c>
      <c r="Z388" s="2" t="s">
        <v>74</v>
      </c>
      <c r="AA388" s="2" t="s">
        <v>710</v>
      </c>
      <c r="AB388" s="2" t="s">
        <v>711</v>
      </c>
      <c r="AC388" s="2" t="s">
        <v>74</v>
      </c>
      <c r="AD388" s="2" t="s">
        <v>74</v>
      </c>
      <c r="AE388" s="2" t="s">
        <v>74</v>
      </c>
      <c r="AF388" s="2" t="s">
        <v>74</v>
      </c>
      <c r="AG388" s="2" t="s">
        <v>74</v>
      </c>
      <c r="AH388" s="2" t="s">
        <v>74</v>
      </c>
      <c r="AI388" s="2" t="s">
        <v>74</v>
      </c>
      <c r="AJ388" s="2" t="s">
        <v>74</v>
      </c>
      <c r="AK388" s="2" t="s">
        <v>74</v>
      </c>
      <c r="AL388" s="2" t="s">
        <v>74</v>
      </c>
      <c r="AM388" s="2" t="s">
        <v>74</v>
      </c>
      <c r="AN388" s="2" t="s">
        <v>74</v>
      </c>
      <c r="AO388" s="2" t="s">
        <v>412</v>
      </c>
      <c r="AP388" s="2" t="s">
        <v>413</v>
      </c>
      <c r="AQ388" s="2" t="s">
        <v>74</v>
      </c>
      <c r="AR388" s="2" t="s">
        <v>74</v>
      </c>
      <c r="AS388" s="2" t="s">
        <v>74</v>
      </c>
      <c r="AT388" s="2" t="s">
        <v>305</v>
      </c>
      <c r="AU388" s="2">
        <v>1990</v>
      </c>
      <c r="AV388" s="2">
        <v>41</v>
      </c>
      <c r="AW388" s="2">
        <v>4</v>
      </c>
      <c r="AX388" s="2" t="s">
        <v>74</v>
      </c>
      <c r="AY388" s="2" t="s">
        <v>74</v>
      </c>
      <c r="AZ388" s="2" t="s">
        <v>74</v>
      </c>
      <c r="BA388" s="2" t="s">
        <v>74</v>
      </c>
      <c r="BB388" s="2">
        <v>315</v>
      </c>
      <c r="BC388" s="2">
        <v>352</v>
      </c>
      <c r="BD388" s="2" t="s">
        <v>74</v>
      </c>
      <c r="BE388" s="2" t="s">
        <v>712</v>
      </c>
      <c r="BF388" s="2" t="str">
        <f>HYPERLINK("http://dx.doi.org/10.1111/j.1095-8312.1990.tb00839.x","http://dx.doi.org/10.1111/j.1095-8312.1990.tb00839.x")</f>
        <v>http://dx.doi.org/10.1111/j.1095-8312.1990.tb00839.x</v>
      </c>
      <c r="BG388" s="2" t="s">
        <v>74</v>
      </c>
      <c r="BH388" s="2" t="s">
        <v>74</v>
      </c>
      <c r="BI388" s="2" t="s">
        <v>74</v>
      </c>
      <c r="BJ388" s="2" t="s">
        <v>74</v>
      </c>
      <c r="BK388" s="2" t="s">
        <v>74</v>
      </c>
      <c r="BL388" s="2" t="s">
        <v>74</v>
      </c>
      <c r="BM388" s="2" t="s">
        <v>74</v>
      </c>
      <c r="BN388" s="2" t="s">
        <v>74</v>
      </c>
      <c r="BO388" s="2" t="s">
        <v>74</v>
      </c>
      <c r="BP388" s="2" t="s">
        <v>74</v>
      </c>
      <c r="BQ388" s="2" t="s">
        <v>74</v>
      </c>
      <c r="BR388" s="2" t="s">
        <v>74</v>
      </c>
      <c r="BS388" s="2" t="s">
        <v>713</v>
      </c>
      <c r="BT388" s="2" t="str">
        <f>HYPERLINK("https%3A%2F%2Fwww.webofscience.com%2Fwos%2Fwoscc%2Ffull-record%2FWOS:A1990EQ25300002","View Full Record in Web of Science")</f>
        <v>View Full Record in Web of Science</v>
      </c>
    </row>
    <row r="389" spans="1:72" s="2" customFormat="1" x14ac:dyDescent="0.4">
      <c r="A389" s="2" t="s">
        <v>72</v>
      </c>
      <c r="B389" s="2" t="s">
        <v>5434</v>
      </c>
      <c r="C389" s="2" t="s">
        <v>74</v>
      </c>
      <c r="D389" s="2" t="s">
        <v>74</v>
      </c>
      <c r="E389" s="2" t="s">
        <v>74</v>
      </c>
      <c r="F389" s="2" t="s">
        <v>5435</v>
      </c>
      <c r="G389" s="2" t="s">
        <v>74</v>
      </c>
      <c r="H389" s="2" t="s">
        <v>74</v>
      </c>
      <c r="I389" s="2" t="s">
        <v>5436</v>
      </c>
      <c r="J389" s="2" t="s">
        <v>229</v>
      </c>
      <c r="K389" s="2" t="s">
        <v>74</v>
      </c>
      <c r="L389" s="2" t="s">
        <v>74</v>
      </c>
      <c r="M389" s="2" t="s">
        <v>74</v>
      </c>
      <c r="N389" s="2" t="s">
        <v>74</v>
      </c>
      <c r="O389" s="2" t="s">
        <v>74</v>
      </c>
      <c r="P389" s="2" t="s">
        <v>74</v>
      </c>
      <c r="Q389" s="2" t="s">
        <v>74</v>
      </c>
      <c r="R389" s="2" t="s">
        <v>74</v>
      </c>
      <c r="S389" s="2" t="s">
        <v>74</v>
      </c>
      <c r="T389" s="2" t="s">
        <v>74</v>
      </c>
      <c r="U389" s="2" t="s">
        <v>74</v>
      </c>
      <c r="V389" s="5" t="s">
        <v>5437</v>
      </c>
      <c r="W389" s="2" t="s">
        <v>74</v>
      </c>
      <c r="X389" s="2" t="s">
        <v>74</v>
      </c>
      <c r="Y389" s="2" t="s">
        <v>74</v>
      </c>
      <c r="Z389" s="2" t="s">
        <v>74</v>
      </c>
      <c r="AA389" s="2" t="s">
        <v>5438</v>
      </c>
      <c r="AB389" s="2" t="s">
        <v>5439</v>
      </c>
      <c r="AC389" s="2" t="s">
        <v>74</v>
      </c>
      <c r="AD389" s="2" t="s">
        <v>74</v>
      </c>
      <c r="AE389" s="2" t="s">
        <v>74</v>
      </c>
      <c r="AF389" s="2" t="s">
        <v>74</v>
      </c>
      <c r="AG389" s="2" t="s">
        <v>74</v>
      </c>
      <c r="AH389" s="2" t="s">
        <v>74</v>
      </c>
      <c r="AI389" s="2" t="s">
        <v>74</v>
      </c>
      <c r="AJ389" s="2" t="s">
        <v>74</v>
      </c>
      <c r="AK389" s="2" t="s">
        <v>74</v>
      </c>
      <c r="AL389" s="2" t="s">
        <v>74</v>
      </c>
      <c r="AM389" s="2" t="s">
        <v>74</v>
      </c>
      <c r="AN389" s="2" t="s">
        <v>74</v>
      </c>
      <c r="AO389" s="2" t="s">
        <v>233</v>
      </c>
      <c r="AP389" s="2" t="s">
        <v>234</v>
      </c>
      <c r="AQ389" s="2" t="s">
        <v>74</v>
      </c>
      <c r="AR389" s="2" t="s">
        <v>74</v>
      </c>
      <c r="AS389" s="2" t="s">
        <v>74</v>
      </c>
      <c r="AT389" s="2" t="s">
        <v>123</v>
      </c>
      <c r="AU389" s="2">
        <v>2014</v>
      </c>
      <c r="AV389" s="2">
        <v>40</v>
      </c>
      <c r="AW389" s="2">
        <v>2</v>
      </c>
      <c r="AX389" s="2" t="s">
        <v>74</v>
      </c>
      <c r="AY389" s="2" t="s">
        <v>74</v>
      </c>
      <c r="AZ389" s="2" t="s">
        <v>74</v>
      </c>
      <c r="BA389" s="2" t="s">
        <v>74</v>
      </c>
      <c r="BB389" s="2">
        <v>109</v>
      </c>
      <c r="BC389" s="2">
        <v>119</v>
      </c>
      <c r="BD389" s="2" t="s">
        <v>74</v>
      </c>
      <c r="BE389" s="2" t="s">
        <v>5440</v>
      </c>
      <c r="BF389" s="2" t="str">
        <f>HYPERLINK("http://dx.doi.org/10.1002/ab.21508","http://dx.doi.org/10.1002/ab.21508")</f>
        <v>http://dx.doi.org/10.1002/ab.21508</v>
      </c>
      <c r="BG389" s="2" t="s">
        <v>74</v>
      </c>
      <c r="BH389" s="2" t="s">
        <v>74</v>
      </c>
      <c r="BI389" s="2" t="s">
        <v>74</v>
      </c>
      <c r="BJ389" s="2" t="s">
        <v>74</v>
      </c>
      <c r="BK389" s="2" t="s">
        <v>74</v>
      </c>
      <c r="BL389" s="2" t="s">
        <v>74</v>
      </c>
      <c r="BM389" s="2" t="s">
        <v>74</v>
      </c>
      <c r="BN389" s="2">
        <v>24497000</v>
      </c>
      <c r="BO389" s="2" t="s">
        <v>74</v>
      </c>
      <c r="BP389" s="2" t="s">
        <v>74</v>
      </c>
      <c r="BQ389" s="2" t="s">
        <v>74</v>
      </c>
      <c r="BR389" s="2" t="s">
        <v>74</v>
      </c>
      <c r="BS389" s="2" t="s">
        <v>5441</v>
      </c>
      <c r="BT389" s="2" t="str">
        <f>HYPERLINK("https%3A%2F%2Fwww.webofscience.com%2Fwos%2Fwoscc%2Ffull-record%2FWOS:000331255700002","View Full Record in Web of Science")</f>
        <v>View Full Record in Web of Science</v>
      </c>
    </row>
    <row r="390" spans="1:72" s="2" customFormat="1" x14ac:dyDescent="0.4">
      <c r="A390" s="2" t="s">
        <v>72</v>
      </c>
      <c r="B390" s="2" t="s">
        <v>5383</v>
      </c>
      <c r="C390" s="2" t="s">
        <v>74</v>
      </c>
      <c r="D390" s="2" t="s">
        <v>74</v>
      </c>
      <c r="E390" s="2" t="s">
        <v>74</v>
      </c>
      <c r="F390" s="2" t="s">
        <v>5383</v>
      </c>
      <c r="G390" s="2" t="s">
        <v>74</v>
      </c>
      <c r="H390" s="2" t="s">
        <v>74</v>
      </c>
      <c r="I390" s="2" t="s">
        <v>5384</v>
      </c>
      <c r="J390" s="2" t="s">
        <v>5385</v>
      </c>
      <c r="K390" s="2" t="s">
        <v>74</v>
      </c>
      <c r="L390" s="2" t="s">
        <v>74</v>
      </c>
      <c r="M390" s="2" t="s">
        <v>74</v>
      </c>
      <c r="N390" s="2" t="s">
        <v>74</v>
      </c>
      <c r="O390" s="2" t="s">
        <v>74</v>
      </c>
      <c r="P390" s="2" t="s">
        <v>74</v>
      </c>
      <c r="Q390" s="2" t="s">
        <v>74</v>
      </c>
      <c r="R390" s="2" t="s">
        <v>74</v>
      </c>
      <c r="S390" s="2" t="s">
        <v>74</v>
      </c>
      <c r="T390" s="2" t="s">
        <v>74</v>
      </c>
      <c r="U390" s="2" t="s">
        <v>74</v>
      </c>
      <c r="V390" s="5" t="s">
        <v>5386</v>
      </c>
      <c r="W390" s="2" t="s">
        <v>74</v>
      </c>
      <c r="X390" s="2" t="s">
        <v>74</v>
      </c>
      <c r="Y390" s="2" t="s">
        <v>74</v>
      </c>
      <c r="Z390" s="2" t="s">
        <v>74</v>
      </c>
      <c r="AA390" s="2" t="s">
        <v>74</v>
      </c>
      <c r="AB390" s="2" t="s">
        <v>74</v>
      </c>
      <c r="AC390" s="2" t="s">
        <v>74</v>
      </c>
      <c r="AD390" s="2" t="s">
        <v>74</v>
      </c>
      <c r="AE390" s="2" t="s">
        <v>74</v>
      </c>
      <c r="AF390" s="2" t="s">
        <v>74</v>
      </c>
      <c r="AG390" s="2" t="s">
        <v>74</v>
      </c>
      <c r="AH390" s="2" t="s">
        <v>74</v>
      </c>
      <c r="AI390" s="2" t="s">
        <v>74</v>
      </c>
      <c r="AJ390" s="2" t="s">
        <v>74</v>
      </c>
      <c r="AK390" s="2" t="s">
        <v>74</v>
      </c>
      <c r="AL390" s="2" t="s">
        <v>74</v>
      </c>
      <c r="AM390" s="2" t="s">
        <v>74</v>
      </c>
      <c r="AN390" s="2" t="s">
        <v>74</v>
      </c>
      <c r="AO390" s="2" t="s">
        <v>5387</v>
      </c>
      <c r="AP390" s="2" t="s">
        <v>74</v>
      </c>
      <c r="AQ390" s="2" t="s">
        <v>74</v>
      </c>
      <c r="AR390" s="2" t="s">
        <v>74</v>
      </c>
      <c r="AS390" s="2" t="s">
        <v>74</v>
      </c>
      <c r="AT390" s="2" t="s">
        <v>74</v>
      </c>
      <c r="AU390" s="2">
        <v>1993</v>
      </c>
      <c r="AV390" s="2">
        <v>35</v>
      </c>
      <c r="AW390" s="2">
        <v>2</v>
      </c>
      <c r="AX390" s="2" t="s">
        <v>74</v>
      </c>
      <c r="AY390" s="2" t="s">
        <v>74</v>
      </c>
      <c r="AZ390" s="2" t="s">
        <v>74</v>
      </c>
      <c r="BA390" s="2" t="s">
        <v>74</v>
      </c>
      <c r="BB390" s="2">
        <v>371</v>
      </c>
      <c r="BC390" s="2">
        <v>388</v>
      </c>
      <c r="BD390" s="2" t="s">
        <v>74</v>
      </c>
      <c r="BE390" s="2" t="s">
        <v>74</v>
      </c>
      <c r="BF390" s="2" t="s">
        <v>74</v>
      </c>
      <c r="BG390" s="2" t="s">
        <v>74</v>
      </c>
      <c r="BH390" s="2" t="s">
        <v>74</v>
      </c>
      <c r="BI390" s="2" t="s">
        <v>74</v>
      </c>
      <c r="BJ390" s="2" t="s">
        <v>74</v>
      </c>
      <c r="BK390" s="2" t="s">
        <v>74</v>
      </c>
      <c r="BL390" s="2" t="s">
        <v>74</v>
      </c>
      <c r="BM390" s="2" t="s">
        <v>74</v>
      </c>
      <c r="BN390" s="2" t="s">
        <v>74</v>
      </c>
      <c r="BO390" s="2" t="s">
        <v>74</v>
      </c>
      <c r="BP390" s="2" t="s">
        <v>74</v>
      </c>
      <c r="BQ390" s="2" t="s">
        <v>74</v>
      </c>
      <c r="BR390" s="2" t="s">
        <v>74</v>
      </c>
      <c r="BS390" s="2" t="s">
        <v>5388</v>
      </c>
      <c r="BT390" s="2" t="str">
        <f>HYPERLINK("https%3A%2F%2Fwww.webofscience.com%2Fwos%2Fwoscc%2Ffull-record%2FWOS:A1993MK18700007","View Full Record in Web of Science")</f>
        <v>View Full Record in Web of Science</v>
      </c>
    </row>
    <row r="391" spans="1:72" s="2" customFormat="1" x14ac:dyDescent="0.4">
      <c r="A391" s="2" t="s">
        <v>72</v>
      </c>
      <c r="B391" s="2" t="s">
        <v>7131</v>
      </c>
      <c r="C391" s="2" t="s">
        <v>74</v>
      </c>
      <c r="D391" s="2" t="s">
        <v>74</v>
      </c>
      <c r="E391" s="2" t="s">
        <v>74</v>
      </c>
      <c r="F391" s="2" t="s">
        <v>7132</v>
      </c>
      <c r="G391" s="2" t="s">
        <v>74</v>
      </c>
      <c r="H391" s="2" t="s">
        <v>74</v>
      </c>
      <c r="I391" s="2" t="s">
        <v>7133</v>
      </c>
      <c r="J391" s="2" t="s">
        <v>119</v>
      </c>
      <c r="K391" s="2" t="s">
        <v>74</v>
      </c>
      <c r="L391" s="2" t="s">
        <v>74</v>
      </c>
      <c r="M391" s="2" t="s">
        <v>74</v>
      </c>
      <c r="N391" s="2" t="s">
        <v>74</v>
      </c>
      <c r="O391" s="2" t="s">
        <v>74</v>
      </c>
      <c r="P391" s="2" t="s">
        <v>74</v>
      </c>
      <c r="Q391" s="2" t="s">
        <v>74</v>
      </c>
      <c r="R391" s="2" t="s">
        <v>74</v>
      </c>
      <c r="S391" s="2" t="s">
        <v>74</v>
      </c>
      <c r="T391" s="2" t="s">
        <v>74</v>
      </c>
      <c r="U391" s="2" t="s">
        <v>74</v>
      </c>
      <c r="V391" s="5" t="s">
        <v>7134</v>
      </c>
      <c r="W391" s="2" t="s">
        <v>74</v>
      </c>
      <c r="X391" s="2" t="s">
        <v>74</v>
      </c>
      <c r="Y391" s="2" t="s">
        <v>74</v>
      </c>
      <c r="Z391" s="2" t="s">
        <v>74</v>
      </c>
      <c r="AA391" s="2" t="s">
        <v>7135</v>
      </c>
      <c r="AB391" s="2" t="s">
        <v>7136</v>
      </c>
      <c r="AC391" s="2" t="s">
        <v>74</v>
      </c>
      <c r="AD391" s="2" t="s">
        <v>74</v>
      </c>
      <c r="AE391" s="2" t="s">
        <v>74</v>
      </c>
      <c r="AF391" s="2" t="s">
        <v>74</v>
      </c>
      <c r="AG391" s="2" t="s">
        <v>74</v>
      </c>
      <c r="AH391" s="2" t="s">
        <v>74</v>
      </c>
      <c r="AI391" s="2" t="s">
        <v>74</v>
      </c>
      <c r="AJ391" s="2" t="s">
        <v>74</v>
      </c>
      <c r="AK391" s="2" t="s">
        <v>74</v>
      </c>
      <c r="AL391" s="2" t="s">
        <v>74</v>
      </c>
      <c r="AM391" s="2" t="s">
        <v>74</v>
      </c>
      <c r="AN391" s="2" t="s">
        <v>74</v>
      </c>
      <c r="AO391" s="2" t="s">
        <v>121</v>
      </c>
      <c r="AP391" s="2" t="s">
        <v>122</v>
      </c>
      <c r="AQ391" s="2" t="s">
        <v>74</v>
      </c>
      <c r="AR391" s="2" t="s">
        <v>74</v>
      </c>
      <c r="AS391" s="2" t="s">
        <v>74</v>
      </c>
      <c r="AT391" s="2" t="s">
        <v>352</v>
      </c>
      <c r="AU391" s="2">
        <v>2017</v>
      </c>
      <c r="AV391" s="2">
        <v>142</v>
      </c>
      <c r="AW391" s="2" t="s">
        <v>74</v>
      </c>
      <c r="AX391" s="2" t="s">
        <v>74</v>
      </c>
      <c r="AY391" s="2" t="s">
        <v>74</v>
      </c>
      <c r="AZ391" s="2" t="s">
        <v>74</v>
      </c>
      <c r="BA391" s="2" t="s">
        <v>74</v>
      </c>
      <c r="BB391" s="2">
        <v>116</v>
      </c>
      <c r="BC391" s="2">
        <v>118</v>
      </c>
      <c r="BD391" s="2" t="s">
        <v>74</v>
      </c>
      <c r="BE391" s="2" t="s">
        <v>7137</v>
      </c>
      <c r="BF391" s="2" t="str">
        <f>HYPERLINK("http://dx.doi.org/10.1016/j.beproc.2017.07.002","http://dx.doi.org/10.1016/j.beproc.2017.07.002")</f>
        <v>http://dx.doi.org/10.1016/j.beproc.2017.07.002</v>
      </c>
      <c r="BG391" s="2" t="s">
        <v>74</v>
      </c>
      <c r="BH391" s="2" t="s">
        <v>74</v>
      </c>
      <c r="BI391" s="2" t="s">
        <v>74</v>
      </c>
      <c r="BJ391" s="2" t="s">
        <v>74</v>
      </c>
      <c r="BK391" s="2" t="s">
        <v>74</v>
      </c>
      <c r="BL391" s="2" t="s">
        <v>74</v>
      </c>
      <c r="BM391" s="2" t="s">
        <v>74</v>
      </c>
      <c r="BN391" s="2">
        <v>28694127</v>
      </c>
      <c r="BO391" s="2" t="s">
        <v>74</v>
      </c>
      <c r="BP391" s="2" t="s">
        <v>74</v>
      </c>
      <c r="BQ391" s="2" t="s">
        <v>74</v>
      </c>
      <c r="BR391" s="2" t="s">
        <v>74</v>
      </c>
      <c r="BS391" s="2" t="s">
        <v>7138</v>
      </c>
      <c r="BT391" s="2" t="str">
        <f>HYPERLINK("https%3A%2F%2Fwww.webofscience.com%2Fwos%2Fwoscc%2Ffull-record%2FWOS:000411539500017","View Full Record in Web of Science")</f>
        <v>View Full Record in Web of Science</v>
      </c>
    </row>
    <row r="392" spans="1:72" s="2" customFormat="1" x14ac:dyDescent="0.4">
      <c r="A392" s="2" t="s">
        <v>72</v>
      </c>
      <c r="B392" s="2" t="s">
        <v>6651</v>
      </c>
      <c r="C392" s="2" t="s">
        <v>74</v>
      </c>
      <c r="D392" s="2" t="s">
        <v>74</v>
      </c>
      <c r="E392" s="2" t="s">
        <v>74</v>
      </c>
      <c r="F392" s="2" t="s">
        <v>6652</v>
      </c>
      <c r="G392" s="2" t="s">
        <v>74</v>
      </c>
      <c r="H392" s="2" t="s">
        <v>74</v>
      </c>
      <c r="I392" s="2" t="s">
        <v>6653</v>
      </c>
      <c r="J392" s="2" t="s">
        <v>824</v>
      </c>
      <c r="K392" s="2" t="s">
        <v>74</v>
      </c>
      <c r="L392" s="2" t="s">
        <v>74</v>
      </c>
      <c r="M392" s="2" t="s">
        <v>74</v>
      </c>
      <c r="N392" s="2" t="s">
        <v>74</v>
      </c>
      <c r="O392" s="2" t="s">
        <v>74</v>
      </c>
      <c r="P392" s="2" t="s">
        <v>74</v>
      </c>
      <c r="Q392" s="2" t="s">
        <v>74</v>
      </c>
      <c r="R392" s="2" t="s">
        <v>74</v>
      </c>
      <c r="S392" s="2" t="s">
        <v>74</v>
      </c>
      <c r="T392" s="2" t="s">
        <v>74</v>
      </c>
      <c r="U392" s="2" t="s">
        <v>74</v>
      </c>
      <c r="V392" s="5" t="s">
        <v>6654</v>
      </c>
      <c r="W392" s="2" t="s">
        <v>74</v>
      </c>
      <c r="X392" s="2" t="s">
        <v>74</v>
      </c>
      <c r="Y392" s="2" t="s">
        <v>74</v>
      </c>
      <c r="Z392" s="2" t="s">
        <v>74</v>
      </c>
      <c r="AA392" s="2" t="s">
        <v>6655</v>
      </c>
      <c r="AB392" s="2" t="s">
        <v>6656</v>
      </c>
      <c r="AC392" s="2" t="s">
        <v>74</v>
      </c>
      <c r="AD392" s="2" t="s">
        <v>74</v>
      </c>
      <c r="AE392" s="2" t="s">
        <v>74</v>
      </c>
      <c r="AF392" s="2" t="s">
        <v>74</v>
      </c>
      <c r="AG392" s="2" t="s">
        <v>74</v>
      </c>
      <c r="AH392" s="2" t="s">
        <v>74</v>
      </c>
      <c r="AI392" s="2" t="s">
        <v>74</v>
      </c>
      <c r="AJ392" s="2" t="s">
        <v>74</v>
      </c>
      <c r="AK392" s="2" t="s">
        <v>74</v>
      </c>
      <c r="AL392" s="2" t="s">
        <v>74</v>
      </c>
      <c r="AM392" s="2" t="s">
        <v>74</v>
      </c>
      <c r="AN392" s="2" t="s">
        <v>74</v>
      </c>
      <c r="AO392" s="2" t="s">
        <v>828</v>
      </c>
      <c r="AP392" s="2" t="s">
        <v>829</v>
      </c>
      <c r="AQ392" s="2" t="s">
        <v>74</v>
      </c>
      <c r="AR392" s="2" t="s">
        <v>74</v>
      </c>
      <c r="AS392" s="2" t="s">
        <v>74</v>
      </c>
      <c r="AT392" s="2" t="s">
        <v>352</v>
      </c>
      <c r="AU392" s="2">
        <v>2018</v>
      </c>
      <c r="AV392" s="2">
        <v>87</v>
      </c>
      <c r="AW392" s="2">
        <v>5</v>
      </c>
      <c r="AX392" s="2" t="s">
        <v>74</v>
      </c>
      <c r="AY392" s="2" t="s">
        <v>74</v>
      </c>
      <c r="AZ392" s="2" t="s">
        <v>74</v>
      </c>
      <c r="BA392" s="2" t="s">
        <v>74</v>
      </c>
      <c r="BB392" s="2">
        <v>1274</v>
      </c>
      <c r="BC392" s="2">
        <v>1285</v>
      </c>
      <c r="BD392" s="2" t="s">
        <v>74</v>
      </c>
      <c r="BE392" s="2" t="s">
        <v>6657</v>
      </c>
      <c r="BF392" s="2" t="str">
        <f>HYPERLINK("http://dx.doi.org/10.1111/1365-2656.12855","http://dx.doi.org/10.1111/1365-2656.12855")</f>
        <v>http://dx.doi.org/10.1111/1365-2656.12855</v>
      </c>
      <c r="BG392" s="2" t="s">
        <v>74</v>
      </c>
      <c r="BH392" s="2" t="s">
        <v>74</v>
      </c>
      <c r="BI392" s="2" t="s">
        <v>74</v>
      </c>
      <c r="BJ392" s="2" t="s">
        <v>74</v>
      </c>
      <c r="BK392" s="2" t="s">
        <v>74</v>
      </c>
      <c r="BL392" s="2" t="s">
        <v>74</v>
      </c>
      <c r="BM392" s="2" t="s">
        <v>74</v>
      </c>
      <c r="BN392" s="2">
        <v>29943467</v>
      </c>
      <c r="BO392" s="2" t="s">
        <v>74</v>
      </c>
      <c r="BP392" s="2" t="s">
        <v>74</v>
      </c>
      <c r="BQ392" s="2" t="s">
        <v>74</v>
      </c>
      <c r="BR392" s="2" t="s">
        <v>74</v>
      </c>
      <c r="BS392" s="2" t="s">
        <v>6658</v>
      </c>
      <c r="BT392" s="2" t="str">
        <f>HYPERLINK("https%3A%2F%2Fwww.webofscience.com%2Fwos%2Fwoscc%2Ffull-record%2FWOS:000441246100008","View Full Record in Web of Science")</f>
        <v>View Full Record in Web of Science</v>
      </c>
    </row>
    <row r="393" spans="1:72" s="2" customFormat="1" x14ac:dyDescent="0.4">
      <c r="A393" s="2" t="s">
        <v>72</v>
      </c>
      <c r="B393" s="2" t="s">
        <v>6470</v>
      </c>
      <c r="C393" s="2" t="s">
        <v>74</v>
      </c>
      <c r="D393" s="2" t="s">
        <v>74</v>
      </c>
      <c r="E393" s="2" t="s">
        <v>74</v>
      </c>
      <c r="F393" s="2" t="s">
        <v>6470</v>
      </c>
      <c r="G393" s="2" t="s">
        <v>74</v>
      </c>
      <c r="H393" s="2" t="s">
        <v>74</v>
      </c>
      <c r="I393" s="2" t="s">
        <v>6471</v>
      </c>
      <c r="J393" s="2" t="s">
        <v>77</v>
      </c>
      <c r="K393" s="2" t="s">
        <v>74</v>
      </c>
      <c r="L393" s="2" t="s">
        <v>74</v>
      </c>
      <c r="M393" s="2" t="s">
        <v>74</v>
      </c>
      <c r="N393" s="2" t="s">
        <v>74</v>
      </c>
      <c r="O393" s="2" t="s">
        <v>74</v>
      </c>
      <c r="P393" s="2" t="s">
        <v>74</v>
      </c>
      <c r="Q393" s="2" t="s">
        <v>74</v>
      </c>
      <c r="R393" s="2" t="s">
        <v>74</v>
      </c>
      <c r="S393" s="2" t="s">
        <v>74</v>
      </c>
      <c r="T393" s="2" t="s">
        <v>74</v>
      </c>
      <c r="U393" s="2" t="s">
        <v>74</v>
      </c>
      <c r="V393" s="5" t="s">
        <v>6472</v>
      </c>
      <c r="W393" s="2" t="s">
        <v>74</v>
      </c>
      <c r="X393" s="2" t="s">
        <v>74</v>
      </c>
      <c r="Y393" s="2" t="s">
        <v>74</v>
      </c>
      <c r="Z393" s="2" t="s">
        <v>74</v>
      </c>
      <c r="AA393" s="2" t="s">
        <v>6473</v>
      </c>
      <c r="AB393" s="2" t="s">
        <v>74</v>
      </c>
      <c r="AC393" s="2" t="s">
        <v>74</v>
      </c>
      <c r="AD393" s="2" t="s">
        <v>74</v>
      </c>
      <c r="AE393" s="2" t="s">
        <v>74</v>
      </c>
      <c r="AF393" s="2" t="s">
        <v>74</v>
      </c>
      <c r="AG393" s="2" t="s">
        <v>74</v>
      </c>
      <c r="AH393" s="2" t="s">
        <v>74</v>
      </c>
      <c r="AI393" s="2" t="s">
        <v>74</v>
      </c>
      <c r="AJ393" s="2" t="s">
        <v>74</v>
      </c>
      <c r="AK393" s="2" t="s">
        <v>74</v>
      </c>
      <c r="AL393" s="2" t="s">
        <v>74</v>
      </c>
      <c r="AM393" s="2" t="s">
        <v>74</v>
      </c>
      <c r="AN393" s="2" t="s">
        <v>74</v>
      </c>
      <c r="AO393" s="2" t="s">
        <v>81</v>
      </c>
      <c r="AP393" s="2" t="s">
        <v>82</v>
      </c>
      <c r="AQ393" s="2" t="s">
        <v>74</v>
      </c>
      <c r="AR393" s="2" t="s">
        <v>74</v>
      </c>
      <c r="AS393" s="2" t="s">
        <v>74</v>
      </c>
      <c r="AT393" s="2" t="s">
        <v>74</v>
      </c>
      <c r="AU393" s="2">
        <v>1980</v>
      </c>
      <c r="AV393" s="2">
        <v>74</v>
      </c>
      <c r="AW393" s="2" t="s">
        <v>74</v>
      </c>
      <c r="AX393" s="2" t="s">
        <v>548</v>
      </c>
      <c r="AY393" s="2" t="s">
        <v>74</v>
      </c>
      <c r="AZ393" s="2" t="s">
        <v>74</v>
      </c>
      <c r="BA393" s="2" t="s">
        <v>74</v>
      </c>
      <c r="BB393" s="2">
        <v>38</v>
      </c>
      <c r="BC393" s="2">
        <v>91</v>
      </c>
      <c r="BD393" s="2" t="s">
        <v>74</v>
      </c>
      <c r="BE393" s="2" t="s">
        <v>6474</v>
      </c>
      <c r="BF393" s="2" t="str">
        <f>HYPERLINK("http://dx.doi.org/10.1163/156853980X00311","http://dx.doi.org/10.1163/156853980X00311")</f>
        <v>http://dx.doi.org/10.1163/156853980X00311</v>
      </c>
      <c r="BG393" s="2" t="s">
        <v>74</v>
      </c>
      <c r="BH393" s="2" t="s">
        <v>74</v>
      </c>
      <c r="BI393" s="2" t="s">
        <v>74</v>
      </c>
      <c r="BJ393" s="2" t="s">
        <v>74</v>
      </c>
      <c r="BK393" s="2" t="s">
        <v>74</v>
      </c>
      <c r="BL393" s="2" t="s">
        <v>74</v>
      </c>
      <c r="BM393" s="2" t="s">
        <v>74</v>
      </c>
      <c r="BN393" s="2" t="s">
        <v>74</v>
      </c>
      <c r="BO393" s="2" t="s">
        <v>74</v>
      </c>
      <c r="BP393" s="2" t="s">
        <v>74</v>
      </c>
      <c r="BQ393" s="2" t="s">
        <v>74</v>
      </c>
      <c r="BR393" s="2" t="s">
        <v>74</v>
      </c>
      <c r="BS393" s="2" t="s">
        <v>6475</v>
      </c>
      <c r="BT393" s="2" t="str">
        <f>HYPERLINK("https%3A%2F%2Fwww.webofscience.com%2Fwos%2Fwoscc%2Ffull-record%2FWOS:A1980KK26100003","View Full Record in Web of Science")</f>
        <v>View Full Record in Web of Science</v>
      </c>
    </row>
    <row r="394" spans="1:72" s="2" customFormat="1" x14ac:dyDescent="0.4">
      <c r="A394" s="2" t="s">
        <v>72</v>
      </c>
      <c r="B394" s="2" t="s">
        <v>3886</v>
      </c>
      <c r="C394" s="2" t="s">
        <v>74</v>
      </c>
      <c r="D394" s="2" t="s">
        <v>74</v>
      </c>
      <c r="E394" s="2" t="s">
        <v>74</v>
      </c>
      <c r="F394" s="2" t="s">
        <v>3887</v>
      </c>
      <c r="G394" s="2" t="s">
        <v>74</v>
      </c>
      <c r="H394" s="2" t="s">
        <v>74</v>
      </c>
      <c r="I394" s="2" t="s">
        <v>3888</v>
      </c>
      <c r="J394" s="2" t="s">
        <v>140</v>
      </c>
      <c r="K394" s="2" t="s">
        <v>74</v>
      </c>
      <c r="L394" s="2" t="s">
        <v>74</v>
      </c>
      <c r="M394" s="2" t="s">
        <v>74</v>
      </c>
      <c r="N394" s="2" t="s">
        <v>74</v>
      </c>
      <c r="O394" s="2" t="s">
        <v>74</v>
      </c>
      <c r="P394" s="2" t="s">
        <v>74</v>
      </c>
      <c r="Q394" s="2" t="s">
        <v>74</v>
      </c>
      <c r="R394" s="2" t="s">
        <v>74</v>
      </c>
      <c r="S394" s="2" t="s">
        <v>74</v>
      </c>
      <c r="T394" s="2" t="s">
        <v>74</v>
      </c>
      <c r="U394" s="2" t="s">
        <v>74</v>
      </c>
      <c r="V394" s="5" t="s">
        <v>3889</v>
      </c>
      <c r="W394" s="2" t="s">
        <v>74</v>
      </c>
      <c r="X394" s="2" t="s">
        <v>74</v>
      </c>
      <c r="Y394" s="2" t="s">
        <v>74</v>
      </c>
      <c r="Z394" s="2" t="s">
        <v>74</v>
      </c>
      <c r="AA394" s="2" t="s">
        <v>74</v>
      </c>
      <c r="AB394" s="2" t="s">
        <v>74</v>
      </c>
      <c r="AC394" s="2" t="s">
        <v>74</v>
      </c>
      <c r="AD394" s="2" t="s">
        <v>74</v>
      </c>
      <c r="AE394" s="2" t="s">
        <v>74</v>
      </c>
      <c r="AF394" s="2" t="s">
        <v>74</v>
      </c>
      <c r="AG394" s="2" t="s">
        <v>74</v>
      </c>
      <c r="AH394" s="2" t="s">
        <v>74</v>
      </c>
      <c r="AI394" s="2" t="s">
        <v>74</v>
      </c>
      <c r="AJ394" s="2" t="s">
        <v>74</v>
      </c>
      <c r="AK394" s="2" t="s">
        <v>74</v>
      </c>
      <c r="AL394" s="2" t="s">
        <v>74</v>
      </c>
      <c r="AM394" s="2" t="s">
        <v>74</v>
      </c>
      <c r="AN394" s="2" t="s">
        <v>74</v>
      </c>
      <c r="AO394" s="2" t="s">
        <v>143</v>
      </c>
      <c r="AP394" s="2" t="s">
        <v>144</v>
      </c>
      <c r="AQ394" s="2" t="s">
        <v>74</v>
      </c>
      <c r="AR394" s="2" t="s">
        <v>74</v>
      </c>
      <c r="AS394" s="2" t="s">
        <v>74</v>
      </c>
      <c r="AT394" s="2" t="s">
        <v>134</v>
      </c>
      <c r="AU394" s="2">
        <v>2006</v>
      </c>
      <c r="AV394" s="2">
        <v>71</v>
      </c>
      <c r="AW394" s="2" t="s">
        <v>74</v>
      </c>
      <c r="AX394" s="2">
        <v>5</v>
      </c>
      <c r="AY394" s="2" t="s">
        <v>74</v>
      </c>
      <c r="AZ394" s="2" t="s">
        <v>74</v>
      </c>
      <c r="BA394" s="2" t="s">
        <v>74</v>
      </c>
      <c r="BB394" s="2">
        <v>1155</v>
      </c>
      <c r="BC394" s="2">
        <v>1164</v>
      </c>
      <c r="BD394" s="2" t="s">
        <v>74</v>
      </c>
      <c r="BE394" s="2" t="s">
        <v>3890</v>
      </c>
      <c r="BF394" s="2" t="str">
        <f>HYPERLINK("http://dx.doi.org/10.1016/j.anbehav.2005.10.006","http://dx.doi.org/10.1016/j.anbehav.2005.10.006")</f>
        <v>http://dx.doi.org/10.1016/j.anbehav.2005.10.006</v>
      </c>
      <c r="BG394" s="2" t="s">
        <v>74</v>
      </c>
      <c r="BH394" s="2" t="s">
        <v>74</v>
      </c>
      <c r="BI394" s="2" t="s">
        <v>74</v>
      </c>
      <c r="BJ394" s="2" t="s">
        <v>74</v>
      </c>
      <c r="BK394" s="2" t="s">
        <v>74</v>
      </c>
      <c r="BL394" s="2" t="s">
        <v>74</v>
      </c>
      <c r="BM394" s="2" t="s">
        <v>74</v>
      </c>
      <c r="BN394" s="2" t="s">
        <v>74</v>
      </c>
      <c r="BO394" s="2" t="s">
        <v>74</v>
      </c>
      <c r="BP394" s="2" t="s">
        <v>74</v>
      </c>
      <c r="BQ394" s="2" t="s">
        <v>74</v>
      </c>
      <c r="BR394" s="2" t="s">
        <v>74</v>
      </c>
      <c r="BS394" s="2" t="s">
        <v>3891</v>
      </c>
      <c r="BT394" s="2" t="str">
        <f>HYPERLINK("https%3A%2F%2Fwww.webofscience.com%2Fwos%2Fwoscc%2Ffull-record%2FWOS:000238108600018","View Full Record in Web of Science")</f>
        <v>View Full Record in Web of Science</v>
      </c>
    </row>
    <row r="395" spans="1:72" s="2" customFormat="1" x14ac:dyDescent="0.4">
      <c r="A395" s="2" t="s">
        <v>72</v>
      </c>
      <c r="B395" s="2" t="s">
        <v>8276</v>
      </c>
      <c r="C395" s="2" t="s">
        <v>74</v>
      </c>
      <c r="D395" s="2" t="s">
        <v>74</v>
      </c>
      <c r="E395" s="2" t="s">
        <v>74</v>
      </c>
      <c r="F395" s="2" t="s">
        <v>8277</v>
      </c>
      <c r="G395" s="2" t="s">
        <v>74</v>
      </c>
      <c r="H395" s="2" t="s">
        <v>74</v>
      </c>
      <c r="I395" s="2" t="s">
        <v>8278</v>
      </c>
      <c r="J395" s="2" t="s">
        <v>108</v>
      </c>
      <c r="K395" s="2" t="s">
        <v>74</v>
      </c>
      <c r="L395" s="2" t="s">
        <v>74</v>
      </c>
      <c r="M395" s="2" t="s">
        <v>74</v>
      </c>
      <c r="N395" s="2" t="s">
        <v>74</v>
      </c>
      <c r="O395" s="2" t="s">
        <v>74</v>
      </c>
      <c r="P395" s="2" t="s">
        <v>74</v>
      </c>
      <c r="Q395" s="2" t="s">
        <v>74</v>
      </c>
      <c r="R395" s="2" t="s">
        <v>74</v>
      </c>
      <c r="S395" s="2" t="s">
        <v>74</v>
      </c>
      <c r="T395" s="2" t="s">
        <v>74</v>
      </c>
      <c r="U395" s="2" t="s">
        <v>74</v>
      </c>
      <c r="V395" s="5" t="s">
        <v>8279</v>
      </c>
      <c r="W395" s="2" t="s">
        <v>74</v>
      </c>
      <c r="X395" s="2" t="s">
        <v>74</v>
      </c>
      <c r="Y395" s="2" t="s">
        <v>74</v>
      </c>
      <c r="Z395" s="2" t="s">
        <v>74</v>
      </c>
      <c r="AA395" s="2" t="s">
        <v>8280</v>
      </c>
      <c r="AB395" s="2" t="s">
        <v>8281</v>
      </c>
      <c r="AC395" s="2" t="s">
        <v>74</v>
      </c>
      <c r="AD395" s="2" t="s">
        <v>74</v>
      </c>
      <c r="AE395" s="2" t="s">
        <v>74</v>
      </c>
      <c r="AF395" s="2" t="s">
        <v>74</v>
      </c>
      <c r="AG395" s="2" t="s">
        <v>74</v>
      </c>
      <c r="AH395" s="2" t="s">
        <v>74</v>
      </c>
      <c r="AI395" s="2" t="s">
        <v>74</v>
      </c>
      <c r="AJ395" s="2" t="s">
        <v>74</v>
      </c>
      <c r="AK395" s="2" t="s">
        <v>74</v>
      </c>
      <c r="AL395" s="2" t="s">
        <v>74</v>
      </c>
      <c r="AM395" s="2" t="s">
        <v>74</v>
      </c>
      <c r="AN395" s="2" t="s">
        <v>74</v>
      </c>
      <c r="AO395" s="2" t="s">
        <v>111</v>
      </c>
      <c r="AP395" s="2" t="s">
        <v>112</v>
      </c>
      <c r="AQ395" s="2" t="s">
        <v>74</v>
      </c>
      <c r="AR395" s="2" t="s">
        <v>74</v>
      </c>
      <c r="AS395" s="2" t="s">
        <v>74</v>
      </c>
      <c r="AT395" s="2" t="s">
        <v>8282</v>
      </c>
      <c r="AU395" s="2">
        <v>2020</v>
      </c>
      <c r="AV395" s="2">
        <v>287</v>
      </c>
      <c r="AW395" s="2">
        <v>1924</v>
      </c>
      <c r="AX395" s="2" t="s">
        <v>74</v>
      </c>
      <c r="AY395" s="2" t="s">
        <v>74</v>
      </c>
      <c r="AZ395" s="2" t="s">
        <v>74</v>
      </c>
      <c r="BA395" s="2" t="s">
        <v>74</v>
      </c>
      <c r="BB395" s="2" t="s">
        <v>74</v>
      </c>
      <c r="BC395" s="2" t="s">
        <v>74</v>
      </c>
      <c r="BD395" s="2" t="s">
        <v>74</v>
      </c>
      <c r="BE395" s="2" t="s">
        <v>8283</v>
      </c>
      <c r="BF395" s="2" t="str">
        <f>HYPERLINK("http://dx.doi.org/10.1098/rspb.2020.0270","http://dx.doi.org/10.1098/rspb.2020.0270")</f>
        <v>http://dx.doi.org/10.1098/rspb.2020.0270</v>
      </c>
      <c r="BG395" s="2" t="s">
        <v>74</v>
      </c>
      <c r="BH395" s="2" t="s">
        <v>74</v>
      </c>
      <c r="BI395" s="2" t="s">
        <v>74</v>
      </c>
      <c r="BJ395" s="2" t="s">
        <v>74</v>
      </c>
      <c r="BK395" s="2" t="s">
        <v>74</v>
      </c>
      <c r="BL395" s="2" t="s">
        <v>74</v>
      </c>
      <c r="BM395" s="2" t="s">
        <v>74</v>
      </c>
      <c r="BN395" s="2">
        <v>32259470</v>
      </c>
      <c r="BO395" s="2" t="s">
        <v>74</v>
      </c>
      <c r="BP395" s="2" t="s">
        <v>74</v>
      </c>
      <c r="BQ395" s="2" t="s">
        <v>74</v>
      </c>
      <c r="BR395" s="2" t="s">
        <v>74</v>
      </c>
      <c r="BS395" s="2" t="s">
        <v>8284</v>
      </c>
      <c r="BT395" s="2" t="str">
        <f>HYPERLINK("https%3A%2F%2Fwww.webofscience.com%2Fwos%2Fwoscc%2Ffull-record%2FWOS:000546947600014","View Full Record in Web of Science")</f>
        <v>View Full Record in Web of Science</v>
      </c>
    </row>
    <row r="396" spans="1:72" s="2" customFormat="1" x14ac:dyDescent="0.4">
      <c r="A396" s="2" t="s">
        <v>72</v>
      </c>
      <c r="B396" s="2" t="s">
        <v>2487</v>
      </c>
      <c r="C396" s="2" t="s">
        <v>74</v>
      </c>
      <c r="D396" s="2" t="s">
        <v>74</v>
      </c>
      <c r="E396" s="2" t="s">
        <v>74</v>
      </c>
      <c r="F396" s="2" t="s">
        <v>2487</v>
      </c>
      <c r="G396" s="2" t="s">
        <v>74</v>
      </c>
      <c r="H396" s="2" t="s">
        <v>74</v>
      </c>
      <c r="I396" s="2" t="s">
        <v>2488</v>
      </c>
      <c r="J396" s="2" t="s">
        <v>119</v>
      </c>
      <c r="K396" s="2" t="s">
        <v>74</v>
      </c>
      <c r="L396" s="2" t="s">
        <v>74</v>
      </c>
      <c r="M396" s="2" t="s">
        <v>74</v>
      </c>
      <c r="N396" s="2" t="s">
        <v>74</v>
      </c>
      <c r="O396" s="2" t="s">
        <v>74</v>
      </c>
      <c r="P396" s="2" t="s">
        <v>74</v>
      </c>
      <c r="Q396" s="2" t="s">
        <v>74</v>
      </c>
      <c r="R396" s="2" t="s">
        <v>74</v>
      </c>
      <c r="S396" s="2" t="s">
        <v>74</v>
      </c>
      <c r="T396" s="2" t="s">
        <v>74</v>
      </c>
      <c r="U396" s="2" t="s">
        <v>74</v>
      </c>
      <c r="V396" s="5" t="s">
        <v>2489</v>
      </c>
      <c r="W396" s="2" t="s">
        <v>74</v>
      </c>
      <c r="X396" s="2" t="s">
        <v>74</v>
      </c>
      <c r="Y396" s="2" t="s">
        <v>74</v>
      </c>
      <c r="Z396" s="2" t="s">
        <v>74</v>
      </c>
      <c r="AA396" s="2" t="s">
        <v>2490</v>
      </c>
      <c r="AB396" s="2" t="s">
        <v>2491</v>
      </c>
      <c r="AC396" s="2" t="s">
        <v>74</v>
      </c>
      <c r="AD396" s="2" t="s">
        <v>74</v>
      </c>
      <c r="AE396" s="2" t="s">
        <v>74</v>
      </c>
      <c r="AF396" s="2" t="s">
        <v>74</v>
      </c>
      <c r="AG396" s="2" t="s">
        <v>74</v>
      </c>
      <c r="AH396" s="2" t="s">
        <v>74</v>
      </c>
      <c r="AI396" s="2" t="s">
        <v>74</v>
      </c>
      <c r="AJ396" s="2" t="s">
        <v>74</v>
      </c>
      <c r="AK396" s="2" t="s">
        <v>74</v>
      </c>
      <c r="AL396" s="2" t="s">
        <v>74</v>
      </c>
      <c r="AM396" s="2" t="s">
        <v>74</v>
      </c>
      <c r="AN396" s="2" t="s">
        <v>74</v>
      </c>
      <c r="AO396" s="2" t="s">
        <v>121</v>
      </c>
      <c r="AP396" s="2" t="s">
        <v>74</v>
      </c>
      <c r="AQ396" s="2" t="s">
        <v>74</v>
      </c>
      <c r="AR396" s="2" t="s">
        <v>74</v>
      </c>
      <c r="AS396" s="2" t="s">
        <v>74</v>
      </c>
      <c r="AT396" s="2" t="s">
        <v>2492</v>
      </c>
      <c r="AU396" s="2">
        <v>2004</v>
      </c>
      <c r="AV396" s="2">
        <v>67</v>
      </c>
      <c r="AW396" s="2">
        <v>3</v>
      </c>
      <c r="AX396" s="2" t="s">
        <v>74</v>
      </c>
      <c r="AY396" s="2" t="s">
        <v>74</v>
      </c>
      <c r="AZ396" s="2" t="s">
        <v>74</v>
      </c>
      <c r="BA396" s="2" t="s">
        <v>74</v>
      </c>
      <c r="BB396" s="2">
        <v>491</v>
      </c>
      <c r="BC396" s="2">
        <v>499</v>
      </c>
      <c r="BD396" s="2" t="s">
        <v>74</v>
      </c>
      <c r="BE396" s="2" t="s">
        <v>2493</v>
      </c>
      <c r="BF396" s="2" t="str">
        <f>HYPERLINK("http://dx.doi.org/10.1016/j.beproc.2004.08.005","http://dx.doi.org/10.1016/j.beproc.2004.08.005")</f>
        <v>http://dx.doi.org/10.1016/j.beproc.2004.08.005</v>
      </c>
      <c r="BG396" s="2" t="s">
        <v>74</v>
      </c>
      <c r="BH396" s="2" t="s">
        <v>74</v>
      </c>
      <c r="BI396" s="2" t="s">
        <v>74</v>
      </c>
      <c r="BJ396" s="2" t="s">
        <v>74</v>
      </c>
      <c r="BK396" s="2" t="s">
        <v>74</v>
      </c>
      <c r="BL396" s="2" t="s">
        <v>74</v>
      </c>
      <c r="BM396" s="2" t="s">
        <v>74</v>
      </c>
      <c r="BN396" s="2">
        <v>15518998</v>
      </c>
      <c r="BO396" s="2" t="s">
        <v>74</v>
      </c>
      <c r="BP396" s="2" t="s">
        <v>74</v>
      </c>
      <c r="BQ396" s="2" t="s">
        <v>74</v>
      </c>
      <c r="BR396" s="2" t="s">
        <v>74</v>
      </c>
      <c r="BS396" s="2" t="s">
        <v>2494</v>
      </c>
      <c r="BT396" s="2" t="str">
        <f>HYPERLINK("https%3A%2F%2Fwww.webofscience.com%2Fwos%2Fwoscc%2Ffull-record%2FWOS:000225051100016","View Full Record in Web of Science")</f>
        <v>View Full Record in Web of Science</v>
      </c>
    </row>
    <row r="397" spans="1:72" s="2" customFormat="1" x14ac:dyDescent="0.4">
      <c r="A397" s="2" t="s">
        <v>72</v>
      </c>
      <c r="B397" s="2" t="s">
        <v>2142</v>
      </c>
      <c r="C397" s="2" t="s">
        <v>74</v>
      </c>
      <c r="D397" s="2" t="s">
        <v>74</v>
      </c>
      <c r="E397" s="2" t="s">
        <v>74</v>
      </c>
      <c r="F397" s="2" t="s">
        <v>2142</v>
      </c>
      <c r="G397" s="2" t="s">
        <v>74</v>
      </c>
      <c r="H397" s="2" t="s">
        <v>74</v>
      </c>
      <c r="I397" s="2" t="s">
        <v>2143</v>
      </c>
      <c r="J397" s="2" t="s">
        <v>2144</v>
      </c>
      <c r="K397" s="2" t="s">
        <v>74</v>
      </c>
      <c r="L397" s="2" t="s">
        <v>74</v>
      </c>
      <c r="M397" s="2" t="s">
        <v>74</v>
      </c>
      <c r="N397" s="2" t="s">
        <v>74</v>
      </c>
      <c r="O397" s="2" t="s">
        <v>74</v>
      </c>
      <c r="P397" s="2" t="s">
        <v>74</v>
      </c>
      <c r="Q397" s="2" t="s">
        <v>74</v>
      </c>
      <c r="R397" s="2" t="s">
        <v>74</v>
      </c>
      <c r="S397" s="2" t="s">
        <v>74</v>
      </c>
      <c r="T397" s="2" t="s">
        <v>74</v>
      </c>
      <c r="U397" s="2" t="s">
        <v>74</v>
      </c>
      <c r="V397" s="5" t="s">
        <v>2145</v>
      </c>
      <c r="W397" s="2" t="s">
        <v>74</v>
      </c>
      <c r="X397" s="2" t="s">
        <v>74</v>
      </c>
      <c r="Y397" s="2" t="s">
        <v>74</v>
      </c>
      <c r="Z397" s="2" t="s">
        <v>74</v>
      </c>
      <c r="AA397" s="2" t="s">
        <v>74</v>
      </c>
      <c r="AB397" s="2" t="s">
        <v>74</v>
      </c>
      <c r="AC397" s="2" t="s">
        <v>74</v>
      </c>
      <c r="AD397" s="2" t="s">
        <v>74</v>
      </c>
      <c r="AE397" s="2" t="s">
        <v>74</v>
      </c>
      <c r="AF397" s="2" t="s">
        <v>74</v>
      </c>
      <c r="AG397" s="2" t="s">
        <v>74</v>
      </c>
      <c r="AH397" s="2" t="s">
        <v>74</v>
      </c>
      <c r="AI397" s="2" t="s">
        <v>74</v>
      </c>
      <c r="AJ397" s="2" t="s">
        <v>74</v>
      </c>
      <c r="AK397" s="2" t="s">
        <v>74</v>
      </c>
      <c r="AL397" s="2" t="s">
        <v>74</v>
      </c>
      <c r="AM397" s="2" t="s">
        <v>74</v>
      </c>
      <c r="AN397" s="2" t="s">
        <v>74</v>
      </c>
      <c r="AO397" s="2" t="s">
        <v>2146</v>
      </c>
      <c r="AP397" s="2" t="s">
        <v>2147</v>
      </c>
      <c r="AQ397" s="2" t="s">
        <v>74</v>
      </c>
      <c r="AR397" s="2" t="s">
        <v>74</v>
      </c>
      <c r="AS397" s="2" t="s">
        <v>74</v>
      </c>
      <c r="AT397" s="2" t="s">
        <v>74</v>
      </c>
      <c r="AU397" s="2">
        <v>1980</v>
      </c>
      <c r="AV397" s="2">
        <v>7</v>
      </c>
      <c r="AW397" s="2">
        <v>2</v>
      </c>
      <c r="AX397" s="2" t="s">
        <v>74</v>
      </c>
      <c r="AY397" s="2" t="s">
        <v>74</v>
      </c>
      <c r="AZ397" s="2" t="s">
        <v>74</v>
      </c>
      <c r="BA397" s="2" t="s">
        <v>74</v>
      </c>
      <c r="BB397" s="2">
        <v>211</v>
      </c>
      <c r="BC397" s="2">
        <v>220</v>
      </c>
      <c r="BD397" s="2" t="s">
        <v>74</v>
      </c>
      <c r="BE397" s="2" t="s">
        <v>2148</v>
      </c>
      <c r="BF397" s="2" t="str">
        <f>HYPERLINK("http://dx.doi.org/10.1080/03014223.1980.10423778","http://dx.doi.org/10.1080/03014223.1980.10423778")</f>
        <v>http://dx.doi.org/10.1080/03014223.1980.10423778</v>
      </c>
      <c r="BG397" s="2" t="s">
        <v>74</v>
      </c>
      <c r="BH397" s="2" t="s">
        <v>74</v>
      </c>
      <c r="BI397" s="2" t="s">
        <v>74</v>
      </c>
      <c r="BJ397" s="2" t="s">
        <v>74</v>
      </c>
      <c r="BK397" s="2" t="s">
        <v>74</v>
      </c>
      <c r="BL397" s="2" t="s">
        <v>74</v>
      </c>
      <c r="BM397" s="2" t="s">
        <v>74</v>
      </c>
      <c r="BN397" s="2" t="s">
        <v>74</v>
      </c>
      <c r="BO397" s="2" t="s">
        <v>74</v>
      </c>
      <c r="BP397" s="2" t="s">
        <v>74</v>
      </c>
      <c r="BQ397" s="2" t="s">
        <v>74</v>
      </c>
      <c r="BR397" s="2" t="s">
        <v>74</v>
      </c>
      <c r="BS397" s="2" t="s">
        <v>2149</v>
      </c>
      <c r="BT397" s="2" t="str">
        <f>HYPERLINK("https%3A%2F%2Fwww.webofscience.com%2Fwos%2Fwoscc%2Ffull-record%2FWOS:A1980JX22800006","View Full Record in Web of Science")</f>
        <v>View Full Record in Web of Science</v>
      </c>
    </row>
    <row r="398" spans="1:72" s="2" customFormat="1" x14ac:dyDescent="0.4">
      <c r="A398" s="2" t="s">
        <v>72</v>
      </c>
      <c r="B398" s="2" t="s">
        <v>2985</v>
      </c>
      <c r="C398" s="2" t="s">
        <v>74</v>
      </c>
      <c r="D398" s="2" t="s">
        <v>74</v>
      </c>
      <c r="E398" s="2" t="s">
        <v>74</v>
      </c>
      <c r="F398" s="2" t="s">
        <v>2986</v>
      </c>
      <c r="G398" s="2" t="s">
        <v>74</v>
      </c>
      <c r="H398" s="2" t="s">
        <v>74</v>
      </c>
      <c r="I398" s="2" t="s">
        <v>2987</v>
      </c>
      <c r="J398" s="2" t="s">
        <v>129</v>
      </c>
      <c r="K398" s="2" t="s">
        <v>74</v>
      </c>
      <c r="L398" s="2" t="s">
        <v>74</v>
      </c>
      <c r="M398" s="2" t="s">
        <v>74</v>
      </c>
      <c r="N398" s="2" t="s">
        <v>74</v>
      </c>
      <c r="O398" s="2" t="s">
        <v>74</v>
      </c>
      <c r="P398" s="2" t="s">
        <v>74</v>
      </c>
      <c r="Q398" s="2" t="s">
        <v>74</v>
      </c>
      <c r="R398" s="2" t="s">
        <v>74</v>
      </c>
      <c r="S398" s="2" t="s">
        <v>74</v>
      </c>
      <c r="T398" s="2" t="s">
        <v>74</v>
      </c>
      <c r="U398" s="2" t="s">
        <v>74</v>
      </c>
      <c r="V398" s="5" t="s">
        <v>2988</v>
      </c>
      <c r="W398" s="2" t="s">
        <v>74</v>
      </c>
      <c r="X398" s="2" t="s">
        <v>74</v>
      </c>
      <c r="Y398" s="2" t="s">
        <v>74</v>
      </c>
      <c r="Z398" s="2" t="s">
        <v>74</v>
      </c>
      <c r="AA398" s="2" t="s">
        <v>2989</v>
      </c>
      <c r="AB398" s="2" t="s">
        <v>2990</v>
      </c>
      <c r="AC398" s="2" t="s">
        <v>74</v>
      </c>
      <c r="AD398" s="2" t="s">
        <v>74</v>
      </c>
      <c r="AE398" s="2" t="s">
        <v>74</v>
      </c>
      <c r="AF398" s="2" t="s">
        <v>74</v>
      </c>
      <c r="AG398" s="2" t="s">
        <v>74</v>
      </c>
      <c r="AH398" s="2" t="s">
        <v>74</v>
      </c>
      <c r="AI398" s="2" t="s">
        <v>74</v>
      </c>
      <c r="AJ398" s="2" t="s">
        <v>74</v>
      </c>
      <c r="AK398" s="2" t="s">
        <v>74</v>
      </c>
      <c r="AL398" s="2" t="s">
        <v>74</v>
      </c>
      <c r="AM398" s="2" t="s">
        <v>74</v>
      </c>
      <c r="AN398" s="2" t="s">
        <v>74</v>
      </c>
      <c r="AO398" s="2" t="s">
        <v>132</v>
      </c>
      <c r="AP398" s="2" t="s">
        <v>133</v>
      </c>
      <c r="AQ398" s="2" t="s">
        <v>74</v>
      </c>
      <c r="AR398" s="2" t="s">
        <v>74</v>
      </c>
      <c r="AS398" s="2" t="s">
        <v>74</v>
      </c>
      <c r="AT398" s="2" t="s">
        <v>134</v>
      </c>
      <c r="AU398" s="2">
        <v>2007</v>
      </c>
      <c r="AV398" s="2">
        <v>61</v>
      </c>
      <c r="AW398" s="2">
        <v>7</v>
      </c>
      <c r="AX398" s="2" t="s">
        <v>74</v>
      </c>
      <c r="AY398" s="2" t="s">
        <v>74</v>
      </c>
      <c r="AZ398" s="2" t="s">
        <v>74</v>
      </c>
      <c r="BA398" s="2" t="s">
        <v>74</v>
      </c>
      <c r="BB398" s="2">
        <v>1121</v>
      </c>
      <c r="BC398" s="2">
        <v>1131</v>
      </c>
      <c r="BD398" s="2" t="s">
        <v>74</v>
      </c>
      <c r="BE398" s="2" t="s">
        <v>2991</v>
      </c>
      <c r="BF398" s="2" t="str">
        <f>HYPERLINK("http://dx.doi.org/10.1007/s00265-006-0345-3","http://dx.doi.org/10.1007/s00265-006-0345-3")</f>
        <v>http://dx.doi.org/10.1007/s00265-006-0345-3</v>
      </c>
      <c r="BG398" s="2" t="s">
        <v>74</v>
      </c>
      <c r="BH398" s="2" t="s">
        <v>74</v>
      </c>
      <c r="BI398" s="2" t="s">
        <v>74</v>
      </c>
      <c r="BJ398" s="2" t="s">
        <v>74</v>
      </c>
      <c r="BK398" s="2" t="s">
        <v>74</v>
      </c>
      <c r="BL398" s="2" t="s">
        <v>74</v>
      </c>
      <c r="BM398" s="2" t="s">
        <v>74</v>
      </c>
      <c r="BN398" s="2" t="s">
        <v>74</v>
      </c>
      <c r="BO398" s="2" t="s">
        <v>74</v>
      </c>
      <c r="BP398" s="2" t="s">
        <v>74</v>
      </c>
      <c r="BQ398" s="2" t="s">
        <v>74</v>
      </c>
      <c r="BR398" s="2" t="s">
        <v>74</v>
      </c>
      <c r="BS398" s="2" t="s">
        <v>2992</v>
      </c>
      <c r="BT398" s="2" t="str">
        <f>HYPERLINK("https%3A%2F%2Fwww.webofscience.com%2Fwos%2Fwoscc%2Ffull-record%2FWOS:000245519700015","View Full Record in Web of Science")</f>
        <v>View Full Record in Web of Science</v>
      </c>
    </row>
    <row r="399" spans="1:72" s="2" customFormat="1" x14ac:dyDescent="0.4">
      <c r="A399" s="2" t="s">
        <v>72</v>
      </c>
      <c r="B399" s="2" t="s">
        <v>7291</v>
      </c>
      <c r="C399" s="2" t="s">
        <v>74</v>
      </c>
      <c r="D399" s="2" t="s">
        <v>74</v>
      </c>
      <c r="E399" s="2" t="s">
        <v>74</v>
      </c>
      <c r="F399" s="2" t="s">
        <v>7291</v>
      </c>
      <c r="G399" s="2" t="s">
        <v>74</v>
      </c>
      <c r="H399" s="2" t="s">
        <v>74</v>
      </c>
      <c r="I399" s="2" t="s">
        <v>7292</v>
      </c>
      <c r="J399" s="2" t="s">
        <v>2629</v>
      </c>
      <c r="K399" s="2" t="s">
        <v>74</v>
      </c>
      <c r="L399" s="2" t="s">
        <v>74</v>
      </c>
      <c r="M399" s="2" t="s">
        <v>74</v>
      </c>
      <c r="N399" s="2" t="s">
        <v>74</v>
      </c>
      <c r="O399" s="2" t="s">
        <v>74</v>
      </c>
      <c r="P399" s="2" t="s">
        <v>74</v>
      </c>
      <c r="Q399" s="2" t="s">
        <v>74</v>
      </c>
      <c r="R399" s="2" t="s">
        <v>74</v>
      </c>
      <c r="S399" s="2" t="s">
        <v>74</v>
      </c>
      <c r="T399" s="2" t="s">
        <v>74</v>
      </c>
      <c r="U399" s="2" t="s">
        <v>74</v>
      </c>
      <c r="V399" s="5" t="s">
        <v>7293</v>
      </c>
      <c r="W399" s="2" t="s">
        <v>74</v>
      </c>
      <c r="X399" s="2" t="s">
        <v>74</v>
      </c>
      <c r="Y399" s="2" t="s">
        <v>74</v>
      </c>
      <c r="Z399" s="2" t="s">
        <v>74</v>
      </c>
      <c r="AA399" s="2" t="s">
        <v>74</v>
      </c>
      <c r="AB399" s="2" t="s">
        <v>74</v>
      </c>
      <c r="AC399" s="2" t="s">
        <v>74</v>
      </c>
      <c r="AD399" s="2" t="s">
        <v>74</v>
      </c>
      <c r="AE399" s="2" t="s">
        <v>74</v>
      </c>
      <c r="AF399" s="2" t="s">
        <v>74</v>
      </c>
      <c r="AG399" s="2" t="s">
        <v>74</v>
      </c>
      <c r="AH399" s="2" t="s">
        <v>74</v>
      </c>
      <c r="AI399" s="2" t="s">
        <v>74</v>
      </c>
      <c r="AJ399" s="2" t="s">
        <v>74</v>
      </c>
      <c r="AK399" s="2" t="s">
        <v>74</v>
      </c>
      <c r="AL399" s="2" t="s">
        <v>74</v>
      </c>
      <c r="AM399" s="2" t="s">
        <v>74</v>
      </c>
      <c r="AN399" s="2" t="s">
        <v>74</v>
      </c>
      <c r="AO399" s="2" t="s">
        <v>2632</v>
      </c>
      <c r="AP399" s="2" t="s">
        <v>74</v>
      </c>
      <c r="AQ399" s="2" t="s">
        <v>74</v>
      </c>
      <c r="AR399" s="2" t="s">
        <v>74</v>
      </c>
      <c r="AS399" s="2" t="s">
        <v>74</v>
      </c>
      <c r="AT399" s="2" t="s">
        <v>74</v>
      </c>
      <c r="AU399" s="2">
        <v>2000</v>
      </c>
      <c r="AV399" s="2">
        <v>48</v>
      </c>
      <c r="AW399" s="2">
        <v>4</v>
      </c>
      <c r="AX399" s="2" t="s">
        <v>74</v>
      </c>
      <c r="AY399" s="2" t="s">
        <v>74</v>
      </c>
      <c r="AZ399" s="2" t="s">
        <v>74</v>
      </c>
      <c r="BA399" s="2" t="s">
        <v>74</v>
      </c>
      <c r="BB399" s="2">
        <v>393</v>
      </c>
      <c r="BC399" s="2">
        <v>409</v>
      </c>
      <c r="BD399" s="2" t="s">
        <v>74</v>
      </c>
      <c r="BE399" s="2" t="s">
        <v>7294</v>
      </c>
      <c r="BF399" s="2" t="str">
        <f>HYPERLINK("http://dx.doi.org/10.1071/ZO00046","http://dx.doi.org/10.1071/ZO00046")</f>
        <v>http://dx.doi.org/10.1071/ZO00046</v>
      </c>
      <c r="BG399" s="2" t="s">
        <v>74</v>
      </c>
      <c r="BH399" s="2" t="s">
        <v>74</v>
      </c>
      <c r="BI399" s="2" t="s">
        <v>74</v>
      </c>
      <c r="BJ399" s="2" t="s">
        <v>74</v>
      </c>
      <c r="BK399" s="2" t="s">
        <v>74</v>
      </c>
      <c r="BL399" s="2" t="s">
        <v>74</v>
      </c>
      <c r="BM399" s="2" t="s">
        <v>74</v>
      </c>
      <c r="BN399" s="2" t="s">
        <v>74</v>
      </c>
      <c r="BO399" s="2" t="s">
        <v>74</v>
      </c>
      <c r="BP399" s="2" t="s">
        <v>74</v>
      </c>
      <c r="BQ399" s="2" t="s">
        <v>74</v>
      </c>
      <c r="BR399" s="2" t="s">
        <v>74</v>
      </c>
      <c r="BS399" s="2" t="s">
        <v>7295</v>
      </c>
      <c r="BT399" s="2" t="str">
        <f>HYPERLINK("https%3A%2F%2Fwww.webofscience.com%2Fwos%2Fwoscc%2Ffull-record%2FWOS:000089592900007","View Full Record in Web of Science")</f>
        <v>View Full Record in Web of Science</v>
      </c>
    </row>
    <row r="400" spans="1:72" s="2" customFormat="1" x14ac:dyDescent="0.4">
      <c r="A400" s="2" t="s">
        <v>72</v>
      </c>
      <c r="B400" s="2" t="s">
        <v>8175</v>
      </c>
      <c r="C400" s="2" t="s">
        <v>74</v>
      </c>
      <c r="D400" s="2" t="s">
        <v>74</v>
      </c>
      <c r="E400" s="2" t="s">
        <v>74</v>
      </c>
      <c r="F400" s="2" t="s">
        <v>8176</v>
      </c>
      <c r="G400" s="2" t="s">
        <v>74</v>
      </c>
      <c r="H400" s="2" t="s">
        <v>74</v>
      </c>
      <c r="I400" s="2" t="s">
        <v>8177</v>
      </c>
      <c r="J400" s="2" t="s">
        <v>8178</v>
      </c>
      <c r="K400" s="2" t="s">
        <v>74</v>
      </c>
      <c r="L400" s="2" t="s">
        <v>74</v>
      </c>
      <c r="M400" s="2" t="s">
        <v>74</v>
      </c>
      <c r="N400" s="2" t="s">
        <v>74</v>
      </c>
      <c r="O400" s="2" t="s">
        <v>74</v>
      </c>
      <c r="P400" s="2" t="s">
        <v>74</v>
      </c>
      <c r="Q400" s="2" t="s">
        <v>74</v>
      </c>
      <c r="R400" s="2" t="s">
        <v>74</v>
      </c>
      <c r="S400" s="2" t="s">
        <v>74</v>
      </c>
      <c r="T400" s="2" t="s">
        <v>74</v>
      </c>
      <c r="U400" s="2" t="s">
        <v>74</v>
      </c>
      <c r="V400" s="5" t="s">
        <v>8179</v>
      </c>
      <c r="W400" s="2" t="s">
        <v>74</v>
      </c>
      <c r="X400" s="2" t="s">
        <v>74</v>
      </c>
      <c r="Y400" s="2" t="s">
        <v>74</v>
      </c>
      <c r="Z400" s="2" t="s">
        <v>74</v>
      </c>
      <c r="AA400" s="2" t="s">
        <v>74</v>
      </c>
      <c r="AB400" s="2" t="s">
        <v>74</v>
      </c>
      <c r="AC400" s="2" t="s">
        <v>74</v>
      </c>
      <c r="AD400" s="2" t="s">
        <v>74</v>
      </c>
      <c r="AE400" s="2" t="s">
        <v>74</v>
      </c>
      <c r="AF400" s="2" t="s">
        <v>74</v>
      </c>
      <c r="AG400" s="2" t="s">
        <v>74</v>
      </c>
      <c r="AH400" s="2" t="s">
        <v>74</v>
      </c>
      <c r="AI400" s="2" t="s">
        <v>74</v>
      </c>
      <c r="AJ400" s="2" t="s">
        <v>74</v>
      </c>
      <c r="AK400" s="2" t="s">
        <v>74</v>
      </c>
      <c r="AL400" s="2" t="s">
        <v>74</v>
      </c>
      <c r="AM400" s="2" t="s">
        <v>74</v>
      </c>
      <c r="AN400" s="2" t="s">
        <v>74</v>
      </c>
      <c r="AO400" s="2" t="s">
        <v>8180</v>
      </c>
      <c r="AP400" s="2" t="s">
        <v>8181</v>
      </c>
      <c r="AQ400" s="2" t="s">
        <v>74</v>
      </c>
      <c r="AR400" s="2" t="s">
        <v>74</v>
      </c>
      <c r="AS400" s="2" t="s">
        <v>74</v>
      </c>
      <c r="AT400" s="2" t="s">
        <v>134</v>
      </c>
      <c r="AU400" s="2">
        <v>2020</v>
      </c>
      <c r="AV400" s="2">
        <v>148</v>
      </c>
      <c r="AW400" s="2" t="s">
        <v>74</v>
      </c>
      <c r="AX400" s="2" t="s">
        <v>74</v>
      </c>
      <c r="AY400" s="2" t="s">
        <v>74</v>
      </c>
      <c r="AZ400" s="2" t="s">
        <v>74</v>
      </c>
      <c r="BA400" s="2" t="s">
        <v>74</v>
      </c>
      <c r="BB400" s="2">
        <v>132</v>
      </c>
      <c r="BC400" s="2">
        <v>139</v>
      </c>
      <c r="BD400" s="2" t="s">
        <v>74</v>
      </c>
      <c r="BE400" s="2" t="s">
        <v>8182</v>
      </c>
      <c r="BF400" s="2" t="str">
        <f>HYPERLINK("http://dx.doi.org/10.1016/j.theriogenology.2020.03.004","http://dx.doi.org/10.1016/j.theriogenology.2020.03.004")</f>
        <v>http://dx.doi.org/10.1016/j.theriogenology.2020.03.004</v>
      </c>
      <c r="BG400" s="2" t="s">
        <v>74</v>
      </c>
      <c r="BH400" s="2" t="s">
        <v>74</v>
      </c>
      <c r="BI400" s="2" t="s">
        <v>74</v>
      </c>
      <c r="BJ400" s="2" t="s">
        <v>74</v>
      </c>
      <c r="BK400" s="2" t="s">
        <v>74</v>
      </c>
      <c r="BL400" s="2" t="s">
        <v>74</v>
      </c>
      <c r="BM400" s="2" t="s">
        <v>74</v>
      </c>
      <c r="BN400" s="2">
        <v>32171972</v>
      </c>
      <c r="BO400" s="2" t="s">
        <v>74</v>
      </c>
      <c r="BP400" s="2" t="s">
        <v>74</v>
      </c>
      <c r="BQ400" s="2" t="s">
        <v>74</v>
      </c>
      <c r="BR400" s="2" t="s">
        <v>74</v>
      </c>
      <c r="BS400" s="2" t="s">
        <v>8183</v>
      </c>
      <c r="BT400" s="2" t="str">
        <f>HYPERLINK("https%3A%2F%2Fwww.webofscience.com%2Fwos%2Fwoscc%2Ffull-record%2FWOS:000527365800015","View Full Record in Web of Science")</f>
        <v>View Full Record in Web of Science</v>
      </c>
    </row>
    <row r="401" spans="1:72" s="2" customFormat="1" x14ac:dyDescent="0.4">
      <c r="A401" s="2" t="s">
        <v>72</v>
      </c>
      <c r="B401" s="2" t="s">
        <v>7871</v>
      </c>
      <c r="C401" s="2" t="s">
        <v>74</v>
      </c>
      <c r="D401" s="2" t="s">
        <v>74</v>
      </c>
      <c r="E401" s="2" t="s">
        <v>74</v>
      </c>
      <c r="F401" s="2" t="s">
        <v>7871</v>
      </c>
      <c r="G401" s="2" t="s">
        <v>74</v>
      </c>
      <c r="H401" s="2" t="s">
        <v>74</v>
      </c>
      <c r="I401" s="2" t="s">
        <v>7872</v>
      </c>
      <c r="J401" s="2" t="s">
        <v>576</v>
      </c>
      <c r="K401" s="2" t="s">
        <v>74</v>
      </c>
      <c r="L401" s="2" t="s">
        <v>74</v>
      </c>
      <c r="M401" s="2" t="s">
        <v>74</v>
      </c>
      <c r="N401" s="2" t="s">
        <v>74</v>
      </c>
      <c r="O401" s="2" t="s">
        <v>74</v>
      </c>
      <c r="P401" s="2" t="s">
        <v>74</v>
      </c>
      <c r="Q401" s="2" t="s">
        <v>74</v>
      </c>
      <c r="R401" s="2" t="s">
        <v>74</v>
      </c>
      <c r="S401" s="2" t="s">
        <v>74</v>
      </c>
      <c r="T401" s="2" t="s">
        <v>74</v>
      </c>
      <c r="U401" s="2" t="s">
        <v>74</v>
      </c>
      <c r="V401" s="5" t="s">
        <v>7873</v>
      </c>
      <c r="W401" s="2" t="s">
        <v>74</v>
      </c>
      <c r="X401" s="2" t="s">
        <v>74</v>
      </c>
      <c r="Y401" s="2" t="s">
        <v>74</v>
      </c>
      <c r="Z401" s="2" t="s">
        <v>74</v>
      </c>
      <c r="AA401" s="2" t="s">
        <v>74</v>
      </c>
      <c r="AB401" s="2" t="s">
        <v>74</v>
      </c>
      <c r="AC401" s="2" t="s">
        <v>74</v>
      </c>
      <c r="AD401" s="2" t="s">
        <v>74</v>
      </c>
      <c r="AE401" s="2" t="s">
        <v>74</v>
      </c>
      <c r="AF401" s="2" t="s">
        <v>74</v>
      </c>
      <c r="AG401" s="2" t="s">
        <v>74</v>
      </c>
      <c r="AH401" s="2" t="s">
        <v>74</v>
      </c>
      <c r="AI401" s="2" t="s">
        <v>74</v>
      </c>
      <c r="AJ401" s="2" t="s">
        <v>74</v>
      </c>
      <c r="AK401" s="2" t="s">
        <v>74</v>
      </c>
      <c r="AL401" s="2" t="s">
        <v>74</v>
      </c>
      <c r="AM401" s="2" t="s">
        <v>74</v>
      </c>
      <c r="AN401" s="2" t="s">
        <v>74</v>
      </c>
      <c r="AO401" s="2" t="s">
        <v>579</v>
      </c>
      <c r="AP401" s="2" t="s">
        <v>74</v>
      </c>
      <c r="AQ401" s="2" t="s">
        <v>74</v>
      </c>
      <c r="AR401" s="2" t="s">
        <v>74</v>
      </c>
      <c r="AS401" s="2" t="s">
        <v>74</v>
      </c>
      <c r="AT401" s="2" t="s">
        <v>204</v>
      </c>
      <c r="AU401" s="2">
        <v>1994</v>
      </c>
      <c r="AV401" s="2">
        <v>8</v>
      </c>
      <c r="AW401" s="2">
        <v>4</v>
      </c>
      <c r="AX401" s="2" t="s">
        <v>74</v>
      </c>
      <c r="AY401" s="2" t="s">
        <v>74</v>
      </c>
      <c r="AZ401" s="2" t="s">
        <v>74</v>
      </c>
      <c r="BA401" s="2" t="s">
        <v>74</v>
      </c>
      <c r="BB401" s="2">
        <v>348</v>
      </c>
      <c r="BC401" s="2">
        <v>356</v>
      </c>
      <c r="BD401" s="2" t="s">
        <v>74</v>
      </c>
      <c r="BE401" s="2" t="s">
        <v>7874</v>
      </c>
      <c r="BF401" s="2" t="str">
        <f>HYPERLINK("http://dx.doi.org/10.1007/BF01238187","http://dx.doi.org/10.1007/BF01238187")</f>
        <v>http://dx.doi.org/10.1007/BF01238187</v>
      </c>
      <c r="BG401" s="2" t="s">
        <v>74</v>
      </c>
      <c r="BH401" s="2" t="s">
        <v>74</v>
      </c>
      <c r="BI401" s="2" t="s">
        <v>74</v>
      </c>
      <c r="BJ401" s="2" t="s">
        <v>74</v>
      </c>
      <c r="BK401" s="2" t="s">
        <v>74</v>
      </c>
      <c r="BL401" s="2" t="s">
        <v>74</v>
      </c>
      <c r="BM401" s="2" t="s">
        <v>74</v>
      </c>
      <c r="BN401" s="2" t="s">
        <v>74</v>
      </c>
      <c r="BO401" s="2" t="s">
        <v>74</v>
      </c>
      <c r="BP401" s="2" t="s">
        <v>74</v>
      </c>
      <c r="BQ401" s="2" t="s">
        <v>74</v>
      </c>
      <c r="BR401" s="2" t="s">
        <v>74</v>
      </c>
      <c r="BS401" s="2" t="s">
        <v>7875</v>
      </c>
      <c r="BT401" s="2" t="str">
        <f>HYPERLINK("https%3A%2F%2Fwww.webofscience.com%2Fwos%2Fwoscc%2Ffull-record%2FWOS:A1994NY27800002","View Full Record in Web of Science")</f>
        <v>View Full Record in Web of Science</v>
      </c>
    </row>
    <row r="402" spans="1:72" s="2" customFormat="1" x14ac:dyDescent="0.4">
      <c r="A402" s="2" t="s">
        <v>72</v>
      </c>
      <c r="B402" s="2" t="s">
        <v>4047</v>
      </c>
      <c r="C402" s="2" t="s">
        <v>74</v>
      </c>
      <c r="D402" s="2" t="s">
        <v>74</v>
      </c>
      <c r="E402" s="2" t="s">
        <v>74</v>
      </c>
      <c r="F402" s="2" t="s">
        <v>4048</v>
      </c>
      <c r="G402" s="2" t="s">
        <v>74</v>
      </c>
      <c r="H402" s="2" t="s">
        <v>74</v>
      </c>
      <c r="I402" s="2" t="s">
        <v>4049</v>
      </c>
      <c r="J402" s="2" t="s">
        <v>763</v>
      </c>
      <c r="K402" s="2" t="s">
        <v>74</v>
      </c>
      <c r="L402" s="2" t="s">
        <v>74</v>
      </c>
      <c r="M402" s="2" t="s">
        <v>74</v>
      </c>
      <c r="N402" s="2" t="s">
        <v>74</v>
      </c>
      <c r="O402" s="2" t="s">
        <v>74</v>
      </c>
      <c r="P402" s="2" t="s">
        <v>74</v>
      </c>
      <c r="Q402" s="2" t="s">
        <v>74</v>
      </c>
      <c r="R402" s="2" t="s">
        <v>74</v>
      </c>
      <c r="S402" s="2" t="s">
        <v>74</v>
      </c>
      <c r="T402" s="2" t="s">
        <v>74</v>
      </c>
      <c r="U402" s="2" t="s">
        <v>74</v>
      </c>
      <c r="V402" s="5" t="s">
        <v>4050</v>
      </c>
      <c r="W402" s="2" t="s">
        <v>74</v>
      </c>
      <c r="X402" s="2" t="s">
        <v>74</v>
      </c>
      <c r="Y402" s="2" t="s">
        <v>74</v>
      </c>
      <c r="Z402" s="2" t="s">
        <v>74</v>
      </c>
      <c r="AA402" s="2" t="s">
        <v>74</v>
      </c>
      <c r="AB402" s="2" t="s">
        <v>74</v>
      </c>
      <c r="AC402" s="2" t="s">
        <v>74</v>
      </c>
      <c r="AD402" s="2" t="s">
        <v>74</v>
      </c>
      <c r="AE402" s="2" t="s">
        <v>74</v>
      </c>
      <c r="AF402" s="2" t="s">
        <v>74</v>
      </c>
      <c r="AG402" s="2" t="s">
        <v>74</v>
      </c>
      <c r="AH402" s="2" t="s">
        <v>74</v>
      </c>
      <c r="AI402" s="2" t="s">
        <v>74</v>
      </c>
      <c r="AJ402" s="2" t="s">
        <v>74</v>
      </c>
      <c r="AK402" s="2" t="s">
        <v>74</v>
      </c>
      <c r="AL402" s="2" t="s">
        <v>74</v>
      </c>
      <c r="AM402" s="2" t="s">
        <v>74</v>
      </c>
      <c r="AN402" s="2" t="s">
        <v>74</v>
      </c>
      <c r="AO402" s="2" t="s">
        <v>767</v>
      </c>
      <c r="AP402" s="2" t="s">
        <v>768</v>
      </c>
      <c r="AQ402" s="2" t="s">
        <v>74</v>
      </c>
      <c r="AR402" s="2" t="s">
        <v>74</v>
      </c>
      <c r="AS402" s="2" t="s">
        <v>74</v>
      </c>
      <c r="AT402" s="2" t="s">
        <v>145</v>
      </c>
      <c r="AU402" s="2">
        <v>2013</v>
      </c>
      <c r="AV402" s="2">
        <v>216</v>
      </c>
      <c r="AW402" s="2">
        <v>15</v>
      </c>
      <c r="AX402" s="2" t="s">
        <v>74</v>
      </c>
      <c r="AY402" s="2" t="s">
        <v>74</v>
      </c>
      <c r="AZ402" s="2" t="s">
        <v>74</v>
      </c>
      <c r="BA402" s="2" t="s">
        <v>74</v>
      </c>
      <c r="BB402" s="2">
        <v>2806</v>
      </c>
      <c r="BC402" s="2">
        <v>2812</v>
      </c>
      <c r="BD402" s="2" t="s">
        <v>74</v>
      </c>
      <c r="BE402" s="2" t="s">
        <v>4051</v>
      </c>
      <c r="BF402" s="2" t="str">
        <f>HYPERLINK("http://dx.doi.org/10.1242/jeb.084889","http://dx.doi.org/10.1242/jeb.084889")</f>
        <v>http://dx.doi.org/10.1242/jeb.084889</v>
      </c>
      <c r="BG402" s="2" t="s">
        <v>74</v>
      </c>
      <c r="BH402" s="2" t="s">
        <v>74</v>
      </c>
      <c r="BI402" s="2" t="s">
        <v>74</v>
      </c>
      <c r="BJ402" s="2" t="s">
        <v>74</v>
      </c>
      <c r="BK402" s="2" t="s">
        <v>74</v>
      </c>
      <c r="BL402" s="2" t="s">
        <v>74</v>
      </c>
      <c r="BM402" s="2" t="s">
        <v>74</v>
      </c>
      <c r="BN402" s="2">
        <v>23580716</v>
      </c>
      <c r="BO402" s="2" t="s">
        <v>74</v>
      </c>
      <c r="BP402" s="2" t="s">
        <v>74</v>
      </c>
      <c r="BQ402" s="2" t="s">
        <v>74</v>
      </c>
      <c r="BR402" s="2" t="s">
        <v>74</v>
      </c>
      <c r="BS402" s="2" t="s">
        <v>4052</v>
      </c>
      <c r="BT402" s="2" t="str">
        <f>HYPERLINK("https%3A%2F%2Fwww.webofscience.com%2Fwos%2Fwoscc%2Ffull-record%2FWOS:000321614700015","View Full Record in Web of Science")</f>
        <v>View Full Record in Web of Science</v>
      </c>
    </row>
    <row r="403" spans="1:72" s="7" customFormat="1" x14ac:dyDescent="0.4">
      <c r="A403" s="2" t="s">
        <v>72</v>
      </c>
      <c r="B403" s="2" t="s">
        <v>3134</v>
      </c>
      <c r="C403" s="2" t="s">
        <v>74</v>
      </c>
      <c r="D403" s="2" t="s">
        <v>74</v>
      </c>
      <c r="E403" s="2" t="s">
        <v>74</v>
      </c>
      <c r="F403" s="2" t="s">
        <v>3135</v>
      </c>
      <c r="G403" s="2" t="s">
        <v>74</v>
      </c>
      <c r="H403" s="2" t="s">
        <v>74</v>
      </c>
      <c r="I403" s="2" t="s">
        <v>3136</v>
      </c>
      <c r="J403" s="2" t="s">
        <v>108</v>
      </c>
      <c r="K403" s="2" t="s">
        <v>74</v>
      </c>
      <c r="L403" s="2" t="s">
        <v>74</v>
      </c>
      <c r="M403" s="2" t="s">
        <v>74</v>
      </c>
      <c r="N403" s="2" t="s">
        <v>74</v>
      </c>
      <c r="O403" s="2" t="s">
        <v>74</v>
      </c>
      <c r="P403" s="2" t="s">
        <v>74</v>
      </c>
      <c r="Q403" s="2" t="s">
        <v>74</v>
      </c>
      <c r="R403" s="2" t="s">
        <v>74</v>
      </c>
      <c r="S403" s="2" t="s">
        <v>74</v>
      </c>
      <c r="T403" s="2" t="s">
        <v>74</v>
      </c>
      <c r="U403" s="2" t="s">
        <v>74</v>
      </c>
      <c r="V403" s="5" t="s">
        <v>3137</v>
      </c>
      <c r="W403" s="2" t="s">
        <v>74</v>
      </c>
      <c r="X403" s="2" t="s">
        <v>74</v>
      </c>
      <c r="Y403" s="2" t="s">
        <v>74</v>
      </c>
      <c r="Z403" s="2" t="s">
        <v>74</v>
      </c>
      <c r="AA403" s="2" t="s">
        <v>3138</v>
      </c>
      <c r="AB403" s="2" t="s">
        <v>3139</v>
      </c>
      <c r="AC403" s="2" t="s">
        <v>74</v>
      </c>
      <c r="AD403" s="2" t="s">
        <v>74</v>
      </c>
      <c r="AE403" s="2" t="s">
        <v>74</v>
      </c>
      <c r="AF403" s="2" t="s">
        <v>74</v>
      </c>
      <c r="AG403" s="2" t="s">
        <v>74</v>
      </c>
      <c r="AH403" s="2" t="s">
        <v>74</v>
      </c>
      <c r="AI403" s="2" t="s">
        <v>74</v>
      </c>
      <c r="AJ403" s="2" t="s">
        <v>74</v>
      </c>
      <c r="AK403" s="2" t="s">
        <v>74</v>
      </c>
      <c r="AL403" s="2" t="s">
        <v>74</v>
      </c>
      <c r="AM403" s="2" t="s">
        <v>74</v>
      </c>
      <c r="AN403" s="2" t="s">
        <v>74</v>
      </c>
      <c r="AO403" s="2" t="s">
        <v>111</v>
      </c>
      <c r="AP403" s="2" t="s">
        <v>74</v>
      </c>
      <c r="AQ403" s="2" t="s">
        <v>74</v>
      </c>
      <c r="AR403" s="2" t="s">
        <v>74</v>
      </c>
      <c r="AS403" s="2" t="s">
        <v>74</v>
      </c>
      <c r="AT403" s="2" t="s">
        <v>3140</v>
      </c>
      <c r="AU403" s="2">
        <v>2011</v>
      </c>
      <c r="AV403" s="2">
        <v>278</v>
      </c>
      <c r="AW403" s="2">
        <v>1720</v>
      </c>
      <c r="AX403" s="2" t="s">
        <v>74</v>
      </c>
      <c r="AY403" s="2" t="s">
        <v>74</v>
      </c>
      <c r="AZ403" s="2" t="s">
        <v>74</v>
      </c>
      <c r="BA403" s="2" t="s">
        <v>74</v>
      </c>
      <c r="BB403" s="2">
        <v>2891</v>
      </c>
      <c r="BC403" s="2">
        <v>2899</v>
      </c>
      <c r="BD403" s="2" t="s">
        <v>74</v>
      </c>
      <c r="BE403" s="2" t="s">
        <v>3141</v>
      </c>
      <c r="BF403" s="2" t="str">
        <f>HYPERLINK("http://dx.doi.org/10.1098/rspb.2011.0118","http://dx.doi.org/10.1098/rspb.2011.0118")</f>
        <v>http://dx.doi.org/10.1098/rspb.2011.0118</v>
      </c>
      <c r="BG403" s="2" t="s">
        <v>74</v>
      </c>
      <c r="BH403" s="2" t="s">
        <v>74</v>
      </c>
      <c r="BI403" s="2" t="s">
        <v>74</v>
      </c>
      <c r="BJ403" s="2" t="s">
        <v>74</v>
      </c>
      <c r="BK403" s="2" t="s">
        <v>74</v>
      </c>
      <c r="BL403" s="2" t="s">
        <v>74</v>
      </c>
      <c r="BM403" s="2" t="s">
        <v>74</v>
      </c>
      <c r="BN403" s="2">
        <v>21389031</v>
      </c>
      <c r="BO403" s="2" t="s">
        <v>74</v>
      </c>
      <c r="BP403" s="2" t="s">
        <v>74</v>
      </c>
      <c r="BQ403" s="2" t="s">
        <v>74</v>
      </c>
      <c r="BR403" s="2" t="s">
        <v>74</v>
      </c>
      <c r="BS403" s="2" t="s">
        <v>3142</v>
      </c>
      <c r="BT403" s="2" t="str">
        <f>HYPERLINK("https%3A%2F%2Fwww.webofscience.com%2Fwos%2Fwoscc%2Ffull-record%2FWOS:000294244900005","View Full Record in Web of Science")</f>
        <v>View Full Record in Web of Science</v>
      </c>
    </row>
    <row r="404" spans="1:72" s="2" customFormat="1" x14ac:dyDescent="0.4">
      <c r="A404" s="2" t="s">
        <v>72</v>
      </c>
      <c r="B404" s="2" t="s">
        <v>2873</v>
      </c>
      <c r="C404" s="2" t="s">
        <v>74</v>
      </c>
      <c r="D404" s="2" t="s">
        <v>74</v>
      </c>
      <c r="E404" s="2" t="s">
        <v>74</v>
      </c>
      <c r="F404" s="2" t="s">
        <v>2874</v>
      </c>
      <c r="G404" s="2" t="s">
        <v>74</v>
      </c>
      <c r="H404" s="2" t="s">
        <v>74</v>
      </c>
      <c r="I404" s="2" t="s">
        <v>2875</v>
      </c>
      <c r="J404" s="2" t="s">
        <v>312</v>
      </c>
      <c r="K404" s="2" t="s">
        <v>74</v>
      </c>
      <c r="L404" s="2" t="s">
        <v>74</v>
      </c>
      <c r="M404" s="2" t="s">
        <v>74</v>
      </c>
      <c r="N404" s="2" t="s">
        <v>74</v>
      </c>
      <c r="O404" s="2" t="s">
        <v>74</v>
      </c>
      <c r="P404" s="2" t="s">
        <v>74</v>
      </c>
      <c r="Q404" s="2" t="s">
        <v>74</v>
      </c>
      <c r="R404" s="2" t="s">
        <v>74</v>
      </c>
      <c r="S404" s="2" t="s">
        <v>74</v>
      </c>
      <c r="T404" s="2" t="s">
        <v>74</v>
      </c>
      <c r="U404" s="2" t="s">
        <v>74</v>
      </c>
      <c r="V404" s="5" t="s">
        <v>2876</v>
      </c>
      <c r="W404" s="2" t="s">
        <v>74</v>
      </c>
      <c r="X404" s="2" t="s">
        <v>74</v>
      </c>
      <c r="Y404" s="2" t="s">
        <v>74</v>
      </c>
      <c r="Z404" s="2" t="s">
        <v>74</v>
      </c>
      <c r="AA404" s="2" t="s">
        <v>74</v>
      </c>
      <c r="AB404" s="2" t="s">
        <v>931</v>
      </c>
      <c r="AC404" s="2" t="s">
        <v>74</v>
      </c>
      <c r="AD404" s="2" t="s">
        <v>74</v>
      </c>
      <c r="AE404" s="2" t="s">
        <v>74</v>
      </c>
      <c r="AF404" s="2" t="s">
        <v>74</v>
      </c>
      <c r="AG404" s="2" t="s">
        <v>74</v>
      </c>
      <c r="AH404" s="2" t="s">
        <v>74</v>
      </c>
      <c r="AI404" s="2" t="s">
        <v>74</v>
      </c>
      <c r="AJ404" s="2" t="s">
        <v>74</v>
      </c>
      <c r="AK404" s="2" t="s">
        <v>74</v>
      </c>
      <c r="AL404" s="2" t="s">
        <v>74</v>
      </c>
      <c r="AM404" s="2" t="s">
        <v>74</v>
      </c>
      <c r="AN404" s="2" t="s">
        <v>74</v>
      </c>
      <c r="AO404" s="2" t="s">
        <v>314</v>
      </c>
      <c r="AP404" s="2" t="s">
        <v>315</v>
      </c>
      <c r="AQ404" s="2" t="s">
        <v>74</v>
      </c>
      <c r="AR404" s="2" t="s">
        <v>74</v>
      </c>
      <c r="AS404" s="2" t="s">
        <v>74</v>
      </c>
      <c r="AT404" s="2" t="s">
        <v>1146</v>
      </c>
      <c r="AU404" s="2">
        <v>2022</v>
      </c>
      <c r="AV404" s="2">
        <v>200</v>
      </c>
      <c r="AW404" s="2">
        <v>2</v>
      </c>
      <c r="AX404" s="2" t="s">
        <v>74</v>
      </c>
      <c r="AY404" s="2" t="s">
        <v>74</v>
      </c>
      <c r="AZ404" s="2" t="s">
        <v>74</v>
      </c>
      <c r="BA404" s="2" t="s">
        <v>74</v>
      </c>
      <c r="BB404" s="2">
        <v>236</v>
      </c>
      <c r="BC404" s="2">
        <v>249</v>
      </c>
      <c r="BD404" s="2" t="s">
        <v>74</v>
      </c>
      <c r="BE404" s="2" t="s">
        <v>2877</v>
      </c>
      <c r="BF404" s="2" t="str">
        <f>HYPERLINK("http://dx.doi.org/10.1086/720267","http://dx.doi.org/10.1086/720267")</f>
        <v>http://dx.doi.org/10.1086/720267</v>
      </c>
      <c r="BG404" s="2" t="s">
        <v>74</v>
      </c>
      <c r="BH404" s="2" t="s">
        <v>307</v>
      </c>
      <c r="BI404" s="2" t="s">
        <v>74</v>
      </c>
      <c r="BJ404" s="2" t="s">
        <v>74</v>
      </c>
      <c r="BK404" s="2" t="s">
        <v>74</v>
      </c>
      <c r="BL404" s="2" t="s">
        <v>74</v>
      </c>
      <c r="BM404" s="2" t="s">
        <v>74</v>
      </c>
      <c r="BN404" s="2">
        <v>35905402</v>
      </c>
      <c r="BO404" s="2" t="s">
        <v>74</v>
      </c>
      <c r="BP404" s="2" t="s">
        <v>74</v>
      </c>
      <c r="BQ404" s="2" t="s">
        <v>74</v>
      </c>
      <c r="BR404" s="2" t="s">
        <v>74</v>
      </c>
      <c r="BS404" s="2" t="s">
        <v>2878</v>
      </c>
      <c r="BT404" s="2" t="str">
        <f>HYPERLINK("https%3A%2F%2Fwww.webofscience.com%2Fwos%2Fwoscc%2Ffull-record%2FWOS:000815766400001","View Full Record in Web of Science")</f>
        <v>View Full Record in Web of Science</v>
      </c>
    </row>
    <row r="405" spans="1:72" s="2" customFormat="1" x14ac:dyDescent="0.4">
      <c r="A405" s="2" t="s">
        <v>72</v>
      </c>
      <c r="B405" s="2" t="s">
        <v>927</v>
      </c>
      <c r="C405" s="2" t="s">
        <v>74</v>
      </c>
      <c r="D405" s="2" t="s">
        <v>74</v>
      </c>
      <c r="E405" s="2" t="s">
        <v>74</v>
      </c>
      <c r="F405" s="2" t="s">
        <v>928</v>
      </c>
      <c r="G405" s="2" t="s">
        <v>74</v>
      </c>
      <c r="H405" s="2" t="s">
        <v>74</v>
      </c>
      <c r="I405" s="2" t="s">
        <v>929</v>
      </c>
      <c r="J405" s="2" t="s">
        <v>763</v>
      </c>
      <c r="K405" s="2" t="s">
        <v>74</v>
      </c>
      <c r="L405" s="2" t="s">
        <v>74</v>
      </c>
      <c r="M405" s="2" t="s">
        <v>74</v>
      </c>
      <c r="N405" s="2" t="s">
        <v>74</v>
      </c>
      <c r="O405" s="2" t="s">
        <v>74</v>
      </c>
      <c r="P405" s="2" t="s">
        <v>74</v>
      </c>
      <c r="Q405" s="2" t="s">
        <v>74</v>
      </c>
      <c r="R405" s="2" t="s">
        <v>74</v>
      </c>
      <c r="S405" s="2" t="s">
        <v>74</v>
      </c>
      <c r="T405" s="2" t="s">
        <v>74</v>
      </c>
      <c r="U405" s="2" t="s">
        <v>74</v>
      </c>
      <c r="V405" s="5" t="s">
        <v>930</v>
      </c>
      <c r="W405" s="2" t="s">
        <v>74</v>
      </c>
      <c r="X405" s="2" t="s">
        <v>74</v>
      </c>
      <c r="Y405" s="2" t="s">
        <v>74</v>
      </c>
      <c r="Z405" s="2" t="s">
        <v>74</v>
      </c>
      <c r="AA405" s="2" t="s">
        <v>74</v>
      </c>
      <c r="AB405" s="2" t="s">
        <v>931</v>
      </c>
      <c r="AC405" s="2" t="s">
        <v>74</v>
      </c>
      <c r="AD405" s="2" t="s">
        <v>74</v>
      </c>
      <c r="AE405" s="2" t="s">
        <v>74</v>
      </c>
      <c r="AF405" s="2" t="s">
        <v>74</v>
      </c>
      <c r="AG405" s="2" t="s">
        <v>74</v>
      </c>
      <c r="AH405" s="2" t="s">
        <v>74</v>
      </c>
      <c r="AI405" s="2" t="s">
        <v>74</v>
      </c>
      <c r="AJ405" s="2" t="s">
        <v>74</v>
      </c>
      <c r="AK405" s="2" t="s">
        <v>74</v>
      </c>
      <c r="AL405" s="2" t="s">
        <v>74</v>
      </c>
      <c r="AM405" s="2" t="s">
        <v>74</v>
      </c>
      <c r="AN405" s="2" t="s">
        <v>74</v>
      </c>
      <c r="AO405" s="2" t="s">
        <v>767</v>
      </c>
      <c r="AP405" s="2" t="s">
        <v>768</v>
      </c>
      <c r="AQ405" s="2" t="s">
        <v>74</v>
      </c>
      <c r="AR405" s="2" t="s">
        <v>74</v>
      </c>
      <c r="AS405" s="2" t="s">
        <v>74</v>
      </c>
      <c r="AT405" s="2" t="s">
        <v>932</v>
      </c>
      <c r="AU405" s="2">
        <v>2017</v>
      </c>
      <c r="AV405" s="2">
        <v>220</v>
      </c>
      <c r="AW405" s="2">
        <v>12</v>
      </c>
      <c r="AX405" s="2" t="s">
        <v>74</v>
      </c>
      <c r="AY405" s="2" t="s">
        <v>74</v>
      </c>
      <c r="AZ405" s="2" t="s">
        <v>74</v>
      </c>
      <c r="BA405" s="2" t="s">
        <v>74</v>
      </c>
      <c r="BB405" s="2">
        <v>2154</v>
      </c>
      <c r="BC405" s="2">
        <v>2158</v>
      </c>
      <c r="BD405" s="2" t="s">
        <v>74</v>
      </c>
      <c r="BE405" s="2" t="s">
        <v>933</v>
      </c>
      <c r="BF405" s="2" t="str">
        <f>HYPERLINK("http://dx.doi.org/10.1242/jeb.150458","http://dx.doi.org/10.1242/jeb.150458")</f>
        <v>http://dx.doi.org/10.1242/jeb.150458</v>
      </c>
      <c r="BG405" s="2" t="s">
        <v>74</v>
      </c>
      <c r="BH405" s="2" t="s">
        <v>74</v>
      </c>
      <c r="BI405" s="2" t="s">
        <v>74</v>
      </c>
      <c r="BJ405" s="2" t="s">
        <v>74</v>
      </c>
      <c r="BK405" s="2" t="s">
        <v>74</v>
      </c>
      <c r="BL405" s="2" t="s">
        <v>74</v>
      </c>
      <c r="BM405" s="2" t="s">
        <v>74</v>
      </c>
      <c r="BN405" s="2">
        <v>28385798</v>
      </c>
      <c r="BO405" s="2" t="s">
        <v>74</v>
      </c>
      <c r="BP405" s="2" t="s">
        <v>74</v>
      </c>
      <c r="BQ405" s="2" t="s">
        <v>74</v>
      </c>
      <c r="BR405" s="2" t="s">
        <v>74</v>
      </c>
      <c r="BS405" s="2" t="s">
        <v>934</v>
      </c>
      <c r="BT405" s="2" t="str">
        <f>HYPERLINK("https%3A%2F%2Fwww.webofscience.com%2Fwos%2Fwoscc%2Ffull-record%2FWOS:000403337600009","View Full Record in Web of Science")</f>
        <v>View Full Record in Web of Science</v>
      </c>
    </row>
    <row r="406" spans="1:72" s="2" customFormat="1" x14ac:dyDescent="0.4">
      <c r="A406" s="2" t="s">
        <v>72</v>
      </c>
      <c r="B406" s="2" t="s">
        <v>5211</v>
      </c>
      <c r="C406" s="2" t="s">
        <v>74</v>
      </c>
      <c r="D406" s="2" t="s">
        <v>74</v>
      </c>
      <c r="E406" s="2" t="s">
        <v>74</v>
      </c>
      <c r="F406" s="2" t="s">
        <v>5212</v>
      </c>
      <c r="G406" s="2" t="s">
        <v>74</v>
      </c>
      <c r="H406" s="2" t="s">
        <v>74</v>
      </c>
      <c r="I406" s="2" t="s">
        <v>5213</v>
      </c>
      <c r="J406" s="2" t="s">
        <v>431</v>
      </c>
      <c r="K406" s="2" t="s">
        <v>74</v>
      </c>
      <c r="L406" s="2" t="s">
        <v>74</v>
      </c>
      <c r="M406" s="2" t="s">
        <v>74</v>
      </c>
      <c r="N406" s="2" t="s">
        <v>74</v>
      </c>
      <c r="O406" s="2" t="s">
        <v>74</v>
      </c>
      <c r="P406" s="2" t="s">
        <v>74</v>
      </c>
      <c r="Q406" s="2" t="s">
        <v>74</v>
      </c>
      <c r="R406" s="2" t="s">
        <v>74</v>
      </c>
      <c r="S406" s="2" t="s">
        <v>74</v>
      </c>
      <c r="T406" s="2" t="s">
        <v>74</v>
      </c>
      <c r="U406" s="2" t="s">
        <v>74</v>
      </c>
      <c r="V406" s="5" t="s">
        <v>5214</v>
      </c>
      <c r="W406" s="2" t="s">
        <v>74</v>
      </c>
      <c r="X406" s="2" t="s">
        <v>74</v>
      </c>
      <c r="Y406" s="2" t="s">
        <v>74</v>
      </c>
      <c r="Z406" s="2" t="s">
        <v>74</v>
      </c>
      <c r="AA406" s="2" t="s">
        <v>5215</v>
      </c>
      <c r="AB406" s="2" t="s">
        <v>5216</v>
      </c>
      <c r="AC406" s="2" t="s">
        <v>74</v>
      </c>
      <c r="AD406" s="2" t="s">
        <v>74</v>
      </c>
      <c r="AE406" s="2" t="s">
        <v>74</v>
      </c>
      <c r="AF406" s="2" t="s">
        <v>74</v>
      </c>
      <c r="AG406" s="2" t="s">
        <v>74</v>
      </c>
      <c r="AH406" s="2" t="s">
        <v>74</v>
      </c>
      <c r="AI406" s="2" t="s">
        <v>74</v>
      </c>
      <c r="AJ406" s="2" t="s">
        <v>74</v>
      </c>
      <c r="AK406" s="2" t="s">
        <v>74</v>
      </c>
      <c r="AL406" s="2" t="s">
        <v>74</v>
      </c>
      <c r="AM406" s="2" t="s">
        <v>74</v>
      </c>
      <c r="AN406" s="2" t="s">
        <v>74</v>
      </c>
      <c r="AO406" s="2" t="s">
        <v>1458</v>
      </c>
      <c r="AP406" s="2" t="s">
        <v>435</v>
      </c>
      <c r="AQ406" s="2" t="s">
        <v>74</v>
      </c>
      <c r="AR406" s="2" t="s">
        <v>74</v>
      </c>
      <c r="AS406" s="2" t="s">
        <v>74</v>
      </c>
      <c r="AT406" s="2" t="s">
        <v>633</v>
      </c>
      <c r="AU406" s="2">
        <v>2009</v>
      </c>
      <c r="AV406" s="2">
        <v>126</v>
      </c>
      <c r="AW406" s="2">
        <v>2</v>
      </c>
      <c r="AX406" s="2" t="s">
        <v>74</v>
      </c>
      <c r="AY406" s="2" t="s">
        <v>74</v>
      </c>
      <c r="AZ406" s="2" t="s">
        <v>74</v>
      </c>
      <c r="BA406" s="2" t="s">
        <v>74</v>
      </c>
      <c r="BB406" s="2">
        <v>351</v>
      </c>
      <c r="BC406" s="2">
        <v>358</v>
      </c>
      <c r="BD406" s="2" t="s">
        <v>74</v>
      </c>
      <c r="BE406" s="2" t="s">
        <v>5217</v>
      </c>
      <c r="BF406" s="2" t="str">
        <f>HYPERLINK("http://dx.doi.org/10.1525/auk.2009.08086","http://dx.doi.org/10.1525/auk.2009.08086")</f>
        <v>http://dx.doi.org/10.1525/auk.2009.08086</v>
      </c>
      <c r="BG406" s="2" t="s">
        <v>74</v>
      </c>
      <c r="BH406" s="2" t="s">
        <v>74</v>
      </c>
      <c r="BI406" s="2" t="s">
        <v>74</v>
      </c>
      <c r="BJ406" s="2" t="s">
        <v>74</v>
      </c>
      <c r="BK406" s="2" t="s">
        <v>74</v>
      </c>
      <c r="BL406" s="2" t="s">
        <v>74</v>
      </c>
      <c r="BM406" s="2" t="s">
        <v>74</v>
      </c>
      <c r="BN406" s="2" t="s">
        <v>74</v>
      </c>
      <c r="BO406" s="2" t="s">
        <v>74</v>
      </c>
      <c r="BP406" s="2" t="s">
        <v>74</v>
      </c>
      <c r="BQ406" s="2" t="s">
        <v>74</v>
      </c>
      <c r="BR406" s="2" t="s">
        <v>74</v>
      </c>
      <c r="BS406" s="2" t="s">
        <v>5218</v>
      </c>
      <c r="BT406" s="2" t="str">
        <f>HYPERLINK("https%3A%2F%2Fwww.webofscience.com%2Fwos%2Fwoscc%2Ffull-record%2FWOS:000265754300013","View Full Record in Web of Science")</f>
        <v>View Full Record in Web of Science</v>
      </c>
    </row>
    <row r="407" spans="1:72" s="2" customFormat="1" x14ac:dyDescent="0.4">
      <c r="A407" s="2" t="s">
        <v>72</v>
      </c>
      <c r="B407" s="2" t="s">
        <v>5337</v>
      </c>
      <c r="C407" s="2" t="s">
        <v>74</v>
      </c>
      <c r="D407" s="2" t="s">
        <v>74</v>
      </c>
      <c r="E407" s="2" t="s">
        <v>74</v>
      </c>
      <c r="F407" s="2" t="s">
        <v>5337</v>
      </c>
      <c r="G407" s="2" t="s">
        <v>74</v>
      </c>
      <c r="H407" s="2" t="s">
        <v>74</v>
      </c>
      <c r="I407" s="2" t="s">
        <v>5338</v>
      </c>
      <c r="J407" s="2" t="s">
        <v>129</v>
      </c>
      <c r="K407" s="2" t="s">
        <v>74</v>
      </c>
      <c r="L407" s="2" t="s">
        <v>74</v>
      </c>
      <c r="M407" s="2" t="s">
        <v>74</v>
      </c>
      <c r="N407" s="2" t="s">
        <v>74</v>
      </c>
      <c r="O407" s="2" t="s">
        <v>74</v>
      </c>
      <c r="P407" s="2" t="s">
        <v>74</v>
      </c>
      <c r="Q407" s="2" t="s">
        <v>74</v>
      </c>
      <c r="R407" s="2" t="s">
        <v>74</v>
      </c>
      <c r="S407" s="2" t="s">
        <v>74</v>
      </c>
      <c r="T407" s="2" t="s">
        <v>74</v>
      </c>
      <c r="U407" s="2" t="s">
        <v>74</v>
      </c>
      <c r="V407" s="5" t="s">
        <v>5339</v>
      </c>
      <c r="W407" s="2" t="s">
        <v>74</v>
      </c>
      <c r="X407" s="2" t="s">
        <v>74</v>
      </c>
      <c r="Y407" s="2" t="s">
        <v>74</v>
      </c>
      <c r="Z407" s="2" t="s">
        <v>74</v>
      </c>
      <c r="AA407" s="2" t="s">
        <v>74</v>
      </c>
      <c r="AB407" s="2" t="s">
        <v>74</v>
      </c>
      <c r="AC407" s="2" t="s">
        <v>74</v>
      </c>
      <c r="AD407" s="2" t="s">
        <v>74</v>
      </c>
      <c r="AE407" s="2" t="s">
        <v>74</v>
      </c>
      <c r="AF407" s="2" t="s">
        <v>74</v>
      </c>
      <c r="AG407" s="2" t="s">
        <v>74</v>
      </c>
      <c r="AH407" s="2" t="s">
        <v>74</v>
      </c>
      <c r="AI407" s="2" t="s">
        <v>74</v>
      </c>
      <c r="AJ407" s="2" t="s">
        <v>74</v>
      </c>
      <c r="AK407" s="2" t="s">
        <v>74</v>
      </c>
      <c r="AL407" s="2" t="s">
        <v>74</v>
      </c>
      <c r="AM407" s="2" t="s">
        <v>74</v>
      </c>
      <c r="AN407" s="2" t="s">
        <v>74</v>
      </c>
      <c r="AO407" s="2" t="s">
        <v>132</v>
      </c>
      <c r="AP407" s="2" t="s">
        <v>133</v>
      </c>
      <c r="AQ407" s="2" t="s">
        <v>74</v>
      </c>
      <c r="AR407" s="2" t="s">
        <v>74</v>
      </c>
      <c r="AS407" s="2" t="s">
        <v>74</v>
      </c>
      <c r="AT407" s="2" t="s">
        <v>74</v>
      </c>
      <c r="AU407" s="2">
        <v>1989</v>
      </c>
      <c r="AV407" s="2">
        <v>25</v>
      </c>
      <c r="AW407" s="2">
        <v>1</v>
      </c>
      <c r="AX407" s="2" t="s">
        <v>74</v>
      </c>
      <c r="AY407" s="2" t="s">
        <v>74</v>
      </c>
      <c r="AZ407" s="2" t="s">
        <v>74</v>
      </c>
      <c r="BA407" s="2" t="s">
        <v>74</v>
      </c>
      <c r="BB407" s="2">
        <v>49</v>
      </c>
      <c r="BC407" s="2">
        <v>56</v>
      </c>
      <c r="BD407" s="2" t="s">
        <v>74</v>
      </c>
      <c r="BE407" s="2" t="s">
        <v>5340</v>
      </c>
      <c r="BF407" s="2" t="str">
        <f>HYPERLINK("http://dx.doi.org/10.1007/BF00299710","http://dx.doi.org/10.1007/BF00299710")</f>
        <v>http://dx.doi.org/10.1007/BF00299710</v>
      </c>
      <c r="BG407" s="2" t="s">
        <v>74</v>
      </c>
      <c r="BH407" s="2" t="s">
        <v>74</v>
      </c>
      <c r="BI407" s="2" t="s">
        <v>74</v>
      </c>
      <c r="BJ407" s="2" t="s">
        <v>74</v>
      </c>
      <c r="BK407" s="2" t="s">
        <v>74</v>
      </c>
      <c r="BL407" s="2" t="s">
        <v>74</v>
      </c>
      <c r="BM407" s="2" t="s">
        <v>74</v>
      </c>
      <c r="BN407" s="2" t="s">
        <v>74</v>
      </c>
      <c r="BO407" s="2" t="s">
        <v>74</v>
      </c>
      <c r="BP407" s="2" t="s">
        <v>74</v>
      </c>
      <c r="BQ407" s="2" t="s">
        <v>74</v>
      </c>
      <c r="BR407" s="2" t="s">
        <v>74</v>
      </c>
      <c r="BS407" s="2" t="s">
        <v>5341</v>
      </c>
      <c r="BT407" s="2" t="str">
        <f>HYPERLINK("https%3A%2F%2Fwww.webofscience.com%2Fwos%2Fwoscc%2Ffull-record%2FWOS:A1989AJ00400006","View Full Record in Web of Science")</f>
        <v>View Full Record in Web of Science</v>
      </c>
    </row>
    <row r="408" spans="1:72" s="2" customFormat="1" ht="14.25" customHeight="1" x14ac:dyDescent="0.4">
      <c r="A408" s="2" t="s">
        <v>72</v>
      </c>
      <c r="B408" s="2" t="s">
        <v>5337</v>
      </c>
      <c r="C408" s="2" t="s">
        <v>74</v>
      </c>
      <c r="D408" s="2" t="s">
        <v>74</v>
      </c>
      <c r="E408" s="2" t="s">
        <v>74</v>
      </c>
      <c r="F408" s="2" t="s">
        <v>5337</v>
      </c>
      <c r="G408" s="2" t="s">
        <v>74</v>
      </c>
      <c r="H408" s="2" t="s">
        <v>74</v>
      </c>
      <c r="I408" s="2" t="s">
        <v>7139</v>
      </c>
      <c r="J408" s="2" t="s">
        <v>171</v>
      </c>
      <c r="K408" s="2" t="s">
        <v>74</v>
      </c>
      <c r="L408" s="2" t="s">
        <v>74</v>
      </c>
      <c r="M408" s="2" t="s">
        <v>74</v>
      </c>
      <c r="N408" s="2" t="s">
        <v>74</v>
      </c>
      <c r="O408" s="2" t="s">
        <v>74</v>
      </c>
      <c r="P408" s="2" t="s">
        <v>74</v>
      </c>
      <c r="Q408" s="2" t="s">
        <v>74</v>
      </c>
      <c r="R408" s="2" t="s">
        <v>74</v>
      </c>
      <c r="S408" s="2" t="s">
        <v>74</v>
      </c>
      <c r="T408" s="2" t="s">
        <v>74</v>
      </c>
      <c r="U408" s="2" t="s">
        <v>74</v>
      </c>
      <c r="V408" s="5" t="s">
        <v>7140</v>
      </c>
      <c r="W408" s="2" t="s">
        <v>74</v>
      </c>
      <c r="X408" s="2" t="s">
        <v>74</v>
      </c>
      <c r="Y408" s="2" t="s">
        <v>74</v>
      </c>
      <c r="Z408" s="2" t="s">
        <v>74</v>
      </c>
      <c r="AA408" s="2" t="s">
        <v>74</v>
      </c>
      <c r="AB408" s="2" t="s">
        <v>74</v>
      </c>
      <c r="AC408" s="2" t="s">
        <v>74</v>
      </c>
      <c r="AD408" s="2" t="s">
        <v>74</v>
      </c>
      <c r="AE408" s="2" t="s">
        <v>74</v>
      </c>
      <c r="AF408" s="2" t="s">
        <v>74</v>
      </c>
      <c r="AG408" s="2" t="s">
        <v>74</v>
      </c>
      <c r="AH408" s="2" t="s">
        <v>74</v>
      </c>
      <c r="AI408" s="2" t="s">
        <v>74</v>
      </c>
      <c r="AJ408" s="2" t="s">
        <v>74</v>
      </c>
      <c r="AK408" s="2" t="s">
        <v>74</v>
      </c>
      <c r="AL408" s="2" t="s">
        <v>74</v>
      </c>
      <c r="AM408" s="2" t="s">
        <v>74</v>
      </c>
      <c r="AN408" s="2" t="s">
        <v>74</v>
      </c>
      <c r="AO408" s="2" t="s">
        <v>173</v>
      </c>
      <c r="AP408" s="2" t="s">
        <v>174</v>
      </c>
      <c r="AQ408" s="2" t="s">
        <v>74</v>
      </c>
      <c r="AR408" s="2" t="s">
        <v>74</v>
      </c>
      <c r="AS408" s="2" t="s">
        <v>74</v>
      </c>
      <c r="AT408" s="2" t="s">
        <v>74</v>
      </c>
      <c r="AU408" s="2">
        <v>1984</v>
      </c>
      <c r="AV408" s="2">
        <v>38</v>
      </c>
      <c r="AW408" s="2">
        <v>2</v>
      </c>
      <c r="AX408" s="2" t="s">
        <v>74</v>
      </c>
      <c r="AY408" s="2" t="s">
        <v>74</v>
      </c>
      <c r="AZ408" s="2" t="s">
        <v>74</v>
      </c>
      <c r="BA408" s="2" t="s">
        <v>74</v>
      </c>
      <c r="BB408" s="2">
        <v>267</v>
      </c>
      <c r="BC408" s="2">
        <v>279</v>
      </c>
      <c r="BD408" s="2" t="s">
        <v>74</v>
      </c>
      <c r="BE408" s="2" t="s">
        <v>7141</v>
      </c>
      <c r="BF408" s="2" t="str">
        <f>HYPERLINK("http://dx.doi.org/10.2307/2408486","http://dx.doi.org/10.2307/2408486")</f>
        <v>http://dx.doi.org/10.2307/2408486</v>
      </c>
      <c r="BG408" s="2" t="s">
        <v>74</v>
      </c>
      <c r="BH408" s="2" t="s">
        <v>74</v>
      </c>
      <c r="BI408" s="2" t="s">
        <v>74</v>
      </c>
      <c r="BJ408" s="2" t="s">
        <v>74</v>
      </c>
      <c r="BK408" s="2" t="s">
        <v>74</v>
      </c>
      <c r="BL408" s="2" t="s">
        <v>74</v>
      </c>
      <c r="BM408" s="2" t="s">
        <v>74</v>
      </c>
      <c r="BN408" s="2">
        <v>28555921</v>
      </c>
      <c r="BO408" s="2" t="s">
        <v>74</v>
      </c>
      <c r="BP408" s="2" t="s">
        <v>74</v>
      </c>
      <c r="BQ408" s="2" t="s">
        <v>74</v>
      </c>
      <c r="BR408" s="2" t="s">
        <v>74</v>
      </c>
      <c r="BS408" s="2" t="s">
        <v>7142</v>
      </c>
      <c r="BT408" s="2" t="str">
        <f>HYPERLINK("https%3A%2F%2Fwww.webofscience.com%2Fwos%2Fwoscc%2Ffull-record%2FWOS:A1984SL13500004","View Full Record in Web of Science")</f>
        <v>View Full Record in Web of Science</v>
      </c>
    </row>
    <row r="409" spans="1:72" s="2" customFormat="1" x14ac:dyDescent="0.4">
      <c r="A409" s="2" t="s">
        <v>72</v>
      </c>
      <c r="B409" s="2" t="s">
        <v>1922</v>
      </c>
      <c r="C409" s="2" t="s">
        <v>74</v>
      </c>
      <c r="D409" s="2" t="s">
        <v>74</v>
      </c>
      <c r="E409" s="2" t="s">
        <v>74</v>
      </c>
      <c r="F409" s="2" t="s">
        <v>1923</v>
      </c>
      <c r="G409" s="2" t="s">
        <v>74</v>
      </c>
      <c r="H409" s="2" t="s">
        <v>74</v>
      </c>
      <c r="I409" s="2" t="s">
        <v>1924</v>
      </c>
      <c r="J409" s="2" t="s">
        <v>119</v>
      </c>
      <c r="K409" s="2" t="s">
        <v>74</v>
      </c>
      <c r="L409" s="2" t="s">
        <v>74</v>
      </c>
      <c r="M409" s="2" t="s">
        <v>74</v>
      </c>
      <c r="N409" s="2" t="s">
        <v>74</v>
      </c>
      <c r="O409" s="2" t="s">
        <v>74</v>
      </c>
      <c r="P409" s="2" t="s">
        <v>74</v>
      </c>
      <c r="Q409" s="2" t="s">
        <v>74</v>
      </c>
      <c r="R409" s="2" t="s">
        <v>74</v>
      </c>
      <c r="S409" s="2" t="s">
        <v>74</v>
      </c>
      <c r="T409" s="2" t="s">
        <v>74</v>
      </c>
      <c r="U409" s="2" t="s">
        <v>74</v>
      </c>
      <c r="V409" s="5" t="s">
        <v>1925</v>
      </c>
      <c r="W409" s="2" t="s">
        <v>74</v>
      </c>
      <c r="X409" s="2" t="s">
        <v>74</v>
      </c>
      <c r="Y409" s="2" t="s">
        <v>74</v>
      </c>
      <c r="Z409" s="2" t="s">
        <v>74</v>
      </c>
      <c r="AA409" s="2" t="s">
        <v>1926</v>
      </c>
      <c r="AB409" s="2" t="s">
        <v>1927</v>
      </c>
      <c r="AC409" s="2" t="s">
        <v>74</v>
      </c>
      <c r="AD409" s="2" t="s">
        <v>74</v>
      </c>
      <c r="AE409" s="2" t="s">
        <v>74</v>
      </c>
      <c r="AF409" s="2" t="s">
        <v>74</v>
      </c>
      <c r="AG409" s="2" t="s">
        <v>74</v>
      </c>
      <c r="AH409" s="2" t="s">
        <v>74</v>
      </c>
      <c r="AI409" s="2" t="s">
        <v>74</v>
      </c>
      <c r="AJ409" s="2" t="s">
        <v>74</v>
      </c>
      <c r="AK409" s="2" t="s">
        <v>74</v>
      </c>
      <c r="AL409" s="2" t="s">
        <v>74</v>
      </c>
      <c r="AM409" s="2" t="s">
        <v>74</v>
      </c>
      <c r="AN409" s="2" t="s">
        <v>74</v>
      </c>
      <c r="AO409" s="2" t="s">
        <v>121</v>
      </c>
      <c r="AP409" s="2" t="s">
        <v>122</v>
      </c>
      <c r="AQ409" s="2" t="s">
        <v>74</v>
      </c>
      <c r="AR409" s="2" t="s">
        <v>74</v>
      </c>
      <c r="AS409" s="2" t="s">
        <v>74</v>
      </c>
      <c r="AT409" s="2" t="s">
        <v>964</v>
      </c>
      <c r="AU409" s="2">
        <v>2018</v>
      </c>
      <c r="AV409" s="2">
        <v>147</v>
      </c>
      <c r="AW409" s="2" t="s">
        <v>74</v>
      </c>
      <c r="AX409" s="2" t="s">
        <v>74</v>
      </c>
      <c r="AY409" s="2" t="s">
        <v>74</v>
      </c>
      <c r="AZ409" s="2" t="s">
        <v>74</v>
      </c>
      <c r="BA409" s="2" t="s">
        <v>74</v>
      </c>
      <c r="BB409" s="2">
        <v>61</v>
      </c>
      <c r="BC409" s="2">
        <v>69</v>
      </c>
      <c r="BD409" s="2" t="s">
        <v>74</v>
      </c>
      <c r="BE409" s="2" t="s">
        <v>1928</v>
      </c>
      <c r="BF409" s="2" t="str">
        <f>HYPERLINK("http://dx.doi.org/10.1016/j.beproc.2017.12.015","http://dx.doi.org/10.1016/j.beproc.2017.12.015")</f>
        <v>http://dx.doi.org/10.1016/j.beproc.2017.12.015</v>
      </c>
      <c r="BG409" s="2" t="s">
        <v>74</v>
      </c>
      <c r="BH409" s="2" t="s">
        <v>74</v>
      </c>
      <c r="BI409" s="2" t="s">
        <v>74</v>
      </c>
      <c r="BJ409" s="2" t="s">
        <v>74</v>
      </c>
      <c r="BK409" s="2" t="s">
        <v>74</v>
      </c>
      <c r="BL409" s="2" t="s">
        <v>74</v>
      </c>
      <c r="BM409" s="2" t="s">
        <v>74</v>
      </c>
      <c r="BN409" s="2">
        <v>29273550</v>
      </c>
      <c r="BO409" s="2" t="s">
        <v>74</v>
      </c>
      <c r="BP409" s="2" t="s">
        <v>74</v>
      </c>
      <c r="BQ409" s="2" t="s">
        <v>74</v>
      </c>
      <c r="BR409" s="2" t="s">
        <v>74</v>
      </c>
      <c r="BS409" s="2" t="s">
        <v>1929</v>
      </c>
      <c r="BT409" s="2" t="str">
        <f>HYPERLINK("https%3A%2F%2Fwww.webofscience.com%2Fwos%2Fwoscc%2Ffull-record%2FWOS:000423645400009","View Full Record in Web of Science")</f>
        <v>View Full Record in Web of Science</v>
      </c>
    </row>
    <row r="410" spans="1:72" s="2" customFormat="1" x14ac:dyDescent="0.4">
      <c r="A410" s="2" t="s">
        <v>72</v>
      </c>
      <c r="B410" s="2" t="s">
        <v>6394</v>
      </c>
      <c r="C410" s="2" t="s">
        <v>74</v>
      </c>
      <c r="D410" s="2" t="s">
        <v>74</v>
      </c>
      <c r="E410" s="2" t="s">
        <v>74</v>
      </c>
      <c r="F410" s="2" t="s">
        <v>6394</v>
      </c>
      <c r="G410" s="2" t="s">
        <v>74</v>
      </c>
      <c r="H410" s="2" t="s">
        <v>74</v>
      </c>
      <c r="I410" s="2" t="s">
        <v>6395</v>
      </c>
      <c r="J410" s="2" t="s">
        <v>691</v>
      </c>
      <c r="K410" s="2" t="s">
        <v>74</v>
      </c>
      <c r="L410" s="2" t="s">
        <v>74</v>
      </c>
      <c r="M410" s="2" t="s">
        <v>74</v>
      </c>
      <c r="N410" s="2" t="s">
        <v>74</v>
      </c>
      <c r="O410" s="2" t="s">
        <v>74</v>
      </c>
      <c r="P410" s="2" t="s">
        <v>74</v>
      </c>
      <c r="Q410" s="2" t="s">
        <v>74</v>
      </c>
      <c r="R410" s="2" t="s">
        <v>74</v>
      </c>
      <c r="S410" s="2" t="s">
        <v>74</v>
      </c>
      <c r="T410" s="2" t="s">
        <v>74</v>
      </c>
      <c r="U410" s="2" t="s">
        <v>74</v>
      </c>
      <c r="V410" s="5" t="s">
        <v>6396</v>
      </c>
      <c r="W410" s="2" t="s">
        <v>74</v>
      </c>
      <c r="X410" s="2" t="s">
        <v>74</v>
      </c>
      <c r="Y410" s="2" t="s">
        <v>74</v>
      </c>
      <c r="Z410" s="2" t="s">
        <v>74</v>
      </c>
      <c r="AA410" s="2" t="s">
        <v>74</v>
      </c>
      <c r="AB410" s="2" t="s">
        <v>74</v>
      </c>
      <c r="AC410" s="2" t="s">
        <v>74</v>
      </c>
      <c r="AD410" s="2" t="s">
        <v>74</v>
      </c>
      <c r="AE410" s="2" t="s">
        <v>74</v>
      </c>
      <c r="AF410" s="2" t="s">
        <v>74</v>
      </c>
      <c r="AG410" s="2" t="s">
        <v>74</v>
      </c>
      <c r="AH410" s="2" t="s">
        <v>74</v>
      </c>
      <c r="AI410" s="2" t="s">
        <v>74</v>
      </c>
      <c r="AJ410" s="2" t="s">
        <v>74</v>
      </c>
      <c r="AK410" s="2" t="s">
        <v>74</v>
      </c>
      <c r="AL410" s="2" t="s">
        <v>74</v>
      </c>
      <c r="AM410" s="2" t="s">
        <v>74</v>
      </c>
      <c r="AN410" s="2" t="s">
        <v>74</v>
      </c>
      <c r="AO410" s="2" t="s">
        <v>695</v>
      </c>
      <c r="AP410" s="2" t="s">
        <v>981</v>
      </c>
      <c r="AQ410" s="2" t="s">
        <v>74</v>
      </c>
      <c r="AR410" s="2" t="s">
        <v>74</v>
      </c>
      <c r="AS410" s="2" t="s">
        <v>74</v>
      </c>
      <c r="AT410" s="2" t="s">
        <v>74</v>
      </c>
      <c r="AU410" s="2">
        <v>1985</v>
      </c>
      <c r="AV410" s="2">
        <v>34</v>
      </c>
      <c r="AW410" s="2">
        <v>3</v>
      </c>
      <c r="AX410" s="2" t="s">
        <v>74</v>
      </c>
      <c r="AY410" s="2" t="s">
        <v>74</v>
      </c>
      <c r="AZ410" s="2" t="s">
        <v>74</v>
      </c>
      <c r="BA410" s="2" t="s">
        <v>74</v>
      </c>
      <c r="BB410" s="2">
        <v>341</v>
      </c>
      <c r="BC410" s="2">
        <v>348</v>
      </c>
      <c r="BD410" s="2" t="s">
        <v>74</v>
      </c>
      <c r="BE410" s="2" t="s">
        <v>6397</v>
      </c>
      <c r="BF410" s="2" t="str">
        <f>HYPERLINK("http://dx.doi.org/10.1016/0031-9384(85)90193-3","http://dx.doi.org/10.1016/0031-9384(85)90193-3")</f>
        <v>http://dx.doi.org/10.1016/0031-9384(85)90193-3</v>
      </c>
      <c r="BG410" s="2" t="s">
        <v>74</v>
      </c>
      <c r="BH410" s="2" t="s">
        <v>74</v>
      </c>
      <c r="BI410" s="2" t="s">
        <v>74</v>
      </c>
      <c r="BJ410" s="2" t="s">
        <v>74</v>
      </c>
      <c r="BK410" s="2" t="s">
        <v>74</v>
      </c>
      <c r="BL410" s="2" t="s">
        <v>74</v>
      </c>
      <c r="BM410" s="2" t="s">
        <v>74</v>
      </c>
      <c r="BN410" s="2">
        <v>4040250</v>
      </c>
      <c r="BO410" s="2" t="s">
        <v>74</v>
      </c>
      <c r="BP410" s="2" t="s">
        <v>74</v>
      </c>
      <c r="BQ410" s="2" t="s">
        <v>74</v>
      </c>
      <c r="BR410" s="2" t="s">
        <v>74</v>
      </c>
      <c r="BS410" s="2" t="s">
        <v>6398</v>
      </c>
      <c r="BT410" s="2" t="str">
        <f>HYPERLINK("https%3A%2F%2Fwww.webofscience.com%2Fwos%2Fwoscc%2Ffull-record%2FWOS:A1985AFN3500003","View Full Record in Web of Science")</f>
        <v>View Full Record in Web of Science</v>
      </c>
    </row>
    <row r="411" spans="1:72" s="2" customFormat="1" x14ac:dyDescent="0.4">
      <c r="A411" s="2" t="s">
        <v>72</v>
      </c>
      <c r="B411" s="2" t="s">
        <v>1531</v>
      </c>
      <c r="C411" s="2" t="s">
        <v>74</v>
      </c>
      <c r="D411" s="2" t="s">
        <v>74</v>
      </c>
      <c r="E411" s="2" t="s">
        <v>74</v>
      </c>
      <c r="F411" s="2" t="s">
        <v>1531</v>
      </c>
      <c r="G411" s="2" t="s">
        <v>74</v>
      </c>
      <c r="H411" s="2" t="s">
        <v>74</v>
      </c>
      <c r="I411" s="2" t="s">
        <v>1532</v>
      </c>
      <c r="J411" s="2" t="s">
        <v>1533</v>
      </c>
      <c r="K411" s="2" t="s">
        <v>74</v>
      </c>
      <c r="L411" s="2" t="s">
        <v>74</v>
      </c>
      <c r="M411" s="2" t="s">
        <v>74</v>
      </c>
      <c r="N411" s="2" t="s">
        <v>74</v>
      </c>
      <c r="O411" s="2" t="s">
        <v>74</v>
      </c>
      <c r="P411" s="2" t="s">
        <v>74</v>
      </c>
      <c r="Q411" s="2" t="s">
        <v>74</v>
      </c>
      <c r="R411" s="2" t="s">
        <v>74</v>
      </c>
      <c r="S411" s="2" t="s">
        <v>74</v>
      </c>
      <c r="T411" s="2" t="s">
        <v>74</v>
      </c>
      <c r="U411" s="2" t="s">
        <v>74</v>
      </c>
      <c r="V411" s="5" t="s">
        <v>1534</v>
      </c>
      <c r="W411" s="2" t="s">
        <v>74</v>
      </c>
      <c r="X411" s="2" t="s">
        <v>74</v>
      </c>
      <c r="Y411" s="2" t="s">
        <v>74</v>
      </c>
      <c r="Z411" s="2" t="s">
        <v>74</v>
      </c>
      <c r="AA411" s="2" t="s">
        <v>74</v>
      </c>
      <c r="AB411" s="2" t="s">
        <v>74</v>
      </c>
      <c r="AC411" s="2" t="s">
        <v>74</v>
      </c>
      <c r="AD411" s="2" t="s">
        <v>74</v>
      </c>
      <c r="AE411" s="2" t="s">
        <v>74</v>
      </c>
      <c r="AF411" s="2" t="s">
        <v>74</v>
      </c>
      <c r="AG411" s="2" t="s">
        <v>74</v>
      </c>
      <c r="AH411" s="2" t="s">
        <v>74</v>
      </c>
      <c r="AI411" s="2" t="s">
        <v>74</v>
      </c>
      <c r="AJ411" s="2" t="s">
        <v>74</v>
      </c>
      <c r="AK411" s="2" t="s">
        <v>74</v>
      </c>
      <c r="AL411" s="2" t="s">
        <v>74</v>
      </c>
      <c r="AM411" s="2" t="s">
        <v>74</v>
      </c>
      <c r="AN411" s="2" t="s">
        <v>74</v>
      </c>
      <c r="AO411" s="2" t="s">
        <v>1535</v>
      </c>
      <c r="AP411" s="2" t="s">
        <v>1536</v>
      </c>
      <c r="AQ411" s="2" t="s">
        <v>74</v>
      </c>
      <c r="AR411" s="2" t="s">
        <v>74</v>
      </c>
      <c r="AS411" s="2" t="s">
        <v>74</v>
      </c>
      <c r="AT411" s="2" t="s">
        <v>74</v>
      </c>
      <c r="AU411" s="2">
        <v>1977</v>
      </c>
      <c r="AV411" s="2">
        <v>27</v>
      </c>
      <c r="AW411" s="2">
        <v>1</v>
      </c>
      <c r="AX411" s="2" t="s">
        <v>74</v>
      </c>
      <c r="AY411" s="2" t="s">
        <v>74</v>
      </c>
      <c r="AZ411" s="2" t="s">
        <v>74</v>
      </c>
      <c r="BA411" s="2" t="s">
        <v>74</v>
      </c>
      <c r="BB411" s="2">
        <v>5</v>
      </c>
      <c r="BC411" s="2">
        <v>15</v>
      </c>
      <c r="BD411" s="2" t="s">
        <v>74</v>
      </c>
      <c r="BE411" s="2" t="s">
        <v>1537</v>
      </c>
      <c r="BF411" s="2" t="str">
        <f>HYPERLINK("http://dx.doi.org/10.1901/jeab.1977.27-5","http://dx.doi.org/10.1901/jeab.1977.27-5")</f>
        <v>http://dx.doi.org/10.1901/jeab.1977.27-5</v>
      </c>
      <c r="BG411" s="2" t="s">
        <v>74</v>
      </c>
      <c r="BH411" s="2" t="s">
        <v>74</v>
      </c>
      <c r="BI411" s="2" t="s">
        <v>74</v>
      </c>
      <c r="BJ411" s="2" t="s">
        <v>74</v>
      </c>
      <c r="BK411" s="2" t="s">
        <v>74</v>
      </c>
      <c r="BL411" s="2" t="s">
        <v>74</v>
      </c>
      <c r="BM411" s="2" t="s">
        <v>74</v>
      </c>
      <c r="BN411" s="2">
        <v>556755</v>
      </c>
      <c r="BO411" s="2" t="s">
        <v>74</v>
      </c>
      <c r="BP411" s="2" t="s">
        <v>74</v>
      </c>
      <c r="BQ411" s="2" t="s">
        <v>74</v>
      </c>
      <c r="BR411" s="2" t="s">
        <v>74</v>
      </c>
      <c r="BS411" s="2" t="s">
        <v>1538</v>
      </c>
      <c r="BT411" s="2" t="str">
        <f>HYPERLINK("https%3A%2F%2Fwww.webofscience.com%2Fwos%2Fwoscc%2Ffull-record%2FWOS:A1977CV62300001","View Full Record in Web of Science")</f>
        <v>View Full Record in Web of Science</v>
      </c>
    </row>
    <row r="412" spans="1:72" s="2" customFormat="1" x14ac:dyDescent="0.4">
      <c r="A412" s="2" t="s">
        <v>72</v>
      </c>
      <c r="B412" s="2" t="s">
        <v>1875</v>
      </c>
      <c r="C412" s="2" t="s">
        <v>74</v>
      </c>
      <c r="D412" s="2" t="s">
        <v>74</v>
      </c>
      <c r="E412" s="2" t="s">
        <v>74</v>
      </c>
      <c r="F412" s="2" t="s">
        <v>1876</v>
      </c>
      <c r="G412" s="2" t="s">
        <v>74</v>
      </c>
      <c r="H412" s="2" t="s">
        <v>74</v>
      </c>
      <c r="I412" s="2" t="s">
        <v>1877</v>
      </c>
      <c r="J412" s="2" t="s">
        <v>1878</v>
      </c>
      <c r="K412" s="2" t="s">
        <v>74</v>
      </c>
      <c r="L412" s="2" t="s">
        <v>74</v>
      </c>
      <c r="M412" s="2" t="s">
        <v>74</v>
      </c>
      <c r="N412" s="2" t="s">
        <v>74</v>
      </c>
      <c r="O412" s="2" t="s">
        <v>74</v>
      </c>
      <c r="P412" s="2" t="s">
        <v>74</v>
      </c>
      <c r="Q412" s="2" t="s">
        <v>74</v>
      </c>
      <c r="R412" s="2" t="s">
        <v>74</v>
      </c>
      <c r="S412" s="2" t="s">
        <v>74</v>
      </c>
      <c r="T412" s="2" t="s">
        <v>74</v>
      </c>
      <c r="U412" s="2" t="s">
        <v>74</v>
      </c>
      <c r="V412" s="5" t="s">
        <v>1879</v>
      </c>
      <c r="W412" s="2" t="s">
        <v>74</v>
      </c>
      <c r="X412" s="2" t="s">
        <v>74</v>
      </c>
      <c r="Y412" s="2" t="s">
        <v>74</v>
      </c>
      <c r="Z412" s="2" t="s">
        <v>74</v>
      </c>
      <c r="AA412" s="2" t="s">
        <v>1880</v>
      </c>
      <c r="AB412" s="2" t="s">
        <v>1881</v>
      </c>
      <c r="AC412" s="2" t="s">
        <v>74</v>
      </c>
      <c r="AD412" s="2" t="s">
        <v>74</v>
      </c>
      <c r="AE412" s="2" t="s">
        <v>74</v>
      </c>
      <c r="AF412" s="2" t="s">
        <v>74</v>
      </c>
      <c r="AG412" s="2" t="s">
        <v>74</v>
      </c>
      <c r="AH412" s="2" t="s">
        <v>74</v>
      </c>
      <c r="AI412" s="2" t="s">
        <v>74</v>
      </c>
      <c r="AJ412" s="2" t="s">
        <v>74</v>
      </c>
      <c r="AK412" s="2" t="s">
        <v>74</v>
      </c>
      <c r="AL412" s="2" t="s">
        <v>74</v>
      </c>
      <c r="AM412" s="2" t="s">
        <v>74</v>
      </c>
      <c r="AN412" s="2" t="s">
        <v>74</v>
      </c>
      <c r="AO412" s="2" t="s">
        <v>1882</v>
      </c>
      <c r="AP412" s="2" t="s">
        <v>1883</v>
      </c>
      <c r="AQ412" s="2" t="s">
        <v>74</v>
      </c>
      <c r="AR412" s="2" t="s">
        <v>74</v>
      </c>
      <c r="AS412" s="2" t="s">
        <v>74</v>
      </c>
      <c r="AT412" s="2" t="s">
        <v>964</v>
      </c>
      <c r="AU412" s="2">
        <v>2016</v>
      </c>
      <c r="AV412" s="2">
        <v>141</v>
      </c>
      <c r="AW412" s="2" t="s">
        <v>74</v>
      </c>
      <c r="AX412" s="2" t="s">
        <v>74</v>
      </c>
      <c r="AY412" s="2" t="s">
        <v>74</v>
      </c>
      <c r="AZ412" s="2" t="s">
        <v>74</v>
      </c>
      <c r="BA412" s="2" t="s">
        <v>74</v>
      </c>
      <c r="BB412" s="2">
        <v>18</v>
      </c>
      <c r="BC412" s="2">
        <v>27</v>
      </c>
      <c r="BD412" s="2" t="s">
        <v>74</v>
      </c>
      <c r="BE412" s="2" t="s">
        <v>1884</v>
      </c>
      <c r="BF412" s="2" t="str">
        <f>HYPERLINK("http://dx.doi.org/10.1016/j.pbb.2015.11.011","http://dx.doi.org/10.1016/j.pbb.2015.11.011")</f>
        <v>http://dx.doi.org/10.1016/j.pbb.2015.11.011</v>
      </c>
      <c r="BG412" s="2" t="s">
        <v>74</v>
      </c>
      <c r="BH412" s="2" t="s">
        <v>74</v>
      </c>
      <c r="BI412" s="2" t="s">
        <v>74</v>
      </c>
      <c r="BJ412" s="2" t="s">
        <v>74</v>
      </c>
      <c r="BK412" s="2" t="s">
        <v>74</v>
      </c>
      <c r="BL412" s="2" t="s">
        <v>74</v>
      </c>
      <c r="BM412" s="2" t="s">
        <v>74</v>
      </c>
      <c r="BN412" s="2">
        <v>26631619</v>
      </c>
      <c r="BO412" s="2" t="s">
        <v>74</v>
      </c>
      <c r="BP412" s="2" t="s">
        <v>74</v>
      </c>
      <c r="BQ412" s="2" t="s">
        <v>74</v>
      </c>
      <c r="BR412" s="2" t="s">
        <v>74</v>
      </c>
      <c r="BS412" s="2" t="s">
        <v>1885</v>
      </c>
      <c r="BT412" s="2" t="str">
        <f>HYPERLINK("https%3A%2F%2Fwww.webofscience.com%2Fwos%2Fwoscc%2Ffull-record%2FWOS:000369466100003","View Full Record in Web of Science")</f>
        <v>View Full Record in Web of Science</v>
      </c>
    </row>
    <row r="413" spans="1:72" s="2" customFormat="1" x14ac:dyDescent="0.4">
      <c r="A413" s="2" t="s">
        <v>72</v>
      </c>
      <c r="B413" s="2" t="s">
        <v>6715</v>
      </c>
      <c r="C413" s="2" t="s">
        <v>74</v>
      </c>
      <c r="D413" s="2" t="s">
        <v>74</v>
      </c>
      <c r="E413" s="2" t="s">
        <v>74</v>
      </c>
      <c r="F413" s="2" t="s">
        <v>6715</v>
      </c>
      <c r="G413" s="2" t="s">
        <v>74</v>
      </c>
      <c r="H413" s="2" t="s">
        <v>74</v>
      </c>
      <c r="I413" s="2" t="s">
        <v>6716</v>
      </c>
      <c r="J413" s="2" t="s">
        <v>2087</v>
      </c>
      <c r="K413" s="2" t="s">
        <v>74</v>
      </c>
      <c r="L413" s="2" t="s">
        <v>74</v>
      </c>
      <c r="M413" s="2" t="s">
        <v>74</v>
      </c>
      <c r="N413" s="2" t="s">
        <v>74</v>
      </c>
      <c r="O413" s="2" t="s">
        <v>74</v>
      </c>
      <c r="P413" s="2" t="s">
        <v>74</v>
      </c>
      <c r="Q413" s="2" t="s">
        <v>74</v>
      </c>
      <c r="R413" s="2" t="s">
        <v>74</v>
      </c>
      <c r="S413" s="2" t="s">
        <v>74</v>
      </c>
      <c r="T413" s="2" t="s">
        <v>74</v>
      </c>
      <c r="U413" s="2" t="s">
        <v>74</v>
      </c>
      <c r="V413" s="5" t="s">
        <v>6717</v>
      </c>
      <c r="W413" s="2" t="s">
        <v>74</v>
      </c>
      <c r="X413" s="2" t="s">
        <v>74</v>
      </c>
      <c r="Y413" s="2" t="s">
        <v>74</v>
      </c>
      <c r="Z413" s="2" t="s">
        <v>74</v>
      </c>
      <c r="AA413" s="2" t="s">
        <v>6718</v>
      </c>
      <c r="AB413" s="2" t="s">
        <v>6719</v>
      </c>
      <c r="AC413" s="2" t="s">
        <v>74</v>
      </c>
      <c r="AD413" s="2" t="s">
        <v>74</v>
      </c>
      <c r="AE413" s="2" t="s">
        <v>74</v>
      </c>
      <c r="AF413" s="2" t="s">
        <v>74</v>
      </c>
      <c r="AG413" s="2" t="s">
        <v>74</v>
      </c>
      <c r="AH413" s="2" t="s">
        <v>74</v>
      </c>
      <c r="AI413" s="2" t="s">
        <v>74</v>
      </c>
      <c r="AJ413" s="2" t="s">
        <v>74</v>
      </c>
      <c r="AK413" s="2" t="s">
        <v>74</v>
      </c>
      <c r="AL413" s="2" t="s">
        <v>74</v>
      </c>
      <c r="AM413" s="2" t="s">
        <v>74</v>
      </c>
      <c r="AN413" s="2" t="s">
        <v>74</v>
      </c>
      <c r="AO413" s="2" t="s">
        <v>2089</v>
      </c>
      <c r="AP413" s="2" t="s">
        <v>6720</v>
      </c>
      <c r="AQ413" s="2" t="s">
        <v>74</v>
      </c>
      <c r="AR413" s="2" t="s">
        <v>74</v>
      </c>
      <c r="AS413" s="2" t="s">
        <v>74</v>
      </c>
      <c r="AT413" s="2" t="s">
        <v>74</v>
      </c>
      <c r="AU413" s="2">
        <v>1995</v>
      </c>
      <c r="AV413" s="2">
        <v>2</v>
      </c>
      <c r="AW413" s="2">
        <v>1</v>
      </c>
      <c r="AX413" s="2" t="s">
        <v>74</v>
      </c>
      <c r="AY413" s="2" t="s">
        <v>74</v>
      </c>
      <c r="AZ413" s="2" t="s">
        <v>74</v>
      </c>
      <c r="BA413" s="2" t="s">
        <v>74</v>
      </c>
      <c r="BB413" s="2">
        <v>28</v>
      </c>
      <c r="BC413" s="2">
        <v>33</v>
      </c>
      <c r="BD413" s="2" t="s">
        <v>74</v>
      </c>
      <c r="BE413" s="2" t="s">
        <v>6721</v>
      </c>
      <c r="BF413" s="2" t="str">
        <f>HYPERLINK("http://dx.doi.org/10.1080/11956860.1995.11682265","http://dx.doi.org/10.1080/11956860.1995.11682265")</f>
        <v>http://dx.doi.org/10.1080/11956860.1995.11682265</v>
      </c>
      <c r="BG413" s="2" t="s">
        <v>74</v>
      </c>
      <c r="BH413" s="2" t="s">
        <v>74</v>
      </c>
      <c r="BI413" s="2" t="s">
        <v>74</v>
      </c>
      <c r="BJ413" s="2" t="s">
        <v>74</v>
      </c>
      <c r="BK413" s="2" t="s">
        <v>74</v>
      </c>
      <c r="BL413" s="2" t="s">
        <v>74</v>
      </c>
      <c r="BM413" s="2" t="s">
        <v>74</v>
      </c>
      <c r="BN413" s="2" t="s">
        <v>74</v>
      </c>
      <c r="BO413" s="2" t="s">
        <v>74</v>
      </c>
      <c r="BP413" s="2" t="s">
        <v>74</v>
      </c>
      <c r="BQ413" s="2" t="s">
        <v>74</v>
      </c>
      <c r="BR413" s="2" t="s">
        <v>74</v>
      </c>
      <c r="BS413" s="2" t="s">
        <v>6722</v>
      </c>
      <c r="BT413" s="2" t="str">
        <f>HYPERLINK("https%3A%2F%2Fwww.webofscience.com%2Fwos%2Fwoscc%2Ffull-record%2FWOS:A1995TF50700003","View Full Record in Web of Science")</f>
        <v>View Full Record in Web of Science</v>
      </c>
    </row>
    <row r="414" spans="1:72" s="2" customFormat="1" x14ac:dyDescent="0.4">
      <c r="A414" s="2" t="s">
        <v>72</v>
      </c>
      <c r="B414" s="2" t="s">
        <v>8379</v>
      </c>
      <c r="C414" s="2" t="s">
        <v>74</v>
      </c>
      <c r="D414" s="2" t="s">
        <v>74</v>
      </c>
      <c r="E414" s="2" t="s">
        <v>74</v>
      </c>
      <c r="F414" s="2" t="s">
        <v>8380</v>
      </c>
      <c r="G414" s="2" t="s">
        <v>74</v>
      </c>
      <c r="H414" s="2" t="s">
        <v>74</v>
      </c>
      <c r="I414" s="2" t="s">
        <v>8381</v>
      </c>
      <c r="J414" s="2" t="s">
        <v>8382</v>
      </c>
      <c r="K414" s="2" t="s">
        <v>74</v>
      </c>
      <c r="L414" s="2" t="s">
        <v>74</v>
      </c>
      <c r="M414" s="2" t="s">
        <v>74</v>
      </c>
      <c r="N414" s="2" t="s">
        <v>74</v>
      </c>
      <c r="O414" s="2" t="s">
        <v>74</v>
      </c>
      <c r="P414" s="2" t="s">
        <v>74</v>
      </c>
      <c r="Q414" s="2" t="s">
        <v>74</v>
      </c>
      <c r="R414" s="2" t="s">
        <v>74</v>
      </c>
      <c r="S414" s="2" t="s">
        <v>74</v>
      </c>
      <c r="T414" s="2" t="s">
        <v>74</v>
      </c>
      <c r="U414" s="2" t="s">
        <v>74</v>
      </c>
      <c r="V414" s="5" t="s">
        <v>8383</v>
      </c>
      <c r="W414" s="2" t="s">
        <v>74</v>
      </c>
      <c r="X414" s="2" t="s">
        <v>74</v>
      </c>
      <c r="Y414" s="2" t="s">
        <v>74</v>
      </c>
      <c r="Z414" s="2" t="s">
        <v>74</v>
      </c>
      <c r="AA414" s="2" t="s">
        <v>8384</v>
      </c>
      <c r="AB414" s="2" t="s">
        <v>8385</v>
      </c>
      <c r="AC414" s="2" t="s">
        <v>74</v>
      </c>
      <c r="AD414" s="2" t="s">
        <v>74</v>
      </c>
      <c r="AE414" s="2" t="s">
        <v>74</v>
      </c>
      <c r="AF414" s="2" t="s">
        <v>74</v>
      </c>
      <c r="AG414" s="2" t="s">
        <v>74</v>
      </c>
      <c r="AH414" s="2" t="s">
        <v>74</v>
      </c>
      <c r="AI414" s="2" t="s">
        <v>74</v>
      </c>
      <c r="AJ414" s="2" t="s">
        <v>74</v>
      </c>
      <c r="AK414" s="2" t="s">
        <v>74</v>
      </c>
      <c r="AL414" s="2" t="s">
        <v>74</v>
      </c>
      <c r="AM414" s="2" t="s">
        <v>74</v>
      </c>
      <c r="AN414" s="2" t="s">
        <v>74</v>
      </c>
      <c r="AO414" s="2" t="s">
        <v>8386</v>
      </c>
      <c r="AP414" s="2" t="s">
        <v>8387</v>
      </c>
      <c r="AQ414" s="2" t="s">
        <v>74</v>
      </c>
      <c r="AR414" s="2" t="s">
        <v>74</v>
      </c>
      <c r="AS414" s="2" t="s">
        <v>74</v>
      </c>
      <c r="AT414" s="2" t="s">
        <v>352</v>
      </c>
      <c r="AU414" s="2">
        <v>2021</v>
      </c>
      <c r="AV414" s="2">
        <v>35</v>
      </c>
      <c r="AW414" s="2">
        <v>3</v>
      </c>
      <c r="AX414" s="2" t="s">
        <v>74</v>
      </c>
      <c r="AY414" s="2" t="s">
        <v>74</v>
      </c>
      <c r="AZ414" s="2" t="s">
        <v>74</v>
      </c>
      <c r="BA414" s="2" t="s">
        <v>74</v>
      </c>
      <c r="BB414" s="2">
        <v>313</v>
      </c>
      <c r="BC414" s="2">
        <v>324</v>
      </c>
      <c r="BD414" s="2" t="s">
        <v>74</v>
      </c>
      <c r="BE414" s="2" t="s">
        <v>8388</v>
      </c>
      <c r="BF414" s="2" t="str">
        <f>HYPERLINK("http://dx.doi.org/10.1647/20-00009","http://dx.doi.org/10.1647/20-00009")</f>
        <v>http://dx.doi.org/10.1647/20-00009</v>
      </c>
      <c r="BG414" s="2" t="s">
        <v>74</v>
      </c>
      <c r="BH414" s="2" t="s">
        <v>74</v>
      </c>
      <c r="BI414" s="2" t="s">
        <v>74</v>
      </c>
      <c r="BJ414" s="2" t="s">
        <v>74</v>
      </c>
      <c r="BK414" s="2" t="s">
        <v>74</v>
      </c>
      <c r="BL414" s="2" t="s">
        <v>74</v>
      </c>
      <c r="BM414" s="2" t="s">
        <v>74</v>
      </c>
      <c r="BN414" s="2">
        <v>34677030</v>
      </c>
      <c r="BO414" s="2" t="s">
        <v>74</v>
      </c>
      <c r="BP414" s="2" t="s">
        <v>74</v>
      </c>
      <c r="BQ414" s="2" t="s">
        <v>74</v>
      </c>
      <c r="BR414" s="2" t="s">
        <v>74</v>
      </c>
      <c r="BS414" s="2" t="s">
        <v>8389</v>
      </c>
      <c r="BT414" s="2" t="str">
        <f>HYPERLINK("https%3A%2F%2Fwww.webofscience.com%2Fwos%2Fwoscc%2Ffull-record%2FWOS:000704164200007","View Full Record in Web of Science")</f>
        <v>View Full Record in Web of Science</v>
      </c>
    </row>
    <row r="415" spans="1:72" s="2" customFormat="1" x14ac:dyDescent="0.4">
      <c r="A415" s="2" t="s">
        <v>72</v>
      </c>
      <c r="B415" s="2" t="s">
        <v>4084</v>
      </c>
      <c r="C415" s="2" t="s">
        <v>74</v>
      </c>
      <c r="D415" s="2" t="s">
        <v>74</v>
      </c>
      <c r="E415" s="2" t="s">
        <v>74</v>
      </c>
      <c r="F415" s="2" t="s">
        <v>4084</v>
      </c>
      <c r="G415" s="2" t="s">
        <v>74</v>
      </c>
      <c r="H415" s="2" t="s">
        <v>74</v>
      </c>
      <c r="I415" s="2" t="s">
        <v>4085</v>
      </c>
      <c r="J415" s="2" t="s">
        <v>3605</v>
      </c>
      <c r="K415" s="2" t="s">
        <v>74</v>
      </c>
      <c r="L415" s="2" t="s">
        <v>74</v>
      </c>
      <c r="M415" s="2" t="s">
        <v>74</v>
      </c>
      <c r="N415" s="2" t="s">
        <v>74</v>
      </c>
      <c r="O415" s="2" t="s">
        <v>74</v>
      </c>
      <c r="P415" s="2" t="s">
        <v>74</v>
      </c>
      <c r="Q415" s="2" t="s">
        <v>74</v>
      </c>
      <c r="R415" s="2" t="s">
        <v>74</v>
      </c>
      <c r="S415" s="2" t="s">
        <v>74</v>
      </c>
      <c r="T415" s="2" t="s">
        <v>74</v>
      </c>
      <c r="U415" s="2" t="s">
        <v>74</v>
      </c>
      <c r="V415" s="5" t="s">
        <v>4086</v>
      </c>
      <c r="W415" s="2" t="s">
        <v>74</v>
      </c>
      <c r="X415" s="2" t="s">
        <v>74</v>
      </c>
      <c r="Y415" s="2" t="s">
        <v>74</v>
      </c>
      <c r="Z415" s="2" t="s">
        <v>74</v>
      </c>
      <c r="AA415" s="2" t="s">
        <v>74</v>
      </c>
      <c r="AB415" s="2" t="s">
        <v>74</v>
      </c>
      <c r="AC415" s="2" t="s">
        <v>74</v>
      </c>
      <c r="AD415" s="2" t="s">
        <v>74</v>
      </c>
      <c r="AE415" s="2" t="s">
        <v>74</v>
      </c>
      <c r="AF415" s="2" t="s">
        <v>74</v>
      </c>
      <c r="AG415" s="2" t="s">
        <v>74</v>
      </c>
      <c r="AH415" s="2" t="s">
        <v>74</v>
      </c>
      <c r="AI415" s="2" t="s">
        <v>74</v>
      </c>
      <c r="AJ415" s="2" t="s">
        <v>74</v>
      </c>
      <c r="AK415" s="2" t="s">
        <v>74</v>
      </c>
      <c r="AL415" s="2" t="s">
        <v>74</v>
      </c>
      <c r="AM415" s="2" t="s">
        <v>74</v>
      </c>
      <c r="AN415" s="2" t="s">
        <v>74</v>
      </c>
      <c r="AO415" s="2" t="s">
        <v>3607</v>
      </c>
      <c r="AP415" s="2" t="s">
        <v>3608</v>
      </c>
      <c r="AQ415" s="2" t="s">
        <v>74</v>
      </c>
      <c r="AR415" s="2" t="s">
        <v>74</v>
      </c>
      <c r="AS415" s="2" t="s">
        <v>74</v>
      </c>
      <c r="AT415" s="2" t="s">
        <v>74</v>
      </c>
      <c r="AU415" s="2">
        <v>1965</v>
      </c>
      <c r="AV415" s="2">
        <v>45</v>
      </c>
      <c r="AW415" s="2">
        <v>3</v>
      </c>
      <c r="AX415" s="2" t="s">
        <v>74</v>
      </c>
      <c r="AY415" s="2" t="s">
        <v>74</v>
      </c>
      <c r="AZ415" s="2" t="s">
        <v>74</v>
      </c>
      <c r="BA415" s="2" t="s">
        <v>74</v>
      </c>
      <c r="BB415" s="2">
        <v>773</v>
      </c>
      <c r="BC415" s="2" t="s">
        <v>726</v>
      </c>
      <c r="BD415" s="2" t="s">
        <v>74</v>
      </c>
      <c r="BE415" s="2" t="s">
        <v>4087</v>
      </c>
      <c r="BF415" s="2" t="str">
        <f>HYPERLINK("http://dx.doi.org/10.1017/S0025315400016581","http://dx.doi.org/10.1017/S0025315400016581")</f>
        <v>http://dx.doi.org/10.1017/S0025315400016581</v>
      </c>
      <c r="BG415" s="2" t="s">
        <v>74</v>
      </c>
      <c r="BH415" s="2" t="s">
        <v>74</v>
      </c>
      <c r="BI415" s="2" t="s">
        <v>74</v>
      </c>
      <c r="BJ415" s="2" t="s">
        <v>74</v>
      </c>
      <c r="BK415" s="2" t="s">
        <v>74</v>
      </c>
      <c r="BL415" s="2" t="s">
        <v>74</v>
      </c>
      <c r="BM415" s="2" t="s">
        <v>74</v>
      </c>
      <c r="BN415" s="2" t="s">
        <v>74</v>
      </c>
      <c r="BO415" s="2" t="s">
        <v>74</v>
      </c>
      <c r="BP415" s="2" t="s">
        <v>74</v>
      </c>
      <c r="BQ415" s="2" t="s">
        <v>74</v>
      </c>
      <c r="BR415" s="2" t="s">
        <v>74</v>
      </c>
      <c r="BS415" s="2" t="s">
        <v>4088</v>
      </c>
      <c r="BT415" s="2" t="str">
        <f>HYPERLINK("https%3A%2F%2Fwww.webofscience.com%2Fwos%2Fwoscc%2Ffull-record%2FWOS:A19657014900017","View Full Record in Web of Science")</f>
        <v>View Full Record in Web of Science</v>
      </c>
    </row>
    <row r="416" spans="1:72" s="2" customFormat="1" x14ac:dyDescent="0.4">
      <c r="A416" s="2" t="s">
        <v>72</v>
      </c>
      <c r="B416" s="2" t="s">
        <v>6789</v>
      </c>
      <c r="C416" s="2" t="s">
        <v>74</v>
      </c>
      <c r="D416" s="2" t="s">
        <v>74</v>
      </c>
      <c r="E416" s="2" t="s">
        <v>74</v>
      </c>
      <c r="F416" s="2" t="s">
        <v>6789</v>
      </c>
      <c r="G416" s="2" t="s">
        <v>74</v>
      </c>
      <c r="H416" s="2" t="s">
        <v>74</v>
      </c>
      <c r="I416" s="2" t="s">
        <v>6790</v>
      </c>
      <c r="J416" s="2" t="s">
        <v>140</v>
      </c>
      <c r="K416" s="2" t="s">
        <v>74</v>
      </c>
      <c r="L416" s="2" t="s">
        <v>74</v>
      </c>
      <c r="M416" s="2" t="s">
        <v>74</v>
      </c>
      <c r="N416" s="2" t="s">
        <v>74</v>
      </c>
      <c r="O416" s="2" t="s">
        <v>74</v>
      </c>
      <c r="P416" s="2" t="s">
        <v>74</v>
      </c>
      <c r="Q416" s="2" t="s">
        <v>74</v>
      </c>
      <c r="R416" s="2" t="s">
        <v>74</v>
      </c>
      <c r="S416" s="2" t="s">
        <v>74</v>
      </c>
      <c r="T416" s="2" t="s">
        <v>74</v>
      </c>
      <c r="U416" s="2" t="s">
        <v>74</v>
      </c>
      <c r="V416" s="5" t="s">
        <v>6791</v>
      </c>
      <c r="W416" s="2" t="s">
        <v>74</v>
      </c>
      <c r="X416" s="2" t="s">
        <v>74</v>
      </c>
      <c r="Y416" s="2" t="s">
        <v>74</v>
      </c>
      <c r="Z416" s="2" t="s">
        <v>74</v>
      </c>
      <c r="AA416" s="2" t="s">
        <v>74</v>
      </c>
      <c r="AB416" s="2" t="s">
        <v>74</v>
      </c>
      <c r="AC416" s="2" t="s">
        <v>74</v>
      </c>
      <c r="AD416" s="2" t="s">
        <v>74</v>
      </c>
      <c r="AE416" s="2" t="s">
        <v>74</v>
      </c>
      <c r="AF416" s="2" t="s">
        <v>74</v>
      </c>
      <c r="AG416" s="2" t="s">
        <v>74</v>
      </c>
      <c r="AH416" s="2" t="s">
        <v>74</v>
      </c>
      <c r="AI416" s="2" t="s">
        <v>74</v>
      </c>
      <c r="AJ416" s="2" t="s">
        <v>74</v>
      </c>
      <c r="AK416" s="2" t="s">
        <v>74</v>
      </c>
      <c r="AL416" s="2" t="s">
        <v>74</v>
      </c>
      <c r="AM416" s="2" t="s">
        <v>74</v>
      </c>
      <c r="AN416" s="2" t="s">
        <v>74</v>
      </c>
      <c r="AO416" s="2" t="s">
        <v>143</v>
      </c>
      <c r="AP416" s="2" t="s">
        <v>144</v>
      </c>
      <c r="AQ416" s="2" t="s">
        <v>74</v>
      </c>
      <c r="AR416" s="2" t="s">
        <v>74</v>
      </c>
      <c r="AS416" s="2" t="s">
        <v>74</v>
      </c>
      <c r="AT416" s="2" t="s">
        <v>213</v>
      </c>
      <c r="AU416" s="2">
        <v>2004</v>
      </c>
      <c r="AV416" s="2">
        <v>68</v>
      </c>
      <c r="AW416" s="2" t="s">
        <v>74</v>
      </c>
      <c r="AX416" s="2">
        <v>5</v>
      </c>
      <c r="AY416" s="2" t="s">
        <v>74</v>
      </c>
      <c r="AZ416" s="2" t="s">
        <v>74</v>
      </c>
      <c r="BA416" s="2" t="s">
        <v>74</v>
      </c>
      <c r="BB416" s="2">
        <v>1005</v>
      </c>
      <c r="BC416" s="2">
        <v>1015</v>
      </c>
      <c r="BD416" s="2" t="s">
        <v>74</v>
      </c>
      <c r="BE416" s="2" t="s">
        <v>6792</v>
      </c>
      <c r="BF416" s="2" t="str">
        <f>HYPERLINK("http://dx.doi.org/10.1016/j.anbehav.2004.02.003","http://dx.doi.org/10.1016/j.anbehav.2004.02.003")</f>
        <v>http://dx.doi.org/10.1016/j.anbehav.2004.02.003</v>
      </c>
      <c r="BG416" s="2" t="s">
        <v>74</v>
      </c>
      <c r="BH416" s="2" t="s">
        <v>74</v>
      </c>
      <c r="BI416" s="2" t="s">
        <v>74</v>
      </c>
      <c r="BJ416" s="2" t="s">
        <v>74</v>
      </c>
      <c r="BK416" s="2" t="s">
        <v>74</v>
      </c>
      <c r="BL416" s="2" t="s">
        <v>74</v>
      </c>
      <c r="BM416" s="2" t="s">
        <v>74</v>
      </c>
      <c r="BN416" s="2" t="s">
        <v>74</v>
      </c>
      <c r="BO416" s="2" t="s">
        <v>74</v>
      </c>
      <c r="BP416" s="2" t="s">
        <v>74</v>
      </c>
      <c r="BQ416" s="2" t="s">
        <v>74</v>
      </c>
      <c r="BR416" s="2" t="s">
        <v>74</v>
      </c>
      <c r="BS416" s="2" t="s">
        <v>6793</v>
      </c>
      <c r="BT416" s="2" t="str">
        <f>HYPERLINK("https%3A%2F%2Fwww.webofscience.com%2Fwos%2Fwoscc%2Ffull-record%2FWOS:000225064400004","View Full Record in Web of Science")</f>
        <v>View Full Record in Web of Science</v>
      </c>
    </row>
    <row r="417" spans="1:72" s="2" customFormat="1" x14ac:dyDescent="0.4">
      <c r="A417" s="2" t="s">
        <v>72</v>
      </c>
      <c r="B417" s="2" t="s">
        <v>6822</v>
      </c>
      <c r="C417" s="2" t="s">
        <v>74</v>
      </c>
      <c r="D417" s="2" t="s">
        <v>74</v>
      </c>
      <c r="E417" s="2" t="s">
        <v>74</v>
      </c>
      <c r="F417" s="2" t="s">
        <v>6822</v>
      </c>
      <c r="G417" s="2" t="s">
        <v>74</v>
      </c>
      <c r="H417" s="2" t="s">
        <v>74</v>
      </c>
      <c r="I417" s="2" t="s">
        <v>6823</v>
      </c>
      <c r="J417" s="2" t="s">
        <v>1237</v>
      </c>
      <c r="K417" s="2" t="s">
        <v>74</v>
      </c>
      <c r="L417" s="2" t="s">
        <v>74</v>
      </c>
      <c r="M417" s="2" t="s">
        <v>74</v>
      </c>
      <c r="N417" s="2" t="s">
        <v>74</v>
      </c>
      <c r="O417" s="2" t="s">
        <v>74</v>
      </c>
      <c r="P417" s="2" t="s">
        <v>74</v>
      </c>
      <c r="Q417" s="2" t="s">
        <v>74</v>
      </c>
      <c r="R417" s="2" t="s">
        <v>74</v>
      </c>
      <c r="S417" s="2" t="s">
        <v>74</v>
      </c>
      <c r="T417" s="2" t="s">
        <v>74</v>
      </c>
      <c r="U417" s="2" t="s">
        <v>74</v>
      </c>
      <c r="V417" s="5" t="s">
        <v>6824</v>
      </c>
      <c r="W417" s="2" t="s">
        <v>74</v>
      </c>
      <c r="X417" s="2" t="s">
        <v>74</v>
      </c>
      <c r="Y417" s="2" t="s">
        <v>74</v>
      </c>
      <c r="Z417" s="2" t="s">
        <v>74</v>
      </c>
      <c r="AA417" s="2" t="s">
        <v>74</v>
      </c>
      <c r="AB417" s="2" t="s">
        <v>74</v>
      </c>
      <c r="AC417" s="2" t="s">
        <v>74</v>
      </c>
      <c r="AD417" s="2" t="s">
        <v>74</v>
      </c>
      <c r="AE417" s="2" t="s">
        <v>74</v>
      </c>
      <c r="AF417" s="2" t="s">
        <v>74</v>
      </c>
      <c r="AG417" s="2" t="s">
        <v>74</v>
      </c>
      <c r="AH417" s="2" t="s">
        <v>74</v>
      </c>
      <c r="AI417" s="2" t="s">
        <v>74</v>
      </c>
      <c r="AJ417" s="2" t="s">
        <v>74</v>
      </c>
      <c r="AK417" s="2" t="s">
        <v>74</v>
      </c>
      <c r="AL417" s="2" t="s">
        <v>74</v>
      </c>
      <c r="AM417" s="2" t="s">
        <v>74</v>
      </c>
      <c r="AN417" s="2" t="s">
        <v>74</v>
      </c>
      <c r="AO417" s="2" t="s">
        <v>1239</v>
      </c>
      <c r="AP417" s="2" t="s">
        <v>74</v>
      </c>
      <c r="AQ417" s="2" t="s">
        <v>74</v>
      </c>
      <c r="AR417" s="2" t="s">
        <v>74</v>
      </c>
      <c r="AS417" s="2" t="s">
        <v>74</v>
      </c>
      <c r="AT417" s="2" t="s">
        <v>134</v>
      </c>
      <c r="AU417" s="2">
        <v>1995</v>
      </c>
      <c r="AV417" s="2">
        <v>73</v>
      </c>
      <c r="AW417" s="2">
        <v>5</v>
      </c>
      <c r="AX417" s="2" t="s">
        <v>74</v>
      </c>
      <c r="AY417" s="2" t="s">
        <v>74</v>
      </c>
      <c r="AZ417" s="2" t="s">
        <v>74</v>
      </c>
      <c r="BA417" s="2" t="s">
        <v>74</v>
      </c>
      <c r="BB417" s="2">
        <v>858</v>
      </c>
      <c r="BC417" s="2">
        <v>868</v>
      </c>
      <c r="BD417" s="2" t="s">
        <v>74</v>
      </c>
      <c r="BE417" s="2" t="s">
        <v>6825</v>
      </c>
      <c r="BF417" s="2" t="str">
        <f>HYPERLINK("http://dx.doi.org/10.1139/z95-101","http://dx.doi.org/10.1139/z95-101")</f>
        <v>http://dx.doi.org/10.1139/z95-101</v>
      </c>
      <c r="BG417" s="2" t="s">
        <v>74</v>
      </c>
      <c r="BH417" s="2" t="s">
        <v>74</v>
      </c>
      <c r="BI417" s="2" t="s">
        <v>74</v>
      </c>
      <c r="BJ417" s="2" t="s">
        <v>74</v>
      </c>
      <c r="BK417" s="2" t="s">
        <v>74</v>
      </c>
      <c r="BL417" s="2" t="s">
        <v>74</v>
      </c>
      <c r="BM417" s="2" t="s">
        <v>74</v>
      </c>
      <c r="BN417" s="2" t="s">
        <v>74</v>
      </c>
      <c r="BO417" s="2" t="s">
        <v>74</v>
      </c>
      <c r="BP417" s="2" t="s">
        <v>74</v>
      </c>
      <c r="BQ417" s="2" t="s">
        <v>74</v>
      </c>
      <c r="BR417" s="2" t="s">
        <v>74</v>
      </c>
      <c r="BS417" s="2" t="s">
        <v>6826</v>
      </c>
      <c r="BT417" s="2" t="str">
        <f>HYPERLINK("https%3A%2F%2Fwww.webofscience.com%2Fwos%2Fwoscc%2Ffull-record%2FWOS:A1995RR09100006","View Full Record in Web of Science")</f>
        <v>View Full Record in Web of Science</v>
      </c>
    </row>
    <row r="418" spans="1:72" s="2" customFormat="1" x14ac:dyDescent="0.4">
      <c r="A418" s="2" t="s">
        <v>72</v>
      </c>
      <c r="B418" s="2" t="s">
        <v>6334</v>
      </c>
      <c r="C418" s="2" t="s">
        <v>74</v>
      </c>
      <c r="D418" s="2" t="s">
        <v>74</v>
      </c>
      <c r="E418" s="2" t="s">
        <v>74</v>
      </c>
      <c r="F418" s="2" t="s">
        <v>6335</v>
      </c>
      <c r="G418" s="2" t="s">
        <v>74</v>
      </c>
      <c r="H418" s="2" t="s">
        <v>74</v>
      </c>
      <c r="I418" s="2" t="s">
        <v>6336</v>
      </c>
      <c r="J418" s="2" t="s">
        <v>408</v>
      </c>
      <c r="K418" s="2" t="s">
        <v>74</v>
      </c>
      <c r="L418" s="2" t="s">
        <v>74</v>
      </c>
      <c r="M418" s="2" t="s">
        <v>74</v>
      </c>
      <c r="N418" s="2" t="s">
        <v>74</v>
      </c>
      <c r="O418" s="2" t="s">
        <v>74</v>
      </c>
      <c r="P418" s="2" t="s">
        <v>74</v>
      </c>
      <c r="Q418" s="2" t="s">
        <v>74</v>
      </c>
      <c r="R418" s="2" t="s">
        <v>74</v>
      </c>
      <c r="S418" s="2" t="s">
        <v>74</v>
      </c>
      <c r="T418" s="2" t="s">
        <v>74</v>
      </c>
      <c r="U418" s="2" t="s">
        <v>74</v>
      </c>
      <c r="V418" s="5" t="s">
        <v>6337</v>
      </c>
      <c r="W418" s="2" t="s">
        <v>74</v>
      </c>
      <c r="X418" s="2" t="s">
        <v>74</v>
      </c>
      <c r="Y418" s="2" t="s">
        <v>74</v>
      </c>
      <c r="Z418" s="2" t="s">
        <v>74</v>
      </c>
      <c r="AA418" s="2" t="s">
        <v>74</v>
      </c>
      <c r="AB418" s="2" t="s">
        <v>74</v>
      </c>
      <c r="AC418" s="2" t="s">
        <v>74</v>
      </c>
      <c r="AD418" s="2" t="s">
        <v>74</v>
      </c>
      <c r="AE418" s="2" t="s">
        <v>74</v>
      </c>
      <c r="AF418" s="2" t="s">
        <v>74</v>
      </c>
      <c r="AG418" s="2" t="s">
        <v>74</v>
      </c>
      <c r="AH418" s="2" t="s">
        <v>74</v>
      </c>
      <c r="AI418" s="2" t="s">
        <v>74</v>
      </c>
      <c r="AJ418" s="2" t="s">
        <v>74</v>
      </c>
      <c r="AK418" s="2" t="s">
        <v>74</v>
      </c>
      <c r="AL418" s="2" t="s">
        <v>74</v>
      </c>
      <c r="AM418" s="2" t="s">
        <v>74</v>
      </c>
      <c r="AN418" s="2" t="s">
        <v>74</v>
      </c>
      <c r="AO418" s="2" t="s">
        <v>412</v>
      </c>
      <c r="AP418" s="2" t="s">
        <v>413</v>
      </c>
      <c r="AQ418" s="2" t="s">
        <v>74</v>
      </c>
      <c r="AR418" s="2" t="s">
        <v>74</v>
      </c>
      <c r="AS418" s="2" t="s">
        <v>74</v>
      </c>
      <c r="AT418" s="2" t="s">
        <v>102</v>
      </c>
      <c r="AU418" s="2">
        <v>2020</v>
      </c>
      <c r="AV418" s="2">
        <v>130</v>
      </c>
      <c r="AW418" s="2">
        <v>2</v>
      </c>
      <c r="AX418" s="2" t="s">
        <v>74</v>
      </c>
      <c r="AY418" s="2" t="s">
        <v>74</v>
      </c>
      <c r="AZ418" s="2" t="s">
        <v>74</v>
      </c>
      <c r="BA418" s="2" t="s">
        <v>74</v>
      </c>
      <c r="BB418" s="2">
        <v>336</v>
      </c>
      <c r="BC418" s="2">
        <v>344</v>
      </c>
      <c r="BD418" s="2" t="s">
        <v>74</v>
      </c>
      <c r="BE418" s="2" t="s">
        <v>6338</v>
      </c>
      <c r="BF418" s="2" t="str">
        <f>HYPERLINK("http://dx.doi.org/10.1093/biolinnean/blaa045","http://dx.doi.org/10.1093/biolinnean/blaa045")</f>
        <v>http://dx.doi.org/10.1093/biolinnean/blaa045</v>
      </c>
      <c r="BG418" s="2" t="s">
        <v>74</v>
      </c>
      <c r="BH418" s="2" t="s">
        <v>74</v>
      </c>
      <c r="BI418" s="2" t="s">
        <v>74</v>
      </c>
      <c r="BJ418" s="2" t="s">
        <v>74</v>
      </c>
      <c r="BK418" s="2" t="s">
        <v>74</v>
      </c>
      <c r="BL418" s="2" t="s">
        <v>74</v>
      </c>
      <c r="BM418" s="2" t="s">
        <v>74</v>
      </c>
      <c r="BN418" s="2" t="s">
        <v>74</v>
      </c>
      <c r="BO418" s="2" t="s">
        <v>74</v>
      </c>
      <c r="BP418" s="2" t="s">
        <v>74</v>
      </c>
      <c r="BQ418" s="2" t="s">
        <v>74</v>
      </c>
      <c r="BR418" s="2" t="s">
        <v>74</v>
      </c>
      <c r="BS418" s="2" t="s">
        <v>6339</v>
      </c>
      <c r="BT418" s="2" t="str">
        <f>HYPERLINK("https%3A%2F%2Fwww.webofscience.com%2Fwos%2Fwoscc%2Ffull-record%2FWOS:000562378200007","View Full Record in Web of Science")</f>
        <v>View Full Record in Web of Science</v>
      </c>
    </row>
    <row r="419" spans="1:72" s="2" customFormat="1" x14ac:dyDescent="0.4">
      <c r="A419" s="2" t="s">
        <v>72</v>
      </c>
      <c r="B419" s="2" t="s">
        <v>7228</v>
      </c>
      <c r="C419" s="2" t="s">
        <v>74</v>
      </c>
      <c r="D419" s="2" t="s">
        <v>74</v>
      </c>
      <c r="E419" s="2" t="s">
        <v>74</v>
      </c>
      <c r="F419" s="2" t="s">
        <v>7229</v>
      </c>
      <c r="G419" s="2" t="s">
        <v>74</v>
      </c>
      <c r="H419" s="2" t="s">
        <v>74</v>
      </c>
      <c r="I419" s="2" t="s">
        <v>7230</v>
      </c>
      <c r="J419" s="2" t="s">
        <v>333</v>
      </c>
      <c r="K419" s="2" t="s">
        <v>74</v>
      </c>
      <c r="L419" s="2" t="s">
        <v>74</v>
      </c>
      <c r="M419" s="2" t="s">
        <v>74</v>
      </c>
      <c r="N419" s="2" t="s">
        <v>74</v>
      </c>
      <c r="O419" s="2" t="s">
        <v>74</v>
      </c>
      <c r="P419" s="2" t="s">
        <v>74</v>
      </c>
      <c r="Q419" s="2" t="s">
        <v>74</v>
      </c>
      <c r="R419" s="2" t="s">
        <v>74</v>
      </c>
      <c r="S419" s="2" t="s">
        <v>74</v>
      </c>
      <c r="T419" s="2" t="s">
        <v>74</v>
      </c>
      <c r="U419" s="2" t="s">
        <v>74</v>
      </c>
      <c r="V419" s="5" t="s">
        <v>7231</v>
      </c>
      <c r="W419" s="2" t="s">
        <v>74</v>
      </c>
      <c r="X419" s="2" t="s">
        <v>74</v>
      </c>
      <c r="Y419" s="2" t="s">
        <v>74</v>
      </c>
      <c r="Z419" s="2" t="s">
        <v>74</v>
      </c>
      <c r="AA419" s="2" t="s">
        <v>74</v>
      </c>
      <c r="AB419" s="2" t="s">
        <v>7232</v>
      </c>
      <c r="AC419" s="2" t="s">
        <v>74</v>
      </c>
      <c r="AD419" s="2" t="s">
        <v>74</v>
      </c>
      <c r="AE419" s="2" t="s">
        <v>74</v>
      </c>
      <c r="AF419" s="2" t="s">
        <v>74</v>
      </c>
      <c r="AG419" s="2" t="s">
        <v>74</v>
      </c>
      <c r="AH419" s="2" t="s">
        <v>74</v>
      </c>
      <c r="AI419" s="2" t="s">
        <v>74</v>
      </c>
      <c r="AJ419" s="2" t="s">
        <v>74</v>
      </c>
      <c r="AK419" s="2" t="s">
        <v>74</v>
      </c>
      <c r="AL419" s="2" t="s">
        <v>74</v>
      </c>
      <c r="AM419" s="2" t="s">
        <v>74</v>
      </c>
      <c r="AN419" s="2" t="s">
        <v>74</v>
      </c>
      <c r="AO419" s="2" t="s">
        <v>337</v>
      </c>
      <c r="AP419" s="2" t="s">
        <v>338</v>
      </c>
      <c r="AQ419" s="2" t="s">
        <v>74</v>
      </c>
      <c r="AR419" s="2" t="s">
        <v>74</v>
      </c>
      <c r="AS419" s="2" t="s">
        <v>74</v>
      </c>
      <c r="AT419" s="2" t="s">
        <v>1013</v>
      </c>
      <c r="AU419" s="2">
        <v>2017</v>
      </c>
      <c r="AV419" s="2">
        <v>28</v>
      </c>
      <c r="AW419" s="2">
        <v>5</v>
      </c>
      <c r="AX419" s="2" t="s">
        <v>74</v>
      </c>
      <c r="AY419" s="2" t="s">
        <v>74</v>
      </c>
      <c r="AZ419" s="2" t="s">
        <v>74</v>
      </c>
      <c r="BA419" s="2" t="s">
        <v>74</v>
      </c>
      <c r="BB419" s="2">
        <v>1329</v>
      </c>
      <c r="BC419" s="2">
        <v>1336</v>
      </c>
      <c r="BD419" s="2" t="s">
        <v>74</v>
      </c>
      <c r="BE419" s="2" t="s">
        <v>7233</v>
      </c>
      <c r="BF419" s="2" t="str">
        <f>HYPERLINK("http://dx.doi.org/10.1093/beheco/arx096","http://dx.doi.org/10.1093/beheco/arx096")</f>
        <v>http://dx.doi.org/10.1093/beheco/arx096</v>
      </c>
      <c r="BG419" s="2" t="s">
        <v>74</v>
      </c>
      <c r="BH419" s="2" t="s">
        <v>74</v>
      </c>
      <c r="BI419" s="2" t="s">
        <v>74</v>
      </c>
      <c r="BJ419" s="2" t="s">
        <v>74</v>
      </c>
      <c r="BK419" s="2" t="s">
        <v>74</v>
      </c>
      <c r="BL419" s="2" t="s">
        <v>74</v>
      </c>
      <c r="BM419" s="2" t="s">
        <v>74</v>
      </c>
      <c r="BN419" s="2" t="s">
        <v>74</v>
      </c>
      <c r="BO419" s="2" t="s">
        <v>74</v>
      </c>
      <c r="BP419" s="2" t="s">
        <v>74</v>
      </c>
      <c r="BQ419" s="2" t="s">
        <v>74</v>
      </c>
      <c r="BR419" s="2" t="s">
        <v>74</v>
      </c>
      <c r="BS419" s="2" t="s">
        <v>7234</v>
      </c>
      <c r="BT419" s="2" t="str">
        <f>HYPERLINK("https%3A%2F%2Fwww.webofscience.com%2Fwos%2Fwoscc%2Ffull-record%2FWOS:000412182400016","View Full Record in Web of Science")</f>
        <v>View Full Record in Web of Science</v>
      </c>
    </row>
    <row r="420" spans="1:72" s="2" customFormat="1" x14ac:dyDescent="0.4">
      <c r="A420" s="2" t="s">
        <v>72</v>
      </c>
      <c r="B420" s="2" t="s">
        <v>879</v>
      </c>
      <c r="C420" s="2" t="s">
        <v>74</v>
      </c>
      <c r="D420" s="2" t="s">
        <v>74</v>
      </c>
      <c r="E420" s="2" t="s">
        <v>74</v>
      </c>
      <c r="F420" s="2" t="s">
        <v>880</v>
      </c>
      <c r="G420" s="2" t="s">
        <v>74</v>
      </c>
      <c r="H420" s="2" t="s">
        <v>74</v>
      </c>
      <c r="I420" s="2" t="s">
        <v>881</v>
      </c>
      <c r="J420" s="2" t="s">
        <v>882</v>
      </c>
      <c r="K420" s="2" t="s">
        <v>74</v>
      </c>
      <c r="L420" s="2" t="s">
        <v>74</v>
      </c>
      <c r="M420" s="2" t="s">
        <v>74</v>
      </c>
      <c r="N420" s="2" t="s">
        <v>74</v>
      </c>
      <c r="O420" s="2" t="s">
        <v>74</v>
      </c>
      <c r="P420" s="2" t="s">
        <v>74</v>
      </c>
      <c r="Q420" s="2" t="s">
        <v>74</v>
      </c>
      <c r="R420" s="2" t="s">
        <v>74</v>
      </c>
      <c r="S420" s="2" t="s">
        <v>74</v>
      </c>
      <c r="T420" s="2" t="s">
        <v>74</v>
      </c>
      <c r="U420" s="2" t="s">
        <v>74</v>
      </c>
      <c r="V420" s="5" t="s">
        <v>883</v>
      </c>
      <c r="W420" s="2" t="s">
        <v>74</v>
      </c>
      <c r="X420" s="2" t="s">
        <v>74</v>
      </c>
      <c r="Y420" s="2" t="s">
        <v>74</v>
      </c>
      <c r="Z420" s="2" t="s">
        <v>74</v>
      </c>
      <c r="AA420" s="2" t="s">
        <v>884</v>
      </c>
      <c r="AB420" s="2" t="s">
        <v>885</v>
      </c>
      <c r="AC420" s="2" t="s">
        <v>74</v>
      </c>
      <c r="AD420" s="2" t="s">
        <v>74</v>
      </c>
      <c r="AE420" s="2" t="s">
        <v>74</v>
      </c>
      <c r="AF420" s="2" t="s">
        <v>74</v>
      </c>
      <c r="AG420" s="2" t="s">
        <v>74</v>
      </c>
      <c r="AH420" s="2" t="s">
        <v>74</v>
      </c>
      <c r="AI420" s="2" t="s">
        <v>74</v>
      </c>
      <c r="AJ420" s="2" t="s">
        <v>74</v>
      </c>
      <c r="AK420" s="2" t="s">
        <v>74</v>
      </c>
      <c r="AL420" s="2" t="s">
        <v>74</v>
      </c>
      <c r="AM420" s="2" t="s">
        <v>74</v>
      </c>
      <c r="AN420" s="2" t="s">
        <v>74</v>
      </c>
      <c r="AO420" s="2" t="s">
        <v>886</v>
      </c>
      <c r="AP420" s="2" t="s">
        <v>887</v>
      </c>
      <c r="AQ420" s="2" t="s">
        <v>74</v>
      </c>
      <c r="AR420" s="2" t="s">
        <v>74</v>
      </c>
      <c r="AS420" s="2" t="s">
        <v>74</v>
      </c>
      <c r="AT420" s="2" t="s">
        <v>74</v>
      </c>
      <c r="AU420" s="2">
        <v>2010</v>
      </c>
      <c r="AV420" s="2">
        <v>9</v>
      </c>
      <c r="AW420" s="2">
        <v>3</v>
      </c>
      <c r="AX420" s="2" t="s">
        <v>74</v>
      </c>
      <c r="AY420" s="2" t="s">
        <v>74</v>
      </c>
      <c r="AZ420" s="2" t="s">
        <v>74</v>
      </c>
      <c r="BA420" s="2" t="s">
        <v>74</v>
      </c>
      <c r="BB420" s="2">
        <v>271</v>
      </c>
      <c r="BC420" s="2">
        <v>277</v>
      </c>
      <c r="BD420" s="2" t="s">
        <v>74</v>
      </c>
      <c r="BE420" s="2" t="s">
        <v>888</v>
      </c>
      <c r="BF420" s="2" t="str">
        <f>HYPERLINK("http://dx.doi.org/10.3354/ab00257","http://dx.doi.org/10.3354/ab00257")</f>
        <v>http://dx.doi.org/10.3354/ab00257</v>
      </c>
      <c r="BG420" s="2" t="s">
        <v>74</v>
      </c>
      <c r="BH420" s="2" t="s">
        <v>74</v>
      </c>
      <c r="BI420" s="2" t="s">
        <v>74</v>
      </c>
      <c r="BJ420" s="2" t="s">
        <v>74</v>
      </c>
      <c r="BK420" s="2" t="s">
        <v>74</v>
      </c>
      <c r="BL420" s="2" t="s">
        <v>74</v>
      </c>
      <c r="BM420" s="2" t="s">
        <v>74</v>
      </c>
      <c r="BN420" s="2" t="s">
        <v>74</v>
      </c>
      <c r="BO420" s="2" t="s">
        <v>74</v>
      </c>
      <c r="BP420" s="2" t="s">
        <v>74</v>
      </c>
      <c r="BQ420" s="2" t="s">
        <v>74</v>
      </c>
      <c r="BR420" s="2" t="s">
        <v>74</v>
      </c>
      <c r="BS420" s="2" t="s">
        <v>889</v>
      </c>
      <c r="BT420" s="2" t="str">
        <f>HYPERLINK("https%3A%2F%2Fwww.webofscience.com%2Fwos%2Fwoscc%2Ffull-record%2FWOS:000278977700007","View Full Record in Web of Science")</f>
        <v>View Full Record in Web of Science</v>
      </c>
    </row>
    <row r="421" spans="1:72" s="2" customFormat="1" x14ac:dyDescent="0.4">
      <c r="A421" s="2" t="s">
        <v>72</v>
      </c>
      <c r="B421" s="2" t="s">
        <v>488</v>
      </c>
      <c r="C421" s="2" t="s">
        <v>74</v>
      </c>
      <c r="D421" s="2" t="s">
        <v>74</v>
      </c>
      <c r="E421" s="2" t="s">
        <v>74</v>
      </c>
      <c r="F421" s="2" t="s">
        <v>488</v>
      </c>
      <c r="G421" s="2" t="s">
        <v>74</v>
      </c>
      <c r="H421" s="2" t="s">
        <v>74</v>
      </c>
      <c r="I421" s="2" t="s">
        <v>489</v>
      </c>
      <c r="J421" s="2" t="s">
        <v>108</v>
      </c>
      <c r="K421" s="2" t="s">
        <v>74</v>
      </c>
      <c r="L421" s="2" t="s">
        <v>74</v>
      </c>
      <c r="M421" s="2" t="s">
        <v>74</v>
      </c>
      <c r="N421" s="2" t="s">
        <v>74</v>
      </c>
      <c r="O421" s="2" t="s">
        <v>74</v>
      </c>
      <c r="P421" s="2" t="s">
        <v>74</v>
      </c>
      <c r="Q421" s="2" t="s">
        <v>74</v>
      </c>
      <c r="R421" s="2" t="s">
        <v>74</v>
      </c>
      <c r="S421" s="2" t="s">
        <v>74</v>
      </c>
      <c r="T421" s="2" t="s">
        <v>74</v>
      </c>
      <c r="U421" s="2" t="s">
        <v>74</v>
      </c>
      <c r="V421" s="5" t="s">
        <v>490</v>
      </c>
      <c r="W421" s="2" t="s">
        <v>74</v>
      </c>
      <c r="X421" s="2" t="s">
        <v>74</v>
      </c>
      <c r="Y421" s="2" t="s">
        <v>74</v>
      </c>
      <c r="Z421" s="2" t="s">
        <v>74</v>
      </c>
      <c r="AA421" s="2" t="s">
        <v>491</v>
      </c>
      <c r="AB421" s="2" t="s">
        <v>492</v>
      </c>
      <c r="AC421" s="2" t="s">
        <v>74</v>
      </c>
      <c r="AD421" s="2" t="s">
        <v>74</v>
      </c>
      <c r="AE421" s="2" t="s">
        <v>74</v>
      </c>
      <c r="AF421" s="2" t="s">
        <v>74</v>
      </c>
      <c r="AG421" s="2" t="s">
        <v>74</v>
      </c>
      <c r="AH421" s="2" t="s">
        <v>74</v>
      </c>
      <c r="AI421" s="2" t="s">
        <v>74</v>
      </c>
      <c r="AJ421" s="2" t="s">
        <v>74</v>
      </c>
      <c r="AK421" s="2" t="s">
        <v>74</v>
      </c>
      <c r="AL421" s="2" t="s">
        <v>74</v>
      </c>
      <c r="AM421" s="2" t="s">
        <v>74</v>
      </c>
      <c r="AN421" s="2" t="s">
        <v>74</v>
      </c>
      <c r="AO421" s="2" t="s">
        <v>111</v>
      </c>
      <c r="AP421" s="2" t="s">
        <v>112</v>
      </c>
      <c r="AQ421" s="2" t="s">
        <v>74</v>
      </c>
      <c r="AR421" s="2" t="s">
        <v>74</v>
      </c>
      <c r="AS421" s="2" t="s">
        <v>74</v>
      </c>
      <c r="AT421" s="2" t="s">
        <v>493</v>
      </c>
      <c r="AU421" s="2">
        <v>2001</v>
      </c>
      <c r="AV421" s="2">
        <v>268</v>
      </c>
      <c r="AW421" s="2">
        <v>1475</v>
      </c>
      <c r="AX421" s="2" t="s">
        <v>74</v>
      </c>
      <c r="AY421" s="2" t="s">
        <v>74</v>
      </c>
      <c r="AZ421" s="2" t="s">
        <v>74</v>
      </c>
      <c r="BA421" s="2" t="s">
        <v>74</v>
      </c>
      <c r="BB421" s="2">
        <v>1519</v>
      </c>
      <c r="BC421" s="2">
        <v>1526</v>
      </c>
      <c r="BD421" s="2" t="s">
        <v>74</v>
      </c>
      <c r="BE421" s="2" t="s">
        <v>494</v>
      </c>
      <c r="BF421" s="2" t="str">
        <f>HYPERLINK("http://dx.doi.org/10.1098/rspb.2001.1701","http://dx.doi.org/10.1098/rspb.2001.1701")</f>
        <v>http://dx.doi.org/10.1098/rspb.2001.1701</v>
      </c>
      <c r="BG421" s="2" t="s">
        <v>74</v>
      </c>
      <c r="BH421" s="2" t="s">
        <v>74</v>
      </c>
      <c r="BI421" s="2" t="s">
        <v>74</v>
      </c>
      <c r="BJ421" s="2" t="s">
        <v>74</v>
      </c>
      <c r="BK421" s="2" t="s">
        <v>74</v>
      </c>
      <c r="BL421" s="2" t="s">
        <v>74</v>
      </c>
      <c r="BM421" s="2" t="s">
        <v>74</v>
      </c>
      <c r="BN421" s="2">
        <v>11454297</v>
      </c>
      <c r="BO421" s="2" t="s">
        <v>74</v>
      </c>
      <c r="BP421" s="2" t="s">
        <v>74</v>
      </c>
      <c r="BQ421" s="2" t="s">
        <v>74</v>
      </c>
      <c r="BR421" s="2" t="s">
        <v>74</v>
      </c>
      <c r="BS421" s="2" t="s">
        <v>495</v>
      </c>
      <c r="BT421" s="2" t="str">
        <f>HYPERLINK("https%3A%2F%2Fwww.webofscience.com%2Fwos%2Fwoscc%2Ffull-record%2FWOS:000170003600013","View Full Record in Web of Science")</f>
        <v>View Full Record in Web of Science</v>
      </c>
    </row>
    <row r="422" spans="1:72" s="2" customFormat="1" x14ac:dyDescent="0.4">
      <c r="A422" s="2" t="s">
        <v>72</v>
      </c>
      <c r="B422" s="2" t="s">
        <v>5024</v>
      </c>
      <c r="C422" s="2" t="s">
        <v>74</v>
      </c>
      <c r="D422" s="2" t="s">
        <v>74</v>
      </c>
      <c r="E422" s="2" t="s">
        <v>74</v>
      </c>
      <c r="F422" s="2" t="s">
        <v>5025</v>
      </c>
      <c r="G422" s="2" t="s">
        <v>74</v>
      </c>
      <c r="H422" s="2" t="s">
        <v>74</v>
      </c>
      <c r="I422" s="2" t="s">
        <v>5026</v>
      </c>
      <c r="J422" s="2" t="s">
        <v>2578</v>
      </c>
      <c r="K422" s="2" t="s">
        <v>74</v>
      </c>
      <c r="L422" s="2" t="s">
        <v>74</v>
      </c>
      <c r="M422" s="2" t="s">
        <v>74</v>
      </c>
      <c r="N422" s="2" t="s">
        <v>74</v>
      </c>
      <c r="O422" s="2" t="s">
        <v>74</v>
      </c>
      <c r="P422" s="2" t="s">
        <v>74</v>
      </c>
      <c r="Q422" s="2" t="s">
        <v>74</v>
      </c>
      <c r="R422" s="2" t="s">
        <v>74</v>
      </c>
      <c r="S422" s="2" t="s">
        <v>74</v>
      </c>
      <c r="T422" s="2" t="s">
        <v>74</v>
      </c>
      <c r="U422" s="2" t="s">
        <v>74</v>
      </c>
      <c r="V422" s="5" t="s">
        <v>5027</v>
      </c>
      <c r="W422" s="2" t="s">
        <v>74</v>
      </c>
      <c r="X422" s="2" t="s">
        <v>74</v>
      </c>
      <c r="Y422" s="2" t="s">
        <v>74</v>
      </c>
      <c r="Z422" s="2" t="s">
        <v>74</v>
      </c>
      <c r="AA422" s="2" t="s">
        <v>74</v>
      </c>
      <c r="AB422" s="2" t="s">
        <v>74</v>
      </c>
      <c r="AC422" s="2" t="s">
        <v>74</v>
      </c>
      <c r="AD422" s="2" t="s">
        <v>74</v>
      </c>
      <c r="AE422" s="2" t="s">
        <v>74</v>
      </c>
      <c r="AF422" s="2" t="s">
        <v>74</v>
      </c>
      <c r="AG422" s="2" t="s">
        <v>74</v>
      </c>
      <c r="AH422" s="2" t="s">
        <v>74</v>
      </c>
      <c r="AI422" s="2" t="s">
        <v>74</v>
      </c>
      <c r="AJ422" s="2" t="s">
        <v>74</v>
      </c>
      <c r="AK422" s="2" t="s">
        <v>74</v>
      </c>
      <c r="AL422" s="2" t="s">
        <v>74</v>
      </c>
      <c r="AM422" s="2" t="s">
        <v>74</v>
      </c>
      <c r="AN422" s="2" t="s">
        <v>74</v>
      </c>
      <c r="AO422" s="2" t="s">
        <v>2582</v>
      </c>
      <c r="AP422" s="2" t="s">
        <v>2583</v>
      </c>
      <c r="AQ422" s="2" t="s">
        <v>74</v>
      </c>
      <c r="AR422" s="2" t="s">
        <v>74</v>
      </c>
      <c r="AS422" s="2" t="s">
        <v>74</v>
      </c>
      <c r="AT422" s="2" t="s">
        <v>5028</v>
      </c>
      <c r="AU422" s="2">
        <v>2024</v>
      </c>
      <c r="AV422" s="2" t="s">
        <v>74</v>
      </c>
      <c r="AW422" s="2" t="s">
        <v>74</v>
      </c>
      <c r="AX422" s="2" t="s">
        <v>74</v>
      </c>
      <c r="AY422" s="2" t="s">
        <v>74</v>
      </c>
      <c r="AZ422" s="2" t="s">
        <v>74</v>
      </c>
      <c r="BA422" s="2" t="s">
        <v>74</v>
      </c>
      <c r="BB422" s="2" t="s">
        <v>74</v>
      </c>
      <c r="BC422" s="2" t="s">
        <v>74</v>
      </c>
      <c r="BD422" s="2" t="s">
        <v>74</v>
      </c>
      <c r="BE422" s="2" t="s">
        <v>5029</v>
      </c>
      <c r="BF422" s="2" t="str">
        <f>HYPERLINK("http://dx.doi.org/10.3758/s13420-024-00638-z","http://dx.doi.org/10.3758/s13420-024-00638-z")</f>
        <v>http://dx.doi.org/10.3758/s13420-024-00638-z</v>
      </c>
      <c r="BG422" s="2" t="s">
        <v>74</v>
      </c>
      <c r="BH422" s="2" t="s">
        <v>5030</v>
      </c>
      <c r="BI422" s="2" t="s">
        <v>74</v>
      </c>
      <c r="BJ422" s="2" t="s">
        <v>74</v>
      </c>
      <c r="BK422" s="2" t="s">
        <v>74</v>
      </c>
      <c r="BL422" s="2" t="s">
        <v>74</v>
      </c>
      <c r="BM422" s="2" t="s">
        <v>74</v>
      </c>
      <c r="BN422" s="2">
        <v>39150659</v>
      </c>
      <c r="BO422" s="2" t="s">
        <v>74</v>
      </c>
      <c r="BP422" s="2" t="s">
        <v>74</v>
      </c>
      <c r="BQ422" s="2" t="s">
        <v>74</v>
      </c>
      <c r="BR422" s="2" t="s">
        <v>74</v>
      </c>
      <c r="BS422" s="2" t="s">
        <v>5031</v>
      </c>
      <c r="BT422" s="2" t="str">
        <f>HYPERLINK("https%3A%2F%2Fwww.webofscience.com%2Fwos%2Fwoscc%2Ffull-record%2FWOS:001291940700001","View Full Record in Web of Science")</f>
        <v>View Full Record in Web of Science</v>
      </c>
    </row>
    <row r="423" spans="1:72" s="2" customFormat="1" x14ac:dyDescent="0.4">
      <c r="A423" s="2" t="s">
        <v>72</v>
      </c>
      <c r="B423" s="2" t="s">
        <v>7026</v>
      </c>
      <c r="C423" s="2" t="s">
        <v>74</v>
      </c>
      <c r="D423" s="2" t="s">
        <v>74</v>
      </c>
      <c r="E423" s="2" t="s">
        <v>74</v>
      </c>
      <c r="F423" s="2" t="s">
        <v>7027</v>
      </c>
      <c r="G423" s="2" t="s">
        <v>74</v>
      </c>
      <c r="H423" s="2" t="s">
        <v>74</v>
      </c>
      <c r="I423" s="2" t="s">
        <v>7028</v>
      </c>
      <c r="J423" s="2" t="s">
        <v>814</v>
      </c>
      <c r="K423" s="2" t="s">
        <v>74</v>
      </c>
      <c r="L423" s="2" t="s">
        <v>74</v>
      </c>
      <c r="M423" s="2" t="s">
        <v>74</v>
      </c>
      <c r="N423" s="2" t="s">
        <v>74</v>
      </c>
      <c r="O423" s="2" t="s">
        <v>74</v>
      </c>
      <c r="P423" s="2" t="s">
        <v>74</v>
      </c>
      <c r="Q423" s="2" t="s">
        <v>74</v>
      </c>
      <c r="R423" s="2" t="s">
        <v>74</v>
      </c>
      <c r="S423" s="2" t="s">
        <v>74</v>
      </c>
      <c r="T423" s="2" t="s">
        <v>74</v>
      </c>
      <c r="U423" s="2" t="s">
        <v>74</v>
      </c>
      <c r="V423" s="5" t="s">
        <v>7029</v>
      </c>
      <c r="W423" s="2" t="s">
        <v>74</v>
      </c>
      <c r="X423" s="2" t="s">
        <v>74</v>
      </c>
      <c r="Y423" s="2" t="s">
        <v>74</v>
      </c>
      <c r="Z423" s="2" t="s">
        <v>74</v>
      </c>
      <c r="AA423" s="2" t="s">
        <v>7030</v>
      </c>
      <c r="AB423" s="2" t="s">
        <v>7031</v>
      </c>
      <c r="AC423" s="2" t="s">
        <v>74</v>
      </c>
      <c r="AD423" s="2" t="s">
        <v>74</v>
      </c>
      <c r="AE423" s="2" t="s">
        <v>74</v>
      </c>
      <c r="AF423" s="2" t="s">
        <v>74</v>
      </c>
      <c r="AG423" s="2" t="s">
        <v>74</v>
      </c>
      <c r="AH423" s="2" t="s">
        <v>74</v>
      </c>
      <c r="AI423" s="2" t="s">
        <v>74</v>
      </c>
      <c r="AJ423" s="2" t="s">
        <v>74</v>
      </c>
      <c r="AK423" s="2" t="s">
        <v>74</v>
      </c>
      <c r="AL423" s="2" t="s">
        <v>74</v>
      </c>
      <c r="AM423" s="2" t="s">
        <v>74</v>
      </c>
      <c r="AN423" s="2" t="s">
        <v>74</v>
      </c>
      <c r="AO423" s="2" t="s">
        <v>818</v>
      </c>
      <c r="AP423" s="2" t="s">
        <v>1505</v>
      </c>
      <c r="AQ423" s="2" t="s">
        <v>74</v>
      </c>
      <c r="AR423" s="2" t="s">
        <v>74</v>
      </c>
      <c r="AS423" s="2" t="s">
        <v>74</v>
      </c>
      <c r="AT423" s="2" t="s">
        <v>102</v>
      </c>
      <c r="AU423" s="2">
        <v>2014</v>
      </c>
      <c r="AV423" s="2">
        <v>117</v>
      </c>
      <c r="AW423" s="2">
        <v>3</v>
      </c>
      <c r="AX423" s="2" t="s">
        <v>74</v>
      </c>
      <c r="AY423" s="2" t="s">
        <v>74</v>
      </c>
      <c r="AZ423" s="2" t="s">
        <v>74</v>
      </c>
      <c r="BA423" s="2" t="s">
        <v>74</v>
      </c>
      <c r="BB423" s="2">
        <v>179</v>
      </c>
      <c r="BC423" s="2">
        <v>184</v>
      </c>
      <c r="BD423" s="2" t="s">
        <v>74</v>
      </c>
      <c r="BE423" s="2" t="s">
        <v>7032</v>
      </c>
      <c r="BF423" s="2" t="str">
        <f>HYPERLINK("http://dx.doi.org/10.1016/j.zool.2013.09.005","http://dx.doi.org/10.1016/j.zool.2013.09.005")</f>
        <v>http://dx.doi.org/10.1016/j.zool.2013.09.005</v>
      </c>
      <c r="BG423" s="2" t="s">
        <v>74</v>
      </c>
      <c r="BH423" s="2" t="s">
        <v>74</v>
      </c>
      <c r="BI423" s="2" t="s">
        <v>74</v>
      </c>
      <c r="BJ423" s="2" t="s">
        <v>74</v>
      </c>
      <c r="BK423" s="2" t="s">
        <v>74</v>
      </c>
      <c r="BL423" s="2" t="s">
        <v>74</v>
      </c>
      <c r="BM423" s="2" t="s">
        <v>74</v>
      </c>
      <c r="BN423" s="2">
        <v>24783997</v>
      </c>
      <c r="BO423" s="2" t="s">
        <v>74</v>
      </c>
      <c r="BP423" s="2" t="s">
        <v>74</v>
      </c>
      <c r="BQ423" s="2" t="s">
        <v>74</v>
      </c>
      <c r="BR423" s="2" t="s">
        <v>74</v>
      </c>
      <c r="BS423" s="2" t="s">
        <v>7033</v>
      </c>
      <c r="BT423" s="2" t="str">
        <f>HYPERLINK("https%3A%2F%2Fwww.webofscience.com%2Fwos%2Fwoscc%2Ffull-record%2FWOS:000337884800004","View Full Record in Web of Science")</f>
        <v>View Full Record in Web of Science</v>
      </c>
    </row>
    <row r="424" spans="1:72" s="2" customFormat="1" x14ac:dyDescent="0.4">
      <c r="A424" s="2" t="s">
        <v>72</v>
      </c>
      <c r="B424" s="2" t="s">
        <v>912</v>
      </c>
      <c r="C424" s="2" t="s">
        <v>74</v>
      </c>
      <c r="D424" s="2" t="s">
        <v>74</v>
      </c>
      <c r="E424" s="2" t="s">
        <v>74</v>
      </c>
      <c r="F424" s="2" t="s">
        <v>913</v>
      </c>
      <c r="G424" s="2" t="s">
        <v>74</v>
      </c>
      <c r="H424" s="2" t="s">
        <v>74</v>
      </c>
      <c r="I424" s="2" t="s">
        <v>914</v>
      </c>
      <c r="J424" s="2" t="s">
        <v>140</v>
      </c>
      <c r="K424" s="2" t="s">
        <v>74</v>
      </c>
      <c r="L424" s="2" t="s">
        <v>74</v>
      </c>
      <c r="M424" s="2" t="s">
        <v>74</v>
      </c>
      <c r="N424" s="2" t="s">
        <v>74</v>
      </c>
      <c r="O424" s="2" t="s">
        <v>74</v>
      </c>
      <c r="P424" s="2" t="s">
        <v>74</v>
      </c>
      <c r="Q424" s="2" t="s">
        <v>74</v>
      </c>
      <c r="R424" s="2" t="s">
        <v>74</v>
      </c>
      <c r="S424" s="2" t="s">
        <v>74</v>
      </c>
      <c r="T424" s="2" t="s">
        <v>74</v>
      </c>
      <c r="U424" s="2" t="s">
        <v>74</v>
      </c>
      <c r="V424" s="5" t="s">
        <v>915</v>
      </c>
      <c r="W424" s="2" t="s">
        <v>74</v>
      </c>
      <c r="X424" s="2" t="s">
        <v>74</v>
      </c>
      <c r="Y424" s="2" t="s">
        <v>74</v>
      </c>
      <c r="Z424" s="2" t="s">
        <v>74</v>
      </c>
      <c r="AA424" s="2" t="s">
        <v>916</v>
      </c>
      <c r="AB424" s="2" t="s">
        <v>917</v>
      </c>
      <c r="AC424" s="2" t="s">
        <v>74</v>
      </c>
      <c r="AD424" s="2" t="s">
        <v>74</v>
      </c>
      <c r="AE424" s="2" t="s">
        <v>74</v>
      </c>
      <c r="AF424" s="2" t="s">
        <v>74</v>
      </c>
      <c r="AG424" s="2" t="s">
        <v>74</v>
      </c>
      <c r="AH424" s="2" t="s">
        <v>74</v>
      </c>
      <c r="AI424" s="2" t="s">
        <v>74</v>
      </c>
      <c r="AJ424" s="2" t="s">
        <v>74</v>
      </c>
      <c r="AK424" s="2" t="s">
        <v>74</v>
      </c>
      <c r="AL424" s="2" t="s">
        <v>74</v>
      </c>
      <c r="AM424" s="2" t="s">
        <v>74</v>
      </c>
      <c r="AN424" s="2" t="s">
        <v>74</v>
      </c>
      <c r="AO424" s="2" t="s">
        <v>143</v>
      </c>
      <c r="AP424" s="2" t="s">
        <v>144</v>
      </c>
      <c r="AQ424" s="2" t="s">
        <v>74</v>
      </c>
      <c r="AR424" s="2" t="s">
        <v>74</v>
      </c>
      <c r="AS424" s="2" t="s">
        <v>74</v>
      </c>
      <c r="AT424" s="2" t="s">
        <v>633</v>
      </c>
      <c r="AU424" s="2">
        <v>2015</v>
      </c>
      <c r="AV424" s="2">
        <v>102</v>
      </c>
      <c r="AW424" s="2" t="s">
        <v>74</v>
      </c>
      <c r="AX424" s="2" t="s">
        <v>74</v>
      </c>
      <c r="AY424" s="2" t="s">
        <v>74</v>
      </c>
      <c r="AZ424" s="2" t="s">
        <v>74</v>
      </c>
      <c r="BA424" s="2" t="s">
        <v>74</v>
      </c>
      <c r="BB424" s="2">
        <v>59</v>
      </c>
      <c r="BC424" s="2">
        <v>67</v>
      </c>
      <c r="BD424" s="2" t="s">
        <v>74</v>
      </c>
      <c r="BE424" s="2" t="s">
        <v>918</v>
      </c>
      <c r="BF424" s="2" t="str">
        <f>HYPERLINK("http://dx.doi.org/10.1016/j.anbehav.2015.01.004","http://dx.doi.org/10.1016/j.anbehav.2015.01.004")</f>
        <v>http://dx.doi.org/10.1016/j.anbehav.2015.01.004</v>
      </c>
      <c r="BG424" s="2" t="s">
        <v>74</v>
      </c>
      <c r="BH424" s="2" t="s">
        <v>74</v>
      </c>
      <c r="BI424" s="2" t="s">
        <v>74</v>
      </c>
      <c r="BJ424" s="2" t="s">
        <v>74</v>
      </c>
      <c r="BK424" s="2" t="s">
        <v>74</v>
      </c>
      <c r="BL424" s="2" t="s">
        <v>74</v>
      </c>
      <c r="BM424" s="2" t="s">
        <v>74</v>
      </c>
      <c r="BN424" s="2" t="s">
        <v>74</v>
      </c>
      <c r="BO424" s="2" t="s">
        <v>74</v>
      </c>
      <c r="BP424" s="2" t="s">
        <v>74</v>
      </c>
      <c r="BQ424" s="2" t="s">
        <v>74</v>
      </c>
      <c r="BR424" s="2" t="s">
        <v>74</v>
      </c>
      <c r="BS424" s="2" t="s">
        <v>919</v>
      </c>
      <c r="BT424" s="2" t="str">
        <f>HYPERLINK("https%3A%2F%2Fwww.webofscience.com%2Fwos%2Fwoscc%2Ffull-record%2FWOS:000351058700007","View Full Record in Web of Science")</f>
        <v>View Full Record in Web of Science</v>
      </c>
    </row>
    <row r="425" spans="1:72" s="2" customFormat="1" x14ac:dyDescent="0.4">
      <c r="A425" s="2" t="s">
        <v>72</v>
      </c>
      <c r="B425" s="2" t="s">
        <v>2853</v>
      </c>
      <c r="C425" s="2" t="s">
        <v>74</v>
      </c>
      <c r="D425" s="2" t="s">
        <v>74</v>
      </c>
      <c r="E425" s="2" t="s">
        <v>74</v>
      </c>
      <c r="F425" s="2" t="s">
        <v>2854</v>
      </c>
      <c r="G425" s="2" t="s">
        <v>74</v>
      </c>
      <c r="H425" s="2" t="s">
        <v>74</v>
      </c>
      <c r="I425" s="2" t="s">
        <v>2855</v>
      </c>
      <c r="J425" s="2" t="s">
        <v>2856</v>
      </c>
      <c r="K425" s="2" t="s">
        <v>74</v>
      </c>
      <c r="L425" s="2" t="s">
        <v>74</v>
      </c>
      <c r="M425" s="2" t="s">
        <v>74</v>
      </c>
      <c r="N425" s="2" t="s">
        <v>74</v>
      </c>
      <c r="O425" s="2" t="s">
        <v>2857</v>
      </c>
      <c r="P425" s="2" t="s">
        <v>2858</v>
      </c>
      <c r="Q425" s="2" t="s">
        <v>2859</v>
      </c>
      <c r="R425" s="2" t="s">
        <v>74</v>
      </c>
      <c r="S425" s="2" t="s">
        <v>74</v>
      </c>
      <c r="T425" s="2" t="s">
        <v>74</v>
      </c>
      <c r="U425" s="2" t="s">
        <v>74</v>
      </c>
      <c r="V425" s="5" t="s">
        <v>2860</v>
      </c>
      <c r="W425" s="2" t="s">
        <v>74</v>
      </c>
      <c r="X425" s="2" t="s">
        <v>74</v>
      </c>
      <c r="Y425" s="2" t="s">
        <v>74</v>
      </c>
      <c r="Z425" s="2" t="s">
        <v>74</v>
      </c>
      <c r="AA425" s="2" t="s">
        <v>74</v>
      </c>
      <c r="AB425" s="2" t="s">
        <v>74</v>
      </c>
      <c r="AC425" s="2" t="s">
        <v>74</v>
      </c>
      <c r="AD425" s="2" t="s">
        <v>74</v>
      </c>
      <c r="AE425" s="2" t="s">
        <v>74</v>
      </c>
      <c r="AF425" s="2" t="s">
        <v>74</v>
      </c>
      <c r="AG425" s="2" t="s">
        <v>74</v>
      </c>
      <c r="AH425" s="2" t="s">
        <v>74</v>
      </c>
      <c r="AI425" s="2" t="s">
        <v>74</v>
      </c>
      <c r="AJ425" s="2" t="s">
        <v>74</v>
      </c>
      <c r="AK425" s="2" t="s">
        <v>74</v>
      </c>
      <c r="AL425" s="2" t="s">
        <v>74</v>
      </c>
      <c r="AM425" s="2" t="s">
        <v>74</v>
      </c>
      <c r="AN425" s="2" t="s">
        <v>74</v>
      </c>
      <c r="AO425" s="2" t="s">
        <v>2861</v>
      </c>
      <c r="AP425" s="2" t="s">
        <v>2862</v>
      </c>
      <c r="AQ425" s="2" t="s">
        <v>74</v>
      </c>
      <c r="AR425" s="2" t="s">
        <v>74</v>
      </c>
      <c r="AS425" s="2" t="s">
        <v>74</v>
      </c>
      <c r="AT425" s="2" t="s">
        <v>123</v>
      </c>
      <c r="AU425" s="2">
        <v>2019</v>
      </c>
      <c r="AV425" s="2">
        <v>14</v>
      </c>
      <c r="AW425" s="2">
        <v>2</v>
      </c>
      <c r="AX425" s="2" t="s">
        <v>74</v>
      </c>
      <c r="AY425" s="2" t="s">
        <v>74</v>
      </c>
      <c r="AZ425" s="2" t="s">
        <v>848</v>
      </c>
      <c r="BA425" s="2" t="s">
        <v>74</v>
      </c>
      <c r="BB425" s="2">
        <v>214</v>
      </c>
      <c r="BC425" s="2">
        <v>222</v>
      </c>
      <c r="BD425" s="2" t="s">
        <v>74</v>
      </c>
      <c r="BE425" s="2" t="s">
        <v>2863</v>
      </c>
      <c r="BF425" s="2" t="str">
        <f>HYPERLINK("http://dx.doi.org/10.1111/1749-4877.12303","http://dx.doi.org/10.1111/1749-4877.12303")</f>
        <v>http://dx.doi.org/10.1111/1749-4877.12303</v>
      </c>
      <c r="BG425" s="2" t="s">
        <v>74</v>
      </c>
      <c r="BH425" s="2" t="s">
        <v>74</v>
      </c>
      <c r="BI425" s="2" t="s">
        <v>74</v>
      </c>
      <c r="BJ425" s="2" t="s">
        <v>74</v>
      </c>
      <c r="BK425" s="2" t="s">
        <v>74</v>
      </c>
      <c r="BL425" s="2" t="s">
        <v>74</v>
      </c>
      <c r="BM425" s="2" t="s">
        <v>74</v>
      </c>
      <c r="BN425" s="2">
        <v>29316228</v>
      </c>
      <c r="BO425" s="2" t="s">
        <v>74</v>
      </c>
      <c r="BP425" s="2" t="s">
        <v>74</v>
      </c>
      <c r="BQ425" s="2" t="s">
        <v>74</v>
      </c>
      <c r="BR425" s="2" t="s">
        <v>74</v>
      </c>
      <c r="BS425" s="2" t="s">
        <v>2864</v>
      </c>
      <c r="BT425" s="2" t="str">
        <f>HYPERLINK("https%3A%2F%2Fwww.webofscience.com%2Fwos%2Fwoscc%2Ffull-record%2FWOS:000462130200009","View Full Record in Web of Science")</f>
        <v>View Full Record in Web of Science</v>
      </c>
    </row>
    <row r="426" spans="1:72" s="2" customFormat="1" x14ac:dyDescent="0.4">
      <c r="A426" s="2" t="s">
        <v>72</v>
      </c>
      <c r="B426" s="2" t="s">
        <v>7280</v>
      </c>
      <c r="C426" s="2" t="s">
        <v>74</v>
      </c>
      <c r="D426" s="2" t="s">
        <v>74</v>
      </c>
      <c r="E426" s="2" t="s">
        <v>74</v>
      </c>
      <c r="F426" s="2" t="s">
        <v>7281</v>
      </c>
      <c r="G426" s="2" t="s">
        <v>74</v>
      </c>
      <c r="H426" s="2" t="s">
        <v>74</v>
      </c>
      <c r="I426" s="2" t="s">
        <v>7282</v>
      </c>
      <c r="J426" s="2" t="s">
        <v>77</v>
      </c>
      <c r="K426" s="2" t="s">
        <v>74</v>
      </c>
      <c r="L426" s="2" t="s">
        <v>74</v>
      </c>
      <c r="M426" s="2" t="s">
        <v>74</v>
      </c>
      <c r="N426" s="2" t="s">
        <v>74</v>
      </c>
      <c r="O426" s="2" t="s">
        <v>74</v>
      </c>
      <c r="P426" s="2" t="s">
        <v>74</v>
      </c>
      <c r="Q426" s="2" t="s">
        <v>74</v>
      </c>
      <c r="R426" s="2" t="s">
        <v>74</v>
      </c>
      <c r="S426" s="2" t="s">
        <v>74</v>
      </c>
      <c r="T426" s="2" t="s">
        <v>74</v>
      </c>
      <c r="U426" s="2" t="s">
        <v>74</v>
      </c>
      <c r="V426" s="5" t="s">
        <v>7283</v>
      </c>
      <c r="W426" s="2" t="s">
        <v>74</v>
      </c>
      <c r="X426" s="2" t="s">
        <v>74</v>
      </c>
      <c r="Y426" s="2" t="s">
        <v>74</v>
      </c>
      <c r="Z426" s="2" t="s">
        <v>74</v>
      </c>
      <c r="AA426" s="2" t="s">
        <v>7284</v>
      </c>
      <c r="AB426" s="2" t="s">
        <v>6078</v>
      </c>
      <c r="AC426" s="2" t="s">
        <v>74</v>
      </c>
      <c r="AD426" s="2" t="s">
        <v>74</v>
      </c>
      <c r="AE426" s="2" t="s">
        <v>74</v>
      </c>
      <c r="AF426" s="2" t="s">
        <v>74</v>
      </c>
      <c r="AG426" s="2" t="s">
        <v>74</v>
      </c>
      <c r="AH426" s="2" t="s">
        <v>74</v>
      </c>
      <c r="AI426" s="2" t="s">
        <v>74</v>
      </c>
      <c r="AJ426" s="2" t="s">
        <v>74</v>
      </c>
      <c r="AK426" s="2" t="s">
        <v>74</v>
      </c>
      <c r="AL426" s="2" t="s">
        <v>74</v>
      </c>
      <c r="AM426" s="2" t="s">
        <v>74</v>
      </c>
      <c r="AN426" s="2" t="s">
        <v>74</v>
      </c>
      <c r="AO426" s="2" t="s">
        <v>81</v>
      </c>
      <c r="AP426" s="2" t="s">
        <v>82</v>
      </c>
      <c r="AQ426" s="2" t="s">
        <v>74</v>
      </c>
      <c r="AR426" s="2" t="s">
        <v>74</v>
      </c>
      <c r="AS426" s="2" t="s">
        <v>74</v>
      </c>
      <c r="AT426" s="2" t="s">
        <v>74</v>
      </c>
      <c r="AU426" s="2">
        <v>2015</v>
      </c>
      <c r="AV426" s="2">
        <v>152</v>
      </c>
      <c r="AW426" s="2" t="s">
        <v>6362</v>
      </c>
      <c r="AX426" s="2" t="s">
        <v>74</v>
      </c>
      <c r="AY426" s="2" t="s">
        <v>74</v>
      </c>
      <c r="AZ426" s="2" t="s">
        <v>74</v>
      </c>
      <c r="BA426" s="2" t="s">
        <v>74</v>
      </c>
      <c r="BB426" s="2">
        <v>1769</v>
      </c>
      <c r="BC426" s="2">
        <v>1781</v>
      </c>
      <c r="BD426" s="2" t="s">
        <v>74</v>
      </c>
      <c r="BE426" s="2" t="s">
        <v>7285</v>
      </c>
      <c r="BF426" s="2" t="str">
        <f>HYPERLINK("http://dx.doi.org/10.1163/1568539X-00003303","http://dx.doi.org/10.1163/1568539X-00003303")</f>
        <v>http://dx.doi.org/10.1163/1568539X-00003303</v>
      </c>
      <c r="BG426" s="2" t="s">
        <v>74</v>
      </c>
      <c r="BH426" s="2" t="s">
        <v>74</v>
      </c>
      <c r="BI426" s="2" t="s">
        <v>74</v>
      </c>
      <c r="BJ426" s="2" t="s">
        <v>74</v>
      </c>
      <c r="BK426" s="2" t="s">
        <v>74</v>
      </c>
      <c r="BL426" s="2" t="s">
        <v>74</v>
      </c>
      <c r="BM426" s="2" t="s">
        <v>74</v>
      </c>
      <c r="BN426" s="2" t="s">
        <v>74</v>
      </c>
      <c r="BO426" s="2" t="s">
        <v>74</v>
      </c>
      <c r="BP426" s="2" t="s">
        <v>74</v>
      </c>
      <c r="BQ426" s="2" t="s">
        <v>74</v>
      </c>
      <c r="BR426" s="2" t="s">
        <v>74</v>
      </c>
      <c r="BS426" s="2" t="s">
        <v>7286</v>
      </c>
      <c r="BT426" s="2" t="str">
        <f>HYPERLINK("https%3A%2F%2Fwww.webofscience.com%2Fwos%2Fwoscc%2Ffull-record%2FWOS:000362911000009","View Full Record in Web of Science")</f>
        <v>View Full Record in Web of Science</v>
      </c>
    </row>
    <row r="427" spans="1:72" s="2" customFormat="1" x14ac:dyDescent="0.4">
      <c r="A427" s="2" t="s">
        <v>72</v>
      </c>
      <c r="B427" s="2" t="s">
        <v>3511</v>
      </c>
      <c r="C427" s="2" t="s">
        <v>74</v>
      </c>
      <c r="D427" s="2" t="s">
        <v>74</v>
      </c>
      <c r="E427" s="2" t="s">
        <v>74</v>
      </c>
      <c r="F427" s="2" t="s">
        <v>3511</v>
      </c>
      <c r="G427" s="2" t="s">
        <v>74</v>
      </c>
      <c r="H427" s="2" t="s">
        <v>74</v>
      </c>
      <c r="I427" s="2" t="s">
        <v>3512</v>
      </c>
      <c r="J427" s="2" t="s">
        <v>344</v>
      </c>
      <c r="K427" s="2" t="s">
        <v>74</v>
      </c>
      <c r="L427" s="2" t="s">
        <v>74</v>
      </c>
      <c r="M427" s="2" t="s">
        <v>74</v>
      </c>
      <c r="N427" s="2" t="s">
        <v>74</v>
      </c>
      <c r="O427" s="2" t="s">
        <v>74</v>
      </c>
      <c r="P427" s="2" t="s">
        <v>74</v>
      </c>
      <c r="Q427" s="2" t="s">
        <v>74</v>
      </c>
      <c r="R427" s="2" t="s">
        <v>74</v>
      </c>
      <c r="S427" s="2" t="s">
        <v>74</v>
      </c>
      <c r="T427" s="2" t="s">
        <v>74</v>
      </c>
      <c r="U427" s="2" t="s">
        <v>74</v>
      </c>
      <c r="V427" s="5" t="s">
        <v>3513</v>
      </c>
      <c r="W427" s="2" t="s">
        <v>74</v>
      </c>
      <c r="X427" s="2" t="s">
        <v>74</v>
      </c>
      <c r="Y427" s="2" t="s">
        <v>74</v>
      </c>
      <c r="Z427" s="2" t="s">
        <v>74</v>
      </c>
      <c r="AA427" s="2" t="s">
        <v>74</v>
      </c>
      <c r="AB427" s="2" t="s">
        <v>3514</v>
      </c>
      <c r="AC427" s="2" t="s">
        <v>74</v>
      </c>
      <c r="AD427" s="2" t="s">
        <v>74</v>
      </c>
      <c r="AE427" s="2" t="s">
        <v>74</v>
      </c>
      <c r="AF427" s="2" t="s">
        <v>74</v>
      </c>
      <c r="AG427" s="2" t="s">
        <v>74</v>
      </c>
      <c r="AH427" s="2" t="s">
        <v>74</v>
      </c>
      <c r="AI427" s="2" t="s">
        <v>74</v>
      </c>
      <c r="AJ427" s="2" t="s">
        <v>74</v>
      </c>
      <c r="AK427" s="2" t="s">
        <v>74</v>
      </c>
      <c r="AL427" s="2" t="s">
        <v>74</v>
      </c>
      <c r="AM427" s="2" t="s">
        <v>74</v>
      </c>
      <c r="AN427" s="2" t="s">
        <v>74</v>
      </c>
      <c r="AO427" s="2" t="s">
        <v>346</v>
      </c>
      <c r="AP427" s="2" t="s">
        <v>74</v>
      </c>
      <c r="AQ427" s="2" t="s">
        <v>74</v>
      </c>
      <c r="AR427" s="2" t="s">
        <v>74</v>
      </c>
      <c r="AS427" s="2" t="s">
        <v>74</v>
      </c>
      <c r="AT427" s="2" t="s">
        <v>145</v>
      </c>
      <c r="AU427" s="2">
        <v>2001</v>
      </c>
      <c r="AV427" s="2">
        <v>61</v>
      </c>
      <c r="AW427" s="2">
        <v>4</v>
      </c>
      <c r="AX427" s="2" t="s">
        <v>74</v>
      </c>
      <c r="AY427" s="2" t="s">
        <v>74</v>
      </c>
      <c r="AZ427" s="2" t="s">
        <v>74</v>
      </c>
      <c r="BA427" s="2" t="s">
        <v>74</v>
      </c>
      <c r="BB427" s="2">
        <v>419</v>
      </c>
      <c r="BC427" s="2">
        <v>426</v>
      </c>
      <c r="BD427" s="2" t="s">
        <v>74</v>
      </c>
      <c r="BE427" s="2" t="s">
        <v>3515</v>
      </c>
      <c r="BF427" s="2" t="str">
        <f>HYPERLINK("http://dx.doi.org/10.1023/A:1011658503017","http://dx.doi.org/10.1023/A:1011658503017")</f>
        <v>http://dx.doi.org/10.1023/A:1011658503017</v>
      </c>
      <c r="BG427" s="2" t="s">
        <v>74</v>
      </c>
      <c r="BH427" s="2" t="s">
        <v>74</v>
      </c>
      <c r="BI427" s="2" t="s">
        <v>74</v>
      </c>
      <c r="BJ427" s="2" t="s">
        <v>74</v>
      </c>
      <c r="BK427" s="2" t="s">
        <v>74</v>
      </c>
      <c r="BL427" s="2" t="s">
        <v>74</v>
      </c>
      <c r="BM427" s="2" t="s">
        <v>74</v>
      </c>
      <c r="BN427" s="2" t="s">
        <v>74</v>
      </c>
      <c r="BO427" s="2" t="s">
        <v>74</v>
      </c>
      <c r="BP427" s="2" t="s">
        <v>74</v>
      </c>
      <c r="BQ427" s="2" t="s">
        <v>74</v>
      </c>
      <c r="BR427" s="2" t="s">
        <v>74</v>
      </c>
      <c r="BS427" s="2" t="s">
        <v>3516</v>
      </c>
      <c r="BT427" s="2" t="str">
        <f>HYPERLINK("https%3A%2F%2Fwww.webofscience.com%2Fwos%2Fwoscc%2Ffull-record%2FWOS:000170725900008","View Full Record in Web of Science")</f>
        <v>View Full Record in Web of Science</v>
      </c>
    </row>
    <row r="428" spans="1:72" s="2" customFormat="1" x14ac:dyDescent="0.4">
      <c r="A428" s="2" t="s">
        <v>72</v>
      </c>
      <c r="B428" s="2" t="s">
        <v>2375</v>
      </c>
      <c r="C428" s="2" t="s">
        <v>74</v>
      </c>
      <c r="D428" s="2" t="s">
        <v>74</v>
      </c>
      <c r="E428" s="2" t="s">
        <v>74</v>
      </c>
      <c r="F428" s="2" t="s">
        <v>2376</v>
      </c>
      <c r="G428" s="2" t="s">
        <v>74</v>
      </c>
      <c r="H428" s="2" t="s">
        <v>74</v>
      </c>
      <c r="I428" s="2" t="s">
        <v>2377</v>
      </c>
      <c r="J428" s="2" t="s">
        <v>775</v>
      </c>
      <c r="K428" s="2" t="s">
        <v>74</v>
      </c>
      <c r="L428" s="2" t="s">
        <v>74</v>
      </c>
      <c r="M428" s="2" t="s">
        <v>74</v>
      </c>
      <c r="N428" s="2" t="s">
        <v>74</v>
      </c>
      <c r="O428" s="2" t="s">
        <v>74</v>
      </c>
      <c r="P428" s="2" t="s">
        <v>74</v>
      </c>
      <c r="Q428" s="2" t="s">
        <v>74</v>
      </c>
      <c r="R428" s="2" t="s">
        <v>74</v>
      </c>
      <c r="S428" s="2" t="s">
        <v>74</v>
      </c>
      <c r="T428" s="2" t="s">
        <v>74</v>
      </c>
      <c r="U428" s="2" t="s">
        <v>74</v>
      </c>
      <c r="V428" s="5" t="s">
        <v>2378</v>
      </c>
      <c r="W428" s="2" t="s">
        <v>74</v>
      </c>
      <c r="X428" s="2" t="s">
        <v>74</v>
      </c>
      <c r="Y428" s="2" t="s">
        <v>74</v>
      </c>
      <c r="Z428" s="2" t="s">
        <v>74</v>
      </c>
      <c r="AA428" s="2" t="s">
        <v>74</v>
      </c>
      <c r="AB428" s="2" t="s">
        <v>74</v>
      </c>
      <c r="AC428" s="2" t="s">
        <v>74</v>
      </c>
      <c r="AD428" s="2" t="s">
        <v>74</v>
      </c>
      <c r="AE428" s="2" t="s">
        <v>74</v>
      </c>
      <c r="AF428" s="2" t="s">
        <v>74</v>
      </c>
      <c r="AG428" s="2" t="s">
        <v>74</v>
      </c>
      <c r="AH428" s="2" t="s">
        <v>74</v>
      </c>
      <c r="AI428" s="2" t="s">
        <v>74</v>
      </c>
      <c r="AJ428" s="2" t="s">
        <v>74</v>
      </c>
      <c r="AK428" s="2" t="s">
        <v>74</v>
      </c>
      <c r="AL428" s="2" t="s">
        <v>74</v>
      </c>
      <c r="AM428" s="2" t="s">
        <v>74</v>
      </c>
      <c r="AN428" s="2" t="s">
        <v>74</v>
      </c>
      <c r="AO428" s="2" t="s">
        <v>778</v>
      </c>
      <c r="AP428" s="2" t="s">
        <v>779</v>
      </c>
      <c r="AQ428" s="2" t="s">
        <v>74</v>
      </c>
      <c r="AR428" s="2" t="s">
        <v>74</v>
      </c>
      <c r="AS428" s="2" t="s">
        <v>74</v>
      </c>
      <c r="AT428" s="2" t="s">
        <v>102</v>
      </c>
      <c r="AU428" s="2">
        <v>2019</v>
      </c>
      <c r="AV428" s="2">
        <v>65</v>
      </c>
      <c r="AW428" s="2">
        <v>3</v>
      </c>
      <c r="AX428" s="2" t="s">
        <v>74</v>
      </c>
      <c r="AY428" s="2" t="s">
        <v>74</v>
      </c>
      <c r="AZ428" s="2" t="s">
        <v>74</v>
      </c>
      <c r="BA428" s="2" t="s">
        <v>74</v>
      </c>
      <c r="BB428" s="2">
        <v>323</v>
      </c>
      <c r="BC428" s="2">
        <v>332</v>
      </c>
      <c r="BD428" s="2" t="s">
        <v>74</v>
      </c>
      <c r="BE428" s="2" t="s">
        <v>2379</v>
      </c>
      <c r="BF428" s="2" t="str">
        <f>HYPERLINK("http://dx.doi.org/10.1093/cz/zoz029","http://dx.doi.org/10.1093/cz/zoz029")</f>
        <v>http://dx.doi.org/10.1093/cz/zoz029</v>
      </c>
      <c r="BG428" s="2" t="s">
        <v>74</v>
      </c>
      <c r="BH428" s="2" t="s">
        <v>74</v>
      </c>
      <c r="BI428" s="2" t="s">
        <v>74</v>
      </c>
      <c r="BJ428" s="2" t="s">
        <v>74</v>
      </c>
      <c r="BK428" s="2" t="s">
        <v>74</v>
      </c>
      <c r="BL428" s="2" t="s">
        <v>74</v>
      </c>
      <c r="BM428" s="2" t="s">
        <v>74</v>
      </c>
      <c r="BN428" s="2">
        <v>31263491</v>
      </c>
      <c r="BO428" s="2" t="s">
        <v>74</v>
      </c>
      <c r="BP428" s="2" t="s">
        <v>74</v>
      </c>
      <c r="BQ428" s="2" t="s">
        <v>74</v>
      </c>
      <c r="BR428" s="2" t="s">
        <v>74</v>
      </c>
      <c r="BS428" s="2" t="s">
        <v>2380</v>
      </c>
      <c r="BT428" s="2" t="str">
        <f>HYPERLINK("https%3A%2F%2Fwww.webofscience.com%2Fwos%2Fwoscc%2Ffull-record%2FWOS:000475905500012","View Full Record in Web of Science")</f>
        <v>View Full Record in Web of Science</v>
      </c>
    </row>
    <row r="429" spans="1:72" s="2" customFormat="1" x14ac:dyDescent="0.4">
      <c r="A429" s="2" t="s">
        <v>72</v>
      </c>
      <c r="B429" s="2" t="s">
        <v>7445</v>
      </c>
      <c r="C429" s="2" t="s">
        <v>74</v>
      </c>
      <c r="D429" s="2" t="s">
        <v>74</v>
      </c>
      <c r="E429" s="2" t="s">
        <v>74</v>
      </c>
      <c r="F429" s="2" t="s">
        <v>7446</v>
      </c>
      <c r="G429" s="2" t="s">
        <v>74</v>
      </c>
      <c r="H429" s="2" t="s">
        <v>74</v>
      </c>
      <c r="I429" s="2" t="s">
        <v>7447</v>
      </c>
      <c r="J429" s="2" t="s">
        <v>6226</v>
      </c>
      <c r="K429" s="2" t="s">
        <v>74</v>
      </c>
      <c r="L429" s="2" t="s">
        <v>74</v>
      </c>
      <c r="M429" s="2" t="s">
        <v>74</v>
      </c>
      <c r="N429" s="2" t="s">
        <v>74</v>
      </c>
      <c r="O429" s="2" t="s">
        <v>74</v>
      </c>
      <c r="P429" s="2" t="s">
        <v>74</v>
      </c>
      <c r="Q429" s="2" t="s">
        <v>74</v>
      </c>
      <c r="R429" s="2" t="s">
        <v>74</v>
      </c>
      <c r="S429" s="2" t="s">
        <v>74</v>
      </c>
      <c r="T429" s="2" t="s">
        <v>74</v>
      </c>
      <c r="U429" s="2" t="s">
        <v>74</v>
      </c>
      <c r="V429" s="5" t="s">
        <v>7448</v>
      </c>
      <c r="W429" s="2" t="s">
        <v>74</v>
      </c>
      <c r="X429" s="2" t="s">
        <v>74</v>
      </c>
      <c r="Y429" s="2" t="s">
        <v>74</v>
      </c>
      <c r="Z429" s="2" t="s">
        <v>74</v>
      </c>
      <c r="AA429" s="2" t="s">
        <v>74</v>
      </c>
      <c r="AB429" s="2" t="s">
        <v>74</v>
      </c>
      <c r="AC429" s="2" t="s">
        <v>74</v>
      </c>
      <c r="AD429" s="2" t="s">
        <v>74</v>
      </c>
      <c r="AE429" s="2" t="s">
        <v>74</v>
      </c>
      <c r="AF429" s="2" t="s">
        <v>74</v>
      </c>
      <c r="AG429" s="2" t="s">
        <v>74</v>
      </c>
      <c r="AH429" s="2" t="s">
        <v>74</v>
      </c>
      <c r="AI429" s="2" t="s">
        <v>74</v>
      </c>
      <c r="AJ429" s="2" t="s">
        <v>74</v>
      </c>
      <c r="AK429" s="2" t="s">
        <v>74</v>
      </c>
      <c r="AL429" s="2" t="s">
        <v>74</v>
      </c>
      <c r="AM429" s="2" t="s">
        <v>74</v>
      </c>
      <c r="AN429" s="2" t="s">
        <v>74</v>
      </c>
      <c r="AO429" s="2" t="s">
        <v>6228</v>
      </c>
      <c r="AP429" s="2" t="s">
        <v>6229</v>
      </c>
      <c r="AQ429" s="2" t="s">
        <v>74</v>
      </c>
      <c r="AR429" s="2" t="s">
        <v>74</v>
      </c>
      <c r="AS429" s="2" t="s">
        <v>74</v>
      </c>
      <c r="AT429" s="2" t="s">
        <v>2177</v>
      </c>
      <c r="AU429" s="2">
        <v>2022</v>
      </c>
      <c r="AV429" s="2">
        <v>61</v>
      </c>
      <c r="AW429" s="2" t="s">
        <v>74</v>
      </c>
      <c r="AX429" s="2" t="s">
        <v>74</v>
      </c>
      <c r="AY429" s="2" t="s">
        <v>74</v>
      </c>
      <c r="AZ429" s="2" t="s">
        <v>74</v>
      </c>
      <c r="BA429" s="2" t="s">
        <v>74</v>
      </c>
      <c r="BB429" s="2" t="s">
        <v>74</v>
      </c>
      <c r="BC429" s="2" t="s">
        <v>74</v>
      </c>
      <c r="BD429" s="2">
        <v>76</v>
      </c>
      <c r="BE429" s="2" t="s">
        <v>7449</v>
      </c>
      <c r="BF429" s="2" t="str">
        <f>HYPERLINK("http://dx.doi.org/10.6620/ZS.2022.61-76","http://dx.doi.org/10.6620/ZS.2022.61-76")</f>
        <v>http://dx.doi.org/10.6620/ZS.2022.61-76</v>
      </c>
      <c r="BG429" s="2" t="s">
        <v>74</v>
      </c>
      <c r="BH429" s="2" t="s">
        <v>74</v>
      </c>
      <c r="BI429" s="2" t="s">
        <v>74</v>
      </c>
      <c r="BJ429" s="2" t="s">
        <v>74</v>
      </c>
      <c r="BK429" s="2" t="s">
        <v>74</v>
      </c>
      <c r="BL429" s="2" t="s">
        <v>74</v>
      </c>
      <c r="BM429" s="2" t="s">
        <v>74</v>
      </c>
      <c r="BN429" s="2">
        <v>37007821</v>
      </c>
      <c r="BO429" s="2" t="s">
        <v>74</v>
      </c>
      <c r="BP429" s="2" t="s">
        <v>74</v>
      </c>
      <c r="BQ429" s="2" t="s">
        <v>74</v>
      </c>
      <c r="BR429" s="2" t="s">
        <v>74</v>
      </c>
      <c r="BS429" s="2" t="s">
        <v>7450</v>
      </c>
      <c r="BT429" s="2" t="str">
        <f>HYPERLINK("https%3A%2F%2Fwww.webofscience.com%2Fwos%2Fwoscc%2Ffull-record%2FWOS:001026426500001","View Full Record in Web of Science")</f>
        <v>View Full Record in Web of Science</v>
      </c>
    </row>
    <row r="430" spans="1:72" s="2" customFormat="1" x14ac:dyDescent="0.4">
      <c r="A430" s="2" t="s">
        <v>72</v>
      </c>
      <c r="B430" s="2" t="s">
        <v>8149</v>
      </c>
      <c r="C430" s="2" t="s">
        <v>74</v>
      </c>
      <c r="D430" s="2" t="s">
        <v>74</v>
      </c>
      <c r="E430" s="2" t="s">
        <v>74</v>
      </c>
      <c r="F430" s="2" t="s">
        <v>8149</v>
      </c>
      <c r="G430" s="2" t="s">
        <v>74</v>
      </c>
      <c r="H430" s="2" t="s">
        <v>74</v>
      </c>
      <c r="I430" s="2" t="s">
        <v>8150</v>
      </c>
      <c r="J430" s="2" t="s">
        <v>129</v>
      </c>
      <c r="K430" s="2" t="s">
        <v>74</v>
      </c>
      <c r="L430" s="2" t="s">
        <v>74</v>
      </c>
      <c r="M430" s="2" t="s">
        <v>74</v>
      </c>
      <c r="N430" s="2" t="s">
        <v>74</v>
      </c>
      <c r="O430" s="2" t="s">
        <v>74</v>
      </c>
      <c r="P430" s="2" t="s">
        <v>74</v>
      </c>
      <c r="Q430" s="2" t="s">
        <v>74</v>
      </c>
      <c r="R430" s="2" t="s">
        <v>74</v>
      </c>
      <c r="S430" s="2" t="s">
        <v>74</v>
      </c>
      <c r="T430" s="2" t="s">
        <v>74</v>
      </c>
      <c r="U430" s="2" t="s">
        <v>74</v>
      </c>
      <c r="V430" s="5" t="s">
        <v>8151</v>
      </c>
      <c r="W430" s="2" t="s">
        <v>74</v>
      </c>
      <c r="X430" s="2" t="s">
        <v>74</v>
      </c>
      <c r="Y430" s="2" t="s">
        <v>74</v>
      </c>
      <c r="Z430" s="2" t="s">
        <v>74</v>
      </c>
      <c r="AA430" s="2" t="s">
        <v>8152</v>
      </c>
      <c r="AB430" s="2" t="s">
        <v>8153</v>
      </c>
      <c r="AC430" s="2" t="s">
        <v>74</v>
      </c>
      <c r="AD430" s="2" t="s">
        <v>74</v>
      </c>
      <c r="AE430" s="2" t="s">
        <v>74</v>
      </c>
      <c r="AF430" s="2" t="s">
        <v>74</v>
      </c>
      <c r="AG430" s="2" t="s">
        <v>74</v>
      </c>
      <c r="AH430" s="2" t="s">
        <v>74</v>
      </c>
      <c r="AI430" s="2" t="s">
        <v>74</v>
      </c>
      <c r="AJ430" s="2" t="s">
        <v>74</v>
      </c>
      <c r="AK430" s="2" t="s">
        <v>74</v>
      </c>
      <c r="AL430" s="2" t="s">
        <v>74</v>
      </c>
      <c r="AM430" s="2" t="s">
        <v>74</v>
      </c>
      <c r="AN430" s="2" t="s">
        <v>74</v>
      </c>
      <c r="AO430" s="2" t="s">
        <v>132</v>
      </c>
      <c r="AP430" s="2" t="s">
        <v>74</v>
      </c>
      <c r="AQ430" s="2" t="s">
        <v>74</v>
      </c>
      <c r="AR430" s="2" t="s">
        <v>74</v>
      </c>
      <c r="AS430" s="2" t="s">
        <v>74</v>
      </c>
      <c r="AT430" s="2" t="s">
        <v>175</v>
      </c>
      <c r="AU430" s="2">
        <v>1999</v>
      </c>
      <c r="AV430" s="2">
        <v>46</v>
      </c>
      <c r="AW430" s="2">
        <v>5</v>
      </c>
      <c r="AX430" s="2" t="s">
        <v>74</v>
      </c>
      <c r="AY430" s="2" t="s">
        <v>74</v>
      </c>
      <c r="AZ430" s="2" t="s">
        <v>74</v>
      </c>
      <c r="BA430" s="2" t="s">
        <v>74</v>
      </c>
      <c r="BB430" s="2">
        <v>333</v>
      </c>
      <c r="BC430" s="2">
        <v>340</v>
      </c>
      <c r="BD430" s="2" t="s">
        <v>74</v>
      </c>
      <c r="BE430" s="2" t="s">
        <v>8154</v>
      </c>
      <c r="BF430" s="2" t="str">
        <f>HYPERLINK("http://dx.doi.org/10.1007/s002650050627","http://dx.doi.org/10.1007/s002650050627")</f>
        <v>http://dx.doi.org/10.1007/s002650050627</v>
      </c>
      <c r="BG430" s="2" t="s">
        <v>74</v>
      </c>
      <c r="BH430" s="2" t="s">
        <v>74</v>
      </c>
      <c r="BI430" s="2" t="s">
        <v>74</v>
      </c>
      <c r="BJ430" s="2" t="s">
        <v>74</v>
      </c>
      <c r="BK430" s="2" t="s">
        <v>74</v>
      </c>
      <c r="BL430" s="2" t="s">
        <v>74</v>
      </c>
      <c r="BM430" s="2" t="s">
        <v>74</v>
      </c>
      <c r="BN430" s="2" t="s">
        <v>74</v>
      </c>
      <c r="BO430" s="2" t="s">
        <v>74</v>
      </c>
      <c r="BP430" s="2" t="s">
        <v>74</v>
      </c>
      <c r="BQ430" s="2" t="s">
        <v>74</v>
      </c>
      <c r="BR430" s="2" t="s">
        <v>74</v>
      </c>
      <c r="BS430" s="2" t="s">
        <v>8155</v>
      </c>
      <c r="BT430" s="2" t="str">
        <f>HYPERLINK("https%3A%2F%2Fwww.webofscience.com%2Fwos%2Fwoscc%2Ffull-record%2FWOS:000083089800006","View Full Record in Web of Science")</f>
        <v>View Full Record in Web of Science</v>
      </c>
    </row>
    <row r="431" spans="1:72" s="2" customFormat="1" x14ac:dyDescent="0.4">
      <c r="A431" s="2" t="s">
        <v>72</v>
      </c>
      <c r="B431" s="2" t="s">
        <v>1060</v>
      </c>
      <c r="C431" s="2" t="s">
        <v>74</v>
      </c>
      <c r="D431" s="2" t="s">
        <v>74</v>
      </c>
      <c r="E431" s="2" t="s">
        <v>74</v>
      </c>
      <c r="F431" s="2" t="s">
        <v>1061</v>
      </c>
      <c r="G431" s="2" t="s">
        <v>74</v>
      </c>
      <c r="H431" s="2" t="s">
        <v>74</v>
      </c>
      <c r="I431" s="2" t="s">
        <v>1062</v>
      </c>
      <c r="J431" s="2" t="s">
        <v>654</v>
      </c>
      <c r="K431" s="2" t="s">
        <v>74</v>
      </c>
      <c r="L431" s="2" t="s">
        <v>74</v>
      </c>
      <c r="M431" s="2" t="s">
        <v>74</v>
      </c>
      <c r="N431" s="2" t="s">
        <v>74</v>
      </c>
      <c r="O431" s="2" t="s">
        <v>74</v>
      </c>
      <c r="P431" s="2" t="s">
        <v>74</v>
      </c>
      <c r="Q431" s="2" t="s">
        <v>74</v>
      </c>
      <c r="R431" s="2" t="s">
        <v>74</v>
      </c>
      <c r="S431" s="2" t="s">
        <v>74</v>
      </c>
      <c r="T431" s="2" t="s">
        <v>74</v>
      </c>
      <c r="U431" s="2" t="s">
        <v>74</v>
      </c>
      <c r="V431" s="5" t="s">
        <v>1063</v>
      </c>
      <c r="W431" s="2" t="s">
        <v>74</v>
      </c>
      <c r="X431" s="2" t="s">
        <v>74</v>
      </c>
      <c r="Y431" s="2" t="s">
        <v>74</v>
      </c>
      <c r="Z431" s="2" t="s">
        <v>74</v>
      </c>
      <c r="AA431" s="2" t="s">
        <v>1064</v>
      </c>
      <c r="AB431" s="2" t="s">
        <v>1065</v>
      </c>
      <c r="AC431" s="2" t="s">
        <v>74</v>
      </c>
      <c r="AD431" s="2" t="s">
        <v>74</v>
      </c>
      <c r="AE431" s="2" t="s">
        <v>74</v>
      </c>
      <c r="AF431" s="2" t="s">
        <v>74</v>
      </c>
      <c r="AG431" s="2" t="s">
        <v>74</v>
      </c>
      <c r="AH431" s="2" t="s">
        <v>74</v>
      </c>
      <c r="AI431" s="2" t="s">
        <v>74</v>
      </c>
      <c r="AJ431" s="2" t="s">
        <v>74</v>
      </c>
      <c r="AK431" s="2" t="s">
        <v>74</v>
      </c>
      <c r="AL431" s="2" t="s">
        <v>74</v>
      </c>
      <c r="AM431" s="2" t="s">
        <v>74</v>
      </c>
      <c r="AN431" s="2" t="s">
        <v>74</v>
      </c>
      <c r="AO431" s="2" t="s">
        <v>658</v>
      </c>
      <c r="AP431" s="2" t="s">
        <v>74</v>
      </c>
      <c r="AQ431" s="2" t="s">
        <v>74</v>
      </c>
      <c r="AR431" s="2" t="s">
        <v>74</v>
      </c>
      <c r="AS431" s="2" t="s">
        <v>74</v>
      </c>
      <c r="AT431" s="2" t="s">
        <v>352</v>
      </c>
      <c r="AU431" s="2">
        <v>2020</v>
      </c>
      <c r="AV431" s="2">
        <v>10</v>
      </c>
      <c r="AW431" s="2">
        <v>18</v>
      </c>
      <c r="AX431" s="2" t="s">
        <v>74</v>
      </c>
      <c r="AY431" s="2" t="s">
        <v>74</v>
      </c>
      <c r="AZ431" s="2" t="s">
        <v>74</v>
      </c>
      <c r="BA431" s="2" t="s">
        <v>74</v>
      </c>
      <c r="BB431" s="2">
        <v>9663</v>
      </c>
      <c r="BC431" s="2">
        <v>9681</v>
      </c>
      <c r="BD431" s="2" t="s">
        <v>74</v>
      </c>
      <c r="BE431" s="2" t="s">
        <v>1066</v>
      </c>
      <c r="BF431" s="2" t="str">
        <f>HYPERLINK("http://dx.doi.org/10.1002/ece3.6566","http://dx.doi.org/10.1002/ece3.6566")</f>
        <v>http://dx.doi.org/10.1002/ece3.6566</v>
      </c>
      <c r="BG431" s="2" t="s">
        <v>74</v>
      </c>
      <c r="BH431" s="2" t="s">
        <v>1067</v>
      </c>
      <c r="BI431" s="2" t="s">
        <v>74</v>
      </c>
      <c r="BJ431" s="2" t="s">
        <v>74</v>
      </c>
      <c r="BK431" s="2" t="s">
        <v>74</v>
      </c>
      <c r="BL431" s="2" t="s">
        <v>74</v>
      </c>
      <c r="BM431" s="2" t="s">
        <v>74</v>
      </c>
      <c r="BN431" s="2">
        <v>33005338</v>
      </c>
      <c r="BO431" s="2" t="s">
        <v>74</v>
      </c>
      <c r="BP431" s="2" t="s">
        <v>74</v>
      </c>
      <c r="BQ431" s="2" t="s">
        <v>74</v>
      </c>
      <c r="BR431" s="2" t="s">
        <v>74</v>
      </c>
      <c r="BS431" s="2" t="s">
        <v>1068</v>
      </c>
      <c r="BT431" s="2" t="str">
        <f>HYPERLINK("https%3A%2F%2Fwww.webofscience.com%2Fwos%2Fwoscc%2Ffull-record%2FWOS:000565433500001","View Full Record in Web of Science")</f>
        <v>View Full Record in Web of Science</v>
      </c>
    </row>
    <row r="432" spans="1:72" s="2" customFormat="1" x14ac:dyDescent="0.4">
      <c r="A432" s="2" t="s">
        <v>72</v>
      </c>
      <c r="B432" s="2" t="s">
        <v>2712</v>
      </c>
      <c r="C432" s="2" t="s">
        <v>74</v>
      </c>
      <c r="D432" s="2" t="s">
        <v>74</v>
      </c>
      <c r="E432" s="2" t="s">
        <v>74</v>
      </c>
      <c r="F432" s="2" t="s">
        <v>2713</v>
      </c>
      <c r="G432" s="2" t="s">
        <v>74</v>
      </c>
      <c r="H432" s="2" t="s">
        <v>74</v>
      </c>
      <c r="I432" s="2" t="s">
        <v>2714</v>
      </c>
      <c r="J432" s="2" t="s">
        <v>129</v>
      </c>
      <c r="K432" s="2" t="s">
        <v>74</v>
      </c>
      <c r="L432" s="2" t="s">
        <v>74</v>
      </c>
      <c r="M432" s="2" t="s">
        <v>74</v>
      </c>
      <c r="N432" s="2" t="s">
        <v>74</v>
      </c>
      <c r="O432" s="2" t="s">
        <v>74</v>
      </c>
      <c r="P432" s="2" t="s">
        <v>74</v>
      </c>
      <c r="Q432" s="2" t="s">
        <v>74</v>
      </c>
      <c r="R432" s="2" t="s">
        <v>74</v>
      </c>
      <c r="S432" s="2" t="s">
        <v>74</v>
      </c>
      <c r="T432" s="2" t="s">
        <v>74</v>
      </c>
      <c r="U432" s="2" t="s">
        <v>74</v>
      </c>
      <c r="V432" s="5" t="s">
        <v>2715</v>
      </c>
      <c r="W432" s="2" t="s">
        <v>74</v>
      </c>
      <c r="X432" s="2" t="s">
        <v>74</v>
      </c>
      <c r="Y432" s="2" t="s">
        <v>74</v>
      </c>
      <c r="Z432" s="2" t="s">
        <v>74</v>
      </c>
      <c r="AA432" s="2" t="s">
        <v>2716</v>
      </c>
      <c r="AB432" s="2" t="s">
        <v>2717</v>
      </c>
      <c r="AC432" s="2" t="s">
        <v>74</v>
      </c>
      <c r="AD432" s="2" t="s">
        <v>74</v>
      </c>
      <c r="AE432" s="2" t="s">
        <v>74</v>
      </c>
      <c r="AF432" s="2" t="s">
        <v>74</v>
      </c>
      <c r="AG432" s="2" t="s">
        <v>74</v>
      </c>
      <c r="AH432" s="2" t="s">
        <v>74</v>
      </c>
      <c r="AI432" s="2" t="s">
        <v>74</v>
      </c>
      <c r="AJ432" s="2" t="s">
        <v>74</v>
      </c>
      <c r="AK432" s="2" t="s">
        <v>74</v>
      </c>
      <c r="AL432" s="2" t="s">
        <v>74</v>
      </c>
      <c r="AM432" s="2" t="s">
        <v>74</v>
      </c>
      <c r="AN432" s="2" t="s">
        <v>74</v>
      </c>
      <c r="AO432" s="2" t="s">
        <v>132</v>
      </c>
      <c r="AP432" s="2" t="s">
        <v>133</v>
      </c>
      <c r="AQ432" s="2" t="s">
        <v>74</v>
      </c>
      <c r="AR432" s="2" t="s">
        <v>74</v>
      </c>
      <c r="AS432" s="2" t="s">
        <v>74</v>
      </c>
      <c r="AT432" s="2" t="s">
        <v>255</v>
      </c>
      <c r="AU432" s="2">
        <v>2016</v>
      </c>
      <c r="AV432" s="2">
        <v>70</v>
      </c>
      <c r="AW432" s="2">
        <v>1</v>
      </c>
      <c r="AX432" s="2" t="s">
        <v>74</v>
      </c>
      <c r="AY432" s="2" t="s">
        <v>74</v>
      </c>
      <c r="AZ432" s="2" t="s">
        <v>74</v>
      </c>
      <c r="BA432" s="2" t="s">
        <v>74</v>
      </c>
      <c r="BB432" s="2">
        <v>83</v>
      </c>
      <c r="BC432" s="2">
        <v>97</v>
      </c>
      <c r="BD432" s="2" t="s">
        <v>74</v>
      </c>
      <c r="BE432" s="2" t="s">
        <v>2718</v>
      </c>
      <c r="BF432" s="2" t="str">
        <f>HYPERLINK("http://dx.doi.org/10.1007/s00265-015-2027-5","http://dx.doi.org/10.1007/s00265-015-2027-5")</f>
        <v>http://dx.doi.org/10.1007/s00265-015-2027-5</v>
      </c>
      <c r="BG432" s="2" t="s">
        <v>74</v>
      </c>
      <c r="BH432" s="2" t="s">
        <v>74</v>
      </c>
      <c r="BI432" s="2" t="s">
        <v>74</v>
      </c>
      <c r="BJ432" s="2" t="s">
        <v>74</v>
      </c>
      <c r="BK432" s="2" t="s">
        <v>74</v>
      </c>
      <c r="BL432" s="2" t="s">
        <v>74</v>
      </c>
      <c r="BM432" s="2" t="s">
        <v>74</v>
      </c>
      <c r="BN432" s="2" t="s">
        <v>74</v>
      </c>
      <c r="BO432" s="2" t="s">
        <v>74</v>
      </c>
      <c r="BP432" s="2" t="s">
        <v>74</v>
      </c>
      <c r="BQ432" s="2" t="s">
        <v>74</v>
      </c>
      <c r="BR432" s="2" t="s">
        <v>74</v>
      </c>
      <c r="BS432" s="2" t="s">
        <v>2719</v>
      </c>
      <c r="BT432" s="2" t="str">
        <f>HYPERLINK("https%3A%2F%2Fwww.webofscience.com%2Fwos%2Fwoscc%2Ffull-record%2FWOS:000367686200008","View Full Record in Web of Science")</f>
        <v>View Full Record in Web of Science</v>
      </c>
    </row>
    <row r="433" spans="1:72" s="2" customFormat="1" x14ac:dyDescent="0.4">
      <c r="A433" s="2" t="s">
        <v>72</v>
      </c>
      <c r="B433" s="2" t="s">
        <v>4361</v>
      </c>
      <c r="C433" s="2" t="s">
        <v>74</v>
      </c>
      <c r="D433" s="2" t="s">
        <v>74</v>
      </c>
      <c r="E433" s="2" t="s">
        <v>74</v>
      </c>
      <c r="F433" s="2" t="s">
        <v>4362</v>
      </c>
      <c r="G433" s="2" t="s">
        <v>74</v>
      </c>
      <c r="H433" s="2" t="s">
        <v>74</v>
      </c>
      <c r="I433" s="2" t="s">
        <v>4363</v>
      </c>
      <c r="J433" s="2" t="s">
        <v>4364</v>
      </c>
      <c r="K433" s="2" t="s">
        <v>74</v>
      </c>
      <c r="L433" s="2" t="s">
        <v>74</v>
      </c>
      <c r="M433" s="2" t="s">
        <v>74</v>
      </c>
      <c r="N433" s="2" t="s">
        <v>74</v>
      </c>
      <c r="O433" s="2" t="s">
        <v>74</v>
      </c>
      <c r="P433" s="2" t="s">
        <v>74</v>
      </c>
      <c r="Q433" s="2" t="s">
        <v>74</v>
      </c>
      <c r="R433" s="2" t="s">
        <v>74</v>
      </c>
      <c r="S433" s="2" t="s">
        <v>74</v>
      </c>
      <c r="T433" s="2" t="s">
        <v>74</v>
      </c>
      <c r="U433" s="2" t="s">
        <v>74</v>
      </c>
      <c r="V433" s="5" t="s">
        <v>4365</v>
      </c>
      <c r="W433" s="2" t="s">
        <v>74</v>
      </c>
      <c r="X433" s="2" t="s">
        <v>74</v>
      </c>
      <c r="Y433" s="2" t="s">
        <v>74</v>
      </c>
      <c r="Z433" s="2" t="s">
        <v>74</v>
      </c>
      <c r="AA433" s="2" t="s">
        <v>4366</v>
      </c>
      <c r="AB433" s="2" t="s">
        <v>4367</v>
      </c>
      <c r="AC433" s="2" t="s">
        <v>74</v>
      </c>
      <c r="AD433" s="2" t="s">
        <v>74</v>
      </c>
      <c r="AE433" s="2" t="s">
        <v>74</v>
      </c>
      <c r="AF433" s="2" t="s">
        <v>74</v>
      </c>
      <c r="AG433" s="2" t="s">
        <v>74</v>
      </c>
      <c r="AH433" s="2" t="s">
        <v>74</v>
      </c>
      <c r="AI433" s="2" t="s">
        <v>74</v>
      </c>
      <c r="AJ433" s="2" t="s">
        <v>74</v>
      </c>
      <c r="AK433" s="2" t="s">
        <v>74</v>
      </c>
      <c r="AL433" s="2" t="s">
        <v>74</v>
      </c>
      <c r="AM433" s="2" t="s">
        <v>74</v>
      </c>
      <c r="AN433" s="2" t="s">
        <v>74</v>
      </c>
      <c r="AO433" s="2" t="s">
        <v>4368</v>
      </c>
      <c r="AP433" s="2" t="s">
        <v>4369</v>
      </c>
      <c r="AQ433" s="2" t="s">
        <v>74</v>
      </c>
      <c r="AR433" s="2" t="s">
        <v>74</v>
      </c>
      <c r="AS433" s="2" t="s">
        <v>74</v>
      </c>
      <c r="AT433" s="2" t="s">
        <v>4370</v>
      </c>
      <c r="AU433" s="2">
        <v>2009</v>
      </c>
      <c r="AV433" s="2">
        <v>46</v>
      </c>
      <c r="AW433" s="2">
        <v>4</v>
      </c>
      <c r="AX433" s="2" t="s">
        <v>74</v>
      </c>
      <c r="AY433" s="2" t="s">
        <v>74</v>
      </c>
      <c r="AZ433" s="2" t="s">
        <v>74</v>
      </c>
      <c r="BA433" s="2" t="s">
        <v>74</v>
      </c>
      <c r="BB433" s="2">
        <v>271</v>
      </c>
      <c r="BC433" s="2">
        <v>282</v>
      </c>
      <c r="BD433" s="2" t="s">
        <v>74</v>
      </c>
      <c r="BE433" s="2" t="s">
        <v>4371</v>
      </c>
      <c r="BF433" s="2" t="str">
        <f>HYPERLINK("http://dx.doi.org/10.5735/086.046.0404","http://dx.doi.org/10.5735/086.046.0404")</f>
        <v>http://dx.doi.org/10.5735/086.046.0404</v>
      </c>
      <c r="BG433" s="2" t="s">
        <v>74</v>
      </c>
      <c r="BH433" s="2" t="s">
        <v>74</v>
      </c>
      <c r="BI433" s="2" t="s">
        <v>74</v>
      </c>
      <c r="BJ433" s="2" t="s">
        <v>74</v>
      </c>
      <c r="BK433" s="2" t="s">
        <v>74</v>
      </c>
      <c r="BL433" s="2" t="s">
        <v>74</v>
      </c>
      <c r="BM433" s="2" t="s">
        <v>74</v>
      </c>
      <c r="BN433" s="2" t="s">
        <v>74</v>
      </c>
      <c r="BO433" s="2" t="s">
        <v>74</v>
      </c>
      <c r="BP433" s="2" t="s">
        <v>74</v>
      </c>
      <c r="BQ433" s="2" t="s">
        <v>74</v>
      </c>
      <c r="BR433" s="2" t="s">
        <v>74</v>
      </c>
      <c r="BS433" s="2" t="s">
        <v>4372</v>
      </c>
      <c r="BT433" s="2" t="str">
        <f>HYPERLINK("https%3A%2F%2Fwww.webofscience.com%2Fwos%2Fwoscc%2Ffull-record%2FWOS:000269935900004","View Full Record in Web of Science")</f>
        <v>View Full Record in Web of Science</v>
      </c>
    </row>
    <row r="434" spans="1:72" s="2" customFormat="1" x14ac:dyDescent="0.4">
      <c r="A434" s="2" t="s">
        <v>72</v>
      </c>
      <c r="B434" s="2" t="s">
        <v>1256</v>
      </c>
      <c r="C434" s="2" t="s">
        <v>74</v>
      </c>
      <c r="D434" s="2" t="s">
        <v>74</v>
      </c>
      <c r="E434" s="2" t="s">
        <v>74</v>
      </c>
      <c r="F434" s="2" t="s">
        <v>1257</v>
      </c>
      <c r="G434" s="2" t="s">
        <v>74</v>
      </c>
      <c r="H434" s="2" t="s">
        <v>74</v>
      </c>
      <c r="I434" s="2" t="s">
        <v>1258</v>
      </c>
      <c r="J434" s="2" t="s">
        <v>333</v>
      </c>
      <c r="K434" s="2" t="s">
        <v>74</v>
      </c>
      <c r="L434" s="2" t="s">
        <v>74</v>
      </c>
      <c r="M434" s="2" t="s">
        <v>74</v>
      </c>
      <c r="N434" s="2" t="s">
        <v>74</v>
      </c>
      <c r="O434" s="2" t="s">
        <v>74</v>
      </c>
      <c r="P434" s="2" t="s">
        <v>74</v>
      </c>
      <c r="Q434" s="2" t="s">
        <v>74</v>
      </c>
      <c r="R434" s="2" t="s">
        <v>74</v>
      </c>
      <c r="S434" s="2" t="s">
        <v>74</v>
      </c>
      <c r="T434" s="2" t="s">
        <v>74</v>
      </c>
      <c r="U434" s="2" t="s">
        <v>74</v>
      </c>
      <c r="V434" s="5" t="s">
        <v>1259</v>
      </c>
      <c r="W434" s="2" t="s">
        <v>74</v>
      </c>
      <c r="X434" s="2" t="s">
        <v>74</v>
      </c>
      <c r="Y434" s="2" t="s">
        <v>74</v>
      </c>
      <c r="Z434" s="2" t="s">
        <v>74</v>
      </c>
      <c r="AA434" s="2" t="s">
        <v>1260</v>
      </c>
      <c r="AB434" s="2" t="s">
        <v>1261</v>
      </c>
      <c r="AC434" s="2" t="s">
        <v>74</v>
      </c>
      <c r="AD434" s="2" t="s">
        <v>74</v>
      </c>
      <c r="AE434" s="2" t="s">
        <v>74</v>
      </c>
      <c r="AF434" s="2" t="s">
        <v>74</v>
      </c>
      <c r="AG434" s="2" t="s">
        <v>74</v>
      </c>
      <c r="AH434" s="2" t="s">
        <v>74</v>
      </c>
      <c r="AI434" s="2" t="s">
        <v>74</v>
      </c>
      <c r="AJ434" s="2" t="s">
        <v>74</v>
      </c>
      <c r="AK434" s="2" t="s">
        <v>74</v>
      </c>
      <c r="AL434" s="2" t="s">
        <v>74</v>
      </c>
      <c r="AM434" s="2" t="s">
        <v>74</v>
      </c>
      <c r="AN434" s="2" t="s">
        <v>74</v>
      </c>
      <c r="AO434" s="2" t="s">
        <v>337</v>
      </c>
      <c r="AP434" s="2" t="s">
        <v>338</v>
      </c>
      <c r="AQ434" s="2" t="s">
        <v>74</v>
      </c>
      <c r="AR434" s="2" t="s">
        <v>74</v>
      </c>
      <c r="AS434" s="2" t="s">
        <v>74</v>
      </c>
      <c r="AT434" s="2" t="s">
        <v>1075</v>
      </c>
      <c r="AU434" s="2">
        <v>2018</v>
      </c>
      <c r="AV434" s="2">
        <v>29</v>
      </c>
      <c r="AW434" s="2">
        <v>6</v>
      </c>
      <c r="AX434" s="2" t="s">
        <v>74</v>
      </c>
      <c r="AY434" s="2" t="s">
        <v>74</v>
      </c>
      <c r="AZ434" s="2" t="s">
        <v>74</v>
      </c>
      <c r="BA434" s="2" t="s">
        <v>74</v>
      </c>
      <c r="BB434" s="2">
        <v>1286</v>
      </c>
      <c r="BC434" s="2">
        <v>1297</v>
      </c>
      <c r="BD434" s="2" t="s">
        <v>74</v>
      </c>
      <c r="BE434" s="2" t="s">
        <v>1262</v>
      </c>
      <c r="BF434" s="2" t="str">
        <f>HYPERLINK("http://dx.doi.org/10.1093/beheco/ary127","http://dx.doi.org/10.1093/beheco/ary127")</f>
        <v>http://dx.doi.org/10.1093/beheco/ary127</v>
      </c>
      <c r="BG434" s="2" t="s">
        <v>74</v>
      </c>
      <c r="BH434" s="2" t="s">
        <v>74</v>
      </c>
      <c r="BI434" s="2" t="s">
        <v>74</v>
      </c>
      <c r="BJ434" s="2" t="s">
        <v>74</v>
      </c>
      <c r="BK434" s="2" t="s">
        <v>74</v>
      </c>
      <c r="BL434" s="2" t="s">
        <v>74</v>
      </c>
      <c r="BM434" s="2" t="s">
        <v>74</v>
      </c>
      <c r="BN434" s="2" t="s">
        <v>74</v>
      </c>
      <c r="BO434" s="2" t="s">
        <v>74</v>
      </c>
      <c r="BP434" s="2" t="s">
        <v>74</v>
      </c>
      <c r="BQ434" s="2" t="s">
        <v>74</v>
      </c>
      <c r="BR434" s="2" t="s">
        <v>74</v>
      </c>
      <c r="BS434" s="2" t="s">
        <v>1263</v>
      </c>
      <c r="BT434" s="2" t="str">
        <f>HYPERLINK("https%3A%2F%2Fwww.webofscience.com%2Fwos%2Fwoscc%2Ffull-record%2FWOS:000453209600018","View Full Record in Web of Science")</f>
        <v>View Full Record in Web of Science</v>
      </c>
    </row>
    <row r="435" spans="1:72" s="2" customFormat="1" x14ac:dyDescent="0.4">
      <c r="A435" s="2" t="s">
        <v>72</v>
      </c>
      <c r="B435" s="2" t="s">
        <v>3419</v>
      </c>
      <c r="C435" s="2" t="s">
        <v>74</v>
      </c>
      <c r="D435" s="2" t="s">
        <v>74</v>
      </c>
      <c r="E435" s="2" t="s">
        <v>74</v>
      </c>
      <c r="F435" s="2" t="s">
        <v>3419</v>
      </c>
      <c r="G435" s="2" t="s">
        <v>74</v>
      </c>
      <c r="H435" s="2" t="s">
        <v>74</v>
      </c>
      <c r="I435" s="2" t="s">
        <v>3420</v>
      </c>
      <c r="J435" s="2" t="s">
        <v>2207</v>
      </c>
      <c r="K435" s="2" t="s">
        <v>74</v>
      </c>
      <c r="L435" s="2" t="s">
        <v>74</v>
      </c>
      <c r="M435" s="2" t="s">
        <v>74</v>
      </c>
      <c r="N435" s="2" t="s">
        <v>74</v>
      </c>
      <c r="O435" s="2" t="s">
        <v>74</v>
      </c>
      <c r="P435" s="2" t="s">
        <v>74</v>
      </c>
      <c r="Q435" s="2" t="s">
        <v>74</v>
      </c>
      <c r="R435" s="2" t="s">
        <v>74</v>
      </c>
      <c r="S435" s="2" t="s">
        <v>74</v>
      </c>
      <c r="T435" s="2" t="s">
        <v>74</v>
      </c>
      <c r="U435" s="2" t="s">
        <v>74</v>
      </c>
      <c r="V435" s="5" t="s">
        <v>3421</v>
      </c>
      <c r="W435" s="2" t="s">
        <v>74</v>
      </c>
      <c r="X435" s="2" t="s">
        <v>74</v>
      </c>
      <c r="Y435" s="2" t="s">
        <v>74</v>
      </c>
      <c r="Z435" s="2" t="s">
        <v>74</v>
      </c>
      <c r="AA435" s="2" t="s">
        <v>3422</v>
      </c>
      <c r="AB435" s="2" t="s">
        <v>3423</v>
      </c>
      <c r="AC435" s="2" t="s">
        <v>74</v>
      </c>
      <c r="AD435" s="2" t="s">
        <v>74</v>
      </c>
      <c r="AE435" s="2" t="s">
        <v>74</v>
      </c>
      <c r="AF435" s="2" t="s">
        <v>74</v>
      </c>
      <c r="AG435" s="2" t="s">
        <v>74</v>
      </c>
      <c r="AH435" s="2" t="s">
        <v>74</v>
      </c>
      <c r="AI435" s="2" t="s">
        <v>74</v>
      </c>
      <c r="AJ435" s="2" t="s">
        <v>74</v>
      </c>
      <c r="AK435" s="2" t="s">
        <v>74</v>
      </c>
      <c r="AL435" s="2" t="s">
        <v>74</v>
      </c>
      <c r="AM435" s="2" t="s">
        <v>74</v>
      </c>
      <c r="AN435" s="2" t="s">
        <v>74</v>
      </c>
      <c r="AO435" s="2" t="s">
        <v>2211</v>
      </c>
      <c r="AP435" s="2" t="s">
        <v>2461</v>
      </c>
      <c r="AQ435" s="2" t="s">
        <v>74</v>
      </c>
      <c r="AR435" s="2" t="s">
        <v>74</v>
      </c>
      <c r="AS435" s="2" t="s">
        <v>74</v>
      </c>
      <c r="AT435" s="2" t="s">
        <v>305</v>
      </c>
      <c r="AU435" s="2">
        <v>2003</v>
      </c>
      <c r="AV435" s="2">
        <v>34</v>
      </c>
      <c r="AW435" s="2">
        <v>4</v>
      </c>
      <c r="AX435" s="2" t="s">
        <v>74</v>
      </c>
      <c r="AY435" s="2" t="s">
        <v>74</v>
      </c>
      <c r="AZ435" s="2" t="s">
        <v>74</v>
      </c>
      <c r="BA435" s="2" t="s">
        <v>74</v>
      </c>
      <c r="BB435" s="2">
        <v>402</v>
      </c>
      <c r="BC435" s="2">
        <v>408</v>
      </c>
      <c r="BD435" s="2" t="s">
        <v>74</v>
      </c>
      <c r="BE435" s="2" t="s">
        <v>3424</v>
      </c>
      <c r="BF435" s="2" t="str">
        <f>HYPERLINK("http://dx.doi.org/10.1111/j.0908-8857.2003.03064.x","http://dx.doi.org/10.1111/j.0908-8857.2003.03064.x")</f>
        <v>http://dx.doi.org/10.1111/j.0908-8857.2003.03064.x</v>
      </c>
      <c r="BG435" s="2" t="s">
        <v>74</v>
      </c>
      <c r="BH435" s="2" t="s">
        <v>74</v>
      </c>
      <c r="BI435" s="2" t="s">
        <v>74</v>
      </c>
      <c r="BJ435" s="2" t="s">
        <v>74</v>
      </c>
      <c r="BK435" s="2" t="s">
        <v>74</v>
      </c>
      <c r="BL435" s="2" t="s">
        <v>74</v>
      </c>
      <c r="BM435" s="2" t="s">
        <v>74</v>
      </c>
      <c r="BN435" s="2" t="s">
        <v>74</v>
      </c>
      <c r="BO435" s="2" t="s">
        <v>74</v>
      </c>
      <c r="BP435" s="2" t="s">
        <v>74</v>
      </c>
      <c r="BQ435" s="2" t="s">
        <v>74</v>
      </c>
      <c r="BR435" s="2" t="s">
        <v>74</v>
      </c>
      <c r="BS435" s="2" t="s">
        <v>3425</v>
      </c>
      <c r="BT435" s="2" t="str">
        <f>HYPERLINK("https%3A%2F%2Fwww.webofscience.com%2Fwos%2Fwoscc%2Ffull-record%2FWOS:000187792000014","View Full Record in Web of Science")</f>
        <v>View Full Record in Web of Science</v>
      </c>
    </row>
    <row r="436" spans="1:72" s="2" customFormat="1" x14ac:dyDescent="0.4">
      <c r="A436" s="2" t="s">
        <v>72</v>
      </c>
      <c r="B436" s="2" t="s">
        <v>5008</v>
      </c>
      <c r="C436" s="2" t="s">
        <v>74</v>
      </c>
      <c r="D436" s="2" t="s">
        <v>74</v>
      </c>
      <c r="E436" s="2" t="s">
        <v>74</v>
      </c>
      <c r="F436" s="2" t="s">
        <v>5009</v>
      </c>
      <c r="G436" s="2" t="s">
        <v>74</v>
      </c>
      <c r="H436" s="2" t="s">
        <v>74</v>
      </c>
      <c r="I436" s="2" t="s">
        <v>5010</v>
      </c>
      <c r="J436" s="2" t="s">
        <v>545</v>
      </c>
      <c r="K436" s="2" t="s">
        <v>74</v>
      </c>
      <c r="L436" s="2" t="s">
        <v>74</v>
      </c>
      <c r="M436" s="2" t="s">
        <v>74</v>
      </c>
      <c r="N436" s="2" t="s">
        <v>74</v>
      </c>
      <c r="O436" s="2" t="s">
        <v>74</v>
      </c>
      <c r="P436" s="2" t="s">
        <v>74</v>
      </c>
      <c r="Q436" s="2" t="s">
        <v>74</v>
      </c>
      <c r="R436" s="2" t="s">
        <v>74</v>
      </c>
      <c r="S436" s="2" t="s">
        <v>74</v>
      </c>
      <c r="T436" s="2" t="s">
        <v>74</v>
      </c>
      <c r="U436" s="2" t="s">
        <v>74</v>
      </c>
      <c r="V436" s="5" t="s">
        <v>5011</v>
      </c>
      <c r="W436" s="2" t="s">
        <v>74</v>
      </c>
      <c r="X436" s="2" t="s">
        <v>74</v>
      </c>
      <c r="Y436" s="2" t="s">
        <v>74</v>
      </c>
      <c r="Z436" s="2" t="s">
        <v>74</v>
      </c>
      <c r="AA436" s="2" t="s">
        <v>5012</v>
      </c>
      <c r="AB436" s="2" t="s">
        <v>5013</v>
      </c>
      <c r="AC436" s="2" t="s">
        <v>74</v>
      </c>
      <c r="AD436" s="2" t="s">
        <v>74</v>
      </c>
      <c r="AE436" s="2" t="s">
        <v>74</v>
      </c>
      <c r="AF436" s="2" t="s">
        <v>74</v>
      </c>
      <c r="AG436" s="2" t="s">
        <v>74</v>
      </c>
      <c r="AH436" s="2" t="s">
        <v>74</v>
      </c>
      <c r="AI436" s="2" t="s">
        <v>74</v>
      </c>
      <c r="AJ436" s="2" t="s">
        <v>74</v>
      </c>
      <c r="AK436" s="2" t="s">
        <v>74</v>
      </c>
      <c r="AL436" s="2" t="s">
        <v>74</v>
      </c>
      <c r="AM436" s="2" t="s">
        <v>74</v>
      </c>
      <c r="AN436" s="2" t="s">
        <v>74</v>
      </c>
      <c r="AO436" s="2" t="s">
        <v>547</v>
      </c>
      <c r="AP436" s="2" t="s">
        <v>74</v>
      </c>
      <c r="AQ436" s="2" t="s">
        <v>74</v>
      </c>
      <c r="AR436" s="2" t="s">
        <v>74</v>
      </c>
      <c r="AS436" s="2" t="s">
        <v>74</v>
      </c>
      <c r="AT436" s="2" t="s">
        <v>74</v>
      </c>
      <c r="AU436" s="2">
        <v>2017</v>
      </c>
      <c r="AV436" s="2">
        <v>267</v>
      </c>
      <c r="AW436" s="2" t="s">
        <v>74</v>
      </c>
      <c r="AX436" s="2" t="s">
        <v>74</v>
      </c>
      <c r="AY436" s="2" t="s">
        <v>74</v>
      </c>
      <c r="AZ436" s="2" t="s">
        <v>74</v>
      </c>
      <c r="BA436" s="2" t="s">
        <v>74</v>
      </c>
      <c r="BB436" s="2">
        <v>21</v>
      </c>
      <c r="BC436" s="2">
        <v>30</v>
      </c>
      <c r="BD436" s="2" t="s">
        <v>74</v>
      </c>
      <c r="BE436" s="2" t="s">
        <v>5014</v>
      </c>
      <c r="BF436" s="2" t="str">
        <f>HYPERLINK("http://dx.doi.org/10.1016/j.jcz.2017.01.002","http://dx.doi.org/10.1016/j.jcz.2017.01.002")</f>
        <v>http://dx.doi.org/10.1016/j.jcz.2017.01.002</v>
      </c>
      <c r="BG436" s="2" t="s">
        <v>74</v>
      </c>
      <c r="BH436" s="2" t="s">
        <v>74</v>
      </c>
      <c r="BI436" s="2" t="s">
        <v>74</v>
      </c>
      <c r="BJ436" s="2" t="s">
        <v>74</v>
      </c>
      <c r="BK436" s="2" t="s">
        <v>74</v>
      </c>
      <c r="BL436" s="2" t="s">
        <v>74</v>
      </c>
      <c r="BM436" s="2" t="s">
        <v>74</v>
      </c>
      <c r="BN436" s="2" t="s">
        <v>74</v>
      </c>
      <c r="BO436" s="2" t="s">
        <v>74</v>
      </c>
      <c r="BP436" s="2" t="s">
        <v>74</v>
      </c>
      <c r="BQ436" s="2" t="s">
        <v>74</v>
      </c>
      <c r="BR436" s="2" t="s">
        <v>74</v>
      </c>
      <c r="BS436" s="2" t="s">
        <v>5015</v>
      </c>
      <c r="BT436" s="2" t="str">
        <f>HYPERLINK("https%3A%2F%2Fwww.webofscience.com%2Fwos%2Fwoscc%2Ffull-record%2FWOS:000403123700004","View Full Record in Web of Science")</f>
        <v>View Full Record in Web of Science</v>
      </c>
    </row>
    <row r="437" spans="1:72" s="2" customFormat="1" x14ac:dyDescent="0.4">
      <c r="A437" s="2" t="s">
        <v>72</v>
      </c>
      <c r="B437" s="2" t="s">
        <v>7510</v>
      </c>
      <c r="C437" s="2" t="s">
        <v>74</v>
      </c>
      <c r="D437" s="2" t="s">
        <v>74</v>
      </c>
      <c r="E437" s="2" t="s">
        <v>74</v>
      </c>
      <c r="F437" s="2" t="s">
        <v>7510</v>
      </c>
      <c r="G437" s="2" t="s">
        <v>74</v>
      </c>
      <c r="H437" s="2" t="s">
        <v>74</v>
      </c>
      <c r="I437" s="2" t="s">
        <v>7511</v>
      </c>
      <c r="J437" s="2" t="s">
        <v>140</v>
      </c>
      <c r="K437" s="2" t="s">
        <v>74</v>
      </c>
      <c r="L437" s="2" t="s">
        <v>74</v>
      </c>
      <c r="M437" s="2" t="s">
        <v>74</v>
      </c>
      <c r="N437" s="2" t="s">
        <v>74</v>
      </c>
      <c r="O437" s="2" t="s">
        <v>74</v>
      </c>
      <c r="P437" s="2" t="s">
        <v>74</v>
      </c>
      <c r="Q437" s="2" t="s">
        <v>74</v>
      </c>
      <c r="R437" s="2" t="s">
        <v>74</v>
      </c>
      <c r="S437" s="2" t="s">
        <v>74</v>
      </c>
      <c r="T437" s="2" t="s">
        <v>74</v>
      </c>
      <c r="U437" s="2" t="s">
        <v>74</v>
      </c>
      <c r="V437" s="5" t="s">
        <v>7512</v>
      </c>
      <c r="W437" s="2" t="s">
        <v>74</v>
      </c>
      <c r="X437" s="2" t="s">
        <v>74</v>
      </c>
      <c r="Y437" s="2" t="s">
        <v>74</v>
      </c>
      <c r="Z437" s="2" t="s">
        <v>74</v>
      </c>
      <c r="AA437" s="2" t="s">
        <v>7513</v>
      </c>
      <c r="AB437" s="2" t="s">
        <v>7514</v>
      </c>
      <c r="AC437" s="2" t="s">
        <v>74</v>
      </c>
      <c r="AD437" s="2" t="s">
        <v>74</v>
      </c>
      <c r="AE437" s="2" t="s">
        <v>74</v>
      </c>
      <c r="AF437" s="2" t="s">
        <v>74</v>
      </c>
      <c r="AG437" s="2" t="s">
        <v>74</v>
      </c>
      <c r="AH437" s="2" t="s">
        <v>74</v>
      </c>
      <c r="AI437" s="2" t="s">
        <v>74</v>
      </c>
      <c r="AJ437" s="2" t="s">
        <v>74</v>
      </c>
      <c r="AK437" s="2" t="s">
        <v>74</v>
      </c>
      <c r="AL437" s="2" t="s">
        <v>74</v>
      </c>
      <c r="AM437" s="2" t="s">
        <v>74</v>
      </c>
      <c r="AN437" s="2" t="s">
        <v>74</v>
      </c>
      <c r="AO437" s="2" t="s">
        <v>143</v>
      </c>
      <c r="AP437" s="2" t="s">
        <v>74</v>
      </c>
      <c r="AQ437" s="2" t="s">
        <v>74</v>
      </c>
      <c r="AR437" s="2" t="s">
        <v>74</v>
      </c>
      <c r="AS437" s="2" t="s">
        <v>74</v>
      </c>
      <c r="AT437" s="2" t="s">
        <v>352</v>
      </c>
      <c r="AU437" s="2">
        <v>2003</v>
      </c>
      <c r="AV437" s="2">
        <v>66</v>
      </c>
      <c r="AW437" s="2" t="s">
        <v>74</v>
      </c>
      <c r="AX437" s="2">
        <v>3</v>
      </c>
      <c r="AY437" s="2" t="s">
        <v>74</v>
      </c>
      <c r="AZ437" s="2" t="s">
        <v>74</v>
      </c>
      <c r="BA437" s="2" t="s">
        <v>74</v>
      </c>
      <c r="BB437" s="2">
        <v>521</v>
      </c>
      <c r="BC437" s="2">
        <v>530</v>
      </c>
      <c r="BD437" s="2" t="s">
        <v>74</v>
      </c>
      <c r="BE437" s="2" t="s">
        <v>7515</v>
      </c>
      <c r="BF437" s="2" t="str">
        <f>HYPERLINK("http://dx.doi.org/10.1006/anbe.2003.2206","http://dx.doi.org/10.1006/anbe.2003.2206")</f>
        <v>http://dx.doi.org/10.1006/anbe.2003.2206</v>
      </c>
      <c r="BG437" s="2" t="s">
        <v>74</v>
      </c>
      <c r="BH437" s="2" t="s">
        <v>74</v>
      </c>
      <c r="BI437" s="2" t="s">
        <v>74</v>
      </c>
      <c r="BJ437" s="2" t="s">
        <v>74</v>
      </c>
      <c r="BK437" s="2" t="s">
        <v>74</v>
      </c>
      <c r="BL437" s="2" t="s">
        <v>74</v>
      </c>
      <c r="BM437" s="2" t="s">
        <v>74</v>
      </c>
      <c r="BN437" s="2" t="s">
        <v>74</v>
      </c>
      <c r="BO437" s="2" t="s">
        <v>74</v>
      </c>
      <c r="BP437" s="2" t="s">
        <v>74</v>
      </c>
      <c r="BQ437" s="2" t="s">
        <v>74</v>
      </c>
      <c r="BR437" s="2" t="s">
        <v>74</v>
      </c>
      <c r="BS437" s="2" t="s">
        <v>7516</v>
      </c>
      <c r="BT437" s="2" t="str">
        <f>HYPERLINK("https%3A%2F%2Fwww.webofscience.com%2Fwos%2Fwoscc%2Ffull-record%2FWOS:000185477900013","View Full Record in Web of Science")</f>
        <v>View Full Record in Web of Science</v>
      </c>
    </row>
    <row r="438" spans="1:72" s="2" customFormat="1" x14ac:dyDescent="0.4">
      <c r="A438" s="2" t="s">
        <v>72</v>
      </c>
      <c r="B438" s="2" t="s">
        <v>1085</v>
      </c>
      <c r="C438" s="2" t="s">
        <v>74</v>
      </c>
      <c r="D438" s="2" t="s">
        <v>74</v>
      </c>
      <c r="E438" s="2" t="s">
        <v>74</v>
      </c>
      <c r="F438" s="2" t="s">
        <v>1086</v>
      </c>
      <c r="G438" s="2" t="s">
        <v>74</v>
      </c>
      <c r="H438" s="2" t="s">
        <v>74</v>
      </c>
      <c r="I438" s="2" t="s">
        <v>1087</v>
      </c>
      <c r="J438" s="2" t="s">
        <v>475</v>
      </c>
      <c r="K438" s="2" t="s">
        <v>74</v>
      </c>
      <c r="L438" s="2" t="s">
        <v>74</v>
      </c>
      <c r="M438" s="2" t="s">
        <v>74</v>
      </c>
      <c r="N438" s="2" t="s">
        <v>74</v>
      </c>
      <c r="O438" s="2" t="s">
        <v>74</v>
      </c>
      <c r="P438" s="2" t="s">
        <v>74</v>
      </c>
      <c r="Q438" s="2" t="s">
        <v>74</v>
      </c>
      <c r="R438" s="2" t="s">
        <v>74</v>
      </c>
      <c r="S438" s="2" t="s">
        <v>74</v>
      </c>
      <c r="T438" s="2" t="s">
        <v>74</v>
      </c>
      <c r="U438" s="2" t="s">
        <v>74</v>
      </c>
      <c r="V438" s="5" t="s">
        <v>1088</v>
      </c>
      <c r="W438" s="2" t="s">
        <v>74</v>
      </c>
      <c r="X438" s="2" t="s">
        <v>74</v>
      </c>
      <c r="Y438" s="2" t="s">
        <v>74</v>
      </c>
      <c r="Z438" s="2" t="s">
        <v>74</v>
      </c>
      <c r="AA438" s="2" t="s">
        <v>74</v>
      </c>
      <c r="AB438" s="2" t="s">
        <v>74</v>
      </c>
      <c r="AC438" s="2" t="s">
        <v>74</v>
      </c>
      <c r="AD438" s="2" t="s">
        <v>74</v>
      </c>
      <c r="AE438" s="2" t="s">
        <v>74</v>
      </c>
      <c r="AF438" s="2" t="s">
        <v>74</v>
      </c>
      <c r="AG438" s="2" t="s">
        <v>74</v>
      </c>
      <c r="AH438" s="2" t="s">
        <v>74</v>
      </c>
      <c r="AI438" s="2" t="s">
        <v>74</v>
      </c>
      <c r="AJ438" s="2" t="s">
        <v>74</v>
      </c>
      <c r="AK438" s="2" t="s">
        <v>74</v>
      </c>
      <c r="AL438" s="2" t="s">
        <v>74</v>
      </c>
      <c r="AM438" s="2" t="s">
        <v>74</v>
      </c>
      <c r="AN438" s="2" t="s">
        <v>74</v>
      </c>
      <c r="AO438" s="2" t="s">
        <v>477</v>
      </c>
      <c r="AP438" s="2" t="s">
        <v>1089</v>
      </c>
      <c r="AQ438" s="2" t="s">
        <v>74</v>
      </c>
      <c r="AR438" s="2" t="s">
        <v>74</v>
      </c>
      <c r="AS438" s="2" t="s">
        <v>74</v>
      </c>
      <c r="AT438" s="2" t="s">
        <v>1090</v>
      </c>
      <c r="AU438" s="2">
        <v>2020</v>
      </c>
      <c r="AV438" s="2">
        <v>285</v>
      </c>
      <c r="AW438" s="2" t="s">
        <v>74</v>
      </c>
      <c r="AX438" s="2" t="s">
        <v>74</v>
      </c>
      <c r="AY438" s="2" t="s">
        <v>74</v>
      </c>
      <c r="AZ438" s="2" t="s">
        <v>74</v>
      </c>
      <c r="BA438" s="2" t="s">
        <v>74</v>
      </c>
      <c r="BB438" s="2" t="s">
        <v>74</v>
      </c>
      <c r="BC438" s="2" t="s">
        <v>74</v>
      </c>
      <c r="BD438" s="2">
        <v>113292</v>
      </c>
      <c r="BE438" s="2" t="s">
        <v>1091</v>
      </c>
      <c r="BF438" s="2" t="str">
        <f>HYPERLINK("http://dx.doi.org/10.1016/j.ygcen.2019.113292","http://dx.doi.org/10.1016/j.ygcen.2019.113292")</f>
        <v>http://dx.doi.org/10.1016/j.ygcen.2019.113292</v>
      </c>
      <c r="BG438" s="2" t="s">
        <v>74</v>
      </c>
      <c r="BH438" s="2" t="s">
        <v>74</v>
      </c>
      <c r="BI438" s="2" t="s">
        <v>74</v>
      </c>
      <c r="BJ438" s="2" t="s">
        <v>74</v>
      </c>
      <c r="BK438" s="2" t="s">
        <v>74</v>
      </c>
      <c r="BL438" s="2" t="s">
        <v>74</v>
      </c>
      <c r="BM438" s="2" t="s">
        <v>74</v>
      </c>
      <c r="BN438" s="2">
        <v>31580882</v>
      </c>
      <c r="BO438" s="2" t="s">
        <v>74</v>
      </c>
      <c r="BP438" s="2" t="s">
        <v>74</v>
      </c>
      <c r="BQ438" s="2" t="s">
        <v>74</v>
      </c>
      <c r="BR438" s="2" t="s">
        <v>74</v>
      </c>
      <c r="BS438" s="2" t="s">
        <v>1092</v>
      </c>
      <c r="BT438" s="2" t="str">
        <f>HYPERLINK("https%3A%2F%2Fwww.webofscience.com%2Fwos%2Fwoscc%2Ffull-record%2FWOS:000504341800024","View Full Record in Web of Science")</f>
        <v>View Full Record in Web of Science</v>
      </c>
    </row>
    <row r="439" spans="1:72" s="2" customFormat="1" x14ac:dyDescent="0.4">
      <c r="A439" s="2" t="s">
        <v>72</v>
      </c>
      <c r="B439" s="2" t="s">
        <v>3383</v>
      </c>
      <c r="C439" s="2" t="s">
        <v>74</v>
      </c>
      <c r="D439" s="2" t="s">
        <v>74</v>
      </c>
      <c r="E439" s="2" t="s">
        <v>74</v>
      </c>
      <c r="F439" s="2" t="s">
        <v>3384</v>
      </c>
      <c r="G439" s="2" t="s">
        <v>74</v>
      </c>
      <c r="H439" s="2" t="s">
        <v>74</v>
      </c>
      <c r="I439" s="2" t="s">
        <v>3385</v>
      </c>
      <c r="J439" s="2" t="s">
        <v>610</v>
      </c>
      <c r="K439" s="2" t="s">
        <v>74</v>
      </c>
      <c r="L439" s="2" t="s">
        <v>74</v>
      </c>
      <c r="M439" s="2" t="s">
        <v>74</v>
      </c>
      <c r="N439" s="2" t="s">
        <v>74</v>
      </c>
      <c r="O439" s="2" t="s">
        <v>74</v>
      </c>
      <c r="P439" s="2" t="s">
        <v>74</v>
      </c>
      <c r="Q439" s="2" t="s">
        <v>74</v>
      </c>
      <c r="R439" s="2" t="s">
        <v>74</v>
      </c>
      <c r="S439" s="2" t="s">
        <v>74</v>
      </c>
      <c r="T439" s="2" t="s">
        <v>74</v>
      </c>
      <c r="U439" s="2" t="s">
        <v>74</v>
      </c>
      <c r="V439" s="5" t="s">
        <v>3386</v>
      </c>
      <c r="W439" s="2" t="s">
        <v>74</v>
      </c>
      <c r="X439" s="2" t="s">
        <v>74</v>
      </c>
      <c r="Y439" s="2" t="s">
        <v>74</v>
      </c>
      <c r="Z439" s="2" t="s">
        <v>74</v>
      </c>
      <c r="AA439" s="2" t="s">
        <v>74</v>
      </c>
      <c r="AB439" s="2" t="s">
        <v>3387</v>
      </c>
      <c r="AC439" s="2" t="s">
        <v>74</v>
      </c>
      <c r="AD439" s="2" t="s">
        <v>74</v>
      </c>
      <c r="AE439" s="2" t="s">
        <v>74</v>
      </c>
      <c r="AF439" s="2" t="s">
        <v>74</v>
      </c>
      <c r="AG439" s="2" t="s">
        <v>74</v>
      </c>
      <c r="AH439" s="2" t="s">
        <v>74</v>
      </c>
      <c r="AI439" s="2" t="s">
        <v>74</v>
      </c>
      <c r="AJ439" s="2" t="s">
        <v>74</v>
      </c>
      <c r="AK439" s="2" t="s">
        <v>74</v>
      </c>
      <c r="AL439" s="2" t="s">
        <v>74</v>
      </c>
      <c r="AM439" s="2" t="s">
        <v>74</v>
      </c>
      <c r="AN439" s="2" t="s">
        <v>74</v>
      </c>
      <c r="AO439" s="2" t="s">
        <v>614</v>
      </c>
      <c r="AP439" s="2" t="s">
        <v>615</v>
      </c>
      <c r="AQ439" s="2" t="s">
        <v>74</v>
      </c>
      <c r="AR439" s="2" t="s">
        <v>74</v>
      </c>
      <c r="AS439" s="2" t="s">
        <v>74</v>
      </c>
      <c r="AT439" s="2" t="s">
        <v>102</v>
      </c>
      <c r="AU439" s="2">
        <v>2021</v>
      </c>
      <c r="AV439" s="2">
        <v>127</v>
      </c>
      <c r="AW439" s="2">
        <v>6</v>
      </c>
      <c r="AX439" s="2" t="s">
        <v>74</v>
      </c>
      <c r="AY439" s="2" t="s">
        <v>74</v>
      </c>
      <c r="AZ439" s="2" t="s">
        <v>74</v>
      </c>
      <c r="BA439" s="2" t="s">
        <v>74</v>
      </c>
      <c r="BB439" s="2">
        <v>475</v>
      </c>
      <c r="BC439" s="2">
        <v>483</v>
      </c>
      <c r="BD439" s="2" t="s">
        <v>74</v>
      </c>
      <c r="BE439" s="2" t="s">
        <v>3388</v>
      </c>
      <c r="BF439" s="2" t="str">
        <f>HYPERLINK("http://dx.doi.org/10.1111/eth.13156","http://dx.doi.org/10.1111/eth.13156")</f>
        <v>http://dx.doi.org/10.1111/eth.13156</v>
      </c>
      <c r="BG439" s="2" t="s">
        <v>74</v>
      </c>
      <c r="BH439" s="2" t="s">
        <v>1051</v>
      </c>
      <c r="BI439" s="2" t="s">
        <v>74</v>
      </c>
      <c r="BJ439" s="2" t="s">
        <v>74</v>
      </c>
      <c r="BK439" s="2" t="s">
        <v>74</v>
      </c>
      <c r="BL439" s="2" t="s">
        <v>74</v>
      </c>
      <c r="BM439" s="2" t="s">
        <v>74</v>
      </c>
      <c r="BN439" s="2" t="s">
        <v>74</v>
      </c>
      <c r="BO439" s="2" t="s">
        <v>74</v>
      </c>
      <c r="BP439" s="2" t="s">
        <v>74</v>
      </c>
      <c r="BQ439" s="2" t="s">
        <v>74</v>
      </c>
      <c r="BR439" s="2" t="s">
        <v>74</v>
      </c>
      <c r="BS439" s="2" t="s">
        <v>3389</v>
      </c>
      <c r="BT439" s="2" t="str">
        <f>HYPERLINK("https%3A%2F%2Fwww.webofscience.com%2Fwos%2Fwoscc%2Ffull-record%2FWOS:000640929900001","View Full Record in Web of Science")</f>
        <v>View Full Record in Web of Science</v>
      </c>
    </row>
    <row r="440" spans="1:72" s="2" customFormat="1" x14ac:dyDescent="0.4">
      <c r="A440" s="2" t="s">
        <v>72</v>
      </c>
      <c r="B440" s="2" t="s">
        <v>7432</v>
      </c>
      <c r="C440" s="2" t="s">
        <v>74</v>
      </c>
      <c r="D440" s="2" t="s">
        <v>74</v>
      </c>
      <c r="E440" s="2" t="s">
        <v>74</v>
      </c>
      <c r="F440" s="2" t="s">
        <v>7433</v>
      </c>
      <c r="G440" s="2" t="s">
        <v>74</v>
      </c>
      <c r="H440" s="2" t="s">
        <v>74</v>
      </c>
      <c r="I440" s="2" t="s">
        <v>7434</v>
      </c>
      <c r="J440" s="2" t="s">
        <v>1995</v>
      </c>
      <c r="K440" s="2" t="s">
        <v>74</v>
      </c>
      <c r="L440" s="2" t="s">
        <v>74</v>
      </c>
      <c r="M440" s="2" t="s">
        <v>74</v>
      </c>
      <c r="N440" s="2" t="s">
        <v>74</v>
      </c>
      <c r="O440" s="2" t="s">
        <v>74</v>
      </c>
      <c r="P440" s="2" t="s">
        <v>74</v>
      </c>
      <c r="Q440" s="2" t="s">
        <v>74</v>
      </c>
      <c r="R440" s="2" t="s">
        <v>74</v>
      </c>
      <c r="S440" s="2" t="s">
        <v>74</v>
      </c>
      <c r="T440" s="2" t="s">
        <v>74</v>
      </c>
      <c r="U440" s="2" t="s">
        <v>74</v>
      </c>
      <c r="V440" s="5" t="s">
        <v>7435</v>
      </c>
      <c r="W440" s="2" t="s">
        <v>74</v>
      </c>
      <c r="X440" s="2" t="s">
        <v>74</v>
      </c>
      <c r="Y440" s="2" t="s">
        <v>74</v>
      </c>
      <c r="Z440" s="2" t="s">
        <v>74</v>
      </c>
      <c r="AA440" s="2" t="s">
        <v>74</v>
      </c>
      <c r="AB440" s="2" t="s">
        <v>7436</v>
      </c>
      <c r="AC440" s="2" t="s">
        <v>74</v>
      </c>
      <c r="AD440" s="2" t="s">
        <v>74</v>
      </c>
      <c r="AE440" s="2" t="s">
        <v>74</v>
      </c>
      <c r="AF440" s="2" t="s">
        <v>74</v>
      </c>
      <c r="AG440" s="2" t="s">
        <v>74</v>
      </c>
      <c r="AH440" s="2" t="s">
        <v>74</v>
      </c>
      <c r="AI440" s="2" t="s">
        <v>74</v>
      </c>
      <c r="AJ440" s="2" t="s">
        <v>74</v>
      </c>
      <c r="AK440" s="2" t="s">
        <v>74</v>
      </c>
      <c r="AL440" s="2" t="s">
        <v>74</v>
      </c>
      <c r="AM440" s="2" t="s">
        <v>74</v>
      </c>
      <c r="AN440" s="2" t="s">
        <v>74</v>
      </c>
      <c r="AO440" s="2" t="s">
        <v>1997</v>
      </c>
      <c r="AP440" s="2" t="s">
        <v>3917</v>
      </c>
      <c r="AQ440" s="2" t="s">
        <v>74</v>
      </c>
      <c r="AR440" s="2" t="s">
        <v>74</v>
      </c>
      <c r="AS440" s="2" t="s">
        <v>74</v>
      </c>
      <c r="AT440" s="2" t="s">
        <v>305</v>
      </c>
      <c r="AU440" s="2">
        <v>2021</v>
      </c>
      <c r="AV440" s="2">
        <v>92</v>
      </c>
      <c r="AW440" s="2">
        <v>4</v>
      </c>
      <c r="AX440" s="2" t="s">
        <v>74</v>
      </c>
      <c r="AY440" s="2" t="s">
        <v>74</v>
      </c>
      <c r="AZ440" s="2" t="s">
        <v>74</v>
      </c>
      <c r="BA440" s="2" t="s">
        <v>74</v>
      </c>
      <c r="BB440" s="2">
        <v>365</v>
      </c>
      <c r="BC440" s="2">
        <v>376</v>
      </c>
      <c r="BD440" s="2" t="s">
        <v>74</v>
      </c>
      <c r="BE440" s="2" t="s">
        <v>7437</v>
      </c>
      <c r="BF440" s="2" t="str">
        <f>HYPERLINK("http://dx.doi.org/10.1111/jofo.12395","http://dx.doi.org/10.1111/jofo.12395")</f>
        <v>http://dx.doi.org/10.1111/jofo.12395</v>
      </c>
      <c r="BG440" s="2" t="s">
        <v>74</v>
      </c>
      <c r="BH440" s="2" t="s">
        <v>7438</v>
      </c>
      <c r="BI440" s="2" t="s">
        <v>74</v>
      </c>
      <c r="BJ440" s="2" t="s">
        <v>74</v>
      </c>
      <c r="BK440" s="2" t="s">
        <v>74</v>
      </c>
      <c r="BL440" s="2" t="s">
        <v>74</v>
      </c>
      <c r="BM440" s="2" t="s">
        <v>74</v>
      </c>
      <c r="BN440" s="2" t="s">
        <v>74</v>
      </c>
      <c r="BO440" s="2" t="s">
        <v>74</v>
      </c>
      <c r="BP440" s="2" t="s">
        <v>74</v>
      </c>
      <c r="BQ440" s="2" t="s">
        <v>74</v>
      </c>
      <c r="BR440" s="2" t="s">
        <v>74</v>
      </c>
      <c r="BS440" s="2" t="s">
        <v>7439</v>
      </c>
      <c r="BT440" s="2" t="str">
        <f>HYPERLINK("https%3A%2F%2Fwww.webofscience.com%2Fwos%2Fwoscc%2Ffull-record%2FWOS:000751937600001","View Full Record in Web of Science")</f>
        <v>View Full Record in Web of Science</v>
      </c>
    </row>
    <row r="441" spans="1:72" s="2" customFormat="1" x14ac:dyDescent="0.4">
      <c r="A441" s="2" t="s">
        <v>72</v>
      </c>
      <c r="B441" s="2" t="s">
        <v>8324</v>
      </c>
      <c r="C441" s="2" t="s">
        <v>74</v>
      </c>
      <c r="D441" s="2" t="s">
        <v>74</v>
      </c>
      <c r="E441" s="2" t="s">
        <v>74</v>
      </c>
      <c r="F441" s="2" t="s">
        <v>8325</v>
      </c>
      <c r="G441" s="2" t="s">
        <v>74</v>
      </c>
      <c r="H441" s="2" t="s">
        <v>74</v>
      </c>
      <c r="I441" s="2" t="s">
        <v>8326</v>
      </c>
      <c r="J441" s="2" t="s">
        <v>408</v>
      </c>
      <c r="K441" s="2" t="s">
        <v>74</v>
      </c>
      <c r="L441" s="2" t="s">
        <v>74</v>
      </c>
      <c r="M441" s="2" t="s">
        <v>74</v>
      </c>
      <c r="N441" s="2" t="s">
        <v>74</v>
      </c>
      <c r="O441" s="2" t="s">
        <v>74</v>
      </c>
      <c r="P441" s="2" t="s">
        <v>74</v>
      </c>
      <c r="Q441" s="2" t="s">
        <v>74</v>
      </c>
      <c r="R441" s="2" t="s">
        <v>74</v>
      </c>
      <c r="S441" s="2" t="s">
        <v>74</v>
      </c>
      <c r="T441" s="2" t="s">
        <v>74</v>
      </c>
      <c r="U441" s="2" t="s">
        <v>74</v>
      </c>
      <c r="V441" s="5" t="s">
        <v>8327</v>
      </c>
      <c r="W441" s="2" t="s">
        <v>74</v>
      </c>
      <c r="X441" s="2" t="s">
        <v>74</v>
      </c>
      <c r="Y441" s="2" t="s">
        <v>74</v>
      </c>
      <c r="Z441" s="2" t="s">
        <v>74</v>
      </c>
      <c r="AA441" s="2" t="s">
        <v>8328</v>
      </c>
      <c r="AB441" s="2" t="s">
        <v>8329</v>
      </c>
      <c r="AC441" s="2" t="s">
        <v>74</v>
      </c>
      <c r="AD441" s="2" t="s">
        <v>74</v>
      </c>
      <c r="AE441" s="2" t="s">
        <v>74</v>
      </c>
      <c r="AF441" s="2" t="s">
        <v>74</v>
      </c>
      <c r="AG441" s="2" t="s">
        <v>74</v>
      </c>
      <c r="AH441" s="2" t="s">
        <v>74</v>
      </c>
      <c r="AI441" s="2" t="s">
        <v>74</v>
      </c>
      <c r="AJ441" s="2" t="s">
        <v>74</v>
      </c>
      <c r="AK441" s="2" t="s">
        <v>74</v>
      </c>
      <c r="AL441" s="2" t="s">
        <v>74</v>
      </c>
      <c r="AM441" s="2" t="s">
        <v>74</v>
      </c>
      <c r="AN441" s="2" t="s">
        <v>74</v>
      </c>
      <c r="AO441" s="2" t="s">
        <v>412</v>
      </c>
      <c r="AP441" s="2" t="s">
        <v>413</v>
      </c>
      <c r="AQ441" s="2" t="s">
        <v>74</v>
      </c>
      <c r="AR441" s="2" t="s">
        <v>74</v>
      </c>
      <c r="AS441" s="2" t="s">
        <v>74</v>
      </c>
      <c r="AT441" s="2" t="s">
        <v>175</v>
      </c>
      <c r="AU441" s="2">
        <v>2013</v>
      </c>
      <c r="AV441" s="2">
        <v>110</v>
      </c>
      <c r="AW441" s="2">
        <v>2</v>
      </c>
      <c r="AX441" s="2" t="s">
        <v>74</v>
      </c>
      <c r="AY441" s="2" t="s">
        <v>74</v>
      </c>
      <c r="AZ441" s="2" t="s">
        <v>74</v>
      </c>
      <c r="BA441" s="2" t="s">
        <v>74</v>
      </c>
      <c r="BB441" s="2">
        <v>409</v>
      </c>
      <c r="BC441" s="2">
        <v>426</v>
      </c>
      <c r="BD441" s="2" t="s">
        <v>74</v>
      </c>
      <c r="BE441" s="2" t="s">
        <v>8330</v>
      </c>
      <c r="BF441" s="2" t="str">
        <f>HYPERLINK("http://dx.doi.org/10.1111/bij.12131","http://dx.doi.org/10.1111/bij.12131")</f>
        <v>http://dx.doi.org/10.1111/bij.12131</v>
      </c>
      <c r="BG441" s="2" t="s">
        <v>74</v>
      </c>
      <c r="BH441" s="2" t="s">
        <v>74</v>
      </c>
      <c r="BI441" s="2" t="s">
        <v>74</v>
      </c>
      <c r="BJ441" s="2" t="s">
        <v>74</v>
      </c>
      <c r="BK441" s="2" t="s">
        <v>74</v>
      </c>
      <c r="BL441" s="2" t="s">
        <v>74</v>
      </c>
      <c r="BM441" s="2" t="s">
        <v>74</v>
      </c>
      <c r="BN441" s="2" t="s">
        <v>74</v>
      </c>
      <c r="BO441" s="2" t="s">
        <v>74</v>
      </c>
      <c r="BP441" s="2" t="s">
        <v>74</v>
      </c>
      <c r="BQ441" s="2" t="s">
        <v>74</v>
      </c>
      <c r="BR441" s="2" t="s">
        <v>74</v>
      </c>
      <c r="BS441" s="2" t="s">
        <v>8331</v>
      </c>
      <c r="BT441" s="2" t="str">
        <f>HYPERLINK("https%3A%2F%2Fwww.webofscience.com%2Fwos%2Fwoscc%2Ffull-record%2FWOS:000324302400012","View Full Record in Web of Science")</f>
        <v>View Full Record in Web of Science</v>
      </c>
    </row>
    <row r="442" spans="1:72" s="2" customFormat="1" x14ac:dyDescent="0.4">
      <c r="A442" s="2" t="s">
        <v>72</v>
      </c>
      <c r="B442" s="2" t="s">
        <v>7777</v>
      </c>
      <c r="C442" s="2" t="s">
        <v>74</v>
      </c>
      <c r="D442" s="2" t="s">
        <v>74</v>
      </c>
      <c r="E442" s="2" t="s">
        <v>74</v>
      </c>
      <c r="F442" s="2" t="s">
        <v>7777</v>
      </c>
      <c r="G442" s="2" t="s">
        <v>74</v>
      </c>
      <c r="H442" s="2" t="s">
        <v>74</v>
      </c>
      <c r="I442" s="2" t="s">
        <v>7778</v>
      </c>
      <c r="J442" s="2" t="s">
        <v>129</v>
      </c>
      <c r="K442" s="2" t="s">
        <v>74</v>
      </c>
      <c r="L442" s="2" t="s">
        <v>74</v>
      </c>
      <c r="M442" s="2" t="s">
        <v>74</v>
      </c>
      <c r="N442" s="2" t="s">
        <v>74</v>
      </c>
      <c r="O442" s="2" t="s">
        <v>74</v>
      </c>
      <c r="P442" s="2" t="s">
        <v>74</v>
      </c>
      <c r="Q442" s="2" t="s">
        <v>74</v>
      </c>
      <c r="R442" s="2" t="s">
        <v>74</v>
      </c>
      <c r="S442" s="2" t="s">
        <v>74</v>
      </c>
      <c r="T442" s="2" t="s">
        <v>74</v>
      </c>
      <c r="U442" s="2" t="s">
        <v>74</v>
      </c>
      <c r="V442" s="5" t="s">
        <v>7779</v>
      </c>
      <c r="W442" s="2" t="s">
        <v>74</v>
      </c>
      <c r="X442" s="2" t="s">
        <v>74</v>
      </c>
      <c r="Y442" s="2" t="s">
        <v>74</v>
      </c>
      <c r="Z442" s="2" t="s">
        <v>74</v>
      </c>
      <c r="AA442" s="2" t="s">
        <v>7780</v>
      </c>
      <c r="AB442" s="2" t="s">
        <v>7781</v>
      </c>
      <c r="AC442" s="2" t="s">
        <v>74</v>
      </c>
      <c r="AD442" s="2" t="s">
        <v>74</v>
      </c>
      <c r="AE442" s="2" t="s">
        <v>74</v>
      </c>
      <c r="AF442" s="2" t="s">
        <v>74</v>
      </c>
      <c r="AG442" s="2" t="s">
        <v>74</v>
      </c>
      <c r="AH442" s="2" t="s">
        <v>74</v>
      </c>
      <c r="AI442" s="2" t="s">
        <v>74</v>
      </c>
      <c r="AJ442" s="2" t="s">
        <v>74</v>
      </c>
      <c r="AK442" s="2" t="s">
        <v>74</v>
      </c>
      <c r="AL442" s="2" t="s">
        <v>74</v>
      </c>
      <c r="AM442" s="2" t="s">
        <v>74</v>
      </c>
      <c r="AN442" s="2" t="s">
        <v>74</v>
      </c>
      <c r="AO442" s="2" t="s">
        <v>132</v>
      </c>
      <c r="AP442" s="2" t="s">
        <v>74</v>
      </c>
      <c r="AQ442" s="2" t="s">
        <v>74</v>
      </c>
      <c r="AR442" s="2" t="s">
        <v>74</v>
      </c>
      <c r="AS442" s="2" t="s">
        <v>74</v>
      </c>
      <c r="AT442" s="2" t="s">
        <v>123</v>
      </c>
      <c r="AU442" s="2">
        <v>1994</v>
      </c>
      <c r="AV442" s="2">
        <v>34</v>
      </c>
      <c r="AW442" s="2">
        <v>3</v>
      </c>
      <c r="AX442" s="2" t="s">
        <v>74</v>
      </c>
      <c r="AY442" s="2" t="s">
        <v>74</v>
      </c>
      <c r="AZ442" s="2" t="s">
        <v>74</v>
      </c>
      <c r="BA442" s="2" t="s">
        <v>74</v>
      </c>
      <c r="BB442" s="2">
        <v>203</v>
      </c>
      <c r="BC442" s="2">
        <v>210</v>
      </c>
      <c r="BD442" s="2" t="s">
        <v>74</v>
      </c>
      <c r="BE442" s="2" t="s">
        <v>7782</v>
      </c>
      <c r="BF442" s="2" t="str">
        <f>HYPERLINK("http://dx.doi.org/10.1007/s002650050034","http://dx.doi.org/10.1007/s002650050034")</f>
        <v>http://dx.doi.org/10.1007/s002650050034</v>
      </c>
      <c r="BG442" s="2" t="s">
        <v>74</v>
      </c>
      <c r="BH442" s="2" t="s">
        <v>74</v>
      </c>
      <c r="BI442" s="2" t="s">
        <v>74</v>
      </c>
      <c r="BJ442" s="2" t="s">
        <v>74</v>
      </c>
      <c r="BK442" s="2" t="s">
        <v>74</v>
      </c>
      <c r="BL442" s="2" t="s">
        <v>74</v>
      </c>
      <c r="BM442" s="2" t="s">
        <v>74</v>
      </c>
      <c r="BN442" s="2" t="s">
        <v>74</v>
      </c>
      <c r="BO442" s="2" t="s">
        <v>74</v>
      </c>
      <c r="BP442" s="2" t="s">
        <v>74</v>
      </c>
      <c r="BQ442" s="2" t="s">
        <v>74</v>
      </c>
      <c r="BR442" s="2" t="s">
        <v>74</v>
      </c>
      <c r="BS442" s="2" t="s">
        <v>7783</v>
      </c>
      <c r="BT442" s="2" t="str">
        <f>HYPERLINK("https%3A%2F%2Fwww.webofscience.com%2Fwos%2Fwoscc%2Ffull-record%2FWOS:A1994NG04500006","View Full Record in Web of Science")</f>
        <v>View Full Record in Web of Science</v>
      </c>
    </row>
    <row r="443" spans="1:72" s="2" customFormat="1" x14ac:dyDescent="0.4">
      <c r="A443" s="2" t="s">
        <v>72</v>
      </c>
      <c r="B443" s="2" t="s">
        <v>5575</v>
      </c>
      <c r="C443" s="2" t="s">
        <v>74</v>
      </c>
      <c r="D443" s="2" t="s">
        <v>74</v>
      </c>
      <c r="E443" s="2" t="s">
        <v>74</v>
      </c>
      <c r="F443" s="2" t="s">
        <v>5575</v>
      </c>
      <c r="G443" s="2" t="s">
        <v>74</v>
      </c>
      <c r="H443" s="2" t="s">
        <v>74</v>
      </c>
      <c r="I443" s="2" t="s">
        <v>5576</v>
      </c>
      <c r="J443" s="2" t="s">
        <v>5577</v>
      </c>
      <c r="K443" s="2" t="s">
        <v>74</v>
      </c>
      <c r="L443" s="2" t="s">
        <v>74</v>
      </c>
      <c r="M443" s="2" t="s">
        <v>74</v>
      </c>
      <c r="N443" s="2" t="s">
        <v>74</v>
      </c>
      <c r="O443" s="2" t="s">
        <v>74</v>
      </c>
      <c r="P443" s="2" t="s">
        <v>74</v>
      </c>
      <c r="Q443" s="2" t="s">
        <v>74</v>
      </c>
      <c r="R443" s="2" t="s">
        <v>74</v>
      </c>
      <c r="S443" s="2" t="s">
        <v>74</v>
      </c>
      <c r="T443" s="2" t="s">
        <v>74</v>
      </c>
      <c r="U443" s="2" t="s">
        <v>74</v>
      </c>
      <c r="V443" s="5" t="s">
        <v>5578</v>
      </c>
      <c r="W443" s="2" t="s">
        <v>74</v>
      </c>
      <c r="X443" s="2" t="s">
        <v>74</v>
      </c>
      <c r="Y443" s="2" t="s">
        <v>74</v>
      </c>
      <c r="Z443" s="2" t="s">
        <v>74</v>
      </c>
      <c r="AA443" s="2" t="s">
        <v>74</v>
      </c>
      <c r="AB443" s="2" t="s">
        <v>74</v>
      </c>
      <c r="AC443" s="2" t="s">
        <v>74</v>
      </c>
      <c r="AD443" s="2" t="s">
        <v>74</v>
      </c>
      <c r="AE443" s="2" t="s">
        <v>74</v>
      </c>
      <c r="AF443" s="2" t="s">
        <v>74</v>
      </c>
      <c r="AG443" s="2" t="s">
        <v>74</v>
      </c>
      <c r="AH443" s="2" t="s">
        <v>74</v>
      </c>
      <c r="AI443" s="2" t="s">
        <v>74</v>
      </c>
      <c r="AJ443" s="2" t="s">
        <v>74</v>
      </c>
      <c r="AK443" s="2" t="s">
        <v>74</v>
      </c>
      <c r="AL443" s="2" t="s">
        <v>74</v>
      </c>
      <c r="AM443" s="2" t="s">
        <v>74</v>
      </c>
      <c r="AN443" s="2" t="s">
        <v>74</v>
      </c>
      <c r="AO443" s="2" t="s">
        <v>5579</v>
      </c>
      <c r="AP443" s="2" t="s">
        <v>74</v>
      </c>
      <c r="AQ443" s="2" t="s">
        <v>74</v>
      </c>
      <c r="AR443" s="2" t="s">
        <v>74</v>
      </c>
      <c r="AS443" s="2" t="s">
        <v>74</v>
      </c>
      <c r="AT443" s="2" t="s">
        <v>123</v>
      </c>
      <c r="AU443" s="2">
        <v>1989</v>
      </c>
      <c r="AV443" s="2">
        <v>68</v>
      </c>
      <c r="AW443" s="2">
        <v>3</v>
      </c>
      <c r="AX443" s="2" t="s">
        <v>74</v>
      </c>
      <c r="AY443" s="2" t="s">
        <v>74</v>
      </c>
      <c r="AZ443" s="2" t="s">
        <v>74</v>
      </c>
      <c r="BA443" s="2" t="s">
        <v>74</v>
      </c>
      <c r="BB443" s="2">
        <v>67</v>
      </c>
      <c r="BC443" s="2">
        <v>76</v>
      </c>
      <c r="BD443" s="2" t="s">
        <v>74</v>
      </c>
      <c r="BE443" s="2" t="s">
        <v>74</v>
      </c>
      <c r="BF443" s="2" t="s">
        <v>74</v>
      </c>
      <c r="BG443" s="2" t="s">
        <v>74</v>
      </c>
      <c r="BH443" s="2" t="s">
        <v>74</v>
      </c>
      <c r="BI443" s="2" t="s">
        <v>74</v>
      </c>
      <c r="BJ443" s="2" t="s">
        <v>74</v>
      </c>
      <c r="BK443" s="2" t="s">
        <v>74</v>
      </c>
      <c r="BL443" s="2" t="s">
        <v>74</v>
      </c>
      <c r="BM443" s="2" t="s">
        <v>74</v>
      </c>
      <c r="BN443" s="2" t="s">
        <v>74</v>
      </c>
      <c r="BO443" s="2" t="s">
        <v>74</v>
      </c>
      <c r="BP443" s="2" t="s">
        <v>74</v>
      </c>
      <c r="BQ443" s="2" t="s">
        <v>74</v>
      </c>
      <c r="BR443" s="2" t="s">
        <v>74</v>
      </c>
      <c r="BS443" s="2" t="s">
        <v>5580</v>
      </c>
      <c r="BT443" s="2" t="str">
        <f>HYPERLINK("https%3A%2F%2Fwww.webofscience.com%2Fwos%2Fwoscc%2Ffull-record%2FWOS:A1989U136200008","View Full Record in Web of Science")</f>
        <v>View Full Record in Web of Science</v>
      </c>
    </row>
    <row r="444" spans="1:72" s="2" customFormat="1" x14ac:dyDescent="0.4">
      <c r="A444" s="2" t="s">
        <v>72</v>
      </c>
      <c r="B444" s="2" t="s">
        <v>6932</v>
      </c>
      <c r="C444" s="2" t="s">
        <v>74</v>
      </c>
      <c r="D444" s="2" t="s">
        <v>74</v>
      </c>
      <c r="E444" s="2" t="s">
        <v>74</v>
      </c>
      <c r="F444" s="2" t="s">
        <v>6933</v>
      </c>
      <c r="G444" s="2" t="s">
        <v>74</v>
      </c>
      <c r="H444" s="2" t="s">
        <v>74</v>
      </c>
      <c r="I444" s="2" t="s">
        <v>6934</v>
      </c>
      <c r="J444" s="2" t="s">
        <v>129</v>
      </c>
      <c r="K444" s="2" t="s">
        <v>74</v>
      </c>
      <c r="L444" s="2" t="s">
        <v>74</v>
      </c>
      <c r="M444" s="2" t="s">
        <v>74</v>
      </c>
      <c r="N444" s="2" t="s">
        <v>74</v>
      </c>
      <c r="O444" s="2" t="s">
        <v>74</v>
      </c>
      <c r="P444" s="2" t="s">
        <v>74</v>
      </c>
      <c r="Q444" s="2" t="s">
        <v>74</v>
      </c>
      <c r="R444" s="2" t="s">
        <v>74</v>
      </c>
      <c r="S444" s="2" t="s">
        <v>74</v>
      </c>
      <c r="T444" s="2" t="s">
        <v>74</v>
      </c>
      <c r="U444" s="2" t="s">
        <v>74</v>
      </c>
      <c r="V444" s="5" t="s">
        <v>6935</v>
      </c>
      <c r="W444" s="2" t="s">
        <v>74</v>
      </c>
      <c r="X444" s="2" t="s">
        <v>74</v>
      </c>
      <c r="Y444" s="2" t="s">
        <v>74</v>
      </c>
      <c r="Z444" s="2" t="s">
        <v>74</v>
      </c>
      <c r="AA444" s="2" t="s">
        <v>6936</v>
      </c>
      <c r="AB444" s="2" t="s">
        <v>6937</v>
      </c>
      <c r="AC444" s="2" t="s">
        <v>74</v>
      </c>
      <c r="AD444" s="2" t="s">
        <v>74</v>
      </c>
      <c r="AE444" s="2" t="s">
        <v>74</v>
      </c>
      <c r="AF444" s="2" t="s">
        <v>74</v>
      </c>
      <c r="AG444" s="2" t="s">
        <v>74</v>
      </c>
      <c r="AH444" s="2" t="s">
        <v>74</v>
      </c>
      <c r="AI444" s="2" t="s">
        <v>74</v>
      </c>
      <c r="AJ444" s="2" t="s">
        <v>74</v>
      </c>
      <c r="AK444" s="2" t="s">
        <v>74</v>
      </c>
      <c r="AL444" s="2" t="s">
        <v>74</v>
      </c>
      <c r="AM444" s="2" t="s">
        <v>74</v>
      </c>
      <c r="AN444" s="2" t="s">
        <v>74</v>
      </c>
      <c r="AO444" s="2" t="s">
        <v>132</v>
      </c>
      <c r="AP444" s="2" t="s">
        <v>133</v>
      </c>
      <c r="AQ444" s="2" t="s">
        <v>74</v>
      </c>
      <c r="AR444" s="2" t="s">
        <v>74</v>
      </c>
      <c r="AS444" s="2" t="s">
        <v>74</v>
      </c>
      <c r="AT444" s="2" t="s">
        <v>255</v>
      </c>
      <c r="AU444" s="2">
        <v>2022</v>
      </c>
      <c r="AV444" s="2">
        <v>76</v>
      </c>
      <c r="AW444" s="2">
        <v>1</v>
      </c>
      <c r="AX444" s="2" t="s">
        <v>74</v>
      </c>
      <c r="AY444" s="2" t="s">
        <v>74</v>
      </c>
      <c r="AZ444" s="2" t="s">
        <v>74</v>
      </c>
      <c r="BA444" s="2" t="s">
        <v>74</v>
      </c>
      <c r="BB444" s="2" t="s">
        <v>74</v>
      </c>
      <c r="BC444" s="2" t="s">
        <v>74</v>
      </c>
      <c r="BD444" s="2">
        <v>5</v>
      </c>
      <c r="BE444" s="2" t="s">
        <v>6938</v>
      </c>
      <c r="BF444" s="2" t="str">
        <f>HYPERLINK("http://dx.doi.org/10.1007/s00265-021-03122-0","http://dx.doi.org/10.1007/s00265-021-03122-0")</f>
        <v>http://dx.doi.org/10.1007/s00265-021-03122-0</v>
      </c>
      <c r="BG444" s="2" t="s">
        <v>74</v>
      </c>
      <c r="BH444" s="2" t="s">
        <v>74</v>
      </c>
      <c r="BI444" s="2" t="s">
        <v>74</v>
      </c>
      <c r="BJ444" s="2" t="s">
        <v>74</v>
      </c>
      <c r="BK444" s="2" t="s">
        <v>74</v>
      </c>
      <c r="BL444" s="2" t="s">
        <v>74</v>
      </c>
      <c r="BM444" s="2" t="s">
        <v>74</v>
      </c>
      <c r="BN444" s="2" t="s">
        <v>74</v>
      </c>
      <c r="BO444" s="2" t="s">
        <v>74</v>
      </c>
      <c r="BP444" s="2" t="s">
        <v>74</v>
      </c>
      <c r="BQ444" s="2" t="s">
        <v>74</v>
      </c>
      <c r="BR444" s="2" t="s">
        <v>74</v>
      </c>
      <c r="BS444" s="2" t="s">
        <v>6939</v>
      </c>
      <c r="BT444" s="2" t="str">
        <f>HYPERLINK("https%3A%2F%2Fwww.webofscience.com%2Fwos%2Fwoscc%2Ffull-record%2FWOS:000736712500001","View Full Record in Web of Science")</f>
        <v>View Full Record in Web of Science</v>
      </c>
    </row>
    <row r="445" spans="1:72" s="2" customFormat="1" x14ac:dyDescent="0.4">
      <c r="A445" s="2" t="s">
        <v>72</v>
      </c>
      <c r="B445" s="2" t="s">
        <v>2507</v>
      </c>
      <c r="C445" s="2" t="s">
        <v>74</v>
      </c>
      <c r="D445" s="2" t="s">
        <v>74</v>
      </c>
      <c r="E445" s="2" t="s">
        <v>74</v>
      </c>
      <c r="F445" s="2" t="s">
        <v>2508</v>
      </c>
      <c r="G445" s="2" t="s">
        <v>74</v>
      </c>
      <c r="H445" s="2" t="s">
        <v>74</v>
      </c>
      <c r="I445" s="2" t="s">
        <v>2509</v>
      </c>
      <c r="J445" s="2" t="s">
        <v>509</v>
      </c>
      <c r="K445" s="2" t="s">
        <v>74</v>
      </c>
      <c r="L445" s="2" t="s">
        <v>74</v>
      </c>
      <c r="M445" s="2" t="s">
        <v>74</v>
      </c>
      <c r="N445" s="2" t="s">
        <v>74</v>
      </c>
      <c r="O445" s="2" t="s">
        <v>74</v>
      </c>
      <c r="P445" s="2" t="s">
        <v>74</v>
      </c>
      <c r="Q445" s="2" t="s">
        <v>74</v>
      </c>
      <c r="R445" s="2" t="s">
        <v>74</v>
      </c>
      <c r="S445" s="2" t="s">
        <v>74</v>
      </c>
      <c r="T445" s="2" t="s">
        <v>74</v>
      </c>
      <c r="U445" s="2" t="s">
        <v>74</v>
      </c>
      <c r="V445" s="5" t="s">
        <v>2510</v>
      </c>
      <c r="W445" s="2" t="s">
        <v>74</v>
      </c>
      <c r="X445" s="2" t="s">
        <v>74</v>
      </c>
      <c r="Y445" s="2" t="s">
        <v>74</v>
      </c>
      <c r="Z445" s="2" t="s">
        <v>74</v>
      </c>
      <c r="AA445" s="2" t="s">
        <v>2511</v>
      </c>
      <c r="AB445" s="2" t="s">
        <v>2512</v>
      </c>
      <c r="AC445" s="2" t="s">
        <v>74</v>
      </c>
      <c r="AD445" s="2" t="s">
        <v>74</v>
      </c>
      <c r="AE445" s="2" t="s">
        <v>74</v>
      </c>
      <c r="AF445" s="2" t="s">
        <v>74</v>
      </c>
      <c r="AG445" s="2" t="s">
        <v>74</v>
      </c>
      <c r="AH445" s="2" t="s">
        <v>74</v>
      </c>
      <c r="AI445" s="2" t="s">
        <v>74</v>
      </c>
      <c r="AJ445" s="2" t="s">
        <v>74</v>
      </c>
      <c r="AK445" s="2" t="s">
        <v>74</v>
      </c>
      <c r="AL445" s="2" t="s">
        <v>74</v>
      </c>
      <c r="AM445" s="2" t="s">
        <v>74</v>
      </c>
      <c r="AN445" s="2" t="s">
        <v>74</v>
      </c>
      <c r="AO445" s="2" t="s">
        <v>511</v>
      </c>
      <c r="AP445" s="2" t="s">
        <v>512</v>
      </c>
      <c r="AQ445" s="2" t="s">
        <v>74</v>
      </c>
      <c r="AR445" s="2" t="s">
        <v>74</v>
      </c>
      <c r="AS445" s="2" t="s">
        <v>74</v>
      </c>
      <c r="AT445" s="2" t="s">
        <v>204</v>
      </c>
      <c r="AU445" s="2">
        <v>2018</v>
      </c>
      <c r="AV445" s="2">
        <v>103</v>
      </c>
      <c r="AW445" s="2" t="s">
        <v>74</v>
      </c>
      <c r="AX445" s="2" t="s">
        <v>74</v>
      </c>
      <c r="AY445" s="2" t="s">
        <v>74</v>
      </c>
      <c r="AZ445" s="2" t="s">
        <v>74</v>
      </c>
      <c r="BA445" s="2" t="s">
        <v>74</v>
      </c>
      <c r="BB445" s="2">
        <v>28</v>
      </c>
      <c r="BC445" s="2">
        <v>35</v>
      </c>
      <c r="BD445" s="2" t="s">
        <v>74</v>
      </c>
      <c r="BE445" s="2" t="s">
        <v>2513</v>
      </c>
      <c r="BF445" s="2" t="str">
        <f>HYPERLINK("http://dx.doi.org/10.1016/j.yhbeh.2018.05.015","http://dx.doi.org/10.1016/j.yhbeh.2018.05.015")</f>
        <v>http://dx.doi.org/10.1016/j.yhbeh.2018.05.015</v>
      </c>
      <c r="BG445" s="2" t="s">
        <v>74</v>
      </c>
      <c r="BH445" s="2" t="s">
        <v>74</v>
      </c>
      <c r="BI445" s="2" t="s">
        <v>74</v>
      </c>
      <c r="BJ445" s="2" t="s">
        <v>74</v>
      </c>
      <c r="BK445" s="2" t="s">
        <v>74</v>
      </c>
      <c r="BL445" s="2" t="s">
        <v>74</v>
      </c>
      <c r="BM445" s="2" t="s">
        <v>74</v>
      </c>
      <c r="BN445" s="2">
        <v>29807035</v>
      </c>
      <c r="BO445" s="2" t="s">
        <v>74</v>
      </c>
      <c r="BP445" s="2" t="s">
        <v>74</v>
      </c>
      <c r="BQ445" s="2" t="s">
        <v>74</v>
      </c>
      <c r="BR445" s="2" t="s">
        <v>74</v>
      </c>
      <c r="BS445" s="2" t="s">
        <v>2514</v>
      </c>
      <c r="BT445" s="2" t="str">
        <f>HYPERLINK("https%3A%2F%2Fwww.webofscience.com%2Fwos%2Fwoscc%2Ffull-record%2FWOS:000441368400004","View Full Record in Web of Science")</f>
        <v>View Full Record in Web of Science</v>
      </c>
    </row>
    <row r="446" spans="1:72" s="2" customFormat="1" x14ac:dyDescent="0.4">
      <c r="A446" s="2" t="s">
        <v>72</v>
      </c>
      <c r="B446" s="2" t="s">
        <v>5095</v>
      </c>
      <c r="C446" s="2" t="s">
        <v>74</v>
      </c>
      <c r="D446" s="2" t="s">
        <v>74</v>
      </c>
      <c r="E446" s="2" t="s">
        <v>74</v>
      </c>
      <c r="F446" s="2" t="s">
        <v>5096</v>
      </c>
      <c r="G446" s="2" t="s">
        <v>74</v>
      </c>
      <c r="H446" s="2" t="s">
        <v>74</v>
      </c>
      <c r="I446" s="2" t="s">
        <v>5097</v>
      </c>
      <c r="J446" s="2" t="s">
        <v>333</v>
      </c>
      <c r="K446" s="2" t="s">
        <v>74</v>
      </c>
      <c r="L446" s="2" t="s">
        <v>74</v>
      </c>
      <c r="M446" s="2" t="s">
        <v>74</v>
      </c>
      <c r="N446" s="2" t="s">
        <v>74</v>
      </c>
      <c r="O446" s="2" t="s">
        <v>74</v>
      </c>
      <c r="P446" s="2" t="s">
        <v>74</v>
      </c>
      <c r="Q446" s="2" t="s">
        <v>74</v>
      </c>
      <c r="R446" s="2" t="s">
        <v>74</v>
      </c>
      <c r="S446" s="2" t="s">
        <v>74</v>
      </c>
      <c r="T446" s="2" t="s">
        <v>74</v>
      </c>
      <c r="U446" s="2" t="s">
        <v>74</v>
      </c>
      <c r="V446" s="5" t="s">
        <v>5098</v>
      </c>
      <c r="W446" s="2" t="s">
        <v>74</v>
      </c>
      <c r="X446" s="2" t="s">
        <v>74</v>
      </c>
      <c r="Y446" s="2" t="s">
        <v>74</v>
      </c>
      <c r="Z446" s="2" t="s">
        <v>74</v>
      </c>
      <c r="AA446" s="2" t="s">
        <v>2511</v>
      </c>
      <c r="AB446" s="2" t="s">
        <v>5099</v>
      </c>
      <c r="AC446" s="2" t="s">
        <v>74</v>
      </c>
      <c r="AD446" s="2" t="s">
        <v>74</v>
      </c>
      <c r="AE446" s="2" t="s">
        <v>74</v>
      </c>
      <c r="AF446" s="2" t="s">
        <v>74</v>
      </c>
      <c r="AG446" s="2" t="s">
        <v>74</v>
      </c>
      <c r="AH446" s="2" t="s">
        <v>74</v>
      </c>
      <c r="AI446" s="2" t="s">
        <v>74</v>
      </c>
      <c r="AJ446" s="2" t="s">
        <v>74</v>
      </c>
      <c r="AK446" s="2" t="s">
        <v>74</v>
      </c>
      <c r="AL446" s="2" t="s">
        <v>74</v>
      </c>
      <c r="AM446" s="2" t="s">
        <v>74</v>
      </c>
      <c r="AN446" s="2" t="s">
        <v>74</v>
      </c>
      <c r="AO446" s="2" t="s">
        <v>337</v>
      </c>
      <c r="AP446" s="2" t="s">
        <v>338</v>
      </c>
      <c r="AQ446" s="2" t="s">
        <v>74</v>
      </c>
      <c r="AR446" s="2" t="s">
        <v>74</v>
      </c>
      <c r="AS446" s="2" t="s">
        <v>74</v>
      </c>
      <c r="AT446" s="2" t="s">
        <v>5100</v>
      </c>
      <c r="AU446" s="2">
        <v>2022</v>
      </c>
      <c r="AV446" s="2">
        <v>33</v>
      </c>
      <c r="AW446" s="2">
        <v>1</v>
      </c>
      <c r="AX446" s="2" t="s">
        <v>74</v>
      </c>
      <c r="AY446" s="2" t="s">
        <v>74</v>
      </c>
      <c r="AZ446" s="2" t="s">
        <v>74</v>
      </c>
      <c r="BA446" s="2" t="s">
        <v>74</v>
      </c>
      <c r="BB446" s="2">
        <v>233</v>
      </c>
      <c r="BC446" s="2">
        <v>244</v>
      </c>
      <c r="BD446" s="2" t="s">
        <v>5101</v>
      </c>
      <c r="BE446" s="2" t="s">
        <v>5102</v>
      </c>
      <c r="BF446" s="2" t="str">
        <f>HYPERLINK("http://dx.doi.org/10.1093/beheco/arab129","http://dx.doi.org/10.1093/beheco/arab129")</f>
        <v>http://dx.doi.org/10.1093/beheco/arab129</v>
      </c>
      <c r="BG446" s="2" t="s">
        <v>74</v>
      </c>
      <c r="BH446" s="2" t="s">
        <v>5103</v>
      </c>
      <c r="BI446" s="2" t="s">
        <v>74</v>
      </c>
      <c r="BJ446" s="2" t="s">
        <v>74</v>
      </c>
      <c r="BK446" s="2" t="s">
        <v>74</v>
      </c>
      <c r="BL446" s="2" t="s">
        <v>74</v>
      </c>
      <c r="BM446" s="2" t="s">
        <v>74</v>
      </c>
      <c r="BN446" s="2">
        <v>35210941</v>
      </c>
      <c r="BO446" s="2" t="s">
        <v>74</v>
      </c>
      <c r="BP446" s="2" t="s">
        <v>74</v>
      </c>
      <c r="BQ446" s="2" t="s">
        <v>74</v>
      </c>
      <c r="BR446" s="2" t="s">
        <v>74</v>
      </c>
      <c r="BS446" s="2" t="s">
        <v>5104</v>
      </c>
      <c r="BT446" s="2" t="str">
        <f>HYPERLINK("https%3A%2F%2Fwww.webofscience.com%2Fwos%2Fwoscc%2Ffull-record%2FWOS:000757960400024","View Full Record in Web of Science")</f>
        <v>View Full Record in Web of Science</v>
      </c>
    </row>
    <row r="447" spans="1:72" s="2" customFormat="1" x14ac:dyDescent="0.4">
      <c r="A447" s="2" t="s">
        <v>72</v>
      </c>
      <c r="B447" s="2" t="s">
        <v>7619</v>
      </c>
      <c r="C447" s="2" t="s">
        <v>74</v>
      </c>
      <c r="D447" s="2" t="s">
        <v>74</v>
      </c>
      <c r="E447" s="2" t="s">
        <v>74</v>
      </c>
      <c r="F447" s="2" t="s">
        <v>7620</v>
      </c>
      <c r="G447" s="2" t="s">
        <v>74</v>
      </c>
      <c r="H447" s="2" t="s">
        <v>74</v>
      </c>
      <c r="I447" s="2" t="s">
        <v>7621</v>
      </c>
      <c r="J447" s="2" t="s">
        <v>7622</v>
      </c>
      <c r="K447" s="2" t="s">
        <v>74</v>
      </c>
      <c r="L447" s="2" t="s">
        <v>74</v>
      </c>
      <c r="M447" s="2" t="s">
        <v>74</v>
      </c>
      <c r="N447" s="2" t="s">
        <v>74</v>
      </c>
      <c r="O447" s="2" t="s">
        <v>74</v>
      </c>
      <c r="P447" s="2" t="s">
        <v>74</v>
      </c>
      <c r="Q447" s="2" t="s">
        <v>74</v>
      </c>
      <c r="R447" s="2" t="s">
        <v>74</v>
      </c>
      <c r="S447" s="2" t="s">
        <v>74</v>
      </c>
      <c r="T447" s="2" t="s">
        <v>74</v>
      </c>
      <c r="U447" s="2" t="s">
        <v>74</v>
      </c>
      <c r="V447" s="5" t="s">
        <v>7623</v>
      </c>
      <c r="W447" s="2" t="s">
        <v>74</v>
      </c>
      <c r="X447" s="2" t="s">
        <v>74</v>
      </c>
      <c r="Y447" s="2" t="s">
        <v>74</v>
      </c>
      <c r="Z447" s="2" t="s">
        <v>74</v>
      </c>
      <c r="AA447" s="2" t="s">
        <v>74</v>
      </c>
      <c r="AB447" s="2" t="s">
        <v>74</v>
      </c>
      <c r="AC447" s="2" t="s">
        <v>74</v>
      </c>
      <c r="AD447" s="2" t="s">
        <v>74</v>
      </c>
      <c r="AE447" s="2" t="s">
        <v>74</v>
      </c>
      <c r="AF447" s="2" t="s">
        <v>74</v>
      </c>
      <c r="AG447" s="2" t="s">
        <v>74</v>
      </c>
      <c r="AH447" s="2" t="s">
        <v>74</v>
      </c>
      <c r="AI447" s="2" t="s">
        <v>74</v>
      </c>
      <c r="AJ447" s="2" t="s">
        <v>74</v>
      </c>
      <c r="AK447" s="2" t="s">
        <v>74</v>
      </c>
      <c r="AL447" s="2" t="s">
        <v>74</v>
      </c>
      <c r="AM447" s="2" t="s">
        <v>74</v>
      </c>
      <c r="AN447" s="2" t="s">
        <v>74</v>
      </c>
      <c r="AO447" s="2" t="s">
        <v>7624</v>
      </c>
      <c r="AP447" s="2" t="s">
        <v>74</v>
      </c>
      <c r="AQ447" s="2" t="s">
        <v>74</v>
      </c>
      <c r="AR447" s="2" t="s">
        <v>74</v>
      </c>
      <c r="AS447" s="2" t="s">
        <v>74</v>
      </c>
      <c r="AT447" s="2" t="s">
        <v>305</v>
      </c>
      <c r="AU447" s="2">
        <v>2007</v>
      </c>
      <c r="AV447" s="2">
        <v>36</v>
      </c>
      <c r="AW447" s="2">
        <v>6</v>
      </c>
      <c r="AX447" s="2" t="s">
        <v>74</v>
      </c>
      <c r="AY447" s="2" t="s">
        <v>74</v>
      </c>
      <c r="AZ447" s="2" t="s">
        <v>74</v>
      </c>
      <c r="BA447" s="2" t="s">
        <v>74</v>
      </c>
      <c r="BB447" s="2">
        <v>348</v>
      </c>
      <c r="BC447" s="2">
        <v>354</v>
      </c>
      <c r="BD447" s="2" t="s">
        <v>74</v>
      </c>
      <c r="BE447" s="2" t="s">
        <v>7625</v>
      </c>
      <c r="BF447" s="2" t="str">
        <f>HYPERLINK("http://dx.doi.org/10.1111/j.1600-0684.2007.00227.x","http://dx.doi.org/10.1111/j.1600-0684.2007.00227.x")</f>
        <v>http://dx.doi.org/10.1111/j.1600-0684.2007.00227.x</v>
      </c>
      <c r="BG447" s="2" t="s">
        <v>74</v>
      </c>
      <c r="BH447" s="2" t="s">
        <v>74</v>
      </c>
      <c r="BI447" s="2" t="s">
        <v>74</v>
      </c>
      <c r="BJ447" s="2" t="s">
        <v>74</v>
      </c>
      <c r="BK447" s="2" t="s">
        <v>74</v>
      </c>
      <c r="BL447" s="2" t="s">
        <v>74</v>
      </c>
      <c r="BM447" s="2" t="s">
        <v>74</v>
      </c>
      <c r="BN447" s="2">
        <v>17976039</v>
      </c>
      <c r="BO447" s="2" t="s">
        <v>74</v>
      </c>
      <c r="BP447" s="2" t="s">
        <v>74</v>
      </c>
      <c r="BQ447" s="2" t="s">
        <v>74</v>
      </c>
      <c r="BR447" s="2" t="s">
        <v>74</v>
      </c>
      <c r="BS447" s="2" t="s">
        <v>7626</v>
      </c>
      <c r="BT447" s="2" t="str">
        <f>HYPERLINK("https%3A%2F%2Fwww.webofscience.com%2Fwos%2Fwoscc%2Ffull-record%2FWOS:000250553200003","View Full Record in Web of Science")</f>
        <v>View Full Record in Web of Science</v>
      </c>
    </row>
    <row r="448" spans="1:72" s="2" customFormat="1" x14ac:dyDescent="0.4">
      <c r="A448" s="2" t="s">
        <v>72</v>
      </c>
      <c r="B448" s="2" t="s">
        <v>207</v>
      </c>
      <c r="C448" s="2" t="s">
        <v>74</v>
      </c>
      <c r="D448" s="2" t="s">
        <v>74</v>
      </c>
      <c r="E448" s="2" t="s">
        <v>74</v>
      </c>
      <c r="F448" s="2" t="s">
        <v>208</v>
      </c>
      <c r="G448" s="2" t="s">
        <v>74</v>
      </c>
      <c r="H448" s="2" t="s">
        <v>74</v>
      </c>
      <c r="I448" s="2" t="s">
        <v>209</v>
      </c>
      <c r="J448" s="2" t="s">
        <v>210</v>
      </c>
      <c r="K448" s="2" t="s">
        <v>74</v>
      </c>
      <c r="L448" s="2" t="s">
        <v>74</v>
      </c>
      <c r="M448" s="2" t="s">
        <v>74</v>
      </c>
      <c r="N448" s="2" t="s">
        <v>74</v>
      </c>
      <c r="O448" s="2" t="s">
        <v>74</v>
      </c>
      <c r="P448" s="2" t="s">
        <v>74</v>
      </c>
      <c r="Q448" s="2" t="s">
        <v>74</v>
      </c>
      <c r="R448" s="2" t="s">
        <v>74</v>
      </c>
      <c r="S448" s="2" t="s">
        <v>74</v>
      </c>
      <c r="T448" s="2" t="s">
        <v>74</v>
      </c>
      <c r="U448" s="2" t="s">
        <v>74</v>
      </c>
      <c r="V448" s="5" t="s">
        <v>211</v>
      </c>
      <c r="W448" s="2" t="s">
        <v>74</v>
      </c>
      <c r="X448" s="2" t="s">
        <v>74</v>
      </c>
      <c r="Y448" s="2" t="s">
        <v>74</v>
      </c>
      <c r="Z448" s="2" t="s">
        <v>74</v>
      </c>
      <c r="AA448" s="2" t="s">
        <v>74</v>
      </c>
      <c r="AB448" s="2" t="s">
        <v>74</v>
      </c>
      <c r="AC448" s="2" t="s">
        <v>74</v>
      </c>
      <c r="AD448" s="2" t="s">
        <v>74</v>
      </c>
      <c r="AE448" s="2" t="s">
        <v>74</v>
      </c>
      <c r="AF448" s="2" t="s">
        <v>74</v>
      </c>
      <c r="AG448" s="2" t="s">
        <v>74</v>
      </c>
      <c r="AH448" s="2" t="s">
        <v>74</v>
      </c>
      <c r="AI448" s="2" t="s">
        <v>74</v>
      </c>
      <c r="AJ448" s="2" t="s">
        <v>74</v>
      </c>
      <c r="AK448" s="2" t="s">
        <v>74</v>
      </c>
      <c r="AL448" s="2" t="s">
        <v>74</v>
      </c>
      <c r="AM448" s="2" t="s">
        <v>74</v>
      </c>
      <c r="AN448" s="2" t="s">
        <v>74</v>
      </c>
      <c r="AO448" s="2" t="s">
        <v>212</v>
      </c>
      <c r="AP448" s="2" t="s">
        <v>74</v>
      </c>
      <c r="AQ448" s="2" t="s">
        <v>74</v>
      </c>
      <c r="AR448" s="2" t="s">
        <v>74</v>
      </c>
      <c r="AS448" s="2" t="s">
        <v>74</v>
      </c>
      <c r="AT448" s="2" t="s">
        <v>213</v>
      </c>
      <c r="AU448" s="2">
        <v>2006</v>
      </c>
      <c r="AV448" s="2">
        <v>15</v>
      </c>
      <c r="AW448" s="2">
        <v>4</v>
      </c>
      <c r="AX448" s="2" t="s">
        <v>74</v>
      </c>
      <c r="AY448" s="2" t="s">
        <v>74</v>
      </c>
      <c r="AZ448" s="2" t="s">
        <v>74</v>
      </c>
      <c r="BA448" s="2" t="s">
        <v>74</v>
      </c>
      <c r="BB448" s="2">
        <v>363</v>
      </c>
      <c r="BC448" s="2">
        <v>369</v>
      </c>
      <c r="BD448" s="2" t="s">
        <v>74</v>
      </c>
      <c r="BE448" s="2" t="s">
        <v>74</v>
      </c>
      <c r="BF448" s="2" t="s">
        <v>74</v>
      </c>
      <c r="BG448" s="2" t="s">
        <v>74</v>
      </c>
      <c r="BH448" s="2" t="s">
        <v>74</v>
      </c>
      <c r="BI448" s="2" t="s">
        <v>74</v>
      </c>
      <c r="BJ448" s="2" t="s">
        <v>74</v>
      </c>
      <c r="BK448" s="2" t="s">
        <v>74</v>
      </c>
      <c r="BL448" s="2" t="s">
        <v>74</v>
      </c>
      <c r="BM448" s="2" t="s">
        <v>74</v>
      </c>
      <c r="BN448" s="2" t="s">
        <v>74</v>
      </c>
      <c r="BO448" s="2" t="s">
        <v>74</v>
      </c>
      <c r="BP448" s="2" t="s">
        <v>74</v>
      </c>
      <c r="BQ448" s="2" t="s">
        <v>74</v>
      </c>
      <c r="BR448" s="2" t="s">
        <v>74</v>
      </c>
      <c r="BS448" s="2" t="s">
        <v>214</v>
      </c>
      <c r="BT448" s="2" t="str">
        <f>HYPERLINK("https%3A%2F%2Fwww.webofscience.com%2Fwos%2Fwoscc%2Ffull-record%2FWOS:000241770100007","View Full Record in Web of Science")</f>
        <v>View Full Record in Web of Science</v>
      </c>
    </row>
    <row r="449" spans="1:72" s="2" customFormat="1" x14ac:dyDescent="0.4">
      <c r="A449" s="2" t="s">
        <v>72</v>
      </c>
      <c r="B449" s="2" t="s">
        <v>3316</v>
      </c>
      <c r="C449" s="2" t="s">
        <v>74</v>
      </c>
      <c r="D449" s="2" t="s">
        <v>74</v>
      </c>
      <c r="E449" s="2" t="s">
        <v>74</v>
      </c>
      <c r="F449" s="2" t="s">
        <v>3317</v>
      </c>
      <c r="G449" s="2" t="s">
        <v>74</v>
      </c>
      <c r="H449" s="2" t="s">
        <v>74</v>
      </c>
      <c r="I449" s="2" t="s">
        <v>3318</v>
      </c>
      <c r="J449" s="2" t="s">
        <v>119</v>
      </c>
      <c r="K449" s="2" t="s">
        <v>74</v>
      </c>
      <c r="L449" s="2" t="s">
        <v>74</v>
      </c>
      <c r="M449" s="2" t="s">
        <v>74</v>
      </c>
      <c r="N449" s="2" t="s">
        <v>74</v>
      </c>
      <c r="O449" s="2" t="s">
        <v>74</v>
      </c>
      <c r="P449" s="2" t="s">
        <v>74</v>
      </c>
      <c r="Q449" s="2" t="s">
        <v>74</v>
      </c>
      <c r="R449" s="2" t="s">
        <v>74</v>
      </c>
      <c r="S449" s="2" t="s">
        <v>74</v>
      </c>
      <c r="T449" s="2" t="s">
        <v>74</v>
      </c>
      <c r="U449" s="2" t="s">
        <v>74</v>
      </c>
      <c r="V449" s="5" t="s">
        <v>3319</v>
      </c>
      <c r="W449" s="2" t="s">
        <v>74</v>
      </c>
      <c r="X449" s="2" t="s">
        <v>74</v>
      </c>
      <c r="Y449" s="2" t="s">
        <v>74</v>
      </c>
      <c r="Z449" s="2" t="s">
        <v>74</v>
      </c>
      <c r="AA449" s="2" t="s">
        <v>1028</v>
      </c>
      <c r="AB449" s="2" t="s">
        <v>1029</v>
      </c>
      <c r="AC449" s="2" t="s">
        <v>74</v>
      </c>
      <c r="AD449" s="2" t="s">
        <v>74</v>
      </c>
      <c r="AE449" s="2" t="s">
        <v>74</v>
      </c>
      <c r="AF449" s="2" t="s">
        <v>74</v>
      </c>
      <c r="AG449" s="2" t="s">
        <v>74</v>
      </c>
      <c r="AH449" s="2" t="s">
        <v>74</v>
      </c>
      <c r="AI449" s="2" t="s">
        <v>74</v>
      </c>
      <c r="AJ449" s="2" t="s">
        <v>74</v>
      </c>
      <c r="AK449" s="2" t="s">
        <v>74</v>
      </c>
      <c r="AL449" s="2" t="s">
        <v>74</v>
      </c>
      <c r="AM449" s="2" t="s">
        <v>74</v>
      </c>
      <c r="AN449" s="2" t="s">
        <v>74</v>
      </c>
      <c r="AO449" s="2" t="s">
        <v>121</v>
      </c>
      <c r="AP449" s="2" t="s">
        <v>74</v>
      </c>
      <c r="AQ449" s="2" t="s">
        <v>74</v>
      </c>
      <c r="AR449" s="2" t="s">
        <v>74</v>
      </c>
      <c r="AS449" s="2" t="s">
        <v>74</v>
      </c>
      <c r="AT449" s="2" t="s">
        <v>255</v>
      </c>
      <c r="AU449" s="2">
        <v>2009</v>
      </c>
      <c r="AV449" s="2">
        <v>80</v>
      </c>
      <c r="AW449" s="2">
        <v>1</v>
      </c>
      <c r="AX449" s="2" t="s">
        <v>74</v>
      </c>
      <c r="AY449" s="2" t="s">
        <v>74</v>
      </c>
      <c r="AZ449" s="2" t="s">
        <v>74</v>
      </c>
      <c r="BA449" s="2" t="s">
        <v>74</v>
      </c>
      <c r="BB449" s="2">
        <v>7</v>
      </c>
      <c r="BC449" s="2">
        <v>11</v>
      </c>
      <c r="BD449" s="2" t="s">
        <v>74</v>
      </c>
      <c r="BE449" s="2" t="s">
        <v>3320</v>
      </c>
      <c r="BF449" s="2" t="str">
        <f>HYPERLINK("http://dx.doi.org/10.1016/j.beproc.2008.08.001","http://dx.doi.org/10.1016/j.beproc.2008.08.001")</f>
        <v>http://dx.doi.org/10.1016/j.beproc.2008.08.001</v>
      </c>
      <c r="BG449" s="2" t="s">
        <v>74</v>
      </c>
      <c r="BH449" s="2" t="s">
        <v>74</v>
      </c>
      <c r="BI449" s="2" t="s">
        <v>74</v>
      </c>
      <c r="BJ449" s="2" t="s">
        <v>74</v>
      </c>
      <c r="BK449" s="2" t="s">
        <v>74</v>
      </c>
      <c r="BL449" s="2" t="s">
        <v>74</v>
      </c>
      <c r="BM449" s="2" t="s">
        <v>74</v>
      </c>
      <c r="BN449" s="2">
        <v>18761061</v>
      </c>
      <c r="BO449" s="2" t="s">
        <v>74</v>
      </c>
      <c r="BP449" s="2" t="s">
        <v>74</v>
      </c>
      <c r="BQ449" s="2" t="s">
        <v>74</v>
      </c>
      <c r="BR449" s="2" t="s">
        <v>74</v>
      </c>
      <c r="BS449" s="2" t="s">
        <v>3321</v>
      </c>
      <c r="BT449" s="2" t="str">
        <f>HYPERLINK("https%3A%2F%2Fwww.webofscience.com%2Fwos%2Fwoscc%2Ffull-record%2FWOS:000262546900002","View Full Record in Web of Science")</f>
        <v>View Full Record in Web of Science</v>
      </c>
    </row>
    <row r="450" spans="1:72" s="2" customFormat="1" x14ac:dyDescent="0.4">
      <c r="A450" s="2" t="s">
        <v>72</v>
      </c>
      <c r="B450" s="2" t="s">
        <v>1023</v>
      </c>
      <c r="C450" s="2" t="s">
        <v>74</v>
      </c>
      <c r="D450" s="2" t="s">
        <v>74</v>
      </c>
      <c r="E450" s="2" t="s">
        <v>74</v>
      </c>
      <c r="F450" s="2" t="s">
        <v>1024</v>
      </c>
      <c r="G450" s="2" t="s">
        <v>74</v>
      </c>
      <c r="H450" s="2" t="s">
        <v>74</v>
      </c>
      <c r="I450" s="2" t="s">
        <v>1025</v>
      </c>
      <c r="J450" s="2" t="s">
        <v>1026</v>
      </c>
      <c r="K450" s="2" t="s">
        <v>74</v>
      </c>
      <c r="L450" s="2" t="s">
        <v>74</v>
      </c>
      <c r="M450" s="2" t="s">
        <v>74</v>
      </c>
      <c r="N450" s="2" t="s">
        <v>74</v>
      </c>
      <c r="O450" s="2" t="s">
        <v>74</v>
      </c>
      <c r="P450" s="2" t="s">
        <v>74</v>
      </c>
      <c r="Q450" s="2" t="s">
        <v>74</v>
      </c>
      <c r="R450" s="2" t="s">
        <v>74</v>
      </c>
      <c r="S450" s="2" t="s">
        <v>74</v>
      </c>
      <c r="T450" s="2" t="s">
        <v>74</v>
      </c>
      <c r="U450" s="2" t="s">
        <v>74</v>
      </c>
      <c r="V450" s="5" t="s">
        <v>1027</v>
      </c>
      <c r="W450" s="2" t="s">
        <v>74</v>
      </c>
      <c r="X450" s="2" t="s">
        <v>74</v>
      </c>
      <c r="Y450" s="2" t="s">
        <v>74</v>
      </c>
      <c r="Z450" s="2" t="s">
        <v>74</v>
      </c>
      <c r="AA450" s="2" t="s">
        <v>1028</v>
      </c>
      <c r="AB450" s="2" t="s">
        <v>1029</v>
      </c>
      <c r="AC450" s="2" t="s">
        <v>74</v>
      </c>
      <c r="AD450" s="2" t="s">
        <v>74</v>
      </c>
      <c r="AE450" s="2" t="s">
        <v>74</v>
      </c>
      <c r="AF450" s="2" t="s">
        <v>74</v>
      </c>
      <c r="AG450" s="2" t="s">
        <v>74</v>
      </c>
      <c r="AH450" s="2" t="s">
        <v>74</v>
      </c>
      <c r="AI450" s="2" t="s">
        <v>74</v>
      </c>
      <c r="AJ450" s="2" t="s">
        <v>74</v>
      </c>
      <c r="AK450" s="2" t="s">
        <v>74</v>
      </c>
      <c r="AL450" s="2" t="s">
        <v>74</v>
      </c>
      <c r="AM450" s="2" t="s">
        <v>74</v>
      </c>
      <c r="AN450" s="2" t="s">
        <v>74</v>
      </c>
      <c r="AO450" s="2" t="s">
        <v>1030</v>
      </c>
      <c r="AP450" s="2" t="s">
        <v>1031</v>
      </c>
      <c r="AQ450" s="2" t="s">
        <v>74</v>
      </c>
      <c r="AR450" s="2" t="s">
        <v>74</v>
      </c>
      <c r="AS450" s="2" t="s">
        <v>74</v>
      </c>
      <c r="AT450" s="2" t="s">
        <v>964</v>
      </c>
      <c r="AU450" s="2">
        <v>2007</v>
      </c>
      <c r="AV450" s="2">
        <v>28</v>
      </c>
      <c r="AW450" s="2">
        <v>1</v>
      </c>
      <c r="AX450" s="2" t="s">
        <v>74</v>
      </c>
      <c r="AY450" s="2" t="s">
        <v>74</v>
      </c>
      <c r="AZ450" s="2" t="s">
        <v>74</v>
      </c>
      <c r="BA450" s="2" t="s">
        <v>74</v>
      </c>
      <c r="BB450" s="2">
        <v>1</v>
      </c>
      <c r="BC450" s="2">
        <v>7</v>
      </c>
      <c r="BD450" s="2" t="s">
        <v>74</v>
      </c>
      <c r="BE450" s="2" t="s">
        <v>1032</v>
      </c>
      <c r="BF450" s="2" t="str">
        <f>HYPERLINK("http://dx.doi.org/10.1007/s10764-006-9110-8","http://dx.doi.org/10.1007/s10764-006-9110-8")</f>
        <v>http://dx.doi.org/10.1007/s10764-006-9110-8</v>
      </c>
      <c r="BG450" s="2" t="s">
        <v>74</v>
      </c>
      <c r="BH450" s="2" t="s">
        <v>74</v>
      </c>
      <c r="BI450" s="2" t="s">
        <v>74</v>
      </c>
      <c r="BJ450" s="2" t="s">
        <v>74</v>
      </c>
      <c r="BK450" s="2" t="s">
        <v>74</v>
      </c>
      <c r="BL450" s="2" t="s">
        <v>74</v>
      </c>
      <c r="BM450" s="2" t="s">
        <v>74</v>
      </c>
      <c r="BN450" s="2" t="s">
        <v>74</v>
      </c>
      <c r="BO450" s="2" t="s">
        <v>74</v>
      </c>
      <c r="BP450" s="2" t="s">
        <v>74</v>
      </c>
      <c r="BQ450" s="2" t="s">
        <v>74</v>
      </c>
      <c r="BR450" s="2" t="s">
        <v>74</v>
      </c>
      <c r="BS450" s="2" t="s">
        <v>1033</v>
      </c>
      <c r="BT450" s="2" t="str">
        <f>HYPERLINK("https%3A%2F%2Fwww.webofscience.com%2Fwos%2Fwoscc%2Ffull-record%2FWOS:000246843800001","View Full Record in Web of Science")</f>
        <v>View Full Record in Web of Science</v>
      </c>
    </row>
    <row r="451" spans="1:72" s="2" customFormat="1" x14ac:dyDescent="0.4">
      <c r="A451" s="2" t="s">
        <v>72</v>
      </c>
      <c r="B451" s="2" t="s">
        <v>7627</v>
      </c>
      <c r="C451" s="2" t="s">
        <v>74</v>
      </c>
      <c r="D451" s="2" t="s">
        <v>74</v>
      </c>
      <c r="E451" s="2" t="s">
        <v>74</v>
      </c>
      <c r="F451" s="2" t="s">
        <v>7628</v>
      </c>
      <c r="G451" s="2" t="s">
        <v>74</v>
      </c>
      <c r="H451" s="2" t="s">
        <v>74</v>
      </c>
      <c r="I451" s="2" t="s">
        <v>7629</v>
      </c>
      <c r="J451" s="2" t="s">
        <v>1526</v>
      </c>
      <c r="K451" s="2" t="s">
        <v>74</v>
      </c>
      <c r="L451" s="2" t="s">
        <v>74</v>
      </c>
      <c r="M451" s="2" t="s">
        <v>74</v>
      </c>
      <c r="N451" s="2" t="s">
        <v>74</v>
      </c>
      <c r="O451" s="2" t="s">
        <v>74</v>
      </c>
      <c r="P451" s="2" t="s">
        <v>74</v>
      </c>
      <c r="Q451" s="2" t="s">
        <v>74</v>
      </c>
      <c r="R451" s="2" t="s">
        <v>74</v>
      </c>
      <c r="S451" s="2" t="s">
        <v>74</v>
      </c>
      <c r="T451" s="2" t="s">
        <v>74</v>
      </c>
      <c r="U451" s="2" t="s">
        <v>74</v>
      </c>
      <c r="V451" s="5" t="s">
        <v>7630</v>
      </c>
      <c r="W451" s="2" t="s">
        <v>74</v>
      </c>
      <c r="X451" s="2" t="s">
        <v>74</v>
      </c>
      <c r="Y451" s="2" t="s">
        <v>74</v>
      </c>
      <c r="Z451" s="2" t="s">
        <v>74</v>
      </c>
      <c r="AA451" s="2" t="s">
        <v>7631</v>
      </c>
      <c r="AB451" s="2" t="s">
        <v>7632</v>
      </c>
      <c r="AC451" s="2" t="s">
        <v>74</v>
      </c>
      <c r="AD451" s="2" t="s">
        <v>74</v>
      </c>
      <c r="AE451" s="2" t="s">
        <v>74</v>
      </c>
      <c r="AF451" s="2" t="s">
        <v>74</v>
      </c>
      <c r="AG451" s="2" t="s">
        <v>74</v>
      </c>
      <c r="AH451" s="2" t="s">
        <v>74</v>
      </c>
      <c r="AI451" s="2" t="s">
        <v>74</v>
      </c>
      <c r="AJ451" s="2" t="s">
        <v>74</v>
      </c>
      <c r="AK451" s="2" t="s">
        <v>74</v>
      </c>
      <c r="AL451" s="2" t="s">
        <v>74</v>
      </c>
      <c r="AM451" s="2" t="s">
        <v>74</v>
      </c>
      <c r="AN451" s="2" t="s">
        <v>74</v>
      </c>
      <c r="AO451" s="2" t="s">
        <v>1528</v>
      </c>
      <c r="AP451" s="2" t="s">
        <v>74</v>
      </c>
      <c r="AQ451" s="2" t="s">
        <v>74</v>
      </c>
      <c r="AR451" s="2" t="s">
        <v>74</v>
      </c>
      <c r="AS451" s="2" t="s">
        <v>74</v>
      </c>
      <c r="AT451" s="2" t="s">
        <v>213</v>
      </c>
      <c r="AU451" s="2">
        <v>2010</v>
      </c>
      <c r="AV451" s="2">
        <v>112</v>
      </c>
      <c r="AW451" s="2">
        <v>4</v>
      </c>
      <c r="AX451" s="2" t="s">
        <v>74</v>
      </c>
      <c r="AY451" s="2" t="s">
        <v>74</v>
      </c>
      <c r="AZ451" s="2" t="s">
        <v>74</v>
      </c>
      <c r="BA451" s="2" t="s">
        <v>74</v>
      </c>
      <c r="BB451" s="2">
        <v>676</v>
      </c>
      <c r="BC451" s="2">
        <v>682</v>
      </c>
      <c r="BD451" s="2" t="s">
        <v>74</v>
      </c>
      <c r="BE451" s="2" t="s">
        <v>7633</v>
      </c>
      <c r="BF451" s="2" t="str">
        <f>HYPERLINK("http://dx.doi.org/10.1525/cond.2010.090193","http://dx.doi.org/10.1525/cond.2010.090193")</f>
        <v>http://dx.doi.org/10.1525/cond.2010.090193</v>
      </c>
      <c r="BG451" s="2" t="s">
        <v>74</v>
      </c>
      <c r="BH451" s="2" t="s">
        <v>74</v>
      </c>
      <c r="BI451" s="2" t="s">
        <v>74</v>
      </c>
      <c r="BJ451" s="2" t="s">
        <v>74</v>
      </c>
      <c r="BK451" s="2" t="s">
        <v>74</v>
      </c>
      <c r="BL451" s="2" t="s">
        <v>74</v>
      </c>
      <c r="BM451" s="2" t="s">
        <v>74</v>
      </c>
      <c r="BN451" s="2" t="s">
        <v>74</v>
      </c>
      <c r="BO451" s="2" t="s">
        <v>74</v>
      </c>
      <c r="BP451" s="2" t="s">
        <v>74</v>
      </c>
      <c r="BQ451" s="2" t="s">
        <v>74</v>
      </c>
      <c r="BR451" s="2" t="s">
        <v>74</v>
      </c>
      <c r="BS451" s="2" t="s">
        <v>7634</v>
      </c>
      <c r="BT451" s="2" t="str">
        <f>HYPERLINK("https%3A%2F%2Fwww.webofscience.com%2Fwos%2Fwoscc%2Ffull-record%2FWOS:000285727700006","View Full Record in Web of Science")</f>
        <v>View Full Record in Web of Science</v>
      </c>
    </row>
    <row r="452" spans="1:72" s="2" customFormat="1" x14ac:dyDescent="0.4">
      <c r="A452" s="2" t="s">
        <v>72</v>
      </c>
      <c r="B452" s="2" t="s">
        <v>4659</v>
      </c>
      <c r="C452" s="2" t="s">
        <v>74</v>
      </c>
      <c r="D452" s="2" t="s">
        <v>74</v>
      </c>
      <c r="E452" s="2" t="s">
        <v>74</v>
      </c>
      <c r="F452" s="2" t="s">
        <v>4659</v>
      </c>
      <c r="G452" s="2" t="s">
        <v>74</v>
      </c>
      <c r="H452" s="2" t="s">
        <v>74</v>
      </c>
      <c r="I452" s="2" t="s">
        <v>4660</v>
      </c>
      <c r="J452" s="2" t="s">
        <v>4661</v>
      </c>
      <c r="K452" s="2" t="s">
        <v>74</v>
      </c>
      <c r="L452" s="2" t="s">
        <v>74</v>
      </c>
      <c r="M452" s="2" t="s">
        <v>74</v>
      </c>
      <c r="N452" s="2" t="s">
        <v>74</v>
      </c>
      <c r="O452" s="2" t="s">
        <v>74</v>
      </c>
      <c r="P452" s="2" t="s">
        <v>74</v>
      </c>
      <c r="Q452" s="2" t="s">
        <v>74</v>
      </c>
      <c r="R452" s="2" t="s">
        <v>74</v>
      </c>
      <c r="S452" s="2" t="s">
        <v>74</v>
      </c>
      <c r="T452" s="2" t="s">
        <v>74</v>
      </c>
      <c r="U452" s="2" t="s">
        <v>74</v>
      </c>
      <c r="V452" s="5" t="s">
        <v>4662</v>
      </c>
      <c r="W452" s="2" t="s">
        <v>74</v>
      </c>
      <c r="X452" s="2" t="s">
        <v>74</v>
      </c>
      <c r="Y452" s="2" t="s">
        <v>74</v>
      </c>
      <c r="Z452" s="2" t="s">
        <v>74</v>
      </c>
      <c r="AA452" s="2" t="s">
        <v>74</v>
      </c>
      <c r="AB452" s="2" t="s">
        <v>74</v>
      </c>
      <c r="AC452" s="2" t="s">
        <v>74</v>
      </c>
      <c r="AD452" s="2" t="s">
        <v>74</v>
      </c>
      <c r="AE452" s="2" t="s">
        <v>74</v>
      </c>
      <c r="AF452" s="2" t="s">
        <v>74</v>
      </c>
      <c r="AG452" s="2" t="s">
        <v>74</v>
      </c>
      <c r="AH452" s="2" t="s">
        <v>74</v>
      </c>
      <c r="AI452" s="2" t="s">
        <v>74</v>
      </c>
      <c r="AJ452" s="2" t="s">
        <v>74</v>
      </c>
      <c r="AK452" s="2" t="s">
        <v>74</v>
      </c>
      <c r="AL452" s="2" t="s">
        <v>74</v>
      </c>
      <c r="AM452" s="2" t="s">
        <v>74</v>
      </c>
      <c r="AN452" s="2" t="s">
        <v>74</v>
      </c>
      <c r="AO452" s="2" t="s">
        <v>4663</v>
      </c>
      <c r="AP452" s="2" t="s">
        <v>74</v>
      </c>
      <c r="AQ452" s="2" t="s">
        <v>74</v>
      </c>
      <c r="AR452" s="2" t="s">
        <v>74</v>
      </c>
      <c r="AS452" s="2" t="s">
        <v>74</v>
      </c>
      <c r="AT452" s="2" t="s">
        <v>74</v>
      </c>
      <c r="AU452" s="2">
        <v>1996</v>
      </c>
      <c r="AV452" s="2">
        <v>24</v>
      </c>
      <c r="AW452" s="2">
        <v>2</v>
      </c>
      <c r="AX452" s="2" t="s">
        <v>74</v>
      </c>
      <c r="AY452" s="2" t="s">
        <v>74</v>
      </c>
      <c r="AZ452" s="2" t="s">
        <v>74</v>
      </c>
      <c r="BA452" s="2" t="s">
        <v>74</v>
      </c>
      <c r="BB452" s="2">
        <v>93</v>
      </c>
      <c r="BC452" s="2">
        <v>100</v>
      </c>
      <c r="BD452" s="2" t="s">
        <v>74</v>
      </c>
      <c r="BE452" s="2" t="s">
        <v>74</v>
      </c>
      <c r="BF452" s="2" t="s">
        <v>74</v>
      </c>
      <c r="BG452" s="2" t="s">
        <v>74</v>
      </c>
      <c r="BH452" s="2" t="s">
        <v>74</v>
      </c>
      <c r="BI452" s="2" t="s">
        <v>74</v>
      </c>
      <c r="BJ452" s="2" t="s">
        <v>74</v>
      </c>
      <c r="BK452" s="2" t="s">
        <v>74</v>
      </c>
      <c r="BL452" s="2" t="s">
        <v>74</v>
      </c>
      <c r="BM452" s="2" t="s">
        <v>74</v>
      </c>
      <c r="BN452" s="2" t="s">
        <v>74</v>
      </c>
      <c r="BO452" s="2" t="s">
        <v>74</v>
      </c>
      <c r="BP452" s="2" t="s">
        <v>74</v>
      </c>
      <c r="BQ452" s="2" t="s">
        <v>74</v>
      </c>
      <c r="BR452" s="2" t="s">
        <v>74</v>
      </c>
      <c r="BS452" s="2" t="s">
        <v>4664</v>
      </c>
      <c r="BT452" s="2" t="str">
        <f>HYPERLINK("https%3A%2F%2Fwww.webofscience.com%2Fwos%2Fwoscc%2Ffull-record%2FWOS:A1996VW78600003","View Full Record in Web of Science")</f>
        <v>View Full Record in Web of Science</v>
      </c>
    </row>
    <row r="453" spans="1:72" s="2" customFormat="1" x14ac:dyDescent="0.4">
      <c r="A453" s="2" t="s">
        <v>72</v>
      </c>
      <c r="B453" s="2" t="s">
        <v>7730</v>
      </c>
      <c r="C453" s="2" t="s">
        <v>74</v>
      </c>
      <c r="D453" s="2" t="s">
        <v>74</v>
      </c>
      <c r="E453" s="2" t="s">
        <v>74</v>
      </c>
      <c r="F453" s="2" t="s">
        <v>7731</v>
      </c>
      <c r="G453" s="2" t="s">
        <v>74</v>
      </c>
      <c r="H453" s="2" t="s">
        <v>74</v>
      </c>
      <c r="I453" s="2" t="s">
        <v>7732</v>
      </c>
      <c r="J453" s="2" t="s">
        <v>1656</v>
      </c>
      <c r="K453" s="2" t="s">
        <v>74</v>
      </c>
      <c r="L453" s="2" t="s">
        <v>74</v>
      </c>
      <c r="M453" s="2" t="s">
        <v>74</v>
      </c>
      <c r="N453" s="2" t="s">
        <v>74</v>
      </c>
      <c r="O453" s="2" t="s">
        <v>74</v>
      </c>
      <c r="P453" s="2" t="s">
        <v>74</v>
      </c>
      <c r="Q453" s="2" t="s">
        <v>74</v>
      </c>
      <c r="R453" s="2" t="s">
        <v>74</v>
      </c>
      <c r="S453" s="2" t="s">
        <v>74</v>
      </c>
      <c r="T453" s="2" t="s">
        <v>74</v>
      </c>
      <c r="U453" s="2" t="s">
        <v>74</v>
      </c>
      <c r="V453" s="5" t="s">
        <v>7733</v>
      </c>
      <c r="W453" s="2" t="s">
        <v>74</v>
      </c>
      <c r="X453" s="2" t="s">
        <v>74</v>
      </c>
      <c r="Y453" s="2" t="s">
        <v>74</v>
      </c>
      <c r="Z453" s="2" t="s">
        <v>74</v>
      </c>
      <c r="AA453" s="2" t="s">
        <v>7734</v>
      </c>
      <c r="AB453" s="2" t="s">
        <v>7735</v>
      </c>
      <c r="AC453" s="2" t="s">
        <v>74</v>
      </c>
      <c r="AD453" s="2" t="s">
        <v>74</v>
      </c>
      <c r="AE453" s="2" t="s">
        <v>74</v>
      </c>
      <c r="AF453" s="2" t="s">
        <v>74</v>
      </c>
      <c r="AG453" s="2" t="s">
        <v>74</v>
      </c>
      <c r="AH453" s="2" t="s">
        <v>74</v>
      </c>
      <c r="AI453" s="2" t="s">
        <v>74</v>
      </c>
      <c r="AJ453" s="2" t="s">
        <v>74</v>
      </c>
      <c r="AK453" s="2" t="s">
        <v>74</v>
      </c>
      <c r="AL453" s="2" t="s">
        <v>74</v>
      </c>
      <c r="AM453" s="2" t="s">
        <v>74</v>
      </c>
      <c r="AN453" s="2" t="s">
        <v>74</v>
      </c>
      <c r="AO453" s="2" t="s">
        <v>1658</v>
      </c>
      <c r="AP453" s="2" t="s">
        <v>1659</v>
      </c>
      <c r="AQ453" s="2" t="s">
        <v>74</v>
      </c>
      <c r="AR453" s="2" t="s">
        <v>74</v>
      </c>
      <c r="AS453" s="2" t="s">
        <v>74</v>
      </c>
      <c r="AT453" s="2" t="s">
        <v>275</v>
      </c>
      <c r="AU453" s="2">
        <v>2022</v>
      </c>
      <c r="AV453" s="2">
        <v>5128</v>
      </c>
      <c r="AW453" s="2">
        <v>4</v>
      </c>
      <c r="AX453" s="2" t="s">
        <v>74</v>
      </c>
      <c r="AY453" s="2" t="s">
        <v>74</v>
      </c>
      <c r="AZ453" s="2" t="s">
        <v>74</v>
      </c>
      <c r="BA453" s="2" t="s">
        <v>74</v>
      </c>
      <c r="BB453" s="2">
        <v>486</v>
      </c>
      <c r="BC453" s="2">
        <v>502</v>
      </c>
      <c r="BD453" s="2" t="s">
        <v>74</v>
      </c>
      <c r="BE453" s="2" t="s">
        <v>7736</v>
      </c>
      <c r="BF453" s="2" t="str">
        <f>HYPERLINK("http://dx.doi.org/10.11646/zootaxa.5128.4.2","http://dx.doi.org/10.11646/zootaxa.5128.4.2")</f>
        <v>http://dx.doi.org/10.11646/zootaxa.5128.4.2</v>
      </c>
      <c r="BG453" s="2" t="s">
        <v>74</v>
      </c>
      <c r="BH453" s="2" t="s">
        <v>74</v>
      </c>
      <c r="BI453" s="2" t="s">
        <v>74</v>
      </c>
      <c r="BJ453" s="2" t="s">
        <v>74</v>
      </c>
      <c r="BK453" s="2" t="s">
        <v>74</v>
      </c>
      <c r="BL453" s="2" t="s">
        <v>74</v>
      </c>
      <c r="BM453" s="2" t="s">
        <v>74</v>
      </c>
      <c r="BN453" s="2">
        <v>36101160</v>
      </c>
      <c r="BO453" s="2" t="s">
        <v>74</v>
      </c>
      <c r="BP453" s="2" t="s">
        <v>74</v>
      </c>
      <c r="BQ453" s="2" t="s">
        <v>74</v>
      </c>
      <c r="BR453" s="2" t="s">
        <v>74</v>
      </c>
      <c r="BS453" s="2" t="s">
        <v>7737</v>
      </c>
      <c r="BT453" s="2" t="str">
        <f>HYPERLINK("https%3A%2F%2Fwww.webofscience.com%2Fwos%2Fwoscc%2Ffull-record%2FWOS:000792772900002","View Full Record in Web of Science")</f>
        <v>View Full Record in Web of Science</v>
      </c>
    </row>
    <row r="454" spans="1:72" s="2" customFormat="1" x14ac:dyDescent="0.4">
      <c r="A454" s="2" t="s">
        <v>72</v>
      </c>
      <c r="B454" s="2" t="s">
        <v>6811</v>
      </c>
      <c r="C454" s="2" t="s">
        <v>74</v>
      </c>
      <c r="D454" s="2" t="s">
        <v>74</v>
      </c>
      <c r="E454" s="2" t="s">
        <v>74</v>
      </c>
      <c r="F454" s="2" t="s">
        <v>6812</v>
      </c>
      <c r="G454" s="2" t="s">
        <v>74</v>
      </c>
      <c r="H454" s="2" t="s">
        <v>74</v>
      </c>
      <c r="I454" s="2" t="s">
        <v>6813</v>
      </c>
      <c r="J454" s="2" t="s">
        <v>6814</v>
      </c>
      <c r="K454" s="2" t="s">
        <v>74</v>
      </c>
      <c r="L454" s="2" t="s">
        <v>74</v>
      </c>
      <c r="M454" s="2" t="s">
        <v>74</v>
      </c>
      <c r="N454" s="2" t="s">
        <v>74</v>
      </c>
      <c r="O454" s="2" t="s">
        <v>74</v>
      </c>
      <c r="P454" s="2" t="s">
        <v>74</v>
      </c>
      <c r="Q454" s="2" t="s">
        <v>74</v>
      </c>
      <c r="R454" s="2" t="s">
        <v>74</v>
      </c>
      <c r="S454" s="2" t="s">
        <v>74</v>
      </c>
      <c r="T454" s="2" t="s">
        <v>74</v>
      </c>
      <c r="U454" s="2" t="s">
        <v>74</v>
      </c>
      <c r="V454" s="5" t="s">
        <v>6815</v>
      </c>
      <c r="W454" s="2" t="s">
        <v>74</v>
      </c>
      <c r="X454" s="2" t="s">
        <v>74</v>
      </c>
      <c r="Y454" s="2" t="s">
        <v>74</v>
      </c>
      <c r="Z454" s="2" t="s">
        <v>74</v>
      </c>
      <c r="AA454" s="2" t="s">
        <v>6816</v>
      </c>
      <c r="AB454" s="2" t="s">
        <v>6817</v>
      </c>
      <c r="AC454" s="2" t="s">
        <v>74</v>
      </c>
      <c r="AD454" s="2" t="s">
        <v>74</v>
      </c>
      <c r="AE454" s="2" t="s">
        <v>74</v>
      </c>
      <c r="AF454" s="2" t="s">
        <v>74</v>
      </c>
      <c r="AG454" s="2" t="s">
        <v>74</v>
      </c>
      <c r="AH454" s="2" t="s">
        <v>74</v>
      </c>
      <c r="AI454" s="2" t="s">
        <v>74</v>
      </c>
      <c r="AJ454" s="2" t="s">
        <v>74</v>
      </c>
      <c r="AK454" s="2" t="s">
        <v>74</v>
      </c>
      <c r="AL454" s="2" t="s">
        <v>74</v>
      </c>
      <c r="AM454" s="2" t="s">
        <v>74</v>
      </c>
      <c r="AN454" s="2" t="s">
        <v>74</v>
      </c>
      <c r="AO454" s="2" t="s">
        <v>6818</v>
      </c>
      <c r="AP454" s="2" t="s">
        <v>6819</v>
      </c>
      <c r="AQ454" s="2" t="s">
        <v>74</v>
      </c>
      <c r="AR454" s="2" t="s">
        <v>74</v>
      </c>
      <c r="AS454" s="2" t="s">
        <v>74</v>
      </c>
      <c r="AT454" s="2" t="s">
        <v>352</v>
      </c>
      <c r="AU454" s="2">
        <v>2021</v>
      </c>
      <c r="AV454" s="2">
        <v>14</v>
      </c>
      <c r="AW454" s="2">
        <v>5</v>
      </c>
      <c r="AX454" s="2" t="s">
        <v>74</v>
      </c>
      <c r="AY454" s="2" t="s">
        <v>74</v>
      </c>
      <c r="AZ454" s="2" t="s">
        <v>74</v>
      </c>
      <c r="BA454" s="2" t="s">
        <v>74</v>
      </c>
      <c r="BB454" s="2">
        <v>661</v>
      </c>
      <c r="BC454" s="2">
        <v>674</v>
      </c>
      <c r="BD454" s="2" t="s">
        <v>74</v>
      </c>
      <c r="BE454" s="2" t="s">
        <v>6820</v>
      </c>
      <c r="BF454" s="2" t="str">
        <f>HYPERLINK("http://dx.doi.org/10.1111/icad.12500","http://dx.doi.org/10.1111/icad.12500")</f>
        <v>http://dx.doi.org/10.1111/icad.12500</v>
      </c>
      <c r="BG454" s="2" t="s">
        <v>74</v>
      </c>
      <c r="BH454" s="2" t="s">
        <v>571</v>
      </c>
      <c r="BI454" s="2" t="s">
        <v>74</v>
      </c>
      <c r="BJ454" s="2" t="s">
        <v>74</v>
      </c>
      <c r="BK454" s="2" t="s">
        <v>74</v>
      </c>
      <c r="BL454" s="2" t="s">
        <v>74</v>
      </c>
      <c r="BM454" s="2" t="s">
        <v>74</v>
      </c>
      <c r="BN454" s="2" t="s">
        <v>74</v>
      </c>
      <c r="BO454" s="2" t="s">
        <v>74</v>
      </c>
      <c r="BP454" s="2" t="s">
        <v>74</v>
      </c>
      <c r="BQ454" s="2" t="s">
        <v>74</v>
      </c>
      <c r="BR454" s="2" t="s">
        <v>74</v>
      </c>
      <c r="BS454" s="2" t="s">
        <v>6821</v>
      </c>
      <c r="BT454" s="2" t="str">
        <f>HYPERLINK("https%3A%2F%2Fwww.webofscience.com%2Fwos%2Fwoscc%2Ffull-record%2FWOS:000653231000001","View Full Record in Web of Science")</f>
        <v>View Full Record in Web of Science</v>
      </c>
    </row>
    <row r="455" spans="1:72" s="2" customFormat="1" x14ac:dyDescent="0.4">
      <c r="A455" s="2" t="s">
        <v>72</v>
      </c>
      <c r="B455" s="2" t="s">
        <v>7206</v>
      </c>
      <c r="C455" s="2" t="s">
        <v>74</v>
      </c>
      <c r="D455" s="2" t="s">
        <v>74</v>
      </c>
      <c r="E455" s="2" t="s">
        <v>74</v>
      </c>
      <c r="F455" s="2" t="s">
        <v>7207</v>
      </c>
      <c r="G455" s="2" t="s">
        <v>74</v>
      </c>
      <c r="H455" s="2" t="s">
        <v>74</v>
      </c>
      <c r="I455" s="2" t="s">
        <v>7208</v>
      </c>
      <c r="J455" s="2" t="s">
        <v>1237</v>
      </c>
      <c r="K455" s="2" t="s">
        <v>74</v>
      </c>
      <c r="L455" s="2" t="s">
        <v>74</v>
      </c>
      <c r="M455" s="2" t="s">
        <v>74</v>
      </c>
      <c r="N455" s="2" t="s">
        <v>74</v>
      </c>
      <c r="O455" s="2" t="s">
        <v>74</v>
      </c>
      <c r="P455" s="2" t="s">
        <v>74</v>
      </c>
      <c r="Q455" s="2" t="s">
        <v>74</v>
      </c>
      <c r="R455" s="2" t="s">
        <v>74</v>
      </c>
      <c r="S455" s="2" t="s">
        <v>74</v>
      </c>
      <c r="T455" s="2" t="s">
        <v>74</v>
      </c>
      <c r="U455" s="2" t="s">
        <v>74</v>
      </c>
      <c r="V455" s="5" t="s">
        <v>7209</v>
      </c>
      <c r="W455" s="2" t="s">
        <v>74</v>
      </c>
      <c r="X455" s="2" t="s">
        <v>74</v>
      </c>
      <c r="Y455" s="2" t="s">
        <v>74</v>
      </c>
      <c r="Z455" s="2" t="s">
        <v>74</v>
      </c>
      <c r="AA455" s="2" t="s">
        <v>74</v>
      </c>
      <c r="AB455" s="2" t="s">
        <v>74</v>
      </c>
      <c r="AC455" s="2" t="s">
        <v>74</v>
      </c>
      <c r="AD455" s="2" t="s">
        <v>74</v>
      </c>
      <c r="AE455" s="2" t="s">
        <v>74</v>
      </c>
      <c r="AF455" s="2" t="s">
        <v>74</v>
      </c>
      <c r="AG455" s="2" t="s">
        <v>74</v>
      </c>
      <c r="AH455" s="2" t="s">
        <v>74</v>
      </c>
      <c r="AI455" s="2" t="s">
        <v>74</v>
      </c>
      <c r="AJ455" s="2" t="s">
        <v>74</v>
      </c>
      <c r="AK455" s="2" t="s">
        <v>74</v>
      </c>
      <c r="AL455" s="2" t="s">
        <v>74</v>
      </c>
      <c r="AM455" s="2" t="s">
        <v>74</v>
      </c>
      <c r="AN455" s="2" t="s">
        <v>74</v>
      </c>
      <c r="AO455" s="2" t="s">
        <v>1239</v>
      </c>
      <c r="AP455" s="2" t="s">
        <v>74</v>
      </c>
      <c r="AQ455" s="2" t="s">
        <v>74</v>
      </c>
      <c r="AR455" s="2" t="s">
        <v>74</v>
      </c>
      <c r="AS455" s="2" t="s">
        <v>74</v>
      </c>
      <c r="AT455" s="2" t="s">
        <v>102</v>
      </c>
      <c r="AU455" s="2">
        <v>2009</v>
      </c>
      <c r="AV455" s="2">
        <v>87</v>
      </c>
      <c r="AW455" s="2">
        <v>6</v>
      </c>
      <c r="AX455" s="2" t="s">
        <v>74</v>
      </c>
      <c r="AY455" s="2" t="s">
        <v>74</v>
      </c>
      <c r="AZ455" s="2" t="s">
        <v>74</v>
      </c>
      <c r="BA455" s="2" t="s">
        <v>74</v>
      </c>
      <c r="BB455" s="2">
        <v>529</v>
      </c>
      <c r="BC455" s="2">
        <v>536</v>
      </c>
      <c r="BD455" s="2" t="s">
        <v>74</v>
      </c>
      <c r="BE455" s="2" t="s">
        <v>7210</v>
      </c>
      <c r="BF455" s="2" t="str">
        <f>HYPERLINK("http://dx.doi.org/10.1139/Z09-039","http://dx.doi.org/10.1139/Z09-039")</f>
        <v>http://dx.doi.org/10.1139/Z09-039</v>
      </c>
      <c r="BG455" s="2" t="s">
        <v>74</v>
      </c>
      <c r="BH455" s="2" t="s">
        <v>74</v>
      </c>
      <c r="BI455" s="2" t="s">
        <v>74</v>
      </c>
      <c r="BJ455" s="2" t="s">
        <v>74</v>
      </c>
      <c r="BK455" s="2" t="s">
        <v>74</v>
      </c>
      <c r="BL455" s="2" t="s">
        <v>74</v>
      </c>
      <c r="BM455" s="2" t="s">
        <v>74</v>
      </c>
      <c r="BN455" s="2" t="s">
        <v>74</v>
      </c>
      <c r="BO455" s="2" t="s">
        <v>74</v>
      </c>
      <c r="BP455" s="2" t="s">
        <v>74</v>
      </c>
      <c r="BQ455" s="2" t="s">
        <v>74</v>
      </c>
      <c r="BR455" s="2" t="s">
        <v>74</v>
      </c>
      <c r="BS455" s="2" t="s">
        <v>7211</v>
      </c>
      <c r="BT455" s="2" t="str">
        <f>HYPERLINK("https%3A%2F%2Fwww.webofscience.com%2Fwos%2Fwoscc%2Ffull-record%2FWOS:000267075500008","View Full Record in Web of Science")</f>
        <v>View Full Record in Web of Science</v>
      </c>
    </row>
    <row r="456" spans="1:72" s="2" customFormat="1" x14ac:dyDescent="0.4">
      <c r="A456" s="2" t="s">
        <v>72</v>
      </c>
      <c r="B456" s="2" t="s">
        <v>4257</v>
      </c>
      <c r="C456" s="2" t="s">
        <v>74</v>
      </c>
      <c r="D456" s="2" t="s">
        <v>74</v>
      </c>
      <c r="E456" s="2" t="s">
        <v>74</v>
      </c>
      <c r="F456" s="2" t="s">
        <v>4257</v>
      </c>
      <c r="G456" s="2" t="s">
        <v>74</v>
      </c>
      <c r="H456" s="2" t="s">
        <v>74</v>
      </c>
      <c r="I456" s="2" t="s">
        <v>4258</v>
      </c>
      <c r="J456" s="2" t="s">
        <v>431</v>
      </c>
      <c r="K456" s="2" t="s">
        <v>74</v>
      </c>
      <c r="L456" s="2" t="s">
        <v>74</v>
      </c>
      <c r="M456" s="2" t="s">
        <v>74</v>
      </c>
      <c r="N456" s="2" t="s">
        <v>74</v>
      </c>
      <c r="O456" s="2" t="s">
        <v>74</v>
      </c>
      <c r="P456" s="2" t="s">
        <v>74</v>
      </c>
      <c r="Q456" s="2" t="s">
        <v>74</v>
      </c>
      <c r="R456" s="2" t="s">
        <v>74</v>
      </c>
      <c r="S456" s="2" t="s">
        <v>74</v>
      </c>
      <c r="T456" s="2" t="s">
        <v>74</v>
      </c>
      <c r="U456" s="2" t="s">
        <v>74</v>
      </c>
      <c r="V456" s="5" t="s">
        <v>4259</v>
      </c>
      <c r="W456" s="2" t="s">
        <v>74</v>
      </c>
      <c r="X456" s="2" t="s">
        <v>74</v>
      </c>
      <c r="Y456" s="2" t="s">
        <v>74</v>
      </c>
      <c r="Z456" s="2" t="s">
        <v>74</v>
      </c>
      <c r="AA456" s="2" t="s">
        <v>74</v>
      </c>
      <c r="AB456" s="2" t="s">
        <v>74</v>
      </c>
      <c r="AC456" s="2" t="s">
        <v>74</v>
      </c>
      <c r="AD456" s="2" t="s">
        <v>74</v>
      </c>
      <c r="AE456" s="2" t="s">
        <v>74</v>
      </c>
      <c r="AF456" s="2" t="s">
        <v>74</v>
      </c>
      <c r="AG456" s="2" t="s">
        <v>74</v>
      </c>
      <c r="AH456" s="2" t="s">
        <v>74</v>
      </c>
      <c r="AI456" s="2" t="s">
        <v>74</v>
      </c>
      <c r="AJ456" s="2" t="s">
        <v>74</v>
      </c>
      <c r="AK456" s="2" t="s">
        <v>74</v>
      </c>
      <c r="AL456" s="2" t="s">
        <v>74</v>
      </c>
      <c r="AM456" s="2" t="s">
        <v>74</v>
      </c>
      <c r="AN456" s="2" t="s">
        <v>74</v>
      </c>
      <c r="AO456" s="2" t="s">
        <v>74</v>
      </c>
      <c r="AP456" s="2" t="s">
        <v>435</v>
      </c>
      <c r="AQ456" s="2" t="s">
        <v>74</v>
      </c>
      <c r="AR456" s="2" t="s">
        <v>74</v>
      </c>
      <c r="AS456" s="2" t="s">
        <v>74</v>
      </c>
      <c r="AT456" s="2" t="s">
        <v>204</v>
      </c>
      <c r="AU456" s="2">
        <v>1987</v>
      </c>
      <c r="AV456" s="2">
        <v>104</v>
      </c>
      <c r="AW456" s="2">
        <v>3</v>
      </c>
      <c r="AX456" s="2" t="s">
        <v>74</v>
      </c>
      <c r="AY456" s="2" t="s">
        <v>74</v>
      </c>
      <c r="AZ456" s="2" t="s">
        <v>74</v>
      </c>
      <c r="BA456" s="2" t="s">
        <v>74</v>
      </c>
      <c r="BB456" s="2">
        <v>444</v>
      </c>
      <c r="BC456" s="2">
        <v>449</v>
      </c>
      <c r="BD456" s="2" t="s">
        <v>74</v>
      </c>
      <c r="BE456" s="2" t="s">
        <v>4260</v>
      </c>
      <c r="BF456" s="2" t="str">
        <f>HYPERLINK("http://dx.doi.org/10.2307/4087543","http://dx.doi.org/10.2307/4087543")</f>
        <v>http://dx.doi.org/10.2307/4087543</v>
      </c>
      <c r="BG456" s="2" t="s">
        <v>74</v>
      </c>
      <c r="BH456" s="2" t="s">
        <v>74</v>
      </c>
      <c r="BI456" s="2" t="s">
        <v>74</v>
      </c>
      <c r="BJ456" s="2" t="s">
        <v>74</v>
      </c>
      <c r="BK456" s="2" t="s">
        <v>74</v>
      </c>
      <c r="BL456" s="2" t="s">
        <v>74</v>
      </c>
      <c r="BM456" s="2" t="s">
        <v>74</v>
      </c>
      <c r="BN456" s="2" t="s">
        <v>74</v>
      </c>
      <c r="BO456" s="2" t="s">
        <v>74</v>
      </c>
      <c r="BP456" s="2" t="s">
        <v>74</v>
      </c>
      <c r="BQ456" s="2" t="s">
        <v>74</v>
      </c>
      <c r="BR456" s="2" t="s">
        <v>74</v>
      </c>
      <c r="BS456" s="2" t="s">
        <v>4261</v>
      </c>
      <c r="BT456" s="2" t="str">
        <f>HYPERLINK("https%3A%2F%2Fwww.webofscience.com%2Fwos%2Fwoscc%2Ffull-record%2FWOS:A1987J266100010","View Full Record in Web of Science")</f>
        <v>View Full Record in Web of Science</v>
      </c>
    </row>
    <row r="457" spans="1:72" s="2" customFormat="1" x14ac:dyDescent="0.4">
      <c r="A457" s="2" t="s">
        <v>72</v>
      </c>
      <c r="B457" s="2" t="s">
        <v>2794</v>
      </c>
      <c r="C457" s="2" t="s">
        <v>74</v>
      </c>
      <c r="D457" s="2" t="s">
        <v>74</v>
      </c>
      <c r="E457" s="2" t="s">
        <v>74</v>
      </c>
      <c r="F457" s="2" t="s">
        <v>2795</v>
      </c>
      <c r="G457" s="2" t="s">
        <v>74</v>
      </c>
      <c r="H457" s="2" t="s">
        <v>74</v>
      </c>
      <c r="I457" s="2" t="s">
        <v>2796</v>
      </c>
      <c r="J457" s="2" t="s">
        <v>1656</v>
      </c>
      <c r="K457" s="2" t="s">
        <v>74</v>
      </c>
      <c r="L457" s="2" t="s">
        <v>74</v>
      </c>
      <c r="M457" s="2" t="s">
        <v>74</v>
      </c>
      <c r="N457" s="2" t="s">
        <v>74</v>
      </c>
      <c r="O457" s="2" t="s">
        <v>74</v>
      </c>
      <c r="P457" s="2" t="s">
        <v>74</v>
      </c>
      <c r="Q457" s="2" t="s">
        <v>74</v>
      </c>
      <c r="R457" s="2" t="s">
        <v>74</v>
      </c>
      <c r="S457" s="2" t="s">
        <v>74</v>
      </c>
      <c r="T457" s="2" t="s">
        <v>74</v>
      </c>
      <c r="U457" s="2" t="s">
        <v>74</v>
      </c>
      <c r="V457" s="5" t="s">
        <v>2797</v>
      </c>
      <c r="W457" s="2" t="s">
        <v>74</v>
      </c>
      <c r="X457" s="2" t="s">
        <v>74</v>
      </c>
      <c r="Y457" s="2" t="s">
        <v>74</v>
      </c>
      <c r="Z457" s="2" t="s">
        <v>74</v>
      </c>
      <c r="AA457" s="2" t="s">
        <v>2798</v>
      </c>
      <c r="AB457" s="2" t="s">
        <v>2799</v>
      </c>
      <c r="AC457" s="2" t="s">
        <v>74</v>
      </c>
      <c r="AD457" s="2" t="s">
        <v>74</v>
      </c>
      <c r="AE457" s="2" t="s">
        <v>74</v>
      </c>
      <c r="AF457" s="2" t="s">
        <v>74</v>
      </c>
      <c r="AG457" s="2" t="s">
        <v>74</v>
      </c>
      <c r="AH457" s="2" t="s">
        <v>74</v>
      </c>
      <c r="AI457" s="2" t="s">
        <v>74</v>
      </c>
      <c r="AJ457" s="2" t="s">
        <v>74</v>
      </c>
      <c r="AK457" s="2" t="s">
        <v>74</v>
      </c>
      <c r="AL457" s="2" t="s">
        <v>74</v>
      </c>
      <c r="AM457" s="2" t="s">
        <v>74</v>
      </c>
      <c r="AN457" s="2" t="s">
        <v>74</v>
      </c>
      <c r="AO457" s="2" t="s">
        <v>1658</v>
      </c>
      <c r="AP457" s="2" t="s">
        <v>1659</v>
      </c>
      <c r="AQ457" s="2" t="s">
        <v>74</v>
      </c>
      <c r="AR457" s="2" t="s">
        <v>74</v>
      </c>
      <c r="AS457" s="2" t="s">
        <v>74</v>
      </c>
      <c r="AT457" s="2" t="s">
        <v>2800</v>
      </c>
      <c r="AU457" s="2">
        <v>2013</v>
      </c>
      <c r="AV457" s="2">
        <v>3700</v>
      </c>
      <c r="AW457" s="2">
        <v>3</v>
      </c>
      <c r="AX457" s="2" t="s">
        <v>74</v>
      </c>
      <c r="AY457" s="2" t="s">
        <v>74</v>
      </c>
      <c r="AZ457" s="2" t="s">
        <v>74</v>
      </c>
      <c r="BA457" s="2" t="s">
        <v>74</v>
      </c>
      <c r="BB457" s="2">
        <v>348</v>
      </c>
      <c r="BC457" s="2">
        <v>360</v>
      </c>
      <c r="BD457" s="2" t="s">
        <v>74</v>
      </c>
      <c r="BE457" s="2" t="s">
        <v>2801</v>
      </c>
      <c r="BF457" s="2" t="str">
        <f>HYPERLINK("http://dx.doi.org/10.11646/zootaxa.3700.3.2","http://dx.doi.org/10.11646/zootaxa.3700.3.2")</f>
        <v>http://dx.doi.org/10.11646/zootaxa.3700.3.2</v>
      </c>
      <c r="BG457" s="2" t="s">
        <v>74</v>
      </c>
      <c r="BH457" s="2" t="s">
        <v>74</v>
      </c>
      <c r="BI457" s="2" t="s">
        <v>74</v>
      </c>
      <c r="BJ457" s="2" t="s">
        <v>74</v>
      </c>
      <c r="BK457" s="2" t="s">
        <v>74</v>
      </c>
      <c r="BL457" s="2" t="s">
        <v>74</v>
      </c>
      <c r="BM457" s="2" t="s">
        <v>74</v>
      </c>
      <c r="BN457" s="2">
        <v>26106731</v>
      </c>
      <c r="BO457" s="2" t="s">
        <v>74</v>
      </c>
      <c r="BP457" s="2" t="s">
        <v>74</v>
      </c>
      <c r="BQ457" s="2" t="s">
        <v>74</v>
      </c>
      <c r="BR457" s="2" t="s">
        <v>74</v>
      </c>
      <c r="BS457" s="2" t="s">
        <v>2802</v>
      </c>
      <c r="BT457" s="2" t="str">
        <f>HYPERLINK("https%3A%2F%2Fwww.webofscience.com%2Fwos%2Fwoscc%2Ffull-record%2FWOS:000323105800002","View Full Record in Web of Science")</f>
        <v>View Full Record in Web of Science</v>
      </c>
    </row>
    <row r="458" spans="1:72" s="2" customFormat="1" x14ac:dyDescent="0.4">
      <c r="A458" s="2" t="s">
        <v>72</v>
      </c>
      <c r="B458" s="2" t="s">
        <v>6424</v>
      </c>
      <c r="C458" s="2" t="s">
        <v>74</v>
      </c>
      <c r="D458" s="2" t="s">
        <v>74</v>
      </c>
      <c r="E458" s="2" t="s">
        <v>74</v>
      </c>
      <c r="F458" s="2" t="s">
        <v>6425</v>
      </c>
      <c r="G458" s="2" t="s">
        <v>74</v>
      </c>
      <c r="H458" s="2" t="s">
        <v>74</v>
      </c>
      <c r="I458" s="2" t="s">
        <v>6426</v>
      </c>
      <c r="J458" s="2" t="s">
        <v>6427</v>
      </c>
      <c r="K458" s="2" t="s">
        <v>74</v>
      </c>
      <c r="L458" s="2" t="s">
        <v>74</v>
      </c>
      <c r="M458" s="2" t="s">
        <v>74</v>
      </c>
      <c r="N458" s="2" t="s">
        <v>74</v>
      </c>
      <c r="O458" s="2" t="s">
        <v>74</v>
      </c>
      <c r="P458" s="2" t="s">
        <v>74</v>
      </c>
      <c r="Q458" s="2" t="s">
        <v>74</v>
      </c>
      <c r="R458" s="2" t="s">
        <v>74</v>
      </c>
      <c r="S458" s="2" t="s">
        <v>74</v>
      </c>
      <c r="T458" s="2" t="s">
        <v>74</v>
      </c>
      <c r="U458" s="2" t="s">
        <v>74</v>
      </c>
      <c r="V458" s="5" t="s">
        <v>6428</v>
      </c>
      <c r="W458" s="2" t="s">
        <v>74</v>
      </c>
      <c r="X458" s="2" t="s">
        <v>74</v>
      </c>
      <c r="Y458" s="2" t="s">
        <v>74</v>
      </c>
      <c r="Z458" s="2" t="s">
        <v>74</v>
      </c>
      <c r="AA458" s="2" t="s">
        <v>6429</v>
      </c>
      <c r="AB458" s="2" t="s">
        <v>6430</v>
      </c>
      <c r="AC458" s="2" t="s">
        <v>74</v>
      </c>
      <c r="AD458" s="2" t="s">
        <v>74</v>
      </c>
      <c r="AE458" s="2" t="s">
        <v>74</v>
      </c>
      <c r="AF458" s="2" t="s">
        <v>74</v>
      </c>
      <c r="AG458" s="2" t="s">
        <v>74</v>
      </c>
      <c r="AH458" s="2" t="s">
        <v>74</v>
      </c>
      <c r="AI458" s="2" t="s">
        <v>74</v>
      </c>
      <c r="AJ458" s="2" t="s">
        <v>74</v>
      </c>
      <c r="AK458" s="2" t="s">
        <v>74</v>
      </c>
      <c r="AL458" s="2" t="s">
        <v>74</v>
      </c>
      <c r="AM458" s="2" t="s">
        <v>74</v>
      </c>
      <c r="AN458" s="2" t="s">
        <v>74</v>
      </c>
      <c r="AO458" s="2" t="s">
        <v>6431</v>
      </c>
      <c r="AP458" s="2" t="s">
        <v>74</v>
      </c>
      <c r="AQ458" s="2" t="s">
        <v>74</v>
      </c>
      <c r="AR458" s="2" t="s">
        <v>74</v>
      </c>
      <c r="AS458" s="2" t="s">
        <v>74</v>
      </c>
      <c r="AT458" s="2" t="s">
        <v>113</v>
      </c>
      <c r="AU458" s="2">
        <v>2023</v>
      </c>
      <c r="AV458" s="2">
        <v>59</v>
      </c>
      <c r="AW458" s="2">
        <v>3</v>
      </c>
      <c r="AX458" s="2" t="s">
        <v>74</v>
      </c>
      <c r="AY458" s="2" t="s">
        <v>74</v>
      </c>
      <c r="AZ458" s="2" t="s">
        <v>74</v>
      </c>
      <c r="BA458" s="2" t="s">
        <v>74</v>
      </c>
      <c r="BB458" s="2">
        <v>239</v>
      </c>
      <c r="BC458" s="2">
        <v>261</v>
      </c>
      <c r="BD458" s="2" t="s">
        <v>74</v>
      </c>
      <c r="BE458" s="2" t="s">
        <v>74</v>
      </c>
      <c r="BF458" s="2" t="s">
        <v>74</v>
      </c>
      <c r="BG458" s="2" t="s">
        <v>74</v>
      </c>
      <c r="BH458" s="2" t="s">
        <v>74</v>
      </c>
      <c r="BI458" s="2" t="s">
        <v>74</v>
      </c>
      <c r="BJ458" s="2" t="s">
        <v>74</v>
      </c>
      <c r="BK458" s="2" t="s">
        <v>74</v>
      </c>
      <c r="BL458" s="2" t="s">
        <v>74</v>
      </c>
      <c r="BM458" s="2" t="s">
        <v>74</v>
      </c>
      <c r="BN458" s="2" t="s">
        <v>74</v>
      </c>
      <c r="BO458" s="2" t="s">
        <v>74</v>
      </c>
      <c r="BP458" s="2" t="s">
        <v>74</v>
      </c>
      <c r="BQ458" s="2" t="s">
        <v>74</v>
      </c>
      <c r="BR458" s="2" t="s">
        <v>74</v>
      </c>
      <c r="BS458" s="2" t="s">
        <v>6432</v>
      </c>
      <c r="BT458" s="2" t="str">
        <f>HYPERLINK("https%3A%2F%2Fwww.webofscience.com%2Fwos%2Fwoscc%2Ffull-record%2FWOS:001051428100001","View Full Record in Web of Science")</f>
        <v>View Full Record in Web of Science</v>
      </c>
    </row>
    <row r="459" spans="1:72" s="2" customFormat="1" x14ac:dyDescent="0.4">
      <c r="A459" s="2" t="s">
        <v>72</v>
      </c>
      <c r="B459" s="2" t="s">
        <v>7841</v>
      </c>
      <c r="C459" s="2" t="s">
        <v>74</v>
      </c>
      <c r="D459" s="2" t="s">
        <v>74</v>
      </c>
      <c r="E459" s="2" t="s">
        <v>74</v>
      </c>
      <c r="F459" s="2" t="s">
        <v>7842</v>
      </c>
      <c r="G459" s="2" t="s">
        <v>74</v>
      </c>
      <c r="H459" s="2" t="s">
        <v>74</v>
      </c>
      <c r="I459" s="2" t="s">
        <v>7843</v>
      </c>
      <c r="J459" s="2" t="s">
        <v>7612</v>
      </c>
      <c r="K459" s="2" t="s">
        <v>74</v>
      </c>
      <c r="L459" s="2" t="s">
        <v>74</v>
      </c>
      <c r="M459" s="2" t="s">
        <v>74</v>
      </c>
      <c r="N459" s="2" t="s">
        <v>74</v>
      </c>
      <c r="O459" s="2" t="s">
        <v>74</v>
      </c>
      <c r="P459" s="2" t="s">
        <v>74</v>
      </c>
      <c r="Q459" s="2" t="s">
        <v>74</v>
      </c>
      <c r="R459" s="2" t="s">
        <v>74</v>
      </c>
      <c r="S459" s="2" t="s">
        <v>74</v>
      </c>
      <c r="T459" s="2" t="s">
        <v>74</v>
      </c>
      <c r="U459" s="2" t="s">
        <v>74</v>
      </c>
      <c r="V459" s="5" t="s">
        <v>7844</v>
      </c>
      <c r="W459" s="2" t="s">
        <v>74</v>
      </c>
      <c r="X459" s="2" t="s">
        <v>74</v>
      </c>
      <c r="Y459" s="2" t="s">
        <v>74</v>
      </c>
      <c r="Z459" s="2" t="s">
        <v>74</v>
      </c>
      <c r="AA459" s="2" t="s">
        <v>74</v>
      </c>
      <c r="AB459" s="2" t="s">
        <v>7845</v>
      </c>
      <c r="AC459" s="2" t="s">
        <v>74</v>
      </c>
      <c r="AD459" s="2" t="s">
        <v>74</v>
      </c>
      <c r="AE459" s="2" t="s">
        <v>74</v>
      </c>
      <c r="AF459" s="2" t="s">
        <v>74</v>
      </c>
      <c r="AG459" s="2" t="s">
        <v>74</v>
      </c>
      <c r="AH459" s="2" t="s">
        <v>74</v>
      </c>
      <c r="AI459" s="2" t="s">
        <v>74</v>
      </c>
      <c r="AJ459" s="2" t="s">
        <v>74</v>
      </c>
      <c r="AK459" s="2" t="s">
        <v>74</v>
      </c>
      <c r="AL459" s="2" t="s">
        <v>74</v>
      </c>
      <c r="AM459" s="2" t="s">
        <v>74</v>
      </c>
      <c r="AN459" s="2" t="s">
        <v>74</v>
      </c>
      <c r="AO459" s="2" t="s">
        <v>7615</v>
      </c>
      <c r="AP459" s="2" t="s">
        <v>7616</v>
      </c>
      <c r="AQ459" s="2" t="s">
        <v>74</v>
      </c>
      <c r="AR459" s="2" t="s">
        <v>74</v>
      </c>
      <c r="AS459" s="2" t="s">
        <v>74</v>
      </c>
      <c r="AT459" s="2" t="s">
        <v>7846</v>
      </c>
      <c r="AU459" s="2">
        <v>2023</v>
      </c>
      <c r="AV459" s="2">
        <v>2023</v>
      </c>
      <c r="AW459" s="2" t="s">
        <v>74</v>
      </c>
      <c r="AX459" s="2" t="s">
        <v>74</v>
      </c>
      <c r="AY459" s="2" t="s">
        <v>74</v>
      </c>
      <c r="AZ459" s="2" t="s">
        <v>74</v>
      </c>
      <c r="BA459" s="2" t="s">
        <v>74</v>
      </c>
      <c r="BB459" s="2" t="s">
        <v>74</v>
      </c>
      <c r="BC459" s="2" t="s">
        <v>74</v>
      </c>
      <c r="BD459" s="2">
        <v>8868453</v>
      </c>
      <c r="BE459" s="2" t="s">
        <v>7847</v>
      </c>
      <c r="BF459" s="2" t="str">
        <f>HYPERLINK("http://dx.doi.org/10.1155/2023/8868453","http://dx.doi.org/10.1155/2023/8868453")</f>
        <v>http://dx.doi.org/10.1155/2023/8868453</v>
      </c>
      <c r="BG459" s="2" t="s">
        <v>74</v>
      </c>
      <c r="BH459" s="2" t="s">
        <v>74</v>
      </c>
      <c r="BI459" s="2" t="s">
        <v>74</v>
      </c>
      <c r="BJ459" s="2" t="s">
        <v>74</v>
      </c>
      <c r="BK459" s="2" t="s">
        <v>74</v>
      </c>
      <c r="BL459" s="2" t="s">
        <v>74</v>
      </c>
      <c r="BM459" s="2" t="s">
        <v>74</v>
      </c>
      <c r="BN459" s="2" t="s">
        <v>74</v>
      </c>
      <c r="BO459" s="2" t="s">
        <v>74</v>
      </c>
      <c r="BP459" s="2" t="s">
        <v>74</v>
      </c>
      <c r="BQ459" s="2" t="s">
        <v>74</v>
      </c>
      <c r="BR459" s="2" t="s">
        <v>74</v>
      </c>
      <c r="BS459" s="2" t="s">
        <v>7848</v>
      </c>
      <c r="BT459" s="2" t="str">
        <f>HYPERLINK("https%3A%2F%2Fwww.webofscience.com%2Fwos%2Fwoscc%2Ffull-record%2FWOS:000982639500001","View Full Record in Web of Science")</f>
        <v>View Full Record in Web of Science</v>
      </c>
    </row>
    <row r="460" spans="1:72" s="2" customFormat="1" x14ac:dyDescent="0.4">
      <c r="A460" s="2" t="s">
        <v>72</v>
      </c>
      <c r="B460" s="2" t="s">
        <v>7002</v>
      </c>
      <c r="C460" s="2" t="s">
        <v>74</v>
      </c>
      <c r="D460" s="2" t="s">
        <v>74</v>
      </c>
      <c r="E460" s="2" t="s">
        <v>74</v>
      </c>
      <c r="F460" s="2" t="s">
        <v>7002</v>
      </c>
      <c r="G460" s="2" t="s">
        <v>74</v>
      </c>
      <c r="H460" s="2" t="s">
        <v>74</v>
      </c>
      <c r="I460" s="2" t="s">
        <v>7003</v>
      </c>
      <c r="J460" s="2" t="s">
        <v>140</v>
      </c>
      <c r="K460" s="2" t="s">
        <v>74</v>
      </c>
      <c r="L460" s="2" t="s">
        <v>74</v>
      </c>
      <c r="M460" s="2" t="s">
        <v>74</v>
      </c>
      <c r="N460" s="2" t="s">
        <v>74</v>
      </c>
      <c r="O460" s="2" t="s">
        <v>74</v>
      </c>
      <c r="P460" s="2" t="s">
        <v>74</v>
      </c>
      <c r="Q460" s="2" t="s">
        <v>74</v>
      </c>
      <c r="R460" s="2" t="s">
        <v>74</v>
      </c>
      <c r="S460" s="2" t="s">
        <v>74</v>
      </c>
      <c r="T460" s="2" t="s">
        <v>74</v>
      </c>
      <c r="U460" s="2" t="s">
        <v>74</v>
      </c>
      <c r="V460" s="5" t="s">
        <v>7004</v>
      </c>
      <c r="W460" s="2" t="s">
        <v>74</v>
      </c>
      <c r="X460" s="2" t="s">
        <v>74</v>
      </c>
      <c r="Y460" s="2" t="s">
        <v>74</v>
      </c>
      <c r="Z460" s="2" t="s">
        <v>74</v>
      </c>
      <c r="AA460" s="2" t="s">
        <v>74</v>
      </c>
      <c r="AB460" s="2" t="s">
        <v>74</v>
      </c>
      <c r="AC460" s="2" t="s">
        <v>74</v>
      </c>
      <c r="AD460" s="2" t="s">
        <v>74</v>
      </c>
      <c r="AE460" s="2" t="s">
        <v>74</v>
      </c>
      <c r="AF460" s="2" t="s">
        <v>74</v>
      </c>
      <c r="AG460" s="2" t="s">
        <v>74</v>
      </c>
      <c r="AH460" s="2" t="s">
        <v>74</v>
      </c>
      <c r="AI460" s="2" t="s">
        <v>74</v>
      </c>
      <c r="AJ460" s="2" t="s">
        <v>74</v>
      </c>
      <c r="AK460" s="2" t="s">
        <v>74</v>
      </c>
      <c r="AL460" s="2" t="s">
        <v>74</v>
      </c>
      <c r="AM460" s="2" t="s">
        <v>74</v>
      </c>
      <c r="AN460" s="2" t="s">
        <v>74</v>
      </c>
      <c r="AO460" s="2" t="s">
        <v>143</v>
      </c>
      <c r="AP460" s="2" t="s">
        <v>144</v>
      </c>
      <c r="AQ460" s="2" t="s">
        <v>74</v>
      </c>
      <c r="AR460" s="2" t="s">
        <v>74</v>
      </c>
      <c r="AS460" s="2" t="s">
        <v>74</v>
      </c>
      <c r="AT460" s="2" t="s">
        <v>633</v>
      </c>
      <c r="AU460" s="2">
        <v>2005</v>
      </c>
      <c r="AV460" s="2">
        <v>69</v>
      </c>
      <c r="AW460" s="2" t="s">
        <v>74</v>
      </c>
      <c r="AX460" s="2">
        <v>4</v>
      </c>
      <c r="AY460" s="2" t="s">
        <v>74</v>
      </c>
      <c r="AZ460" s="2" t="s">
        <v>74</v>
      </c>
      <c r="BA460" s="2" t="s">
        <v>74</v>
      </c>
      <c r="BB460" s="2">
        <v>999</v>
      </c>
      <c r="BC460" s="2">
        <v>1005</v>
      </c>
      <c r="BD460" s="2" t="s">
        <v>74</v>
      </c>
      <c r="BE460" s="2" t="s">
        <v>7005</v>
      </c>
      <c r="BF460" s="2" t="str">
        <f>HYPERLINK("http://dx.doi.org/10.1016/j.anbehav.2004.07.016","http://dx.doi.org/10.1016/j.anbehav.2004.07.016")</f>
        <v>http://dx.doi.org/10.1016/j.anbehav.2004.07.016</v>
      </c>
      <c r="BG460" s="2" t="s">
        <v>74</v>
      </c>
      <c r="BH460" s="2" t="s">
        <v>74</v>
      </c>
      <c r="BI460" s="2" t="s">
        <v>74</v>
      </c>
      <c r="BJ460" s="2" t="s">
        <v>74</v>
      </c>
      <c r="BK460" s="2" t="s">
        <v>74</v>
      </c>
      <c r="BL460" s="2" t="s">
        <v>74</v>
      </c>
      <c r="BM460" s="2" t="s">
        <v>74</v>
      </c>
      <c r="BN460" s="2" t="s">
        <v>74</v>
      </c>
      <c r="BO460" s="2" t="s">
        <v>74</v>
      </c>
      <c r="BP460" s="2" t="s">
        <v>74</v>
      </c>
      <c r="BQ460" s="2" t="s">
        <v>74</v>
      </c>
      <c r="BR460" s="2" t="s">
        <v>74</v>
      </c>
      <c r="BS460" s="2" t="s">
        <v>7006</v>
      </c>
      <c r="BT460" s="2" t="str">
        <f>HYPERLINK("https%3A%2F%2Fwww.webofscience.com%2Fwos%2Fwoscc%2Ffull-record%2FWOS:000228511900028","View Full Record in Web of Science")</f>
        <v>View Full Record in Web of Science</v>
      </c>
    </row>
    <row r="461" spans="1:72" s="2" customFormat="1" x14ac:dyDescent="0.4">
      <c r="A461" s="2" t="s">
        <v>72</v>
      </c>
      <c r="B461" s="2" t="s">
        <v>4143</v>
      </c>
      <c r="C461" s="2" t="s">
        <v>74</v>
      </c>
      <c r="D461" s="2" t="s">
        <v>74</v>
      </c>
      <c r="E461" s="2" t="s">
        <v>74</v>
      </c>
      <c r="F461" s="2" t="s">
        <v>4143</v>
      </c>
      <c r="G461" s="2" t="s">
        <v>74</v>
      </c>
      <c r="H461" s="2" t="s">
        <v>74</v>
      </c>
      <c r="I461" s="2" t="s">
        <v>4144</v>
      </c>
      <c r="J461" s="2" t="s">
        <v>4145</v>
      </c>
      <c r="K461" s="2" t="s">
        <v>74</v>
      </c>
      <c r="L461" s="2" t="s">
        <v>74</v>
      </c>
      <c r="M461" s="2" t="s">
        <v>74</v>
      </c>
      <c r="N461" s="2" t="s">
        <v>74</v>
      </c>
      <c r="O461" s="2" t="s">
        <v>74</v>
      </c>
      <c r="P461" s="2" t="s">
        <v>74</v>
      </c>
      <c r="Q461" s="2" t="s">
        <v>74</v>
      </c>
      <c r="R461" s="2" t="s">
        <v>74</v>
      </c>
      <c r="S461" s="2" t="s">
        <v>74</v>
      </c>
      <c r="T461" s="2" t="s">
        <v>74</v>
      </c>
      <c r="U461" s="2" t="s">
        <v>74</v>
      </c>
      <c r="V461" s="5" t="s">
        <v>4146</v>
      </c>
      <c r="W461" s="2" t="s">
        <v>74</v>
      </c>
      <c r="X461" s="2" t="s">
        <v>74</v>
      </c>
      <c r="Y461" s="2" t="s">
        <v>74</v>
      </c>
      <c r="Z461" s="2" t="s">
        <v>74</v>
      </c>
      <c r="AA461" s="2" t="s">
        <v>74</v>
      </c>
      <c r="AB461" s="2" t="s">
        <v>74</v>
      </c>
      <c r="AC461" s="2" t="s">
        <v>74</v>
      </c>
      <c r="AD461" s="2" t="s">
        <v>74</v>
      </c>
      <c r="AE461" s="2" t="s">
        <v>74</v>
      </c>
      <c r="AF461" s="2" t="s">
        <v>74</v>
      </c>
      <c r="AG461" s="2" t="s">
        <v>74</v>
      </c>
      <c r="AH461" s="2" t="s">
        <v>74</v>
      </c>
      <c r="AI461" s="2" t="s">
        <v>74</v>
      </c>
      <c r="AJ461" s="2" t="s">
        <v>74</v>
      </c>
      <c r="AK461" s="2" t="s">
        <v>74</v>
      </c>
      <c r="AL461" s="2" t="s">
        <v>74</v>
      </c>
      <c r="AM461" s="2" t="s">
        <v>74</v>
      </c>
      <c r="AN461" s="2" t="s">
        <v>74</v>
      </c>
      <c r="AO461" s="2" t="s">
        <v>4147</v>
      </c>
      <c r="AP461" s="2" t="s">
        <v>74</v>
      </c>
      <c r="AQ461" s="2" t="s">
        <v>74</v>
      </c>
      <c r="AR461" s="2" t="s">
        <v>74</v>
      </c>
      <c r="AS461" s="2" t="s">
        <v>74</v>
      </c>
      <c r="AT461" s="2" t="s">
        <v>964</v>
      </c>
      <c r="AU461" s="2">
        <v>2003</v>
      </c>
      <c r="AV461" s="2">
        <v>189</v>
      </c>
      <c r="AW461" s="2">
        <v>2</v>
      </c>
      <c r="AX461" s="2" t="s">
        <v>74</v>
      </c>
      <c r="AY461" s="2" t="s">
        <v>74</v>
      </c>
      <c r="AZ461" s="2" t="s">
        <v>74</v>
      </c>
      <c r="BA461" s="2" t="s">
        <v>74</v>
      </c>
      <c r="BB461" s="2">
        <v>135</v>
      </c>
      <c r="BC461" s="2">
        <v>142</v>
      </c>
      <c r="BD461" s="2" t="s">
        <v>74</v>
      </c>
      <c r="BE461" s="2" t="s">
        <v>4148</v>
      </c>
      <c r="BF461" s="2" t="str">
        <f>HYPERLINK("http://dx.doi.org/10.1007/s00359-002-0385-8","http://dx.doi.org/10.1007/s00359-002-0385-8")</f>
        <v>http://dx.doi.org/10.1007/s00359-002-0385-8</v>
      </c>
      <c r="BG461" s="2" t="s">
        <v>74</v>
      </c>
      <c r="BH461" s="2" t="s">
        <v>74</v>
      </c>
      <c r="BI461" s="2" t="s">
        <v>74</v>
      </c>
      <c r="BJ461" s="2" t="s">
        <v>74</v>
      </c>
      <c r="BK461" s="2" t="s">
        <v>74</v>
      </c>
      <c r="BL461" s="2" t="s">
        <v>74</v>
      </c>
      <c r="BM461" s="2" t="s">
        <v>74</v>
      </c>
      <c r="BN461" s="2">
        <v>12607042</v>
      </c>
      <c r="BO461" s="2" t="s">
        <v>74</v>
      </c>
      <c r="BP461" s="2" t="s">
        <v>74</v>
      </c>
      <c r="BQ461" s="2" t="s">
        <v>74</v>
      </c>
      <c r="BR461" s="2" t="s">
        <v>74</v>
      </c>
      <c r="BS461" s="2" t="s">
        <v>4149</v>
      </c>
      <c r="BT461" s="2" t="str">
        <f>HYPERLINK("https%3A%2F%2Fwww.webofscience.com%2Fwos%2Fwoscc%2Ffull-record%2FWOS:000181896800007","View Full Record in Web of Science")</f>
        <v>View Full Record in Web of Science</v>
      </c>
    </row>
    <row r="462" spans="1:72" s="2" customFormat="1" x14ac:dyDescent="0.4">
      <c r="A462" s="2" t="s">
        <v>72</v>
      </c>
      <c r="B462" s="2" t="s">
        <v>7768</v>
      </c>
      <c r="C462" s="2" t="s">
        <v>74</v>
      </c>
      <c r="D462" s="2" t="s">
        <v>74</v>
      </c>
      <c r="E462" s="2" t="s">
        <v>74</v>
      </c>
      <c r="F462" s="2" t="s">
        <v>7769</v>
      </c>
      <c r="G462" s="2" t="s">
        <v>74</v>
      </c>
      <c r="H462" s="2" t="s">
        <v>74</v>
      </c>
      <c r="I462" s="2" t="s">
        <v>7770</v>
      </c>
      <c r="J462" s="2" t="s">
        <v>1656</v>
      </c>
      <c r="K462" s="2" t="s">
        <v>74</v>
      </c>
      <c r="L462" s="2" t="s">
        <v>74</v>
      </c>
      <c r="M462" s="2" t="s">
        <v>74</v>
      </c>
      <c r="N462" s="2" t="s">
        <v>74</v>
      </c>
      <c r="O462" s="2" t="s">
        <v>74</v>
      </c>
      <c r="P462" s="2" t="s">
        <v>74</v>
      </c>
      <c r="Q462" s="2" t="s">
        <v>74</v>
      </c>
      <c r="R462" s="2" t="s">
        <v>74</v>
      </c>
      <c r="S462" s="2" t="s">
        <v>74</v>
      </c>
      <c r="T462" s="2" t="s">
        <v>74</v>
      </c>
      <c r="U462" s="2" t="s">
        <v>74</v>
      </c>
      <c r="V462" s="5" t="s">
        <v>7771</v>
      </c>
      <c r="W462" s="2" t="s">
        <v>74</v>
      </c>
      <c r="X462" s="2" t="s">
        <v>74</v>
      </c>
      <c r="Y462" s="2" t="s">
        <v>74</v>
      </c>
      <c r="Z462" s="2" t="s">
        <v>74</v>
      </c>
      <c r="AA462" s="2" t="s">
        <v>7772</v>
      </c>
      <c r="AB462" s="2" t="s">
        <v>7773</v>
      </c>
      <c r="AC462" s="2" t="s">
        <v>74</v>
      </c>
      <c r="AD462" s="2" t="s">
        <v>74</v>
      </c>
      <c r="AE462" s="2" t="s">
        <v>74</v>
      </c>
      <c r="AF462" s="2" t="s">
        <v>74</v>
      </c>
      <c r="AG462" s="2" t="s">
        <v>74</v>
      </c>
      <c r="AH462" s="2" t="s">
        <v>74</v>
      </c>
      <c r="AI462" s="2" t="s">
        <v>74</v>
      </c>
      <c r="AJ462" s="2" t="s">
        <v>74</v>
      </c>
      <c r="AK462" s="2" t="s">
        <v>74</v>
      </c>
      <c r="AL462" s="2" t="s">
        <v>74</v>
      </c>
      <c r="AM462" s="2" t="s">
        <v>74</v>
      </c>
      <c r="AN462" s="2" t="s">
        <v>74</v>
      </c>
      <c r="AO462" s="2" t="s">
        <v>1658</v>
      </c>
      <c r="AP462" s="2" t="s">
        <v>1659</v>
      </c>
      <c r="AQ462" s="2" t="s">
        <v>74</v>
      </c>
      <c r="AR462" s="2" t="s">
        <v>74</v>
      </c>
      <c r="AS462" s="2" t="s">
        <v>74</v>
      </c>
      <c r="AT462" s="2" t="s">
        <v>7774</v>
      </c>
      <c r="AU462" s="2">
        <v>2020</v>
      </c>
      <c r="AV462" s="2">
        <v>4819</v>
      </c>
      <c r="AW462" s="2">
        <v>2</v>
      </c>
      <c r="AX462" s="2" t="s">
        <v>74</v>
      </c>
      <c r="AY462" s="2" t="s">
        <v>74</v>
      </c>
      <c r="AZ462" s="2" t="s">
        <v>74</v>
      </c>
      <c r="BA462" s="2" t="s">
        <v>74</v>
      </c>
      <c r="BB462" s="2">
        <v>316</v>
      </c>
      <c r="BC462" s="2">
        <v>334</v>
      </c>
      <c r="BD462" s="2" t="s">
        <v>74</v>
      </c>
      <c r="BE462" s="2" t="s">
        <v>7775</v>
      </c>
      <c r="BF462" s="2" t="str">
        <f>HYPERLINK("http://dx.doi.org/10.11646/zootaxa.4819.2.5","http://dx.doi.org/10.11646/zootaxa.4819.2.5")</f>
        <v>http://dx.doi.org/10.11646/zootaxa.4819.2.5</v>
      </c>
      <c r="BG462" s="2" t="s">
        <v>74</v>
      </c>
      <c r="BH462" s="2" t="s">
        <v>74</v>
      </c>
      <c r="BI462" s="2" t="s">
        <v>74</v>
      </c>
      <c r="BJ462" s="2" t="s">
        <v>74</v>
      </c>
      <c r="BK462" s="2" t="s">
        <v>74</v>
      </c>
      <c r="BL462" s="2" t="s">
        <v>74</v>
      </c>
      <c r="BM462" s="2" t="s">
        <v>74</v>
      </c>
      <c r="BN462" s="2">
        <v>33055661</v>
      </c>
      <c r="BO462" s="2" t="s">
        <v>74</v>
      </c>
      <c r="BP462" s="2" t="s">
        <v>74</v>
      </c>
      <c r="BQ462" s="2" t="s">
        <v>74</v>
      </c>
      <c r="BR462" s="2" t="s">
        <v>74</v>
      </c>
      <c r="BS462" s="2" t="s">
        <v>7776</v>
      </c>
      <c r="BT462" s="2" t="str">
        <f>HYPERLINK("https%3A%2F%2Fwww.webofscience.com%2Fwos%2Fwoscc%2Ffull-record%2FWOS:000552250100005","View Full Record in Web of Science")</f>
        <v>View Full Record in Web of Science</v>
      </c>
    </row>
    <row r="463" spans="1:72" s="2" customFormat="1" x14ac:dyDescent="0.4">
      <c r="A463" s="2" t="s">
        <v>72</v>
      </c>
      <c r="B463" s="2" t="s">
        <v>8259</v>
      </c>
      <c r="C463" s="2" t="s">
        <v>74</v>
      </c>
      <c r="D463" s="2" t="s">
        <v>74</v>
      </c>
      <c r="E463" s="2" t="s">
        <v>74</v>
      </c>
      <c r="F463" s="2" t="s">
        <v>8259</v>
      </c>
      <c r="G463" s="2" t="s">
        <v>74</v>
      </c>
      <c r="H463" s="2" t="s">
        <v>74</v>
      </c>
      <c r="I463" s="2" t="s">
        <v>8260</v>
      </c>
      <c r="J463" s="2" t="s">
        <v>77</v>
      </c>
      <c r="K463" s="2" t="s">
        <v>74</v>
      </c>
      <c r="L463" s="2" t="s">
        <v>74</v>
      </c>
      <c r="M463" s="2" t="s">
        <v>74</v>
      </c>
      <c r="N463" s="2" t="s">
        <v>74</v>
      </c>
      <c r="O463" s="2" t="s">
        <v>74</v>
      </c>
      <c r="P463" s="2" t="s">
        <v>74</v>
      </c>
      <c r="Q463" s="2" t="s">
        <v>74</v>
      </c>
      <c r="R463" s="2" t="s">
        <v>74</v>
      </c>
      <c r="S463" s="2" t="s">
        <v>74</v>
      </c>
      <c r="T463" s="2" t="s">
        <v>74</v>
      </c>
      <c r="U463" s="2" t="s">
        <v>74</v>
      </c>
      <c r="V463" s="5" t="s">
        <v>8261</v>
      </c>
      <c r="W463" s="2" t="s">
        <v>74</v>
      </c>
      <c r="X463" s="2" t="s">
        <v>74</v>
      </c>
      <c r="Y463" s="2" t="s">
        <v>74</v>
      </c>
      <c r="Z463" s="2" t="s">
        <v>74</v>
      </c>
      <c r="AA463" s="2" t="s">
        <v>8262</v>
      </c>
      <c r="AB463" s="2" t="s">
        <v>8263</v>
      </c>
      <c r="AC463" s="2" t="s">
        <v>74</v>
      </c>
      <c r="AD463" s="2" t="s">
        <v>74</v>
      </c>
      <c r="AE463" s="2" t="s">
        <v>74</v>
      </c>
      <c r="AF463" s="2" t="s">
        <v>74</v>
      </c>
      <c r="AG463" s="2" t="s">
        <v>74</v>
      </c>
      <c r="AH463" s="2" t="s">
        <v>74</v>
      </c>
      <c r="AI463" s="2" t="s">
        <v>74</v>
      </c>
      <c r="AJ463" s="2" t="s">
        <v>74</v>
      </c>
      <c r="AK463" s="2" t="s">
        <v>74</v>
      </c>
      <c r="AL463" s="2" t="s">
        <v>74</v>
      </c>
      <c r="AM463" s="2" t="s">
        <v>74</v>
      </c>
      <c r="AN463" s="2" t="s">
        <v>74</v>
      </c>
      <c r="AO463" s="2" t="s">
        <v>81</v>
      </c>
      <c r="AP463" s="2" t="s">
        <v>82</v>
      </c>
      <c r="AQ463" s="2" t="s">
        <v>74</v>
      </c>
      <c r="AR463" s="2" t="s">
        <v>74</v>
      </c>
      <c r="AS463" s="2" t="s">
        <v>74</v>
      </c>
      <c r="AT463" s="2" t="s">
        <v>102</v>
      </c>
      <c r="AU463" s="2">
        <v>2005</v>
      </c>
      <c r="AV463" s="2">
        <v>142</v>
      </c>
      <c r="AW463" s="2" t="s">
        <v>74</v>
      </c>
      <c r="AX463" s="2">
        <v>6</v>
      </c>
      <c r="AY463" s="2" t="s">
        <v>74</v>
      </c>
      <c r="AZ463" s="2" t="s">
        <v>74</v>
      </c>
      <c r="BA463" s="2" t="s">
        <v>74</v>
      </c>
      <c r="BB463" s="2">
        <v>827</v>
      </c>
      <c r="BC463" s="2">
        <v>844</v>
      </c>
      <c r="BD463" s="2" t="s">
        <v>74</v>
      </c>
      <c r="BE463" s="2" t="s">
        <v>8264</v>
      </c>
      <c r="BF463" s="2" t="str">
        <f>HYPERLINK("http://dx.doi.org/10.1163/1568539054729141","http://dx.doi.org/10.1163/1568539054729141")</f>
        <v>http://dx.doi.org/10.1163/1568539054729141</v>
      </c>
      <c r="BG463" s="2" t="s">
        <v>74</v>
      </c>
      <c r="BH463" s="2" t="s">
        <v>74</v>
      </c>
      <c r="BI463" s="2" t="s">
        <v>74</v>
      </c>
      <c r="BJ463" s="2" t="s">
        <v>74</v>
      </c>
      <c r="BK463" s="2" t="s">
        <v>74</v>
      </c>
      <c r="BL463" s="2" t="s">
        <v>74</v>
      </c>
      <c r="BM463" s="2" t="s">
        <v>74</v>
      </c>
      <c r="BN463" s="2" t="s">
        <v>74</v>
      </c>
      <c r="BO463" s="2" t="s">
        <v>74</v>
      </c>
      <c r="BP463" s="2" t="s">
        <v>74</v>
      </c>
      <c r="BQ463" s="2" t="s">
        <v>74</v>
      </c>
      <c r="BR463" s="2" t="s">
        <v>74</v>
      </c>
      <c r="BS463" s="2" t="s">
        <v>8265</v>
      </c>
      <c r="BT463" s="2" t="str">
        <f>HYPERLINK("https%3A%2F%2Fwww.webofscience.com%2Fwos%2Fwoscc%2Ffull-record%2FWOS:000231869400008","View Full Record in Web of Science")</f>
        <v>View Full Record in Web of Science</v>
      </c>
    </row>
    <row r="464" spans="1:72" s="2" customFormat="1" x14ac:dyDescent="0.4">
      <c r="A464" s="2" t="s">
        <v>72</v>
      </c>
      <c r="B464" s="2" t="s">
        <v>5504</v>
      </c>
      <c r="C464" s="2" t="s">
        <v>74</v>
      </c>
      <c r="D464" s="2" t="s">
        <v>74</v>
      </c>
      <c r="E464" s="2" t="s">
        <v>74</v>
      </c>
      <c r="F464" s="2" t="s">
        <v>5505</v>
      </c>
      <c r="G464" s="2" t="s">
        <v>74</v>
      </c>
      <c r="H464" s="2" t="s">
        <v>74</v>
      </c>
      <c r="I464" s="2" t="s">
        <v>5506</v>
      </c>
      <c r="J464" s="2" t="s">
        <v>545</v>
      </c>
      <c r="K464" s="2" t="s">
        <v>74</v>
      </c>
      <c r="L464" s="2" t="s">
        <v>74</v>
      </c>
      <c r="M464" s="2" t="s">
        <v>74</v>
      </c>
      <c r="N464" s="2" t="s">
        <v>74</v>
      </c>
      <c r="O464" s="2" t="s">
        <v>74</v>
      </c>
      <c r="P464" s="2" t="s">
        <v>74</v>
      </c>
      <c r="Q464" s="2" t="s">
        <v>74</v>
      </c>
      <c r="R464" s="2" t="s">
        <v>74</v>
      </c>
      <c r="S464" s="2" t="s">
        <v>74</v>
      </c>
      <c r="T464" s="2" t="s">
        <v>74</v>
      </c>
      <c r="U464" s="2" t="s">
        <v>74</v>
      </c>
      <c r="V464" s="5" t="s">
        <v>5507</v>
      </c>
      <c r="W464" s="2" t="s">
        <v>74</v>
      </c>
      <c r="X464" s="2" t="s">
        <v>74</v>
      </c>
      <c r="Y464" s="2" t="s">
        <v>74</v>
      </c>
      <c r="Z464" s="2" t="s">
        <v>74</v>
      </c>
      <c r="AA464" s="2" t="s">
        <v>5508</v>
      </c>
      <c r="AB464" s="2" t="s">
        <v>5509</v>
      </c>
      <c r="AC464" s="2" t="s">
        <v>74</v>
      </c>
      <c r="AD464" s="2" t="s">
        <v>74</v>
      </c>
      <c r="AE464" s="2" t="s">
        <v>74</v>
      </c>
      <c r="AF464" s="2" t="s">
        <v>74</v>
      </c>
      <c r="AG464" s="2" t="s">
        <v>74</v>
      </c>
      <c r="AH464" s="2" t="s">
        <v>74</v>
      </c>
      <c r="AI464" s="2" t="s">
        <v>74</v>
      </c>
      <c r="AJ464" s="2" t="s">
        <v>74</v>
      </c>
      <c r="AK464" s="2" t="s">
        <v>74</v>
      </c>
      <c r="AL464" s="2" t="s">
        <v>74</v>
      </c>
      <c r="AM464" s="2" t="s">
        <v>74</v>
      </c>
      <c r="AN464" s="2" t="s">
        <v>74</v>
      </c>
      <c r="AO464" s="2" t="s">
        <v>547</v>
      </c>
      <c r="AP464" s="2" t="s">
        <v>74</v>
      </c>
      <c r="AQ464" s="2" t="s">
        <v>74</v>
      </c>
      <c r="AR464" s="2" t="s">
        <v>74</v>
      </c>
      <c r="AS464" s="2" t="s">
        <v>74</v>
      </c>
      <c r="AT464" s="2" t="s">
        <v>213</v>
      </c>
      <c r="AU464" s="2">
        <v>2021</v>
      </c>
      <c r="AV464" s="2">
        <v>295</v>
      </c>
      <c r="AW464" s="2" t="s">
        <v>74</v>
      </c>
      <c r="AX464" s="2" t="s">
        <v>74</v>
      </c>
      <c r="AY464" s="2" t="s">
        <v>74</v>
      </c>
      <c r="AZ464" s="2" t="s">
        <v>74</v>
      </c>
      <c r="BA464" s="2" t="s">
        <v>74</v>
      </c>
      <c r="BB464" s="2">
        <v>1</v>
      </c>
      <c r="BC464" s="2">
        <v>11</v>
      </c>
      <c r="BD464" s="2" t="s">
        <v>74</v>
      </c>
      <c r="BE464" s="2" t="s">
        <v>5510</v>
      </c>
      <c r="BF464" s="2" t="str">
        <f>HYPERLINK("http://dx.doi.org/10.1016/j.jcz.2021.08.009","http://dx.doi.org/10.1016/j.jcz.2021.08.009")</f>
        <v>http://dx.doi.org/10.1016/j.jcz.2021.08.009</v>
      </c>
      <c r="BG464" s="2" t="s">
        <v>74</v>
      </c>
      <c r="BH464" s="2" t="s">
        <v>675</v>
      </c>
      <c r="BI464" s="2" t="s">
        <v>74</v>
      </c>
      <c r="BJ464" s="2" t="s">
        <v>74</v>
      </c>
      <c r="BK464" s="2" t="s">
        <v>74</v>
      </c>
      <c r="BL464" s="2" t="s">
        <v>74</v>
      </c>
      <c r="BM464" s="2" t="s">
        <v>74</v>
      </c>
      <c r="BN464" s="2" t="s">
        <v>74</v>
      </c>
      <c r="BO464" s="2" t="s">
        <v>74</v>
      </c>
      <c r="BP464" s="2" t="s">
        <v>74</v>
      </c>
      <c r="BQ464" s="2" t="s">
        <v>74</v>
      </c>
      <c r="BR464" s="2" t="s">
        <v>74</v>
      </c>
      <c r="BS464" s="2" t="s">
        <v>5511</v>
      </c>
      <c r="BT464" s="2" t="str">
        <f>HYPERLINK("https%3A%2F%2Fwww.webofscience.com%2Fwos%2Fwoscc%2Ffull-record%2FWOS:000697574600001","View Full Record in Web of Science")</f>
        <v>View Full Record in Web of Science</v>
      </c>
    </row>
    <row r="465" spans="1:72" s="2" customFormat="1" x14ac:dyDescent="0.4">
      <c r="A465" s="2" t="s">
        <v>72</v>
      </c>
      <c r="B465" s="2" t="s">
        <v>5202</v>
      </c>
      <c r="C465" s="2" t="s">
        <v>74</v>
      </c>
      <c r="D465" s="2" t="s">
        <v>74</v>
      </c>
      <c r="E465" s="2" t="s">
        <v>74</v>
      </c>
      <c r="F465" s="2" t="s">
        <v>5203</v>
      </c>
      <c r="G465" s="2" t="s">
        <v>74</v>
      </c>
      <c r="H465" s="2" t="s">
        <v>74</v>
      </c>
      <c r="I465" s="2" t="s">
        <v>5204</v>
      </c>
      <c r="J465" s="2" t="s">
        <v>108</v>
      </c>
      <c r="K465" s="2" t="s">
        <v>74</v>
      </c>
      <c r="L465" s="2" t="s">
        <v>74</v>
      </c>
      <c r="M465" s="2" t="s">
        <v>74</v>
      </c>
      <c r="N465" s="2" t="s">
        <v>74</v>
      </c>
      <c r="O465" s="2" t="s">
        <v>74</v>
      </c>
      <c r="P465" s="2" t="s">
        <v>74</v>
      </c>
      <c r="Q465" s="2" t="s">
        <v>74</v>
      </c>
      <c r="R465" s="2" t="s">
        <v>74</v>
      </c>
      <c r="S465" s="2" t="s">
        <v>74</v>
      </c>
      <c r="T465" s="2" t="s">
        <v>74</v>
      </c>
      <c r="U465" s="2" t="s">
        <v>74</v>
      </c>
      <c r="V465" s="5" t="s">
        <v>5205</v>
      </c>
      <c r="W465" s="2" t="s">
        <v>74</v>
      </c>
      <c r="X465" s="2" t="s">
        <v>74</v>
      </c>
      <c r="Y465" s="2" t="s">
        <v>74</v>
      </c>
      <c r="Z465" s="2" t="s">
        <v>74</v>
      </c>
      <c r="AA465" s="2" t="s">
        <v>5206</v>
      </c>
      <c r="AB465" s="2" t="s">
        <v>5207</v>
      </c>
      <c r="AC465" s="2" t="s">
        <v>74</v>
      </c>
      <c r="AD465" s="2" t="s">
        <v>74</v>
      </c>
      <c r="AE465" s="2" t="s">
        <v>74</v>
      </c>
      <c r="AF465" s="2" t="s">
        <v>74</v>
      </c>
      <c r="AG465" s="2" t="s">
        <v>74</v>
      </c>
      <c r="AH465" s="2" t="s">
        <v>74</v>
      </c>
      <c r="AI465" s="2" t="s">
        <v>74</v>
      </c>
      <c r="AJ465" s="2" t="s">
        <v>74</v>
      </c>
      <c r="AK465" s="2" t="s">
        <v>74</v>
      </c>
      <c r="AL465" s="2" t="s">
        <v>74</v>
      </c>
      <c r="AM465" s="2" t="s">
        <v>74</v>
      </c>
      <c r="AN465" s="2" t="s">
        <v>74</v>
      </c>
      <c r="AO465" s="2" t="s">
        <v>111</v>
      </c>
      <c r="AP465" s="2" t="s">
        <v>112</v>
      </c>
      <c r="AQ465" s="2" t="s">
        <v>74</v>
      </c>
      <c r="AR465" s="2" t="s">
        <v>74</v>
      </c>
      <c r="AS465" s="2" t="s">
        <v>74</v>
      </c>
      <c r="AT465" s="2" t="s">
        <v>5208</v>
      </c>
      <c r="AU465" s="2">
        <v>2020</v>
      </c>
      <c r="AV465" s="2">
        <v>287</v>
      </c>
      <c r="AW465" s="2">
        <v>1926</v>
      </c>
      <c r="AX465" s="2" t="s">
        <v>74</v>
      </c>
      <c r="AY465" s="2" t="s">
        <v>74</v>
      </c>
      <c r="AZ465" s="2" t="s">
        <v>74</v>
      </c>
      <c r="BA465" s="2" t="s">
        <v>74</v>
      </c>
      <c r="BB465" s="2" t="s">
        <v>74</v>
      </c>
      <c r="BC465" s="2" t="s">
        <v>74</v>
      </c>
      <c r="BD465" s="2" t="s">
        <v>74</v>
      </c>
      <c r="BE465" s="2" t="s">
        <v>5209</v>
      </c>
      <c r="BF465" s="2" t="str">
        <f>HYPERLINK("http://dx.doi.org/10.1098/rspb.2020.0587","http://dx.doi.org/10.1098/rspb.2020.0587")</f>
        <v>http://dx.doi.org/10.1098/rspb.2020.0587</v>
      </c>
      <c r="BG465" s="2" t="s">
        <v>74</v>
      </c>
      <c r="BH465" s="2" t="s">
        <v>74</v>
      </c>
      <c r="BI465" s="2" t="s">
        <v>74</v>
      </c>
      <c r="BJ465" s="2" t="s">
        <v>74</v>
      </c>
      <c r="BK465" s="2" t="s">
        <v>74</v>
      </c>
      <c r="BL465" s="2" t="s">
        <v>74</v>
      </c>
      <c r="BM465" s="2" t="s">
        <v>74</v>
      </c>
      <c r="BN465" s="2">
        <v>32370676</v>
      </c>
      <c r="BO465" s="2" t="s">
        <v>74</v>
      </c>
      <c r="BP465" s="2" t="s">
        <v>74</v>
      </c>
      <c r="BQ465" s="2" t="s">
        <v>74</v>
      </c>
      <c r="BR465" s="2" t="s">
        <v>74</v>
      </c>
      <c r="BS465" s="2" t="s">
        <v>5210</v>
      </c>
      <c r="BT465" s="2" t="str">
        <f>HYPERLINK("https%3A%2F%2Fwww.webofscience.com%2Fwos%2Fwoscc%2Ffull-record%2FWOS:000540446700001","View Full Record in Web of Science")</f>
        <v>View Full Record in Web of Science</v>
      </c>
    </row>
    <row r="466" spans="1:72" s="2" customFormat="1" x14ac:dyDescent="0.4">
      <c r="A466" s="2" t="s">
        <v>72</v>
      </c>
      <c r="B466" s="2" t="s">
        <v>6198</v>
      </c>
      <c r="C466" s="2" t="s">
        <v>74</v>
      </c>
      <c r="D466" s="2" t="s">
        <v>74</v>
      </c>
      <c r="E466" s="2" t="s">
        <v>74</v>
      </c>
      <c r="F466" s="2" t="s">
        <v>6198</v>
      </c>
      <c r="G466" s="2" t="s">
        <v>74</v>
      </c>
      <c r="H466" s="2" t="s">
        <v>74</v>
      </c>
      <c r="I466" s="2" t="s">
        <v>6199</v>
      </c>
      <c r="J466" s="2" t="s">
        <v>6200</v>
      </c>
      <c r="K466" s="2" t="s">
        <v>74</v>
      </c>
      <c r="L466" s="2" t="s">
        <v>74</v>
      </c>
      <c r="M466" s="2" t="s">
        <v>74</v>
      </c>
      <c r="N466" s="2" t="s">
        <v>74</v>
      </c>
      <c r="O466" s="2" t="s">
        <v>74</v>
      </c>
      <c r="P466" s="2" t="s">
        <v>74</v>
      </c>
      <c r="Q466" s="2" t="s">
        <v>74</v>
      </c>
      <c r="R466" s="2" t="s">
        <v>74</v>
      </c>
      <c r="S466" s="2" t="s">
        <v>74</v>
      </c>
      <c r="T466" s="2" t="s">
        <v>74</v>
      </c>
      <c r="U466" s="2" t="s">
        <v>74</v>
      </c>
      <c r="V466" s="5" t="s">
        <v>6201</v>
      </c>
      <c r="W466" s="2" t="s">
        <v>74</v>
      </c>
      <c r="X466" s="2" t="s">
        <v>74</v>
      </c>
      <c r="Y466" s="2" t="s">
        <v>74</v>
      </c>
      <c r="Z466" s="2" t="s">
        <v>74</v>
      </c>
      <c r="AA466" s="2" t="s">
        <v>74</v>
      </c>
      <c r="AB466" s="2" t="s">
        <v>74</v>
      </c>
      <c r="AC466" s="2" t="s">
        <v>74</v>
      </c>
      <c r="AD466" s="2" t="s">
        <v>74</v>
      </c>
      <c r="AE466" s="2" t="s">
        <v>74</v>
      </c>
      <c r="AF466" s="2" t="s">
        <v>74</v>
      </c>
      <c r="AG466" s="2" t="s">
        <v>74</v>
      </c>
      <c r="AH466" s="2" t="s">
        <v>74</v>
      </c>
      <c r="AI466" s="2" t="s">
        <v>74</v>
      </c>
      <c r="AJ466" s="2" t="s">
        <v>74</v>
      </c>
      <c r="AK466" s="2" t="s">
        <v>74</v>
      </c>
      <c r="AL466" s="2" t="s">
        <v>74</v>
      </c>
      <c r="AM466" s="2" t="s">
        <v>74</v>
      </c>
      <c r="AN466" s="2" t="s">
        <v>74</v>
      </c>
      <c r="AO466" s="2" t="s">
        <v>6202</v>
      </c>
      <c r="AP466" s="2" t="s">
        <v>74</v>
      </c>
      <c r="AQ466" s="2" t="s">
        <v>74</v>
      </c>
      <c r="AR466" s="2" t="s">
        <v>74</v>
      </c>
      <c r="AS466" s="2" t="s">
        <v>74</v>
      </c>
      <c r="AT466" s="2" t="s">
        <v>1620</v>
      </c>
      <c r="AU466" s="2">
        <v>1999</v>
      </c>
      <c r="AV466" s="2">
        <v>42</v>
      </c>
      <c r="AW466" s="2">
        <v>3</v>
      </c>
      <c r="AX466" s="2" t="s">
        <v>74</v>
      </c>
      <c r="AY466" s="2" t="s">
        <v>74</v>
      </c>
      <c r="AZ466" s="2" t="s">
        <v>74</v>
      </c>
      <c r="BA466" s="2" t="s">
        <v>74</v>
      </c>
      <c r="BB466" s="2">
        <v>201</v>
      </c>
      <c r="BC466" s="2">
        <v>210</v>
      </c>
      <c r="BD466" s="2" t="s">
        <v>74</v>
      </c>
      <c r="BE466" s="2" t="s">
        <v>74</v>
      </c>
      <c r="BF466" s="2" t="s">
        <v>74</v>
      </c>
      <c r="BG466" s="2" t="s">
        <v>74</v>
      </c>
      <c r="BH466" s="2" t="s">
        <v>74</v>
      </c>
      <c r="BI466" s="2" t="s">
        <v>74</v>
      </c>
      <c r="BJ466" s="2" t="s">
        <v>74</v>
      </c>
      <c r="BK466" s="2" t="s">
        <v>74</v>
      </c>
      <c r="BL466" s="2" t="s">
        <v>74</v>
      </c>
      <c r="BM466" s="2" t="s">
        <v>74</v>
      </c>
      <c r="BN466" s="2" t="s">
        <v>74</v>
      </c>
      <c r="BO466" s="2" t="s">
        <v>74</v>
      </c>
      <c r="BP466" s="2" t="s">
        <v>74</v>
      </c>
      <c r="BQ466" s="2" t="s">
        <v>74</v>
      </c>
      <c r="BR466" s="2" t="s">
        <v>74</v>
      </c>
      <c r="BS466" s="2" t="s">
        <v>6203</v>
      </c>
      <c r="BT466" s="2" t="str">
        <f>HYPERLINK("https%3A%2F%2Fwww.webofscience.com%2Fwos%2Fwoscc%2Ffull-record%2FWOS:000081353100001","View Full Record in Web of Science")</f>
        <v>View Full Record in Web of Science</v>
      </c>
    </row>
    <row r="467" spans="1:72" s="2" customFormat="1" x14ac:dyDescent="0.4">
      <c r="A467" s="2" t="s">
        <v>72</v>
      </c>
      <c r="B467" s="2" t="s">
        <v>8723</v>
      </c>
      <c r="C467" s="2" t="s">
        <v>74</v>
      </c>
      <c r="D467" s="2" t="s">
        <v>74</v>
      </c>
      <c r="E467" s="2" t="s">
        <v>74</v>
      </c>
      <c r="F467" s="2" t="s">
        <v>8724</v>
      </c>
      <c r="G467" s="2" t="s">
        <v>74</v>
      </c>
      <c r="H467" s="2" t="s">
        <v>74</v>
      </c>
      <c r="I467" s="2" t="s">
        <v>8725</v>
      </c>
      <c r="J467" s="2" t="s">
        <v>397</v>
      </c>
      <c r="K467" s="2" t="s">
        <v>74</v>
      </c>
      <c r="L467" s="2" t="s">
        <v>74</v>
      </c>
      <c r="M467" s="2" t="s">
        <v>74</v>
      </c>
      <c r="N467" s="2" t="s">
        <v>74</v>
      </c>
      <c r="O467" s="2" t="s">
        <v>74</v>
      </c>
      <c r="P467" s="2" t="s">
        <v>74</v>
      </c>
      <c r="Q467" s="2" t="s">
        <v>74</v>
      </c>
      <c r="R467" s="2" t="s">
        <v>74</v>
      </c>
      <c r="S467" s="2" t="s">
        <v>74</v>
      </c>
      <c r="T467" s="2" t="s">
        <v>74</v>
      </c>
      <c r="U467" s="2" t="s">
        <v>74</v>
      </c>
      <c r="V467" s="5" t="s">
        <v>8726</v>
      </c>
      <c r="W467" s="2" t="s">
        <v>74</v>
      </c>
      <c r="X467" s="2" t="s">
        <v>74</v>
      </c>
      <c r="Y467" s="2" t="s">
        <v>74</v>
      </c>
      <c r="Z467" s="2" t="s">
        <v>74</v>
      </c>
      <c r="AA467" s="2" t="s">
        <v>8727</v>
      </c>
      <c r="AB467" s="2" t="s">
        <v>8728</v>
      </c>
      <c r="AC467" s="2" t="s">
        <v>74</v>
      </c>
      <c r="AD467" s="2" t="s">
        <v>74</v>
      </c>
      <c r="AE467" s="2" t="s">
        <v>74</v>
      </c>
      <c r="AF467" s="2" t="s">
        <v>74</v>
      </c>
      <c r="AG467" s="2" t="s">
        <v>74</v>
      </c>
      <c r="AH467" s="2" t="s">
        <v>74</v>
      </c>
      <c r="AI467" s="2" t="s">
        <v>74</v>
      </c>
      <c r="AJ467" s="2" t="s">
        <v>74</v>
      </c>
      <c r="AK467" s="2" t="s">
        <v>74</v>
      </c>
      <c r="AL467" s="2" t="s">
        <v>74</v>
      </c>
      <c r="AM467" s="2" t="s">
        <v>74</v>
      </c>
      <c r="AN467" s="2" t="s">
        <v>74</v>
      </c>
      <c r="AO467" s="2" t="s">
        <v>401</v>
      </c>
      <c r="AP467" s="2" t="s">
        <v>402</v>
      </c>
      <c r="AQ467" s="2" t="s">
        <v>74</v>
      </c>
      <c r="AR467" s="2" t="s">
        <v>74</v>
      </c>
      <c r="AS467" s="2" t="s">
        <v>74</v>
      </c>
      <c r="AT467" s="2" t="s">
        <v>213</v>
      </c>
      <c r="AU467" s="2">
        <v>2013</v>
      </c>
      <c r="AV467" s="2">
        <v>12</v>
      </c>
      <c r="AW467" s="2">
        <v>8</v>
      </c>
      <c r="AX467" s="2" t="s">
        <v>74</v>
      </c>
      <c r="AY467" s="2" t="s">
        <v>74</v>
      </c>
      <c r="AZ467" s="2" t="s">
        <v>74</v>
      </c>
      <c r="BA467" s="2" t="s">
        <v>74</v>
      </c>
      <c r="BB467" s="2">
        <v>760</v>
      </c>
      <c r="BC467" s="2">
        <v>770</v>
      </c>
      <c r="BD467" s="2" t="s">
        <v>74</v>
      </c>
      <c r="BE467" s="2" t="s">
        <v>8729</v>
      </c>
      <c r="BF467" s="2" t="str">
        <f>HYPERLINK("http://dx.doi.org/10.1111/gbb.12088","http://dx.doi.org/10.1111/gbb.12088")</f>
        <v>http://dx.doi.org/10.1111/gbb.12088</v>
      </c>
      <c r="BG467" s="2" t="s">
        <v>74</v>
      </c>
      <c r="BH467" s="2" t="s">
        <v>74</v>
      </c>
      <c r="BI467" s="2" t="s">
        <v>74</v>
      </c>
      <c r="BJ467" s="2" t="s">
        <v>74</v>
      </c>
      <c r="BK467" s="2" t="s">
        <v>74</v>
      </c>
      <c r="BL467" s="2" t="s">
        <v>74</v>
      </c>
      <c r="BM467" s="2" t="s">
        <v>74</v>
      </c>
      <c r="BN467" s="2">
        <v>24034605</v>
      </c>
      <c r="BO467" s="2" t="s">
        <v>74</v>
      </c>
      <c r="BP467" s="2" t="s">
        <v>74</v>
      </c>
      <c r="BQ467" s="2" t="s">
        <v>74</v>
      </c>
      <c r="BR467" s="2" t="s">
        <v>74</v>
      </c>
      <c r="BS467" s="2" t="s">
        <v>8730</v>
      </c>
      <c r="BT467" s="2" t="str">
        <f>HYPERLINK("https%3A%2F%2Fwww.webofscience.com%2Fwos%2Fwoscc%2Ffull-record%2FWOS:000330101600002","View Full Record in Web of Science")</f>
        <v>View Full Record in Web of Science</v>
      </c>
    </row>
    <row r="468" spans="1:72" s="2" customFormat="1" x14ac:dyDescent="0.4">
      <c r="A468" s="2" t="s">
        <v>72</v>
      </c>
      <c r="B468" s="2" t="s">
        <v>6739</v>
      </c>
      <c r="C468" s="2" t="s">
        <v>74</v>
      </c>
      <c r="D468" s="2" t="s">
        <v>74</v>
      </c>
      <c r="E468" s="2" t="s">
        <v>74</v>
      </c>
      <c r="F468" s="2" t="s">
        <v>6739</v>
      </c>
      <c r="G468" s="2" t="s">
        <v>74</v>
      </c>
      <c r="H468" s="2" t="s">
        <v>74</v>
      </c>
      <c r="I468" s="2" t="s">
        <v>6740</v>
      </c>
      <c r="J468" s="2" t="s">
        <v>201</v>
      </c>
      <c r="K468" s="2" t="s">
        <v>74</v>
      </c>
      <c r="L468" s="2" t="s">
        <v>74</v>
      </c>
      <c r="M468" s="2" t="s">
        <v>74</v>
      </c>
      <c r="N468" s="2" t="s">
        <v>74</v>
      </c>
      <c r="O468" s="2" t="s">
        <v>6741</v>
      </c>
      <c r="P468" s="2" t="s">
        <v>6742</v>
      </c>
      <c r="Q468" s="2" t="s">
        <v>6743</v>
      </c>
      <c r="R468" s="2" t="s">
        <v>6744</v>
      </c>
      <c r="S468" s="2" t="s">
        <v>74</v>
      </c>
      <c r="T468" s="2" t="s">
        <v>74</v>
      </c>
      <c r="U468" s="2" t="s">
        <v>74</v>
      </c>
      <c r="V468" s="5" t="s">
        <v>6745</v>
      </c>
      <c r="W468" s="2" t="s">
        <v>74</v>
      </c>
      <c r="X468" s="2" t="s">
        <v>74</v>
      </c>
      <c r="Y468" s="2" t="s">
        <v>74</v>
      </c>
      <c r="Z468" s="2" t="s">
        <v>74</v>
      </c>
      <c r="AA468" s="2" t="s">
        <v>6746</v>
      </c>
      <c r="AB468" s="2" t="s">
        <v>74</v>
      </c>
      <c r="AC468" s="2" t="s">
        <v>74</v>
      </c>
      <c r="AD468" s="2" t="s">
        <v>74</v>
      </c>
      <c r="AE468" s="2" t="s">
        <v>74</v>
      </c>
      <c r="AF468" s="2" t="s">
        <v>74</v>
      </c>
      <c r="AG468" s="2" t="s">
        <v>74</v>
      </c>
      <c r="AH468" s="2" t="s">
        <v>74</v>
      </c>
      <c r="AI468" s="2" t="s">
        <v>74</v>
      </c>
      <c r="AJ468" s="2" t="s">
        <v>74</v>
      </c>
      <c r="AK468" s="2" t="s">
        <v>74</v>
      </c>
      <c r="AL468" s="2" t="s">
        <v>74</v>
      </c>
      <c r="AM468" s="2" t="s">
        <v>74</v>
      </c>
      <c r="AN468" s="2" t="s">
        <v>74</v>
      </c>
      <c r="AO468" s="2" t="s">
        <v>203</v>
      </c>
      <c r="AP468" s="2" t="s">
        <v>1192</v>
      </c>
      <c r="AQ468" s="2" t="s">
        <v>74</v>
      </c>
      <c r="AR468" s="2" t="s">
        <v>74</v>
      </c>
      <c r="AS468" s="2" t="s">
        <v>74</v>
      </c>
      <c r="AT468" s="2" t="s">
        <v>305</v>
      </c>
      <c r="AU468" s="2">
        <v>2003</v>
      </c>
      <c r="AV468" s="2">
        <v>63</v>
      </c>
      <c r="AW468" s="2" t="s">
        <v>74</v>
      </c>
      <c r="AX468" s="2" t="s">
        <v>74</v>
      </c>
      <c r="AY468" s="2" t="s">
        <v>6747</v>
      </c>
      <c r="AZ468" s="2" t="s">
        <v>74</v>
      </c>
      <c r="BA468" s="2" t="s">
        <v>74</v>
      </c>
      <c r="BB468" s="2">
        <v>131</v>
      </c>
      <c r="BC468" s="2">
        <v>143</v>
      </c>
      <c r="BD468" s="2" t="s">
        <v>74</v>
      </c>
      <c r="BE468" s="2" t="s">
        <v>6748</v>
      </c>
      <c r="BF468" s="2" t="str">
        <f>HYPERLINK("http://dx.doi.org/10.1111/j.1095-8649.2003.00210.x","http://dx.doi.org/10.1111/j.1095-8649.2003.00210.x")</f>
        <v>http://dx.doi.org/10.1111/j.1095-8649.2003.00210.x</v>
      </c>
      <c r="BG468" s="2" t="s">
        <v>74</v>
      </c>
      <c r="BH468" s="2" t="s">
        <v>74</v>
      </c>
      <c r="BI468" s="2" t="s">
        <v>74</v>
      </c>
      <c r="BJ468" s="2" t="s">
        <v>74</v>
      </c>
      <c r="BK468" s="2" t="s">
        <v>74</v>
      </c>
      <c r="BL468" s="2" t="s">
        <v>74</v>
      </c>
      <c r="BM468" s="2" t="s">
        <v>74</v>
      </c>
      <c r="BN468" s="2" t="s">
        <v>74</v>
      </c>
      <c r="BO468" s="2" t="s">
        <v>74</v>
      </c>
      <c r="BP468" s="2" t="s">
        <v>74</v>
      </c>
      <c r="BQ468" s="2" t="s">
        <v>74</v>
      </c>
      <c r="BR468" s="2" t="s">
        <v>74</v>
      </c>
      <c r="BS468" s="2" t="s">
        <v>6749</v>
      </c>
      <c r="BT468" s="2" t="str">
        <f>HYPERLINK("https%3A%2F%2Fwww.webofscience.com%2Fwos%2Fwoscc%2Ffull-record%2FWOS:000187879700008","View Full Record in Web of Science")</f>
        <v>View Full Record in Web of Science</v>
      </c>
    </row>
    <row r="469" spans="1:72" s="2" customFormat="1" x14ac:dyDescent="0.4">
      <c r="A469" s="2" t="s">
        <v>72</v>
      </c>
      <c r="B469" s="2" t="s">
        <v>8101</v>
      </c>
      <c r="C469" s="2" t="s">
        <v>74</v>
      </c>
      <c r="D469" s="2" t="s">
        <v>74</v>
      </c>
      <c r="E469" s="2" t="s">
        <v>74</v>
      </c>
      <c r="F469" s="2" t="s">
        <v>8101</v>
      </c>
      <c r="G469" s="2" t="s">
        <v>74</v>
      </c>
      <c r="H469" s="2" t="s">
        <v>74</v>
      </c>
      <c r="I469" s="2" t="s">
        <v>8102</v>
      </c>
      <c r="J469" s="2" t="s">
        <v>8103</v>
      </c>
      <c r="K469" s="2" t="s">
        <v>74</v>
      </c>
      <c r="L469" s="2" t="s">
        <v>74</v>
      </c>
      <c r="M469" s="2" t="s">
        <v>74</v>
      </c>
      <c r="N469" s="2" t="s">
        <v>74</v>
      </c>
      <c r="O469" s="2" t="s">
        <v>74</v>
      </c>
      <c r="P469" s="2" t="s">
        <v>74</v>
      </c>
      <c r="Q469" s="2" t="s">
        <v>74</v>
      </c>
      <c r="R469" s="2" t="s">
        <v>74</v>
      </c>
      <c r="S469" s="2" t="s">
        <v>74</v>
      </c>
      <c r="T469" s="2" t="s">
        <v>74</v>
      </c>
      <c r="U469" s="2" t="s">
        <v>74</v>
      </c>
      <c r="V469" s="5" t="s">
        <v>8104</v>
      </c>
      <c r="W469" s="2" t="s">
        <v>74</v>
      </c>
      <c r="X469" s="2" t="s">
        <v>74</v>
      </c>
      <c r="Y469" s="2" t="s">
        <v>74</v>
      </c>
      <c r="Z469" s="2" t="s">
        <v>74</v>
      </c>
      <c r="AA469" s="2" t="s">
        <v>74</v>
      </c>
      <c r="AB469" s="2" t="s">
        <v>74</v>
      </c>
      <c r="AC469" s="2" t="s">
        <v>74</v>
      </c>
      <c r="AD469" s="2" t="s">
        <v>74</v>
      </c>
      <c r="AE469" s="2" t="s">
        <v>74</v>
      </c>
      <c r="AF469" s="2" t="s">
        <v>74</v>
      </c>
      <c r="AG469" s="2" t="s">
        <v>74</v>
      </c>
      <c r="AH469" s="2" t="s">
        <v>74</v>
      </c>
      <c r="AI469" s="2" t="s">
        <v>74</v>
      </c>
      <c r="AJ469" s="2" t="s">
        <v>74</v>
      </c>
      <c r="AK469" s="2" t="s">
        <v>74</v>
      </c>
      <c r="AL469" s="2" t="s">
        <v>74</v>
      </c>
      <c r="AM469" s="2" t="s">
        <v>74</v>
      </c>
      <c r="AN469" s="2" t="s">
        <v>74</v>
      </c>
      <c r="AO469" s="2" t="s">
        <v>8105</v>
      </c>
      <c r="AP469" s="2" t="s">
        <v>74</v>
      </c>
      <c r="AQ469" s="2" t="s">
        <v>74</v>
      </c>
      <c r="AR469" s="2" t="s">
        <v>74</v>
      </c>
      <c r="AS469" s="2" t="s">
        <v>74</v>
      </c>
      <c r="AT469" s="2" t="s">
        <v>74</v>
      </c>
      <c r="AU469" s="2">
        <v>2006</v>
      </c>
      <c r="AV469" s="2">
        <v>47</v>
      </c>
      <c r="AW469" s="2">
        <v>2</v>
      </c>
      <c r="AX469" s="2" t="s">
        <v>74</v>
      </c>
      <c r="AY469" s="2" t="s">
        <v>74</v>
      </c>
      <c r="AZ469" s="2" t="s">
        <v>74</v>
      </c>
      <c r="BA469" s="2" t="s">
        <v>74</v>
      </c>
      <c r="BB469" s="2">
        <v>315</v>
      </c>
      <c r="BC469" s="2">
        <v>327</v>
      </c>
      <c r="BD469" s="2" t="s">
        <v>74</v>
      </c>
      <c r="BE469" s="2" t="s">
        <v>74</v>
      </c>
      <c r="BF469" s="2" t="s">
        <v>74</v>
      </c>
      <c r="BG469" s="2" t="s">
        <v>74</v>
      </c>
      <c r="BH469" s="2" t="s">
        <v>74</v>
      </c>
      <c r="BI469" s="2" t="s">
        <v>74</v>
      </c>
      <c r="BJ469" s="2" t="s">
        <v>74</v>
      </c>
      <c r="BK469" s="2" t="s">
        <v>74</v>
      </c>
      <c r="BL469" s="2" t="s">
        <v>74</v>
      </c>
      <c r="BM469" s="2" t="s">
        <v>74</v>
      </c>
      <c r="BN469" s="2" t="s">
        <v>74</v>
      </c>
      <c r="BO469" s="2" t="s">
        <v>74</v>
      </c>
      <c r="BP469" s="2" t="s">
        <v>74</v>
      </c>
      <c r="BQ469" s="2" t="s">
        <v>74</v>
      </c>
      <c r="BR469" s="2" t="s">
        <v>74</v>
      </c>
      <c r="BS469" s="2" t="s">
        <v>8106</v>
      </c>
      <c r="BT469" s="2" t="str">
        <f>HYPERLINK("https%3A%2F%2Fwww.webofscience.com%2Fwos%2Fwoscc%2Ffull-record%2FWOS:000236117900003","View Full Record in Web of Science")</f>
        <v>View Full Record in Web of Science</v>
      </c>
    </row>
    <row r="470" spans="1:72" s="1" customFormat="1" x14ac:dyDescent="0.4">
      <c r="A470" s="2" t="s">
        <v>72</v>
      </c>
      <c r="B470" s="2" t="s">
        <v>5219</v>
      </c>
      <c r="C470" s="2" t="s">
        <v>74</v>
      </c>
      <c r="D470" s="2" t="s">
        <v>74</v>
      </c>
      <c r="E470" s="2" t="s">
        <v>74</v>
      </c>
      <c r="F470" s="2" t="s">
        <v>5220</v>
      </c>
      <c r="G470" s="2" t="s">
        <v>74</v>
      </c>
      <c r="H470" s="2" t="s">
        <v>74</v>
      </c>
      <c r="I470" s="2" t="s">
        <v>5221</v>
      </c>
      <c r="J470" s="2" t="s">
        <v>475</v>
      </c>
      <c r="K470" s="2" t="s">
        <v>74</v>
      </c>
      <c r="L470" s="2" t="s">
        <v>74</v>
      </c>
      <c r="M470" s="2" t="s">
        <v>74</v>
      </c>
      <c r="N470" s="2" t="s">
        <v>74</v>
      </c>
      <c r="O470" s="2" t="s">
        <v>74</v>
      </c>
      <c r="P470" s="2" t="s">
        <v>74</v>
      </c>
      <c r="Q470" s="2" t="s">
        <v>74</v>
      </c>
      <c r="R470" s="2" t="s">
        <v>74</v>
      </c>
      <c r="S470" s="2" t="s">
        <v>74</v>
      </c>
      <c r="T470" s="2" t="s">
        <v>74</v>
      </c>
      <c r="U470" s="2" t="s">
        <v>74</v>
      </c>
      <c r="V470" s="5" t="s">
        <v>5222</v>
      </c>
      <c r="W470" s="2" t="s">
        <v>74</v>
      </c>
      <c r="X470" s="2" t="s">
        <v>74</v>
      </c>
      <c r="Y470" s="2" t="s">
        <v>74</v>
      </c>
      <c r="Z470" s="2" t="s">
        <v>74</v>
      </c>
      <c r="AA470" s="2" t="s">
        <v>74</v>
      </c>
      <c r="AB470" s="2" t="s">
        <v>5223</v>
      </c>
      <c r="AC470" s="2" t="s">
        <v>74</v>
      </c>
      <c r="AD470" s="2" t="s">
        <v>74</v>
      </c>
      <c r="AE470" s="2" t="s">
        <v>74</v>
      </c>
      <c r="AF470" s="2" t="s">
        <v>74</v>
      </c>
      <c r="AG470" s="2" t="s">
        <v>74</v>
      </c>
      <c r="AH470" s="2" t="s">
        <v>74</v>
      </c>
      <c r="AI470" s="2" t="s">
        <v>74</v>
      </c>
      <c r="AJ470" s="2" t="s">
        <v>74</v>
      </c>
      <c r="AK470" s="2" t="s">
        <v>74</v>
      </c>
      <c r="AL470" s="2" t="s">
        <v>74</v>
      </c>
      <c r="AM470" s="2" t="s">
        <v>74</v>
      </c>
      <c r="AN470" s="2" t="s">
        <v>74</v>
      </c>
      <c r="AO470" s="2" t="s">
        <v>477</v>
      </c>
      <c r="AP470" s="2" t="s">
        <v>1089</v>
      </c>
      <c r="AQ470" s="2" t="s">
        <v>74</v>
      </c>
      <c r="AR470" s="2" t="s">
        <v>74</v>
      </c>
      <c r="AS470" s="2" t="s">
        <v>74</v>
      </c>
      <c r="AT470" s="2" t="s">
        <v>3671</v>
      </c>
      <c r="AU470" s="2">
        <v>2022</v>
      </c>
      <c r="AV470" s="2">
        <v>316</v>
      </c>
      <c r="AW470" s="2" t="s">
        <v>74</v>
      </c>
      <c r="AX470" s="2" t="s">
        <v>74</v>
      </c>
      <c r="AY470" s="2" t="s">
        <v>74</v>
      </c>
      <c r="AZ470" s="2" t="s">
        <v>74</v>
      </c>
      <c r="BA470" s="2" t="s">
        <v>74</v>
      </c>
      <c r="BB470" s="2" t="s">
        <v>74</v>
      </c>
      <c r="BC470" s="2" t="s">
        <v>74</v>
      </c>
      <c r="BD470" s="2">
        <v>113948</v>
      </c>
      <c r="BE470" s="2" t="s">
        <v>5224</v>
      </c>
      <c r="BF470" s="2" t="str">
        <f>HYPERLINK("http://dx.doi.org/10.1016/j.ygcen.2021.113948","http://dx.doi.org/10.1016/j.ygcen.2021.113948")</f>
        <v>http://dx.doi.org/10.1016/j.ygcen.2021.113948</v>
      </c>
      <c r="BG470" s="2" t="s">
        <v>74</v>
      </c>
      <c r="BH470" s="2" t="s">
        <v>74</v>
      </c>
      <c r="BI470" s="2" t="s">
        <v>74</v>
      </c>
      <c r="BJ470" s="2" t="s">
        <v>74</v>
      </c>
      <c r="BK470" s="2" t="s">
        <v>74</v>
      </c>
      <c r="BL470" s="2" t="s">
        <v>74</v>
      </c>
      <c r="BM470" s="2" t="s">
        <v>74</v>
      </c>
      <c r="BN470" s="2">
        <v>34826430</v>
      </c>
      <c r="BO470" s="2" t="s">
        <v>74</v>
      </c>
      <c r="BP470" s="2" t="s">
        <v>74</v>
      </c>
      <c r="BQ470" s="2" t="s">
        <v>74</v>
      </c>
      <c r="BR470" s="2" t="s">
        <v>74</v>
      </c>
      <c r="BS470" s="2" t="s">
        <v>5225</v>
      </c>
      <c r="BT470" s="2" t="str">
        <f>HYPERLINK("https%3A%2F%2Fwww.webofscience.com%2Fwos%2Fwoscc%2Ffull-record%2FWOS:000784337800003","View Full Record in Web of Science")</f>
        <v>View Full Record in Web of Science</v>
      </c>
    </row>
    <row r="471" spans="1:72" s="2" customFormat="1" x14ac:dyDescent="0.4">
      <c r="A471" s="2" t="s">
        <v>72</v>
      </c>
      <c r="B471" s="2" t="s">
        <v>6600</v>
      </c>
      <c r="C471" s="2" t="s">
        <v>74</v>
      </c>
      <c r="D471" s="2" t="s">
        <v>74</v>
      </c>
      <c r="E471" s="2" t="s">
        <v>74</v>
      </c>
      <c r="F471" s="2" t="s">
        <v>6600</v>
      </c>
      <c r="G471" s="2" t="s">
        <v>74</v>
      </c>
      <c r="H471" s="2" t="s">
        <v>74</v>
      </c>
      <c r="I471" s="2" t="s">
        <v>6601</v>
      </c>
      <c r="J471" s="2" t="s">
        <v>691</v>
      </c>
      <c r="K471" s="2" t="s">
        <v>74</v>
      </c>
      <c r="L471" s="2" t="s">
        <v>74</v>
      </c>
      <c r="M471" s="2" t="s">
        <v>74</v>
      </c>
      <c r="N471" s="2" t="s">
        <v>74</v>
      </c>
      <c r="O471" s="2" t="s">
        <v>6602</v>
      </c>
      <c r="P471" s="2" t="s">
        <v>6603</v>
      </c>
      <c r="Q471" s="2" t="s">
        <v>6604</v>
      </c>
      <c r="R471" s="2" t="s">
        <v>6605</v>
      </c>
      <c r="S471" s="2" t="s">
        <v>74</v>
      </c>
      <c r="T471" s="2" t="s">
        <v>74</v>
      </c>
      <c r="U471" s="2" t="s">
        <v>74</v>
      </c>
      <c r="V471" s="5" t="s">
        <v>6606</v>
      </c>
      <c r="W471" s="2" t="s">
        <v>74</v>
      </c>
      <c r="X471" s="2" t="s">
        <v>74</v>
      </c>
      <c r="Y471" s="2" t="s">
        <v>74</v>
      </c>
      <c r="Z471" s="2" t="s">
        <v>74</v>
      </c>
      <c r="AA471" s="2" t="s">
        <v>74</v>
      </c>
      <c r="AB471" s="2" t="s">
        <v>74</v>
      </c>
      <c r="AC471" s="2" t="s">
        <v>74</v>
      </c>
      <c r="AD471" s="2" t="s">
        <v>74</v>
      </c>
      <c r="AE471" s="2" t="s">
        <v>74</v>
      </c>
      <c r="AF471" s="2" t="s">
        <v>74</v>
      </c>
      <c r="AG471" s="2" t="s">
        <v>74</v>
      </c>
      <c r="AH471" s="2" t="s">
        <v>74</v>
      </c>
      <c r="AI471" s="2" t="s">
        <v>74</v>
      </c>
      <c r="AJ471" s="2" t="s">
        <v>74</v>
      </c>
      <c r="AK471" s="2" t="s">
        <v>74</v>
      </c>
      <c r="AL471" s="2" t="s">
        <v>74</v>
      </c>
      <c r="AM471" s="2" t="s">
        <v>74</v>
      </c>
      <c r="AN471" s="2" t="s">
        <v>74</v>
      </c>
      <c r="AO471" s="2" t="s">
        <v>695</v>
      </c>
      <c r="AP471" s="2" t="s">
        <v>74</v>
      </c>
      <c r="AQ471" s="2" t="s">
        <v>74</v>
      </c>
      <c r="AR471" s="2" t="s">
        <v>74</v>
      </c>
      <c r="AS471" s="2" t="s">
        <v>74</v>
      </c>
      <c r="AT471" s="2" t="s">
        <v>145</v>
      </c>
      <c r="AU471" s="2">
        <v>2003</v>
      </c>
      <c r="AV471" s="2">
        <v>79</v>
      </c>
      <c r="AW471" s="2">
        <v>3</v>
      </c>
      <c r="AX471" s="2" t="s">
        <v>74</v>
      </c>
      <c r="AY471" s="2" t="s">
        <v>74</v>
      </c>
      <c r="AZ471" s="2" t="s">
        <v>74</v>
      </c>
      <c r="BA471" s="2" t="s">
        <v>74</v>
      </c>
      <c r="BB471" s="2">
        <v>429</v>
      </c>
      <c r="BC471" s="2">
        <v>440</v>
      </c>
      <c r="BD471" s="2" t="s">
        <v>74</v>
      </c>
      <c r="BE471" s="2" t="s">
        <v>6607</v>
      </c>
      <c r="BF471" s="2" t="str">
        <f>HYPERLINK("http://dx.doi.org/10.1016/S0031-9384(03)00162-8","http://dx.doi.org/10.1016/S0031-9384(03)00162-8")</f>
        <v>http://dx.doi.org/10.1016/S0031-9384(03)00162-8</v>
      </c>
      <c r="BG471" s="2" t="s">
        <v>74</v>
      </c>
      <c r="BH471" s="2" t="s">
        <v>74</v>
      </c>
      <c r="BI471" s="2" t="s">
        <v>74</v>
      </c>
      <c r="BJ471" s="2" t="s">
        <v>74</v>
      </c>
      <c r="BK471" s="2" t="s">
        <v>74</v>
      </c>
      <c r="BL471" s="2" t="s">
        <v>74</v>
      </c>
      <c r="BM471" s="2" t="s">
        <v>74</v>
      </c>
      <c r="BN471" s="2">
        <v>12954437</v>
      </c>
      <c r="BO471" s="2" t="s">
        <v>74</v>
      </c>
      <c r="BP471" s="2" t="s">
        <v>74</v>
      </c>
      <c r="BQ471" s="2" t="s">
        <v>74</v>
      </c>
      <c r="BR471" s="2" t="s">
        <v>74</v>
      </c>
      <c r="BS471" s="2" t="s">
        <v>6608</v>
      </c>
      <c r="BT471" s="2" t="str">
        <f>HYPERLINK("https%3A%2F%2Fwww.webofscience.com%2Fwos%2Fwoscc%2Ffull-record%2FWOS:000185291300010","View Full Record in Web of Science")</f>
        <v>View Full Record in Web of Science</v>
      </c>
    </row>
    <row r="472" spans="1:72" s="1" customFormat="1" x14ac:dyDescent="0.4">
      <c r="A472" s="2" t="s">
        <v>72</v>
      </c>
      <c r="B472" s="2" t="s">
        <v>5164</v>
      </c>
      <c r="C472" s="2" t="s">
        <v>74</v>
      </c>
      <c r="D472" s="2" t="s">
        <v>74</v>
      </c>
      <c r="E472" s="2" t="s">
        <v>74</v>
      </c>
      <c r="F472" s="2" t="s">
        <v>5164</v>
      </c>
      <c r="G472" s="2" t="s">
        <v>74</v>
      </c>
      <c r="H472" s="2" t="s">
        <v>74</v>
      </c>
      <c r="I472" s="2" t="s">
        <v>5165</v>
      </c>
      <c r="J472" s="2" t="s">
        <v>509</v>
      </c>
      <c r="K472" s="2" t="s">
        <v>74</v>
      </c>
      <c r="L472" s="2" t="s">
        <v>74</v>
      </c>
      <c r="M472" s="2" t="s">
        <v>74</v>
      </c>
      <c r="N472" s="2" t="s">
        <v>74</v>
      </c>
      <c r="O472" s="2" t="s">
        <v>74</v>
      </c>
      <c r="P472" s="2" t="s">
        <v>74</v>
      </c>
      <c r="Q472" s="2" t="s">
        <v>74</v>
      </c>
      <c r="R472" s="2" t="s">
        <v>74</v>
      </c>
      <c r="S472" s="2" t="s">
        <v>74</v>
      </c>
      <c r="T472" s="2" t="s">
        <v>74</v>
      </c>
      <c r="U472" s="2" t="s">
        <v>74</v>
      </c>
      <c r="V472" s="5" t="s">
        <v>5166</v>
      </c>
      <c r="W472" s="2" t="s">
        <v>74</v>
      </c>
      <c r="X472" s="2" t="s">
        <v>74</v>
      </c>
      <c r="Y472" s="2" t="s">
        <v>74</v>
      </c>
      <c r="Z472" s="2" t="s">
        <v>74</v>
      </c>
      <c r="AA472" s="2" t="s">
        <v>74</v>
      </c>
      <c r="AB472" s="2" t="s">
        <v>74</v>
      </c>
      <c r="AC472" s="2" t="s">
        <v>74</v>
      </c>
      <c r="AD472" s="2" t="s">
        <v>74</v>
      </c>
      <c r="AE472" s="2" t="s">
        <v>74</v>
      </c>
      <c r="AF472" s="2" t="s">
        <v>74</v>
      </c>
      <c r="AG472" s="2" t="s">
        <v>74</v>
      </c>
      <c r="AH472" s="2" t="s">
        <v>74</v>
      </c>
      <c r="AI472" s="2" t="s">
        <v>74</v>
      </c>
      <c r="AJ472" s="2" t="s">
        <v>74</v>
      </c>
      <c r="AK472" s="2" t="s">
        <v>74</v>
      </c>
      <c r="AL472" s="2" t="s">
        <v>74</v>
      </c>
      <c r="AM472" s="2" t="s">
        <v>74</v>
      </c>
      <c r="AN472" s="2" t="s">
        <v>74</v>
      </c>
      <c r="AO472" s="2" t="s">
        <v>511</v>
      </c>
      <c r="AP472" s="2" t="s">
        <v>512</v>
      </c>
      <c r="AQ472" s="2" t="s">
        <v>74</v>
      </c>
      <c r="AR472" s="2" t="s">
        <v>74</v>
      </c>
      <c r="AS472" s="2" t="s">
        <v>74</v>
      </c>
      <c r="AT472" s="2" t="s">
        <v>74</v>
      </c>
      <c r="AU472" s="2">
        <v>1984</v>
      </c>
      <c r="AV472" s="2">
        <v>18</v>
      </c>
      <c r="AW472" s="2">
        <v>1</v>
      </c>
      <c r="AX472" s="2" t="s">
        <v>74</v>
      </c>
      <c r="AY472" s="2" t="s">
        <v>74</v>
      </c>
      <c r="AZ472" s="2" t="s">
        <v>74</v>
      </c>
      <c r="BA472" s="2" t="s">
        <v>74</v>
      </c>
      <c r="BB472" s="2">
        <v>1</v>
      </c>
      <c r="BC472" s="2">
        <v>11</v>
      </c>
      <c r="BD472" s="2" t="s">
        <v>74</v>
      </c>
      <c r="BE472" s="2" t="s">
        <v>5167</v>
      </c>
      <c r="BF472" s="2" t="str">
        <f>HYPERLINK("http://dx.doi.org/10.1016/0018-506X(84)90045-X","http://dx.doi.org/10.1016/0018-506X(84)90045-X")</f>
        <v>http://dx.doi.org/10.1016/0018-506X(84)90045-X</v>
      </c>
      <c r="BG472" s="2" t="s">
        <v>74</v>
      </c>
      <c r="BH472" s="2" t="s">
        <v>74</v>
      </c>
      <c r="BI472" s="2" t="s">
        <v>74</v>
      </c>
      <c r="BJ472" s="2" t="s">
        <v>74</v>
      </c>
      <c r="BK472" s="2" t="s">
        <v>74</v>
      </c>
      <c r="BL472" s="2" t="s">
        <v>74</v>
      </c>
      <c r="BM472" s="2" t="s">
        <v>74</v>
      </c>
      <c r="BN472" s="2">
        <v>6706316</v>
      </c>
      <c r="BO472" s="2" t="s">
        <v>74</v>
      </c>
      <c r="BP472" s="2" t="s">
        <v>74</v>
      </c>
      <c r="BQ472" s="2" t="s">
        <v>74</v>
      </c>
      <c r="BR472" s="2" t="s">
        <v>74</v>
      </c>
      <c r="BS472" s="2" t="s">
        <v>5168</v>
      </c>
      <c r="BT472" s="2" t="str">
        <f>HYPERLINK("https%3A%2F%2Fwww.webofscience.com%2Fwos%2Fwoscc%2Ffull-record%2FWOS:A1984SG50600001","View Full Record in Web of Science")</f>
        <v>View Full Record in Web of Science</v>
      </c>
    </row>
    <row r="473" spans="1:72" s="2" customFormat="1" x14ac:dyDescent="0.4">
      <c r="A473" s="2" t="s">
        <v>72</v>
      </c>
      <c r="B473" s="2" t="s">
        <v>3660</v>
      </c>
      <c r="C473" s="2" t="s">
        <v>74</v>
      </c>
      <c r="D473" s="2" t="s">
        <v>74</v>
      </c>
      <c r="E473" s="2" t="s">
        <v>74</v>
      </c>
      <c r="F473" s="2" t="s">
        <v>3660</v>
      </c>
      <c r="G473" s="2" t="s">
        <v>74</v>
      </c>
      <c r="H473" s="2" t="s">
        <v>74</v>
      </c>
      <c r="I473" s="2" t="s">
        <v>3661</v>
      </c>
      <c r="J473" s="2" t="s">
        <v>475</v>
      </c>
      <c r="K473" s="2" t="s">
        <v>74</v>
      </c>
      <c r="L473" s="2" t="s">
        <v>74</v>
      </c>
      <c r="M473" s="2" t="s">
        <v>74</v>
      </c>
      <c r="N473" s="2" t="s">
        <v>74</v>
      </c>
      <c r="O473" s="2" t="s">
        <v>74</v>
      </c>
      <c r="P473" s="2" t="s">
        <v>74</v>
      </c>
      <c r="Q473" s="2" t="s">
        <v>74</v>
      </c>
      <c r="R473" s="2" t="s">
        <v>74</v>
      </c>
      <c r="S473" s="2" t="s">
        <v>74</v>
      </c>
      <c r="T473" s="2" t="s">
        <v>74</v>
      </c>
      <c r="U473" s="2" t="s">
        <v>74</v>
      </c>
      <c r="V473" s="5" t="s">
        <v>3662</v>
      </c>
      <c r="W473" s="2" t="s">
        <v>74</v>
      </c>
      <c r="X473" s="2" t="s">
        <v>74</v>
      </c>
      <c r="Y473" s="2" t="s">
        <v>74</v>
      </c>
      <c r="Z473" s="2" t="s">
        <v>74</v>
      </c>
      <c r="AA473" s="2" t="s">
        <v>74</v>
      </c>
      <c r="AB473" s="2" t="s">
        <v>74</v>
      </c>
      <c r="AC473" s="2" t="s">
        <v>74</v>
      </c>
      <c r="AD473" s="2" t="s">
        <v>74</v>
      </c>
      <c r="AE473" s="2" t="s">
        <v>74</v>
      </c>
      <c r="AF473" s="2" t="s">
        <v>74</v>
      </c>
      <c r="AG473" s="2" t="s">
        <v>74</v>
      </c>
      <c r="AH473" s="2" t="s">
        <v>74</v>
      </c>
      <c r="AI473" s="2" t="s">
        <v>74</v>
      </c>
      <c r="AJ473" s="2" t="s">
        <v>74</v>
      </c>
      <c r="AK473" s="2" t="s">
        <v>74</v>
      </c>
      <c r="AL473" s="2" t="s">
        <v>74</v>
      </c>
      <c r="AM473" s="2" t="s">
        <v>74</v>
      </c>
      <c r="AN473" s="2" t="s">
        <v>74</v>
      </c>
      <c r="AO473" s="2" t="s">
        <v>477</v>
      </c>
      <c r="AP473" s="2" t="s">
        <v>1089</v>
      </c>
      <c r="AQ473" s="2" t="s">
        <v>74</v>
      </c>
      <c r="AR473" s="2" t="s">
        <v>74</v>
      </c>
      <c r="AS473" s="2" t="s">
        <v>74</v>
      </c>
      <c r="AT473" s="2" t="s">
        <v>964</v>
      </c>
      <c r="AU473" s="2">
        <v>1990</v>
      </c>
      <c r="AV473" s="2">
        <v>77</v>
      </c>
      <c r="AW473" s="2">
        <v>2</v>
      </c>
      <c r="AX473" s="2" t="s">
        <v>74</v>
      </c>
      <c r="AY473" s="2" t="s">
        <v>74</v>
      </c>
      <c r="AZ473" s="2" t="s">
        <v>74</v>
      </c>
      <c r="BA473" s="2" t="s">
        <v>74</v>
      </c>
      <c r="BB473" s="2">
        <v>246</v>
      </c>
      <c r="BC473" s="2">
        <v>255</v>
      </c>
      <c r="BD473" s="2" t="s">
        <v>74</v>
      </c>
      <c r="BE473" s="2" t="s">
        <v>3663</v>
      </c>
      <c r="BF473" s="2" t="str">
        <f>HYPERLINK("http://dx.doi.org/10.1016/0016-6480(90)90309-A","http://dx.doi.org/10.1016/0016-6480(90)90309-A")</f>
        <v>http://dx.doi.org/10.1016/0016-6480(90)90309-A</v>
      </c>
      <c r="BG473" s="2" t="s">
        <v>74</v>
      </c>
      <c r="BH473" s="2" t="s">
        <v>74</v>
      </c>
      <c r="BI473" s="2" t="s">
        <v>74</v>
      </c>
      <c r="BJ473" s="2" t="s">
        <v>74</v>
      </c>
      <c r="BK473" s="2" t="s">
        <v>74</v>
      </c>
      <c r="BL473" s="2" t="s">
        <v>74</v>
      </c>
      <c r="BM473" s="2" t="s">
        <v>74</v>
      </c>
      <c r="BN473" s="2">
        <v>2307346</v>
      </c>
      <c r="BO473" s="2" t="s">
        <v>74</v>
      </c>
      <c r="BP473" s="2" t="s">
        <v>74</v>
      </c>
      <c r="BQ473" s="2" t="s">
        <v>74</v>
      </c>
      <c r="BR473" s="2" t="s">
        <v>74</v>
      </c>
      <c r="BS473" s="2" t="s">
        <v>3664</v>
      </c>
      <c r="BT473" s="2" t="str">
        <f>HYPERLINK("https%3A%2F%2Fwww.webofscience.com%2Fwos%2Fwoscc%2Ffull-record%2FWOS:A1990CN99400009","View Full Record in Web of Science")</f>
        <v>View Full Record in Web of Science</v>
      </c>
    </row>
    <row r="474" spans="1:72" s="2" customFormat="1" x14ac:dyDescent="0.4">
      <c r="A474" s="2" t="s">
        <v>72</v>
      </c>
      <c r="B474" s="2" t="s">
        <v>6913</v>
      </c>
      <c r="C474" s="2" t="s">
        <v>74</v>
      </c>
      <c r="D474" s="2" t="s">
        <v>74</v>
      </c>
      <c r="E474" s="2" t="s">
        <v>74</v>
      </c>
      <c r="F474" s="2" t="s">
        <v>6914</v>
      </c>
      <c r="G474" s="2" t="s">
        <v>74</v>
      </c>
      <c r="H474" s="2" t="s">
        <v>74</v>
      </c>
      <c r="I474" s="2" t="s">
        <v>6915</v>
      </c>
      <c r="J474" s="2" t="s">
        <v>171</v>
      </c>
      <c r="K474" s="2" t="s">
        <v>74</v>
      </c>
      <c r="L474" s="2" t="s">
        <v>74</v>
      </c>
      <c r="M474" s="2" t="s">
        <v>74</v>
      </c>
      <c r="N474" s="2" t="s">
        <v>74</v>
      </c>
      <c r="O474" s="2" t="s">
        <v>74</v>
      </c>
      <c r="P474" s="2" t="s">
        <v>74</v>
      </c>
      <c r="Q474" s="2" t="s">
        <v>74</v>
      </c>
      <c r="R474" s="2" t="s">
        <v>74</v>
      </c>
      <c r="S474" s="2" t="s">
        <v>74</v>
      </c>
      <c r="T474" s="2" t="s">
        <v>74</v>
      </c>
      <c r="U474" s="2" t="s">
        <v>74</v>
      </c>
      <c r="V474" s="5" t="s">
        <v>6916</v>
      </c>
      <c r="W474" s="2" t="s">
        <v>74</v>
      </c>
      <c r="X474" s="2" t="s">
        <v>74</v>
      </c>
      <c r="Y474" s="2" t="s">
        <v>74</v>
      </c>
      <c r="Z474" s="2" t="s">
        <v>74</v>
      </c>
      <c r="AA474" s="2" t="s">
        <v>4216</v>
      </c>
      <c r="AB474" s="2" t="s">
        <v>4217</v>
      </c>
      <c r="AC474" s="2" t="s">
        <v>74</v>
      </c>
      <c r="AD474" s="2" t="s">
        <v>74</v>
      </c>
      <c r="AE474" s="2" t="s">
        <v>74</v>
      </c>
      <c r="AF474" s="2" t="s">
        <v>74</v>
      </c>
      <c r="AG474" s="2" t="s">
        <v>74</v>
      </c>
      <c r="AH474" s="2" t="s">
        <v>74</v>
      </c>
      <c r="AI474" s="2" t="s">
        <v>74</v>
      </c>
      <c r="AJ474" s="2" t="s">
        <v>74</v>
      </c>
      <c r="AK474" s="2" t="s">
        <v>74</v>
      </c>
      <c r="AL474" s="2" t="s">
        <v>74</v>
      </c>
      <c r="AM474" s="2" t="s">
        <v>74</v>
      </c>
      <c r="AN474" s="2" t="s">
        <v>74</v>
      </c>
      <c r="AO474" s="2" t="s">
        <v>173</v>
      </c>
      <c r="AP474" s="2" t="s">
        <v>174</v>
      </c>
      <c r="AQ474" s="2" t="s">
        <v>74</v>
      </c>
      <c r="AR474" s="2" t="s">
        <v>74</v>
      </c>
      <c r="AS474" s="2" t="s">
        <v>74</v>
      </c>
      <c r="AT474" s="2" t="s">
        <v>175</v>
      </c>
      <c r="AU474" s="2">
        <v>2015</v>
      </c>
      <c r="AV474" s="2">
        <v>69</v>
      </c>
      <c r="AW474" s="2">
        <v>10</v>
      </c>
      <c r="AX474" s="2" t="s">
        <v>74</v>
      </c>
      <c r="AY474" s="2" t="s">
        <v>74</v>
      </c>
      <c r="AZ474" s="2" t="s">
        <v>74</v>
      </c>
      <c r="BA474" s="2" t="s">
        <v>74</v>
      </c>
      <c r="BB474" s="2">
        <v>2602</v>
      </c>
      <c r="BC474" s="2">
        <v>2612</v>
      </c>
      <c r="BD474" s="2" t="s">
        <v>74</v>
      </c>
      <c r="BE474" s="2" t="s">
        <v>6917</v>
      </c>
      <c r="BF474" s="2" t="str">
        <f>HYPERLINK("http://dx.doi.org/10.1111/evo.12756","http://dx.doi.org/10.1111/evo.12756")</f>
        <v>http://dx.doi.org/10.1111/evo.12756</v>
      </c>
      <c r="BG474" s="2" t="s">
        <v>74</v>
      </c>
      <c r="BH474" s="2" t="s">
        <v>74</v>
      </c>
      <c r="BI474" s="2" t="s">
        <v>74</v>
      </c>
      <c r="BJ474" s="2" t="s">
        <v>74</v>
      </c>
      <c r="BK474" s="2" t="s">
        <v>74</v>
      </c>
      <c r="BL474" s="2" t="s">
        <v>74</v>
      </c>
      <c r="BM474" s="2" t="s">
        <v>74</v>
      </c>
      <c r="BN474" s="2">
        <v>26292844</v>
      </c>
      <c r="BO474" s="2" t="s">
        <v>74</v>
      </c>
      <c r="BP474" s="2" t="s">
        <v>74</v>
      </c>
      <c r="BQ474" s="2" t="s">
        <v>74</v>
      </c>
      <c r="BR474" s="2" t="s">
        <v>74</v>
      </c>
      <c r="BS474" s="2" t="s">
        <v>6918</v>
      </c>
      <c r="BT474" s="2" t="str">
        <f>HYPERLINK("https%3A%2F%2Fwww.webofscience.com%2Fwos%2Fwoscc%2Ffull-record%2FWOS:000362970600006","View Full Record in Web of Science")</f>
        <v>View Full Record in Web of Science</v>
      </c>
    </row>
    <row r="475" spans="1:72" s="1" customFormat="1" x14ac:dyDescent="0.4">
      <c r="A475" s="2" t="s">
        <v>72</v>
      </c>
      <c r="B475" s="2" t="s">
        <v>6630</v>
      </c>
      <c r="C475" s="2" t="s">
        <v>74</v>
      </c>
      <c r="D475" s="2" t="s">
        <v>74</v>
      </c>
      <c r="E475" s="2" t="s">
        <v>74</v>
      </c>
      <c r="F475" s="2" t="s">
        <v>6631</v>
      </c>
      <c r="G475" s="2" t="s">
        <v>74</v>
      </c>
      <c r="H475" s="2" t="s">
        <v>74</v>
      </c>
      <c r="I475" s="2" t="s">
        <v>6632</v>
      </c>
      <c r="J475" s="2" t="s">
        <v>6633</v>
      </c>
      <c r="K475" s="2" t="s">
        <v>74</v>
      </c>
      <c r="L475" s="2" t="s">
        <v>74</v>
      </c>
      <c r="M475" s="2" t="s">
        <v>74</v>
      </c>
      <c r="N475" s="2" t="s">
        <v>74</v>
      </c>
      <c r="O475" s="2" t="s">
        <v>6634</v>
      </c>
      <c r="P475" s="2" t="s">
        <v>6635</v>
      </c>
      <c r="Q475" s="2" t="s">
        <v>6636</v>
      </c>
      <c r="R475" s="2" t="s">
        <v>6637</v>
      </c>
      <c r="S475" s="2" t="s">
        <v>74</v>
      </c>
      <c r="T475" s="2" t="s">
        <v>74</v>
      </c>
      <c r="U475" s="2" t="s">
        <v>74</v>
      </c>
      <c r="V475" s="5" t="s">
        <v>6638</v>
      </c>
      <c r="W475" s="2" t="s">
        <v>74</v>
      </c>
      <c r="X475" s="2" t="s">
        <v>74</v>
      </c>
      <c r="Y475" s="2" t="s">
        <v>74</v>
      </c>
      <c r="Z475" s="2" t="s">
        <v>74</v>
      </c>
      <c r="AA475" s="2" t="s">
        <v>74</v>
      </c>
      <c r="AB475" s="2" t="s">
        <v>624</v>
      </c>
      <c r="AC475" s="2" t="s">
        <v>74</v>
      </c>
      <c r="AD475" s="2" t="s">
        <v>74</v>
      </c>
      <c r="AE475" s="2" t="s">
        <v>74</v>
      </c>
      <c r="AF475" s="2" t="s">
        <v>74</v>
      </c>
      <c r="AG475" s="2" t="s">
        <v>74</v>
      </c>
      <c r="AH475" s="2" t="s">
        <v>74</v>
      </c>
      <c r="AI475" s="2" t="s">
        <v>74</v>
      </c>
      <c r="AJ475" s="2" t="s">
        <v>74</v>
      </c>
      <c r="AK475" s="2" t="s">
        <v>74</v>
      </c>
      <c r="AL475" s="2" t="s">
        <v>74</v>
      </c>
      <c r="AM475" s="2" t="s">
        <v>74</v>
      </c>
      <c r="AN475" s="2" t="s">
        <v>74</v>
      </c>
      <c r="AO475" s="2" t="s">
        <v>6639</v>
      </c>
      <c r="AP475" s="2" t="s">
        <v>6640</v>
      </c>
      <c r="AQ475" s="2" t="s">
        <v>74</v>
      </c>
      <c r="AR475" s="2" t="s">
        <v>74</v>
      </c>
      <c r="AS475" s="2" t="s">
        <v>74</v>
      </c>
      <c r="AT475" s="2" t="s">
        <v>213</v>
      </c>
      <c r="AU475" s="2">
        <v>2011</v>
      </c>
      <c r="AV475" s="2">
        <v>51</v>
      </c>
      <c r="AW475" s="2">
        <v>5</v>
      </c>
      <c r="AX475" s="2" t="s">
        <v>74</v>
      </c>
      <c r="AY475" s="2" t="s">
        <v>74</v>
      </c>
      <c r="AZ475" s="2" t="s">
        <v>74</v>
      </c>
      <c r="BA475" s="2" t="s">
        <v>74</v>
      </c>
      <c r="BB475" s="2">
        <v>807</v>
      </c>
      <c r="BC475" s="2">
        <v>818</v>
      </c>
      <c r="BD475" s="2" t="s">
        <v>74</v>
      </c>
      <c r="BE475" s="2" t="s">
        <v>6641</v>
      </c>
      <c r="BF475" s="2" t="str">
        <f>HYPERLINK("http://dx.doi.org/10.1093/icb/icr060","http://dx.doi.org/10.1093/icb/icr060")</f>
        <v>http://dx.doi.org/10.1093/icb/icr060</v>
      </c>
      <c r="BG475" s="2" t="s">
        <v>74</v>
      </c>
      <c r="BH475" s="2" t="s">
        <v>74</v>
      </c>
      <c r="BI475" s="2" t="s">
        <v>74</v>
      </c>
      <c r="BJ475" s="2" t="s">
        <v>74</v>
      </c>
      <c r="BK475" s="2" t="s">
        <v>74</v>
      </c>
      <c r="BL475" s="2" t="s">
        <v>74</v>
      </c>
      <c r="BM475" s="2" t="s">
        <v>74</v>
      </c>
      <c r="BN475" s="2">
        <v>21700572</v>
      </c>
      <c r="BO475" s="2" t="s">
        <v>74</v>
      </c>
      <c r="BP475" s="2" t="s">
        <v>74</v>
      </c>
      <c r="BQ475" s="2" t="s">
        <v>74</v>
      </c>
      <c r="BR475" s="2" t="s">
        <v>74</v>
      </c>
      <c r="BS475" s="2" t="s">
        <v>6642</v>
      </c>
      <c r="BT475" s="2" t="str">
        <f>HYPERLINK("https%3A%2F%2Fwww.webofscience.com%2Fwos%2Fwoscc%2Ffull-record%2FWOS:000296101600014","View Full Record in Web of Science")</f>
        <v>View Full Record in Web of Science</v>
      </c>
    </row>
    <row r="476" spans="1:72" s="2" customFormat="1" x14ac:dyDescent="0.4">
      <c r="A476" s="2" t="s">
        <v>72</v>
      </c>
      <c r="B476" s="2" t="s">
        <v>7804</v>
      </c>
      <c r="C476" s="2" t="s">
        <v>74</v>
      </c>
      <c r="D476" s="2" t="s">
        <v>74</v>
      </c>
      <c r="E476" s="2" t="s">
        <v>74</v>
      </c>
      <c r="F476" s="2" t="s">
        <v>7805</v>
      </c>
      <c r="G476" s="2" t="s">
        <v>74</v>
      </c>
      <c r="H476" s="2" t="s">
        <v>74</v>
      </c>
      <c r="I476" s="2" t="s">
        <v>7806</v>
      </c>
      <c r="J476" s="2" t="s">
        <v>333</v>
      </c>
      <c r="K476" s="2" t="s">
        <v>74</v>
      </c>
      <c r="L476" s="2" t="s">
        <v>74</v>
      </c>
      <c r="M476" s="2" t="s">
        <v>74</v>
      </c>
      <c r="N476" s="2" t="s">
        <v>74</v>
      </c>
      <c r="O476" s="2" t="s">
        <v>74</v>
      </c>
      <c r="P476" s="2" t="s">
        <v>74</v>
      </c>
      <c r="Q476" s="2" t="s">
        <v>74</v>
      </c>
      <c r="R476" s="2" t="s">
        <v>74</v>
      </c>
      <c r="S476" s="2" t="s">
        <v>74</v>
      </c>
      <c r="T476" s="2" t="s">
        <v>74</v>
      </c>
      <c r="U476" s="2" t="s">
        <v>74</v>
      </c>
      <c r="V476" s="5" t="s">
        <v>7807</v>
      </c>
      <c r="W476" s="2" t="s">
        <v>74</v>
      </c>
      <c r="X476" s="2" t="s">
        <v>74</v>
      </c>
      <c r="Y476" s="2" t="s">
        <v>74</v>
      </c>
      <c r="Z476" s="2" t="s">
        <v>74</v>
      </c>
      <c r="AA476" s="2" t="s">
        <v>7808</v>
      </c>
      <c r="AB476" s="2" t="s">
        <v>7809</v>
      </c>
      <c r="AC476" s="2" t="s">
        <v>74</v>
      </c>
      <c r="AD476" s="2" t="s">
        <v>74</v>
      </c>
      <c r="AE476" s="2" t="s">
        <v>74</v>
      </c>
      <c r="AF476" s="2" t="s">
        <v>74</v>
      </c>
      <c r="AG476" s="2" t="s">
        <v>74</v>
      </c>
      <c r="AH476" s="2" t="s">
        <v>74</v>
      </c>
      <c r="AI476" s="2" t="s">
        <v>74</v>
      </c>
      <c r="AJ476" s="2" t="s">
        <v>74</v>
      </c>
      <c r="AK476" s="2" t="s">
        <v>74</v>
      </c>
      <c r="AL476" s="2" t="s">
        <v>74</v>
      </c>
      <c r="AM476" s="2" t="s">
        <v>74</v>
      </c>
      <c r="AN476" s="2" t="s">
        <v>74</v>
      </c>
      <c r="AO476" s="2" t="s">
        <v>337</v>
      </c>
      <c r="AP476" s="2" t="s">
        <v>338</v>
      </c>
      <c r="AQ476" s="2" t="s">
        <v>74</v>
      </c>
      <c r="AR476" s="2" t="s">
        <v>74</v>
      </c>
      <c r="AS476" s="2" t="s">
        <v>74</v>
      </c>
      <c r="AT476" s="2" t="s">
        <v>1013</v>
      </c>
      <c r="AU476" s="2">
        <v>2009</v>
      </c>
      <c r="AV476" s="2">
        <v>20</v>
      </c>
      <c r="AW476" s="2">
        <v>5</v>
      </c>
      <c r="AX476" s="2" t="s">
        <v>74</v>
      </c>
      <c r="AY476" s="2" t="s">
        <v>74</v>
      </c>
      <c r="AZ476" s="2" t="s">
        <v>74</v>
      </c>
      <c r="BA476" s="2" t="s">
        <v>74</v>
      </c>
      <c r="BB476" s="2">
        <v>1072</v>
      </c>
      <c r="BC476" s="2">
        <v>1078</v>
      </c>
      <c r="BD476" s="2" t="s">
        <v>74</v>
      </c>
      <c r="BE476" s="2" t="s">
        <v>7810</v>
      </c>
      <c r="BF476" s="2" t="str">
        <f>HYPERLINK("http://dx.doi.org/10.1093/beheco/arp099","http://dx.doi.org/10.1093/beheco/arp099")</f>
        <v>http://dx.doi.org/10.1093/beheco/arp099</v>
      </c>
      <c r="BG476" s="2" t="s">
        <v>74</v>
      </c>
      <c r="BH476" s="2" t="s">
        <v>74</v>
      </c>
      <c r="BI476" s="2" t="s">
        <v>74</v>
      </c>
      <c r="BJ476" s="2" t="s">
        <v>74</v>
      </c>
      <c r="BK476" s="2" t="s">
        <v>74</v>
      </c>
      <c r="BL476" s="2" t="s">
        <v>74</v>
      </c>
      <c r="BM476" s="2" t="s">
        <v>74</v>
      </c>
      <c r="BN476" s="2" t="s">
        <v>74</v>
      </c>
      <c r="BO476" s="2" t="s">
        <v>74</v>
      </c>
      <c r="BP476" s="2" t="s">
        <v>74</v>
      </c>
      <c r="BQ476" s="2" t="s">
        <v>74</v>
      </c>
      <c r="BR476" s="2" t="s">
        <v>74</v>
      </c>
      <c r="BS476" s="2" t="s">
        <v>7811</v>
      </c>
      <c r="BT476" s="2" t="str">
        <f>HYPERLINK("https%3A%2F%2Fwww.webofscience.com%2Fwos%2Fwoscc%2Ffull-record%2FWOS:000269956400023","View Full Record in Web of Science")</f>
        <v>View Full Record in Web of Science</v>
      </c>
    </row>
    <row r="477" spans="1:72" s="2" customFormat="1" x14ac:dyDescent="0.4">
      <c r="A477" s="2" t="s">
        <v>72</v>
      </c>
      <c r="B477" s="2" t="s">
        <v>5032</v>
      </c>
      <c r="C477" s="2" t="s">
        <v>74</v>
      </c>
      <c r="D477" s="2" t="s">
        <v>74</v>
      </c>
      <c r="E477" s="2" t="s">
        <v>74</v>
      </c>
      <c r="F477" s="2" t="s">
        <v>5033</v>
      </c>
      <c r="G477" s="2" t="s">
        <v>74</v>
      </c>
      <c r="H477" s="2" t="s">
        <v>74</v>
      </c>
      <c r="I477" s="2" t="s">
        <v>5034</v>
      </c>
      <c r="J477" s="2" t="s">
        <v>1656</v>
      </c>
      <c r="K477" s="2" t="s">
        <v>74</v>
      </c>
      <c r="L477" s="2" t="s">
        <v>74</v>
      </c>
      <c r="M477" s="2" t="s">
        <v>74</v>
      </c>
      <c r="N477" s="2" t="s">
        <v>74</v>
      </c>
      <c r="O477" s="2" t="s">
        <v>74</v>
      </c>
      <c r="P477" s="2" t="s">
        <v>74</v>
      </c>
      <c r="Q477" s="2" t="s">
        <v>74</v>
      </c>
      <c r="R477" s="2" t="s">
        <v>74</v>
      </c>
      <c r="S477" s="2" t="s">
        <v>74</v>
      </c>
      <c r="T477" s="2" t="s">
        <v>74</v>
      </c>
      <c r="U477" s="2" t="s">
        <v>74</v>
      </c>
      <c r="V477" s="5" t="s">
        <v>5035</v>
      </c>
      <c r="W477" s="2" t="s">
        <v>74</v>
      </c>
      <c r="X477" s="2" t="s">
        <v>74</v>
      </c>
      <c r="Y477" s="2" t="s">
        <v>74</v>
      </c>
      <c r="Z477" s="2" t="s">
        <v>74</v>
      </c>
      <c r="AA477" s="2" t="s">
        <v>74</v>
      </c>
      <c r="AB477" s="2" t="s">
        <v>74</v>
      </c>
      <c r="AC477" s="2" t="s">
        <v>74</v>
      </c>
      <c r="AD477" s="2" t="s">
        <v>74</v>
      </c>
      <c r="AE477" s="2" t="s">
        <v>74</v>
      </c>
      <c r="AF477" s="2" t="s">
        <v>74</v>
      </c>
      <c r="AG477" s="2" t="s">
        <v>74</v>
      </c>
      <c r="AH477" s="2" t="s">
        <v>74</v>
      </c>
      <c r="AI477" s="2" t="s">
        <v>74</v>
      </c>
      <c r="AJ477" s="2" t="s">
        <v>74</v>
      </c>
      <c r="AK477" s="2" t="s">
        <v>74</v>
      </c>
      <c r="AL477" s="2" t="s">
        <v>74</v>
      </c>
      <c r="AM477" s="2" t="s">
        <v>74</v>
      </c>
      <c r="AN477" s="2" t="s">
        <v>74</v>
      </c>
      <c r="AO477" s="2" t="s">
        <v>1658</v>
      </c>
      <c r="AP477" s="2" t="s">
        <v>1659</v>
      </c>
      <c r="AQ477" s="2" t="s">
        <v>74</v>
      </c>
      <c r="AR477" s="2" t="s">
        <v>74</v>
      </c>
      <c r="AS477" s="2" t="s">
        <v>74</v>
      </c>
      <c r="AT477" s="2" t="s">
        <v>5036</v>
      </c>
      <c r="AU477" s="2">
        <v>2006</v>
      </c>
      <c r="AV477" s="2" t="s">
        <v>74</v>
      </c>
      <c r="AW477" s="2">
        <v>1327</v>
      </c>
      <c r="AX477" s="2" t="s">
        <v>74</v>
      </c>
      <c r="AY477" s="2" t="s">
        <v>74</v>
      </c>
      <c r="AZ477" s="2" t="s">
        <v>74</v>
      </c>
      <c r="BA477" s="2" t="s">
        <v>74</v>
      </c>
      <c r="BB477" s="2">
        <v>1</v>
      </c>
      <c r="BC477" s="2">
        <v>21</v>
      </c>
      <c r="BD477" s="2" t="s">
        <v>74</v>
      </c>
      <c r="BE477" s="2" t="s">
        <v>74</v>
      </c>
      <c r="BF477" s="2" t="s">
        <v>74</v>
      </c>
      <c r="BG477" s="2" t="s">
        <v>74</v>
      </c>
      <c r="BH477" s="2" t="s">
        <v>74</v>
      </c>
      <c r="BI477" s="2" t="s">
        <v>74</v>
      </c>
      <c r="BJ477" s="2" t="s">
        <v>74</v>
      </c>
      <c r="BK477" s="2" t="s">
        <v>74</v>
      </c>
      <c r="BL477" s="2" t="s">
        <v>74</v>
      </c>
      <c r="BM477" s="2" t="s">
        <v>74</v>
      </c>
      <c r="BN477" s="2" t="s">
        <v>74</v>
      </c>
      <c r="BO477" s="2" t="s">
        <v>74</v>
      </c>
      <c r="BP477" s="2" t="s">
        <v>74</v>
      </c>
      <c r="BQ477" s="2" t="s">
        <v>74</v>
      </c>
      <c r="BR477" s="2" t="s">
        <v>74</v>
      </c>
      <c r="BS477" s="2" t="s">
        <v>5037</v>
      </c>
      <c r="BT477" s="2" t="str">
        <f>HYPERLINK("https%3A%2F%2Fwww.webofscience.com%2Fwos%2Fwoscc%2Ffull-record%2FWOS:000240866100001","View Full Record in Web of Science")</f>
        <v>View Full Record in Web of Science</v>
      </c>
    </row>
    <row r="478" spans="1:72" s="2" customFormat="1" x14ac:dyDescent="0.4">
      <c r="A478" s="2" t="s">
        <v>72</v>
      </c>
      <c r="B478" s="2" t="s">
        <v>5322</v>
      </c>
      <c r="C478" s="2" t="s">
        <v>74</v>
      </c>
      <c r="D478" s="2" t="s">
        <v>74</v>
      </c>
      <c r="E478" s="2" t="s">
        <v>74</v>
      </c>
      <c r="F478" s="2" t="s">
        <v>5323</v>
      </c>
      <c r="G478" s="2" t="s">
        <v>74</v>
      </c>
      <c r="H478" s="2" t="s">
        <v>74</v>
      </c>
      <c r="I478" s="2" t="s">
        <v>5324</v>
      </c>
      <c r="J478" s="2" t="s">
        <v>1656</v>
      </c>
      <c r="K478" s="2" t="s">
        <v>74</v>
      </c>
      <c r="L478" s="2" t="s">
        <v>74</v>
      </c>
      <c r="M478" s="2" t="s">
        <v>74</v>
      </c>
      <c r="N478" s="2" t="s">
        <v>74</v>
      </c>
      <c r="O478" s="2" t="s">
        <v>74</v>
      </c>
      <c r="P478" s="2" t="s">
        <v>74</v>
      </c>
      <c r="Q478" s="2" t="s">
        <v>74</v>
      </c>
      <c r="R478" s="2" t="s">
        <v>74</v>
      </c>
      <c r="S478" s="2" t="s">
        <v>74</v>
      </c>
      <c r="T478" s="2" t="s">
        <v>74</v>
      </c>
      <c r="U478" s="2" t="s">
        <v>74</v>
      </c>
      <c r="V478" s="5" t="s">
        <v>5325</v>
      </c>
      <c r="W478" s="2" t="s">
        <v>74</v>
      </c>
      <c r="X478" s="2" t="s">
        <v>74</v>
      </c>
      <c r="Y478" s="2" t="s">
        <v>74</v>
      </c>
      <c r="Z478" s="2" t="s">
        <v>74</v>
      </c>
      <c r="AA478" s="2" t="s">
        <v>5326</v>
      </c>
      <c r="AB478" s="2" t="s">
        <v>5327</v>
      </c>
      <c r="AC478" s="2" t="s">
        <v>74</v>
      </c>
      <c r="AD478" s="2" t="s">
        <v>74</v>
      </c>
      <c r="AE478" s="2" t="s">
        <v>74</v>
      </c>
      <c r="AF478" s="2" t="s">
        <v>74</v>
      </c>
      <c r="AG478" s="2" t="s">
        <v>74</v>
      </c>
      <c r="AH478" s="2" t="s">
        <v>74</v>
      </c>
      <c r="AI478" s="2" t="s">
        <v>74</v>
      </c>
      <c r="AJ478" s="2" t="s">
        <v>74</v>
      </c>
      <c r="AK478" s="2" t="s">
        <v>74</v>
      </c>
      <c r="AL478" s="2" t="s">
        <v>74</v>
      </c>
      <c r="AM478" s="2" t="s">
        <v>74</v>
      </c>
      <c r="AN478" s="2" t="s">
        <v>74</v>
      </c>
      <c r="AO478" s="2" t="s">
        <v>1658</v>
      </c>
      <c r="AP478" s="2" t="s">
        <v>1659</v>
      </c>
      <c r="AQ478" s="2" t="s">
        <v>74</v>
      </c>
      <c r="AR478" s="2" t="s">
        <v>74</v>
      </c>
      <c r="AS478" s="2" t="s">
        <v>74</v>
      </c>
      <c r="AT478" s="2" t="s">
        <v>5328</v>
      </c>
      <c r="AU478" s="2">
        <v>2016</v>
      </c>
      <c r="AV478" s="2">
        <v>4105</v>
      </c>
      <c r="AW478" s="2">
        <v>5</v>
      </c>
      <c r="AX478" s="2" t="s">
        <v>74</v>
      </c>
      <c r="AY478" s="2" t="s">
        <v>74</v>
      </c>
      <c r="AZ478" s="2" t="s">
        <v>74</v>
      </c>
      <c r="BA478" s="2" t="s">
        <v>74</v>
      </c>
      <c r="BB478" s="2">
        <v>401</v>
      </c>
      <c r="BC478" s="2">
        <v>429</v>
      </c>
      <c r="BD478" s="2" t="s">
        <v>74</v>
      </c>
      <c r="BE478" s="2" t="s">
        <v>5329</v>
      </c>
      <c r="BF478" s="2" t="str">
        <f>HYPERLINK("http://dx.doi.org/10.11646/zootaxa.4105.5.1","http://dx.doi.org/10.11646/zootaxa.4105.5.1")</f>
        <v>http://dx.doi.org/10.11646/zootaxa.4105.5.1</v>
      </c>
      <c r="BG478" s="2" t="s">
        <v>74</v>
      </c>
      <c r="BH478" s="2" t="s">
        <v>74</v>
      </c>
      <c r="BI478" s="2" t="s">
        <v>74</v>
      </c>
      <c r="BJ478" s="2" t="s">
        <v>74</v>
      </c>
      <c r="BK478" s="2" t="s">
        <v>74</v>
      </c>
      <c r="BL478" s="2" t="s">
        <v>74</v>
      </c>
      <c r="BM478" s="2" t="s">
        <v>74</v>
      </c>
      <c r="BN478" s="2">
        <v>27394789</v>
      </c>
      <c r="BO478" s="2" t="s">
        <v>74</v>
      </c>
      <c r="BP478" s="2" t="s">
        <v>74</v>
      </c>
      <c r="BQ478" s="2" t="s">
        <v>74</v>
      </c>
      <c r="BR478" s="2" t="s">
        <v>74</v>
      </c>
      <c r="BS478" s="2" t="s">
        <v>5330</v>
      </c>
      <c r="BT478" s="2" t="str">
        <f>HYPERLINK("https%3A%2F%2Fwww.webofscience.com%2Fwos%2Fwoscc%2Ffull-record%2FWOS:000375273900001","View Full Record in Web of Science")</f>
        <v>View Full Record in Web of Science</v>
      </c>
    </row>
    <row r="479" spans="1:72" s="2" customFormat="1" x14ac:dyDescent="0.4">
      <c r="A479" s="2" t="s">
        <v>72</v>
      </c>
      <c r="B479" s="2" t="s">
        <v>7754</v>
      </c>
      <c r="C479" s="2" t="s">
        <v>74</v>
      </c>
      <c r="D479" s="2" t="s">
        <v>74</v>
      </c>
      <c r="E479" s="2" t="s">
        <v>74</v>
      </c>
      <c r="F479" s="2" t="s">
        <v>7755</v>
      </c>
      <c r="G479" s="2" t="s">
        <v>74</v>
      </c>
      <c r="H479" s="2" t="s">
        <v>74</v>
      </c>
      <c r="I479" s="2" t="s">
        <v>7756</v>
      </c>
      <c r="J479" s="2" t="s">
        <v>1574</v>
      </c>
      <c r="K479" s="2" t="s">
        <v>74</v>
      </c>
      <c r="L479" s="2" t="s">
        <v>74</v>
      </c>
      <c r="M479" s="2" t="s">
        <v>74</v>
      </c>
      <c r="N479" s="2" t="s">
        <v>74</v>
      </c>
      <c r="O479" s="2" t="s">
        <v>74</v>
      </c>
      <c r="P479" s="2" t="s">
        <v>74</v>
      </c>
      <c r="Q479" s="2" t="s">
        <v>74</v>
      </c>
      <c r="R479" s="2" t="s">
        <v>74</v>
      </c>
      <c r="S479" s="2" t="s">
        <v>74</v>
      </c>
      <c r="T479" s="2" t="s">
        <v>74</v>
      </c>
      <c r="U479" s="2" t="s">
        <v>74</v>
      </c>
      <c r="V479" s="5" t="s">
        <v>7757</v>
      </c>
      <c r="W479" s="2" t="s">
        <v>74</v>
      </c>
      <c r="X479" s="2" t="s">
        <v>74</v>
      </c>
      <c r="Y479" s="2" t="s">
        <v>74</v>
      </c>
      <c r="Z479" s="2" t="s">
        <v>74</v>
      </c>
      <c r="AA479" s="2" t="s">
        <v>74</v>
      </c>
      <c r="AB479" s="2" t="s">
        <v>7758</v>
      </c>
      <c r="AC479" s="2" t="s">
        <v>74</v>
      </c>
      <c r="AD479" s="2" t="s">
        <v>74</v>
      </c>
      <c r="AE479" s="2" t="s">
        <v>74</v>
      </c>
      <c r="AF479" s="2" t="s">
        <v>74</v>
      </c>
      <c r="AG479" s="2" t="s">
        <v>74</v>
      </c>
      <c r="AH479" s="2" t="s">
        <v>74</v>
      </c>
      <c r="AI479" s="2" t="s">
        <v>74</v>
      </c>
      <c r="AJ479" s="2" t="s">
        <v>74</v>
      </c>
      <c r="AK479" s="2" t="s">
        <v>74</v>
      </c>
      <c r="AL479" s="2" t="s">
        <v>74</v>
      </c>
      <c r="AM479" s="2" t="s">
        <v>74</v>
      </c>
      <c r="AN479" s="2" t="s">
        <v>74</v>
      </c>
      <c r="AO479" s="2" t="s">
        <v>1576</v>
      </c>
      <c r="AP479" s="2" t="s">
        <v>1577</v>
      </c>
      <c r="AQ479" s="2" t="s">
        <v>74</v>
      </c>
      <c r="AR479" s="2" t="s">
        <v>74</v>
      </c>
      <c r="AS479" s="2" t="s">
        <v>74</v>
      </c>
      <c r="AT479" s="2" t="s">
        <v>74</v>
      </c>
      <c r="AU479" s="2">
        <v>2008</v>
      </c>
      <c r="AV479" s="2">
        <v>71</v>
      </c>
      <c r="AW479" s="2">
        <v>1</v>
      </c>
      <c r="AX479" s="2" t="s">
        <v>74</v>
      </c>
      <c r="AY479" s="2" t="s">
        <v>74</v>
      </c>
      <c r="AZ479" s="2" t="s">
        <v>74</v>
      </c>
      <c r="BA479" s="2" t="s">
        <v>74</v>
      </c>
      <c r="BB479" s="2">
        <v>1</v>
      </c>
      <c r="BC479" s="2">
        <v>14</v>
      </c>
      <c r="BD479" s="2" t="s">
        <v>74</v>
      </c>
      <c r="BE479" s="2" t="s">
        <v>7759</v>
      </c>
      <c r="BF479" s="2" t="str">
        <f>HYPERLINK("http://dx.doi.org/10.1159/000108607","http://dx.doi.org/10.1159/000108607")</f>
        <v>http://dx.doi.org/10.1159/000108607</v>
      </c>
      <c r="BG479" s="2" t="s">
        <v>74</v>
      </c>
      <c r="BH479" s="2" t="s">
        <v>74</v>
      </c>
      <c r="BI479" s="2" t="s">
        <v>74</v>
      </c>
      <c r="BJ479" s="2" t="s">
        <v>74</v>
      </c>
      <c r="BK479" s="2" t="s">
        <v>74</v>
      </c>
      <c r="BL479" s="2" t="s">
        <v>74</v>
      </c>
      <c r="BM479" s="2" t="s">
        <v>74</v>
      </c>
      <c r="BN479" s="2">
        <v>17878714</v>
      </c>
      <c r="BO479" s="2" t="s">
        <v>74</v>
      </c>
      <c r="BP479" s="2" t="s">
        <v>74</v>
      </c>
      <c r="BQ479" s="2" t="s">
        <v>74</v>
      </c>
      <c r="BR479" s="2" t="s">
        <v>74</v>
      </c>
      <c r="BS479" s="2" t="s">
        <v>7760</v>
      </c>
      <c r="BT479" s="2" t="str">
        <f>HYPERLINK("https%3A%2F%2Fwww.webofscience.com%2Fwos%2Fwoscc%2Ffull-record%2FWOS:000251137800001","View Full Record in Web of Science")</f>
        <v>View Full Record in Web of Science</v>
      </c>
    </row>
    <row r="480" spans="1:72" s="2" customFormat="1" x14ac:dyDescent="0.4">
      <c r="A480" s="2" t="s">
        <v>72</v>
      </c>
      <c r="B480" s="2" t="s">
        <v>3791</v>
      </c>
      <c r="C480" s="2" t="s">
        <v>74</v>
      </c>
      <c r="D480" s="2" t="s">
        <v>74</v>
      </c>
      <c r="E480" s="2" t="s">
        <v>74</v>
      </c>
      <c r="F480" s="2" t="s">
        <v>3792</v>
      </c>
      <c r="G480" s="2" t="s">
        <v>74</v>
      </c>
      <c r="H480" s="2" t="s">
        <v>74</v>
      </c>
      <c r="I480" s="2" t="s">
        <v>3793</v>
      </c>
      <c r="J480" s="2" t="s">
        <v>1755</v>
      </c>
      <c r="K480" s="2" t="s">
        <v>74</v>
      </c>
      <c r="L480" s="2" t="s">
        <v>74</v>
      </c>
      <c r="M480" s="2" t="s">
        <v>74</v>
      </c>
      <c r="N480" s="2" t="s">
        <v>74</v>
      </c>
      <c r="O480" s="2" t="s">
        <v>74</v>
      </c>
      <c r="P480" s="2" t="s">
        <v>74</v>
      </c>
      <c r="Q480" s="2" t="s">
        <v>74</v>
      </c>
      <c r="R480" s="2" t="s">
        <v>74</v>
      </c>
      <c r="S480" s="2" t="s">
        <v>74</v>
      </c>
      <c r="T480" s="2" t="s">
        <v>74</v>
      </c>
      <c r="U480" s="2" t="s">
        <v>74</v>
      </c>
      <c r="V480" s="5" t="s">
        <v>3794</v>
      </c>
      <c r="W480" s="2" t="s">
        <v>74</v>
      </c>
      <c r="X480" s="2" t="s">
        <v>74</v>
      </c>
      <c r="Y480" s="2" t="s">
        <v>74</v>
      </c>
      <c r="Z480" s="2" t="s">
        <v>74</v>
      </c>
      <c r="AA480" s="2" t="s">
        <v>3795</v>
      </c>
      <c r="AB480" s="2" t="s">
        <v>3796</v>
      </c>
      <c r="AC480" s="2" t="s">
        <v>74</v>
      </c>
      <c r="AD480" s="2" t="s">
        <v>74</v>
      </c>
      <c r="AE480" s="2" t="s">
        <v>74</v>
      </c>
      <c r="AF480" s="2" t="s">
        <v>74</v>
      </c>
      <c r="AG480" s="2" t="s">
        <v>74</v>
      </c>
      <c r="AH480" s="2" t="s">
        <v>74</v>
      </c>
      <c r="AI480" s="2" t="s">
        <v>74</v>
      </c>
      <c r="AJ480" s="2" t="s">
        <v>74</v>
      </c>
      <c r="AK480" s="2" t="s">
        <v>74</v>
      </c>
      <c r="AL480" s="2" t="s">
        <v>74</v>
      </c>
      <c r="AM480" s="2" t="s">
        <v>74</v>
      </c>
      <c r="AN480" s="2" t="s">
        <v>74</v>
      </c>
      <c r="AO480" s="2" t="s">
        <v>1759</v>
      </c>
      <c r="AP480" s="2" t="s">
        <v>1760</v>
      </c>
      <c r="AQ480" s="2" t="s">
        <v>74</v>
      </c>
      <c r="AR480" s="2" t="s">
        <v>74</v>
      </c>
      <c r="AS480" s="2" t="s">
        <v>74</v>
      </c>
      <c r="AT480" s="2" t="s">
        <v>255</v>
      </c>
      <c r="AU480" s="2">
        <v>2014</v>
      </c>
      <c r="AV480" s="2">
        <v>27</v>
      </c>
      <c r="AW480" s="2">
        <v>1</v>
      </c>
      <c r="AX480" s="2" t="s">
        <v>74</v>
      </c>
      <c r="AY480" s="2" t="s">
        <v>74</v>
      </c>
      <c r="AZ480" s="2" t="s">
        <v>74</v>
      </c>
      <c r="BA480" s="2" t="s">
        <v>74</v>
      </c>
      <c r="BB480" s="2">
        <v>67</v>
      </c>
      <c r="BC480" s="2">
        <v>80</v>
      </c>
      <c r="BD480" s="2" t="s">
        <v>74</v>
      </c>
      <c r="BE480" s="2" t="s">
        <v>3797</v>
      </c>
      <c r="BF480" s="2" t="str">
        <f>HYPERLINK("http://dx.doi.org/10.1007/s10905-013-9406-4","http://dx.doi.org/10.1007/s10905-013-9406-4")</f>
        <v>http://dx.doi.org/10.1007/s10905-013-9406-4</v>
      </c>
      <c r="BG480" s="2" t="s">
        <v>74</v>
      </c>
      <c r="BH480" s="2" t="s">
        <v>74</v>
      </c>
      <c r="BI480" s="2" t="s">
        <v>74</v>
      </c>
      <c r="BJ480" s="2" t="s">
        <v>74</v>
      </c>
      <c r="BK480" s="2" t="s">
        <v>74</v>
      </c>
      <c r="BL480" s="2" t="s">
        <v>74</v>
      </c>
      <c r="BM480" s="2" t="s">
        <v>74</v>
      </c>
      <c r="BN480" s="2" t="s">
        <v>74</v>
      </c>
      <c r="BO480" s="2" t="s">
        <v>74</v>
      </c>
      <c r="BP480" s="2" t="s">
        <v>74</v>
      </c>
      <c r="BQ480" s="2" t="s">
        <v>74</v>
      </c>
      <c r="BR480" s="2" t="s">
        <v>74</v>
      </c>
      <c r="BS480" s="2" t="s">
        <v>3798</v>
      </c>
      <c r="BT480" s="2" t="str">
        <f>HYPERLINK("https%3A%2F%2Fwww.webofscience.com%2Fwos%2Fwoscc%2Ffull-record%2FWOS:000329237700006","View Full Record in Web of Science")</f>
        <v>View Full Record in Web of Science</v>
      </c>
    </row>
    <row r="481" spans="1:72" s="2" customFormat="1" x14ac:dyDescent="0.4">
      <c r="A481" s="2" t="s">
        <v>72</v>
      </c>
      <c r="B481" s="2" t="s">
        <v>3390</v>
      </c>
      <c r="C481" s="2" t="s">
        <v>74</v>
      </c>
      <c r="D481" s="2" t="s">
        <v>74</v>
      </c>
      <c r="E481" s="2" t="s">
        <v>74</v>
      </c>
      <c r="F481" s="2" t="s">
        <v>3391</v>
      </c>
      <c r="G481" s="2" t="s">
        <v>74</v>
      </c>
      <c r="H481" s="2" t="s">
        <v>74</v>
      </c>
      <c r="I481" s="2" t="s">
        <v>3392</v>
      </c>
      <c r="J481" s="2" t="s">
        <v>119</v>
      </c>
      <c r="K481" s="2" t="s">
        <v>74</v>
      </c>
      <c r="L481" s="2" t="s">
        <v>74</v>
      </c>
      <c r="M481" s="2" t="s">
        <v>74</v>
      </c>
      <c r="N481" s="2" t="s">
        <v>74</v>
      </c>
      <c r="O481" s="2" t="s">
        <v>74</v>
      </c>
      <c r="P481" s="2" t="s">
        <v>74</v>
      </c>
      <c r="Q481" s="2" t="s">
        <v>74</v>
      </c>
      <c r="R481" s="2" t="s">
        <v>74</v>
      </c>
      <c r="S481" s="2" t="s">
        <v>74</v>
      </c>
      <c r="T481" s="2" t="s">
        <v>74</v>
      </c>
      <c r="U481" s="2" t="s">
        <v>74</v>
      </c>
      <c r="V481" s="5" t="s">
        <v>3393</v>
      </c>
      <c r="W481" s="2" t="s">
        <v>74</v>
      </c>
      <c r="X481" s="2" t="s">
        <v>74</v>
      </c>
      <c r="Y481" s="2" t="s">
        <v>74</v>
      </c>
      <c r="Z481" s="2" t="s">
        <v>74</v>
      </c>
      <c r="AA481" s="2" t="s">
        <v>2838</v>
      </c>
      <c r="AB481" s="2" t="s">
        <v>3394</v>
      </c>
      <c r="AC481" s="2" t="s">
        <v>74</v>
      </c>
      <c r="AD481" s="2" t="s">
        <v>74</v>
      </c>
      <c r="AE481" s="2" t="s">
        <v>74</v>
      </c>
      <c r="AF481" s="2" t="s">
        <v>74</v>
      </c>
      <c r="AG481" s="2" t="s">
        <v>74</v>
      </c>
      <c r="AH481" s="2" t="s">
        <v>74</v>
      </c>
      <c r="AI481" s="2" t="s">
        <v>74</v>
      </c>
      <c r="AJ481" s="2" t="s">
        <v>74</v>
      </c>
      <c r="AK481" s="2" t="s">
        <v>74</v>
      </c>
      <c r="AL481" s="2" t="s">
        <v>74</v>
      </c>
      <c r="AM481" s="2" t="s">
        <v>74</v>
      </c>
      <c r="AN481" s="2" t="s">
        <v>74</v>
      </c>
      <c r="AO481" s="2" t="s">
        <v>121</v>
      </c>
      <c r="AP481" s="2" t="s">
        <v>122</v>
      </c>
      <c r="AQ481" s="2" t="s">
        <v>74</v>
      </c>
      <c r="AR481" s="2" t="s">
        <v>74</v>
      </c>
      <c r="AS481" s="2" t="s">
        <v>74</v>
      </c>
      <c r="AT481" s="2" t="s">
        <v>213</v>
      </c>
      <c r="AU481" s="2">
        <v>2014</v>
      </c>
      <c r="AV481" s="2">
        <v>109</v>
      </c>
      <c r="AW481" s="2" t="s">
        <v>74</v>
      </c>
      <c r="AX481" s="2" t="s">
        <v>3395</v>
      </c>
      <c r="AY481" s="2" t="s">
        <v>74</v>
      </c>
      <c r="AZ481" s="2" t="s">
        <v>848</v>
      </c>
      <c r="BA481" s="2" t="s">
        <v>74</v>
      </c>
      <c r="BB481" s="2">
        <v>145</v>
      </c>
      <c r="BC481" s="2">
        <v>150</v>
      </c>
      <c r="BD481" s="2" t="s">
        <v>74</v>
      </c>
      <c r="BE481" s="2" t="s">
        <v>3396</v>
      </c>
      <c r="BF481" s="2" t="str">
        <f>HYPERLINK("http://dx.doi.org/10.1016/j.beproc.2014.04.013","http://dx.doi.org/10.1016/j.beproc.2014.04.013")</f>
        <v>http://dx.doi.org/10.1016/j.beproc.2014.04.013</v>
      </c>
      <c r="BG481" s="2" t="s">
        <v>74</v>
      </c>
      <c r="BH481" s="2" t="s">
        <v>74</v>
      </c>
      <c r="BI481" s="2" t="s">
        <v>74</v>
      </c>
      <c r="BJ481" s="2" t="s">
        <v>74</v>
      </c>
      <c r="BK481" s="2" t="s">
        <v>74</v>
      </c>
      <c r="BL481" s="2" t="s">
        <v>74</v>
      </c>
      <c r="BM481" s="2" t="s">
        <v>74</v>
      </c>
      <c r="BN481" s="2">
        <v>24797456</v>
      </c>
      <c r="BO481" s="2" t="s">
        <v>74</v>
      </c>
      <c r="BP481" s="2" t="s">
        <v>74</v>
      </c>
      <c r="BQ481" s="2" t="s">
        <v>74</v>
      </c>
      <c r="BR481" s="2" t="s">
        <v>74</v>
      </c>
      <c r="BS481" s="2" t="s">
        <v>3397</v>
      </c>
      <c r="BT481" s="2" t="str">
        <f>HYPERLINK("https%3A%2F%2Fwww.webofscience.com%2Fwos%2Fwoscc%2Ffull-record%2FWOS:000347742900006","View Full Record in Web of Science")</f>
        <v>View Full Record in Web of Science</v>
      </c>
    </row>
    <row r="482" spans="1:72" s="2" customFormat="1" x14ac:dyDescent="0.4">
      <c r="A482" s="2" t="s">
        <v>72</v>
      </c>
      <c r="B482" s="2" t="s">
        <v>5870</v>
      </c>
      <c r="C482" s="2" t="s">
        <v>74</v>
      </c>
      <c r="D482" s="2" t="s">
        <v>74</v>
      </c>
      <c r="E482" s="2" t="s">
        <v>74</v>
      </c>
      <c r="F482" s="2" t="s">
        <v>5871</v>
      </c>
      <c r="G482" s="2" t="s">
        <v>74</v>
      </c>
      <c r="H482" s="2" t="s">
        <v>74</v>
      </c>
      <c r="I482" s="2" t="s">
        <v>5872</v>
      </c>
      <c r="J482" s="2" t="s">
        <v>108</v>
      </c>
      <c r="K482" s="2" t="s">
        <v>74</v>
      </c>
      <c r="L482" s="2" t="s">
        <v>74</v>
      </c>
      <c r="M482" s="2" t="s">
        <v>74</v>
      </c>
      <c r="N482" s="2" t="s">
        <v>74</v>
      </c>
      <c r="O482" s="2" t="s">
        <v>74</v>
      </c>
      <c r="P482" s="2" t="s">
        <v>74</v>
      </c>
      <c r="Q482" s="2" t="s">
        <v>74</v>
      </c>
      <c r="R482" s="2" t="s">
        <v>74</v>
      </c>
      <c r="S482" s="2" t="s">
        <v>74</v>
      </c>
      <c r="T482" s="2" t="s">
        <v>74</v>
      </c>
      <c r="U482" s="2" t="s">
        <v>74</v>
      </c>
      <c r="V482" s="5" t="s">
        <v>5873</v>
      </c>
      <c r="W482" s="2" t="s">
        <v>74</v>
      </c>
      <c r="X482" s="2" t="s">
        <v>74</v>
      </c>
      <c r="Y482" s="2" t="s">
        <v>74</v>
      </c>
      <c r="Z482" s="2" t="s">
        <v>74</v>
      </c>
      <c r="AA482" s="2" t="s">
        <v>2838</v>
      </c>
      <c r="AB482" s="2" t="s">
        <v>5874</v>
      </c>
      <c r="AC482" s="2" t="s">
        <v>74</v>
      </c>
      <c r="AD482" s="2" t="s">
        <v>74</v>
      </c>
      <c r="AE482" s="2" t="s">
        <v>74</v>
      </c>
      <c r="AF482" s="2" t="s">
        <v>74</v>
      </c>
      <c r="AG482" s="2" t="s">
        <v>74</v>
      </c>
      <c r="AH482" s="2" t="s">
        <v>74</v>
      </c>
      <c r="AI482" s="2" t="s">
        <v>74</v>
      </c>
      <c r="AJ482" s="2" t="s">
        <v>74</v>
      </c>
      <c r="AK482" s="2" t="s">
        <v>74</v>
      </c>
      <c r="AL482" s="2" t="s">
        <v>74</v>
      </c>
      <c r="AM482" s="2" t="s">
        <v>74</v>
      </c>
      <c r="AN482" s="2" t="s">
        <v>74</v>
      </c>
      <c r="AO482" s="2" t="s">
        <v>111</v>
      </c>
      <c r="AP482" s="2" t="s">
        <v>112</v>
      </c>
      <c r="AQ482" s="2" t="s">
        <v>74</v>
      </c>
      <c r="AR482" s="2" t="s">
        <v>74</v>
      </c>
      <c r="AS482" s="2" t="s">
        <v>74</v>
      </c>
      <c r="AT482" s="2" t="s">
        <v>5875</v>
      </c>
      <c r="AU482" s="2">
        <v>2016</v>
      </c>
      <c r="AV482" s="2">
        <v>283</v>
      </c>
      <c r="AW482" s="2">
        <v>1827</v>
      </c>
      <c r="AX482" s="2" t="s">
        <v>74</v>
      </c>
      <c r="AY482" s="2" t="s">
        <v>74</v>
      </c>
      <c r="AZ482" s="2" t="s">
        <v>74</v>
      </c>
      <c r="BA482" s="2" t="s">
        <v>74</v>
      </c>
      <c r="BB482" s="2" t="s">
        <v>74</v>
      </c>
      <c r="BC482" s="2" t="s">
        <v>74</v>
      </c>
      <c r="BD482" s="2">
        <v>20152685</v>
      </c>
      <c r="BE482" s="2" t="s">
        <v>5876</v>
      </c>
      <c r="BF482" s="2" t="str">
        <f>HYPERLINK("http://dx.doi.org/10.1098/rspb.2015.2685","http://dx.doi.org/10.1098/rspb.2015.2685")</f>
        <v>http://dx.doi.org/10.1098/rspb.2015.2685</v>
      </c>
      <c r="BG482" s="2" t="s">
        <v>74</v>
      </c>
      <c r="BH482" s="2" t="s">
        <v>74</v>
      </c>
      <c r="BI482" s="2" t="s">
        <v>74</v>
      </c>
      <c r="BJ482" s="2" t="s">
        <v>74</v>
      </c>
      <c r="BK482" s="2" t="s">
        <v>74</v>
      </c>
      <c r="BL482" s="2" t="s">
        <v>74</v>
      </c>
      <c r="BM482" s="2" t="s">
        <v>74</v>
      </c>
      <c r="BN482" s="2">
        <v>27009230</v>
      </c>
      <c r="BO482" s="2" t="s">
        <v>74</v>
      </c>
      <c r="BP482" s="2" t="s">
        <v>74</v>
      </c>
      <c r="BQ482" s="2" t="s">
        <v>74</v>
      </c>
      <c r="BR482" s="2" t="s">
        <v>74</v>
      </c>
      <c r="BS482" s="2" t="s">
        <v>5877</v>
      </c>
      <c r="BT482" s="2" t="str">
        <f>HYPERLINK("https%3A%2F%2Fwww.webofscience.com%2Fwos%2Fwoscc%2Ffull-record%2FWOS:000375732500019","View Full Record in Web of Science")</f>
        <v>View Full Record in Web of Science</v>
      </c>
    </row>
    <row r="483" spans="1:72" s="2" customFormat="1" x14ac:dyDescent="0.4">
      <c r="A483" s="2" t="s">
        <v>72</v>
      </c>
      <c r="B483" s="2" t="s">
        <v>6883</v>
      </c>
      <c r="C483" s="2" t="s">
        <v>74</v>
      </c>
      <c r="D483" s="2" t="s">
        <v>74</v>
      </c>
      <c r="E483" s="2" t="s">
        <v>74</v>
      </c>
      <c r="F483" s="2" t="s">
        <v>6883</v>
      </c>
      <c r="G483" s="2" t="s">
        <v>74</v>
      </c>
      <c r="H483" s="2" t="s">
        <v>74</v>
      </c>
      <c r="I483" s="2" t="s">
        <v>6884</v>
      </c>
      <c r="J483" s="2" t="s">
        <v>4235</v>
      </c>
      <c r="K483" s="2" t="s">
        <v>74</v>
      </c>
      <c r="L483" s="2" t="s">
        <v>74</v>
      </c>
      <c r="M483" s="2" t="s">
        <v>74</v>
      </c>
      <c r="N483" s="2" t="s">
        <v>74</v>
      </c>
      <c r="O483" s="2" t="s">
        <v>74</v>
      </c>
      <c r="P483" s="2" t="s">
        <v>74</v>
      </c>
      <c r="Q483" s="2" t="s">
        <v>74</v>
      </c>
      <c r="R483" s="2" t="s">
        <v>74</v>
      </c>
      <c r="S483" s="2" t="s">
        <v>74</v>
      </c>
      <c r="T483" s="2" t="s">
        <v>74</v>
      </c>
      <c r="U483" s="2" t="s">
        <v>74</v>
      </c>
      <c r="V483" s="5" t="s">
        <v>6885</v>
      </c>
      <c r="W483" s="2" t="s">
        <v>74</v>
      </c>
      <c r="X483" s="2" t="s">
        <v>74</v>
      </c>
      <c r="Y483" s="2" t="s">
        <v>74</v>
      </c>
      <c r="Z483" s="2" t="s">
        <v>74</v>
      </c>
      <c r="AA483" s="2" t="s">
        <v>74</v>
      </c>
      <c r="AB483" s="2" t="s">
        <v>6886</v>
      </c>
      <c r="AC483" s="2" t="s">
        <v>74</v>
      </c>
      <c r="AD483" s="2" t="s">
        <v>74</v>
      </c>
      <c r="AE483" s="2" t="s">
        <v>74</v>
      </c>
      <c r="AF483" s="2" t="s">
        <v>74</v>
      </c>
      <c r="AG483" s="2" t="s">
        <v>74</v>
      </c>
      <c r="AH483" s="2" t="s">
        <v>74</v>
      </c>
      <c r="AI483" s="2" t="s">
        <v>74</v>
      </c>
      <c r="AJ483" s="2" t="s">
        <v>74</v>
      </c>
      <c r="AK483" s="2" t="s">
        <v>74</v>
      </c>
      <c r="AL483" s="2" t="s">
        <v>74</v>
      </c>
      <c r="AM483" s="2" t="s">
        <v>74</v>
      </c>
      <c r="AN483" s="2" t="s">
        <v>74</v>
      </c>
      <c r="AO483" s="2" t="s">
        <v>4239</v>
      </c>
      <c r="AP483" s="2" t="s">
        <v>4240</v>
      </c>
      <c r="AQ483" s="2" t="s">
        <v>74</v>
      </c>
      <c r="AR483" s="2" t="s">
        <v>74</v>
      </c>
      <c r="AS483" s="2" t="s">
        <v>74</v>
      </c>
      <c r="AT483" s="2" t="s">
        <v>305</v>
      </c>
      <c r="AU483" s="2">
        <v>2005</v>
      </c>
      <c r="AV483" s="2">
        <v>37</v>
      </c>
      <c r="AW483" s="2">
        <v>3</v>
      </c>
      <c r="AX483" s="2" t="s">
        <v>74</v>
      </c>
      <c r="AY483" s="2" t="s">
        <v>74</v>
      </c>
      <c r="AZ483" s="2" t="s">
        <v>74</v>
      </c>
      <c r="BA483" s="2" t="s">
        <v>74</v>
      </c>
      <c r="BB483" s="2">
        <v>644</v>
      </c>
      <c r="BC483" s="2">
        <v>660</v>
      </c>
      <c r="BD483" s="2" t="s">
        <v>74</v>
      </c>
      <c r="BE483" s="2" t="s">
        <v>6887</v>
      </c>
      <c r="BF483" s="2" t="str">
        <f>HYPERLINK("http://dx.doi.org/10.1016/j.ympev.2005.04.026","http://dx.doi.org/10.1016/j.ympev.2005.04.026")</f>
        <v>http://dx.doi.org/10.1016/j.ympev.2005.04.026</v>
      </c>
      <c r="BG483" s="2" t="s">
        <v>74</v>
      </c>
      <c r="BH483" s="2" t="s">
        <v>74</v>
      </c>
      <c r="BI483" s="2" t="s">
        <v>74</v>
      </c>
      <c r="BJ483" s="2" t="s">
        <v>74</v>
      </c>
      <c r="BK483" s="2" t="s">
        <v>74</v>
      </c>
      <c r="BL483" s="2" t="s">
        <v>74</v>
      </c>
      <c r="BM483" s="2" t="s">
        <v>74</v>
      </c>
      <c r="BN483" s="2">
        <v>16055353</v>
      </c>
      <c r="BO483" s="2" t="s">
        <v>74</v>
      </c>
      <c r="BP483" s="2" t="s">
        <v>74</v>
      </c>
      <c r="BQ483" s="2" t="s">
        <v>74</v>
      </c>
      <c r="BR483" s="2" t="s">
        <v>74</v>
      </c>
      <c r="BS483" s="2" t="s">
        <v>6888</v>
      </c>
      <c r="BT483" s="2" t="str">
        <f>HYPERLINK("https%3A%2F%2Fwww.webofscience.com%2Fwos%2Fwoscc%2Ffull-record%2FWOS:000233658100002","View Full Record in Web of Science")</f>
        <v>View Full Record in Web of Science</v>
      </c>
    </row>
    <row r="484" spans="1:72" s="1" customFormat="1" x14ac:dyDescent="0.4">
      <c r="A484" s="2" t="s">
        <v>72</v>
      </c>
      <c r="B484" s="2" t="s">
        <v>4796</v>
      </c>
      <c r="C484" s="2" t="s">
        <v>74</v>
      </c>
      <c r="D484" s="2" t="s">
        <v>74</v>
      </c>
      <c r="E484" s="2" t="s">
        <v>74</v>
      </c>
      <c r="F484" s="2" t="s">
        <v>4796</v>
      </c>
      <c r="G484" s="2" t="s">
        <v>74</v>
      </c>
      <c r="H484" s="2" t="s">
        <v>74</v>
      </c>
      <c r="I484" s="2" t="s">
        <v>4797</v>
      </c>
      <c r="J484" s="2" t="s">
        <v>691</v>
      </c>
      <c r="K484" s="2" t="s">
        <v>74</v>
      </c>
      <c r="L484" s="2" t="s">
        <v>74</v>
      </c>
      <c r="M484" s="2" t="s">
        <v>74</v>
      </c>
      <c r="N484" s="2" t="s">
        <v>74</v>
      </c>
      <c r="O484" s="2" t="s">
        <v>74</v>
      </c>
      <c r="P484" s="2" t="s">
        <v>74</v>
      </c>
      <c r="Q484" s="2" t="s">
        <v>74</v>
      </c>
      <c r="R484" s="2" t="s">
        <v>74</v>
      </c>
      <c r="S484" s="2" t="s">
        <v>74</v>
      </c>
      <c r="T484" s="2" t="s">
        <v>74</v>
      </c>
      <c r="U484" s="2" t="s">
        <v>74</v>
      </c>
      <c r="V484" s="5" t="s">
        <v>4798</v>
      </c>
      <c r="W484" s="2" t="s">
        <v>74</v>
      </c>
      <c r="X484" s="2" t="s">
        <v>74</v>
      </c>
      <c r="Y484" s="2" t="s">
        <v>74</v>
      </c>
      <c r="Z484" s="2" t="s">
        <v>74</v>
      </c>
      <c r="AA484" s="2" t="s">
        <v>4799</v>
      </c>
      <c r="AB484" s="2" t="s">
        <v>4800</v>
      </c>
      <c r="AC484" s="2" t="s">
        <v>74</v>
      </c>
      <c r="AD484" s="2" t="s">
        <v>74</v>
      </c>
      <c r="AE484" s="2" t="s">
        <v>74</v>
      </c>
      <c r="AF484" s="2" t="s">
        <v>74</v>
      </c>
      <c r="AG484" s="2" t="s">
        <v>74</v>
      </c>
      <c r="AH484" s="2" t="s">
        <v>74</v>
      </c>
      <c r="AI484" s="2" t="s">
        <v>74</v>
      </c>
      <c r="AJ484" s="2" t="s">
        <v>74</v>
      </c>
      <c r="AK484" s="2" t="s">
        <v>74</v>
      </c>
      <c r="AL484" s="2" t="s">
        <v>74</v>
      </c>
      <c r="AM484" s="2" t="s">
        <v>74</v>
      </c>
      <c r="AN484" s="2" t="s">
        <v>74</v>
      </c>
      <c r="AO484" s="2" t="s">
        <v>695</v>
      </c>
      <c r="AP484" s="2" t="s">
        <v>74</v>
      </c>
      <c r="AQ484" s="2" t="s">
        <v>74</v>
      </c>
      <c r="AR484" s="2" t="s">
        <v>74</v>
      </c>
      <c r="AS484" s="2" t="s">
        <v>74</v>
      </c>
      <c r="AT484" s="2" t="s">
        <v>964</v>
      </c>
      <c r="AU484" s="2">
        <v>1994</v>
      </c>
      <c r="AV484" s="2">
        <v>55</v>
      </c>
      <c r="AW484" s="2">
        <v>2</v>
      </c>
      <c r="AX484" s="2" t="s">
        <v>74</v>
      </c>
      <c r="AY484" s="2" t="s">
        <v>74</v>
      </c>
      <c r="AZ484" s="2" t="s">
        <v>74</v>
      </c>
      <c r="BA484" s="2" t="s">
        <v>74</v>
      </c>
      <c r="BB484" s="2">
        <v>313</v>
      </c>
      <c r="BC484" s="2">
        <v>316</v>
      </c>
      <c r="BD484" s="2" t="s">
        <v>74</v>
      </c>
      <c r="BE484" s="2" t="s">
        <v>4801</v>
      </c>
      <c r="BF484" s="2" t="str">
        <f>HYPERLINK("http://dx.doi.org/10.1016/0031-9384(94)90139-2","http://dx.doi.org/10.1016/0031-9384(94)90139-2")</f>
        <v>http://dx.doi.org/10.1016/0031-9384(94)90139-2</v>
      </c>
      <c r="BG484" s="2" t="s">
        <v>74</v>
      </c>
      <c r="BH484" s="2" t="s">
        <v>74</v>
      </c>
      <c r="BI484" s="2" t="s">
        <v>74</v>
      </c>
      <c r="BJ484" s="2" t="s">
        <v>74</v>
      </c>
      <c r="BK484" s="2" t="s">
        <v>74</v>
      </c>
      <c r="BL484" s="2" t="s">
        <v>74</v>
      </c>
      <c r="BM484" s="2" t="s">
        <v>74</v>
      </c>
      <c r="BN484" s="2">
        <v>8153171</v>
      </c>
      <c r="BO484" s="2" t="s">
        <v>74</v>
      </c>
      <c r="BP484" s="2" t="s">
        <v>74</v>
      </c>
      <c r="BQ484" s="2" t="s">
        <v>74</v>
      </c>
      <c r="BR484" s="2" t="s">
        <v>74</v>
      </c>
      <c r="BS484" s="2" t="s">
        <v>4802</v>
      </c>
      <c r="BT484" s="2" t="str">
        <f>HYPERLINK("https%3A%2F%2Fwww.webofscience.com%2Fwos%2Fwoscc%2Ffull-record%2FWOS:A1994MV64200016","View Full Record in Web of Science")</f>
        <v>View Full Record in Web of Science</v>
      </c>
    </row>
    <row r="485" spans="1:72" s="2" customFormat="1" x14ac:dyDescent="0.4">
      <c r="A485" s="2" t="s">
        <v>72</v>
      </c>
      <c r="B485" s="2" t="s">
        <v>5151</v>
      </c>
      <c r="C485" s="2" t="s">
        <v>74</v>
      </c>
      <c r="D485" s="2" t="s">
        <v>74</v>
      </c>
      <c r="E485" s="2" t="s">
        <v>74</v>
      </c>
      <c r="F485" s="2" t="s">
        <v>5152</v>
      </c>
      <c r="G485" s="2" t="s">
        <v>74</v>
      </c>
      <c r="H485" s="2" t="s">
        <v>74</v>
      </c>
      <c r="I485" s="2" t="s">
        <v>5153</v>
      </c>
      <c r="J485" s="2" t="s">
        <v>1673</v>
      </c>
      <c r="K485" s="2" t="s">
        <v>74</v>
      </c>
      <c r="L485" s="2" t="s">
        <v>74</v>
      </c>
      <c r="M485" s="2" t="s">
        <v>74</v>
      </c>
      <c r="N485" s="2" t="s">
        <v>74</v>
      </c>
      <c r="O485" s="2" t="s">
        <v>74</v>
      </c>
      <c r="P485" s="2" t="s">
        <v>74</v>
      </c>
      <c r="Q485" s="2" t="s">
        <v>74</v>
      </c>
      <c r="R485" s="2" t="s">
        <v>74</v>
      </c>
      <c r="S485" s="2" t="s">
        <v>74</v>
      </c>
      <c r="T485" s="2" t="s">
        <v>74</v>
      </c>
      <c r="U485" s="2" t="s">
        <v>74</v>
      </c>
      <c r="V485" s="5" t="s">
        <v>5154</v>
      </c>
      <c r="W485" s="2" t="s">
        <v>74</v>
      </c>
      <c r="X485" s="2" t="s">
        <v>74</v>
      </c>
      <c r="Y485" s="2" t="s">
        <v>74</v>
      </c>
      <c r="Z485" s="2" t="s">
        <v>74</v>
      </c>
      <c r="AA485" s="2" t="s">
        <v>5155</v>
      </c>
      <c r="AB485" s="2" t="s">
        <v>5156</v>
      </c>
      <c r="AC485" s="2" t="s">
        <v>74</v>
      </c>
      <c r="AD485" s="2" t="s">
        <v>74</v>
      </c>
      <c r="AE485" s="2" t="s">
        <v>74</v>
      </c>
      <c r="AF485" s="2" t="s">
        <v>74</v>
      </c>
      <c r="AG485" s="2" t="s">
        <v>74</v>
      </c>
      <c r="AH485" s="2" t="s">
        <v>74</v>
      </c>
      <c r="AI485" s="2" t="s">
        <v>74</v>
      </c>
      <c r="AJ485" s="2" t="s">
        <v>74</v>
      </c>
      <c r="AK485" s="2" t="s">
        <v>74</v>
      </c>
      <c r="AL485" s="2" t="s">
        <v>74</v>
      </c>
      <c r="AM485" s="2" t="s">
        <v>74</v>
      </c>
      <c r="AN485" s="2" t="s">
        <v>74</v>
      </c>
      <c r="AO485" s="2" t="s">
        <v>1239</v>
      </c>
      <c r="AP485" s="2" t="s">
        <v>1675</v>
      </c>
      <c r="AQ485" s="2" t="s">
        <v>74</v>
      </c>
      <c r="AR485" s="2" t="s">
        <v>74</v>
      </c>
      <c r="AS485" s="2" t="s">
        <v>74</v>
      </c>
      <c r="AT485" s="2" t="s">
        <v>305</v>
      </c>
      <c r="AU485" s="2">
        <v>2014</v>
      </c>
      <c r="AV485" s="2">
        <v>92</v>
      </c>
      <c r="AW485" s="2">
        <v>12</v>
      </c>
      <c r="AX485" s="2" t="s">
        <v>74</v>
      </c>
      <c r="AY485" s="2" t="s">
        <v>74</v>
      </c>
      <c r="AZ485" s="2" t="s">
        <v>74</v>
      </c>
      <c r="BA485" s="2" t="s">
        <v>74</v>
      </c>
      <c r="BB485" s="2">
        <v>1075</v>
      </c>
      <c r="BC485" s="2">
        <v>1082</v>
      </c>
      <c r="BD485" s="2" t="s">
        <v>74</v>
      </c>
      <c r="BE485" s="2" t="s">
        <v>5157</v>
      </c>
      <c r="BF485" s="2" t="str">
        <f>HYPERLINK("http://dx.doi.org/10.1139/cjz-2014-0256","http://dx.doi.org/10.1139/cjz-2014-0256")</f>
        <v>http://dx.doi.org/10.1139/cjz-2014-0256</v>
      </c>
      <c r="BG485" s="2" t="s">
        <v>74</v>
      </c>
      <c r="BH485" s="2" t="s">
        <v>74</v>
      </c>
      <c r="BI485" s="2" t="s">
        <v>74</v>
      </c>
      <c r="BJ485" s="2" t="s">
        <v>74</v>
      </c>
      <c r="BK485" s="2" t="s">
        <v>74</v>
      </c>
      <c r="BL485" s="2" t="s">
        <v>74</v>
      </c>
      <c r="BM485" s="2" t="s">
        <v>74</v>
      </c>
      <c r="BN485" s="2" t="s">
        <v>74</v>
      </c>
      <c r="BO485" s="2" t="s">
        <v>74</v>
      </c>
      <c r="BP485" s="2" t="s">
        <v>74</v>
      </c>
      <c r="BQ485" s="2" t="s">
        <v>74</v>
      </c>
      <c r="BR485" s="2" t="s">
        <v>74</v>
      </c>
      <c r="BS485" s="2" t="s">
        <v>5158</v>
      </c>
      <c r="BT485" s="2" t="str">
        <f>HYPERLINK("https%3A%2F%2Fwww.webofscience.com%2Fwos%2Fwoscc%2Ffull-record%2FWOS:000345617300010","View Full Record in Web of Science")</f>
        <v>View Full Record in Web of Science</v>
      </c>
    </row>
    <row r="486" spans="1:72" s="2" customFormat="1" x14ac:dyDescent="0.4">
      <c r="A486" s="2" t="s">
        <v>72</v>
      </c>
      <c r="B486" s="2" t="s">
        <v>3143</v>
      </c>
      <c r="C486" s="2" t="s">
        <v>74</v>
      </c>
      <c r="D486" s="2" t="s">
        <v>74</v>
      </c>
      <c r="E486" s="2" t="s">
        <v>74</v>
      </c>
      <c r="F486" s="2" t="s">
        <v>3144</v>
      </c>
      <c r="G486" s="2" t="s">
        <v>74</v>
      </c>
      <c r="H486" s="2" t="s">
        <v>74</v>
      </c>
      <c r="I486" s="2" t="s">
        <v>3145</v>
      </c>
      <c r="J486" s="2" t="s">
        <v>456</v>
      </c>
      <c r="K486" s="2" t="s">
        <v>74</v>
      </c>
      <c r="L486" s="2" t="s">
        <v>74</v>
      </c>
      <c r="M486" s="2" t="s">
        <v>74</v>
      </c>
      <c r="N486" s="2" t="s">
        <v>74</v>
      </c>
      <c r="O486" s="2" t="s">
        <v>74</v>
      </c>
      <c r="P486" s="2" t="s">
        <v>74</v>
      </c>
      <c r="Q486" s="2" t="s">
        <v>74</v>
      </c>
      <c r="R486" s="2" t="s">
        <v>74</v>
      </c>
      <c r="S486" s="2" t="s">
        <v>74</v>
      </c>
      <c r="T486" s="2" t="s">
        <v>74</v>
      </c>
      <c r="U486" s="2" t="s">
        <v>74</v>
      </c>
      <c r="V486" s="5" t="s">
        <v>3146</v>
      </c>
      <c r="W486" s="2" t="s">
        <v>74</v>
      </c>
      <c r="X486" s="2" t="s">
        <v>74</v>
      </c>
      <c r="Y486" s="2" t="s">
        <v>74</v>
      </c>
      <c r="Z486" s="2" t="s">
        <v>74</v>
      </c>
      <c r="AA486" s="2" t="s">
        <v>3147</v>
      </c>
      <c r="AB486" s="2" t="s">
        <v>3148</v>
      </c>
      <c r="AC486" s="2" t="s">
        <v>74</v>
      </c>
      <c r="AD486" s="2" t="s">
        <v>74</v>
      </c>
      <c r="AE486" s="2" t="s">
        <v>74</v>
      </c>
      <c r="AF486" s="2" t="s">
        <v>74</v>
      </c>
      <c r="AG486" s="2" t="s">
        <v>74</v>
      </c>
      <c r="AH486" s="2" t="s">
        <v>74</v>
      </c>
      <c r="AI486" s="2" t="s">
        <v>74</v>
      </c>
      <c r="AJ486" s="2" t="s">
        <v>74</v>
      </c>
      <c r="AK486" s="2" t="s">
        <v>74</v>
      </c>
      <c r="AL486" s="2" t="s">
        <v>74</v>
      </c>
      <c r="AM486" s="2" t="s">
        <v>74</v>
      </c>
      <c r="AN486" s="2" t="s">
        <v>74</v>
      </c>
      <c r="AO486" s="2" t="s">
        <v>460</v>
      </c>
      <c r="AP486" s="2" t="s">
        <v>461</v>
      </c>
      <c r="AQ486" s="2" t="s">
        <v>74</v>
      </c>
      <c r="AR486" s="2" t="s">
        <v>74</v>
      </c>
      <c r="AS486" s="2" t="s">
        <v>74</v>
      </c>
      <c r="AT486" s="2" t="s">
        <v>123</v>
      </c>
      <c r="AU486" s="2">
        <v>2020</v>
      </c>
      <c r="AV486" s="2">
        <v>310</v>
      </c>
      <c r="AW486" s="2">
        <v>3</v>
      </c>
      <c r="AX486" s="2" t="s">
        <v>74</v>
      </c>
      <c r="AY486" s="2" t="s">
        <v>74</v>
      </c>
      <c r="AZ486" s="2" t="s">
        <v>74</v>
      </c>
      <c r="BA486" s="2" t="s">
        <v>74</v>
      </c>
      <c r="BB486" s="2">
        <v>246</v>
      </c>
      <c r="BC486" s="2">
        <v>253</v>
      </c>
      <c r="BD486" s="2" t="s">
        <v>74</v>
      </c>
      <c r="BE486" s="2" t="s">
        <v>3149</v>
      </c>
      <c r="BF486" s="2" t="str">
        <f>HYPERLINK("http://dx.doi.org/10.1111/jzo.12738","http://dx.doi.org/10.1111/jzo.12738")</f>
        <v>http://dx.doi.org/10.1111/jzo.12738</v>
      </c>
      <c r="BG486" s="2" t="s">
        <v>74</v>
      </c>
      <c r="BH486" s="2" t="s">
        <v>74</v>
      </c>
      <c r="BI486" s="2" t="s">
        <v>74</v>
      </c>
      <c r="BJ486" s="2" t="s">
        <v>74</v>
      </c>
      <c r="BK486" s="2" t="s">
        <v>74</v>
      </c>
      <c r="BL486" s="2" t="s">
        <v>74</v>
      </c>
      <c r="BM486" s="2" t="s">
        <v>74</v>
      </c>
      <c r="BN486" s="2" t="s">
        <v>74</v>
      </c>
      <c r="BO486" s="2" t="s">
        <v>74</v>
      </c>
      <c r="BP486" s="2" t="s">
        <v>74</v>
      </c>
      <c r="BQ486" s="2" t="s">
        <v>74</v>
      </c>
      <c r="BR486" s="2" t="s">
        <v>74</v>
      </c>
      <c r="BS486" s="2" t="s">
        <v>3150</v>
      </c>
      <c r="BT486" s="2" t="str">
        <f>HYPERLINK("https%3A%2F%2Fwww.webofscience.com%2Fwos%2Fwoscc%2Ffull-record%2FWOS:000517127100008","View Full Record in Web of Science")</f>
        <v>View Full Record in Web of Science</v>
      </c>
    </row>
    <row r="487" spans="1:72" s="2" customFormat="1" x14ac:dyDescent="0.4">
      <c r="A487" s="2" t="s">
        <v>72</v>
      </c>
      <c r="B487" s="2" t="s">
        <v>6365</v>
      </c>
      <c r="C487" s="2" t="s">
        <v>74</v>
      </c>
      <c r="D487" s="2" t="s">
        <v>74</v>
      </c>
      <c r="E487" s="2" t="s">
        <v>74</v>
      </c>
      <c r="F487" s="2" t="s">
        <v>6366</v>
      </c>
      <c r="G487" s="2" t="s">
        <v>74</v>
      </c>
      <c r="H487" s="2" t="s">
        <v>74</v>
      </c>
      <c r="I487" s="2" t="s">
        <v>6367</v>
      </c>
      <c r="J487" s="2" t="s">
        <v>140</v>
      </c>
      <c r="K487" s="2" t="s">
        <v>74</v>
      </c>
      <c r="L487" s="2" t="s">
        <v>74</v>
      </c>
      <c r="M487" s="2" t="s">
        <v>74</v>
      </c>
      <c r="N487" s="2" t="s">
        <v>74</v>
      </c>
      <c r="O487" s="2" t="s">
        <v>74</v>
      </c>
      <c r="P487" s="2" t="s">
        <v>74</v>
      </c>
      <c r="Q487" s="2" t="s">
        <v>74</v>
      </c>
      <c r="R487" s="2" t="s">
        <v>74</v>
      </c>
      <c r="S487" s="2" t="s">
        <v>74</v>
      </c>
      <c r="T487" s="2" t="s">
        <v>74</v>
      </c>
      <c r="U487" s="2" t="s">
        <v>74</v>
      </c>
      <c r="V487" s="5" t="s">
        <v>6368</v>
      </c>
      <c r="W487" s="2" t="s">
        <v>74</v>
      </c>
      <c r="X487" s="2" t="s">
        <v>74</v>
      </c>
      <c r="Y487" s="2" t="s">
        <v>74</v>
      </c>
      <c r="Z487" s="2" t="s">
        <v>74</v>
      </c>
      <c r="AA487" s="2" t="s">
        <v>74</v>
      </c>
      <c r="AB487" s="2" t="s">
        <v>74</v>
      </c>
      <c r="AC487" s="2" t="s">
        <v>74</v>
      </c>
      <c r="AD487" s="2" t="s">
        <v>74</v>
      </c>
      <c r="AE487" s="2" t="s">
        <v>74</v>
      </c>
      <c r="AF487" s="2" t="s">
        <v>74</v>
      </c>
      <c r="AG487" s="2" t="s">
        <v>74</v>
      </c>
      <c r="AH487" s="2" t="s">
        <v>74</v>
      </c>
      <c r="AI487" s="2" t="s">
        <v>74</v>
      </c>
      <c r="AJ487" s="2" t="s">
        <v>74</v>
      </c>
      <c r="AK487" s="2" t="s">
        <v>74</v>
      </c>
      <c r="AL487" s="2" t="s">
        <v>74</v>
      </c>
      <c r="AM487" s="2" t="s">
        <v>74</v>
      </c>
      <c r="AN487" s="2" t="s">
        <v>74</v>
      </c>
      <c r="AO487" s="2" t="s">
        <v>143</v>
      </c>
      <c r="AP487" s="2" t="s">
        <v>74</v>
      </c>
      <c r="AQ487" s="2" t="s">
        <v>74</v>
      </c>
      <c r="AR487" s="2" t="s">
        <v>74</v>
      </c>
      <c r="AS487" s="2" t="s">
        <v>74</v>
      </c>
      <c r="AT487" s="2" t="s">
        <v>175</v>
      </c>
      <c r="AU487" s="2">
        <v>2008</v>
      </c>
      <c r="AV487" s="2">
        <v>76</v>
      </c>
      <c r="AW487" s="2" t="s">
        <v>74</v>
      </c>
      <c r="AX487" s="2">
        <v>4</v>
      </c>
      <c r="AY487" s="2" t="s">
        <v>74</v>
      </c>
      <c r="AZ487" s="2" t="s">
        <v>74</v>
      </c>
      <c r="BA487" s="2" t="s">
        <v>74</v>
      </c>
      <c r="BB487" s="2">
        <v>1403</v>
      </c>
      <c r="BC487" s="2">
        <v>1410</v>
      </c>
      <c r="BD487" s="2" t="s">
        <v>74</v>
      </c>
      <c r="BE487" s="2" t="s">
        <v>6369</v>
      </c>
      <c r="BF487" s="2" t="str">
        <f>HYPERLINK("http://dx.doi.org/10.1016/j.anbehav.2008.06.021","http://dx.doi.org/10.1016/j.anbehav.2008.06.021")</f>
        <v>http://dx.doi.org/10.1016/j.anbehav.2008.06.021</v>
      </c>
      <c r="BG487" s="2" t="s">
        <v>74</v>
      </c>
      <c r="BH487" s="2" t="s">
        <v>74</v>
      </c>
      <c r="BI487" s="2" t="s">
        <v>74</v>
      </c>
      <c r="BJ487" s="2" t="s">
        <v>74</v>
      </c>
      <c r="BK487" s="2" t="s">
        <v>74</v>
      </c>
      <c r="BL487" s="2" t="s">
        <v>74</v>
      </c>
      <c r="BM487" s="2" t="s">
        <v>74</v>
      </c>
      <c r="BN487" s="2" t="s">
        <v>74</v>
      </c>
      <c r="BO487" s="2" t="s">
        <v>74</v>
      </c>
      <c r="BP487" s="2" t="s">
        <v>74</v>
      </c>
      <c r="BQ487" s="2" t="s">
        <v>74</v>
      </c>
      <c r="BR487" s="2" t="s">
        <v>74</v>
      </c>
      <c r="BS487" s="2" t="s">
        <v>6370</v>
      </c>
      <c r="BT487" s="2" t="str">
        <f>HYPERLINK("https%3A%2F%2Fwww.webofscience.com%2Fwos%2Fwoscc%2Ffull-record%2FWOS:000260118000031","View Full Record in Web of Science")</f>
        <v>View Full Record in Web of Science</v>
      </c>
    </row>
    <row r="488" spans="1:72" s="2" customFormat="1" x14ac:dyDescent="0.4">
      <c r="A488" s="2" t="s">
        <v>72</v>
      </c>
      <c r="B488" s="2" t="s">
        <v>2674</v>
      </c>
      <c r="C488" s="2" t="s">
        <v>74</v>
      </c>
      <c r="D488" s="2" t="s">
        <v>74</v>
      </c>
      <c r="E488" s="2" t="s">
        <v>74</v>
      </c>
      <c r="F488" s="2" t="s">
        <v>2675</v>
      </c>
      <c r="G488" s="2" t="s">
        <v>74</v>
      </c>
      <c r="H488" s="2" t="s">
        <v>74</v>
      </c>
      <c r="I488" s="2" t="s">
        <v>2676</v>
      </c>
      <c r="J488" s="2" t="s">
        <v>2677</v>
      </c>
      <c r="K488" s="2" t="s">
        <v>74</v>
      </c>
      <c r="L488" s="2" t="s">
        <v>74</v>
      </c>
      <c r="M488" s="2" t="s">
        <v>74</v>
      </c>
      <c r="N488" s="2" t="s">
        <v>74</v>
      </c>
      <c r="O488" s="2" t="s">
        <v>74</v>
      </c>
      <c r="P488" s="2" t="s">
        <v>74</v>
      </c>
      <c r="Q488" s="2" t="s">
        <v>74</v>
      </c>
      <c r="R488" s="2" t="s">
        <v>74</v>
      </c>
      <c r="S488" s="2" t="s">
        <v>74</v>
      </c>
      <c r="T488" s="2" t="s">
        <v>74</v>
      </c>
      <c r="U488" s="2" t="s">
        <v>74</v>
      </c>
      <c r="V488" s="5" t="s">
        <v>2678</v>
      </c>
      <c r="W488" s="2" t="s">
        <v>74</v>
      </c>
      <c r="X488" s="2" t="s">
        <v>74</v>
      </c>
      <c r="Y488" s="2" t="s">
        <v>74</v>
      </c>
      <c r="Z488" s="2" t="s">
        <v>74</v>
      </c>
      <c r="AA488" s="2" t="s">
        <v>2679</v>
      </c>
      <c r="AB488" s="2" t="s">
        <v>2680</v>
      </c>
      <c r="AC488" s="2" t="s">
        <v>74</v>
      </c>
      <c r="AD488" s="2" t="s">
        <v>74</v>
      </c>
      <c r="AE488" s="2" t="s">
        <v>74</v>
      </c>
      <c r="AF488" s="2" t="s">
        <v>74</v>
      </c>
      <c r="AG488" s="2" t="s">
        <v>74</v>
      </c>
      <c r="AH488" s="2" t="s">
        <v>74</v>
      </c>
      <c r="AI488" s="2" t="s">
        <v>74</v>
      </c>
      <c r="AJ488" s="2" t="s">
        <v>74</v>
      </c>
      <c r="AK488" s="2" t="s">
        <v>74</v>
      </c>
      <c r="AL488" s="2" t="s">
        <v>74</v>
      </c>
      <c r="AM488" s="2" t="s">
        <v>74</v>
      </c>
      <c r="AN488" s="2" t="s">
        <v>74</v>
      </c>
      <c r="AO488" s="2" t="s">
        <v>2681</v>
      </c>
      <c r="AP488" s="2" t="s">
        <v>2682</v>
      </c>
      <c r="AQ488" s="2" t="s">
        <v>74</v>
      </c>
      <c r="AR488" s="2" t="s">
        <v>74</v>
      </c>
      <c r="AS488" s="2" t="s">
        <v>74</v>
      </c>
      <c r="AT488" s="2" t="s">
        <v>74</v>
      </c>
      <c r="AU488" s="2">
        <v>2013</v>
      </c>
      <c r="AV488" s="2">
        <v>6</v>
      </c>
      <c r="AW488" s="2">
        <v>2</v>
      </c>
      <c r="AX488" s="2" t="s">
        <v>74</v>
      </c>
      <c r="AY488" s="2" t="s">
        <v>74</v>
      </c>
      <c r="AZ488" s="2" t="s">
        <v>74</v>
      </c>
      <c r="BA488" s="2" t="s">
        <v>74</v>
      </c>
      <c r="BB488" s="2">
        <v>147</v>
      </c>
      <c r="BC488" s="2">
        <v>156</v>
      </c>
      <c r="BD488" s="2" t="s">
        <v>74</v>
      </c>
      <c r="BE488" s="2" t="s">
        <v>2683</v>
      </c>
      <c r="BF488" s="2" t="str">
        <f>HYPERLINK("http://dx.doi.org/10.3184/175815513X13617279883973","http://dx.doi.org/10.3184/175815513X13617279883973")</f>
        <v>http://dx.doi.org/10.3184/175815513X13617279883973</v>
      </c>
      <c r="BG488" s="2" t="s">
        <v>74</v>
      </c>
      <c r="BH488" s="2" t="s">
        <v>74</v>
      </c>
      <c r="BI488" s="2" t="s">
        <v>74</v>
      </c>
      <c r="BJ488" s="2" t="s">
        <v>74</v>
      </c>
      <c r="BK488" s="2" t="s">
        <v>74</v>
      </c>
      <c r="BL488" s="2" t="s">
        <v>74</v>
      </c>
      <c r="BM488" s="2" t="s">
        <v>74</v>
      </c>
      <c r="BN488" s="2" t="s">
        <v>74</v>
      </c>
      <c r="BO488" s="2" t="s">
        <v>74</v>
      </c>
      <c r="BP488" s="2" t="s">
        <v>74</v>
      </c>
      <c r="BQ488" s="2" t="s">
        <v>74</v>
      </c>
      <c r="BR488" s="2" t="s">
        <v>74</v>
      </c>
      <c r="BS488" s="2" t="s">
        <v>2684</v>
      </c>
      <c r="BT488" s="2" t="str">
        <f>HYPERLINK("https%3A%2F%2Fwww.webofscience.com%2Fwos%2Fwoscc%2Ffull-record%2FWOS:000318967100007","View Full Record in Web of Science")</f>
        <v>View Full Record in Web of Science</v>
      </c>
    </row>
    <row r="489" spans="1:72" s="2" customFormat="1" x14ac:dyDescent="0.4">
      <c r="A489" s="2" t="s">
        <v>72</v>
      </c>
      <c r="B489" s="2" t="s">
        <v>3627</v>
      </c>
      <c r="C489" s="2" t="s">
        <v>74</v>
      </c>
      <c r="D489" s="2" t="s">
        <v>74</v>
      </c>
      <c r="E489" s="2" t="s">
        <v>74</v>
      </c>
      <c r="F489" s="2" t="s">
        <v>3628</v>
      </c>
      <c r="G489" s="2" t="s">
        <v>74</v>
      </c>
      <c r="H489" s="2" t="s">
        <v>74</v>
      </c>
      <c r="I489" s="2" t="s">
        <v>3629</v>
      </c>
      <c r="J489" s="2" t="s">
        <v>2901</v>
      </c>
      <c r="K489" s="2" t="s">
        <v>74</v>
      </c>
      <c r="L489" s="2" t="s">
        <v>74</v>
      </c>
      <c r="M489" s="2" t="s">
        <v>74</v>
      </c>
      <c r="N489" s="2" t="s">
        <v>74</v>
      </c>
      <c r="O489" s="2" t="s">
        <v>74</v>
      </c>
      <c r="P489" s="2" t="s">
        <v>74</v>
      </c>
      <c r="Q489" s="2" t="s">
        <v>74</v>
      </c>
      <c r="R489" s="2" t="s">
        <v>74</v>
      </c>
      <c r="S489" s="2" t="s">
        <v>74</v>
      </c>
      <c r="T489" s="2" t="s">
        <v>74</v>
      </c>
      <c r="U489" s="2" t="s">
        <v>74</v>
      </c>
      <c r="V489" s="5" t="s">
        <v>3630</v>
      </c>
      <c r="W489" s="2" t="s">
        <v>74</v>
      </c>
      <c r="X489" s="2" t="s">
        <v>74</v>
      </c>
      <c r="Y489" s="2" t="s">
        <v>74</v>
      </c>
      <c r="Z489" s="2" t="s">
        <v>74</v>
      </c>
      <c r="AA489" s="2" t="s">
        <v>74</v>
      </c>
      <c r="AB489" s="2" t="s">
        <v>2504</v>
      </c>
      <c r="AC489" s="2" t="s">
        <v>74</v>
      </c>
      <c r="AD489" s="2" t="s">
        <v>74</v>
      </c>
      <c r="AE489" s="2" t="s">
        <v>74</v>
      </c>
      <c r="AF489" s="2" t="s">
        <v>74</v>
      </c>
      <c r="AG489" s="2" t="s">
        <v>74</v>
      </c>
      <c r="AH489" s="2" t="s">
        <v>74</v>
      </c>
      <c r="AI489" s="2" t="s">
        <v>74</v>
      </c>
      <c r="AJ489" s="2" t="s">
        <v>74</v>
      </c>
      <c r="AK489" s="2" t="s">
        <v>74</v>
      </c>
      <c r="AL489" s="2" t="s">
        <v>74</v>
      </c>
      <c r="AM489" s="2" t="s">
        <v>74</v>
      </c>
      <c r="AN489" s="2" t="s">
        <v>74</v>
      </c>
      <c r="AO489" s="2" t="s">
        <v>2903</v>
      </c>
      <c r="AP489" s="2" t="s">
        <v>2904</v>
      </c>
      <c r="AQ489" s="2" t="s">
        <v>74</v>
      </c>
      <c r="AR489" s="2" t="s">
        <v>74</v>
      </c>
      <c r="AS489" s="2" t="s">
        <v>74</v>
      </c>
      <c r="AT489" s="2" t="s">
        <v>3631</v>
      </c>
      <c r="AU489" s="2">
        <v>2013</v>
      </c>
      <c r="AV489" s="2">
        <v>25</v>
      </c>
      <c r="AW489" s="2">
        <v>2</v>
      </c>
      <c r="AX489" s="2" t="s">
        <v>74</v>
      </c>
      <c r="AY489" s="2" t="s">
        <v>74</v>
      </c>
      <c r="AZ489" s="2" t="s">
        <v>74</v>
      </c>
      <c r="BA489" s="2" t="s">
        <v>74</v>
      </c>
      <c r="BB489" s="2">
        <v>161</v>
      </c>
      <c r="BC489" s="2">
        <v>173</v>
      </c>
      <c r="BD489" s="2" t="s">
        <v>74</v>
      </c>
      <c r="BE489" s="2" t="s">
        <v>3632</v>
      </c>
      <c r="BF489" s="2" t="str">
        <f>HYPERLINK("http://dx.doi.org/10.1080/03949370.2012.742464","http://dx.doi.org/10.1080/03949370.2012.742464")</f>
        <v>http://dx.doi.org/10.1080/03949370.2012.742464</v>
      </c>
      <c r="BG489" s="2" t="s">
        <v>74</v>
      </c>
      <c r="BH489" s="2" t="s">
        <v>74</v>
      </c>
      <c r="BI489" s="2" t="s">
        <v>74</v>
      </c>
      <c r="BJ489" s="2" t="s">
        <v>74</v>
      </c>
      <c r="BK489" s="2" t="s">
        <v>74</v>
      </c>
      <c r="BL489" s="2" t="s">
        <v>74</v>
      </c>
      <c r="BM489" s="2" t="s">
        <v>74</v>
      </c>
      <c r="BN489" s="2" t="s">
        <v>74</v>
      </c>
      <c r="BO489" s="2" t="s">
        <v>74</v>
      </c>
      <c r="BP489" s="2" t="s">
        <v>74</v>
      </c>
      <c r="BQ489" s="2" t="s">
        <v>74</v>
      </c>
      <c r="BR489" s="2" t="s">
        <v>74</v>
      </c>
      <c r="BS489" s="2" t="s">
        <v>3633</v>
      </c>
      <c r="BT489" s="2" t="str">
        <f>HYPERLINK("https%3A%2F%2Fwww.webofscience.com%2Fwos%2Fwoscc%2Ffull-record%2FWOS:000317742200005","View Full Record in Web of Science")</f>
        <v>View Full Record in Web of Science</v>
      </c>
    </row>
    <row r="490" spans="1:72" s="2" customFormat="1" x14ac:dyDescent="0.4">
      <c r="A490" s="2" t="s">
        <v>72</v>
      </c>
      <c r="B490" s="2" t="s">
        <v>2500</v>
      </c>
      <c r="C490" s="2" t="s">
        <v>74</v>
      </c>
      <c r="D490" s="2" t="s">
        <v>74</v>
      </c>
      <c r="E490" s="2" t="s">
        <v>74</v>
      </c>
      <c r="F490" s="2" t="s">
        <v>2500</v>
      </c>
      <c r="G490" s="2" t="s">
        <v>74</v>
      </c>
      <c r="H490" s="2" t="s">
        <v>74</v>
      </c>
      <c r="I490" s="2" t="s">
        <v>2501</v>
      </c>
      <c r="J490" s="2" t="s">
        <v>140</v>
      </c>
      <c r="K490" s="2" t="s">
        <v>74</v>
      </c>
      <c r="L490" s="2" t="s">
        <v>74</v>
      </c>
      <c r="M490" s="2" t="s">
        <v>74</v>
      </c>
      <c r="N490" s="2" t="s">
        <v>74</v>
      </c>
      <c r="O490" s="2" t="s">
        <v>74</v>
      </c>
      <c r="P490" s="2" t="s">
        <v>74</v>
      </c>
      <c r="Q490" s="2" t="s">
        <v>74</v>
      </c>
      <c r="R490" s="2" t="s">
        <v>74</v>
      </c>
      <c r="S490" s="2" t="s">
        <v>74</v>
      </c>
      <c r="T490" s="2" t="s">
        <v>74</v>
      </c>
      <c r="U490" s="2" t="s">
        <v>74</v>
      </c>
      <c r="V490" s="5" t="s">
        <v>2502</v>
      </c>
      <c r="W490" s="2" t="s">
        <v>74</v>
      </c>
      <c r="X490" s="2" t="s">
        <v>74</v>
      </c>
      <c r="Y490" s="2" t="s">
        <v>74</v>
      </c>
      <c r="Z490" s="2" t="s">
        <v>74</v>
      </c>
      <c r="AA490" s="2" t="s">
        <v>2503</v>
      </c>
      <c r="AB490" s="2" t="s">
        <v>2504</v>
      </c>
      <c r="AC490" s="2" t="s">
        <v>74</v>
      </c>
      <c r="AD490" s="2" t="s">
        <v>74</v>
      </c>
      <c r="AE490" s="2" t="s">
        <v>74</v>
      </c>
      <c r="AF490" s="2" t="s">
        <v>74</v>
      </c>
      <c r="AG490" s="2" t="s">
        <v>74</v>
      </c>
      <c r="AH490" s="2" t="s">
        <v>74</v>
      </c>
      <c r="AI490" s="2" t="s">
        <v>74</v>
      </c>
      <c r="AJ490" s="2" t="s">
        <v>74</v>
      </c>
      <c r="AK490" s="2" t="s">
        <v>74</v>
      </c>
      <c r="AL490" s="2" t="s">
        <v>74</v>
      </c>
      <c r="AM490" s="2" t="s">
        <v>74</v>
      </c>
      <c r="AN490" s="2" t="s">
        <v>74</v>
      </c>
      <c r="AO490" s="2" t="s">
        <v>143</v>
      </c>
      <c r="AP490" s="2" t="s">
        <v>74</v>
      </c>
      <c r="AQ490" s="2" t="s">
        <v>74</v>
      </c>
      <c r="AR490" s="2" t="s">
        <v>74</v>
      </c>
      <c r="AS490" s="2" t="s">
        <v>74</v>
      </c>
      <c r="AT490" s="2" t="s">
        <v>255</v>
      </c>
      <c r="AU490" s="2">
        <v>1995</v>
      </c>
      <c r="AV490" s="2">
        <v>49</v>
      </c>
      <c r="AW490" s="2">
        <v>1</v>
      </c>
      <c r="AX490" s="2" t="s">
        <v>74</v>
      </c>
      <c r="AY490" s="2" t="s">
        <v>74</v>
      </c>
      <c r="AZ490" s="2" t="s">
        <v>74</v>
      </c>
      <c r="BA490" s="2" t="s">
        <v>74</v>
      </c>
      <c r="BB490" s="2">
        <v>53</v>
      </c>
      <c r="BC490" s="2">
        <v>62</v>
      </c>
      <c r="BD490" s="2" t="s">
        <v>74</v>
      </c>
      <c r="BE490" s="2" t="s">
        <v>2505</v>
      </c>
      <c r="BF490" s="2" t="str">
        <f>HYPERLINK("http://dx.doi.org/10.1016/0003-3472(95)80153-7","http://dx.doi.org/10.1016/0003-3472(95)80153-7")</f>
        <v>http://dx.doi.org/10.1016/0003-3472(95)80153-7</v>
      </c>
      <c r="BG490" s="2" t="s">
        <v>74</v>
      </c>
      <c r="BH490" s="2" t="s">
        <v>74</v>
      </c>
      <c r="BI490" s="2" t="s">
        <v>74</v>
      </c>
      <c r="BJ490" s="2" t="s">
        <v>74</v>
      </c>
      <c r="BK490" s="2" t="s">
        <v>74</v>
      </c>
      <c r="BL490" s="2" t="s">
        <v>74</v>
      </c>
      <c r="BM490" s="2" t="s">
        <v>74</v>
      </c>
      <c r="BN490" s="2" t="s">
        <v>74</v>
      </c>
      <c r="BO490" s="2" t="s">
        <v>74</v>
      </c>
      <c r="BP490" s="2" t="s">
        <v>74</v>
      </c>
      <c r="BQ490" s="2" t="s">
        <v>74</v>
      </c>
      <c r="BR490" s="2" t="s">
        <v>74</v>
      </c>
      <c r="BS490" s="2" t="s">
        <v>2506</v>
      </c>
      <c r="BT490" s="2" t="str">
        <f>HYPERLINK("https%3A%2F%2Fwww.webofscience.com%2Fwos%2Fwoscc%2Ffull-record%2FWOS:A1995QC44700006","View Full Record in Web of Science")</f>
        <v>View Full Record in Web of Science</v>
      </c>
    </row>
    <row r="491" spans="1:72" s="2" customFormat="1" x14ac:dyDescent="0.4">
      <c r="A491" s="2" t="s">
        <v>72</v>
      </c>
      <c r="B491" s="2" t="s">
        <v>6492</v>
      </c>
      <c r="C491" s="2" t="s">
        <v>74</v>
      </c>
      <c r="D491" s="2" t="s">
        <v>74</v>
      </c>
      <c r="E491" s="2" t="s">
        <v>74</v>
      </c>
      <c r="F491" s="2" t="s">
        <v>6492</v>
      </c>
      <c r="G491" s="2" t="s">
        <v>74</v>
      </c>
      <c r="H491" s="2" t="s">
        <v>74</v>
      </c>
      <c r="I491" s="2" t="s">
        <v>6493</v>
      </c>
      <c r="J491" s="2" t="s">
        <v>140</v>
      </c>
      <c r="K491" s="2" t="s">
        <v>74</v>
      </c>
      <c r="L491" s="2" t="s">
        <v>74</v>
      </c>
      <c r="M491" s="2" t="s">
        <v>74</v>
      </c>
      <c r="N491" s="2" t="s">
        <v>74</v>
      </c>
      <c r="O491" s="2" t="s">
        <v>74</v>
      </c>
      <c r="P491" s="2" t="s">
        <v>74</v>
      </c>
      <c r="Q491" s="2" t="s">
        <v>74</v>
      </c>
      <c r="R491" s="2" t="s">
        <v>74</v>
      </c>
      <c r="S491" s="2" t="s">
        <v>74</v>
      </c>
      <c r="T491" s="2" t="s">
        <v>74</v>
      </c>
      <c r="U491" s="2" t="s">
        <v>74</v>
      </c>
      <c r="V491" s="5" t="s">
        <v>6494</v>
      </c>
      <c r="W491" s="2" t="s">
        <v>74</v>
      </c>
      <c r="X491" s="2" t="s">
        <v>74</v>
      </c>
      <c r="Y491" s="2" t="s">
        <v>74</v>
      </c>
      <c r="Z491" s="2" t="s">
        <v>74</v>
      </c>
      <c r="AA491" s="2" t="s">
        <v>74</v>
      </c>
      <c r="AB491" s="2" t="s">
        <v>74</v>
      </c>
      <c r="AC491" s="2" t="s">
        <v>74</v>
      </c>
      <c r="AD491" s="2" t="s">
        <v>74</v>
      </c>
      <c r="AE491" s="2" t="s">
        <v>74</v>
      </c>
      <c r="AF491" s="2" t="s">
        <v>74</v>
      </c>
      <c r="AG491" s="2" t="s">
        <v>74</v>
      </c>
      <c r="AH491" s="2" t="s">
        <v>74</v>
      </c>
      <c r="AI491" s="2" t="s">
        <v>74</v>
      </c>
      <c r="AJ491" s="2" t="s">
        <v>74</v>
      </c>
      <c r="AK491" s="2" t="s">
        <v>74</v>
      </c>
      <c r="AL491" s="2" t="s">
        <v>74</v>
      </c>
      <c r="AM491" s="2" t="s">
        <v>74</v>
      </c>
      <c r="AN491" s="2" t="s">
        <v>74</v>
      </c>
      <c r="AO491" s="2" t="s">
        <v>143</v>
      </c>
      <c r="AP491" s="2" t="s">
        <v>144</v>
      </c>
      <c r="AQ491" s="2" t="s">
        <v>74</v>
      </c>
      <c r="AR491" s="2" t="s">
        <v>74</v>
      </c>
      <c r="AS491" s="2" t="s">
        <v>74</v>
      </c>
      <c r="AT491" s="2" t="s">
        <v>964</v>
      </c>
      <c r="AU491" s="2">
        <v>1986</v>
      </c>
      <c r="AV491" s="2">
        <v>34</v>
      </c>
      <c r="AW491" s="2" t="s">
        <v>74</v>
      </c>
      <c r="AX491" s="2">
        <v>1</v>
      </c>
      <c r="AY491" s="2" t="s">
        <v>74</v>
      </c>
      <c r="AZ491" s="2" t="s">
        <v>74</v>
      </c>
      <c r="BA491" s="2" t="s">
        <v>74</v>
      </c>
      <c r="BB491" s="2">
        <v>69</v>
      </c>
      <c r="BC491" s="2">
        <v>76</v>
      </c>
      <c r="BD491" s="2" t="s">
        <v>74</v>
      </c>
      <c r="BE491" s="2" t="s">
        <v>6495</v>
      </c>
      <c r="BF491" s="2" t="str">
        <f>HYPERLINK("http://dx.doi.org/10.1016/0003-3472(86)90007-2","http://dx.doi.org/10.1016/0003-3472(86)90007-2")</f>
        <v>http://dx.doi.org/10.1016/0003-3472(86)90007-2</v>
      </c>
      <c r="BG491" s="2" t="s">
        <v>74</v>
      </c>
      <c r="BH491" s="2" t="s">
        <v>74</v>
      </c>
      <c r="BI491" s="2" t="s">
        <v>74</v>
      </c>
      <c r="BJ491" s="2" t="s">
        <v>74</v>
      </c>
      <c r="BK491" s="2" t="s">
        <v>74</v>
      </c>
      <c r="BL491" s="2" t="s">
        <v>74</v>
      </c>
      <c r="BM491" s="2" t="s">
        <v>74</v>
      </c>
      <c r="BN491" s="2" t="s">
        <v>74</v>
      </c>
      <c r="BO491" s="2" t="s">
        <v>74</v>
      </c>
      <c r="BP491" s="2" t="s">
        <v>74</v>
      </c>
      <c r="BQ491" s="2" t="s">
        <v>74</v>
      </c>
      <c r="BR491" s="2" t="s">
        <v>74</v>
      </c>
      <c r="BS491" s="2" t="s">
        <v>6496</v>
      </c>
      <c r="BT491" s="2" t="str">
        <f>HYPERLINK("https%3A%2F%2Fwww.webofscience.com%2Fwos%2Fwoscc%2Ffull-record%2FWOS:A1986AZF6400007","View Full Record in Web of Science")</f>
        <v>View Full Record in Web of Science</v>
      </c>
    </row>
    <row r="492" spans="1:72" s="2" customFormat="1" x14ac:dyDescent="0.4">
      <c r="A492" s="2" t="s">
        <v>72</v>
      </c>
      <c r="B492" s="2" t="s">
        <v>3225</v>
      </c>
      <c r="C492" s="2" t="s">
        <v>74</v>
      </c>
      <c r="D492" s="2" t="s">
        <v>74</v>
      </c>
      <c r="E492" s="2" t="s">
        <v>74</v>
      </c>
      <c r="F492" s="2" t="s">
        <v>3226</v>
      </c>
      <c r="G492" s="2" t="s">
        <v>74</v>
      </c>
      <c r="H492" s="2" t="s">
        <v>74</v>
      </c>
      <c r="I492" s="2" t="s">
        <v>3227</v>
      </c>
      <c r="J492" s="2" t="s">
        <v>1112</v>
      </c>
      <c r="K492" s="2" t="s">
        <v>74</v>
      </c>
      <c r="L492" s="2" t="s">
        <v>74</v>
      </c>
      <c r="M492" s="2" t="s">
        <v>74</v>
      </c>
      <c r="N492" s="2" t="s">
        <v>74</v>
      </c>
      <c r="O492" s="2" t="s">
        <v>74</v>
      </c>
      <c r="P492" s="2" t="s">
        <v>74</v>
      </c>
      <c r="Q492" s="2" t="s">
        <v>74</v>
      </c>
      <c r="R492" s="2" t="s">
        <v>74</v>
      </c>
      <c r="S492" s="2" t="s">
        <v>74</v>
      </c>
      <c r="T492" s="2" t="s">
        <v>74</v>
      </c>
      <c r="U492" s="2" t="s">
        <v>74</v>
      </c>
      <c r="V492" s="5" t="s">
        <v>3228</v>
      </c>
      <c r="W492" s="2" t="s">
        <v>74</v>
      </c>
      <c r="X492" s="2" t="s">
        <v>74</v>
      </c>
      <c r="Y492" s="2" t="s">
        <v>74</v>
      </c>
      <c r="Z492" s="2" t="s">
        <v>74</v>
      </c>
      <c r="AA492" s="2" t="s">
        <v>74</v>
      </c>
      <c r="AB492" s="2" t="s">
        <v>3229</v>
      </c>
      <c r="AC492" s="2" t="s">
        <v>74</v>
      </c>
      <c r="AD492" s="2" t="s">
        <v>74</v>
      </c>
      <c r="AE492" s="2" t="s">
        <v>74</v>
      </c>
      <c r="AF492" s="2" t="s">
        <v>74</v>
      </c>
      <c r="AG492" s="2" t="s">
        <v>74</v>
      </c>
      <c r="AH492" s="2" t="s">
        <v>74</v>
      </c>
      <c r="AI492" s="2" t="s">
        <v>74</v>
      </c>
      <c r="AJ492" s="2" t="s">
        <v>74</v>
      </c>
      <c r="AK492" s="2" t="s">
        <v>74</v>
      </c>
      <c r="AL492" s="2" t="s">
        <v>74</v>
      </c>
      <c r="AM492" s="2" t="s">
        <v>74</v>
      </c>
      <c r="AN492" s="2" t="s">
        <v>74</v>
      </c>
      <c r="AO492" s="2" t="s">
        <v>1114</v>
      </c>
      <c r="AP492" s="2" t="s">
        <v>1115</v>
      </c>
      <c r="AQ492" s="2" t="s">
        <v>74</v>
      </c>
      <c r="AR492" s="2" t="s">
        <v>74</v>
      </c>
      <c r="AS492" s="2" t="s">
        <v>74</v>
      </c>
      <c r="AT492" s="2" t="s">
        <v>352</v>
      </c>
      <c r="AU492" s="2">
        <v>2014</v>
      </c>
      <c r="AV492" s="2">
        <v>158</v>
      </c>
      <c r="AW492" s="2" t="s">
        <v>74</v>
      </c>
      <c r="AX492" s="2" t="s">
        <v>74</v>
      </c>
      <c r="AY492" s="2" t="s">
        <v>74</v>
      </c>
      <c r="AZ492" s="2" t="s">
        <v>74</v>
      </c>
      <c r="BA492" s="2" t="s">
        <v>74</v>
      </c>
      <c r="BB492" s="2">
        <v>76</v>
      </c>
      <c r="BC492" s="2">
        <v>85</v>
      </c>
      <c r="BD492" s="2" t="s">
        <v>74</v>
      </c>
      <c r="BE492" s="2" t="s">
        <v>3230</v>
      </c>
      <c r="BF492" s="2" t="str">
        <f>HYPERLINK("http://dx.doi.org/10.1016/j.applanim.2014.06.008","http://dx.doi.org/10.1016/j.applanim.2014.06.008")</f>
        <v>http://dx.doi.org/10.1016/j.applanim.2014.06.008</v>
      </c>
      <c r="BG492" s="2" t="s">
        <v>74</v>
      </c>
      <c r="BH492" s="2" t="s">
        <v>74</v>
      </c>
      <c r="BI492" s="2" t="s">
        <v>74</v>
      </c>
      <c r="BJ492" s="2" t="s">
        <v>74</v>
      </c>
      <c r="BK492" s="2" t="s">
        <v>74</v>
      </c>
      <c r="BL492" s="2" t="s">
        <v>74</v>
      </c>
      <c r="BM492" s="2" t="s">
        <v>74</v>
      </c>
      <c r="BN492" s="2" t="s">
        <v>74</v>
      </c>
      <c r="BO492" s="2" t="s">
        <v>74</v>
      </c>
      <c r="BP492" s="2" t="s">
        <v>74</v>
      </c>
      <c r="BQ492" s="2" t="s">
        <v>74</v>
      </c>
      <c r="BR492" s="2" t="s">
        <v>74</v>
      </c>
      <c r="BS492" s="2" t="s">
        <v>3231</v>
      </c>
      <c r="BT492" s="2" t="str">
        <f>HYPERLINK("https%3A%2F%2Fwww.webofscience.com%2Fwos%2Fwoscc%2Ffull-record%2FWOS:000341480200009","View Full Record in Web of Science")</f>
        <v>View Full Record in Web of Science</v>
      </c>
    </row>
    <row r="493" spans="1:72" s="1" customFormat="1" x14ac:dyDescent="0.4">
      <c r="A493" s="2" t="s">
        <v>72</v>
      </c>
      <c r="B493" s="2" t="s">
        <v>4129</v>
      </c>
      <c r="C493" s="2" t="s">
        <v>74</v>
      </c>
      <c r="D493" s="2" t="s">
        <v>74</v>
      </c>
      <c r="E493" s="2" t="s">
        <v>74</v>
      </c>
      <c r="F493" s="2" t="s">
        <v>4130</v>
      </c>
      <c r="G493" s="2" t="s">
        <v>74</v>
      </c>
      <c r="H493" s="2" t="s">
        <v>74</v>
      </c>
      <c r="I493" s="2" t="s">
        <v>4131</v>
      </c>
      <c r="J493" s="2" t="s">
        <v>610</v>
      </c>
      <c r="K493" s="2" t="s">
        <v>74</v>
      </c>
      <c r="L493" s="2" t="s">
        <v>74</v>
      </c>
      <c r="M493" s="2" t="s">
        <v>74</v>
      </c>
      <c r="N493" s="2" t="s">
        <v>74</v>
      </c>
      <c r="O493" s="2" t="s">
        <v>74</v>
      </c>
      <c r="P493" s="2" t="s">
        <v>74</v>
      </c>
      <c r="Q493" s="2" t="s">
        <v>74</v>
      </c>
      <c r="R493" s="2" t="s">
        <v>74</v>
      </c>
      <c r="S493" s="2" t="s">
        <v>74</v>
      </c>
      <c r="T493" s="2" t="s">
        <v>74</v>
      </c>
      <c r="U493" s="2" t="s">
        <v>74</v>
      </c>
      <c r="V493" s="5" t="s">
        <v>4132</v>
      </c>
      <c r="W493" s="2" t="s">
        <v>74</v>
      </c>
      <c r="X493" s="2" t="s">
        <v>74</v>
      </c>
      <c r="Y493" s="2" t="s">
        <v>74</v>
      </c>
      <c r="Z493" s="2" t="s">
        <v>74</v>
      </c>
      <c r="AA493" s="2" t="s">
        <v>4133</v>
      </c>
      <c r="AB493" s="2" t="s">
        <v>4134</v>
      </c>
      <c r="AC493" s="2" t="s">
        <v>74</v>
      </c>
      <c r="AD493" s="2" t="s">
        <v>74</v>
      </c>
      <c r="AE493" s="2" t="s">
        <v>74</v>
      </c>
      <c r="AF493" s="2" t="s">
        <v>74</v>
      </c>
      <c r="AG493" s="2" t="s">
        <v>74</v>
      </c>
      <c r="AH493" s="2" t="s">
        <v>74</v>
      </c>
      <c r="AI493" s="2" t="s">
        <v>74</v>
      </c>
      <c r="AJ493" s="2" t="s">
        <v>74</v>
      </c>
      <c r="AK493" s="2" t="s">
        <v>74</v>
      </c>
      <c r="AL493" s="2" t="s">
        <v>74</v>
      </c>
      <c r="AM493" s="2" t="s">
        <v>74</v>
      </c>
      <c r="AN493" s="2" t="s">
        <v>74</v>
      </c>
      <c r="AO493" s="2" t="s">
        <v>614</v>
      </c>
      <c r="AP493" s="2" t="s">
        <v>615</v>
      </c>
      <c r="AQ493" s="2" t="s">
        <v>74</v>
      </c>
      <c r="AR493" s="2" t="s">
        <v>74</v>
      </c>
      <c r="AS493" s="2" t="s">
        <v>74</v>
      </c>
      <c r="AT493" s="2" t="s">
        <v>213</v>
      </c>
      <c r="AU493" s="2">
        <v>2017</v>
      </c>
      <c r="AV493" s="2">
        <v>123</v>
      </c>
      <c r="AW493" s="2">
        <v>11</v>
      </c>
      <c r="AX493" s="2" t="s">
        <v>74</v>
      </c>
      <c r="AY493" s="2" t="s">
        <v>74</v>
      </c>
      <c r="AZ493" s="2" t="s">
        <v>74</v>
      </c>
      <c r="BA493" s="2" t="s">
        <v>74</v>
      </c>
      <c r="BB493" s="2">
        <v>875</v>
      </c>
      <c r="BC493" s="2">
        <v>884</v>
      </c>
      <c r="BD493" s="2" t="s">
        <v>74</v>
      </c>
      <c r="BE493" s="2" t="s">
        <v>4135</v>
      </c>
      <c r="BF493" s="2" t="str">
        <f>HYPERLINK("http://dx.doi.org/10.1111/eth.12664","http://dx.doi.org/10.1111/eth.12664")</f>
        <v>http://dx.doi.org/10.1111/eth.12664</v>
      </c>
      <c r="BG493" s="2" t="s">
        <v>74</v>
      </c>
      <c r="BH493" s="2" t="s">
        <v>74</v>
      </c>
      <c r="BI493" s="2" t="s">
        <v>74</v>
      </c>
      <c r="BJ493" s="2" t="s">
        <v>74</v>
      </c>
      <c r="BK493" s="2" t="s">
        <v>74</v>
      </c>
      <c r="BL493" s="2" t="s">
        <v>74</v>
      </c>
      <c r="BM493" s="2" t="s">
        <v>74</v>
      </c>
      <c r="BN493" s="2" t="s">
        <v>74</v>
      </c>
      <c r="BO493" s="2" t="s">
        <v>74</v>
      </c>
      <c r="BP493" s="2" t="s">
        <v>74</v>
      </c>
      <c r="BQ493" s="2" t="s">
        <v>74</v>
      </c>
      <c r="BR493" s="2" t="s">
        <v>74</v>
      </c>
      <c r="BS493" s="2" t="s">
        <v>4136</v>
      </c>
      <c r="BT493" s="2" t="str">
        <f>HYPERLINK("https%3A%2F%2Fwww.webofscience.com%2Fwos%2Fwoscc%2Ffull-record%2FWOS:000414036700013","View Full Record in Web of Science")</f>
        <v>View Full Record in Web of Science</v>
      </c>
    </row>
    <row r="494" spans="1:72" s="2" customFormat="1" x14ac:dyDescent="0.4">
      <c r="A494" s="2" t="s">
        <v>72</v>
      </c>
      <c r="B494" s="2" t="s">
        <v>342</v>
      </c>
      <c r="C494" s="2" t="s">
        <v>74</v>
      </c>
      <c r="D494" s="2" t="s">
        <v>74</v>
      </c>
      <c r="E494" s="2" t="s">
        <v>74</v>
      </c>
      <c r="F494" s="2" t="s">
        <v>342</v>
      </c>
      <c r="G494" s="2" t="s">
        <v>74</v>
      </c>
      <c r="H494" s="2" t="s">
        <v>74</v>
      </c>
      <c r="I494" s="2" t="s">
        <v>343</v>
      </c>
      <c r="J494" s="2" t="s">
        <v>344</v>
      </c>
      <c r="K494" s="2" t="s">
        <v>74</v>
      </c>
      <c r="L494" s="2" t="s">
        <v>74</v>
      </c>
      <c r="M494" s="2" t="s">
        <v>74</v>
      </c>
      <c r="N494" s="2" t="s">
        <v>74</v>
      </c>
      <c r="O494" s="2" t="s">
        <v>74</v>
      </c>
      <c r="P494" s="2" t="s">
        <v>74</v>
      </c>
      <c r="Q494" s="2" t="s">
        <v>74</v>
      </c>
      <c r="R494" s="2" t="s">
        <v>74</v>
      </c>
      <c r="S494" s="2" t="s">
        <v>74</v>
      </c>
      <c r="T494" s="2" t="s">
        <v>74</v>
      </c>
      <c r="U494" s="2" t="s">
        <v>74</v>
      </c>
      <c r="V494" s="5" t="s">
        <v>345</v>
      </c>
      <c r="W494" s="2" t="s">
        <v>74</v>
      </c>
      <c r="X494" s="2" t="s">
        <v>74</v>
      </c>
      <c r="Y494" s="2" t="s">
        <v>74</v>
      </c>
      <c r="Z494" s="2" t="s">
        <v>74</v>
      </c>
      <c r="AA494" s="2" t="s">
        <v>74</v>
      </c>
      <c r="AB494" s="2" t="s">
        <v>74</v>
      </c>
      <c r="AC494" s="2" t="s">
        <v>74</v>
      </c>
      <c r="AD494" s="2" t="s">
        <v>74</v>
      </c>
      <c r="AE494" s="2" t="s">
        <v>74</v>
      </c>
      <c r="AF494" s="2" t="s">
        <v>74</v>
      </c>
      <c r="AG494" s="2" t="s">
        <v>74</v>
      </c>
      <c r="AH494" s="2" t="s">
        <v>74</v>
      </c>
      <c r="AI494" s="2" t="s">
        <v>74</v>
      </c>
      <c r="AJ494" s="2" t="s">
        <v>74</v>
      </c>
      <c r="AK494" s="2" t="s">
        <v>74</v>
      </c>
      <c r="AL494" s="2" t="s">
        <v>74</v>
      </c>
      <c r="AM494" s="2" t="s">
        <v>74</v>
      </c>
      <c r="AN494" s="2" t="s">
        <v>74</v>
      </c>
      <c r="AO494" s="2" t="s">
        <v>346</v>
      </c>
      <c r="AP494" s="2" t="s">
        <v>74</v>
      </c>
      <c r="AQ494" s="2" t="s">
        <v>74</v>
      </c>
      <c r="AR494" s="2" t="s">
        <v>74</v>
      </c>
      <c r="AS494" s="2" t="s">
        <v>74</v>
      </c>
      <c r="AT494" s="2" t="s">
        <v>255</v>
      </c>
      <c r="AU494" s="2">
        <v>1995</v>
      </c>
      <c r="AV494" s="2">
        <v>42</v>
      </c>
      <c r="AW494" s="2">
        <v>1</v>
      </c>
      <c r="AX494" s="2" t="s">
        <v>74</v>
      </c>
      <c r="AY494" s="2" t="s">
        <v>74</v>
      </c>
      <c r="AZ494" s="2" t="s">
        <v>74</v>
      </c>
      <c r="BA494" s="2" t="s">
        <v>74</v>
      </c>
      <c r="BB494" s="2">
        <v>25</v>
      </c>
      <c r="BC494" s="2">
        <v>35</v>
      </c>
      <c r="BD494" s="2" t="s">
        <v>74</v>
      </c>
      <c r="BE494" s="2" t="s">
        <v>347</v>
      </c>
      <c r="BF494" s="2" t="str">
        <f>HYPERLINK("http://dx.doi.org/10.1007/BF00002348","http://dx.doi.org/10.1007/BF00002348")</f>
        <v>http://dx.doi.org/10.1007/BF00002348</v>
      </c>
      <c r="BG494" s="2" t="s">
        <v>74</v>
      </c>
      <c r="BH494" s="2" t="s">
        <v>74</v>
      </c>
      <c r="BI494" s="2" t="s">
        <v>74</v>
      </c>
      <c r="BJ494" s="2" t="s">
        <v>74</v>
      </c>
      <c r="BK494" s="2" t="s">
        <v>74</v>
      </c>
      <c r="BL494" s="2" t="s">
        <v>74</v>
      </c>
      <c r="BM494" s="2" t="s">
        <v>74</v>
      </c>
      <c r="BN494" s="2" t="s">
        <v>74</v>
      </c>
      <c r="BO494" s="2" t="s">
        <v>74</v>
      </c>
      <c r="BP494" s="2" t="s">
        <v>74</v>
      </c>
      <c r="BQ494" s="2" t="s">
        <v>74</v>
      </c>
      <c r="BR494" s="2" t="s">
        <v>74</v>
      </c>
      <c r="BS494" s="2" t="s">
        <v>348</v>
      </c>
      <c r="BT494" s="2" t="str">
        <f>HYPERLINK("https%3A%2F%2Fwww.webofscience.com%2Fwos%2Fwoscc%2Ffull-record%2FWOS:A1995QG52700004","View Full Record in Web of Science")</f>
        <v>View Full Record in Web of Science</v>
      </c>
    </row>
    <row r="495" spans="1:72" s="2" customFormat="1" x14ac:dyDescent="0.4">
      <c r="A495" s="2" t="s">
        <v>72</v>
      </c>
      <c r="B495" s="2" t="s">
        <v>342</v>
      </c>
      <c r="C495" s="2" t="s">
        <v>74</v>
      </c>
      <c r="D495" s="2" t="s">
        <v>74</v>
      </c>
      <c r="E495" s="2" t="s">
        <v>74</v>
      </c>
      <c r="F495" s="2" t="s">
        <v>342</v>
      </c>
      <c r="G495" s="2" t="s">
        <v>74</v>
      </c>
      <c r="H495" s="2" t="s">
        <v>74</v>
      </c>
      <c r="I495" s="2" t="s">
        <v>1125</v>
      </c>
      <c r="J495" s="2" t="s">
        <v>1126</v>
      </c>
      <c r="K495" s="2" t="s">
        <v>74</v>
      </c>
      <c r="L495" s="2" t="s">
        <v>74</v>
      </c>
      <c r="M495" s="2" t="s">
        <v>74</v>
      </c>
      <c r="N495" s="2" t="s">
        <v>74</v>
      </c>
      <c r="O495" s="2" t="s">
        <v>74</v>
      </c>
      <c r="P495" s="2" t="s">
        <v>74</v>
      </c>
      <c r="Q495" s="2" t="s">
        <v>74</v>
      </c>
      <c r="R495" s="2" t="s">
        <v>74</v>
      </c>
      <c r="S495" s="2" t="s">
        <v>74</v>
      </c>
      <c r="T495" s="2" t="s">
        <v>74</v>
      </c>
      <c r="U495" s="2" t="s">
        <v>74</v>
      </c>
      <c r="V495" s="5" t="s">
        <v>1127</v>
      </c>
      <c r="W495" s="2" t="s">
        <v>74</v>
      </c>
      <c r="X495" s="2" t="s">
        <v>74</v>
      </c>
      <c r="Y495" s="2" t="s">
        <v>74</v>
      </c>
      <c r="Z495" s="2" t="s">
        <v>74</v>
      </c>
      <c r="AA495" s="2" t="s">
        <v>74</v>
      </c>
      <c r="AB495" s="2" t="s">
        <v>74</v>
      </c>
      <c r="AC495" s="2" t="s">
        <v>74</v>
      </c>
      <c r="AD495" s="2" t="s">
        <v>74</v>
      </c>
      <c r="AE495" s="2" t="s">
        <v>74</v>
      </c>
      <c r="AF495" s="2" t="s">
        <v>74</v>
      </c>
      <c r="AG495" s="2" t="s">
        <v>74</v>
      </c>
      <c r="AH495" s="2" t="s">
        <v>74</v>
      </c>
      <c r="AI495" s="2" t="s">
        <v>74</v>
      </c>
      <c r="AJ495" s="2" t="s">
        <v>74</v>
      </c>
      <c r="AK495" s="2" t="s">
        <v>74</v>
      </c>
      <c r="AL495" s="2" t="s">
        <v>74</v>
      </c>
      <c r="AM495" s="2" t="s">
        <v>74</v>
      </c>
      <c r="AN495" s="2" t="s">
        <v>74</v>
      </c>
      <c r="AO495" s="2" t="s">
        <v>1128</v>
      </c>
      <c r="AP495" s="2" t="s">
        <v>1129</v>
      </c>
      <c r="AQ495" s="2" t="s">
        <v>74</v>
      </c>
      <c r="AR495" s="2" t="s">
        <v>74</v>
      </c>
      <c r="AS495" s="2" t="s">
        <v>74</v>
      </c>
      <c r="AT495" s="2" t="s">
        <v>1130</v>
      </c>
      <c r="AU495" s="2">
        <v>1993</v>
      </c>
      <c r="AV495" s="2" t="s">
        <v>74</v>
      </c>
      <c r="AW495" s="2">
        <v>1</v>
      </c>
      <c r="AX495" s="2" t="s">
        <v>74</v>
      </c>
      <c r="AY495" s="2" t="s">
        <v>74</v>
      </c>
      <c r="AZ495" s="2" t="s">
        <v>74</v>
      </c>
      <c r="BA495" s="2" t="s">
        <v>74</v>
      </c>
      <c r="BB495" s="2">
        <v>67</v>
      </c>
      <c r="BC495" s="2">
        <v>74</v>
      </c>
      <c r="BD495" s="2" t="s">
        <v>74</v>
      </c>
      <c r="BE495" s="2" t="s">
        <v>1131</v>
      </c>
      <c r="BF495" s="2" t="str">
        <f>HYPERLINK("http://dx.doi.org/10.2307/1446296","http://dx.doi.org/10.2307/1446296")</f>
        <v>http://dx.doi.org/10.2307/1446296</v>
      </c>
      <c r="BG495" s="2" t="s">
        <v>74</v>
      </c>
      <c r="BH495" s="2" t="s">
        <v>74</v>
      </c>
      <c r="BI495" s="2" t="s">
        <v>74</v>
      </c>
      <c r="BJ495" s="2" t="s">
        <v>74</v>
      </c>
      <c r="BK495" s="2" t="s">
        <v>74</v>
      </c>
      <c r="BL495" s="2" t="s">
        <v>74</v>
      </c>
      <c r="BM495" s="2" t="s">
        <v>74</v>
      </c>
      <c r="BN495" s="2" t="s">
        <v>74</v>
      </c>
      <c r="BO495" s="2" t="s">
        <v>74</v>
      </c>
      <c r="BP495" s="2" t="s">
        <v>74</v>
      </c>
      <c r="BQ495" s="2" t="s">
        <v>74</v>
      </c>
      <c r="BR495" s="2" t="s">
        <v>74</v>
      </c>
      <c r="BS495" s="2" t="s">
        <v>1132</v>
      </c>
      <c r="BT495" s="2" t="str">
        <f>HYPERLINK("https%3A%2F%2Fwww.webofscience.com%2Fwos%2Fwoscc%2Ffull-record%2FWOS:A1993KN22000006","View Full Record in Web of Science")</f>
        <v>View Full Record in Web of Science</v>
      </c>
    </row>
    <row r="496" spans="1:72" s="2" customFormat="1" x14ac:dyDescent="0.4">
      <c r="A496" s="2" t="s">
        <v>72</v>
      </c>
      <c r="B496" s="2" t="s">
        <v>6025</v>
      </c>
      <c r="C496" s="2" t="s">
        <v>74</v>
      </c>
      <c r="D496" s="2" t="s">
        <v>74</v>
      </c>
      <c r="E496" s="2" t="s">
        <v>74</v>
      </c>
      <c r="F496" s="2" t="s">
        <v>6026</v>
      </c>
      <c r="G496" s="2" t="s">
        <v>74</v>
      </c>
      <c r="H496" s="2" t="s">
        <v>74</v>
      </c>
      <c r="I496" s="2" t="s">
        <v>6027</v>
      </c>
      <c r="J496" s="2" t="s">
        <v>4727</v>
      </c>
      <c r="K496" s="2" t="s">
        <v>74</v>
      </c>
      <c r="L496" s="2" t="s">
        <v>74</v>
      </c>
      <c r="M496" s="2" t="s">
        <v>74</v>
      </c>
      <c r="N496" s="2" t="s">
        <v>74</v>
      </c>
      <c r="O496" s="2" t="s">
        <v>74</v>
      </c>
      <c r="P496" s="2" t="s">
        <v>74</v>
      </c>
      <c r="Q496" s="2" t="s">
        <v>74</v>
      </c>
      <c r="R496" s="2" t="s">
        <v>74</v>
      </c>
      <c r="S496" s="2" t="s">
        <v>74</v>
      </c>
      <c r="T496" s="2" t="s">
        <v>74</v>
      </c>
      <c r="U496" s="2" t="s">
        <v>74</v>
      </c>
      <c r="V496" s="5" t="s">
        <v>6028</v>
      </c>
      <c r="W496" s="2" t="s">
        <v>74</v>
      </c>
      <c r="X496" s="2" t="s">
        <v>74</v>
      </c>
      <c r="Y496" s="2" t="s">
        <v>74</v>
      </c>
      <c r="Z496" s="2" t="s">
        <v>74</v>
      </c>
      <c r="AA496" s="2" t="s">
        <v>74</v>
      </c>
      <c r="AB496" s="2" t="s">
        <v>6029</v>
      </c>
      <c r="AC496" s="2" t="s">
        <v>74</v>
      </c>
      <c r="AD496" s="2" t="s">
        <v>74</v>
      </c>
      <c r="AE496" s="2" t="s">
        <v>74</v>
      </c>
      <c r="AF496" s="2" t="s">
        <v>74</v>
      </c>
      <c r="AG496" s="2" t="s">
        <v>74</v>
      </c>
      <c r="AH496" s="2" t="s">
        <v>74</v>
      </c>
      <c r="AI496" s="2" t="s">
        <v>74</v>
      </c>
      <c r="AJ496" s="2" t="s">
        <v>74</v>
      </c>
      <c r="AK496" s="2" t="s">
        <v>74</v>
      </c>
      <c r="AL496" s="2" t="s">
        <v>74</v>
      </c>
      <c r="AM496" s="2" t="s">
        <v>74</v>
      </c>
      <c r="AN496" s="2" t="s">
        <v>74</v>
      </c>
      <c r="AO496" s="2" t="s">
        <v>74</v>
      </c>
      <c r="AP496" s="2" t="s">
        <v>4730</v>
      </c>
      <c r="AQ496" s="2" t="s">
        <v>74</v>
      </c>
      <c r="AR496" s="2" t="s">
        <v>74</v>
      </c>
      <c r="AS496" s="2" t="s">
        <v>74</v>
      </c>
      <c r="AT496" s="2" t="s">
        <v>123</v>
      </c>
      <c r="AU496" s="2">
        <v>2024</v>
      </c>
      <c r="AV496" s="2">
        <v>5</v>
      </c>
      <c r="AW496" s="2">
        <v>1</v>
      </c>
      <c r="AX496" s="2" t="s">
        <v>74</v>
      </c>
      <c r="AY496" s="2" t="s">
        <v>74</v>
      </c>
      <c r="AZ496" s="2" t="s">
        <v>74</v>
      </c>
      <c r="BA496" s="2" t="s">
        <v>74</v>
      </c>
      <c r="BB496" s="2">
        <v>173</v>
      </c>
      <c r="BC496" s="2">
        <v>189</v>
      </c>
      <c r="BD496" s="2" t="s">
        <v>74</v>
      </c>
      <c r="BE496" s="2" t="s">
        <v>6030</v>
      </c>
      <c r="BF496" s="2" t="str">
        <f>HYPERLINK("http://dx.doi.org/10.3390/birds5010012","http://dx.doi.org/10.3390/birds5010012")</f>
        <v>http://dx.doi.org/10.3390/birds5010012</v>
      </c>
      <c r="BG496" s="2" t="s">
        <v>74</v>
      </c>
      <c r="BH496" s="2" t="s">
        <v>74</v>
      </c>
      <c r="BI496" s="2" t="s">
        <v>74</v>
      </c>
      <c r="BJ496" s="2" t="s">
        <v>74</v>
      </c>
      <c r="BK496" s="2" t="s">
        <v>74</v>
      </c>
      <c r="BL496" s="2" t="s">
        <v>74</v>
      </c>
      <c r="BM496" s="2" t="s">
        <v>74</v>
      </c>
      <c r="BN496" s="2" t="s">
        <v>74</v>
      </c>
      <c r="BO496" s="2" t="s">
        <v>74</v>
      </c>
      <c r="BP496" s="2" t="s">
        <v>74</v>
      </c>
      <c r="BQ496" s="2" t="s">
        <v>74</v>
      </c>
      <c r="BR496" s="2" t="s">
        <v>74</v>
      </c>
      <c r="BS496" s="2" t="s">
        <v>6031</v>
      </c>
      <c r="BT496" s="2" t="str">
        <f>HYPERLINK("https%3A%2F%2Fwww.webofscience.com%2Fwos%2Fwoscc%2Ffull-record%2FWOS:001191523100001","View Full Record in Web of Science")</f>
        <v>View Full Record in Web of Science</v>
      </c>
    </row>
    <row r="497" spans="1:72" s="2" customFormat="1" x14ac:dyDescent="0.4">
      <c r="A497" s="2" t="s">
        <v>72</v>
      </c>
      <c r="B497" s="2" t="s">
        <v>6099</v>
      </c>
      <c r="C497" s="2" t="s">
        <v>74</v>
      </c>
      <c r="D497" s="2" t="s">
        <v>74</v>
      </c>
      <c r="E497" s="2" t="s">
        <v>74</v>
      </c>
      <c r="F497" s="2" t="s">
        <v>6100</v>
      </c>
      <c r="G497" s="2" t="s">
        <v>74</v>
      </c>
      <c r="H497" s="2" t="s">
        <v>74</v>
      </c>
      <c r="I497" s="2" t="s">
        <v>6101</v>
      </c>
      <c r="J497" s="2" t="s">
        <v>333</v>
      </c>
      <c r="K497" s="2" t="s">
        <v>74</v>
      </c>
      <c r="L497" s="2" t="s">
        <v>74</v>
      </c>
      <c r="M497" s="2" t="s">
        <v>74</v>
      </c>
      <c r="N497" s="2" t="s">
        <v>74</v>
      </c>
      <c r="O497" s="2" t="s">
        <v>74</v>
      </c>
      <c r="P497" s="2" t="s">
        <v>74</v>
      </c>
      <c r="Q497" s="2" t="s">
        <v>74</v>
      </c>
      <c r="R497" s="2" t="s">
        <v>74</v>
      </c>
      <c r="S497" s="2" t="s">
        <v>74</v>
      </c>
      <c r="T497" s="2" t="s">
        <v>74</v>
      </c>
      <c r="U497" s="2" t="s">
        <v>74</v>
      </c>
      <c r="V497" s="5" t="s">
        <v>6102</v>
      </c>
      <c r="W497" s="2" t="s">
        <v>74</v>
      </c>
      <c r="X497" s="2" t="s">
        <v>74</v>
      </c>
      <c r="Y497" s="2" t="s">
        <v>74</v>
      </c>
      <c r="Z497" s="2" t="s">
        <v>74</v>
      </c>
      <c r="AA497" s="2" t="s">
        <v>6103</v>
      </c>
      <c r="AB497" s="2" t="s">
        <v>1012</v>
      </c>
      <c r="AC497" s="2" t="s">
        <v>74</v>
      </c>
      <c r="AD497" s="2" t="s">
        <v>74</v>
      </c>
      <c r="AE497" s="2" t="s">
        <v>74</v>
      </c>
      <c r="AF497" s="2" t="s">
        <v>74</v>
      </c>
      <c r="AG497" s="2" t="s">
        <v>74</v>
      </c>
      <c r="AH497" s="2" t="s">
        <v>74</v>
      </c>
      <c r="AI497" s="2" t="s">
        <v>74</v>
      </c>
      <c r="AJ497" s="2" t="s">
        <v>74</v>
      </c>
      <c r="AK497" s="2" t="s">
        <v>74</v>
      </c>
      <c r="AL497" s="2" t="s">
        <v>74</v>
      </c>
      <c r="AM497" s="2" t="s">
        <v>74</v>
      </c>
      <c r="AN497" s="2" t="s">
        <v>74</v>
      </c>
      <c r="AO497" s="2" t="s">
        <v>337</v>
      </c>
      <c r="AP497" s="2" t="s">
        <v>338</v>
      </c>
      <c r="AQ497" s="2" t="s">
        <v>74</v>
      </c>
      <c r="AR497" s="2" t="s">
        <v>74</v>
      </c>
      <c r="AS497" s="2" t="s">
        <v>74</v>
      </c>
      <c r="AT497" s="2" t="s">
        <v>808</v>
      </c>
      <c r="AU497" s="2">
        <v>2014</v>
      </c>
      <c r="AV497" s="2">
        <v>25</v>
      </c>
      <c r="AW497" s="2">
        <v>3</v>
      </c>
      <c r="AX497" s="2" t="s">
        <v>74</v>
      </c>
      <c r="AY497" s="2" t="s">
        <v>74</v>
      </c>
      <c r="AZ497" s="2" t="s">
        <v>74</v>
      </c>
      <c r="BA497" s="2" t="s">
        <v>74</v>
      </c>
      <c r="BB497" s="2" t="s">
        <v>74</v>
      </c>
      <c r="BC497" s="2" t="s">
        <v>74</v>
      </c>
      <c r="BD497" s="2" t="s">
        <v>74</v>
      </c>
      <c r="BE497" s="2" t="s">
        <v>6104</v>
      </c>
      <c r="BF497" s="2" t="str">
        <f>HYPERLINK("http://dx.doi.org/10.1093/beheco/aru034","http://dx.doi.org/10.1093/beheco/aru034")</f>
        <v>http://dx.doi.org/10.1093/beheco/aru034</v>
      </c>
      <c r="BG497" s="2" t="s">
        <v>74</v>
      </c>
      <c r="BH497" s="2" t="s">
        <v>74</v>
      </c>
      <c r="BI497" s="2" t="s">
        <v>74</v>
      </c>
      <c r="BJ497" s="2" t="s">
        <v>74</v>
      </c>
      <c r="BK497" s="2" t="s">
        <v>74</v>
      </c>
      <c r="BL497" s="2" t="s">
        <v>74</v>
      </c>
      <c r="BM497" s="2" t="s">
        <v>74</v>
      </c>
      <c r="BN497" s="2" t="s">
        <v>74</v>
      </c>
      <c r="BO497" s="2" t="s">
        <v>74</v>
      </c>
      <c r="BP497" s="2" t="s">
        <v>74</v>
      </c>
      <c r="BQ497" s="2" t="s">
        <v>74</v>
      </c>
      <c r="BR497" s="2" t="s">
        <v>74</v>
      </c>
      <c r="BS497" s="2" t="s">
        <v>6105</v>
      </c>
      <c r="BT497" s="2" t="str">
        <f>HYPERLINK("https%3A%2F%2Fwww.webofscience.com%2Fwos%2Fwoscc%2Ffull-record%2FWOS:000336486100029","View Full Record in Web of Science")</f>
        <v>View Full Record in Web of Science</v>
      </c>
    </row>
    <row r="498" spans="1:72" s="7" customFormat="1" x14ac:dyDescent="0.4">
      <c r="A498" s="2" t="s">
        <v>72</v>
      </c>
      <c r="B498" s="2" t="s">
        <v>3023</v>
      </c>
      <c r="C498" s="2" t="s">
        <v>74</v>
      </c>
      <c r="D498" s="2" t="s">
        <v>74</v>
      </c>
      <c r="E498" s="2" t="s">
        <v>74</v>
      </c>
      <c r="F498" s="2" t="s">
        <v>3024</v>
      </c>
      <c r="G498" s="2" t="s">
        <v>74</v>
      </c>
      <c r="H498" s="2" t="s">
        <v>74</v>
      </c>
      <c r="I498" s="2" t="s">
        <v>3025</v>
      </c>
      <c r="J498" s="2" t="s">
        <v>3026</v>
      </c>
      <c r="K498" s="2" t="s">
        <v>74</v>
      </c>
      <c r="L498" s="2" t="s">
        <v>74</v>
      </c>
      <c r="M498" s="2" t="s">
        <v>74</v>
      </c>
      <c r="N498" s="2" t="s">
        <v>74</v>
      </c>
      <c r="O498" s="2" t="s">
        <v>74</v>
      </c>
      <c r="P498" s="2" t="s">
        <v>74</v>
      </c>
      <c r="Q498" s="2" t="s">
        <v>74</v>
      </c>
      <c r="R498" s="2" t="s">
        <v>74</v>
      </c>
      <c r="S498" s="2" t="s">
        <v>74</v>
      </c>
      <c r="T498" s="2" t="s">
        <v>74</v>
      </c>
      <c r="U498" s="2" t="s">
        <v>74</v>
      </c>
      <c r="V498" s="5" t="s">
        <v>3027</v>
      </c>
      <c r="W498" s="2" t="s">
        <v>74</v>
      </c>
      <c r="X498" s="2" t="s">
        <v>74</v>
      </c>
      <c r="Y498" s="2" t="s">
        <v>74</v>
      </c>
      <c r="Z498" s="2" t="s">
        <v>74</v>
      </c>
      <c r="AA498" s="2" t="s">
        <v>3028</v>
      </c>
      <c r="AB498" s="2" t="s">
        <v>3029</v>
      </c>
      <c r="AC498" s="2" t="s">
        <v>74</v>
      </c>
      <c r="AD498" s="2" t="s">
        <v>74</v>
      </c>
      <c r="AE498" s="2" t="s">
        <v>74</v>
      </c>
      <c r="AF498" s="2" t="s">
        <v>74</v>
      </c>
      <c r="AG498" s="2" t="s">
        <v>74</v>
      </c>
      <c r="AH498" s="2" t="s">
        <v>74</v>
      </c>
      <c r="AI498" s="2" t="s">
        <v>74</v>
      </c>
      <c r="AJ498" s="2" t="s">
        <v>74</v>
      </c>
      <c r="AK498" s="2" t="s">
        <v>74</v>
      </c>
      <c r="AL498" s="2" t="s">
        <v>74</v>
      </c>
      <c r="AM498" s="2" t="s">
        <v>74</v>
      </c>
      <c r="AN498" s="2" t="s">
        <v>74</v>
      </c>
      <c r="AO498" s="2" t="s">
        <v>3030</v>
      </c>
      <c r="AP498" s="2" t="s">
        <v>74</v>
      </c>
      <c r="AQ498" s="2" t="s">
        <v>74</v>
      </c>
      <c r="AR498" s="2" t="s">
        <v>74</v>
      </c>
      <c r="AS498" s="2" t="s">
        <v>74</v>
      </c>
      <c r="AT498" s="2" t="s">
        <v>175</v>
      </c>
      <c r="AU498" s="2">
        <v>2023</v>
      </c>
      <c r="AV498" s="2">
        <v>12</v>
      </c>
      <c r="AW498" s="2">
        <v>10</v>
      </c>
      <c r="AX498" s="2" t="s">
        <v>74</v>
      </c>
      <c r="AY498" s="2" t="s">
        <v>74</v>
      </c>
      <c r="AZ498" s="2" t="s">
        <v>74</v>
      </c>
      <c r="BA498" s="2" t="s">
        <v>74</v>
      </c>
      <c r="BB498" s="2" t="s">
        <v>74</v>
      </c>
      <c r="BC498" s="2" t="s">
        <v>74</v>
      </c>
      <c r="BD498" s="2" t="s">
        <v>3031</v>
      </c>
      <c r="BE498" s="2" t="s">
        <v>3032</v>
      </c>
      <c r="BF498" s="2" t="str">
        <f>HYPERLINK("http://dx.doi.org/10.1242/bio.060114","http://dx.doi.org/10.1242/bio.060114")</f>
        <v>http://dx.doi.org/10.1242/bio.060114</v>
      </c>
      <c r="BG498" s="2" t="s">
        <v>74</v>
      </c>
      <c r="BH498" s="2" t="s">
        <v>74</v>
      </c>
      <c r="BI498" s="2" t="s">
        <v>74</v>
      </c>
      <c r="BJ498" s="2" t="s">
        <v>74</v>
      </c>
      <c r="BK498" s="2" t="s">
        <v>74</v>
      </c>
      <c r="BL498" s="2" t="s">
        <v>74</v>
      </c>
      <c r="BM498" s="2" t="s">
        <v>74</v>
      </c>
      <c r="BN498" s="2">
        <v>37756597</v>
      </c>
      <c r="BO498" s="2" t="s">
        <v>74</v>
      </c>
      <c r="BP498" s="2" t="s">
        <v>74</v>
      </c>
      <c r="BQ498" s="2" t="s">
        <v>74</v>
      </c>
      <c r="BR498" s="2" t="s">
        <v>74</v>
      </c>
      <c r="BS498" s="2" t="s">
        <v>3033</v>
      </c>
      <c r="BT498" s="2" t="str">
        <f>HYPERLINK("https%3A%2F%2Fwww.webofscience.com%2Fwos%2Fwoscc%2Ffull-record%2FWOS:001108722600005","View Full Record in Web of Science")</f>
        <v>View Full Record in Web of Science</v>
      </c>
    </row>
    <row r="499" spans="1:72" s="2" customFormat="1" x14ac:dyDescent="0.4">
      <c r="A499" s="2" t="s">
        <v>72</v>
      </c>
      <c r="B499" s="2" t="s">
        <v>3946</v>
      </c>
      <c r="C499" s="2" t="s">
        <v>74</v>
      </c>
      <c r="D499" s="2" t="s">
        <v>74</v>
      </c>
      <c r="E499" s="2" t="s">
        <v>74</v>
      </c>
      <c r="F499" s="2" t="s">
        <v>3947</v>
      </c>
      <c r="G499" s="2" t="s">
        <v>74</v>
      </c>
      <c r="H499" s="2" t="s">
        <v>74</v>
      </c>
      <c r="I499" s="2" t="s">
        <v>3948</v>
      </c>
      <c r="J499" s="2" t="s">
        <v>88</v>
      </c>
      <c r="K499" s="2" t="s">
        <v>74</v>
      </c>
      <c r="L499" s="2" t="s">
        <v>74</v>
      </c>
      <c r="M499" s="2" t="s">
        <v>74</v>
      </c>
      <c r="N499" s="2" t="s">
        <v>74</v>
      </c>
      <c r="O499" s="2" t="s">
        <v>74</v>
      </c>
      <c r="P499" s="2" t="s">
        <v>74</v>
      </c>
      <c r="Q499" s="2" t="s">
        <v>74</v>
      </c>
      <c r="R499" s="2" t="s">
        <v>74</v>
      </c>
      <c r="S499" s="2" t="s">
        <v>74</v>
      </c>
      <c r="T499" s="2" t="s">
        <v>74</v>
      </c>
      <c r="U499" s="2" t="s">
        <v>74</v>
      </c>
      <c r="V499" s="5" t="s">
        <v>3949</v>
      </c>
      <c r="W499" s="2" t="s">
        <v>74</v>
      </c>
      <c r="X499" s="2" t="s">
        <v>74</v>
      </c>
      <c r="Y499" s="2" t="s">
        <v>74</v>
      </c>
      <c r="Z499" s="2" t="s">
        <v>74</v>
      </c>
      <c r="AA499" s="2" t="s">
        <v>74</v>
      </c>
      <c r="AB499" s="2" t="s">
        <v>74</v>
      </c>
      <c r="AC499" s="2" t="s">
        <v>74</v>
      </c>
      <c r="AD499" s="2" t="s">
        <v>74</v>
      </c>
      <c r="AE499" s="2" t="s">
        <v>74</v>
      </c>
      <c r="AF499" s="2" t="s">
        <v>74</v>
      </c>
      <c r="AG499" s="2" t="s">
        <v>74</v>
      </c>
      <c r="AH499" s="2" t="s">
        <v>74</v>
      </c>
      <c r="AI499" s="2" t="s">
        <v>74</v>
      </c>
      <c r="AJ499" s="2" t="s">
        <v>74</v>
      </c>
      <c r="AK499" s="2" t="s">
        <v>74</v>
      </c>
      <c r="AL499" s="2" t="s">
        <v>74</v>
      </c>
      <c r="AM499" s="2" t="s">
        <v>74</v>
      </c>
      <c r="AN499" s="2" t="s">
        <v>74</v>
      </c>
      <c r="AO499" s="2" t="s">
        <v>91</v>
      </c>
      <c r="AP499" s="2" t="s">
        <v>92</v>
      </c>
      <c r="AQ499" s="2" t="s">
        <v>74</v>
      </c>
      <c r="AR499" s="2" t="s">
        <v>74</v>
      </c>
      <c r="AS499" s="2" t="s">
        <v>74</v>
      </c>
      <c r="AT499" s="2" t="s">
        <v>3950</v>
      </c>
      <c r="AU499" s="2">
        <v>2006</v>
      </c>
      <c r="AV499" s="2">
        <v>2</v>
      </c>
      <c r="AW499" s="2">
        <v>2</v>
      </c>
      <c r="AX499" s="2" t="s">
        <v>74</v>
      </c>
      <c r="AY499" s="2" t="s">
        <v>74</v>
      </c>
      <c r="AZ499" s="2" t="s">
        <v>74</v>
      </c>
      <c r="BA499" s="2" t="s">
        <v>74</v>
      </c>
      <c r="BB499" s="2">
        <v>177</v>
      </c>
      <c r="BC499" s="2">
        <v>180</v>
      </c>
      <c r="BD499" s="2" t="s">
        <v>74</v>
      </c>
      <c r="BE499" s="2" t="s">
        <v>3951</v>
      </c>
      <c r="BF499" s="2" t="str">
        <f>HYPERLINK("http://dx.doi.org/10.1098/rsbl.2005.0438","http://dx.doi.org/10.1098/rsbl.2005.0438")</f>
        <v>http://dx.doi.org/10.1098/rsbl.2005.0438</v>
      </c>
      <c r="BG499" s="2" t="s">
        <v>74</v>
      </c>
      <c r="BH499" s="2" t="s">
        <v>74</v>
      </c>
      <c r="BI499" s="2" t="s">
        <v>74</v>
      </c>
      <c r="BJ499" s="2" t="s">
        <v>74</v>
      </c>
      <c r="BK499" s="2" t="s">
        <v>74</v>
      </c>
      <c r="BL499" s="2" t="s">
        <v>74</v>
      </c>
      <c r="BM499" s="2" t="s">
        <v>74</v>
      </c>
      <c r="BN499" s="2">
        <v>17148357</v>
      </c>
      <c r="BO499" s="2" t="s">
        <v>74</v>
      </c>
      <c r="BP499" s="2" t="s">
        <v>74</v>
      </c>
      <c r="BQ499" s="2" t="s">
        <v>74</v>
      </c>
      <c r="BR499" s="2" t="s">
        <v>74</v>
      </c>
      <c r="BS499" s="2" t="s">
        <v>3952</v>
      </c>
      <c r="BT499" s="2" t="str">
        <f>HYPERLINK("https%3A%2F%2Fwww.webofscience.com%2Fwos%2Fwoscc%2Ffull-record%2FWOS:000241862500005","View Full Record in Web of Science")</f>
        <v>View Full Record in Web of Science</v>
      </c>
    </row>
    <row r="500" spans="1:72" s="2" customFormat="1" x14ac:dyDescent="0.4">
      <c r="A500" s="2" t="s">
        <v>72</v>
      </c>
      <c r="B500" s="2" t="s">
        <v>7849</v>
      </c>
      <c r="C500" s="2" t="s">
        <v>74</v>
      </c>
      <c r="D500" s="2" t="s">
        <v>74</v>
      </c>
      <c r="E500" s="2" t="s">
        <v>74</v>
      </c>
      <c r="F500" s="2" t="s">
        <v>7850</v>
      </c>
      <c r="G500" s="2" t="s">
        <v>74</v>
      </c>
      <c r="H500" s="2" t="s">
        <v>74</v>
      </c>
      <c r="I500" s="2" t="s">
        <v>7851</v>
      </c>
      <c r="J500" s="2" t="s">
        <v>218</v>
      </c>
      <c r="K500" s="2" t="s">
        <v>74</v>
      </c>
      <c r="L500" s="2" t="s">
        <v>74</v>
      </c>
      <c r="M500" s="2" t="s">
        <v>74</v>
      </c>
      <c r="N500" s="2" t="s">
        <v>74</v>
      </c>
      <c r="O500" s="2" t="s">
        <v>74</v>
      </c>
      <c r="P500" s="2" t="s">
        <v>74</v>
      </c>
      <c r="Q500" s="2" t="s">
        <v>74</v>
      </c>
      <c r="R500" s="2" t="s">
        <v>74</v>
      </c>
      <c r="S500" s="2" t="s">
        <v>74</v>
      </c>
      <c r="T500" s="2" t="s">
        <v>74</v>
      </c>
      <c r="U500" s="2" t="s">
        <v>74</v>
      </c>
      <c r="V500" s="5" t="s">
        <v>7852</v>
      </c>
      <c r="W500" s="2" t="s">
        <v>74</v>
      </c>
      <c r="X500" s="2" t="s">
        <v>74</v>
      </c>
      <c r="Y500" s="2" t="s">
        <v>74</v>
      </c>
      <c r="Z500" s="2" t="s">
        <v>74</v>
      </c>
      <c r="AA500" s="2" t="s">
        <v>7853</v>
      </c>
      <c r="AB500" s="2" t="s">
        <v>7854</v>
      </c>
      <c r="AC500" s="2" t="s">
        <v>74</v>
      </c>
      <c r="AD500" s="2" t="s">
        <v>74</v>
      </c>
      <c r="AE500" s="2" t="s">
        <v>74</v>
      </c>
      <c r="AF500" s="2" t="s">
        <v>74</v>
      </c>
      <c r="AG500" s="2" t="s">
        <v>74</v>
      </c>
      <c r="AH500" s="2" t="s">
        <v>74</v>
      </c>
      <c r="AI500" s="2" t="s">
        <v>74</v>
      </c>
      <c r="AJ500" s="2" t="s">
        <v>74</v>
      </c>
      <c r="AK500" s="2" t="s">
        <v>74</v>
      </c>
      <c r="AL500" s="2" t="s">
        <v>74</v>
      </c>
      <c r="AM500" s="2" t="s">
        <v>74</v>
      </c>
      <c r="AN500" s="2" t="s">
        <v>74</v>
      </c>
      <c r="AO500" s="2" t="s">
        <v>221</v>
      </c>
      <c r="AP500" s="2" t="s">
        <v>222</v>
      </c>
      <c r="AQ500" s="2" t="s">
        <v>74</v>
      </c>
      <c r="AR500" s="2" t="s">
        <v>74</v>
      </c>
      <c r="AS500" s="2" t="s">
        <v>74</v>
      </c>
      <c r="AT500" s="2" t="s">
        <v>123</v>
      </c>
      <c r="AU500" s="2">
        <v>2023</v>
      </c>
      <c r="AV500" s="2">
        <v>36</v>
      </c>
      <c r="AW500" s="2">
        <v>3</v>
      </c>
      <c r="AX500" s="2" t="s">
        <v>74</v>
      </c>
      <c r="AY500" s="2" t="s">
        <v>74</v>
      </c>
      <c r="AZ500" s="2" t="s">
        <v>74</v>
      </c>
      <c r="BA500" s="2" t="s">
        <v>74</v>
      </c>
      <c r="BB500" s="2">
        <v>563</v>
      </c>
      <c r="BC500" s="2">
        <v>578</v>
      </c>
      <c r="BD500" s="2" t="s">
        <v>74</v>
      </c>
      <c r="BE500" s="2" t="s">
        <v>7855</v>
      </c>
      <c r="BF500" s="2" t="str">
        <f>HYPERLINK("http://dx.doi.org/10.1111/jeb.14151","http://dx.doi.org/10.1111/jeb.14151")</f>
        <v>http://dx.doi.org/10.1111/jeb.14151</v>
      </c>
      <c r="BG500" s="2" t="s">
        <v>74</v>
      </c>
      <c r="BH500" s="2" t="s">
        <v>3048</v>
      </c>
      <c r="BI500" s="2" t="s">
        <v>74</v>
      </c>
      <c r="BJ500" s="2" t="s">
        <v>74</v>
      </c>
      <c r="BK500" s="2" t="s">
        <v>74</v>
      </c>
      <c r="BL500" s="2" t="s">
        <v>74</v>
      </c>
      <c r="BM500" s="2" t="s">
        <v>74</v>
      </c>
      <c r="BN500" s="2">
        <v>36702779</v>
      </c>
      <c r="BO500" s="2" t="s">
        <v>74</v>
      </c>
      <c r="BP500" s="2" t="s">
        <v>74</v>
      </c>
      <c r="BQ500" s="2" t="s">
        <v>74</v>
      </c>
      <c r="BR500" s="2" t="s">
        <v>74</v>
      </c>
      <c r="BS500" s="2" t="s">
        <v>7856</v>
      </c>
      <c r="BT500" s="2" t="str">
        <f>HYPERLINK("https%3A%2F%2Fwww.webofscience.com%2Fwos%2Fwoscc%2Ffull-record%2FWOS:000922981900001","View Full Record in Web of Science")</f>
        <v>View Full Record in Web of Science</v>
      </c>
    </row>
    <row r="501" spans="1:72" s="2" customFormat="1" x14ac:dyDescent="0.4">
      <c r="A501" s="2" t="s">
        <v>72</v>
      </c>
      <c r="B501" s="2" t="s">
        <v>7529</v>
      </c>
      <c r="C501" s="2" t="s">
        <v>74</v>
      </c>
      <c r="D501" s="2" t="s">
        <v>74</v>
      </c>
      <c r="E501" s="2" t="s">
        <v>74</v>
      </c>
      <c r="F501" s="2" t="s">
        <v>7529</v>
      </c>
      <c r="G501" s="2" t="s">
        <v>74</v>
      </c>
      <c r="H501" s="2" t="s">
        <v>74</v>
      </c>
      <c r="I501" s="2" t="s">
        <v>7530</v>
      </c>
      <c r="J501" s="2" t="s">
        <v>4145</v>
      </c>
      <c r="K501" s="2" t="s">
        <v>74</v>
      </c>
      <c r="L501" s="2" t="s">
        <v>74</v>
      </c>
      <c r="M501" s="2" t="s">
        <v>74</v>
      </c>
      <c r="N501" s="2" t="s">
        <v>74</v>
      </c>
      <c r="O501" s="2" t="s">
        <v>74</v>
      </c>
      <c r="P501" s="2" t="s">
        <v>74</v>
      </c>
      <c r="Q501" s="2" t="s">
        <v>74</v>
      </c>
      <c r="R501" s="2" t="s">
        <v>74</v>
      </c>
      <c r="S501" s="2" t="s">
        <v>74</v>
      </c>
      <c r="T501" s="2" t="s">
        <v>74</v>
      </c>
      <c r="U501" s="2" t="s">
        <v>74</v>
      </c>
      <c r="V501" s="5" t="s">
        <v>7531</v>
      </c>
      <c r="W501" s="2" t="s">
        <v>74</v>
      </c>
      <c r="X501" s="2" t="s">
        <v>74</v>
      </c>
      <c r="Y501" s="2" t="s">
        <v>74</v>
      </c>
      <c r="Z501" s="2" t="s">
        <v>74</v>
      </c>
      <c r="AA501" s="2" t="s">
        <v>7532</v>
      </c>
      <c r="AB501" s="2" t="s">
        <v>7533</v>
      </c>
      <c r="AC501" s="2" t="s">
        <v>74</v>
      </c>
      <c r="AD501" s="2" t="s">
        <v>74</v>
      </c>
      <c r="AE501" s="2" t="s">
        <v>74</v>
      </c>
      <c r="AF501" s="2" t="s">
        <v>74</v>
      </c>
      <c r="AG501" s="2" t="s">
        <v>74</v>
      </c>
      <c r="AH501" s="2" t="s">
        <v>74</v>
      </c>
      <c r="AI501" s="2" t="s">
        <v>74</v>
      </c>
      <c r="AJ501" s="2" t="s">
        <v>74</v>
      </c>
      <c r="AK501" s="2" t="s">
        <v>74</v>
      </c>
      <c r="AL501" s="2" t="s">
        <v>74</v>
      </c>
      <c r="AM501" s="2" t="s">
        <v>74</v>
      </c>
      <c r="AN501" s="2" t="s">
        <v>74</v>
      </c>
      <c r="AO501" s="2" t="s">
        <v>4147</v>
      </c>
      <c r="AP501" s="2" t="s">
        <v>7534</v>
      </c>
      <c r="AQ501" s="2" t="s">
        <v>74</v>
      </c>
      <c r="AR501" s="2" t="s">
        <v>74</v>
      </c>
      <c r="AS501" s="2" t="s">
        <v>74</v>
      </c>
      <c r="AT501" s="2" t="s">
        <v>123</v>
      </c>
      <c r="AU501" s="2">
        <v>2003</v>
      </c>
      <c r="AV501" s="2">
        <v>189</v>
      </c>
      <c r="AW501" s="2">
        <v>3</v>
      </c>
      <c r="AX501" s="2" t="s">
        <v>74</v>
      </c>
      <c r="AY501" s="2" t="s">
        <v>74</v>
      </c>
      <c r="AZ501" s="2" t="s">
        <v>74</v>
      </c>
      <c r="BA501" s="2" t="s">
        <v>74</v>
      </c>
      <c r="BB501" s="2">
        <v>213</v>
      </c>
      <c r="BC501" s="2">
        <v>220</v>
      </c>
      <c r="BD501" s="2" t="s">
        <v>74</v>
      </c>
      <c r="BE501" s="2" t="s">
        <v>7535</v>
      </c>
      <c r="BF501" s="2" t="str">
        <f>HYPERLINK("http://dx.doi.org/10.1007/s00359-003-0392-4","http://dx.doi.org/10.1007/s00359-003-0392-4")</f>
        <v>http://dx.doi.org/10.1007/s00359-003-0392-4</v>
      </c>
      <c r="BG501" s="2" t="s">
        <v>74</v>
      </c>
      <c r="BH501" s="2" t="s">
        <v>74</v>
      </c>
      <c r="BI501" s="2" t="s">
        <v>74</v>
      </c>
      <c r="BJ501" s="2" t="s">
        <v>74</v>
      </c>
      <c r="BK501" s="2" t="s">
        <v>74</v>
      </c>
      <c r="BL501" s="2" t="s">
        <v>74</v>
      </c>
      <c r="BM501" s="2" t="s">
        <v>74</v>
      </c>
      <c r="BN501" s="2">
        <v>12664097</v>
      </c>
      <c r="BO501" s="2" t="s">
        <v>74</v>
      </c>
      <c r="BP501" s="2" t="s">
        <v>74</v>
      </c>
      <c r="BQ501" s="2" t="s">
        <v>74</v>
      </c>
      <c r="BR501" s="2" t="s">
        <v>74</v>
      </c>
      <c r="BS501" s="2" t="s">
        <v>7536</v>
      </c>
      <c r="BT501" s="2" t="str">
        <f>HYPERLINK("https%3A%2F%2Fwww.webofscience.com%2Fwos%2Fwoscc%2Ffull-record%2FWOS:000182652100007","View Full Record in Web of Science")</f>
        <v>View Full Record in Web of Science</v>
      </c>
    </row>
    <row r="502" spans="1:72" s="2" customFormat="1" x14ac:dyDescent="0.4">
      <c r="A502" s="2" t="s">
        <v>72</v>
      </c>
      <c r="B502" s="2" t="s">
        <v>7018</v>
      </c>
      <c r="C502" s="2" t="s">
        <v>74</v>
      </c>
      <c r="D502" s="2" t="s">
        <v>74</v>
      </c>
      <c r="E502" s="2" t="s">
        <v>74</v>
      </c>
      <c r="F502" s="2" t="s">
        <v>7018</v>
      </c>
      <c r="G502" s="2" t="s">
        <v>74</v>
      </c>
      <c r="H502" s="2" t="s">
        <v>74</v>
      </c>
      <c r="I502" s="2" t="s">
        <v>7019</v>
      </c>
      <c r="J502" s="2" t="s">
        <v>7020</v>
      </c>
      <c r="K502" s="2" t="s">
        <v>74</v>
      </c>
      <c r="L502" s="2" t="s">
        <v>74</v>
      </c>
      <c r="M502" s="2" t="s">
        <v>74</v>
      </c>
      <c r="N502" s="2" t="s">
        <v>74</v>
      </c>
      <c r="O502" s="2" t="s">
        <v>74</v>
      </c>
      <c r="P502" s="2" t="s">
        <v>74</v>
      </c>
      <c r="Q502" s="2" t="s">
        <v>74</v>
      </c>
      <c r="R502" s="2" t="s">
        <v>74</v>
      </c>
      <c r="S502" s="2" t="s">
        <v>74</v>
      </c>
      <c r="T502" s="2" t="s">
        <v>74</v>
      </c>
      <c r="U502" s="2" t="s">
        <v>74</v>
      </c>
      <c r="V502" s="5" t="s">
        <v>7021</v>
      </c>
      <c r="W502" s="2" t="s">
        <v>74</v>
      </c>
      <c r="X502" s="2" t="s">
        <v>74</v>
      </c>
      <c r="Y502" s="2" t="s">
        <v>74</v>
      </c>
      <c r="Z502" s="2" t="s">
        <v>74</v>
      </c>
      <c r="AA502" s="2" t="s">
        <v>74</v>
      </c>
      <c r="AB502" s="2" t="s">
        <v>7022</v>
      </c>
      <c r="AC502" s="2" t="s">
        <v>74</v>
      </c>
      <c r="AD502" s="2" t="s">
        <v>74</v>
      </c>
      <c r="AE502" s="2" t="s">
        <v>74</v>
      </c>
      <c r="AF502" s="2" t="s">
        <v>74</v>
      </c>
      <c r="AG502" s="2" t="s">
        <v>74</v>
      </c>
      <c r="AH502" s="2" t="s">
        <v>74</v>
      </c>
      <c r="AI502" s="2" t="s">
        <v>74</v>
      </c>
      <c r="AJ502" s="2" t="s">
        <v>74</v>
      </c>
      <c r="AK502" s="2" t="s">
        <v>74</v>
      </c>
      <c r="AL502" s="2" t="s">
        <v>74</v>
      </c>
      <c r="AM502" s="2" t="s">
        <v>74</v>
      </c>
      <c r="AN502" s="2" t="s">
        <v>74</v>
      </c>
      <c r="AO502" s="2" t="s">
        <v>7023</v>
      </c>
      <c r="AP502" s="2" t="s">
        <v>74</v>
      </c>
      <c r="AQ502" s="2" t="s">
        <v>74</v>
      </c>
      <c r="AR502" s="2" t="s">
        <v>74</v>
      </c>
      <c r="AS502" s="2" t="s">
        <v>74</v>
      </c>
      <c r="AT502" s="2" t="s">
        <v>175</v>
      </c>
      <c r="AU502" s="2">
        <v>2000</v>
      </c>
      <c r="AV502" s="2">
        <v>73</v>
      </c>
      <c r="AW502" s="2" t="s">
        <v>74</v>
      </c>
      <c r="AX502" s="2">
        <v>8</v>
      </c>
      <c r="AY502" s="2" t="s">
        <v>74</v>
      </c>
      <c r="AZ502" s="2" t="s">
        <v>74</v>
      </c>
      <c r="BA502" s="2" t="s">
        <v>74</v>
      </c>
      <c r="BB502" s="2">
        <v>899</v>
      </c>
      <c r="BC502" s="2">
        <v>912</v>
      </c>
      <c r="BD502" s="2" t="s">
        <v>74</v>
      </c>
      <c r="BE502" s="2" t="s">
        <v>7024</v>
      </c>
      <c r="BF502" s="2" t="str">
        <f>HYPERLINK("http://dx.doi.org/10.1163/156854000504903","http://dx.doi.org/10.1163/156854000504903")</f>
        <v>http://dx.doi.org/10.1163/156854000504903</v>
      </c>
      <c r="BG502" s="2" t="s">
        <v>74</v>
      </c>
      <c r="BH502" s="2" t="s">
        <v>74</v>
      </c>
      <c r="BI502" s="2" t="s">
        <v>74</v>
      </c>
      <c r="BJ502" s="2" t="s">
        <v>74</v>
      </c>
      <c r="BK502" s="2" t="s">
        <v>74</v>
      </c>
      <c r="BL502" s="2" t="s">
        <v>74</v>
      </c>
      <c r="BM502" s="2" t="s">
        <v>74</v>
      </c>
      <c r="BN502" s="2" t="s">
        <v>74</v>
      </c>
      <c r="BO502" s="2" t="s">
        <v>74</v>
      </c>
      <c r="BP502" s="2" t="s">
        <v>74</v>
      </c>
      <c r="BQ502" s="2" t="s">
        <v>74</v>
      </c>
      <c r="BR502" s="2" t="s">
        <v>74</v>
      </c>
      <c r="BS502" s="2" t="s">
        <v>7025</v>
      </c>
      <c r="BT502" s="2" t="str">
        <f>HYPERLINK("https%3A%2F%2Fwww.webofscience.com%2Fwos%2Fwoscc%2Ffull-record%2FWOS:000165977200001","View Full Record in Web of Science")</f>
        <v>View Full Record in Web of Science</v>
      </c>
    </row>
    <row r="503" spans="1:72" s="2" customFormat="1" x14ac:dyDescent="0.4">
      <c r="A503" s="2" t="s">
        <v>72</v>
      </c>
      <c r="B503" s="2" t="s">
        <v>3350</v>
      </c>
      <c r="C503" s="2" t="s">
        <v>74</v>
      </c>
      <c r="D503" s="2" t="s">
        <v>74</v>
      </c>
      <c r="E503" s="2" t="s">
        <v>74</v>
      </c>
      <c r="F503" s="2" t="s">
        <v>3351</v>
      </c>
      <c r="G503" s="2" t="s">
        <v>74</v>
      </c>
      <c r="H503" s="2" t="s">
        <v>74</v>
      </c>
      <c r="I503" s="2" t="s">
        <v>3352</v>
      </c>
      <c r="J503" s="2" t="s">
        <v>3353</v>
      </c>
      <c r="K503" s="2" t="s">
        <v>74</v>
      </c>
      <c r="L503" s="2" t="s">
        <v>74</v>
      </c>
      <c r="M503" s="2" t="s">
        <v>74</v>
      </c>
      <c r="N503" s="2" t="s">
        <v>74</v>
      </c>
      <c r="O503" s="2" t="s">
        <v>74</v>
      </c>
      <c r="P503" s="2" t="s">
        <v>74</v>
      </c>
      <c r="Q503" s="2" t="s">
        <v>74</v>
      </c>
      <c r="R503" s="2" t="s">
        <v>74</v>
      </c>
      <c r="S503" s="2" t="s">
        <v>74</v>
      </c>
      <c r="T503" s="2" t="s">
        <v>74</v>
      </c>
      <c r="U503" s="2" t="s">
        <v>74</v>
      </c>
      <c r="V503" s="5" t="s">
        <v>3354</v>
      </c>
      <c r="W503" s="2" t="s">
        <v>74</v>
      </c>
      <c r="X503" s="2" t="s">
        <v>74</v>
      </c>
      <c r="Y503" s="2" t="s">
        <v>74</v>
      </c>
      <c r="Z503" s="2" t="s">
        <v>74</v>
      </c>
      <c r="AA503" s="2" t="s">
        <v>3355</v>
      </c>
      <c r="AB503" s="2" t="s">
        <v>3356</v>
      </c>
      <c r="AC503" s="2" t="s">
        <v>74</v>
      </c>
      <c r="AD503" s="2" t="s">
        <v>74</v>
      </c>
      <c r="AE503" s="2" t="s">
        <v>74</v>
      </c>
      <c r="AF503" s="2" t="s">
        <v>74</v>
      </c>
      <c r="AG503" s="2" t="s">
        <v>74</v>
      </c>
      <c r="AH503" s="2" t="s">
        <v>74</v>
      </c>
      <c r="AI503" s="2" t="s">
        <v>74</v>
      </c>
      <c r="AJ503" s="2" t="s">
        <v>74</v>
      </c>
      <c r="AK503" s="2" t="s">
        <v>74</v>
      </c>
      <c r="AL503" s="2" t="s">
        <v>74</v>
      </c>
      <c r="AM503" s="2" t="s">
        <v>74</v>
      </c>
      <c r="AN503" s="2" t="s">
        <v>74</v>
      </c>
      <c r="AO503" s="2" t="s">
        <v>3357</v>
      </c>
      <c r="AP503" s="2" t="s">
        <v>3358</v>
      </c>
      <c r="AQ503" s="2" t="s">
        <v>74</v>
      </c>
      <c r="AR503" s="2" t="s">
        <v>74</v>
      </c>
      <c r="AS503" s="2" t="s">
        <v>74</v>
      </c>
      <c r="AT503" s="2" t="s">
        <v>352</v>
      </c>
      <c r="AU503" s="2">
        <v>2009</v>
      </c>
      <c r="AV503" s="2">
        <v>34</v>
      </c>
      <c r="AW503" s="2">
        <v>6</v>
      </c>
      <c r="AX503" s="2" t="s">
        <v>74</v>
      </c>
      <c r="AY503" s="2" t="s">
        <v>74</v>
      </c>
      <c r="AZ503" s="2" t="s">
        <v>74</v>
      </c>
      <c r="BA503" s="2" t="s">
        <v>74</v>
      </c>
      <c r="BB503" s="2">
        <v>636</v>
      </c>
      <c r="BC503" s="2">
        <v>640</v>
      </c>
      <c r="BD503" s="2" t="s">
        <v>74</v>
      </c>
      <c r="BE503" s="2" t="s">
        <v>3359</v>
      </c>
      <c r="BF503" s="2" t="str">
        <f>HYPERLINK("http://dx.doi.org/10.1111/j.1442-9993.2009.01968.x","http://dx.doi.org/10.1111/j.1442-9993.2009.01968.x")</f>
        <v>http://dx.doi.org/10.1111/j.1442-9993.2009.01968.x</v>
      </c>
      <c r="BG503" s="2" t="s">
        <v>74</v>
      </c>
      <c r="BH503" s="2" t="s">
        <v>74</v>
      </c>
      <c r="BI503" s="2" t="s">
        <v>74</v>
      </c>
      <c r="BJ503" s="2" t="s">
        <v>74</v>
      </c>
      <c r="BK503" s="2" t="s">
        <v>74</v>
      </c>
      <c r="BL503" s="2" t="s">
        <v>74</v>
      </c>
      <c r="BM503" s="2" t="s">
        <v>74</v>
      </c>
      <c r="BN503" s="2" t="s">
        <v>74</v>
      </c>
      <c r="BO503" s="2" t="s">
        <v>74</v>
      </c>
      <c r="BP503" s="2" t="s">
        <v>74</v>
      </c>
      <c r="BQ503" s="2" t="s">
        <v>74</v>
      </c>
      <c r="BR503" s="2" t="s">
        <v>74</v>
      </c>
      <c r="BS503" s="2" t="s">
        <v>3360</v>
      </c>
      <c r="BT503" s="2" t="str">
        <f>HYPERLINK("https%3A%2F%2Fwww.webofscience.com%2Fwos%2Fwoscc%2Ffull-record%2FWOS:000269675600004","View Full Record in Web of Science")</f>
        <v>View Full Record in Web of Science</v>
      </c>
    </row>
    <row r="504" spans="1:72" s="2" customFormat="1" x14ac:dyDescent="0.4">
      <c r="A504" s="2" t="s">
        <v>72</v>
      </c>
      <c r="B504" s="2" t="s">
        <v>5724</v>
      </c>
      <c r="C504" s="2" t="s">
        <v>74</v>
      </c>
      <c r="D504" s="2" t="s">
        <v>74</v>
      </c>
      <c r="E504" s="2" t="s">
        <v>74</v>
      </c>
      <c r="F504" s="2" t="s">
        <v>5724</v>
      </c>
      <c r="G504" s="2" t="s">
        <v>74</v>
      </c>
      <c r="H504" s="2" t="s">
        <v>74</v>
      </c>
      <c r="I504" s="2" t="s">
        <v>5725</v>
      </c>
      <c r="J504" s="2" t="s">
        <v>1755</v>
      </c>
      <c r="K504" s="2" t="s">
        <v>74</v>
      </c>
      <c r="L504" s="2" t="s">
        <v>74</v>
      </c>
      <c r="M504" s="2" t="s">
        <v>74</v>
      </c>
      <c r="N504" s="2" t="s">
        <v>74</v>
      </c>
      <c r="O504" s="2" t="s">
        <v>74</v>
      </c>
      <c r="P504" s="2" t="s">
        <v>74</v>
      </c>
      <c r="Q504" s="2" t="s">
        <v>74</v>
      </c>
      <c r="R504" s="2" t="s">
        <v>74</v>
      </c>
      <c r="S504" s="2" t="s">
        <v>74</v>
      </c>
      <c r="T504" s="2" t="s">
        <v>74</v>
      </c>
      <c r="U504" s="2" t="s">
        <v>74</v>
      </c>
      <c r="V504" s="5" t="s">
        <v>5726</v>
      </c>
      <c r="W504" s="2" t="s">
        <v>74</v>
      </c>
      <c r="X504" s="2" t="s">
        <v>74</v>
      </c>
      <c r="Y504" s="2" t="s">
        <v>74</v>
      </c>
      <c r="Z504" s="2" t="s">
        <v>74</v>
      </c>
      <c r="AA504" s="2" t="s">
        <v>5727</v>
      </c>
      <c r="AB504" s="2" t="s">
        <v>74</v>
      </c>
      <c r="AC504" s="2" t="s">
        <v>74</v>
      </c>
      <c r="AD504" s="2" t="s">
        <v>74</v>
      </c>
      <c r="AE504" s="2" t="s">
        <v>74</v>
      </c>
      <c r="AF504" s="2" t="s">
        <v>74</v>
      </c>
      <c r="AG504" s="2" t="s">
        <v>74</v>
      </c>
      <c r="AH504" s="2" t="s">
        <v>74</v>
      </c>
      <c r="AI504" s="2" t="s">
        <v>74</v>
      </c>
      <c r="AJ504" s="2" t="s">
        <v>74</v>
      </c>
      <c r="AK504" s="2" t="s">
        <v>74</v>
      </c>
      <c r="AL504" s="2" t="s">
        <v>74</v>
      </c>
      <c r="AM504" s="2" t="s">
        <v>74</v>
      </c>
      <c r="AN504" s="2" t="s">
        <v>74</v>
      </c>
      <c r="AO504" s="2" t="s">
        <v>1759</v>
      </c>
      <c r="AP504" s="2" t="s">
        <v>1760</v>
      </c>
      <c r="AQ504" s="2" t="s">
        <v>74</v>
      </c>
      <c r="AR504" s="2" t="s">
        <v>74</v>
      </c>
      <c r="AS504" s="2" t="s">
        <v>74</v>
      </c>
      <c r="AT504" s="2" t="s">
        <v>352</v>
      </c>
      <c r="AU504" s="2">
        <v>1996</v>
      </c>
      <c r="AV504" s="2">
        <v>9</v>
      </c>
      <c r="AW504" s="2">
        <v>5</v>
      </c>
      <c r="AX504" s="2" t="s">
        <v>74</v>
      </c>
      <c r="AY504" s="2" t="s">
        <v>74</v>
      </c>
      <c r="AZ504" s="2" t="s">
        <v>74</v>
      </c>
      <c r="BA504" s="2" t="s">
        <v>74</v>
      </c>
      <c r="BB504" s="2">
        <v>709</v>
      </c>
      <c r="BC504" s="2">
        <v>717</v>
      </c>
      <c r="BD504" s="2" t="s">
        <v>74</v>
      </c>
      <c r="BE504" s="2" t="s">
        <v>5728</v>
      </c>
      <c r="BF504" s="2" t="str">
        <f>HYPERLINK("http://dx.doi.org/10.1007/BF02213551","http://dx.doi.org/10.1007/BF02213551")</f>
        <v>http://dx.doi.org/10.1007/BF02213551</v>
      </c>
      <c r="BG504" s="2" t="s">
        <v>74</v>
      </c>
      <c r="BH504" s="2" t="s">
        <v>74</v>
      </c>
      <c r="BI504" s="2" t="s">
        <v>74</v>
      </c>
      <c r="BJ504" s="2" t="s">
        <v>74</v>
      </c>
      <c r="BK504" s="2" t="s">
        <v>74</v>
      </c>
      <c r="BL504" s="2" t="s">
        <v>74</v>
      </c>
      <c r="BM504" s="2" t="s">
        <v>74</v>
      </c>
      <c r="BN504" s="2" t="s">
        <v>74</v>
      </c>
      <c r="BO504" s="2" t="s">
        <v>74</v>
      </c>
      <c r="BP504" s="2" t="s">
        <v>74</v>
      </c>
      <c r="BQ504" s="2" t="s">
        <v>74</v>
      </c>
      <c r="BR504" s="2" t="s">
        <v>74</v>
      </c>
      <c r="BS504" s="2" t="s">
        <v>5729</v>
      </c>
      <c r="BT504" s="2" t="str">
        <f>HYPERLINK("https%3A%2F%2Fwww.webofscience.com%2Fwos%2Fwoscc%2Ffull-record%2FWOS:A1996VX87000005","View Full Record in Web of Science")</f>
        <v>View Full Record in Web of Science</v>
      </c>
    </row>
    <row r="505" spans="1:72" s="2" customFormat="1" x14ac:dyDescent="0.4">
      <c r="A505" s="2" t="s">
        <v>72</v>
      </c>
      <c r="B505" s="2" t="s">
        <v>6204</v>
      </c>
      <c r="C505" s="2" t="s">
        <v>74</v>
      </c>
      <c r="D505" s="2" t="s">
        <v>74</v>
      </c>
      <c r="E505" s="2" t="s">
        <v>74</v>
      </c>
      <c r="F505" s="2" t="s">
        <v>6205</v>
      </c>
      <c r="G505" s="2" t="s">
        <v>74</v>
      </c>
      <c r="H505" s="2" t="s">
        <v>74</v>
      </c>
      <c r="I505" s="2" t="s">
        <v>6206</v>
      </c>
      <c r="J505" s="2" t="s">
        <v>3238</v>
      </c>
      <c r="K505" s="2" t="s">
        <v>74</v>
      </c>
      <c r="L505" s="2" t="s">
        <v>74</v>
      </c>
      <c r="M505" s="2" t="s">
        <v>74</v>
      </c>
      <c r="N505" s="2" t="s">
        <v>74</v>
      </c>
      <c r="O505" s="2" t="s">
        <v>74</v>
      </c>
      <c r="P505" s="2" t="s">
        <v>74</v>
      </c>
      <c r="Q505" s="2" t="s">
        <v>74</v>
      </c>
      <c r="R505" s="2" t="s">
        <v>74</v>
      </c>
      <c r="S505" s="2" t="s">
        <v>74</v>
      </c>
      <c r="T505" s="2" t="s">
        <v>74</v>
      </c>
      <c r="U505" s="2" t="s">
        <v>74</v>
      </c>
      <c r="V505" s="5" t="s">
        <v>6207</v>
      </c>
      <c r="W505" s="2" t="s">
        <v>74</v>
      </c>
      <c r="X505" s="2" t="s">
        <v>74</v>
      </c>
      <c r="Y505" s="2" t="s">
        <v>74</v>
      </c>
      <c r="Z505" s="2" t="s">
        <v>74</v>
      </c>
      <c r="AA505" s="2" t="s">
        <v>74</v>
      </c>
      <c r="AB505" s="2" t="s">
        <v>74</v>
      </c>
      <c r="AC505" s="2" t="s">
        <v>74</v>
      </c>
      <c r="AD505" s="2" t="s">
        <v>74</v>
      </c>
      <c r="AE505" s="2" t="s">
        <v>74</v>
      </c>
      <c r="AF505" s="2" t="s">
        <v>74</v>
      </c>
      <c r="AG505" s="2" t="s">
        <v>74</v>
      </c>
      <c r="AH505" s="2" t="s">
        <v>74</v>
      </c>
      <c r="AI505" s="2" t="s">
        <v>74</v>
      </c>
      <c r="AJ505" s="2" t="s">
        <v>74</v>
      </c>
      <c r="AK505" s="2" t="s">
        <v>74</v>
      </c>
      <c r="AL505" s="2" t="s">
        <v>74</v>
      </c>
      <c r="AM505" s="2" t="s">
        <v>74</v>
      </c>
      <c r="AN505" s="2" t="s">
        <v>74</v>
      </c>
      <c r="AO505" s="2" t="s">
        <v>3240</v>
      </c>
      <c r="AP505" s="2" t="s">
        <v>3241</v>
      </c>
      <c r="AQ505" s="2" t="s">
        <v>74</v>
      </c>
      <c r="AR505" s="2" t="s">
        <v>74</v>
      </c>
      <c r="AS505" s="2" t="s">
        <v>74</v>
      </c>
      <c r="AT505" s="2" t="s">
        <v>255</v>
      </c>
      <c r="AU505" s="2">
        <v>2019</v>
      </c>
      <c r="AV505" s="2">
        <v>112</v>
      </c>
      <c r="AW505" s="2">
        <v>1</v>
      </c>
      <c r="AX505" s="2" t="s">
        <v>74</v>
      </c>
      <c r="AY505" s="2" t="s">
        <v>74</v>
      </c>
      <c r="AZ505" s="2" t="s">
        <v>74</v>
      </c>
      <c r="BA505" s="2" t="s">
        <v>74</v>
      </c>
      <c r="BB505" s="2">
        <v>33</v>
      </c>
      <c r="BC505" s="2">
        <v>43</v>
      </c>
      <c r="BD505" s="2" t="s">
        <v>74</v>
      </c>
      <c r="BE505" s="2" t="s">
        <v>6208</v>
      </c>
      <c r="BF505" s="2" t="str">
        <f>HYPERLINK("http://dx.doi.org/10.1093/aesa/say045","http://dx.doi.org/10.1093/aesa/say045")</f>
        <v>http://dx.doi.org/10.1093/aesa/say045</v>
      </c>
      <c r="BG505" s="2" t="s">
        <v>74</v>
      </c>
      <c r="BH505" s="2" t="s">
        <v>74</v>
      </c>
      <c r="BI505" s="2" t="s">
        <v>74</v>
      </c>
      <c r="BJ505" s="2" t="s">
        <v>74</v>
      </c>
      <c r="BK505" s="2" t="s">
        <v>74</v>
      </c>
      <c r="BL505" s="2" t="s">
        <v>74</v>
      </c>
      <c r="BM505" s="2" t="s">
        <v>74</v>
      </c>
      <c r="BN505" s="2" t="s">
        <v>74</v>
      </c>
      <c r="BO505" s="2" t="s">
        <v>74</v>
      </c>
      <c r="BP505" s="2" t="s">
        <v>74</v>
      </c>
      <c r="BQ505" s="2" t="s">
        <v>74</v>
      </c>
      <c r="BR505" s="2" t="s">
        <v>74</v>
      </c>
      <c r="BS505" s="2" t="s">
        <v>6209</v>
      </c>
      <c r="BT505" s="2" t="str">
        <f>HYPERLINK("https%3A%2F%2Fwww.webofscience.com%2Fwos%2Fwoscc%2Ffull-record%2FWOS:000467951400004","View Full Record in Web of Science")</f>
        <v>View Full Record in Web of Science</v>
      </c>
    </row>
    <row r="506" spans="1:72" s="2" customFormat="1" x14ac:dyDescent="0.4">
      <c r="A506" s="2" t="s">
        <v>72</v>
      </c>
      <c r="B506" s="2" t="s">
        <v>2752</v>
      </c>
      <c r="C506" s="2" t="s">
        <v>74</v>
      </c>
      <c r="D506" s="2" t="s">
        <v>74</v>
      </c>
      <c r="E506" s="2" t="s">
        <v>74</v>
      </c>
      <c r="F506" s="2" t="s">
        <v>2752</v>
      </c>
      <c r="G506" s="2" t="s">
        <v>74</v>
      </c>
      <c r="H506" s="2" t="s">
        <v>74</v>
      </c>
      <c r="I506" s="2" t="s">
        <v>2753</v>
      </c>
      <c r="J506" s="2" t="s">
        <v>408</v>
      </c>
      <c r="K506" s="2" t="s">
        <v>74</v>
      </c>
      <c r="L506" s="2" t="s">
        <v>74</v>
      </c>
      <c r="M506" s="2" t="s">
        <v>74</v>
      </c>
      <c r="N506" s="2" t="s">
        <v>74</v>
      </c>
      <c r="O506" s="2" t="s">
        <v>74</v>
      </c>
      <c r="P506" s="2" t="s">
        <v>74</v>
      </c>
      <c r="Q506" s="2" t="s">
        <v>74</v>
      </c>
      <c r="R506" s="2" t="s">
        <v>74</v>
      </c>
      <c r="S506" s="2" t="s">
        <v>74</v>
      </c>
      <c r="T506" s="2" t="s">
        <v>74</v>
      </c>
      <c r="U506" s="2" t="s">
        <v>74</v>
      </c>
      <c r="V506" s="5" t="s">
        <v>2754</v>
      </c>
      <c r="W506" s="2" t="s">
        <v>74</v>
      </c>
      <c r="X506" s="2" t="s">
        <v>74</v>
      </c>
      <c r="Y506" s="2" t="s">
        <v>74</v>
      </c>
      <c r="Z506" s="2" t="s">
        <v>74</v>
      </c>
      <c r="AA506" s="2" t="s">
        <v>74</v>
      </c>
      <c r="AB506" s="2" t="s">
        <v>74</v>
      </c>
      <c r="AC506" s="2" t="s">
        <v>74</v>
      </c>
      <c r="AD506" s="2" t="s">
        <v>74</v>
      </c>
      <c r="AE506" s="2" t="s">
        <v>74</v>
      </c>
      <c r="AF506" s="2" t="s">
        <v>74</v>
      </c>
      <c r="AG506" s="2" t="s">
        <v>74</v>
      </c>
      <c r="AH506" s="2" t="s">
        <v>74</v>
      </c>
      <c r="AI506" s="2" t="s">
        <v>74</v>
      </c>
      <c r="AJ506" s="2" t="s">
        <v>74</v>
      </c>
      <c r="AK506" s="2" t="s">
        <v>74</v>
      </c>
      <c r="AL506" s="2" t="s">
        <v>74</v>
      </c>
      <c r="AM506" s="2" t="s">
        <v>74</v>
      </c>
      <c r="AN506" s="2" t="s">
        <v>74</v>
      </c>
      <c r="AO506" s="2" t="s">
        <v>412</v>
      </c>
      <c r="AP506" s="2" t="s">
        <v>413</v>
      </c>
      <c r="AQ506" s="2" t="s">
        <v>74</v>
      </c>
      <c r="AR506" s="2" t="s">
        <v>74</v>
      </c>
      <c r="AS506" s="2" t="s">
        <v>74</v>
      </c>
      <c r="AT506" s="2" t="s">
        <v>305</v>
      </c>
      <c r="AU506" s="2">
        <v>2003</v>
      </c>
      <c r="AV506" s="2">
        <v>80</v>
      </c>
      <c r="AW506" s="2">
        <v>4</v>
      </c>
      <c r="AX506" s="2" t="s">
        <v>74</v>
      </c>
      <c r="AY506" s="2" t="s">
        <v>74</v>
      </c>
      <c r="AZ506" s="2" t="s">
        <v>74</v>
      </c>
      <c r="BA506" s="2" t="s">
        <v>74</v>
      </c>
      <c r="BB506" s="2">
        <v>647</v>
      </c>
      <c r="BC506" s="2">
        <v>658</v>
      </c>
      <c r="BD506" s="2" t="s">
        <v>74</v>
      </c>
      <c r="BE506" s="2" t="s">
        <v>2755</v>
      </c>
      <c r="BF506" s="2" t="str">
        <f>HYPERLINK("http://dx.doi.org/10.1111/j.1095-8312.2003.00264.x","http://dx.doi.org/10.1111/j.1095-8312.2003.00264.x")</f>
        <v>http://dx.doi.org/10.1111/j.1095-8312.2003.00264.x</v>
      </c>
      <c r="BG506" s="2" t="s">
        <v>74</v>
      </c>
      <c r="BH506" s="2" t="s">
        <v>74</v>
      </c>
      <c r="BI506" s="2" t="s">
        <v>74</v>
      </c>
      <c r="BJ506" s="2" t="s">
        <v>74</v>
      </c>
      <c r="BK506" s="2" t="s">
        <v>74</v>
      </c>
      <c r="BL506" s="2" t="s">
        <v>74</v>
      </c>
      <c r="BM506" s="2" t="s">
        <v>74</v>
      </c>
      <c r="BN506" s="2" t="s">
        <v>74</v>
      </c>
      <c r="BO506" s="2" t="s">
        <v>74</v>
      </c>
      <c r="BP506" s="2" t="s">
        <v>74</v>
      </c>
      <c r="BQ506" s="2" t="s">
        <v>74</v>
      </c>
      <c r="BR506" s="2" t="s">
        <v>74</v>
      </c>
      <c r="BS506" s="2" t="s">
        <v>2756</v>
      </c>
      <c r="BT506" s="2" t="str">
        <f>HYPERLINK("https%3A%2F%2Fwww.webofscience.com%2Fwos%2Fwoscc%2Ffull-record%2FWOS:000187247200007","View Full Record in Web of Science")</f>
        <v>View Full Record in Web of Science</v>
      </c>
    </row>
    <row r="507" spans="1:72" s="2" customFormat="1" x14ac:dyDescent="0.4">
      <c r="A507" s="2" t="s">
        <v>72</v>
      </c>
      <c r="B507" s="2" t="s">
        <v>8254</v>
      </c>
      <c r="C507" s="2" t="s">
        <v>74</v>
      </c>
      <c r="D507" s="2" t="s">
        <v>74</v>
      </c>
      <c r="E507" s="2" t="s">
        <v>74</v>
      </c>
      <c r="F507" s="2" t="s">
        <v>8254</v>
      </c>
      <c r="G507" s="2" t="s">
        <v>74</v>
      </c>
      <c r="H507" s="2" t="s">
        <v>74</v>
      </c>
      <c r="I507" s="2" t="s">
        <v>8255</v>
      </c>
      <c r="J507" s="2" t="s">
        <v>4278</v>
      </c>
      <c r="K507" s="2" t="s">
        <v>74</v>
      </c>
      <c r="L507" s="2" t="s">
        <v>74</v>
      </c>
      <c r="M507" s="2" t="s">
        <v>74</v>
      </c>
      <c r="N507" s="2" t="s">
        <v>74</v>
      </c>
      <c r="O507" s="2" t="s">
        <v>74</v>
      </c>
      <c r="P507" s="2" t="s">
        <v>74</v>
      </c>
      <c r="Q507" s="2" t="s">
        <v>74</v>
      </c>
      <c r="R507" s="2" t="s">
        <v>74</v>
      </c>
      <c r="S507" s="2" t="s">
        <v>74</v>
      </c>
      <c r="T507" s="2" t="s">
        <v>74</v>
      </c>
      <c r="U507" s="2" t="s">
        <v>74</v>
      </c>
      <c r="V507" s="5" t="s">
        <v>8256</v>
      </c>
      <c r="W507" s="2" t="s">
        <v>74</v>
      </c>
      <c r="X507" s="2" t="s">
        <v>74</v>
      </c>
      <c r="Y507" s="2" t="s">
        <v>74</v>
      </c>
      <c r="Z507" s="2" t="s">
        <v>74</v>
      </c>
      <c r="AA507" s="2" t="s">
        <v>74</v>
      </c>
      <c r="AB507" s="2" t="s">
        <v>74</v>
      </c>
      <c r="AC507" s="2" t="s">
        <v>74</v>
      </c>
      <c r="AD507" s="2" t="s">
        <v>74</v>
      </c>
      <c r="AE507" s="2" t="s">
        <v>74</v>
      </c>
      <c r="AF507" s="2" t="s">
        <v>74</v>
      </c>
      <c r="AG507" s="2" t="s">
        <v>74</v>
      </c>
      <c r="AH507" s="2" t="s">
        <v>74</v>
      </c>
      <c r="AI507" s="2" t="s">
        <v>74</v>
      </c>
      <c r="AJ507" s="2" t="s">
        <v>74</v>
      </c>
      <c r="AK507" s="2" t="s">
        <v>74</v>
      </c>
      <c r="AL507" s="2" t="s">
        <v>74</v>
      </c>
      <c r="AM507" s="2" t="s">
        <v>74</v>
      </c>
      <c r="AN507" s="2" t="s">
        <v>74</v>
      </c>
      <c r="AO507" s="2" t="s">
        <v>4282</v>
      </c>
      <c r="AP507" s="2" t="s">
        <v>74</v>
      </c>
      <c r="AQ507" s="2" t="s">
        <v>74</v>
      </c>
      <c r="AR507" s="2" t="s">
        <v>74</v>
      </c>
      <c r="AS507" s="2" t="s">
        <v>74</v>
      </c>
      <c r="AT507" s="2" t="s">
        <v>204</v>
      </c>
      <c r="AU507" s="2">
        <v>1999</v>
      </c>
      <c r="AV507" s="2">
        <v>25</v>
      </c>
      <c r="AW507" s="2">
        <v>7</v>
      </c>
      <c r="AX507" s="2" t="s">
        <v>74</v>
      </c>
      <c r="AY507" s="2" t="s">
        <v>74</v>
      </c>
      <c r="AZ507" s="2" t="s">
        <v>74</v>
      </c>
      <c r="BA507" s="2" t="s">
        <v>74</v>
      </c>
      <c r="BB507" s="2">
        <v>1671</v>
      </c>
      <c r="BC507" s="2">
        <v>1685</v>
      </c>
      <c r="BD507" s="2" t="s">
        <v>74</v>
      </c>
      <c r="BE507" s="2" t="s">
        <v>8257</v>
      </c>
      <c r="BF507" s="2" t="str">
        <f>HYPERLINK("http://dx.doi.org/10.1023/A:1020853303321","http://dx.doi.org/10.1023/A:1020853303321")</f>
        <v>http://dx.doi.org/10.1023/A:1020853303321</v>
      </c>
      <c r="BG507" s="2" t="s">
        <v>74</v>
      </c>
      <c r="BH507" s="2" t="s">
        <v>74</v>
      </c>
      <c r="BI507" s="2" t="s">
        <v>74</v>
      </c>
      <c r="BJ507" s="2" t="s">
        <v>74</v>
      </c>
      <c r="BK507" s="2" t="s">
        <v>74</v>
      </c>
      <c r="BL507" s="2" t="s">
        <v>74</v>
      </c>
      <c r="BM507" s="2" t="s">
        <v>74</v>
      </c>
      <c r="BN507" s="2" t="s">
        <v>74</v>
      </c>
      <c r="BO507" s="2" t="s">
        <v>74</v>
      </c>
      <c r="BP507" s="2" t="s">
        <v>74</v>
      </c>
      <c r="BQ507" s="2" t="s">
        <v>74</v>
      </c>
      <c r="BR507" s="2" t="s">
        <v>74</v>
      </c>
      <c r="BS507" s="2" t="s">
        <v>8258</v>
      </c>
      <c r="BT507" s="2" t="str">
        <f>HYPERLINK("https%3A%2F%2Fwww.webofscience.com%2Fwos%2Fwoscc%2Ffull-record%2FWOS:000081611500016","View Full Record in Web of Science")</f>
        <v>View Full Record in Web of Science</v>
      </c>
    </row>
    <row r="508" spans="1:72" s="2" customFormat="1" x14ac:dyDescent="0.4">
      <c r="A508" s="2" t="s">
        <v>72</v>
      </c>
      <c r="B508" s="2" t="s">
        <v>2150</v>
      </c>
      <c r="C508" s="2" t="s">
        <v>74</v>
      </c>
      <c r="D508" s="2" t="s">
        <v>74</v>
      </c>
      <c r="E508" s="2" t="s">
        <v>74</v>
      </c>
      <c r="F508" s="2" t="s">
        <v>2150</v>
      </c>
      <c r="G508" s="2" t="s">
        <v>74</v>
      </c>
      <c r="H508" s="2" t="s">
        <v>74</v>
      </c>
      <c r="I508" s="2" t="s">
        <v>2151</v>
      </c>
      <c r="J508" s="2" t="s">
        <v>2152</v>
      </c>
      <c r="K508" s="2" t="s">
        <v>74</v>
      </c>
      <c r="L508" s="2" t="s">
        <v>74</v>
      </c>
      <c r="M508" s="2" t="s">
        <v>74</v>
      </c>
      <c r="N508" s="2" t="s">
        <v>74</v>
      </c>
      <c r="O508" s="2" t="s">
        <v>74</v>
      </c>
      <c r="P508" s="2" t="s">
        <v>74</v>
      </c>
      <c r="Q508" s="2" t="s">
        <v>74</v>
      </c>
      <c r="R508" s="2" t="s">
        <v>74</v>
      </c>
      <c r="S508" s="2" t="s">
        <v>74</v>
      </c>
      <c r="T508" s="2" t="s">
        <v>74</v>
      </c>
      <c r="U508" s="2" t="s">
        <v>74</v>
      </c>
      <c r="V508" s="5" t="s">
        <v>74</v>
      </c>
      <c r="W508" s="2" t="s">
        <v>74</v>
      </c>
      <c r="X508" s="2" t="s">
        <v>74</v>
      </c>
      <c r="Y508" s="2" t="s">
        <v>74</v>
      </c>
      <c r="Z508" s="2" t="s">
        <v>74</v>
      </c>
      <c r="AA508" s="2" t="s">
        <v>74</v>
      </c>
      <c r="AB508" s="2" t="s">
        <v>74</v>
      </c>
      <c r="AC508" s="2" t="s">
        <v>74</v>
      </c>
      <c r="AD508" s="2" t="s">
        <v>74</v>
      </c>
      <c r="AE508" s="2" t="s">
        <v>74</v>
      </c>
      <c r="AF508" s="2" t="s">
        <v>74</v>
      </c>
      <c r="AG508" s="2" t="s">
        <v>74</v>
      </c>
      <c r="AH508" s="2" t="s">
        <v>74</v>
      </c>
      <c r="AI508" s="2" t="s">
        <v>74</v>
      </c>
      <c r="AJ508" s="2" t="s">
        <v>74</v>
      </c>
      <c r="AK508" s="2" t="s">
        <v>74</v>
      </c>
      <c r="AL508" s="2" t="s">
        <v>74</v>
      </c>
      <c r="AM508" s="2" t="s">
        <v>74</v>
      </c>
      <c r="AN508" s="2" t="s">
        <v>74</v>
      </c>
      <c r="AO508" s="2" t="s">
        <v>2153</v>
      </c>
      <c r="AP508" s="2" t="s">
        <v>74</v>
      </c>
      <c r="AQ508" s="2" t="s">
        <v>74</v>
      </c>
      <c r="AR508" s="2" t="s">
        <v>74</v>
      </c>
      <c r="AS508" s="2" t="s">
        <v>74</v>
      </c>
      <c r="AT508" s="2" t="s">
        <v>74</v>
      </c>
      <c r="AU508" s="2">
        <v>1981</v>
      </c>
      <c r="AV508" s="2">
        <v>30</v>
      </c>
      <c r="AW508" s="2" t="s">
        <v>548</v>
      </c>
      <c r="AX508" s="2" t="s">
        <v>74</v>
      </c>
      <c r="AY508" s="2" t="s">
        <v>74</v>
      </c>
      <c r="AZ508" s="2" t="s">
        <v>74</v>
      </c>
      <c r="BA508" s="2" t="s">
        <v>74</v>
      </c>
      <c r="BB508" s="2">
        <v>88</v>
      </c>
      <c r="BC508" s="2">
        <v>91</v>
      </c>
      <c r="BD508" s="2" t="s">
        <v>74</v>
      </c>
      <c r="BE508" s="2" t="s">
        <v>74</v>
      </c>
      <c r="BF508" s="2" t="s">
        <v>74</v>
      </c>
      <c r="BG508" s="2" t="s">
        <v>74</v>
      </c>
      <c r="BH508" s="2" t="s">
        <v>74</v>
      </c>
      <c r="BI508" s="2" t="s">
        <v>74</v>
      </c>
      <c r="BJ508" s="2" t="s">
        <v>74</v>
      </c>
      <c r="BK508" s="2" t="s">
        <v>74</v>
      </c>
      <c r="BL508" s="2" t="s">
        <v>74</v>
      </c>
      <c r="BM508" s="2" t="s">
        <v>74</v>
      </c>
      <c r="BN508" s="2" t="s">
        <v>74</v>
      </c>
      <c r="BO508" s="2" t="s">
        <v>74</v>
      </c>
      <c r="BP508" s="2" t="s">
        <v>74</v>
      </c>
      <c r="BQ508" s="2" t="s">
        <v>74</v>
      </c>
      <c r="BR508" s="2" t="s">
        <v>74</v>
      </c>
      <c r="BS508" s="2" t="s">
        <v>2154</v>
      </c>
      <c r="BT508" s="2" t="str">
        <f>HYPERLINK("https%3A%2F%2Fwww.webofscience.com%2Fwos%2Fwoscc%2Ffull-record%2FWOS:A1981MW98300007","View Full Record in Web of Science")</f>
        <v>View Full Record in Web of Science</v>
      </c>
    </row>
    <row r="509" spans="1:72" s="2" customFormat="1" x14ac:dyDescent="0.4">
      <c r="A509" s="2" t="s">
        <v>72</v>
      </c>
      <c r="B509" s="2" t="s">
        <v>5192</v>
      </c>
      <c r="C509" s="2" t="s">
        <v>74</v>
      </c>
      <c r="D509" s="2" t="s">
        <v>74</v>
      </c>
      <c r="E509" s="2" t="s">
        <v>74</v>
      </c>
      <c r="F509" s="2" t="s">
        <v>5192</v>
      </c>
      <c r="G509" s="2" t="s">
        <v>74</v>
      </c>
      <c r="H509" s="2" t="s">
        <v>74</v>
      </c>
      <c r="I509" s="2" t="s">
        <v>5193</v>
      </c>
      <c r="J509" s="2" t="s">
        <v>5194</v>
      </c>
      <c r="K509" s="2" t="s">
        <v>74</v>
      </c>
      <c r="L509" s="2" t="s">
        <v>74</v>
      </c>
      <c r="M509" s="2" t="s">
        <v>74</v>
      </c>
      <c r="N509" s="2" t="s">
        <v>74</v>
      </c>
      <c r="O509" s="2" t="s">
        <v>74</v>
      </c>
      <c r="P509" s="2" t="s">
        <v>74</v>
      </c>
      <c r="Q509" s="2" t="s">
        <v>74</v>
      </c>
      <c r="R509" s="2" t="s">
        <v>74</v>
      </c>
      <c r="S509" s="2" t="s">
        <v>74</v>
      </c>
      <c r="T509" s="2" t="s">
        <v>74</v>
      </c>
      <c r="U509" s="2" t="s">
        <v>74</v>
      </c>
      <c r="V509" s="5" t="s">
        <v>5195</v>
      </c>
      <c r="W509" s="2" t="s">
        <v>74</v>
      </c>
      <c r="X509" s="2" t="s">
        <v>74</v>
      </c>
      <c r="Y509" s="2" t="s">
        <v>74</v>
      </c>
      <c r="Z509" s="2" t="s">
        <v>74</v>
      </c>
      <c r="AA509" s="2" t="s">
        <v>5196</v>
      </c>
      <c r="AB509" s="2" t="s">
        <v>5197</v>
      </c>
      <c r="AC509" s="2" t="s">
        <v>74</v>
      </c>
      <c r="AD509" s="2" t="s">
        <v>74</v>
      </c>
      <c r="AE509" s="2" t="s">
        <v>74</v>
      </c>
      <c r="AF509" s="2" t="s">
        <v>74</v>
      </c>
      <c r="AG509" s="2" t="s">
        <v>74</v>
      </c>
      <c r="AH509" s="2" t="s">
        <v>74</v>
      </c>
      <c r="AI509" s="2" t="s">
        <v>74</v>
      </c>
      <c r="AJ509" s="2" t="s">
        <v>74</v>
      </c>
      <c r="AK509" s="2" t="s">
        <v>74</v>
      </c>
      <c r="AL509" s="2" t="s">
        <v>74</v>
      </c>
      <c r="AM509" s="2" t="s">
        <v>74</v>
      </c>
      <c r="AN509" s="2" t="s">
        <v>74</v>
      </c>
      <c r="AO509" s="2" t="s">
        <v>5198</v>
      </c>
      <c r="AP509" s="2" t="s">
        <v>5199</v>
      </c>
      <c r="AQ509" s="2" t="s">
        <v>74</v>
      </c>
      <c r="AR509" s="2" t="s">
        <v>74</v>
      </c>
      <c r="AS509" s="2" t="s">
        <v>74</v>
      </c>
      <c r="AT509" s="2" t="s">
        <v>74</v>
      </c>
      <c r="AU509" s="2">
        <v>1985</v>
      </c>
      <c r="AV509" s="2">
        <v>20</v>
      </c>
      <c r="AW509" s="2">
        <v>3</v>
      </c>
      <c r="AX509" s="2" t="s">
        <v>74</v>
      </c>
      <c r="AY509" s="2" t="s">
        <v>74</v>
      </c>
      <c r="AZ509" s="2" t="s">
        <v>74</v>
      </c>
      <c r="BA509" s="2" t="s">
        <v>74</v>
      </c>
      <c r="BB509" s="2">
        <v>167</v>
      </c>
      <c r="BC509" s="2">
        <v>173</v>
      </c>
      <c r="BD509" s="2" t="s">
        <v>74</v>
      </c>
      <c r="BE509" s="2" t="s">
        <v>5200</v>
      </c>
      <c r="BF509" s="2" t="str">
        <f>HYPERLINK("http://dx.doi.org/10.1080/01650528509360685","http://dx.doi.org/10.1080/01650528509360685")</f>
        <v>http://dx.doi.org/10.1080/01650528509360685</v>
      </c>
      <c r="BG509" s="2" t="s">
        <v>74</v>
      </c>
      <c r="BH509" s="2" t="s">
        <v>74</v>
      </c>
      <c r="BI509" s="2" t="s">
        <v>74</v>
      </c>
      <c r="BJ509" s="2" t="s">
        <v>74</v>
      </c>
      <c r="BK509" s="2" t="s">
        <v>74</v>
      </c>
      <c r="BL509" s="2" t="s">
        <v>74</v>
      </c>
      <c r="BM509" s="2" t="s">
        <v>74</v>
      </c>
      <c r="BN509" s="2" t="s">
        <v>74</v>
      </c>
      <c r="BO509" s="2" t="s">
        <v>74</v>
      </c>
      <c r="BP509" s="2" t="s">
        <v>74</v>
      </c>
      <c r="BQ509" s="2" t="s">
        <v>74</v>
      </c>
      <c r="BR509" s="2" t="s">
        <v>74</v>
      </c>
      <c r="BS509" s="2" t="s">
        <v>5201</v>
      </c>
      <c r="BT509" s="2" t="str">
        <f>HYPERLINK("https%3A%2F%2Fwww.webofscience.com%2Fwos%2Fwoscc%2Ffull-record%2FWOS:A1985C168200004","View Full Record in Web of Science")</f>
        <v>View Full Record in Web of Science</v>
      </c>
    </row>
    <row r="510" spans="1:72" s="2" customFormat="1" x14ac:dyDescent="0.4">
      <c r="A510" s="2" t="s">
        <v>72</v>
      </c>
      <c r="B510" s="2" t="s">
        <v>8692</v>
      </c>
      <c r="C510" s="2" t="s">
        <v>74</v>
      </c>
      <c r="D510" s="2" t="s">
        <v>74</v>
      </c>
      <c r="E510" s="2" t="s">
        <v>74</v>
      </c>
      <c r="F510" s="2" t="s">
        <v>8693</v>
      </c>
      <c r="G510" s="2" t="s">
        <v>74</v>
      </c>
      <c r="H510" s="2" t="s">
        <v>74</v>
      </c>
      <c r="I510" s="2" t="s">
        <v>8694</v>
      </c>
      <c r="J510" s="2" t="s">
        <v>1656</v>
      </c>
      <c r="K510" s="2" t="s">
        <v>74</v>
      </c>
      <c r="L510" s="2" t="s">
        <v>74</v>
      </c>
      <c r="M510" s="2" t="s">
        <v>74</v>
      </c>
      <c r="N510" s="2" t="s">
        <v>74</v>
      </c>
      <c r="O510" s="2" t="s">
        <v>74</v>
      </c>
      <c r="P510" s="2" t="s">
        <v>74</v>
      </c>
      <c r="Q510" s="2" t="s">
        <v>74</v>
      </c>
      <c r="R510" s="2" t="s">
        <v>74</v>
      </c>
      <c r="S510" s="2" t="s">
        <v>74</v>
      </c>
      <c r="T510" s="2" t="s">
        <v>74</v>
      </c>
      <c r="U510" s="2" t="s">
        <v>74</v>
      </c>
      <c r="V510" s="5" t="s">
        <v>8695</v>
      </c>
      <c r="W510" s="2" t="s">
        <v>74</v>
      </c>
      <c r="X510" s="2" t="s">
        <v>74</v>
      </c>
      <c r="Y510" s="2" t="s">
        <v>74</v>
      </c>
      <c r="Z510" s="2" t="s">
        <v>74</v>
      </c>
      <c r="AA510" s="2" t="s">
        <v>8696</v>
      </c>
      <c r="AB510" s="2" t="s">
        <v>8697</v>
      </c>
      <c r="AC510" s="2" t="s">
        <v>74</v>
      </c>
      <c r="AD510" s="2" t="s">
        <v>74</v>
      </c>
      <c r="AE510" s="2" t="s">
        <v>74</v>
      </c>
      <c r="AF510" s="2" t="s">
        <v>74</v>
      </c>
      <c r="AG510" s="2" t="s">
        <v>74</v>
      </c>
      <c r="AH510" s="2" t="s">
        <v>74</v>
      </c>
      <c r="AI510" s="2" t="s">
        <v>74</v>
      </c>
      <c r="AJ510" s="2" t="s">
        <v>74</v>
      </c>
      <c r="AK510" s="2" t="s">
        <v>74</v>
      </c>
      <c r="AL510" s="2" t="s">
        <v>74</v>
      </c>
      <c r="AM510" s="2" t="s">
        <v>74</v>
      </c>
      <c r="AN510" s="2" t="s">
        <v>74</v>
      </c>
      <c r="AO510" s="2" t="s">
        <v>1658</v>
      </c>
      <c r="AP510" s="2" t="s">
        <v>1659</v>
      </c>
      <c r="AQ510" s="2" t="s">
        <v>74</v>
      </c>
      <c r="AR510" s="2" t="s">
        <v>74</v>
      </c>
      <c r="AS510" s="2" t="s">
        <v>74</v>
      </c>
      <c r="AT510" s="2" t="s">
        <v>4744</v>
      </c>
      <c r="AU510" s="2">
        <v>2016</v>
      </c>
      <c r="AV510" s="2">
        <v>4159</v>
      </c>
      <c r="AW510" s="2">
        <v>1</v>
      </c>
      <c r="AX510" s="2" t="s">
        <v>74</v>
      </c>
      <c r="AY510" s="2" t="s">
        <v>74</v>
      </c>
      <c r="AZ510" s="2" t="s">
        <v>74</v>
      </c>
      <c r="BA510" s="2" t="s">
        <v>74</v>
      </c>
      <c r="BB510" s="2">
        <v>1</v>
      </c>
      <c r="BC510" s="2">
        <v>219</v>
      </c>
      <c r="BD510" s="2" t="s">
        <v>74</v>
      </c>
      <c r="BE510" s="2" t="s">
        <v>8698</v>
      </c>
      <c r="BF510" s="2" t="str">
        <f>HYPERLINK("http://dx.doi.org/10.11646/zootaxa.4159.1.1","http://dx.doi.org/10.11646/zootaxa.4159.1.1")</f>
        <v>http://dx.doi.org/10.11646/zootaxa.4159.1.1</v>
      </c>
      <c r="BG510" s="2" t="s">
        <v>74</v>
      </c>
      <c r="BH510" s="2" t="s">
        <v>74</v>
      </c>
      <c r="BI510" s="2" t="s">
        <v>74</v>
      </c>
      <c r="BJ510" s="2" t="s">
        <v>74</v>
      </c>
      <c r="BK510" s="2" t="s">
        <v>74</v>
      </c>
      <c r="BL510" s="2" t="s">
        <v>74</v>
      </c>
      <c r="BM510" s="2" t="s">
        <v>74</v>
      </c>
      <c r="BN510" s="2">
        <v>27615907</v>
      </c>
      <c r="BO510" s="2" t="s">
        <v>74</v>
      </c>
      <c r="BP510" s="2" t="s">
        <v>74</v>
      </c>
      <c r="BQ510" s="2" t="s">
        <v>74</v>
      </c>
      <c r="BR510" s="2" t="s">
        <v>74</v>
      </c>
      <c r="BS510" s="2" t="s">
        <v>8699</v>
      </c>
      <c r="BT510" s="2" t="str">
        <f>HYPERLINK("https%3A%2F%2Fwww.webofscience.com%2Fwos%2Fwoscc%2Ffull-record%2FWOS:000382724900001","View Full Record in Web of Science")</f>
        <v>View Full Record in Web of Science</v>
      </c>
    </row>
    <row r="511" spans="1:72" s="2" customFormat="1" x14ac:dyDescent="0.4">
      <c r="A511" s="2" t="s">
        <v>72</v>
      </c>
      <c r="B511" s="2" t="s">
        <v>7169</v>
      </c>
      <c r="C511" s="2" t="s">
        <v>74</v>
      </c>
      <c r="D511" s="2" t="s">
        <v>74</v>
      </c>
      <c r="E511" s="2" t="s">
        <v>74</v>
      </c>
      <c r="F511" s="2" t="s">
        <v>7169</v>
      </c>
      <c r="G511" s="2" t="s">
        <v>74</v>
      </c>
      <c r="H511" s="2" t="s">
        <v>74</v>
      </c>
      <c r="I511" s="2" t="s">
        <v>7170</v>
      </c>
      <c r="J511" s="2" t="s">
        <v>3238</v>
      </c>
      <c r="K511" s="2" t="s">
        <v>74</v>
      </c>
      <c r="L511" s="2" t="s">
        <v>74</v>
      </c>
      <c r="M511" s="2" t="s">
        <v>74</v>
      </c>
      <c r="N511" s="2" t="s">
        <v>74</v>
      </c>
      <c r="O511" s="2" t="s">
        <v>74</v>
      </c>
      <c r="P511" s="2" t="s">
        <v>74</v>
      </c>
      <c r="Q511" s="2" t="s">
        <v>74</v>
      </c>
      <c r="R511" s="2" t="s">
        <v>74</v>
      </c>
      <c r="S511" s="2" t="s">
        <v>74</v>
      </c>
      <c r="T511" s="2" t="s">
        <v>74</v>
      </c>
      <c r="U511" s="2" t="s">
        <v>74</v>
      </c>
      <c r="V511" s="5" t="s">
        <v>7171</v>
      </c>
      <c r="W511" s="2" t="s">
        <v>74</v>
      </c>
      <c r="X511" s="2" t="s">
        <v>74</v>
      </c>
      <c r="Y511" s="2" t="s">
        <v>74</v>
      </c>
      <c r="Z511" s="2" t="s">
        <v>74</v>
      </c>
      <c r="AA511" s="2" t="s">
        <v>74</v>
      </c>
      <c r="AB511" s="2" t="s">
        <v>7172</v>
      </c>
      <c r="AC511" s="2" t="s">
        <v>74</v>
      </c>
      <c r="AD511" s="2" t="s">
        <v>74</v>
      </c>
      <c r="AE511" s="2" t="s">
        <v>74</v>
      </c>
      <c r="AF511" s="2" t="s">
        <v>74</v>
      </c>
      <c r="AG511" s="2" t="s">
        <v>74</v>
      </c>
      <c r="AH511" s="2" t="s">
        <v>74</v>
      </c>
      <c r="AI511" s="2" t="s">
        <v>74</v>
      </c>
      <c r="AJ511" s="2" t="s">
        <v>74</v>
      </c>
      <c r="AK511" s="2" t="s">
        <v>74</v>
      </c>
      <c r="AL511" s="2" t="s">
        <v>74</v>
      </c>
      <c r="AM511" s="2" t="s">
        <v>74</v>
      </c>
      <c r="AN511" s="2" t="s">
        <v>74</v>
      </c>
      <c r="AO511" s="2" t="s">
        <v>3240</v>
      </c>
      <c r="AP511" s="2" t="s">
        <v>74</v>
      </c>
      <c r="AQ511" s="2" t="s">
        <v>74</v>
      </c>
      <c r="AR511" s="2" t="s">
        <v>74</v>
      </c>
      <c r="AS511" s="2" t="s">
        <v>74</v>
      </c>
      <c r="AT511" s="2" t="s">
        <v>123</v>
      </c>
      <c r="AU511" s="2">
        <v>2002</v>
      </c>
      <c r="AV511" s="2">
        <v>95</v>
      </c>
      <c r="AW511" s="2">
        <v>2</v>
      </c>
      <c r="AX511" s="2" t="s">
        <v>74</v>
      </c>
      <c r="AY511" s="2" t="s">
        <v>74</v>
      </c>
      <c r="AZ511" s="2" t="s">
        <v>74</v>
      </c>
      <c r="BA511" s="2" t="s">
        <v>74</v>
      </c>
      <c r="BB511" s="2">
        <v>172</v>
      </c>
      <c r="BC511" s="2">
        <v>191</v>
      </c>
      <c r="BD511" s="2" t="s">
        <v>74</v>
      </c>
      <c r="BE511" s="2" t="s">
        <v>7173</v>
      </c>
      <c r="BF511" s="2" t="str">
        <f>HYPERLINK("http://dx.doi.org/10.1603/0013-8746(2002)095[0172:DTTCCI]2.0.CO;2","http://dx.doi.org/10.1603/0013-8746(2002)095[0172:DTTCCI]2.0.CO;2")</f>
        <v>http://dx.doi.org/10.1603/0013-8746(2002)095[0172:DTTCCI]2.0.CO;2</v>
      </c>
      <c r="BG511" s="2" t="s">
        <v>74</v>
      </c>
      <c r="BH511" s="2" t="s">
        <v>74</v>
      </c>
      <c r="BI511" s="2" t="s">
        <v>74</v>
      </c>
      <c r="BJ511" s="2" t="s">
        <v>74</v>
      </c>
      <c r="BK511" s="2" t="s">
        <v>74</v>
      </c>
      <c r="BL511" s="2" t="s">
        <v>74</v>
      </c>
      <c r="BM511" s="2" t="s">
        <v>74</v>
      </c>
      <c r="BN511" s="2" t="s">
        <v>74</v>
      </c>
      <c r="BO511" s="2" t="s">
        <v>74</v>
      </c>
      <c r="BP511" s="2" t="s">
        <v>74</v>
      </c>
      <c r="BQ511" s="2" t="s">
        <v>74</v>
      </c>
      <c r="BR511" s="2" t="s">
        <v>74</v>
      </c>
      <c r="BS511" s="2" t="s">
        <v>7174</v>
      </c>
      <c r="BT511" s="2" t="str">
        <f>HYPERLINK("https%3A%2F%2Fwww.webofscience.com%2Fwos%2Fwoscc%2Ffull-record%2FWOS:000178373100006","View Full Record in Web of Science")</f>
        <v>View Full Record in Web of Science</v>
      </c>
    </row>
    <row r="512" spans="1:72" s="2" customFormat="1" x14ac:dyDescent="0.4">
      <c r="A512" s="2" t="s">
        <v>72</v>
      </c>
      <c r="B512" s="2" t="s">
        <v>8504</v>
      </c>
      <c r="C512" s="2" t="s">
        <v>74</v>
      </c>
      <c r="D512" s="2" t="s">
        <v>74</v>
      </c>
      <c r="E512" s="2" t="s">
        <v>74</v>
      </c>
      <c r="F512" s="2" t="s">
        <v>8505</v>
      </c>
      <c r="G512" s="2" t="s">
        <v>74</v>
      </c>
      <c r="H512" s="2" t="s">
        <v>74</v>
      </c>
      <c r="I512" s="2" t="s">
        <v>8506</v>
      </c>
      <c r="J512" s="2" t="s">
        <v>2847</v>
      </c>
      <c r="K512" s="2" t="s">
        <v>74</v>
      </c>
      <c r="L512" s="2" t="s">
        <v>74</v>
      </c>
      <c r="M512" s="2" t="s">
        <v>74</v>
      </c>
      <c r="N512" s="2" t="s">
        <v>74</v>
      </c>
      <c r="O512" s="2" t="s">
        <v>74</v>
      </c>
      <c r="P512" s="2" t="s">
        <v>74</v>
      </c>
      <c r="Q512" s="2" t="s">
        <v>74</v>
      </c>
      <c r="R512" s="2" t="s">
        <v>74</v>
      </c>
      <c r="S512" s="2" t="s">
        <v>74</v>
      </c>
      <c r="T512" s="2" t="s">
        <v>74</v>
      </c>
      <c r="U512" s="2" t="s">
        <v>74</v>
      </c>
      <c r="V512" s="5" t="s">
        <v>8507</v>
      </c>
      <c r="W512" s="2" t="s">
        <v>74</v>
      </c>
      <c r="X512" s="2" t="s">
        <v>74</v>
      </c>
      <c r="Y512" s="2" t="s">
        <v>74</v>
      </c>
      <c r="Z512" s="2" t="s">
        <v>74</v>
      </c>
      <c r="AA512" s="2" t="s">
        <v>8508</v>
      </c>
      <c r="AB512" s="2" t="s">
        <v>8509</v>
      </c>
      <c r="AC512" s="2" t="s">
        <v>74</v>
      </c>
      <c r="AD512" s="2" t="s">
        <v>74</v>
      </c>
      <c r="AE512" s="2" t="s">
        <v>74</v>
      </c>
      <c r="AF512" s="2" t="s">
        <v>74</v>
      </c>
      <c r="AG512" s="2" t="s">
        <v>74</v>
      </c>
      <c r="AH512" s="2" t="s">
        <v>74</v>
      </c>
      <c r="AI512" s="2" t="s">
        <v>74</v>
      </c>
      <c r="AJ512" s="2" t="s">
        <v>74</v>
      </c>
      <c r="AK512" s="2" t="s">
        <v>74</v>
      </c>
      <c r="AL512" s="2" t="s">
        <v>74</v>
      </c>
      <c r="AM512" s="2" t="s">
        <v>74</v>
      </c>
      <c r="AN512" s="2" t="s">
        <v>74</v>
      </c>
      <c r="AO512" s="2" t="s">
        <v>2849</v>
      </c>
      <c r="AP512" s="2" t="s">
        <v>2850</v>
      </c>
      <c r="AQ512" s="2" t="s">
        <v>74</v>
      </c>
      <c r="AR512" s="2" t="s">
        <v>74</v>
      </c>
      <c r="AS512" s="2" t="s">
        <v>74</v>
      </c>
      <c r="AT512" s="2" t="s">
        <v>4744</v>
      </c>
      <c r="AU512" s="2">
        <v>2012</v>
      </c>
      <c r="AV512" s="2">
        <v>426</v>
      </c>
      <c r="AW512" s="2" t="s">
        <v>74</v>
      </c>
      <c r="AX512" s="2" t="s">
        <v>74</v>
      </c>
      <c r="AY512" s="2" t="s">
        <v>74</v>
      </c>
      <c r="AZ512" s="2" t="s">
        <v>74</v>
      </c>
      <c r="BA512" s="2" t="s">
        <v>74</v>
      </c>
      <c r="BB512" s="2">
        <v>1</v>
      </c>
      <c r="BC512" s="2">
        <v>4</v>
      </c>
      <c r="BD512" s="2" t="s">
        <v>74</v>
      </c>
      <c r="BE512" s="2" t="s">
        <v>8510</v>
      </c>
      <c r="BF512" s="2" t="str">
        <f>HYPERLINK("http://dx.doi.org/10.1016/j.jembe.2012.05.011","http://dx.doi.org/10.1016/j.jembe.2012.05.011")</f>
        <v>http://dx.doi.org/10.1016/j.jembe.2012.05.011</v>
      </c>
      <c r="BG512" s="2" t="s">
        <v>74</v>
      </c>
      <c r="BH512" s="2" t="s">
        <v>74</v>
      </c>
      <c r="BI512" s="2" t="s">
        <v>74</v>
      </c>
      <c r="BJ512" s="2" t="s">
        <v>74</v>
      </c>
      <c r="BK512" s="2" t="s">
        <v>74</v>
      </c>
      <c r="BL512" s="2" t="s">
        <v>74</v>
      </c>
      <c r="BM512" s="2" t="s">
        <v>74</v>
      </c>
      <c r="BN512" s="2" t="s">
        <v>74</v>
      </c>
      <c r="BO512" s="2" t="s">
        <v>74</v>
      </c>
      <c r="BP512" s="2" t="s">
        <v>74</v>
      </c>
      <c r="BQ512" s="2" t="s">
        <v>74</v>
      </c>
      <c r="BR512" s="2" t="s">
        <v>74</v>
      </c>
      <c r="BS512" s="2" t="s">
        <v>8511</v>
      </c>
      <c r="BT512" s="2" t="str">
        <f>HYPERLINK("https%3A%2F%2Fwww.webofscience.com%2Fwos%2Fwoscc%2Ffull-record%2FWOS:000306623700001","View Full Record in Web of Science")</f>
        <v>View Full Record in Web of Science</v>
      </c>
    </row>
    <row r="513" spans="1:72" s="2" customFormat="1" x14ac:dyDescent="0.4">
      <c r="A513" s="2" t="s">
        <v>72</v>
      </c>
      <c r="B513" s="2" t="s">
        <v>1644</v>
      </c>
      <c r="C513" s="2" t="s">
        <v>74</v>
      </c>
      <c r="D513" s="2" t="s">
        <v>74</v>
      </c>
      <c r="E513" s="2" t="s">
        <v>74</v>
      </c>
      <c r="F513" s="2" t="s">
        <v>1645</v>
      </c>
      <c r="G513" s="2" t="s">
        <v>74</v>
      </c>
      <c r="H513" s="2" t="s">
        <v>74</v>
      </c>
      <c r="I513" s="2" t="s">
        <v>1646</v>
      </c>
      <c r="J513" s="2" t="s">
        <v>1647</v>
      </c>
      <c r="K513" s="2" t="s">
        <v>74</v>
      </c>
      <c r="L513" s="2" t="s">
        <v>74</v>
      </c>
      <c r="M513" s="2" t="s">
        <v>74</v>
      </c>
      <c r="N513" s="2" t="s">
        <v>74</v>
      </c>
      <c r="O513" s="2" t="s">
        <v>74</v>
      </c>
      <c r="P513" s="2" t="s">
        <v>74</v>
      </c>
      <c r="Q513" s="2" t="s">
        <v>74</v>
      </c>
      <c r="R513" s="2" t="s">
        <v>74</v>
      </c>
      <c r="S513" s="2" t="s">
        <v>74</v>
      </c>
      <c r="T513" s="2" t="s">
        <v>74</v>
      </c>
      <c r="U513" s="2" t="s">
        <v>74</v>
      </c>
      <c r="V513" s="5" t="s">
        <v>1648</v>
      </c>
      <c r="W513" s="2" t="s">
        <v>74</v>
      </c>
      <c r="X513" s="2" t="s">
        <v>74</v>
      </c>
      <c r="Y513" s="2" t="s">
        <v>74</v>
      </c>
      <c r="Z513" s="2" t="s">
        <v>74</v>
      </c>
      <c r="AA513" s="2" t="s">
        <v>74</v>
      </c>
      <c r="AB513" s="2" t="s">
        <v>74</v>
      </c>
      <c r="AC513" s="2" t="s">
        <v>74</v>
      </c>
      <c r="AD513" s="2" t="s">
        <v>74</v>
      </c>
      <c r="AE513" s="2" t="s">
        <v>74</v>
      </c>
      <c r="AF513" s="2" t="s">
        <v>74</v>
      </c>
      <c r="AG513" s="2" t="s">
        <v>74</v>
      </c>
      <c r="AH513" s="2" t="s">
        <v>74</v>
      </c>
      <c r="AI513" s="2" t="s">
        <v>74</v>
      </c>
      <c r="AJ513" s="2" t="s">
        <v>74</v>
      </c>
      <c r="AK513" s="2" t="s">
        <v>74</v>
      </c>
      <c r="AL513" s="2" t="s">
        <v>74</v>
      </c>
      <c r="AM513" s="2" t="s">
        <v>74</v>
      </c>
      <c r="AN513" s="2" t="s">
        <v>74</v>
      </c>
      <c r="AO513" s="2" t="s">
        <v>1649</v>
      </c>
      <c r="AP513" s="2" t="s">
        <v>74</v>
      </c>
      <c r="AQ513" s="2" t="s">
        <v>74</v>
      </c>
      <c r="AR513" s="2" t="s">
        <v>74</v>
      </c>
      <c r="AS513" s="2" t="s">
        <v>74</v>
      </c>
      <c r="AT513" s="2" t="s">
        <v>1650</v>
      </c>
      <c r="AU513" s="2">
        <v>2018</v>
      </c>
      <c r="AV513" s="2">
        <v>69</v>
      </c>
      <c r="AW513" s="2">
        <v>2</v>
      </c>
      <c r="AX513" s="2" t="s">
        <v>74</v>
      </c>
      <c r="AY513" s="2" t="s">
        <v>74</v>
      </c>
      <c r="AZ513" s="2" t="s">
        <v>74</v>
      </c>
      <c r="BA513" s="2" t="s">
        <v>74</v>
      </c>
      <c r="BB513" s="2">
        <v>951</v>
      </c>
      <c r="BC513" s="2">
        <v>958</v>
      </c>
      <c r="BD513" s="2" t="s">
        <v>74</v>
      </c>
      <c r="BE513" s="2" t="s">
        <v>1651</v>
      </c>
      <c r="BF513" s="2" t="str">
        <f>HYPERLINK("http://dx.doi.org/10.12681/jhvms.18017","http://dx.doi.org/10.12681/jhvms.18017")</f>
        <v>http://dx.doi.org/10.12681/jhvms.18017</v>
      </c>
      <c r="BG513" s="2" t="s">
        <v>74</v>
      </c>
      <c r="BH513" s="2" t="s">
        <v>74</v>
      </c>
      <c r="BI513" s="2" t="s">
        <v>74</v>
      </c>
      <c r="BJ513" s="2" t="s">
        <v>74</v>
      </c>
      <c r="BK513" s="2" t="s">
        <v>74</v>
      </c>
      <c r="BL513" s="2" t="s">
        <v>74</v>
      </c>
      <c r="BM513" s="2" t="s">
        <v>74</v>
      </c>
      <c r="BN513" s="2" t="s">
        <v>74</v>
      </c>
      <c r="BO513" s="2" t="s">
        <v>74</v>
      </c>
      <c r="BP513" s="2" t="s">
        <v>74</v>
      </c>
      <c r="BQ513" s="2" t="s">
        <v>74</v>
      </c>
      <c r="BR513" s="2" t="s">
        <v>74</v>
      </c>
      <c r="BS513" s="2" t="s">
        <v>1652</v>
      </c>
      <c r="BT513" s="2" t="str">
        <f>HYPERLINK("https%3A%2F%2Fwww.webofscience.com%2Fwos%2Fwoscc%2Ffull-record%2FWOS:000439066300006","View Full Record in Web of Science")</f>
        <v>View Full Record in Web of Science</v>
      </c>
    </row>
    <row r="514" spans="1:72" s="2" customFormat="1" x14ac:dyDescent="0.4">
      <c r="A514" s="2" t="s">
        <v>72</v>
      </c>
      <c r="B514" s="2" t="s">
        <v>6168</v>
      </c>
      <c r="C514" s="2" t="s">
        <v>74</v>
      </c>
      <c r="D514" s="2" t="s">
        <v>74</v>
      </c>
      <c r="E514" s="2" t="s">
        <v>74</v>
      </c>
      <c r="F514" s="2" t="s">
        <v>6168</v>
      </c>
      <c r="G514" s="2" t="s">
        <v>74</v>
      </c>
      <c r="H514" s="2" t="s">
        <v>74</v>
      </c>
      <c r="I514" s="2" t="s">
        <v>6169</v>
      </c>
      <c r="J514" s="2" t="s">
        <v>201</v>
      </c>
      <c r="K514" s="2" t="s">
        <v>74</v>
      </c>
      <c r="L514" s="2" t="s">
        <v>74</v>
      </c>
      <c r="M514" s="2" t="s">
        <v>74</v>
      </c>
      <c r="N514" s="2" t="s">
        <v>74</v>
      </c>
      <c r="O514" s="2" t="s">
        <v>74</v>
      </c>
      <c r="P514" s="2" t="s">
        <v>74</v>
      </c>
      <c r="Q514" s="2" t="s">
        <v>74</v>
      </c>
      <c r="R514" s="2" t="s">
        <v>74</v>
      </c>
      <c r="S514" s="2" t="s">
        <v>74</v>
      </c>
      <c r="T514" s="2" t="s">
        <v>74</v>
      </c>
      <c r="U514" s="2" t="s">
        <v>74</v>
      </c>
      <c r="V514" s="5" t="s">
        <v>6170</v>
      </c>
      <c r="W514" s="2" t="s">
        <v>74</v>
      </c>
      <c r="X514" s="2" t="s">
        <v>74</v>
      </c>
      <c r="Y514" s="2" t="s">
        <v>74</v>
      </c>
      <c r="Z514" s="2" t="s">
        <v>74</v>
      </c>
      <c r="AA514" s="2" t="s">
        <v>6171</v>
      </c>
      <c r="AB514" s="2" t="s">
        <v>6172</v>
      </c>
      <c r="AC514" s="2" t="s">
        <v>74</v>
      </c>
      <c r="AD514" s="2" t="s">
        <v>74</v>
      </c>
      <c r="AE514" s="2" t="s">
        <v>74</v>
      </c>
      <c r="AF514" s="2" t="s">
        <v>74</v>
      </c>
      <c r="AG514" s="2" t="s">
        <v>74</v>
      </c>
      <c r="AH514" s="2" t="s">
        <v>74</v>
      </c>
      <c r="AI514" s="2" t="s">
        <v>74</v>
      </c>
      <c r="AJ514" s="2" t="s">
        <v>74</v>
      </c>
      <c r="AK514" s="2" t="s">
        <v>74</v>
      </c>
      <c r="AL514" s="2" t="s">
        <v>74</v>
      </c>
      <c r="AM514" s="2" t="s">
        <v>74</v>
      </c>
      <c r="AN514" s="2" t="s">
        <v>74</v>
      </c>
      <c r="AO514" s="2" t="s">
        <v>203</v>
      </c>
      <c r="AP514" s="2" t="s">
        <v>1192</v>
      </c>
      <c r="AQ514" s="2" t="s">
        <v>74</v>
      </c>
      <c r="AR514" s="2" t="s">
        <v>74</v>
      </c>
      <c r="AS514" s="2" t="s">
        <v>74</v>
      </c>
      <c r="AT514" s="2" t="s">
        <v>964</v>
      </c>
      <c r="AU514" s="2">
        <v>2006</v>
      </c>
      <c r="AV514" s="2">
        <v>68</v>
      </c>
      <c r="AW514" s="2">
        <v>2</v>
      </c>
      <c r="AX514" s="2" t="s">
        <v>74</v>
      </c>
      <c r="AY514" s="2" t="s">
        <v>74</v>
      </c>
      <c r="AZ514" s="2" t="s">
        <v>74</v>
      </c>
      <c r="BA514" s="2" t="s">
        <v>74</v>
      </c>
      <c r="BB514" s="2">
        <v>555</v>
      </c>
      <c r="BC514" s="2">
        <v>568</v>
      </c>
      <c r="BD514" s="2" t="s">
        <v>74</v>
      </c>
      <c r="BE514" s="2" t="s">
        <v>6173</v>
      </c>
      <c r="BF514" s="2" t="str">
        <f>HYPERLINK("http://dx.doi.org/10.1111/j.0022-1112.2006.00941.x","http://dx.doi.org/10.1111/j.0022-1112.2006.00941.x")</f>
        <v>http://dx.doi.org/10.1111/j.0022-1112.2006.00941.x</v>
      </c>
      <c r="BG514" s="2" t="s">
        <v>74</v>
      </c>
      <c r="BH514" s="2" t="s">
        <v>74</v>
      </c>
      <c r="BI514" s="2" t="s">
        <v>74</v>
      </c>
      <c r="BJ514" s="2" t="s">
        <v>74</v>
      </c>
      <c r="BK514" s="2" t="s">
        <v>74</v>
      </c>
      <c r="BL514" s="2" t="s">
        <v>74</v>
      </c>
      <c r="BM514" s="2" t="s">
        <v>74</v>
      </c>
      <c r="BN514" s="2" t="s">
        <v>74</v>
      </c>
      <c r="BO514" s="2" t="s">
        <v>74</v>
      </c>
      <c r="BP514" s="2" t="s">
        <v>74</v>
      </c>
      <c r="BQ514" s="2" t="s">
        <v>74</v>
      </c>
      <c r="BR514" s="2" t="s">
        <v>74</v>
      </c>
      <c r="BS514" s="2" t="s">
        <v>6174</v>
      </c>
      <c r="BT514" s="2" t="str">
        <f>HYPERLINK("https%3A%2F%2Fwww.webofscience.com%2Fwos%2Fwoscc%2Ffull-record%2FWOS:000235469400016","View Full Record in Web of Science")</f>
        <v>View Full Record in Web of Science</v>
      </c>
    </row>
    <row r="515" spans="1:72" s="2" customFormat="1" x14ac:dyDescent="0.4">
      <c r="A515" s="2" t="s">
        <v>72</v>
      </c>
      <c r="B515" s="2" t="s">
        <v>1229</v>
      </c>
      <c r="C515" s="2" t="s">
        <v>74</v>
      </c>
      <c r="D515" s="2" t="s">
        <v>74</v>
      </c>
      <c r="E515" s="2" t="s">
        <v>74</v>
      </c>
      <c r="F515" s="2" t="s">
        <v>1229</v>
      </c>
      <c r="G515" s="2" t="s">
        <v>74</v>
      </c>
      <c r="H515" s="2" t="s">
        <v>74</v>
      </c>
      <c r="I515" s="2" t="s">
        <v>1230</v>
      </c>
      <c r="J515" s="2" t="s">
        <v>119</v>
      </c>
      <c r="K515" s="2" t="s">
        <v>74</v>
      </c>
      <c r="L515" s="2" t="s">
        <v>74</v>
      </c>
      <c r="M515" s="2" t="s">
        <v>74</v>
      </c>
      <c r="N515" s="2" t="s">
        <v>74</v>
      </c>
      <c r="O515" s="2" t="s">
        <v>74</v>
      </c>
      <c r="P515" s="2" t="s">
        <v>74</v>
      </c>
      <c r="Q515" s="2" t="s">
        <v>74</v>
      </c>
      <c r="R515" s="2" t="s">
        <v>74</v>
      </c>
      <c r="S515" s="2" t="s">
        <v>74</v>
      </c>
      <c r="T515" s="2" t="s">
        <v>74</v>
      </c>
      <c r="U515" s="2" t="s">
        <v>74</v>
      </c>
      <c r="V515" s="5" t="s">
        <v>1231</v>
      </c>
      <c r="W515" s="2" t="s">
        <v>74</v>
      </c>
      <c r="X515" s="2" t="s">
        <v>74</v>
      </c>
      <c r="Y515" s="2" t="s">
        <v>74</v>
      </c>
      <c r="Z515" s="2" t="s">
        <v>74</v>
      </c>
      <c r="AA515" s="2" t="s">
        <v>1232</v>
      </c>
      <c r="AB515" s="2" t="s">
        <v>74</v>
      </c>
      <c r="AC515" s="2" t="s">
        <v>74</v>
      </c>
      <c r="AD515" s="2" t="s">
        <v>74</v>
      </c>
      <c r="AE515" s="2" t="s">
        <v>74</v>
      </c>
      <c r="AF515" s="2" t="s">
        <v>74</v>
      </c>
      <c r="AG515" s="2" t="s">
        <v>74</v>
      </c>
      <c r="AH515" s="2" t="s">
        <v>74</v>
      </c>
      <c r="AI515" s="2" t="s">
        <v>74</v>
      </c>
      <c r="AJ515" s="2" t="s">
        <v>74</v>
      </c>
      <c r="AK515" s="2" t="s">
        <v>74</v>
      </c>
      <c r="AL515" s="2" t="s">
        <v>74</v>
      </c>
      <c r="AM515" s="2" t="s">
        <v>74</v>
      </c>
      <c r="AN515" s="2" t="s">
        <v>74</v>
      </c>
      <c r="AO515" s="2" t="s">
        <v>121</v>
      </c>
      <c r="AP515" s="2" t="s">
        <v>74</v>
      </c>
      <c r="AQ515" s="2" t="s">
        <v>74</v>
      </c>
      <c r="AR515" s="2" t="s">
        <v>74</v>
      </c>
      <c r="AS515" s="2" t="s">
        <v>74</v>
      </c>
      <c r="AT515" s="2" t="s">
        <v>102</v>
      </c>
      <c r="AU515" s="2">
        <v>1998</v>
      </c>
      <c r="AV515" s="2">
        <v>43</v>
      </c>
      <c r="AW515" s="2">
        <v>3</v>
      </c>
      <c r="AX515" s="2" t="s">
        <v>74</v>
      </c>
      <c r="AY515" s="2" t="s">
        <v>74</v>
      </c>
      <c r="AZ515" s="2" t="s">
        <v>74</v>
      </c>
      <c r="BA515" s="2" t="s">
        <v>74</v>
      </c>
      <c r="BB515" s="2">
        <v>251</v>
      </c>
      <c r="BC515" s="2">
        <v>255</v>
      </c>
      <c r="BD515" s="2" t="s">
        <v>74</v>
      </c>
      <c r="BE515" s="2" t="s">
        <v>1233</v>
      </c>
      <c r="BF515" s="2" t="str">
        <f>HYPERLINK("http://dx.doi.org/10.1016/S0376-6357(98)00006-0","http://dx.doi.org/10.1016/S0376-6357(98)00006-0")</f>
        <v>http://dx.doi.org/10.1016/S0376-6357(98)00006-0</v>
      </c>
      <c r="BG515" s="2" t="s">
        <v>74</v>
      </c>
      <c r="BH515" s="2" t="s">
        <v>74</v>
      </c>
      <c r="BI515" s="2" t="s">
        <v>74</v>
      </c>
      <c r="BJ515" s="2" t="s">
        <v>74</v>
      </c>
      <c r="BK515" s="2" t="s">
        <v>74</v>
      </c>
      <c r="BL515" s="2" t="s">
        <v>74</v>
      </c>
      <c r="BM515" s="2" t="s">
        <v>74</v>
      </c>
      <c r="BN515" s="2">
        <v>24896492</v>
      </c>
      <c r="BO515" s="2" t="s">
        <v>74</v>
      </c>
      <c r="BP515" s="2" t="s">
        <v>74</v>
      </c>
      <c r="BQ515" s="2" t="s">
        <v>74</v>
      </c>
      <c r="BR515" s="2" t="s">
        <v>74</v>
      </c>
      <c r="BS515" s="2" t="s">
        <v>1234</v>
      </c>
      <c r="BT515" s="2" t="str">
        <f>HYPERLINK("https%3A%2F%2Fwww.webofscience.com%2Fwos%2Fwoscc%2Ffull-record%2FWOS:000075498300002","View Full Record in Web of Science")</f>
        <v>View Full Record in Web of Science</v>
      </c>
    </row>
    <row r="516" spans="1:72" s="2" customFormat="1" x14ac:dyDescent="0.4">
      <c r="A516" s="2" t="s">
        <v>72</v>
      </c>
      <c r="B516" s="2" t="s">
        <v>3905</v>
      </c>
      <c r="C516" s="2" t="s">
        <v>74</v>
      </c>
      <c r="D516" s="2" t="s">
        <v>74</v>
      </c>
      <c r="E516" s="2" t="s">
        <v>74</v>
      </c>
      <c r="F516" s="2" t="s">
        <v>3906</v>
      </c>
      <c r="G516" s="2" t="s">
        <v>74</v>
      </c>
      <c r="H516" s="2" t="s">
        <v>74</v>
      </c>
      <c r="I516" s="2" t="s">
        <v>3907</v>
      </c>
      <c r="J516" s="2" t="s">
        <v>129</v>
      </c>
      <c r="K516" s="2" t="s">
        <v>74</v>
      </c>
      <c r="L516" s="2" t="s">
        <v>74</v>
      </c>
      <c r="M516" s="2" t="s">
        <v>74</v>
      </c>
      <c r="N516" s="2" t="s">
        <v>74</v>
      </c>
      <c r="O516" s="2" t="s">
        <v>74</v>
      </c>
      <c r="P516" s="2" t="s">
        <v>74</v>
      </c>
      <c r="Q516" s="2" t="s">
        <v>74</v>
      </c>
      <c r="R516" s="2" t="s">
        <v>74</v>
      </c>
      <c r="S516" s="2" t="s">
        <v>74</v>
      </c>
      <c r="T516" s="2" t="s">
        <v>74</v>
      </c>
      <c r="U516" s="2" t="s">
        <v>74</v>
      </c>
      <c r="V516" s="5" t="s">
        <v>3908</v>
      </c>
      <c r="W516" s="2" t="s">
        <v>74</v>
      </c>
      <c r="X516" s="2" t="s">
        <v>74</v>
      </c>
      <c r="Y516" s="2" t="s">
        <v>74</v>
      </c>
      <c r="Z516" s="2" t="s">
        <v>74</v>
      </c>
      <c r="AA516" s="2" t="s">
        <v>3909</v>
      </c>
      <c r="AB516" s="2" t="s">
        <v>3910</v>
      </c>
      <c r="AC516" s="2" t="s">
        <v>74</v>
      </c>
      <c r="AD516" s="2" t="s">
        <v>74</v>
      </c>
      <c r="AE516" s="2" t="s">
        <v>74</v>
      </c>
      <c r="AF516" s="2" t="s">
        <v>74</v>
      </c>
      <c r="AG516" s="2" t="s">
        <v>74</v>
      </c>
      <c r="AH516" s="2" t="s">
        <v>74</v>
      </c>
      <c r="AI516" s="2" t="s">
        <v>74</v>
      </c>
      <c r="AJ516" s="2" t="s">
        <v>74</v>
      </c>
      <c r="AK516" s="2" t="s">
        <v>74</v>
      </c>
      <c r="AL516" s="2" t="s">
        <v>74</v>
      </c>
      <c r="AM516" s="2" t="s">
        <v>74</v>
      </c>
      <c r="AN516" s="2" t="s">
        <v>74</v>
      </c>
      <c r="AO516" s="2" t="s">
        <v>132</v>
      </c>
      <c r="AP516" s="2" t="s">
        <v>74</v>
      </c>
      <c r="AQ516" s="2" t="s">
        <v>74</v>
      </c>
      <c r="AR516" s="2" t="s">
        <v>74</v>
      </c>
      <c r="AS516" s="2" t="s">
        <v>74</v>
      </c>
      <c r="AT516" s="2" t="s">
        <v>204</v>
      </c>
      <c r="AU516" s="2">
        <v>2011</v>
      </c>
      <c r="AV516" s="2">
        <v>65</v>
      </c>
      <c r="AW516" s="2">
        <v>7</v>
      </c>
      <c r="AX516" s="2" t="s">
        <v>74</v>
      </c>
      <c r="AY516" s="2" t="s">
        <v>74</v>
      </c>
      <c r="AZ516" s="2" t="s">
        <v>74</v>
      </c>
      <c r="BA516" s="2" t="s">
        <v>74</v>
      </c>
      <c r="BB516" s="2">
        <v>1403</v>
      </c>
      <c r="BC516" s="2">
        <v>1410</v>
      </c>
      <c r="BD516" s="2" t="s">
        <v>74</v>
      </c>
      <c r="BE516" s="2" t="s">
        <v>3911</v>
      </c>
      <c r="BF516" s="2" t="str">
        <f>HYPERLINK("http://dx.doi.org/10.1007/s00265-011-1150-1","http://dx.doi.org/10.1007/s00265-011-1150-1")</f>
        <v>http://dx.doi.org/10.1007/s00265-011-1150-1</v>
      </c>
      <c r="BG516" s="2" t="s">
        <v>74</v>
      </c>
      <c r="BH516" s="2" t="s">
        <v>74</v>
      </c>
      <c r="BI516" s="2" t="s">
        <v>74</v>
      </c>
      <c r="BJ516" s="2" t="s">
        <v>74</v>
      </c>
      <c r="BK516" s="2" t="s">
        <v>74</v>
      </c>
      <c r="BL516" s="2" t="s">
        <v>74</v>
      </c>
      <c r="BM516" s="2" t="s">
        <v>74</v>
      </c>
      <c r="BN516" s="2" t="s">
        <v>74</v>
      </c>
      <c r="BO516" s="2" t="s">
        <v>74</v>
      </c>
      <c r="BP516" s="2" t="s">
        <v>74</v>
      </c>
      <c r="BQ516" s="2" t="s">
        <v>74</v>
      </c>
      <c r="BR516" s="2" t="s">
        <v>74</v>
      </c>
      <c r="BS516" s="2" t="s">
        <v>3912</v>
      </c>
      <c r="BT516" s="2" t="str">
        <f>HYPERLINK("https%3A%2F%2Fwww.webofscience.com%2Fwos%2Fwoscc%2Ffull-record%2FWOS:000291654000006","View Full Record in Web of Science")</f>
        <v>View Full Record in Web of Science</v>
      </c>
    </row>
    <row r="517" spans="1:72" s="2" customFormat="1" x14ac:dyDescent="0.4">
      <c r="A517" s="2" t="s">
        <v>72</v>
      </c>
      <c r="B517" s="2" t="s">
        <v>472</v>
      </c>
      <c r="C517" s="2" t="s">
        <v>74</v>
      </c>
      <c r="D517" s="2" t="s">
        <v>74</v>
      </c>
      <c r="E517" s="2" t="s">
        <v>74</v>
      </c>
      <c r="F517" s="2" t="s">
        <v>473</v>
      </c>
      <c r="G517" s="2" t="s">
        <v>74</v>
      </c>
      <c r="H517" s="2" t="s">
        <v>74</v>
      </c>
      <c r="I517" s="2" t="s">
        <v>474</v>
      </c>
      <c r="J517" s="2" t="s">
        <v>475</v>
      </c>
      <c r="K517" s="2" t="s">
        <v>74</v>
      </c>
      <c r="L517" s="2" t="s">
        <v>74</v>
      </c>
      <c r="M517" s="2" t="s">
        <v>74</v>
      </c>
      <c r="N517" s="2" t="s">
        <v>74</v>
      </c>
      <c r="O517" s="2" t="s">
        <v>74</v>
      </c>
      <c r="P517" s="2" t="s">
        <v>74</v>
      </c>
      <c r="Q517" s="2" t="s">
        <v>74</v>
      </c>
      <c r="R517" s="2" t="s">
        <v>74</v>
      </c>
      <c r="S517" s="2" t="s">
        <v>74</v>
      </c>
      <c r="T517" s="2" t="s">
        <v>74</v>
      </c>
      <c r="U517" s="2" t="s">
        <v>74</v>
      </c>
      <c r="V517" s="5" t="s">
        <v>476</v>
      </c>
      <c r="W517" s="2" t="s">
        <v>74</v>
      </c>
      <c r="X517" s="2" t="s">
        <v>74</v>
      </c>
      <c r="Y517" s="2" t="s">
        <v>74</v>
      </c>
      <c r="Z517" s="2" t="s">
        <v>74</v>
      </c>
      <c r="AA517" s="2" t="s">
        <v>74</v>
      </c>
      <c r="AB517" s="2" t="s">
        <v>274</v>
      </c>
      <c r="AC517" s="2" t="s">
        <v>74</v>
      </c>
      <c r="AD517" s="2" t="s">
        <v>74</v>
      </c>
      <c r="AE517" s="2" t="s">
        <v>74</v>
      </c>
      <c r="AF517" s="2" t="s">
        <v>74</v>
      </c>
      <c r="AG517" s="2" t="s">
        <v>74</v>
      </c>
      <c r="AH517" s="2" t="s">
        <v>74</v>
      </c>
      <c r="AI517" s="2" t="s">
        <v>74</v>
      </c>
      <c r="AJ517" s="2" t="s">
        <v>74</v>
      </c>
      <c r="AK517" s="2" t="s">
        <v>74</v>
      </c>
      <c r="AL517" s="2" t="s">
        <v>74</v>
      </c>
      <c r="AM517" s="2" t="s">
        <v>74</v>
      </c>
      <c r="AN517" s="2" t="s">
        <v>74</v>
      </c>
      <c r="AO517" s="2" t="s">
        <v>477</v>
      </c>
      <c r="AP517" s="2" t="s">
        <v>74</v>
      </c>
      <c r="AQ517" s="2" t="s">
        <v>74</v>
      </c>
      <c r="AR517" s="2" t="s">
        <v>74</v>
      </c>
      <c r="AS517" s="2" t="s">
        <v>74</v>
      </c>
      <c r="AT517" s="2" t="s">
        <v>361</v>
      </c>
      <c r="AU517" s="2">
        <v>2012</v>
      </c>
      <c r="AV517" s="2">
        <v>176</v>
      </c>
      <c r="AW517" s="2">
        <v>3</v>
      </c>
      <c r="AX517" s="2" t="s">
        <v>74</v>
      </c>
      <c r="AY517" s="2" t="s">
        <v>74</v>
      </c>
      <c r="AZ517" s="2" t="s">
        <v>74</v>
      </c>
      <c r="BA517" s="2" t="s">
        <v>74</v>
      </c>
      <c r="BB517" s="2">
        <v>493</v>
      </c>
      <c r="BC517" s="2">
        <v>499</v>
      </c>
      <c r="BD517" s="2" t="s">
        <v>74</v>
      </c>
      <c r="BE517" s="2" t="s">
        <v>478</v>
      </c>
      <c r="BF517" s="2" t="str">
        <f>HYPERLINK("http://dx.doi.org/10.1016/j.ygcen.2011.12.028","http://dx.doi.org/10.1016/j.ygcen.2011.12.028")</f>
        <v>http://dx.doi.org/10.1016/j.ygcen.2011.12.028</v>
      </c>
      <c r="BG517" s="2" t="s">
        <v>74</v>
      </c>
      <c r="BH517" s="2" t="s">
        <v>74</v>
      </c>
      <c r="BI517" s="2" t="s">
        <v>74</v>
      </c>
      <c r="BJ517" s="2" t="s">
        <v>74</v>
      </c>
      <c r="BK517" s="2" t="s">
        <v>74</v>
      </c>
      <c r="BL517" s="2" t="s">
        <v>74</v>
      </c>
      <c r="BM517" s="2" t="s">
        <v>74</v>
      </c>
      <c r="BN517" s="2">
        <v>22230767</v>
      </c>
      <c r="BO517" s="2" t="s">
        <v>74</v>
      </c>
      <c r="BP517" s="2" t="s">
        <v>74</v>
      </c>
      <c r="BQ517" s="2" t="s">
        <v>74</v>
      </c>
      <c r="BR517" s="2" t="s">
        <v>74</v>
      </c>
      <c r="BS517" s="2" t="s">
        <v>479</v>
      </c>
      <c r="BT517" s="2" t="str">
        <f>HYPERLINK("https%3A%2F%2Fwww.webofscience.com%2Fwos%2Fwoscc%2Ffull-record%2FWOS:000303700900032","View Full Record in Web of Science")</f>
        <v>View Full Record in Web of Science</v>
      </c>
    </row>
    <row r="518" spans="1:72" s="2" customFormat="1" x14ac:dyDescent="0.4">
      <c r="A518" s="2" t="s">
        <v>72</v>
      </c>
      <c r="B518" s="2" t="s">
        <v>4567</v>
      </c>
      <c r="C518" s="2" t="s">
        <v>74</v>
      </c>
      <c r="D518" s="2" t="s">
        <v>74</v>
      </c>
      <c r="E518" s="2" t="s">
        <v>74</v>
      </c>
      <c r="F518" s="2" t="s">
        <v>4567</v>
      </c>
      <c r="G518" s="2" t="s">
        <v>74</v>
      </c>
      <c r="H518" s="2" t="s">
        <v>74</v>
      </c>
      <c r="I518" s="2" t="s">
        <v>4568</v>
      </c>
      <c r="J518" s="2" t="s">
        <v>610</v>
      </c>
      <c r="K518" s="2" t="s">
        <v>74</v>
      </c>
      <c r="L518" s="2" t="s">
        <v>74</v>
      </c>
      <c r="M518" s="2" t="s">
        <v>74</v>
      </c>
      <c r="N518" s="2" t="s">
        <v>74</v>
      </c>
      <c r="O518" s="2" t="s">
        <v>74</v>
      </c>
      <c r="P518" s="2" t="s">
        <v>74</v>
      </c>
      <c r="Q518" s="2" t="s">
        <v>74</v>
      </c>
      <c r="R518" s="2" t="s">
        <v>74</v>
      </c>
      <c r="S518" s="2" t="s">
        <v>74</v>
      </c>
      <c r="T518" s="2" t="s">
        <v>74</v>
      </c>
      <c r="U518" s="2" t="s">
        <v>74</v>
      </c>
      <c r="V518" s="5" t="s">
        <v>4569</v>
      </c>
      <c r="W518" s="2" t="s">
        <v>74</v>
      </c>
      <c r="X518" s="2" t="s">
        <v>74</v>
      </c>
      <c r="Y518" s="2" t="s">
        <v>74</v>
      </c>
      <c r="Z518" s="2" t="s">
        <v>74</v>
      </c>
      <c r="AA518" s="2" t="s">
        <v>74</v>
      </c>
      <c r="AB518" s="2" t="s">
        <v>4570</v>
      </c>
      <c r="AC518" s="2" t="s">
        <v>74</v>
      </c>
      <c r="AD518" s="2" t="s">
        <v>74</v>
      </c>
      <c r="AE518" s="2" t="s">
        <v>74</v>
      </c>
      <c r="AF518" s="2" t="s">
        <v>74</v>
      </c>
      <c r="AG518" s="2" t="s">
        <v>74</v>
      </c>
      <c r="AH518" s="2" t="s">
        <v>74</v>
      </c>
      <c r="AI518" s="2" t="s">
        <v>74</v>
      </c>
      <c r="AJ518" s="2" t="s">
        <v>74</v>
      </c>
      <c r="AK518" s="2" t="s">
        <v>74</v>
      </c>
      <c r="AL518" s="2" t="s">
        <v>74</v>
      </c>
      <c r="AM518" s="2" t="s">
        <v>74</v>
      </c>
      <c r="AN518" s="2" t="s">
        <v>74</v>
      </c>
      <c r="AO518" s="2" t="s">
        <v>614</v>
      </c>
      <c r="AP518" s="2" t="s">
        <v>615</v>
      </c>
      <c r="AQ518" s="2" t="s">
        <v>74</v>
      </c>
      <c r="AR518" s="2" t="s">
        <v>74</v>
      </c>
      <c r="AS518" s="2" t="s">
        <v>74</v>
      </c>
      <c r="AT518" s="2" t="s">
        <v>352</v>
      </c>
      <c r="AU518" s="2">
        <v>2001</v>
      </c>
      <c r="AV518" s="2">
        <v>107</v>
      </c>
      <c r="AW518" s="2">
        <v>9</v>
      </c>
      <c r="AX518" s="2" t="s">
        <v>74</v>
      </c>
      <c r="AY518" s="2" t="s">
        <v>74</v>
      </c>
      <c r="AZ518" s="2" t="s">
        <v>74</v>
      </c>
      <c r="BA518" s="2" t="s">
        <v>74</v>
      </c>
      <c r="BB518" s="2">
        <v>839</v>
      </c>
      <c r="BC518" s="2">
        <v>850</v>
      </c>
      <c r="BD518" s="2" t="s">
        <v>74</v>
      </c>
      <c r="BE518" s="2" t="s">
        <v>4571</v>
      </c>
      <c r="BF518" s="2" t="str">
        <f>HYPERLINK("http://dx.doi.org/10.1046/j.1439-0310.2001.00712.x","http://dx.doi.org/10.1046/j.1439-0310.2001.00712.x")</f>
        <v>http://dx.doi.org/10.1046/j.1439-0310.2001.00712.x</v>
      </c>
      <c r="BG518" s="2" t="s">
        <v>74</v>
      </c>
      <c r="BH518" s="2" t="s">
        <v>74</v>
      </c>
      <c r="BI518" s="2" t="s">
        <v>74</v>
      </c>
      <c r="BJ518" s="2" t="s">
        <v>74</v>
      </c>
      <c r="BK518" s="2" t="s">
        <v>74</v>
      </c>
      <c r="BL518" s="2" t="s">
        <v>74</v>
      </c>
      <c r="BM518" s="2" t="s">
        <v>74</v>
      </c>
      <c r="BN518" s="2" t="s">
        <v>74</v>
      </c>
      <c r="BO518" s="2" t="s">
        <v>74</v>
      </c>
      <c r="BP518" s="2" t="s">
        <v>74</v>
      </c>
      <c r="BQ518" s="2" t="s">
        <v>74</v>
      </c>
      <c r="BR518" s="2" t="s">
        <v>74</v>
      </c>
      <c r="BS518" s="2" t="s">
        <v>4572</v>
      </c>
      <c r="BT518" s="2" t="str">
        <f>HYPERLINK("https%3A%2F%2Fwww.webofscience.com%2Fwos%2Fwoscc%2Ffull-record%2FWOS:000171378500006","View Full Record in Web of Science")</f>
        <v>View Full Record in Web of Science</v>
      </c>
    </row>
    <row r="519" spans="1:72" s="2" customFormat="1" x14ac:dyDescent="0.4">
      <c r="A519" s="2" t="s">
        <v>72</v>
      </c>
      <c r="B519" s="2" t="s">
        <v>4299</v>
      </c>
      <c r="C519" s="2" t="s">
        <v>74</v>
      </c>
      <c r="D519" s="2" t="s">
        <v>74</v>
      </c>
      <c r="E519" s="2" t="s">
        <v>74</v>
      </c>
      <c r="F519" s="2" t="s">
        <v>4299</v>
      </c>
      <c r="G519" s="2" t="s">
        <v>74</v>
      </c>
      <c r="H519" s="2" t="s">
        <v>74</v>
      </c>
      <c r="I519" s="2" t="s">
        <v>4300</v>
      </c>
      <c r="J519" s="2" t="s">
        <v>140</v>
      </c>
      <c r="K519" s="2" t="s">
        <v>74</v>
      </c>
      <c r="L519" s="2" t="s">
        <v>74</v>
      </c>
      <c r="M519" s="2" t="s">
        <v>74</v>
      </c>
      <c r="N519" s="2" t="s">
        <v>74</v>
      </c>
      <c r="O519" s="2" t="s">
        <v>74</v>
      </c>
      <c r="P519" s="2" t="s">
        <v>74</v>
      </c>
      <c r="Q519" s="2" t="s">
        <v>74</v>
      </c>
      <c r="R519" s="2" t="s">
        <v>74</v>
      </c>
      <c r="S519" s="2" t="s">
        <v>74</v>
      </c>
      <c r="T519" s="2" t="s">
        <v>74</v>
      </c>
      <c r="U519" s="2" t="s">
        <v>74</v>
      </c>
      <c r="V519" s="5" t="s">
        <v>4301</v>
      </c>
      <c r="W519" s="2" t="s">
        <v>74</v>
      </c>
      <c r="X519" s="2" t="s">
        <v>74</v>
      </c>
      <c r="Y519" s="2" t="s">
        <v>74</v>
      </c>
      <c r="Z519" s="2" t="s">
        <v>74</v>
      </c>
      <c r="AA519" s="2" t="s">
        <v>74</v>
      </c>
      <c r="AB519" s="2" t="s">
        <v>74</v>
      </c>
      <c r="AC519" s="2" t="s">
        <v>74</v>
      </c>
      <c r="AD519" s="2" t="s">
        <v>74</v>
      </c>
      <c r="AE519" s="2" t="s">
        <v>74</v>
      </c>
      <c r="AF519" s="2" t="s">
        <v>74</v>
      </c>
      <c r="AG519" s="2" t="s">
        <v>74</v>
      </c>
      <c r="AH519" s="2" t="s">
        <v>74</v>
      </c>
      <c r="AI519" s="2" t="s">
        <v>74</v>
      </c>
      <c r="AJ519" s="2" t="s">
        <v>74</v>
      </c>
      <c r="AK519" s="2" t="s">
        <v>74</v>
      </c>
      <c r="AL519" s="2" t="s">
        <v>74</v>
      </c>
      <c r="AM519" s="2" t="s">
        <v>74</v>
      </c>
      <c r="AN519" s="2" t="s">
        <v>74</v>
      </c>
      <c r="AO519" s="2" t="s">
        <v>143</v>
      </c>
      <c r="AP519" s="2" t="s">
        <v>144</v>
      </c>
      <c r="AQ519" s="2" t="s">
        <v>74</v>
      </c>
      <c r="AR519" s="2" t="s">
        <v>74</v>
      </c>
      <c r="AS519" s="2" t="s">
        <v>74</v>
      </c>
      <c r="AT519" s="2" t="s">
        <v>305</v>
      </c>
      <c r="AU519" s="2">
        <v>2002</v>
      </c>
      <c r="AV519" s="2">
        <v>64</v>
      </c>
      <c r="AW519" s="2" t="s">
        <v>74</v>
      </c>
      <c r="AX519" s="2">
        <v>6</v>
      </c>
      <c r="AY519" s="2" t="s">
        <v>74</v>
      </c>
      <c r="AZ519" s="2" t="s">
        <v>74</v>
      </c>
      <c r="BA519" s="2" t="s">
        <v>74</v>
      </c>
      <c r="BB519" s="2">
        <v>851</v>
      </c>
      <c r="BC519" s="2">
        <v>859</v>
      </c>
      <c r="BD519" s="2" t="s">
        <v>74</v>
      </c>
      <c r="BE519" s="2" t="s">
        <v>4302</v>
      </c>
      <c r="BF519" s="2" t="str">
        <f>HYPERLINK("http://dx.doi.org/10.1006/anbe.2003.2002","http://dx.doi.org/10.1006/anbe.2003.2002")</f>
        <v>http://dx.doi.org/10.1006/anbe.2003.2002</v>
      </c>
      <c r="BG519" s="2" t="s">
        <v>74</v>
      </c>
      <c r="BH519" s="2" t="s">
        <v>74</v>
      </c>
      <c r="BI519" s="2" t="s">
        <v>74</v>
      </c>
      <c r="BJ519" s="2" t="s">
        <v>74</v>
      </c>
      <c r="BK519" s="2" t="s">
        <v>74</v>
      </c>
      <c r="BL519" s="2" t="s">
        <v>74</v>
      </c>
      <c r="BM519" s="2" t="s">
        <v>74</v>
      </c>
      <c r="BN519" s="2" t="s">
        <v>74</v>
      </c>
      <c r="BO519" s="2" t="s">
        <v>74</v>
      </c>
      <c r="BP519" s="2" t="s">
        <v>74</v>
      </c>
      <c r="BQ519" s="2" t="s">
        <v>74</v>
      </c>
      <c r="BR519" s="2" t="s">
        <v>74</v>
      </c>
      <c r="BS519" s="2" t="s">
        <v>4303</v>
      </c>
      <c r="BT519" s="2" t="str">
        <f>HYPERLINK("https%3A%2F%2Fwww.webofscience.com%2Fwos%2Fwoscc%2Ffull-record%2FWOS:000180910400003","View Full Record in Web of Science")</f>
        <v>View Full Record in Web of Science</v>
      </c>
    </row>
    <row r="520" spans="1:72" s="2" customFormat="1" x14ac:dyDescent="0.4">
      <c r="A520" s="2" t="s">
        <v>72</v>
      </c>
      <c r="B520" s="2" t="s">
        <v>7566</v>
      </c>
      <c r="C520" s="2" t="s">
        <v>74</v>
      </c>
      <c r="D520" s="2" t="s">
        <v>74</v>
      </c>
      <c r="E520" s="2" t="s">
        <v>74</v>
      </c>
      <c r="F520" s="2" t="s">
        <v>7566</v>
      </c>
      <c r="G520" s="2" t="s">
        <v>74</v>
      </c>
      <c r="H520" s="2" t="s">
        <v>74</v>
      </c>
      <c r="I520" s="2" t="s">
        <v>7567</v>
      </c>
      <c r="J520" s="2" t="s">
        <v>140</v>
      </c>
      <c r="K520" s="2" t="s">
        <v>74</v>
      </c>
      <c r="L520" s="2" t="s">
        <v>74</v>
      </c>
      <c r="M520" s="2" t="s">
        <v>74</v>
      </c>
      <c r="N520" s="2" t="s">
        <v>74</v>
      </c>
      <c r="O520" s="2" t="s">
        <v>74</v>
      </c>
      <c r="P520" s="2" t="s">
        <v>74</v>
      </c>
      <c r="Q520" s="2" t="s">
        <v>74</v>
      </c>
      <c r="R520" s="2" t="s">
        <v>74</v>
      </c>
      <c r="S520" s="2" t="s">
        <v>74</v>
      </c>
      <c r="T520" s="2" t="s">
        <v>74</v>
      </c>
      <c r="U520" s="2" t="s">
        <v>74</v>
      </c>
      <c r="V520" s="5" t="s">
        <v>7568</v>
      </c>
      <c r="W520" s="2" t="s">
        <v>74</v>
      </c>
      <c r="X520" s="2" t="s">
        <v>74</v>
      </c>
      <c r="Y520" s="2" t="s">
        <v>74</v>
      </c>
      <c r="Z520" s="2" t="s">
        <v>74</v>
      </c>
      <c r="AA520" s="2" t="s">
        <v>74</v>
      </c>
      <c r="AB520" s="2" t="s">
        <v>74</v>
      </c>
      <c r="AC520" s="2" t="s">
        <v>74</v>
      </c>
      <c r="AD520" s="2" t="s">
        <v>74</v>
      </c>
      <c r="AE520" s="2" t="s">
        <v>74</v>
      </c>
      <c r="AF520" s="2" t="s">
        <v>74</v>
      </c>
      <c r="AG520" s="2" t="s">
        <v>74</v>
      </c>
      <c r="AH520" s="2" t="s">
        <v>74</v>
      </c>
      <c r="AI520" s="2" t="s">
        <v>74</v>
      </c>
      <c r="AJ520" s="2" t="s">
        <v>74</v>
      </c>
      <c r="AK520" s="2" t="s">
        <v>74</v>
      </c>
      <c r="AL520" s="2" t="s">
        <v>74</v>
      </c>
      <c r="AM520" s="2" t="s">
        <v>74</v>
      </c>
      <c r="AN520" s="2" t="s">
        <v>74</v>
      </c>
      <c r="AO520" s="2" t="s">
        <v>143</v>
      </c>
      <c r="AP520" s="2" t="s">
        <v>144</v>
      </c>
      <c r="AQ520" s="2" t="s">
        <v>74</v>
      </c>
      <c r="AR520" s="2" t="s">
        <v>74</v>
      </c>
      <c r="AS520" s="2" t="s">
        <v>74</v>
      </c>
      <c r="AT520" s="2" t="s">
        <v>123</v>
      </c>
      <c r="AU520" s="2">
        <v>2001</v>
      </c>
      <c r="AV520" s="2">
        <v>61</v>
      </c>
      <c r="AW520" s="2" t="s">
        <v>74</v>
      </c>
      <c r="AX520" s="2">
        <v>3</v>
      </c>
      <c r="AY520" s="2" t="s">
        <v>74</v>
      </c>
      <c r="AZ520" s="2" t="s">
        <v>74</v>
      </c>
      <c r="BA520" s="2" t="s">
        <v>74</v>
      </c>
      <c r="BB520" s="2">
        <v>567</v>
      </c>
      <c r="BC520" s="2">
        <v>577</v>
      </c>
      <c r="BD520" s="2" t="s">
        <v>74</v>
      </c>
      <c r="BE520" s="2" t="s">
        <v>7569</v>
      </c>
      <c r="BF520" s="2" t="str">
        <f>HYPERLINK("http://dx.doi.org/10.1006/anbe.2000.1642","http://dx.doi.org/10.1006/anbe.2000.1642")</f>
        <v>http://dx.doi.org/10.1006/anbe.2000.1642</v>
      </c>
      <c r="BG520" s="2" t="s">
        <v>74</v>
      </c>
      <c r="BH520" s="2" t="s">
        <v>74</v>
      </c>
      <c r="BI520" s="2" t="s">
        <v>74</v>
      </c>
      <c r="BJ520" s="2" t="s">
        <v>74</v>
      </c>
      <c r="BK520" s="2" t="s">
        <v>74</v>
      </c>
      <c r="BL520" s="2" t="s">
        <v>74</v>
      </c>
      <c r="BM520" s="2" t="s">
        <v>74</v>
      </c>
      <c r="BN520" s="2" t="s">
        <v>74</v>
      </c>
      <c r="BO520" s="2" t="s">
        <v>74</v>
      </c>
      <c r="BP520" s="2" t="s">
        <v>74</v>
      </c>
      <c r="BQ520" s="2" t="s">
        <v>74</v>
      </c>
      <c r="BR520" s="2" t="s">
        <v>74</v>
      </c>
      <c r="BS520" s="2" t="s">
        <v>7570</v>
      </c>
      <c r="BT520" s="2" t="str">
        <f>HYPERLINK("https%3A%2F%2Fwww.webofscience.com%2Fwos%2Fwoscc%2Ffull-record%2FWOS:000167990100006","View Full Record in Web of Science")</f>
        <v>View Full Record in Web of Science</v>
      </c>
    </row>
    <row r="521" spans="1:72" s="2" customFormat="1" x14ac:dyDescent="0.4">
      <c r="A521" s="2" t="s">
        <v>72</v>
      </c>
      <c r="B521" s="2" t="s">
        <v>1763</v>
      </c>
      <c r="C521" s="2" t="s">
        <v>74</v>
      </c>
      <c r="D521" s="2" t="s">
        <v>74</v>
      </c>
      <c r="E521" s="2" t="s">
        <v>74</v>
      </c>
      <c r="F521" s="2" t="s">
        <v>1764</v>
      </c>
      <c r="G521" s="2" t="s">
        <v>74</v>
      </c>
      <c r="H521" s="2" t="s">
        <v>74</v>
      </c>
      <c r="I521" s="2" t="s">
        <v>1765</v>
      </c>
      <c r="J521" s="2" t="s">
        <v>775</v>
      </c>
      <c r="K521" s="2" t="s">
        <v>74</v>
      </c>
      <c r="L521" s="2" t="s">
        <v>74</v>
      </c>
      <c r="M521" s="2" t="s">
        <v>74</v>
      </c>
      <c r="N521" s="2" t="s">
        <v>74</v>
      </c>
      <c r="O521" s="2" t="s">
        <v>74</v>
      </c>
      <c r="P521" s="2" t="s">
        <v>74</v>
      </c>
      <c r="Q521" s="2" t="s">
        <v>74</v>
      </c>
      <c r="R521" s="2" t="s">
        <v>74</v>
      </c>
      <c r="S521" s="2" t="s">
        <v>74</v>
      </c>
      <c r="T521" s="2" t="s">
        <v>74</v>
      </c>
      <c r="U521" s="2" t="s">
        <v>74</v>
      </c>
      <c r="V521" s="5" t="s">
        <v>1766</v>
      </c>
      <c r="W521" s="2" t="s">
        <v>74</v>
      </c>
      <c r="X521" s="2" t="s">
        <v>74</v>
      </c>
      <c r="Y521" s="2" t="s">
        <v>74</v>
      </c>
      <c r="Z521" s="2" t="s">
        <v>74</v>
      </c>
      <c r="AA521" s="2" t="s">
        <v>1767</v>
      </c>
      <c r="AB521" s="2" t="s">
        <v>1768</v>
      </c>
      <c r="AC521" s="2" t="s">
        <v>74</v>
      </c>
      <c r="AD521" s="2" t="s">
        <v>74</v>
      </c>
      <c r="AE521" s="2" t="s">
        <v>74</v>
      </c>
      <c r="AF521" s="2" t="s">
        <v>74</v>
      </c>
      <c r="AG521" s="2" t="s">
        <v>74</v>
      </c>
      <c r="AH521" s="2" t="s">
        <v>74</v>
      </c>
      <c r="AI521" s="2" t="s">
        <v>74</v>
      </c>
      <c r="AJ521" s="2" t="s">
        <v>74</v>
      </c>
      <c r="AK521" s="2" t="s">
        <v>74</v>
      </c>
      <c r="AL521" s="2" t="s">
        <v>74</v>
      </c>
      <c r="AM521" s="2" t="s">
        <v>74</v>
      </c>
      <c r="AN521" s="2" t="s">
        <v>74</v>
      </c>
      <c r="AO521" s="2" t="s">
        <v>778</v>
      </c>
      <c r="AP521" s="2" t="s">
        <v>779</v>
      </c>
      <c r="AQ521" s="2" t="s">
        <v>74</v>
      </c>
      <c r="AR521" s="2" t="s">
        <v>74</v>
      </c>
      <c r="AS521" s="2" t="s">
        <v>74</v>
      </c>
      <c r="AT521" s="2" t="s">
        <v>964</v>
      </c>
      <c r="AU521" s="2">
        <v>2016</v>
      </c>
      <c r="AV521" s="2">
        <v>62</v>
      </c>
      <c r="AW521" s="2">
        <v>1</v>
      </c>
      <c r="AX521" s="2" t="s">
        <v>74</v>
      </c>
      <c r="AY521" s="2" t="s">
        <v>74</v>
      </c>
      <c r="AZ521" s="2" t="s">
        <v>74</v>
      </c>
      <c r="BA521" s="2" t="s">
        <v>74</v>
      </c>
      <c r="BB521" s="2">
        <v>23</v>
      </c>
      <c r="BC521" s="2">
        <v>31</v>
      </c>
      <c r="BD521" s="2" t="s">
        <v>74</v>
      </c>
      <c r="BE521" s="2" t="s">
        <v>1769</v>
      </c>
      <c r="BF521" s="2" t="str">
        <f>HYPERLINK("http://dx.doi.org/10.1093/cz/zov009","http://dx.doi.org/10.1093/cz/zov009")</f>
        <v>http://dx.doi.org/10.1093/cz/zov009</v>
      </c>
      <c r="BG521" s="2" t="s">
        <v>74</v>
      </c>
      <c r="BH521" s="2" t="s">
        <v>74</v>
      </c>
      <c r="BI521" s="2" t="s">
        <v>74</v>
      </c>
      <c r="BJ521" s="2" t="s">
        <v>74</v>
      </c>
      <c r="BK521" s="2" t="s">
        <v>74</v>
      </c>
      <c r="BL521" s="2" t="s">
        <v>74</v>
      </c>
      <c r="BM521" s="2" t="s">
        <v>74</v>
      </c>
      <c r="BN521" s="2">
        <v>29491887</v>
      </c>
      <c r="BO521" s="2" t="s">
        <v>74</v>
      </c>
      <c r="BP521" s="2" t="s">
        <v>74</v>
      </c>
      <c r="BQ521" s="2" t="s">
        <v>74</v>
      </c>
      <c r="BR521" s="2" t="s">
        <v>74</v>
      </c>
      <c r="BS521" s="2" t="s">
        <v>1770</v>
      </c>
      <c r="BT521" s="2" t="str">
        <f>HYPERLINK("https%3A%2F%2Fwww.webofscience.com%2Fwos%2Fwoscc%2Ffull-record%2FWOS:000374258900004","View Full Record in Web of Science")</f>
        <v>View Full Record in Web of Science</v>
      </c>
    </row>
    <row r="522" spans="1:72" s="1" customFormat="1" x14ac:dyDescent="0.4">
      <c r="A522" s="2" t="s">
        <v>72</v>
      </c>
      <c r="B522" s="2" t="s">
        <v>7706</v>
      </c>
      <c r="C522" s="2" t="s">
        <v>74</v>
      </c>
      <c r="D522" s="2" t="s">
        <v>74</v>
      </c>
      <c r="E522" s="2" t="s">
        <v>74</v>
      </c>
      <c r="F522" s="2" t="s">
        <v>7706</v>
      </c>
      <c r="G522" s="2" t="s">
        <v>74</v>
      </c>
      <c r="H522" s="2" t="s">
        <v>74</v>
      </c>
      <c r="I522" s="2" t="s">
        <v>7707</v>
      </c>
      <c r="J522" s="2" t="s">
        <v>1526</v>
      </c>
      <c r="K522" s="2" t="s">
        <v>74</v>
      </c>
      <c r="L522" s="2" t="s">
        <v>74</v>
      </c>
      <c r="M522" s="2" t="s">
        <v>74</v>
      </c>
      <c r="N522" s="2" t="s">
        <v>74</v>
      </c>
      <c r="O522" s="2" t="s">
        <v>74</v>
      </c>
      <c r="P522" s="2" t="s">
        <v>74</v>
      </c>
      <c r="Q522" s="2" t="s">
        <v>74</v>
      </c>
      <c r="R522" s="2" t="s">
        <v>74</v>
      </c>
      <c r="S522" s="2" t="s">
        <v>74</v>
      </c>
      <c r="T522" s="2" t="s">
        <v>74</v>
      </c>
      <c r="U522" s="2" t="s">
        <v>74</v>
      </c>
      <c r="V522" s="5" t="s">
        <v>7708</v>
      </c>
      <c r="W522" s="2" t="s">
        <v>74</v>
      </c>
      <c r="X522" s="2" t="s">
        <v>74</v>
      </c>
      <c r="Y522" s="2" t="s">
        <v>74</v>
      </c>
      <c r="Z522" s="2" t="s">
        <v>74</v>
      </c>
      <c r="AA522" s="2" t="s">
        <v>5351</v>
      </c>
      <c r="AB522" s="2" t="s">
        <v>6109</v>
      </c>
      <c r="AC522" s="2" t="s">
        <v>74</v>
      </c>
      <c r="AD522" s="2" t="s">
        <v>74</v>
      </c>
      <c r="AE522" s="2" t="s">
        <v>74</v>
      </c>
      <c r="AF522" s="2" t="s">
        <v>74</v>
      </c>
      <c r="AG522" s="2" t="s">
        <v>74</v>
      </c>
      <c r="AH522" s="2" t="s">
        <v>74</v>
      </c>
      <c r="AI522" s="2" t="s">
        <v>74</v>
      </c>
      <c r="AJ522" s="2" t="s">
        <v>74</v>
      </c>
      <c r="AK522" s="2" t="s">
        <v>74</v>
      </c>
      <c r="AL522" s="2" t="s">
        <v>74</v>
      </c>
      <c r="AM522" s="2" t="s">
        <v>74</v>
      </c>
      <c r="AN522" s="2" t="s">
        <v>74</v>
      </c>
      <c r="AO522" s="2" t="s">
        <v>1528</v>
      </c>
      <c r="AP522" s="2" t="s">
        <v>2131</v>
      </c>
      <c r="AQ522" s="2" t="s">
        <v>74</v>
      </c>
      <c r="AR522" s="2" t="s">
        <v>74</v>
      </c>
      <c r="AS522" s="2" t="s">
        <v>74</v>
      </c>
      <c r="AT522" s="2" t="s">
        <v>145</v>
      </c>
      <c r="AU522" s="2">
        <v>1994</v>
      </c>
      <c r="AV522" s="2">
        <v>96</v>
      </c>
      <c r="AW522" s="2">
        <v>3</v>
      </c>
      <c r="AX522" s="2" t="s">
        <v>74</v>
      </c>
      <c r="AY522" s="2" t="s">
        <v>74</v>
      </c>
      <c r="AZ522" s="2" t="s">
        <v>74</v>
      </c>
      <c r="BA522" s="2" t="s">
        <v>74</v>
      </c>
      <c r="BB522" s="2">
        <v>626</v>
      </c>
      <c r="BC522" s="2">
        <v>630</v>
      </c>
      <c r="BD522" s="2" t="s">
        <v>74</v>
      </c>
      <c r="BE522" s="2" t="s">
        <v>7709</v>
      </c>
      <c r="BF522" s="2" t="str">
        <f>HYPERLINK("http://dx.doi.org/10.2307/1369465","http://dx.doi.org/10.2307/1369465")</f>
        <v>http://dx.doi.org/10.2307/1369465</v>
      </c>
      <c r="BG522" s="2" t="s">
        <v>74</v>
      </c>
      <c r="BH522" s="2" t="s">
        <v>74</v>
      </c>
      <c r="BI522" s="2" t="s">
        <v>74</v>
      </c>
      <c r="BJ522" s="2" t="s">
        <v>74</v>
      </c>
      <c r="BK522" s="2" t="s">
        <v>74</v>
      </c>
      <c r="BL522" s="2" t="s">
        <v>74</v>
      </c>
      <c r="BM522" s="2" t="s">
        <v>74</v>
      </c>
      <c r="BN522" s="2" t="s">
        <v>74</v>
      </c>
      <c r="BO522" s="2" t="s">
        <v>74</v>
      </c>
      <c r="BP522" s="2" t="s">
        <v>74</v>
      </c>
      <c r="BQ522" s="2" t="s">
        <v>74</v>
      </c>
      <c r="BR522" s="2" t="s">
        <v>74</v>
      </c>
      <c r="BS522" s="2" t="s">
        <v>7710</v>
      </c>
      <c r="BT522" s="2" t="str">
        <f>HYPERLINK("https%3A%2F%2Fwww.webofscience.com%2Fwos%2Fwoscc%2Ffull-record%2FWOS:A1994PE53800006","View Full Record in Web of Science")</f>
        <v>View Full Record in Web of Science</v>
      </c>
    </row>
    <row r="523" spans="1:72" s="2" customFormat="1" x14ac:dyDescent="0.4">
      <c r="A523" s="2" t="s">
        <v>72</v>
      </c>
      <c r="B523" s="2" t="s">
        <v>1937</v>
      </c>
      <c r="C523" s="2" t="s">
        <v>74</v>
      </c>
      <c r="D523" s="2" t="s">
        <v>74</v>
      </c>
      <c r="E523" s="2" t="s">
        <v>74</v>
      </c>
      <c r="F523" s="2" t="s">
        <v>1938</v>
      </c>
      <c r="G523" s="2" t="s">
        <v>74</v>
      </c>
      <c r="H523" s="2" t="s">
        <v>74</v>
      </c>
      <c r="I523" s="2" t="s">
        <v>1939</v>
      </c>
      <c r="J523" s="2" t="s">
        <v>1044</v>
      </c>
      <c r="K523" s="2" t="s">
        <v>74</v>
      </c>
      <c r="L523" s="2" t="s">
        <v>74</v>
      </c>
      <c r="M523" s="2" t="s">
        <v>74</v>
      </c>
      <c r="N523" s="2" t="s">
        <v>74</v>
      </c>
      <c r="O523" s="2" t="s">
        <v>74</v>
      </c>
      <c r="P523" s="2" t="s">
        <v>74</v>
      </c>
      <c r="Q523" s="2" t="s">
        <v>74</v>
      </c>
      <c r="R523" s="2" t="s">
        <v>74</v>
      </c>
      <c r="S523" s="2" t="s">
        <v>74</v>
      </c>
      <c r="T523" s="2" t="s">
        <v>74</v>
      </c>
      <c r="U523" s="2" t="s">
        <v>74</v>
      </c>
      <c r="V523" s="5" t="s">
        <v>1940</v>
      </c>
      <c r="W523" s="2" t="s">
        <v>74</v>
      </c>
      <c r="X523" s="2" t="s">
        <v>74</v>
      </c>
      <c r="Y523" s="2" t="s">
        <v>74</v>
      </c>
      <c r="Z523" s="2" t="s">
        <v>74</v>
      </c>
      <c r="AA523" s="2" t="s">
        <v>1941</v>
      </c>
      <c r="AB523" s="2" t="s">
        <v>1942</v>
      </c>
      <c r="AC523" s="2" t="s">
        <v>74</v>
      </c>
      <c r="AD523" s="2" t="s">
        <v>74</v>
      </c>
      <c r="AE523" s="2" t="s">
        <v>74</v>
      </c>
      <c r="AF523" s="2" t="s">
        <v>74</v>
      </c>
      <c r="AG523" s="2" t="s">
        <v>74</v>
      </c>
      <c r="AH523" s="2" t="s">
        <v>74</v>
      </c>
      <c r="AI523" s="2" t="s">
        <v>74</v>
      </c>
      <c r="AJ523" s="2" t="s">
        <v>74</v>
      </c>
      <c r="AK523" s="2" t="s">
        <v>74</v>
      </c>
      <c r="AL523" s="2" t="s">
        <v>74</v>
      </c>
      <c r="AM523" s="2" t="s">
        <v>74</v>
      </c>
      <c r="AN523" s="2" t="s">
        <v>74</v>
      </c>
      <c r="AO523" s="2" t="s">
        <v>1048</v>
      </c>
      <c r="AP523" s="2" t="s">
        <v>1049</v>
      </c>
      <c r="AQ523" s="2" t="s">
        <v>74</v>
      </c>
      <c r="AR523" s="2" t="s">
        <v>74</v>
      </c>
      <c r="AS523" s="2" t="s">
        <v>74</v>
      </c>
      <c r="AT523" s="2" t="s">
        <v>305</v>
      </c>
      <c r="AU523" s="2">
        <v>2020</v>
      </c>
      <c r="AV523" s="2">
        <v>29</v>
      </c>
      <c r="AW523" s="2">
        <v>24</v>
      </c>
      <c r="AX523" s="2" t="s">
        <v>74</v>
      </c>
      <c r="AY523" s="2" t="s">
        <v>74</v>
      </c>
      <c r="AZ523" s="2" t="s">
        <v>74</v>
      </c>
      <c r="BA523" s="2" t="s">
        <v>74</v>
      </c>
      <c r="BB523" s="2">
        <v>4942</v>
      </c>
      <c r="BC523" s="2">
        <v>4955</v>
      </c>
      <c r="BD523" s="2" t="s">
        <v>74</v>
      </c>
      <c r="BE523" s="2" t="s">
        <v>1943</v>
      </c>
      <c r="BF523" s="2" t="str">
        <f>HYPERLINK("http://dx.doi.org/10.1111/mec.15682","http://dx.doi.org/10.1111/mec.15682")</f>
        <v>http://dx.doi.org/10.1111/mec.15682</v>
      </c>
      <c r="BG523" s="2" t="s">
        <v>74</v>
      </c>
      <c r="BH523" s="2" t="s">
        <v>1944</v>
      </c>
      <c r="BI523" s="2" t="s">
        <v>74</v>
      </c>
      <c r="BJ523" s="2" t="s">
        <v>74</v>
      </c>
      <c r="BK523" s="2" t="s">
        <v>74</v>
      </c>
      <c r="BL523" s="2" t="s">
        <v>74</v>
      </c>
      <c r="BM523" s="2" t="s">
        <v>74</v>
      </c>
      <c r="BN523" s="2">
        <v>33051915</v>
      </c>
      <c r="BO523" s="2" t="s">
        <v>74</v>
      </c>
      <c r="BP523" s="2" t="s">
        <v>74</v>
      </c>
      <c r="BQ523" s="2" t="s">
        <v>74</v>
      </c>
      <c r="BR523" s="2" t="s">
        <v>74</v>
      </c>
      <c r="BS523" s="2" t="s">
        <v>1945</v>
      </c>
      <c r="BT523" s="2" t="str">
        <f>HYPERLINK("https%3A%2F%2Fwww.webofscience.com%2Fwos%2Fwoscc%2Ffull-record%2FWOS:000586619500001","View Full Record in Web of Science")</f>
        <v>View Full Record in Web of Science</v>
      </c>
    </row>
    <row r="524" spans="1:72" s="2" customFormat="1" x14ac:dyDescent="0.4">
      <c r="A524" s="2" t="s">
        <v>72</v>
      </c>
      <c r="B524" s="2" t="s">
        <v>4970</v>
      </c>
      <c r="C524" s="2" t="s">
        <v>74</v>
      </c>
      <c r="D524" s="2" t="s">
        <v>74</v>
      </c>
      <c r="E524" s="2" t="s">
        <v>74</v>
      </c>
      <c r="F524" s="2" t="s">
        <v>4970</v>
      </c>
      <c r="G524" s="2" t="s">
        <v>74</v>
      </c>
      <c r="H524" s="2" t="s">
        <v>74</v>
      </c>
      <c r="I524" s="2" t="s">
        <v>4971</v>
      </c>
      <c r="J524" s="2" t="s">
        <v>281</v>
      </c>
      <c r="K524" s="2" t="s">
        <v>74</v>
      </c>
      <c r="L524" s="2" t="s">
        <v>74</v>
      </c>
      <c r="M524" s="2" t="s">
        <v>74</v>
      </c>
      <c r="N524" s="2" t="s">
        <v>74</v>
      </c>
      <c r="O524" s="2" t="s">
        <v>74</v>
      </c>
      <c r="P524" s="2" t="s">
        <v>74</v>
      </c>
      <c r="Q524" s="2" t="s">
        <v>74</v>
      </c>
      <c r="R524" s="2" t="s">
        <v>74</v>
      </c>
      <c r="S524" s="2" t="s">
        <v>74</v>
      </c>
      <c r="T524" s="2" t="s">
        <v>74</v>
      </c>
      <c r="U524" s="2" t="s">
        <v>74</v>
      </c>
      <c r="V524" s="5" t="s">
        <v>4972</v>
      </c>
      <c r="W524" s="2" t="s">
        <v>74</v>
      </c>
      <c r="X524" s="2" t="s">
        <v>74</v>
      </c>
      <c r="Y524" s="2" t="s">
        <v>74</v>
      </c>
      <c r="Z524" s="2" t="s">
        <v>74</v>
      </c>
      <c r="AA524" s="2" t="s">
        <v>74</v>
      </c>
      <c r="AB524" s="2" t="s">
        <v>4973</v>
      </c>
      <c r="AC524" s="2" t="s">
        <v>74</v>
      </c>
      <c r="AD524" s="2" t="s">
        <v>74</v>
      </c>
      <c r="AE524" s="2" t="s">
        <v>74</v>
      </c>
      <c r="AF524" s="2" t="s">
        <v>74</v>
      </c>
      <c r="AG524" s="2" t="s">
        <v>74</v>
      </c>
      <c r="AH524" s="2" t="s">
        <v>74</v>
      </c>
      <c r="AI524" s="2" t="s">
        <v>74</v>
      </c>
      <c r="AJ524" s="2" t="s">
        <v>74</v>
      </c>
      <c r="AK524" s="2" t="s">
        <v>74</v>
      </c>
      <c r="AL524" s="2" t="s">
        <v>74</v>
      </c>
      <c r="AM524" s="2" t="s">
        <v>74</v>
      </c>
      <c r="AN524" s="2" t="s">
        <v>74</v>
      </c>
      <c r="AO524" s="2" t="s">
        <v>285</v>
      </c>
      <c r="AP524" s="2" t="s">
        <v>286</v>
      </c>
      <c r="AQ524" s="2" t="s">
        <v>74</v>
      </c>
      <c r="AR524" s="2" t="s">
        <v>74</v>
      </c>
      <c r="AS524" s="2" t="s">
        <v>74</v>
      </c>
      <c r="AT524" s="2" t="s">
        <v>204</v>
      </c>
      <c r="AU524" s="2">
        <v>2005</v>
      </c>
      <c r="AV524" s="2">
        <v>8</v>
      </c>
      <c r="AW524" s="2">
        <v>3</v>
      </c>
      <c r="AX524" s="2" t="s">
        <v>74</v>
      </c>
      <c r="AY524" s="2" t="s">
        <v>74</v>
      </c>
      <c r="AZ524" s="2" t="s">
        <v>74</v>
      </c>
      <c r="BA524" s="2" t="s">
        <v>74</v>
      </c>
      <c r="BB524" s="2">
        <v>211</v>
      </c>
      <c r="BC524" s="2">
        <v>214</v>
      </c>
      <c r="BD524" s="2" t="s">
        <v>74</v>
      </c>
      <c r="BE524" s="2" t="s">
        <v>4974</v>
      </c>
      <c r="BF524" s="2" t="str">
        <f>HYPERLINK("http://dx.doi.org/10.1007/s10071-004-0249-4","http://dx.doi.org/10.1007/s10071-004-0249-4")</f>
        <v>http://dx.doi.org/10.1007/s10071-004-0249-4</v>
      </c>
      <c r="BG524" s="2" t="s">
        <v>74</v>
      </c>
      <c r="BH524" s="2" t="s">
        <v>74</v>
      </c>
      <c r="BI524" s="2" t="s">
        <v>74</v>
      </c>
      <c r="BJ524" s="2" t="s">
        <v>74</v>
      </c>
      <c r="BK524" s="2" t="s">
        <v>74</v>
      </c>
      <c r="BL524" s="2" t="s">
        <v>74</v>
      </c>
      <c r="BM524" s="2" t="s">
        <v>74</v>
      </c>
      <c r="BN524" s="2">
        <v>15611879</v>
      </c>
      <c r="BO524" s="2" t="s">
        <v>74</v>
      </c>
      <c r="BP524" s="2" t="s">
        <v>74</v>
      </c>
      <c r="BQ524" s="2" t="s">
        <v>74</v>
      </c>
      <c r="BR524" s="2" t="s">
        <v>74</v>
      </c>
      <c r="BS524" s="2" t="s">
        <v>4975</v>
      </c>
      <c r="BT524" s="2" t="str">
        <f>HYPERLINK("https%3A%2F%2Fwww.webofscience.com%2Fwos%2Fwoscc%2Ffull-record%2FWOS:000231236200007","View Full Record in Web of Science")</f>
        <v>View Full Record in Web of Science</v>
      </c>
    </row>
    <row r="525" spans="1:72" s="2" customFormat="1" x14ac:dyDescent="0.4">
      <c r="A525" s="2" t="s">
        <v>72</v>
      </c>
      <c r="B525" s="2" t="s">
        <v>4310</v>
      </c>
      <c r="C525" s="2" t="s">
        <v>74</v>
      </c>
      <c r="D525" s="2" t="s">
        <v>74</v>
      </c>
      <c r="E525" s="2" t="s">
        <v>74</v>
      </c>
      <c r="F525" s="2" t="s">
        <v>4310</v>
      </c>
      <c r="G525" s="2" t="s">
        <v>74</v>
      </c>
      <c r="H525" s="2" t="s">
        <v>74</v>
      </c>
      <c r="I525" s="2" t="s">
        <v>4311</v>
      </c>
      <c r="J525" s="2" t="s">
        <v>610</v>
      </c>
      <c r="K525" s="2" t="s">
        <v>74</v>
      </c>
      <c r="L525" s="2" t="s">
        <v>74</v>
      </c>
      <c r="M525" s="2" t="s">
        <v>74</v>
      </c>
      <c r="N525" s="2" t="s">
        <v>74</v>
      </c>
      <c r="O525" s="2" t="s">
        <v>74</v>
      </c>
      <c r="P525" s="2" t="s">
        <v>74</v>
      </c>
      <c r="Q525" s="2" t="s">
        <v>74</v>
      </c>
      <c r="R525" s="2" t="s">
        <v>74</v>
      </c>
      <c r="S525" s="2" t="s">
        <v>74</v>
      </c>
      <c r="T525" s="2" t="s">
        <v>74</v>
      </c>
      <c r="U525" s="2" t="s">
        <v>74</v>
      </c>
      <c r="V525" s="5" t="s">
        <v>4312</v>
      </c>
      <c r="W525" s="2" t="s">
        <v>74</v>
      </c>
      <c r="X525" s="2" t="s">
        <v>74</v>
      </c>
      <c r="Y525" s="2" t="s">
        <v>74</v>
      </c>
      <c r="Z525" s="2" t="s">
        <v>74</v>
      </c>
      <c r="AA525" s="2" t="s">
        <v>74</v>
      </c>
      <c r="AB525" s="2" t="s">
        <v>3979</v>
      </c>
      <c r="AC525" s="2" t="s">
        <v>74</v>
      </c>
      <c r="AD525" s="2" t="s">
        <v>74</v>
      </c>
      <c r="AE525" s="2" t="s">
        <v>74</v>
      </c>
      <c r="AF525" s="2" t="s">
        <v>74</v>
      </c>
      <c r="AG525" s="2" t="s">
        <v>74</v>
      </c>
      <c r="AH525" s="2" t="s">
        <v>74</v>
      </c>
      <c r="AI525" s="2" t="s">
        <v>74</v>
      </c>
      <c r="AJ525" s="2" t="s">
        <v>74</v>
      </c>
      <c r="AK525" s="2" t="s">
        <v>74</v>
      </c>
      <c r="AL525" s="2" t="s">
        <v>74</v>
      </c>
      <c r="AM525" s="2" t="s">
        <v>74</v>
      </c>
      <c r="AN525" s="2" t="s">
        <v>74</v>
      </c>
      <c r="AO525" s="2" t="s">
        <v>614</v>
      </c>
      <c r="AP525" s="2" t="s">
        <v>615</v>
      </c>
      <c r="AQ525" s="2" t="s">
        <v>74</v>
      </c>
      <c r="AR525" s="2" t="s">
        <v>74</v>
      </c>
      <c r="AS525" s="2" t="s">
        <v>74</v>
      </c>
      <c r="AT525" s="2" t="s">
        <v>134</v>
      </c>
      <c r="AU525" s="2">
        <v>1999</v>
      </c>
      <c r="AV525" s="2">
        <v>105</v>
      </c>
      <c r="AW525" s="2">
        <v>5</v>
      </c>
      <c r="AX525" s="2" t="s">
        <v>74</v>
      </c>
      <c r="AY525" s="2" t="s">
        <v>74</v>
      </c>
      <c r="AZ525" s="2" t="s">
        <v>74</v>
      </c>
      <c r="BA525" s="2" t="s">
        <v>74</v>
      </c>
      <c r="BB525" s="2">
        <v>431</v>
      </c>
      <c r="BC525" s="2">
        <v>438</v>
      </c>
      <c r="BD525" s="2" t="s">
        <v>74</v>
      </c>
      <c r="BE525" s="2" t="s">
        <v>4313</v>
      </c>
      <c r="BF525" s="2" t="str">
        <f>HYPERLINK("http://dx.doi.org/10.1046/j.1439-0310.1999.00400.x","http://dx.doi.org/10.1046/j.1439-0310.1999.00400.x")</f>
        <v>http://dx.doi.org/10.1046/j.1439-0310.1999.00400.x</v>
      </c>
      <c r="BG525" s="2" t="s">
        <v>74</v>
      </c>
      <c r="BH525" s="2" t="s">
        <v>74</v>
      </c>
      <c r="BI525" s="2" t="s">
        <v>74</v>
      </c>
      <c r="BJ525" s="2" t="s">
        <v>74</v>
      </c>
      <c r="BK525" s="2" t="s">
        <v>74</v>
      </c>
      <c r="BL525" s="2" t="s">
        <v>74</v>
      </c>
      <c r="BM525" s="2" t="s">
        <v>74</v>
      </c>
      <c r="BN525" s="2" t="s">
        <v>74</v>
      </c>
      <c r="BO525" s="2" t="s">
        <v>74</v>
      </c>
      <c r="BP525" s="2" t="s">
        <v>74</v>
      </c>
      <c r="BQ525" s="2" t="s">
        <v>74</v>
      </c>
      <c r="BR525" s="2" t="s">
        <v>74</v>
      </c>
      <c r="BS525" s="2" t="s">
        <v>4314</v>
      </c>
      <c r="BT525" s="2" t="str">
        <f>HYPERLINK("https%3A%2F%2Fwww.webofscience.com%2Fwos%2Fwoscc%2Ffull-record%2FWOS:000080438000006","View Full Record in Web of Science")</f>
        <v>View Full Record in Web of Science</v>
      </c>
    </row>
    <row r="526" spans="1:72" s="2" customFormat="1" x14ac:dyDescent="0.4">
      <c r="A526" s="2" t="s">
        <v>72</v>
      </c>
      <c r="B526" s="2" t="s">
        <v>1599</v>
      </c>
      <c r="C526" s="2" t="s">
        <v>74</v>
      </c>
      <c r="D526" s="2" t="s">
        <v>74</v>
      </c>
      <c r="E526" s="2" t="s">
        <v>74</v>
      </c>
      <c r="F526" s="2" t="s">
        <v>1599</v>
      </c>
      <c r="G526" s="2" t="s">
        <v>74</v>
      </c>
      <c r="H526" s="2" t="s">
        <v>74</v>
      </c>
      <c r="I526" s="2" t="s">
        <v>1600</v>
      </c>
      <c r="J526" s="2" t="s">
        <v>1601</v>
      </c>
      <c r="K526" s="2" t="s">
        <v>74</v>
      </c>
      <c r="L526" s="2" t="s">
        <v>74</v>
      </c>
      <c r="M526" s="2" t="s">
        <v>74</v>
      </c>
      <c r="N526" s="2" t="s">
        <v>74</v>
      </c>
      <c r="O526" s="2" t="s">
        <v>74</v>
      </c>
      <c r="P526" s="2" t="s">
        <v>74</v>
      </c>
      <c r="Q526" s="2" t="s">
        <v>74</v>
      </c>
      <c r="R526" s="2" t="s">
        <v>74</v>
      </c>
      <c r="S526" s="2" t="s">
        <v>74</v>
      </c>
      <c r="T526" s="2" t="s">
        <v>74</v>
      </c>
      <c r="U526" s="2" t="s">
        <v>74</v>
      </c>
      <c r="V526" s="5" t="s">
        <v>1602</v>
      </c>
      <c r="W526" s="2" t="s">
        <v>74</v>
      </c>
      <c r="X526" s="2" t="s">
        <v>74</v>
      </c>
      <c r="Y526" s="2" t="s">
        <v>74</v>
      </c>
      <c r="Z526" s="2" t="s">
        <v>74</v>
      </c>
      <c r="AA526" s="2" t="s">
        <v>74</v>
      </c>
      <c r="AB526" s="2" t="s">
        <v>74</v>
      </c>
      <c r="AC526" s="2" t="s">
        <v>74</v>
      </c>
      <c r="AD526" s="2" t="s">
        <v>74</v>
      </c>
      <c r="AE526" s="2" t="s">
        <v>74</v>
      </c>
      <c r="AF526" s="2" t="s">
        <v>74</v>
      </c>
      <c r="AG526" s="2" t="s">
        <v>74</v>
      </c>
      <c r="AH526" s="2" t="s">
        <v>74</v>
      </c>
      <c r="AI526" s="2" t="s">
        <v>74</v>
      </c>
      <c r="AJ526" s="2" t="s">
        <v>74</v>
      </c>
      <c r="AK526" s="2" t="s">
        <v>74</v>
      </c>
      <c r="AL526" s="2" t="s">
        <v>74</v>
      </c>
      <c r="AM526" s="2" t="s">
        <v>74</v>
      </c>
      <c r="AN526" s="2" t="s">
        <v>74</v>
      </c>
      <c r="AO526" s="2" t="s">
        <v>1603</v>
      </c>
      <c r="AP526" s="2" t="s">
        <v>74</v>
      </c>
      <c r="AQ526" s="2" t="s">
        <v>74</v>
      </c>
      <c r="AR526" s="2" t="s">
        <v>74</v>
      </c>
      <c r="AS526" s="2" t="s">
        <v>74</v>
      </c>
      <c r="AT526" s="2" t="s">
        <v>352</v>
      </c>
      <c r="AU526" s="2">
        <v>1999</v>
      </c>
      <c r="AV526" s="2">
        <v>106</v>
      </c>
      <c r="AW526" s="2">
        <v>3</v>
      </c>
      <c r="AX526" s="2" t="s">
        <v>74</v>
      </c>
      <c r="AY526" s="2" t="s">
        <v>74</v>
      </c>
      <c r="AZ526" s="2" t="s">
        <v>74</v>
      </c>
      <c r="BA526" s="2" t="s">
        <v>74</v>
      </c>
      <c r="BB526" s="2">
        <v>643</v>
      </c>
      <c r="BC526" s="2">
        <v>661</v>
      </c>
      <c r="BD526" s="2" t="s">
        <v>74</v>
      </c>
      <c r="BE526" s="2" t="s">
        <v>1604</v>
      </c>
      <c r="BF526" s="2" t="str">
        <f>HYPERLINK("http://dx.doi.org/10.5962/bhl.part.80100","http://dx.doi.org/10.5962/bhl.part.80100")</f>
        <v>http://dx.doi.org/10.5962/bhl.part.80100</v>
      </c>
      <c r="BG526" s="2" t="s">
        <v>74</v>
      </c>
      <c r="BH526" s="2" t="s">
        <v>74</v>
      </c>
      <c r="BI526" s="2" t="s">
        <v>74</v>
      </c>
      <c r="BJ526" s="2" t="s">
        <v>74</v>
      </c>
      <c r="BK526" s="2" t="s">
        <v>74</v>
      </c>
      <c r="BL526" s="2" t="s">
        <v>74</v>
      </c>
      <c r="BM526" s="2" t="s">
        <v>74</v>
      </c>
      <c r="BN526" s="2" t="s">
        <v>74</v>
      </c>
      <c r="BO526" s="2" t="s">
        <v>74</v>
      </c>
      <c r="BP526" s="2" t="s">
        <v>74</v>
      </c>
      <c r="BQ526" s="2" t="s">
        <v>74</v>
      </c>
      <c r="BR526" s="2" t="s">
        <v>74</v>
      </c>
      <c r="BS526" s="2" t="s">
        <v>1605</v>
      </c>
      <c r="BT526" s="2" t="str">
        <f>HYPERLINK("https%3A%2F%2Fwww.webofscience.com%2Fwos%2Fwoscc%2Ffull-record%2FWOS:000082969900010","View Full Record in Web of Science")</f>
        <v>View Full Record in Web of Science</v>
      </c>
    </row>
    <row r="527" spans="1:72" s="2" customFormat="1" x14ac:dyDescent="0.4">
      <c r="A527" s="2" t="s">
        <v>72</v>
      </c>
      <c r="B527" s="2" t="s">
        <v>3709</v>
      </c>
      <c r="C527" s="2" t="s">
        <v>74</v>
      </c>
      <c r="D527" s="2" t="s">
        <v>74</v>
      </c>
      <c r="E527" s="2" t="s">
        <v>74</v>
      </c>
      <c r="F527" s="2" t="s">
        <v>3710</v>
      </c>
      <c r="G527" s="2" t="s">
        <v>74</v>
      </c>
      <c r="H527" s="2" t="s">
        <v>74</v>
      </c>
      <c r="I527" s="2" t="s">
        <v>3711</v>
      </c>
      <c r="J527" s="2" t="s">
        <v>1656</v>
      </c>
      <c r="K527" s="2" t="s">
        <v>74</v>
      </c>
      <c r="L527" s="2" t="s">
        <v>74</v>
      </c>
      <c r="M527" s="2" t="s">
        <v>74</v>
      </c>
      <c r="N527" s="2" t="s">
        <v>74</v>
      </c>
      <c r="O527" s="2" t="s">
        <v>74</v>
      </c>
      <c r="P527" s="2" t="s">
        <v>74</v>
      </c>
      <c r="Q527" s="2" t="s">
        <v>74</v>
      </c>
      <c r="R527" s="2" t="s">
        <v>74</v>
      </c>
      <c r="S527" s="2" t="s">
        <v>74</v>
      </c>
      <c r="T527" s="2" t="s">
        <v>74</v>
      </c>
      <c r="U527" s="2" t="s">
        <v>74</v>
      </c>
      <c r="V527" s="5" t="s">
        <v>3712</v>
      </c>
      <c r="W527" s="2" t="s">
        <v>74</v>
      </c>
      <c r="X527" s="2" t="s">
        <v>74</v>
      </c>
      <c r="Y527" s="2" t="s">
        <v>74</v>
      </c>
      <c r="Z527" s="2" t="s">
        <v>74</v>
      </c>
      <c r="AA527" s="2" t="s">
        <v>3713</v>
      </c>
      <c r="AB527" s="2" t="s">
        <v>3714</v>
      </c>
      <c r="AC527" s="2" t="s">
        <v>74</v>
      </c>
      <c r="AD527" s="2" t="s">
        <v>74</v>
      </c>
      <c r="AE527" s="2" t="s">
        <v>74</v>
      </c>
      <c r="AF527" s="2" t="s">
        <v>74</v>
      </c>
      <c r="AG527" s="2" t="s">
        <v>74</v>
      </c>
      <c r="AH527" s="2" t="s">
        <v>74</v>
      </c>
      <c r="AI527" s="2" t="s">
        <v>74</v>
      </c>
      <c r="AJ527" s="2" t="s">
        <v>74</v>
      </c>
      <c r="AK527" s="2" t="s">
        <v>74</v>
      </c>
      <c r="AL527" s="2" t="s">
        <v>74</v>
      </c>
      <c r="AM527" s="2" t="s">
        <v>74</v>
      </c>
      <c r="AN527" s="2" t="s">
        <v>74</v>
      </c>
      <c r="AO527" s="2" t="s">
        <v>1658</v>
      </c>
      <c r="AP527" s="2" t="s">
        <v>1659</v>
      </c>
      <c r="AQ527" s="2" t="s">
        <v>74</v>
      </c>
      <c r="AR527" s="2" t="s">
        <v>74</v>
      </c>
      <c r="AS527" s="2" t="s">
        <v>74</v>
      </c>
      <c r="AT527" s="2" t="s">
        <v>1629</v>
      </c>
      <c r="AU527" s="2">
        <v>2018</v>
      </c>
      <c r="AV527" s="2">
        <v>4471</v>
      </c>
      <c r="AW527" s="2">
        <v>1</v>
      </c>
      <c r="AX527" s="2" t="s">
        <v>74</v>
      </c>
      <c r="AY527" s="2" t="s">
        <v>74</v>
      </c>
      <c r="AZ527" s="2" t="s">
        <v>74</v>
      </c>
      <c r="BA527" s="2" t="s">
        <v>74</v>
      </c>
      <c r="BB527" s="2">
        <v>137</v>
      </c>
      <c r="BC527" s="2">
        <v>153</v>
      </c>
      <c r="BD527" s="2" t="s">
        <v>74</v>
      </c>
      <c r="BE527" s="2" t="s">
        <v>3715</v>
      </c>
      <c r="BF527" s="2" t="str">
        <f>HYPERLINK("http://dx.doi.org/10.11646/zootaxa.4471.1.6","http://dx.doi.org/10.11646/zootaxa.4471.1.6")</f>
        <v>http://dx.doi.org/10.11646/zootaxa.4471.1.6</v>
      </c>
      <c r="BG527" s="2" t="s">
        <v>74</v>
      </c>
      <c r="BH527" s="2" t="s">
        <v>74</v>
      </c>
      <c r="BI527" s="2" t="s">
        <v>74</v>
      </c>
      <c r="BJ527" s="2" t="s">
        <v>74</v>
      </c>
      <c r="BK527" s="2" t="s">
        <v>74</v>
      </c>
      <c r="BL527" s="2" t="s">
        <v>74</v>
      </c>
      <c r="BM527" s="2" t="s">
        <v>74</v>
      </c>
      <c r="BN527" s="2">
        <v>30313421</v>
      </c>
      <c r="BO527" s="2" t="s">
        <v>74</v>
      </c>
      <c r="BP527" s="2" t="s">
        <v>74</v>
      </c>
      <c r="BQ527" s="2" t="s">
        <v>74</v>
      </c>
      <c r="BR527" s="2" t="s">
        <v>74</v>
      </c>
      <c r="BS527" s="2" t="s">
        <v>3716</v>
      </c>
      <c r="BT527" s="2" t="str">
        <f>HYPERLINK("https%3A%2F%2Fwww.webofscience.com%2Fwos%2Fwoscc%2Ffull-record%2FWOS:000443458800006","View Full Record in Web of Science")</f>
        <v>View Full Record in Web of Science</v>
      </c>
    </row>
    <row r="528" spans="1:72" s="2" customFormat="1" x14ac:dyDescent="0.4">
      <c r="A528" s="2" t="s">
        <v>72</v>
      </c>
      <c r="B528" s="2" t="s">
        <v>3703</v>
      </c>
      <c r="C528" s="2" t="s">
        <v>74</v>
      </c>
      <c r="D528" s="2" t="s">
        <v>74</v>
      </c>
      <c r="E528" s="2" t="s">
        <v>74</v>
      </c>
      <c r="F528" s="2" t="s">
        <v>3703</v>
      </c>
      <c r="G528" s="2" t="s">
        <v>74</v>
      </c>
      <c r="H528" s="2" t="s">
        <v>74</v>
      </c>
      <c r="I528" s="2" t="s">
        <v>3704</v>
      </c>
      <c r="J528" s="2" t="s">
        <v>763</v>
      </c>
      <c r="K528" s="2" t="s">
        <v>74</v>
      </c>
      <c r="L528" s="2" t="s">
        <v>74</v>
      </c>
      <c r="M528" s="2" t="s">
        <v>74</v>
      </c>
      <c r="N528" s="2" t="s">
        <v>74</v>
      </c>
      <c r="O528" s="2" t="s">
        <v>74</v>
      </c>
      <c r="P528" s="2" t="s">
        <v>74</v>
      </c>
      <c r="Q528" s="2" t="s">
        <v>74</v>
      </c>
      <c r="R528" s="2" t="s">
        <v>74</v>
      </c>
      <c r="S528" s="2" t="s">
        <v>74</v>
      </c>
      <c r="T528" s="2" t="s">
        <v>74</v>
      </c>
      <c r="U528" s="2" t="s">
        <v>74</v>
      </c>
      <c r="V528" s="5" t="s">
        <v>3705</v>
      </c>
      <c r="W528" s="2" t="s">
        <v>74</v>
      </c>
      <c r="X528" s="2" t="s">
        <v>74</v>
      </c>
      <c r="Y528" s="2" t="s">
        <v>74</v>
      </c>
      <c r="Z528" s="2" t="s">
        <v>74</v>
      </c>
      <c r="AA528" s="2" t="s">
        <v>3706</v>
      </c>
      <c r="AB528" s="2" t="s">
        <v>3707</v>
      </c>
      <c r="AC528" s="2" t="s">
        <v>74</v>
      </c>
      <c r="AD528" s="2" t="s">
        <v>74</v>
      </c>
      <c r="AE528" s="2" t="s">
        <v>74</v>
      </c>
      <c r="AF528" s="2" t="s">
        <v>74</v>
      </c>
      <c r="AG528" s="2" t="s">
        <v>74</v>
      </c>
      <c r="AH528" s="2" t="s">
        <v>74</v>
      </c>
      <c r="AI528" s="2" t="s">
        <v>74</v>
      </c>
      <c r="AJ528" s="2" t="s">
        <v>74</v>
      </c>
      <c r="AK528" s="2" t="s">
        <v>74</v>
      </c>
      <c r="AL528" s="2" t="s">
        <v>74</v>
      </c>
      <c r="AM528" s="2" t="s">
        <v>74</v>
      </c>
      <c r="AN528" s="2" t="s">
        <v>74</v>
      </c>
      <c r="AO528" s="2" t="s">
        <v>767</v>
      </c>
      <c r="AP528" s="2" t="s">
        <v>74</v>
      </c>
      <c r="AQ528" s="2" t="s">
        <v>74</v>
      </c>
      <c r="AR528" s="2" t="s">
        <v>74</v>
      </c>
      <c r="AS528" s="2" t="s">
        <v>74</v>
      </c>
      <c r="AT528" s="2" t="s">
        <v>145</v>
      </c>
      <c r="AU528" s="2">
        <v>2002</v>
      </c>
      <c r="AV528" s="2">
        <v>205</v>
      </c>
      <c r="AW528" s="2">
        <v>16</v>
      </c>
      <c r="AX528" s="2" t="s">
        <v>74</v>
      </c>
      <c r="AY528" s="2" t="s">
        <v>74</v>
      </c>
      <c r="AZ528" s="2" t="s">
        <v>74</v>
      </c>
      <c r="BA528" s="2" t="s">
        <v>74</v>
      </c>
      <c r="BB528" s="2">
        <v>2535</v>
      </c>
      <c r="BC528" s="2">
        <v>2543</v>
      </c>
      <c r="BD528" s="2" t="s">
        <v>74</v>
      </c>
      <c r="BE528" s="2" t="s">
        <v>74</v>
      </c>
      <c r="BF528" s="2" t="s">
        <v>74</v>
      </c>
      <c r="BG528" s="2" t="s">
        <v>74</v>
      </c>
      <c r="BH528" s="2" t="s">
        <v>74</v>
      </c>
      <c r="BI528" s="2" t="s">
        <v>74</v>
      </c>
      <c r="BJ528" s="2" t="s">
        <v>74</v>
      </c>
      <c r="BK528" s="2" t="s">
        <v>74</v>
      </c>
      <c r="BL528" s="2" t="s">
        <v>74</v>
      </c>
      <c r="BM528" s="2" t="s">
        <v>74</v>
      </c>
      <c r="BN528" s="2">
        <v>12124377</v>
      </c>
      <c r="BO528" s="2" t="s">
        <v>74</v>
      </c>
      <c r="BP528" s="2" t="s">
        <v>74</v>
      </c>
      <c r="BQ528" s="2" t="s">
        <v>74</v>
      </c>
      <c r="BR528" s="2" t="s">
        <v>74</v>
      </c>
      <c r="BS528" s="2" t="s">
        <v>3708</v>
      </c>
      <c r="BT528" s="2" t="str">
        <f>HYPERLINK("https%3A%2F%2Fwww.webofscience.com%2Fwos%2Fwoscc%2Ffull-record%2FWOS:000177855700019","View Full Record in Web of Science")</f>
        <v>View Full Record in Web of Science</v>
      </c>
    </row>
    <row r="529" spans="1:72" s="2" customFormat="1" x14ac:dyDescent="0.4">
      <c r="A529" s="2" t="s">
        <v>72</v>
      </c>
      <c r="B529" s="2" t="s">
        <v>2515</v>
      </c>
      <c r="C529" s="2" t="s">
        <v>74</v>
      </c>
      <c r="D529" s="2" t="s">
        <v>74</v>
      </c>
      <c r="E529" s="2" t="s">
        <v>74</v>
      </c>
      <c r="F529" s="2" t="s">
        <v>2515</v>
      </c>
      <c r="G529" s="2" t="s">
        <v>74</v>
      </c>
      <c r="H529" s="2" t="s">
        <v>74</v>
      </c>
      <c r="I529" s="2" t="s">
        <v>2516</v>
      </c>
      <c r="J529" s="2" t="s">
        <v>1135</v>
      </c>
      <c r="K529" s="2" t="s">
        <v>74</v>
      </c>
      <c r="L529" s="2" t="s">
        <v>74</v>
      </c>
      <c r="M529" s="2" t="s">
        <v>74</v>
      </c>
      <c r="N529" s="2" t="s">
        <v>74</v>
      </c>
      <c r="O529" s="2" t="s">
        <v>74</v>
      </c>
      <c r="P529" s="2" t="s">
        <v>74</v>
      </c>
      <c r="Q529" s="2" t="s">
        <v>74</v>
      </c>
      <c r="R529" s="2" t="s">
        <v>74</v>
      </c>
      <c r="S529" s="2" t="s">
        <v>74</v>
      </c>
      <c r="T529" s="2" t="s">
        <v>74</v>
      </c>
      <c r="U529" s="2" t="s">
        <v>74</v>
      </c>
      <c r="V529" s="5" t="s">
        <v>2517</v>
      </c>
      <c r="W529" s="2" t="s">
        <v>74</v>
      </c>
      <c r="X529" s="2" t="s">
        <v>74</v>
      </c>
      <c r="Y529" s="2" t="s">
        <v>74</v>
      </c>
      <c r="Z529" s="2" t="s">
        <v>74</v>
      </c>
      <c r="AA529" s="2" t="s">
        <v>2518</v>
      </c>
      <c r="AB529" s="2" t="s">
        <v>2519</v>
      </c>
      <c r="AC529" s="2" t="s">
        <v>74</v>
      </c>
      <c r="AD529" s="2" t="s">
        <v>74</v>
      </c>
      <c r="AE529" s="2" t="s">
        <v>74</v>
      </c>
      <c r="AF529" s="2" t="s">
        <v>74</v>
      </c>
      <c r="AG529" s="2" t="s">
        <v>74</v>
      </c>
      <c r="AH529" s="2" t="s">
        <v>74</v>
      </c>
      <c r="AI529" s="2" t="s">
        <v>74</v>
      </c>
      <c r="AJ529" s="2" t="s">
        <v>74</v>
      </c>
      <c r="AK529" s="2" t="s">
        <v>74</v>
      </c>
      <c r="AL529" s="2" t="s">
        <v>74</v>
      </c>
      <c r="AM529" s="2" t="s">
        <v>74</v>
      </c>
      <c r="AN529" s="2" t="s">
        <v>74</v>
      </c>
      <c r="AO529" s="2" t="s">
        <v>1137</v>
      </c>
      <c r="AP529" s="2" t="s">
        <v>74</v>
      </c>
      <c r="AQ529" s="2" t="s">
        <v>74</v>
      </c>
      <c r="AR529" s="2" t="s">
        <v>74</v>
      </c>
      <c r="AS529" s="2" t="s">
        <v>74</v>
      </c>
      <c r="AT529" s="2" t="s">
        <v>1611</v>
      </c>
      <c r="AU529" s="2">
        <v>1993</v>
      </c>
      <c r="AV529" s="2">
        <v>24</v>
      </c>
      <c r="AW529" s="2">
        <v>1</v>
      </c>
      <c r="AX529" s="2" t="s">
        <v>74</v>
      </c>
      <c r="AY529" s="2" t="s">
        <v>74</v>
      </c>
      <c r="AZ529" s="2" t="s">
        <v>74</v>
      </c>
      <c r="BA529" s="2" t="s">
        <v>74</v>
      </c>
      <c r="BB529" s="2">
        <v>53</v>
      </c>
      <c r="BC529" s="2">
        <v>58</v>
      </c>
      <c r="BD529" s="2" t="s">
        <v>74</v>
      </c>
      <c r="BE529" s="2" t="s">
        <v>2520</v>
      </c>
      <c r="BF529" s="2" t="str">
        <f>HYPERLINK("http://dx.doi.org/10.2307/3676410","http://dx.doi.org/10.2307/3676410")</f>
        <v>http://dx.doi.org/10.2307/3676410</v>
      </c>
      <c r="BG529" s="2" t="s">
        <v>74</v>
      </c>
      <c r="BH529" s="2" t="s">
        <v>74</v>
      </c>
      <c r="BI529" s="2" t="s">
        <v>74</v>
      </c>
      <c r="BJ529" s="2" t="s">
        <v>74</v>
      </c>
      <c r="BK529" s="2" t="s">
        <v>74</v>
      </c>
      <c r="BL529" s="2" t="s">
        <v>74</v>
      </c>
      <c r="BM529" s="2" t="s">
        <v>74</v>
      </c>
      <c r="BN529" s="2" t="s">
        <v>74</v>
      </c>
      <c r="BO529" s="2" t="s">
        <v>74</v>
      </c>
      <c r="BP529" s="2" t="s">
        <v>74</v>
      </c>
      <c r="BQ529" s="2" t="s">
        <v>74</v>
      </c>
      <c r="BR529" s="2" t="s">
        <v>74</v>
      </c>
      <c r="BS529" s="2" t="s">
        <v>2521</v>
      </c>
      <c r="BT529" s="2" t="str">
        <f>HYPERLINK("https%3A%2F%2Fwww.webofscience.com%2Fwos%2Fwoscc%2Ffull-record%2FWOS:A1993KP96900009","View Full Record in Web of Science")</f>
        <v>View Full Record in Web of Science</v>
      </c>
    </row>
    <row r="530" spans="1:72" s="2" customFormat="1" x14ac:dyDescent="0.4">
      <c r="A530" s="2" t="s">
        <v>72</v>
      </c>
      <c r="B530" s="2" t="s">
        <v>6371</v>
      </c>
      <c r="C530" s="2" t="s">
        <v>74</v>
      </c>
      <c r="D530" s="2" t="s">
        <v>74</v>
      </c>
      <c r="E530" s="2" t="s">
        <v>74</v>
      </c>
      <c r="F530" s="2" t="s">
        <v>6371</v>
      </c>
      <c r="G530" s="2" t="s">
        <v>74</v>
      </c>
      <c r="H530" s="2" t="s">
        <v>74</v>
      </c>
      <c r="I530" s="2" t="s">
        <v>6372</v>
      </c>
      <c r="J530" s="2" t="s">
        <v>6373</v>
      </c>
      <c r="K530" s="2" t="s">
        <v>74</v>
      </c>
      <c r="L530" s="2" t="s">
        <v>74</v>
      </c>
      <c r="M530" s="2" t="s">
        <v>74</v>
      </c>
      <c r="N530" s="2" t="s">
        <v>74</v>
      </c>
      <c r="O530" s="2" t="s">
        <v>6374</v>
      </c>
      <c r="P530" s="2" t="s">
        <v>6375</v>
      </c>
      <c r="Q530" s="2" t="s">
        <v>6376</v>
      </c>
      <c r="R530" s="2" t="s">
        <v>74</v>
      </c>
      <c r="S530" s="2" t="s">
        <v>74</v>
      </c>
      <c r="T530" s="2" t="s">
        <v>74</v>
      </c>
      <c r="U530" s="2" t="s">
        <v>74</v>
      </c>
      <c r="V530" s="5" t="s">
        <v>6377</v>
      </c>
      <c r="W530" s="2" t="s">
        <v>74</v>
      </c>
      <c r="X530" s="2" t="s">
        <v>74</v>
      </c>
      <c r="Y530" s="2" t="s">
        <v>74</v>
      </c>
      <c r="Z530" s="2" t="s">
        <v>74</v>
      </c>
      <c r="AA530" s="2" t="s">
        <v>74</v>
      </c>
      <c r="AB530" s="2" t="s">
        <v>74</v>
      </c>
      <c r="AC530" s="2" t="s">
        <v>74</v>
      </c>
      <c r="AD530" s="2" t="s">
        <v>74</v>
      </c>
      <c r="AE530" s="2" t="s">
        <v>74</v>
      </c>
      <c r="AF530" s="2" t="s">
        <v>74</v>
      </c>
      <c r="AG530" s="2" t="s">
        <v>74</v>
      </c>
      <c r="AH530" s="2" t="s">
        <v>74</v>
      </c>
      <c r="AI530" s="2" t="s">
        <v>74</v>
      </c>
      <c r="AJ530" s="2" t="s">
        <v>74</v>
      </c>
      <c r="AK530" s="2" t="s">
        <v>74</v>
      </c>
      <c r="AL530" s="2" t="s">
        <v>74</v>
      </c>
      <c r="AM530" s="2" t="s">
        <v>74</v>
      </c>
      <c r="AN530" s="2" t="s">
        <v>74</v>
      </c>
      <c r="AO530" s="2" t="s">
        <v>6378</v>
      </c>
      <c r="AP530" s="2" t="s">
        <v>74</v>
      </c>
      <c r="AQ530" s="2" t="s">
        <v>74</v>
      </c>
      <c r="AR530" s="2" t="s">
        <v>74</v>
      </c>
      <c r="AS530" s="2" t="s">
        <v>74</v>
      </c>
      <c r="AT530" s="2" t="s">
        <v>134</v>
      </c>
      <c r="AU530" s="2">
        <v>1997</v>
      </c>
      <c r="AV530" s="2">
        <v>25</v>
      </c>
      <c r="AW530" s="2">
        <v>3</v>
      </c>
      <c r="AX530" s="2" t="s">
        <v>74</v>
      </c>
      <c r="AY530" s="2" t="s">
        <v>74</v>
      </c>
      <c r="AZ530" s="2" t="s">
        <v>74</v>
      </c>
      <c r="BA530" s="2" t="s">
        <v>74</v>
      </c>
      <c r="BB530" s="2">
        <v>233</v>
      </c>
      <c r="BC530" s="2">
        <v>240</v>
      </c>
      <c r="BD530" s="2" t="s">
        <v>74</v>
      </c>
      <c r="BE530" s="2" t="s">
        <v>74</v>
      </c>
      <c r="BF530" s="2" t="s">
        <v>74</v>
      </c>
      <c r="BG530" s="2" t="s">
        <v>74</v>
      </c>
      <c r="BH530" s="2" t="s">
        <v>74</v>
      </c>
      <c r="BI530" s="2" t="s">
        <v>74</v>
      </c>
      <c r="BJ530" s="2" t="s">
        <v>74</v>
      </c>
      <c r="BK530" s="2" t="s">
        <v>74</v>
      </c>
      <c r="BL530" s="2" t="s">
        <v>74</v>
      </c>
      <c r="BM530" s="2" t="s">
        <v>74</v>
      </c>
      <c r="BN530" s="2">
        <v>9289882</v>
      </c>
      <c r="BO530" s="2" t="s">
        <v>74</v>
      </c>
      <c r="BP530" s="2" t="s">
        <v>74</v>
      </c>
      <c r="BQ530" s="2" t="s">
        <v>74</v>
      </c>
      <c r="BR530" s="2" t="s">
        <v>74</v>
      </c>
      <c r="BS530" s="2" t="s">
        <v>6379</v>
      </c>
      <c r="BT530" s="2" t="str">
        <f>HYPERLINK("https%3A%2F%2Fwww.webofscience.com%2Fwos%2Fwoscc%2Ffull-record%2FWOS:A1997XB94300007","View Full Record in Web of Science")</f>
        <v>View Full Record in Web of Science</v>
      </c>
    </row>
    <row r="531" spans="1:72" s="2" customFormat="1" x14ac:dyDescent="0.4">
      <c r="A531" s="2" t="s">
        <v>72</v>
      </c>
      <c r="B531" s="2" t="s">
        <v>2230</v>
      </c>
      <c r="C531" s="2" t="s">
        <v>74</v>
      </c>
      <c r="D531" s="2" t="s">
        <v>74</v>
      </c>
      <c r="E531" s="2" t="s">
        <v>74</v>
      </c>
      <c r="F531" s="2" t="s">
        <v>2230</v>
      </c>
      <c r="G531" s="2" t="s">
        <v>74</v>
      </c>
      <c r="H531" s="2" t="s">
        <v>74</v>
      </c>
      <c r="I531" s="2" t="s">
        <v>2231</v>
      </c>
      <c r="J531" s="2" t="s">
        <v>2232</v>
      </c>
      <c r="K531" s="2" t="s">
        <v>74</v>
      </c>
      <c r="L531" s="2" t="s">
        <v>74</v>
      </c>
      <c r="M531" s="2" t="s">
        <v>74</v>
      </c>
      <c r="N531" s="2" t="s">
        <v>74</v>
      </c>
      <c r="O531" s="2" t="s">
        <v>74</v>
      </c>
      <c r="P531" s="2" t="s">
        <v>74</v>
      </c>
      <c r="Q531" s="2" t="s">
        <v>74</v>
      </c>
      <c r="R531" s="2" t="s">
        <v>74</v>
      </c>
      <c r="S531" s="2" t="s">
        <v>74</v>
      </c>
      <c r="T531" s="2" t="s">
        <v>74</v>
      </c>
      <c r="U531" s="2" t="s">
        <v>74</v>
      </c>
      <c r="V531" s="5" t="s">
        <v>2233</v>
      </c>
      <c r="W531" s="2" t="s">
        <v>74</v>
      </c>
      <c r="X531" s="2" t="s">
        <v>74</v>
      </c>
      <c r="Y531" s="2" t="s">
        <v>74</v>
      </c>
      <c r="Z531" s="2" t="s">
        <v>74</v>
      </c>
      <c r="AA531" s="2" t="s">
        <v>2234</v>
      </c>
      <c r="AB531" s="2" t="s">
        <v>2235</v>
      </c>
      <c r="AC531" s="2" t="s">
        <v>74</v>
      </c>
      <c r="AD531" s="2" t="s">
        <v>74</v>
      </c>
      <c r="AE531" s="2" t="s">
        <v>74</v>
      </c>
      <c r="AF531" s="2" t="s">
        <v>74</v>
      </c>
      <c r="AG531" s="2" t="s">
        <v>74</v>
      </c>
      <c r="AH531" s="2" t="s">
        <v>74</v>
      </c>
      <c r="AI531" s="2" t="s">
        <v>74</v>
      </c>
      <c r="AJ531" s="2" t="s">
        <v>74</v>
      </c>
      <c r="AK531" s="2" t="s">
        <v>74</v>
      </c>
      <c r="AL531" s="2" t="s">
        <v>74</v>
      </c>
      <c r="AM531" s="2" t="s">
        <v>74</v>
      </c>
      <c r="AN531" s="2" t="s">
        <v>74</v>
      </c>
      <c r="AO531" s="2" t="s">
        <v>2236</v>
      </c>
      <c r="AP531" s="2" t="s">
        <v>2237</v>
      </c>
      <c r="AQ531" s="2" t="s">
        <v>74</v>
      </c>
      <c r="AR531" s="2" t="s">
        <v>74</v>
      </c>
      <c r="AS531" s="2" t="s">
        <v>74</v>
      </c>
      <c r="AT531" s="2" t="s">
        <v>175</v>
      </c>
      <c r="AU531" s="2">
        <v>2002</v>
      </c>
      <c r="AV531" s="2">
        <v>99</v>
      </c>
      <c r="AW531" s="2">
        <v>1</v>
      </c>
      <c r="AX531" s="2" t="s">
        <v>74</v>
      </c>
      <c r="AY531" s="2" t="s">
        <v>74</v>
      </c>
      <c r="AZ531" s="2" t="s">
        <v>74</v>
      </c>
      <c r="BA531" s="2" t="s">
        <v>74</v>
      </c>
      <c r="BB531" s="2">
        <v>184</v>
      </c>
      <c r="BC531" s="2">
        <v>188</v>
      </c>
      <c r="BD531" s="2" t="s">
        <v>74</v>
      </c>
      <c r="BE531" s="2" t="s">
        <v>2238</v>
      </c>
      <c r="BF531" s="2" t="str">
        <f>HYPERLINK("http://dx.doi.org/10.1034/j.1600-0706.2002.990119.x","http://dx.doi.org/10.1034/j.1600-0706.2002.990119.x")</f>
        <v>http://dx.doi.org/10.1034/j.1600-0706.2002.990119.x</v>
      </c>
      <c r="BG531" s="2" t="s">
        <v>74</v>
      </c>
      <c r="BH531" s="2" t="s">
        <v>74</v>
      </c>
      <c r="BI531" s="2" t="s">
        <v>74</v>
      </c>
      <c r="BJ531" s="2" t="s">
        <v>74</v>
      </c>
      <c r="BK531" s="2" t="s">
        <v>74</v>
      </c>
      <c r="BL531" s="2" t="s">
        <v>74</v>
      </c>
      <c r="BM531" s="2" t="s">
        <v>74</v>
      </c>
      <c r="BN531" s="2" t="s">
        <v>74</v>
      </c>
      <c r="BO531" s="2" t="s">
        <v>74</v>
      </c>
      <c r="BP531" s="2" t="s">
        <v>74</v>
      </c>
      <c r="BQ531" s="2" t="s">
        <v>74</v>
      </c>
      <c r="BR531" s="2" t="s">
        <v>74</v>
      </c>
      <c r="BS531" s="2" t="s">
        <v>2239</v>
      </c>
      <c r="BT531" s="2" t="str">
        <f>HYPERLINK("https%3A%2F%2Fwww.webofscience.com%2Fwos%2Fwoscc%2Ffull-record%2FWOS:000178883100019","View Full Record in Web of Science")</f>
        <v>View Full Record in Web of Science</v>
      </c>
    </row>
    <row r="532" spans="1:72" s="2" customFormat="1" x14ac:dyDescent="0.4">
      <c r="A532" s="2" t="s">
        <v>72</v>
      </c>
      <c r="B532" s="2" t="s">
        <v>6327</v>
      </c>
      <c r="C532" s="2" t="s">
        <v>74</v>
      </c>
      <c r="D532" s="2" t="s">
        <v>74</v>
      </c>
      <c r="E532" s="2" t="s">
        <v>74</v>
      </c>
      <c r="F532" s="2" t="s">
        <v>6328</v>
      </c>
      <c r="G532" s="2" t="s">
        <v>74</v>
      </c>
      <c r="H532" s="2" t="s">
        <v>74</v>
      </c>
      <c r="I532" s="2" t="s">
        <v>6329</v>
      </c>
      <c r="J532" s="2" t="s">
        <v>763</v>
      </c>
      <c r="K532" s="2" t="s">
        <v>74</v>
      </c>
      <c r="L532" s="2" t="s">
        <v>74</v>
      </c>
      <c r="M532" s="2" t="s">
        <v>74</v>
      </c>
      <c r="N532" s="2" t="s">
        <v>74</v>
      </c>
      <c r="O532" s="2" t="s">
        <v>74</v>
      </c>
      <c r="P532" s="2" t="s">
        <v>74</v>
      </c>
      <c r="Q532" s="2" t="s">
        <v>74</v>
      </c>
      <c r="R532" s="2" t="s">
        <v>74</v>
      </c>
      <c r="S532" s="2" t="s">
        <v>74</v>
      </c>
      <c r="T532" s="2" t="s">
        <v>74</v>
      </c>
      <c r="U532" s="2" t="s">
        <v>74</v>
      </c>
      <c r="V532" s="5" t="s">
        <v>6330</v>
      </c>
      <c r="W532" s="2" t="s">
        <v>74</v>
      </c>
      <c r="X532" s="2" t="s">
        <v>74</v>
      </c>
      <c r="Y532" s="2" t="s">
        <v>74</v>
      </c>
      <c r="Z532" s="2" t="s">
        <v>74</v>
      </c>
      <c r="AA532" s="2" t="s">
        <v>6331</v>
      </c>
      <c r="AB532" s="2" t="s">
        <v>74</v>
      </c>
      <c r="AC532" s="2" t="s">
        <v>74</v>
      </c>
      <c r="AD532" s="2" t="s">
        <v>74</v>
      </c>
      <c r="AE532" s="2" t="s">
        <v>74</v>
      </c>
      <c r="AF532" s="2" t="s">
        <v>74</v>
      </c>
      <c r="AG532" s="2" t="s">
        <v>74</v>
      </c>
      <c r="AH532" s="2" t="s">
        <v>74</v>
      </c>
      <c r="AI532" s="2" t="s">
        <v>74</v>
      </c>
      <c r="AJ532" s="2" t="s">
        <v>74</v>
      </c>
      <c r="AK532" s="2" t="s">
        <v>74</v>
      </c>
      <c r="AL532" s="2" t="s">
        <v>74</v>
      </c>
      <c r="AM532" s="2" t="s">
        <v>74</v>
      </c>
      <c r="AN532" s="2" t="s">
        <v>74</v>
      </c>
      <c r="AO532" s="2" t="s">
        <v>767</v>
      </c>
      <c r="AP532" s="2" t="s">
        <v>768</v>
      </c>
      <c r="AQ532" s="2" t="s">
        <v>74</v>
      </c>
      <c r="AR532" s="2" t="s">
        <v>74</v>
      </c>
      <c r="AS532" s="2" t="s">
        <v>74</v>
      </c>
      <c r="AT532" s="2" t="s">
        <v>1146</v>
      </c>
      <c r="AU532" s="2">
        <v>2008</v>
      </c>
      <c r="AV532" s="2">
        <v>211</v>
      </c>
      <c r="AW532" s="2">
        <v>15</v>
      </c>
      <c r="AX532" s="2" t="s">
        <v>74</v>
      </c>
      <c r="AY532" s="2" t="s">
        <v>74</v>
      </c>
      <c r="AZ532" s="2" t="s">
        <v>74</v>
      </c>
      <c r="BA532" s="2" t="s">
        <v>74</v>
      </c>
      <c r="BB532" s="2">
        <v>2519</v>
      </c>
      <c r="BC532" s="2">
        <v>2523</v>
      </c>
      <c r="BD532" s="2" t="s">
        <v>74</v>
      </c>
      <c r="BE532" s="2" t="s">
        <v>6332</v>
      </c>
      <c r="BF532" s="2" t="str">
        <f>HYPERLINK("http://dx.doi.org/10.1242/jeb.017327","http://dx.doi.org/10.1242/jeb.017327")</f>
        <v>http://dx.doi.org/10.1242/jeb.017327</v>
      </c>
      <c r="BG532" s="2" t="s">
        <v>74</v>
      </c>
      <c r="BH532" s="2" t="s">
        <v>74</v>
      </c>
      <c r="BI532" s="2" t="s">
        <v>74</v>
      </c>
      <c r="BJ532" s="2" t="s">
        <v>74</v>
      </c>
      <c r="BK532" s="2" t="s">
        <v>74</v>
      </c>
      <c r="BL532" s="2" t="s">
        <v>74</v>
      </c>
      <c r="BM532" s="2" t="s">
        <v>74</v>
      </c>
      <c r="BN532" s="2">
        <v>18626087</v>
      </c>
      <c r="BO532" s="2" t="s">
        <v>74</v>
      </c>
      <c r="BP532" s="2" t="s">
        <v>74</v>
      </c>
      <c r="BQ532" s="2" t="s">
        <v>74</v>
      </c>
      <c r="BR532" s="2" t="s">
        <v>74</v>
      </c>
      <c r="BS532" s="2" t="s">
        <v>6333</v>
      </c>
      <c r="BT532" s="2" t="str">
        <f>HYPERLINK("https%3A%2F%2Fwww.webofscience.com%2Fwos%2Fwoscc%2Ffull-record%2FWOS:000257620300027","View Full Record in Web of Science")</f>
        <v>View Full Record in Web of Science</v>
      </c>
    </row>
    <row r="533" spans="1:72" s="2" customFormat="1" x14ac:dyDescent="0.4">
      <c r="A533" s="2" t="s">
        <v>72</v>
      </c>
      <c r="B533" s="2" t="s">
        <v>1971</v>
      </c>
      <c r="C533" s="2" t="s">
        <v>74</v>
      </c>
      <c r="D533" s="2" t="s">
        <v>74</v>
      </c>
      <c r="E533" s="2" t="s">
        <v>74</v>
      </c>
      <c r="F533" s="2" t="s">
        <v>1972</v>
      </c>
      <c r="G533" s="2" t="s">
        <v>74</v>
      </c>
      <c r="H533" s="2" t="s">
        <v>74</v>
      </c>
      <c r="I533" s="2" t="s">
        <v>1973</v>
      </c>
      <c r="J533" s="2" t="s">
        <v>970</v>
      </c>
      <c r="K533" s="2" t="s">
        <v>74</v>
      </c>
      <c r="L533" s="2" t="s">
        <v>74</v>
      </c>
      <c r="M533" s="2" t="s">
        <v>74</v>
      </c>
      <c r="N533" s="2" t="s">
        <v>74</v>
      </c>
      <c r="O533" s="2" t="s">
        <v>74</v>
      </c>
      <c r="P533" s="2" t="s">
        <v>74</v>
      </c>
      <c r="Q533" s="2" t="s">
        <v>74</v>
      </c>
      <c r="R533" s="2" t="s">
        <v>74</v>
      </c>
      <c r="S533" s="2" t="s">
        <v>74</v>
      </c>
      <c r="T533" s="2" t="s">
        <v>74</v>
      </c>
      <c r="U533" s="2" t="s">
        <v>74</v>
      </c>
      <c r="V533" s="5" t="s">
        <v>1974</v>
      </c>
      <c r="W533" s="2" t="s">
        <v>74</v>
      </c>
      <c r="X533" s="2" t="s">
        <v>74</v>
      </c>
      <c r="Y533" s="2" t="s">
        <v>74</v>
      </c>
      <c r="Z533" s="2" t="s">
        <v>74</v>
      </c>
      <c r="AA533" s="2" t="s">
        <v>1975</v>
      </c>
      <c r="AB533" s="2" t="s">
        <v>1976</v>
      </c>
      <c r="AC533" s="2" t="s">
        <v>74</v>
      </c>
      <c r="AD533" s="2" t="s">
        <v>74</v>
      </c>
      <c r="AE533" s="2" t="s">
        <v>74</v>
      </c>
      <c r="AF533" s="2" t="s">
        <v>74</v>
      </c>
      <c r="AG533" s="2" t="s">
        <v>74</v>
      </c>
      <c r="AH533" s="2" t="s">
        <v>74</v>
      </c>
      <c r="AI533" s="2" t="s">
        <v>74</v>
      </c>
      <c r="AJ533" s="2" t="s">
        <v>74</v>
      </c>
      <c r="AK533" s="2" t="s">
        <v>74</v>
      </c>
      <c r="AL533" s="2" t="s">
        <v>74</v>
      </c>
      <c r="AM533" s="2" t="s">
        <v>74</v>
      </c>
      <c r="AN533" s="2" t="s">
        <v>74</v>
      </c>
      <c r="AO533" s="2" t="s">
        <v>974</v>
      </c>
      <c r="AP533" s="2" t="s">
        <v>975</v>
      </c>
      <c r="AQ533" s="2" t="s">
        <v>74</v>
      </c>
      <c r="AR533" s="2" t="s">
        <v>74</v>
      </c>
      <c r="AS533" s="2" t="s">
        <v>74</v>
      </c>
      <c r="AT533" s="2" t="s">
        <v>175</v>
      </c>
      <c r="AU533" s="2">
        <v>2006</v>
      </c>
      <c r="AV533" s="2">
        <v>147</v>
      </c>
      <c r="AW533" s="2">
        <v>4</v>
      </c>
      <c r="AX533" s="2" t="s">
        <v>74</v>
      </c>
      <c r="AY533" s="2" t="s">
        <v>74</v>
      </c>
      <c r="AZ533" s="2" t="s">
        <v>74</v>
      </c>
      <c r="BA533" s="2" t="s">
        <v>74</v>
      </c>
      <c r="BB533" s="2">
        <v>629</v>
      </c>
      <c r="BC533" s="2">
        <v>637</v>
      </c>
      <c r="BD533" s="2" t="s">
        <v>74</v>
      </c>
      <c r="BE533" s="2" t="s">
        <v>1977</v>
      </c>
      <c r="BF533" s="2" t="str">
        <f>HYPERLINK("http://dx.doi.org/10.1007/s10336-006-0088-y","http://dx.doi.org/10.1007/s10336-006-0088-y")</f>
        <v>http://dx.doi.org/10.1007/s10336-006-0088-y</v>
      </c>
      <c r="BG533" s="2" t="s">
        <v>74</v>
      </c>
      <c r="BH533" s="2" t="s">
        <v>74</v>
      </c>
      <c r="BI533" s="2" t="s">
        <v>74</v>
      </c>
      <c r="BJ533" s="2" t="s">
        <v>74</v>
      </c>
      <c r="BK533" s="2" t="s">
        <v>74</v>
      </c>
      <c r="BL533" s="2" t="s">
        <v>74</v>
      </c>
      <c r="BM533" s="2" t="s">
        <v>74</v>
      </c>
      <c r="BN533" s="2" t="s">
        <v>74</v>
      </c>
      <c r="BO533" s="2" t="s">
        <v>74</v>
      </c>
      <c r="BP533" s="2" t="s">
        <v>74</v>
      </c>
      <c r="BQ533" s="2" t="s">
        <v>74</v>
      </c>
      <c r="BR533" s="2" t="s">
        <v>74</v>
      </c>
      <c r="BS533" s="2" t="s">
        <v>1978</v>
      </c>
      <c r="BT533" s="2" t="str">
        <f>HYPERLINK("https%3A%2F%2Fwww.webofscience.com%2Fwos%2Fwoscc%2Ffull-record%2FWOS:000241113000015","View Full Record in Web of Science")</f>
        <v>View Full Record in Web of Science</v>
      </c>
    </row>
    <row r="534" spans="1:72" s="2" customFormat="1" x14ac:dyDescent="0.4">
      <c r="A534" s="2" t="s">
        <v>72</v>
      </c>
      <c r="B534" s="2" t="s">
        <v>3151</v>
      </c>
      <c r="C534" s="2" t="s">
        <v>74</v>
      </c>
      <c r="D534" s="2" t="s">
        <v>74</v>
      </c>
      <c r="E534" s="2" t="s">
        <v>74</v>
      </c>
      <c r="F534" s="2" t="s">
        <v>3152</v>
      </c>
      <c r="G534" s="2" t="s">
        <v>74</v>
      </c>
      <c r="H534" s="2" t="s">
        <v>74</v>
      </c>
      <c r="I534" s="2" t="s">
        <v>3153</v>
      </c>
      <c r="J534" s="2" t="s">
        <v>2232</v>
      </c>
      <c r="K534" s="2" t="s">
        <v>74</v>
      </c>
      <c r="L534" s="2" t="s">
        <v>74</v>
      </c>
      <c r="M534" s="2" t="s">
        <v>74</v>
      </c>
      <c r="N534" s="2" t="s">
        <v>74</v>
      </c>
      <c r="O534" s="2" t="s">
        <v>74</v>
      </c>
      <c r="P534" s="2" t="s">
        <v>74</v>
      </c>
      <c r="Q534" s="2" t="s">
        <v>74</v>
      </c>
      <c r="R534" s="2" t="s">
        <v>74</v>
      </c>
      <c r="S534" s="2" t="s">
        <v>74</v>
      </c>
      <c r="T534" s="2" t="s">
        <v>74</v>
      </c>
      <c r="U534" s="2" t="s">
        <v>74</v>
      </c>
      <c r="V534" s="5" t="s">
        <v>3154</v>
      </c>
      <c r="W534" s="2" t="s">
        <v>74</v>
      </c>
      <c r="X534" s="2" t="s">
        <v>74</v>
      </c>
      <c r="Y534" s="2" t="s">
        <v>74</v>
      </c>
      <c r="Z534" s="2" t="s">
        <v>74</v>
      </c>
      <c r="AA534" s="2" t="s">
        <v>3155</v>
      </c>
      <c r="AB534" s="2" t="s">
        <v>3156</v>
      </c>
      <c r="AC534" s="2" t="s">
        <v>74</v>
      </c>
      <c r="AD534" s="2" t="s">
        <v>74</v>
      </c>
      <c r="AE534" s="2" t="s">
        <v>74</v>
      </c>
      <c r="AF534" s="2" t="s">
        <v>74</v>
      </c>
      <c r="AG534" s="2" t="s">
        <v>74</v>
      </c>
      <c r="AH534" s="2" t="s">
        <v>74</v>
      </c>
      <c r="AI534" s="2" t="s">
        <v>74</v>
      </c>
      <c r="AJ534" s="2" t="s">
        <v>74</v>
      </c>
      <c r="AK534" s="2" t="s">
        <v>74</v>
      </c>
      <c r="AL534" s="2" t="s">
        <v>74</v>
      </c>
      <c r="AM534" s="2" t="s">
        <v>74</v>
      </c>
      <c r="AN534" s="2" t="s">
        <v>74</v>
      </c>
      <c r="AO534" s="2" t="s">
        <v>2236</v>
      </c>
      <c r="AP534" s="2" t="s">
        <v>74</v>
      </c>
      <c r="AQ534" s="2" t="s">
        <v>74</v>
      </c>
      <c r="AR534" s="2" t="s">
        <v>74</v>
      </c>
      <c r="AS534" s="2" t="s">
        <v>74</v>
      </c>
      <c r="AT534" s="2" t="s">
        <v>102</v>
      </c>
      <c r="AU534" s="2">
        <v>2011</v>
      </c>
      <c r="AV534" s="2">
        <v>120</v>
      </c>
      <c r="AW534" s="2">
        <v>6</v>
      </c>
      <c r="AX534" s="2" t="s">
        <v>74</v>
      </c>
      <c r="AY534" s="2" t="s">
        <v>74</v>
      </c>
      <c r="AZ534" s="2" t="s">
        <v>74</v>
      </c>
      <c r="BA534" s="2" t="s">
        <v>74</v>
      </c>
      <c r="BB534" s="2">
        <v>855</v>
      </c>
      <c r="BC534" s="2">
        <v>861</v>
      </c>
      <c r="BD534" s="2" t="s">
        <v>74</v>
      </c>
      <c r="BE534" s="2" t="s">
        <v>3157</v>
      </c>
      <c r="BF534" s="2" t="str">
        <f>HYPERLINK("http://dx.doi.org/10.1111/j.1600-0706.2010.19056.x","http://dx.doi.org/10.1111/j.1600-0706.2010.19056.x")</f>
        <v>http://dx.doi.org/10.1111/j.1600-0706.2010.19056.x</v>
      </c>
      <c r="BG534" s="2" t="s">
        <v>74</v>
      </c>
      <c r="BH534" s="2" t="s">
        <v>74</v>
      </c>
      <c r="BI534" s="2" t="s">
        <v>74</v>
      </c>
      <c r="BJ534" s="2" t="s">
        <v>74</v>
      </c>
      <c r="BK534" s="2" t="s">
        <v>74</v>
      </c>
      <c r="BL534" s="2" t="s">
        <v>74</v>
      </c>
      <c r="BM534" s="2" t="s">
        <v>74</v>
      </c>
      <c r="BN534" s="2" t="s">
        <v>74</v>
      </c>
      <c r="BO534" s="2" t="s">
        <v>74</v>
      </c>
      <c r="BP534" s="2" t="s">
        <v>74</v>
      </c>
      <c r="BQ534" s="2" t="s">
        <v>74</v>
      </c>
      <c r="BR534" s="2" t="s">
        <v>74</v>
      </c>
      <c r="BS534" s="2" t="s">
        <v>3158</v>
      </c>
      <c r="BT534" s="2" t="str">
        <f>HYPERLINK("https%3A%2F%2Fwww.webofscience.com%2Fwos%2Fwoscc%2Ffull-record%2FWOS:000290871400007","View Full Record in Web of Science")</f>
        <v>View Full Record in Web of Science</v>
      </c>
    </row>
    <row r="535" spans="1:72" s="2" customFormat="1" x14ac:dyDescent="0.4">
      <c r="A535" s="2" t="s">
        <v>72</v>
      </c>
      <c r="B535" s="2" t="s">
        <v>2608</v>
      </c>
      <c r="C535" s="2" t="s">
        <v>74</v>
      </c>
      <c r="D535" s="2" t="s">
        <v>74</v>
      </c>
      <c r="E535" s="2" t="s">
        <v>74</v>
      </c>
      <c r="F535" s="2" t="s">
        <v>2609</v>
      </c>
      <c r="G535" s="2" t="s">
        <v>74</v>
      </c>
      <c r="H535" s="2" t="s">
        <v>74</v>
      </c>
      <c r="I535" s="2" t="s">
        <v>2610</v>
      </c>
      <c r="J535" s="2" t="s">
        <v>1126</v>
      </c>
      <c r="K535" s="2" t="s">
        <v>74</v>
      </c>
      <c r="L535" s="2" t="s">
        <v>74</v>
      </c>
      <c r="M535" s="2" t="s">
        <v>74</v>
      </c>
      <c r="N535" s="2" t="s">
        <v>74</v>
      </c>
      <c r="O535" s="2" t="s">
        <v>74</v>
      </c>
      <c r="P535" s="2" t="s">
        <v>74</v>
      </c>
      <c r="Q535" s="2" t="s">
        <v>74</v>
      </c>
      <c r="R535" s="2" t="s">
        <v>74</v>
      </c>
      <c r="S535" s="2" t="s">
        <v>74</v>
      </c>
      <c r="T535" s="2" t="s">
        <v>74</v>
      </c>
      <c r="U535" s="2" t="s">
        <v>74</v>
      </c>
      <c r="V535" s="5" t="s">
        <v>2611</v>
      </c>
      <c r="W535" s="2" t="s">
        <v>74</v>
      </c>
      <c r="X535" s="2" t="s">
        <v>74</v>
      </c>
      <c r="Y535" s="2" t="s">
        <v>74</v>
      </c>
      <c r="Z535" s="2" t="s">
        <v>74</v>
      </c>
      <c r="AA535" s="2" t="s">
        <v>2612</v>
      </c>
      <c r="AB535" s="2" t="s">
        <v>74</v>
      </c>
      <c r="AC535" s="2" t="s">
        <v>74</v>
      </c>
      <c r="AD535" s="2" t="s">
        <v>74</v>
      </c>
      <c r="AE535" s="2" t="s">
        <v>74</v>
      </c>
      <c r="AF535" s="2" t="s">
        <v>74</v>
      </c>
      <c r="AG535" s="2" t="s">
        <v>74</v>
      </c>
      <c r="AH535" s="2" t="s">
        <v>74</v>
      </c>
      <c r="AI535" s="2" t="s">
        <v>74</v>
      </c>
      <c r="AJ535" s="2" t="s">
        <v>74</v>
      </c>
      <c r="AK535" s="2" t="s">
        <v>74</v>
      </c>
      <c r="AL535" s="2" t="s">
        <v>74</v>
      </c>
      <c r="AM535" s="2" t="s">
        <v>74</v>
      </c>
      <c r="AN535" s="2" t="s">
        <v>74</v>
      </c>
      <c r="AO535" s="2" t="s">
        <v>1128</v>
      </c>
      <c r="AP535" s="2" t="s">
        <v>1129</v>
      </c>
      <c r="AQ535" s="2" t="s">
        <v>74</v>
      </c>
      <c r="AR535" s="2" t="s">
        <v>74</v>
      </c>
      <c r="AS535" s="2" t="s">
        <v>74</v>
      </c>
      <c r="AT535" s="2" t="s">
        <v>1116</v>
      </c>
      <c r="AU535" s="2">
        <v>2010</v>
      </c>
      <c r="AV535" s="2" t="s">
        <v>74</v>
      </c>
      <c r="AW535" s="2">
        <v>2</v>
      </c>
      <c r="AX535" s="2" t="s">
        <v>74</v>
      </c>
      <c r="AY535" s="2" t="s">
        <v>74</v>
      </c>
      <c r="AZ535" s="2" t="s">
        <v>74</v>
      </c>
      <c r="BA535" s="2" t="s">
        <v>74</v>
      </c>
      <c r="BB535" s="2">
        <v>196</v>
      </c>
      <c r="BC535" s="2">
        <v>202</v>
      </c>
      <c r="BD535" s="2" t="s">
        <v>74</v>
      </c>
      <c r="BE535" s="2" t="s">
        <v>2613</v>
      </c>
      <c r="BF535" s="2" t="str">
        <f>HYPERLINK("http://dx.doi.org/10.1643/CG-09-044","http://dx.doi.org/10.1643/CG-09-044")</f>
        <v>http://dx.doi.org/10.1643/CG-09-044</v>
      </c>
      <c r="BG535" s="2" t="s">
        <v>74</v>
      </c>
      <c r="BH535" s="2" t="s">
        <v>74</v>
      </c>
      <c r="BI535" s="2" t="s">
        <v>74</v>
      </c>
      <c r="BJ535" s="2" t="s">
        <v>74</v>
      </c>
      <c r="BK535" s="2" t="s">
        <v>74</v>
      </c>
      <c r="BL535" s="2" t="s">
        <v>74</v>
      </c>
      <c r="BM535" s="2" t="s">
        <v>74</v>
      </c>
      <c r="BN535" s="2" t="s">
        <v>74</v>
      </c>
      <c r="BO535" s="2" t="s">
        <v>74</v>
      </c>
      <c r="BP535" s="2" t="s">
        <v>74</v>
      </c>
      <c r="BQ535" s="2" t="s">
        <v>74</v>
      </c>
      <c r="BR535" s="2" t="s">
        <v>74</v>
      </c>
      <c r="BS535" s="2" t="s">
        <v>2614</v>
      </c>
      <c r="BT535" s="2" t="str">
        <f>HYPERLINK("https%3A%2F%2Fwww.webofscience.com%2Fwos%2Fwoscc%2Ffull-record%2FWOS:000278428900002","View Full Record in Web of Science")</f>
        <v>View Full Record in Web of Science</v>
      </c>
    </row>
    <row r="536" spans="1:72" s="2" customFormat="1" x14ac:dyDescent="0.4">
      <c r="A536" s="2" t="s">
        <v>72</v>
      </c>
      <c r="B536" s="2" t="s">
        <v>3799</v>
      </c>
      <c r="C536" s="2" t="s">
        <v>74</v>
      </c>
      <c r="D536" s="2" t="s">
        <v>74</v>
      </c>
      <c r="E536" s="2" t="s">
        <v>74</v>
      </c>
      <c r="F536" s="2" t="s">
        <v>3800</v>
      </c>
      <c r="G536" s="2" t="s">
        <v>74</v>
      </c>
      <c r="H536" s="2" t="s">
        <v>74</v>
      </c>
      <c r="I536" s="2" t="s">
        <v>3801</v>
      </c>
      <c r="J536" s="2" t="s">
        <v>3026</v>
      </c>
      <c r="K536" s="2" t="s">
        <v>74</v>
      </c>
      <c r="L536" s="2" t="s">
        <v>74</v>
      </c>
      <c r="M536" s="2" t="s">
        <v>74</v>
      </c>
      <c r="N536" s="2" t="s">
        <v>74</v>
      </c>
      <c r="O536" s="2" t="s">
        <v>74</v>
      </c>
      <c r="P536" s="2" t="s">
        <v>74</v>
      </c>
      <c r="Q536" s="2" t="s">
        <v>74</v>
      </c>
      <c r="R536" s="2" t="s">
        <v>74</v>
      </c>
      <c r="S536" s="2" t="s">
        <v>74</v>
      </c>
      <c r="T536" s="2" t="s">
        <v>74</v>
      </c>
      <c r="U536" s="2" t="s">
        <v>74</v>
      </c>
      <c r="V536" s="5" t="s">
        <v>3802</v>
      </c>
      <c r="W536" s="2" t="s">
        <v>74</v>
      </c>
      <c r="X536" s="2" t="s">
        <v>74</v>
      </c>
      <c r="Y536" s="2" t="s">
        <v>74</v>
      </c>
      <c r="Z536" s="2" t="s">
        <v>74</v>
      </c>
      <c r="AA536" s="2" t="s">
        <v>74</v>
      </c>
      <c r="AB536" s="2" t="s">
        <v>74</v>
      </c>
      <c r="AC536" s="2" t="s">
        <v>74</v>
      </c>
      <c r="AD536" s="2" t="s">
        <v>74</v>
      </c>
      <c r="AE536" s="2" t="s">
        <v>74</v>
      </c>
      <c r="AF536" s="2" t="s">
        <v>74</v>
      </c>
      <c r="AG536" s="2" t="s">
        <v>74</v>
      </c>
      <c r="AH536" s="2" t="s">
        <v>74</v>
      </c>
      <c r="AI536" s="2" t="s">
        <v>74</v>
      </c>
      <c r="AJ536" s="2" t="s">
        <v>74</v>
      </c>
      <c r="AK536" s="2" t="s">
        <v>74</v>
      </c>
      <c r="AL536" s="2" t="s">
        <v>74</v>
      </c>
      <c r="AM536" s="2" t="s">
        <v>74</v>
      </c>
      <c r="AN536" s="2" t="s">
        <v>74</v>
      </c>
      <c r="AO536" s="2" t="s">
        <v>3030</v>
      </c>
      <c r="AP536" s="2" t="s">
        <v>74</v>
      </c>
      <c r="AQ536" s="2" t="s">
        <v>74</v>
      </c>
      <c r="AR536" s="2" t="s">
        <v>74</v>
      </c>
      <c r="AS536" s="2" t="s">
        <v>74</v>
      </c>
      <c r="AT536" s="2" t="s">
        <v>3803</v>
      </c>
      <c r="AU536" s="2">
        <v>2014</v>
      </c>
      <c r="AV536" s="2">
        <v>3</v>
      </c>
      <c r="AW536" s="2">
        <v>3</v>
      </c>
      <c r="AX536" s="2" t="s">
        <v>74</v>
      </c>
      <c r="AY536" s="2" t="s">
        <v>74</v>
      </c>
      <c r="AZ536" s="2" t="s">
        <v>74</v>
      </c>
      <c r="BA536" s="2" t="s">
        <v>74</v>
      </c>
      <c r="BB536" s="2">
        <v>221</v>
      </c>
      <c r="BC536" s="2">
        <v>230</v>
      </c>
      <c r="BD536" s="2" t="s">
        <v>74</v>
      </c>
      <c r="BE536" s="2" t="s">
        <v>3804</v>
      </c>
      <c r="BF536" s="2" t="str">
        <f>HYPERLINK("http://dx.doi.org/10.1242/bio.20146445","http://dx.doi.org/10.1242/bio.20146445")</f>
        <v>http://dx.doi.org/10.1242/bio.20146445</v>
      </c>
      <c r="BG536" s="2" t="s">
        <v>74</v>
      </c>
      <c r="BH536" s="2" t="s">
        <v>74</v>
      </c>
      <c r="BI536" s="2" t="s">
        <v>74</v>
      </c>
      <c r="BJ536" s="2" t="s">
        <v>74</v>
      </c>
      <c r="BK536" s="2" t="s">
        <v>74</v>
      </c>
      <c r="BL536" s="2" t="s">
        <v>74</v>
      </c>
      <c r="BM536" s="2" t="s">
        <v>74</v>
      </c>
      <c r="BN536" s="2">
        <v>24585774</v>
      </c>
      <c r="BO536" s="2" t="s">
        <v>74</v>
      </c>
      <c r="BP536" s="2" t="s">
        <v>74</v>
      </c>
      <c r="BQ536" s="2" t="s">
        <v>74</v>
      </c>
      <c r="BR536" s="2" t="s">
        <v>74</v>
      </c>
      <c r="BS536" s="2" t="s">
        <v>3805</v>
      </c>
      <c r="BT536" s="2" t="str">
        <f>HYPERLINK("https%3A%2F%2Fwww.webofscience.com%2Fwos%2Fwoscc%2Ffull-record%2FWOS:000348066100005","View Full Record in Web of Science")</f>
        <v>View Full Record in Web of Science</v>
      </c>
    </row>
    <row r="537" spans="1:72" s="2" customFormat="1" x14ac:dyDescent="0.4">
      <c r="A537" s="2" t="s">
        <v>72</v>
      </c>
      <c r="B537" s="2" t="s">
        <v>2272</v>
      </c>
      <c r="C537" s="2" t="s">
        <v>74</v>
      </c>
      <c r="D537" s="2" t="s">
        <v>74</v>
      </c>
      <c r="E537" s="2" t="s">
        <v>74</v>
      </c>
      <c r="F537" s="2" t="s">
        <v>2273</v>
      </c>
      <c r="G537" s="2" t="s">
        <v>74</v>
      </c>
      <c r="H537" s="2" t="s">
        <v>74</v>
      </c>
      <c r="I537" s="2" t="s">
        <v>2274</v>
      </c>
      <c r="J537" s="2" t="s">
        <v>2275</v>
      </c>
      <c r="K537" s="2" t="s">
        <v>74</v>
      </c>
      <c r="L537" s="2" t="s">
        <v>74</v>
      </c>
      <c r="M537" s="2" t="s">
        <v>74</v>
      </c>
      <c r="N537" s="2" t="s">
        <v>74</v>
      </c>
      <c r="O537" s="2" t="s">
        <v>74</v>
      </c>
      <c r="P537" s="2" t="s">
        <v>74</v>
      </c>
      <c r="Q537" s="2" t="s">
        <v>74</v>
      </c>
      <c r="R537" s="2" t="s">
        <v>74</v>
      </c>
      <c r="S537" s="2" t="s">
        <v>74</v>
      </c>
      <c r="T537" s="2" t="s">
        <v>74</v>
      </c>
      <c r="U537" s="2" t="s">
        <v>74</v>
      </c>
      <c r="V537" s="5" t="s">
        <v>2276</v>
      </c>
      <c r="W537" s="2" t="s">
        <v>74</v>
      </c>
      <c r="X537" s="2" t="s">
        <v>74</v>
      </c>
      <c r="Y537" s="2" t="s">
        <v>74</v>
      </c>
      <c r="Z537" s="2" t="s">
        <v>74</v>
      </c>
      <c r="AA537" s="2" t="s">
        <v>2277</v>
      </c>
      <c r="AB537" s="2" t="s">
        <v>2278</v>
      </c>
      <c r="AC537" s="2" t="s">
        <v>74</v>
      </c>
      <c r="AD537" s="2" t="s">
        <v>74</v>
      </c>
      <c r="AE537" s="2" t="s">
        <v>74</v>
      </c>
      <c r="AF537" s="2" t="s">
        <v>74</v>
      </c>
      <c r="AG537" s="2" t="s">
        <v>74</v>
      </c>
      <c r="AH537" s="2" t="s">
        <v>74</v>
      </c>
      <c r="AI537" s="2" t="s">
        <v>74</v>
      </c>
      <c r="AJ537" s="2" t="s">
        <v>74</v>
      </c>
      <c r="AK537" s="2" t="s">
        <v>74</v>
      </c>
      <c r="AL537" s="2" t="s">
        <v>74</v>
      </c>
      <c r="AM537" s="2" t="s">
        <v>74</v>
      </c>
      <c r="AN537" s="2" t="s">
        <v>74</v>
      </c>
      <c r="AO537" s="2" t="s">
        <v>2279</v>
      </c>
      <c r="AP537" s="2" t="s">
        <v>2280</v>
      </c>
      <c r="AQ537" s="2" t="s">
        <v>74</v>
      </c>
      <c r="AR537" s="2" t="s">
        <v>74</v>
      </c>
      <c r="AS537" s="2" t="s">
        <v>74</v>
      </c>
      <c r="AT537" s="2" t="s">
        <v>2281</v>
      </c>
      <c r="AU537" s="2">
        <v>2019</v>
      </c>
      <c r="AV537" s="2" t="s">
        <v>74</v>
      </c>
      <c r="AW537" s="2" t="s">
        <v>74</v>
      </c>
      <c r="AX537" s="2" t="s">
        <v>74</v>
      </c>
      <c r="AY537" s="2" t="s">
        <v>74</v>
      </c>
      <c r="AZ537" s="2" t="s">
        <v>74</v>
      </c>
      <c r="BA537" s="2" t="s">
        <v>74</v>
      </c>
      <c r="BB537" s="2" t="s">
        <v>74</v>
      </c>
      <c r="BC537" s="2" t="s">
        <v>74</v>
      </c>
      <c r="BD537" s="2" t="s">
        <v>74</v>
      </c>
      <c r="BE537" s="2" t="s">
        <v>2282</v>
      </c>
      <c r="BF537" s="2" t="str">
        <f>HYPERLINK("http://dx.doi.org/10.1080/14772000.2019.1687603","http://dx.doi.org/10.1080/14772000.2019.1687603")</f>
        <v>http://dx.doi.org/10.1080/14772000.2019.1687603</v>
      </c>
      <c r="BG537" s="2" t="s">
        <v>74</v>
      </c>
      <c r="BH537" s="2" t="s">
        <v>2283</v>
      </c>
      <c r="BI537" s="2" t="s">
        <v>74</v>
      </c>
      <c r="BJ537" s="2" t="s">
        <v>74</v>
      </c>
      <c r="BK537" s="2" t="s">
        <v>74</v>
      </c>
      <c r="BL537" s="2" t="s">
        <v>74</v>
      </c>
      <c r="BM537" s="2" t="s">
        <v>74</v>
      </c>
      <c r="BN537" s="2" t="s">
        <v>74</v>
      </c>
      <c r="BO537" s="2" t="s">
        <v>74</v>
      </c>
      <c r="BP537" s="2" t="s">
        <v>74</v>
      </c>
      <c r="BQ537" s="2" t="s">
        <v>74</v>
      </c>
      <c r="BR537" s="2" t="s">
        <v>74</v>
      </c>
      <c r="BS537" s="2" t="s">
        <v>2284</v>
      </c>
      <c r="BT537" s="2" t="str">
        <f>HYPERLINK("https%3A%2F%2Fwww.webofscience.com%2Fwos%2Fwoscc%2Ffull-record%2FWOS:000499312800001","View Full Record in Web of Science")</f>
        <v>View Full Record in Web of Science</v>
      </c>
    </row>
    <row r="538" spans="1:72" s="2" customFormat="1" x14ac:dyDescent="0.4">
      <c r="A538" s="2" t="s">
        <v>72</v>
      </c>
      <c r="B538" s="2" t="s">
        <v>3966</v>
      </c>
      <c r="C538" s="2" t="s">
        <v>74</v>
      </c>
      <c r="D538" s="2" t="s">
        <v>74</v>
      </c>
      <c r="E538" s="2" t="s">
        <v>74</v>
      </c>
      <c r="F538" s="2" t="s">
        <v>3966</v>
      </c>
      <c r="G538" s="2" t="s">
        <v>74</v>
      </c>
      <c r="H538" s="2" t="s">
        <v>74</v>
      </c>
      <c r="I538" s="2" t="s">
        <v>3967</v>
      </c>
      <c r="J538" s="2" t="s">
        <v>610</v>
      </c>
      <c r="K538" s="2" t="s">
        <v>74</v>
      </c>
      <c r="L538" s="2" t="s">
        <v>74</v>
      </c>
      <c r="M538" s="2" t="s">
        <v>74</v>
      </c>
      <c r="N538" s="2" t="s">
        <v>74</v>
      </c>
      <c r="O538" s="2" t="s">
        <v>74</v>
      </c>
      <c r="P538" s="2" t="s">
        <v>74</v>
      </c>
      <c r="Q538" s="2" t="s">
        <v>74</v>
      </c>
      <c r="R538" s="2" t="s">
        <v>74</v>
      </c>
      <c r="S538" s="2" t="s">
        <v>74</v>
      </c>
      <c r="T538" s="2" t="s">
        <v>74</v>
      </c>
      <c r="U538" s="2" t="s">
        <v>74</v>
      </c>
      <c r="V538" s="5" t="s">
        <v>3968</v>
      </c>
      <c r="W538" s="2" t="s">
        <v>74</v>
      </c>
      <c r="X538" s="2" t="s">
        <v>74</v>
      </c>
      <c r="Y538" s="2" t="s">
        <v>74</v>
      </c>
      <c r="Z538" s="2" t="s">
        <v>74</v>
      </c>
      <c r="AA538" s="2" t="s">
        <v>74</v>
      </c>
      <c r="AB538" s="2" t="s">
        <v>74</v>
      </c>
      <c r="AC538" s="2" t="s">
        <v>74</v>
      </c>
      <c r="AD538" s="2" t="s">
        <v>74</v>
      </c>
      <c r="AE538" s="2" t="s">
        <v>74</v>
      </c>
      <c r="AF538" s="2" t="s">
        <v>74</v>
      </c>
      <c r="AG538" s="2" t="s">
        <v>74</v>
      </c>
      <c r="AH538" s="2" t="s">
        <v>74</v>
      </c>
      <c r="AI538" s="2" t="s">
        <v>74</v>
      </c>
      <c r="AJ538" s="2" t="s">
        <v>74</v>
      </c>
      <c r="AK538" s="2" t="s">
        <v>74</v>
      </c>
      <c r="AL538" s="2" t="s">
        <v>74</v>
      </c>
      <c r="AM538" s="2" t="s">
        <v>74</v>
      </c>
      <c r="AN538" s="2" t="s">
        <v>74</v>
      </c>
      <c r="AO538" s="2" t="s">
        <v>614</v>
      </c>
      <c r="AP538" s="2" t="s">
        <v>74</v>
      </c>
      <c r="AQ538" s="2" t="s">
        <v>74</v>
      </c>
      <c r="AR538" s="2" t="s">
        <v>74</v>
      </c>
      <c r="AS538" s="2" t="s">
        <v>74</v>
      </c>
      <c r="AT538" s="2" t="s">
        <v>964</v>
      </c>
      <c r="AU538" s="2">
        <v>1994</v>
      </c>
      <c r="AV538" s="2">
        <v>96</v>
      </c>
      <c r="AW538" s="2">
        <v>2</v>
      </c>
      <c r="AX538" s="2" t="s">
        <v>74</v>
      </c>
      <c r="AY538" s="2" t="s">
        <v>74</v>
      </c>
      <c r="AZ538" s="2" t="s">
        <v>74</v>
      </c>
      <c r="BA538" s="2" t="s">
        <v>74</v>
      </c>
      <c r="BB538" s="2">
        <v>147</v>
      </c>
      <c r="BC538" s="2">
        <v>154</v>
      </c>
      <c r="BD538" s="2" t="s">
        <v>74</v>
      </c>
      <c r="BE538" s="2" t="s">
        <v>74</v>
      </c>
      <c r="BF538" s="2" t="s">
        <v>74</v>
      </c>
      <c r="BG538" s="2" t="s">
        <v>74</v>
      </c>
      <c r="BH538" s="2" t="s">
        <v>74</v>
      </c>
      <c r="BI538" s="2" t="s">
        <v>74</v>
      </c>
      <c r="BJ538" s="2" t="s">
        <v>74</v>
      </c>
      <c r="BK538" s="2" t="s">
        <v>74</v>
      </c>
      <c r="BL538" s="2" t="s">
        <v>74</v>
      </c>
      <c r="BM538" s="2" t="s">
        <v>74</v>
      </c>
      <c r="BN538" s="2" t="s">
        <v>74</v>
      </c>
      <c r="BO538" s="2" t="s">
        <v>74</v>
      </c>
      <c r="BP538" s="2" t="s">
        <v>74</v>
      </c>
      <c r="BQ538" s="2" t="s">
        <v>74</v>
      </c>
      <c r="BR538" s="2" t="s">
        <v>74</v>
      </c>
      <c r="BS538" s="2" t="s">
        <v>3969</v>
      </c>
      <c r="BT538" s="2" t="str">
        <f>HYPERLINK("https%3A%2F%2Fwww.webofscience.com%2Fwos%2Fwoscc%2Ffull-record%2FWOS:A1994NJ52600006","View Full Record in Web of Science")</f>
        <v>View Full Record in Web of Science</v>
      </c>
    </row>
    <row r="539" spans="1:72" s="2" customFormat="1" x14ac:dyDescent="0.4">
      <c r="A539" s="2" t="s">
        <v>72</v>
      </c>
      <c r="B539" s="2" t="s">
        <v>6224</v>
      </c>
      <c r="C539" s="2" t="s">
        <v>74</v>
      </c>
      <c r="D539" s="2" t="s">
        <v>74</v>
      </c>
      <c r="E539" s="2" t="s">
        <v>74</v>
      </c>
      <c r="F539" s="2" t="s">
        <v>6224</v>
      </c>
      <c r="G539" s="2" t="s">
        <v>74</v>
      </c>
      <c r="H539" s="2" t="s">
        <v>74</v>
      </c>
      <c r="I539" s="2" t="s">
        <v>6225</v>
      </c>
      <c r="J539" s="2" t="s">
        <v>6226</v>
      </c>
      <c r="K539" s="2" t="s">
        <v>74</v>
      </c>
      <c r="L539" s="2" t="s">
        <v>74</v>
      </c>
      <c r="M539" s="2" t="s">
        <v>74</v>
      </c>
      <c r="N539" s="2" t="s">
        <v>74</v>
      </c>
      <c r="O539" s="2" t="s">
        <v>74</v>
      </c>
      <c r="P539" s="2" t="s">
        <v>74</v>
      </c>
      <c r="Q539" s="2" t="s">
        <v>74</v>
      </c>
      <c r="R539" s="2" t="s">
        <v>74</v>
      </c>
      <c r="S539" s="2" t="s">
        <v>74</v>
      </c>
      <c r="T539" s="2" t="s">
        <v>74</v>
      </c>
      <c r="U539" s="2" t="s">
        <v>74</v>
      </c>
      <c r="V539" s="5" t="s">
        <v>6227</v>
      </c>
      <c r="W539" s="2" t="s">
        <v>74</v>
      </c>
      <c r="X539" s="2" t="s">
        <v>74</v>
      </c>
      <c r="Y539" s="2" t="s">
        <v>74</v>
      </c>
      <c r="Z539" s="2" t="s">
        <v>74</v>
      </c>
      <c r="AA539" s="2" t="s">
        <v>74</v>
      </c>
      <c r="AB539" s="2" t="s">
        <v>74</v>
      </c>
      <c r="AC539" s="2" t="s">
        <v>74</v>
      </c>
      <c r="AD539" s="2" t="s">
        <v>74</v>
      </c>
      <c r="AE539" s="2" t="s">
        <v>74</v>
      </c>
      <c r="AF539" s="2" t="s">
        <v>74</v>
      </c>
      <c r="AG539" s="2" t="s">
        <v>74</v>
      </c>
      <c r="AH539" s="2" t="s">
        <v>74</v>
      </c>
      <c r="AI539" s="2" t="s">
        <v>74</v>
      </c>
      <c r="AJ539" s="2" t="s">
        <v>74</v>
      </c>
      <c r="AK539" s="2" t="s">
        <v>74</v>
      </c>
      <c r="AL539" s="2" t="s">
        <v>74</v>
      </c>
      <c r="AM539" s="2" t="s">
        <v>74</v>
      </c>
      <c r="AN539" s="2" t="s">
        <v>74</v>
      </c>
      <c r="AO539" s="2" t="s">
        <v>6228</v>
      </c>
      <c r="AP539" s="2" t="s">
        <v>6229</v>
      </c>
      <c r="AQ539" s="2" t="s">
        <v>74</v>
      </c>
      <c r="AR539" s="2" t="s">
        <v>74</v>
      </c>
      <c r="AS539" s="2" t="s">
        <v>74</v>
      </c>
      <c r="AT539" s="2" t="s">
        <v>633</v>
      </c>
      <c r="AU539" s="2">
        <v>2005</v>
      </c>
      <c r="AV539" s="2">
        <v>44</v>
      </c>
      <c r="AW539" s="2">
        <v>2</v>
      </c>
      <c r="AX539" s="2" t="s">
        <v>74</v>
      </c>
      <c r="AY539" s="2" t="s">
        <v>74</v>
      </c>
      <c r="AZ539" s="2" t="s">
        <v>74</v>
      </c>
      <c r="BA539" s="2" t="s">
        <v>74</v>
      </c>
      <c r="BB539" s="2">
        <v>200</v>
      </c>
      <c r="BC539" s="2">
        <v>209</v>
      </c>
      <c r="BD539" s="2" t="s">
        <v>74</v>
      </c>
      <c r="BE539" s="2" t="s">
        <v>74</v>
      </c>
      <c r="BF539" s="2" t="s">
        <v>74</v>
      </c>
      <c r="BG539" s="2" t="s">
        <v>74</v>
      </c>
      <c r="BH539" s="2" t="s">
        <v>74</v>
      </c>
      <c r="BI539" s="2" t="s">
        <v>74</v>
      </c>
      <c r="BJ539" s="2" t="s">
        <v>74</v>
      </c>
      <c r="BK539" s="2" t="s">
        <v>74</v>
      </c>
      <c r="BL539" s="2" t="s">
        <v>74</v>
      </c>
      <c r="BM539" s="2" t="s">
        <v>74</v>
      </c>
      <c r="BN539" s="2" t="s">
        <v>74</v>
      </c>
      <c r="BO539" s="2" t="s">
        <v>74</v>
      </c>
      <c r="BP539" s="2" t="s">
        <v>74</v>
      </c>
      <c r="BQ539" s="2" t="s">
        <v>74</v>
      </c>
      <c r="BR539" s="2" t="s">
        <v>74</v>
      </c>
      <c r="BS539" s="2" t="s">
        <v>6230</v>
      </c>
      <c r="BT539" s="2" t="str">
        <f>HYPERLINK("https%3A%2F%2Fwww.webofscience.com%2Fwos%2Fwoscc%2Ffull-record%2FWOS:000229810000003","View Full Record in Web of Science")</f>
        <v>View Full Record in Web of Science</v>
      </c>
    </row>
    <row r="540" spans="1:72" s="2" customFormat="1" x14ac:dyDescent="0.4">
      <c r="A540" s="2" t="s">
        <v>72</v>
      </c>
      <c r="B540" s="2" t="s">
        <v>5843</v>
      </c>
      <c r="C540" s="2" t="s">
        <v>74</v>
      </c>
      <c r="D540" s="2" t="s">
        <v>74</v>
      </c>
      <c r="E540" s="2" t="s">
        <v>74</v>
      </c>
      <c r="F540" s="2" t="s">
        <v>5844</v>
      </c>
      <c r="G540" s="2" t="s">
        <v>74</v>
      </c>
      <c r="H540" s="2" t="s">
        <v>74</v>
      </c>
      <c r="I540" s="2" t="s">
        <v>5845</v>
      </c>
      <c r="J540" s="2" t="s">
        <v>814</v>
      </c>
      <c r="K540" s="2" t="s">
        <v>74</v>
      </c>
      <c r="L540" s="2" t="s">
        <v>74</v>
      </c>
      <c r="M540" s="2" t="s">
        <v>74</v>
      </c>
      <c r="N540" s="2" t="s">
        <v>74</v>
      </c>
      <c r="O540" s="2" t="s">
        <v>74</v>
      </c>
      <c r="P540" s="2" t="s">
        <v>74</v>
      </c>
      <c r="Q540" s="2" t="s">
        <v>74</v>
      </c>
      <c r="R540" s="2" t="s">
        <v>74</v>
      </c>
      <c r="S540" s="2" t="s">
        <v>74</v>
      </c>
      <c r="T540" s="2" t="s">
        <v>74</v>
      </c>
      <c r="U540" s="2" t="s">
        <v>74</v>
      </c>
      <c r="V540" s="5" t="s">
        <v>5846</v>
      </c>
      <c r="W540" s="2" t="s">
        <v>74</v>
      </c>
      <c r="X540" s="2" t="s">
        <v>74</v>
      </c>
      <c r="Y540" s="2" t="s">
        <v>74</v>
      </c>
      <c r="Z540" s="2" t="s">
        <v>74</v>
      </c>
      <c r="AA540" s="2" t="s">
        <v>74</v>
      </c>
      <c r="AB540" s="2" t="s">
        <v>74</v>
      </c>
      <c r="AC540" s="2" t="s">
        <v>74</v>
      </c>
      <c r="AD540" s="2" t="s">
        <v>74</v>
      </c>
      <c r="AE540" s="2" t="s">
        <v>74</v>
      </c>
      <c r="AF540" s="2" t="s">
        <v>74</v>
      </c>
      <c r="AG540" s="2" t="s">
        <v>74</v>
      </c>
      <c r="AH540" s="2" t="s">
        <v>74</v>
      </c>
      <c r="AI540" s="2" t="s">
        <v>74</v>
      </c>
      <c r="AJ540" s="2" t="s">
        <v>74</v>
      </c>
      <c r="AK540" s="2" t="s">
        <v>74</v>
      </c>
      <c r="AL540" s="2" t="s">
        <v>74</v>
      </c>
      <c r="AM540" s="2" t="s">
        <v>74</v>
      </c>
      <c r="AN540" s="2" t="s">
        <v>74</v>
      </c>
      <c r="AO540" s="2" t="s">
        <v>818</v>
      </c>
      <c r="AP540" s="2" t="s">
        <v>1505</v>
      </c>
      <c r="AQ540" s="2" t="s">
        <v>74</v>
      </c>
      <c r="AR540" s="2" t="s">
        <v>74</v>
      </c>
      <c r="AS540" s="2" t="s">
        <v>74</v>
      </c>
      <c r="AT540" s="2" t="s">
        <v>964</v>
      </c>
      <c r="AU540" s="2">
        <v>2021</v>
      </c>
      <c r="AV540" s="2">
        <v>144</v>
      </c>
      <c r="AW540" s="2" t="s">
        <v>74</v>
      </c>
      <c r="AX540" s="2" t="s">
        <v>74</v>
      </c>
      <c r="AY540" s="2" t="s">
        <v>74</v>
      </c>
      <c r="AZ540" s="2" t="s">
        <v>74</v>
      </c>
      <c r="BA540" s="2" t="s">
        <v>74</v>
      </c>
      <c r="BB540" s="2" t="s">
        <v>74</v>
      </c>
      <c r="BC540" s="2" t="s">
        <v>74</v>
      </c>
      <c r="BD540" s="2">
        <v>125874</v>
      </c>
      <c r="BE540" s="2" t="s">
        <v>5847</v>
      </c>
      <c r="BF540" s="2" t="str">
        <f>HYPERLINK("http://dx.doi.org/10.1016/j.zool.2020.125874","http://dx.doi.org/10.1016/j.zool.2020.125874")</f>
        <v>http://dx.doi.org/10.1016/j.zool.2020.125874</v>
      </c>
      <c r="BG540" s="2" t="s">
        <v>74</v>
      </c>
      <c r="BH540" s="2" t="s">
        <v>74</v>
      </c>
      <c r="BI540" s="2" t="s">
        <v>74</v>
      </c>
      <c r="BJ540" s="2" t="s">
        <v>74</v>
      </c>
      <c r="BK540" s="2" t="s">
        <v>74</v>
      </c>
      <c r="BL540" s="2" t="s">
        <v>74</v>
      </c>
      <c r="BM540" s="2" t="s">
        <v>74</v>
      </c>
      <c r="BN540" s="2">
        <v>33279867</v>
      </c>
      <c r="BO540" s="2" t="s">
        <v>74</v>
      </c>
      <c r="BP540" s="2" t="s">
        <v>74</v>
      </c>
      <c r="BQ540" s="2" t="s">
        <v>74</v>
      </c>
      <c r="BR540" s="2" t="s">
        <v>74</v>
      </c>
      <c r="BS540" s="2" t="s">
        <v>5848</v>
      </c>
      <c r="BT540" s="2" t="str">
        <f>HYPERLINK("https%3A%2F%2Fwww.webofscience.com%2Fwos%2Fwoscc%2Ffull-record%2FWOS:000618276500003","View Full Record in Web of Science")</f>
        <v>View Full Record in Web of Science</v>
      </c>
    </row>
    <row r="541" spans="1:72" s="2" customFormat="1" x14ac:dyDescent="0.4">
      <c r="A541" s="2" t="s">
        <v>72</v>
      </c>
      <c r="B541" s="2" t="s">
        <v>2641</v>
      </c>
      <c r="C541" s="2" t="s">
        <v>74</v>
      </c>
      <c r="D541" s="2" t="s">
        <v>74</v>
      </c>
      <c r="E541" s="2" t="s">
        <v>74</v>
      </c>
      <c r="F541" s="2" t="s">
        <v>2642</v>
      </c>
      <c r="G541" s="2" t="s">
        <v>74</v>
      </c>
      <c r="H541" s="2" t="s">
        <v>74</v>
      </c>
      <c r="I541" s="2" t="s">
        <v>2643</v>
      </c>
      <c r="J541" s="2" t="s">
        <v>192</v>
      </c>
      <c r="K541" s="2" t="s">
        <v>74</v>
      </c>
      <c r="L541" s="2" t="s">
        <v>74</v>
      </c>
      <c r="M541" s="2" t="s">
        <v>74</v>
      </c>
      <c r="N541" s="2" t="s">
        <v>74</v>
      </c>
      <c r="O541" s="2" t="s">
        <v>74</v>
      </c>
      <c r="P541" s="2" t="s">
        <v>74</v>
      </c>
      <c r="Q541" s="2" t="s">
        <v>74</v>
      </c>
      <c r="R541" s="2" t="s">
        <v>74</v>
      </c>
      <c r="S541" s="2" t="s">
        <v>74</v>
      </c>
      <c r="T541" s="2" t="s">
        <v>74</v>
      </c>
      <c r="U541" s="2" t="s">
        <v>74</v>
      </c>
      <c r="V541" s="5" t="s">
        <v>2644</v>
      </c>
      <c r="W541" s="2" t="s">
        <v>74</v>
      </c>
      <c r="X541" s="2" t="s">
        <v>74</v>
      </c>
      <c r="Y541" s="2" t="s">
        <v>74</v>
      </c>
      <c r="Z541" s="2" t="s">
        <v>74</v>
      </c>
      <c r="AA541" s="2" t="s">
        <v>2645</v>
      </c>
      <c r="AB541" s="2" t="s">
        <v>74</v>
      </c>
      <c r="AC541" s="2" t="s">
        <v>74</v>
      </c>
      <c r="AD541" s="2" t="s">
        <v>74</v>
      </c>
      <c r="AE541" s="2" t="s">
        <v>74</v>
      </c>
      <c r="AF541" s="2" t="s">
        <v>74</v>
      </c>
      <c r="AG541" s="2" t="s">
        <v>74</v>
      </c>
      <c r="AH541" s="2" t="s">
        <v>74</v>
      </c>
      <c r="AI541" s="2" t="s">
        <v>74</v>
      </c>
      <c r="AJ541" s="2" t="s">
        <v>74</v>
      </c>
      <c r="AK541" s="2" t="s">
        <v>74</v>
      </c>
      <c r="AL541" s="2" t="s">
        <v>74</v>
      </c>
      <c r="AM541" s="2" t="s">
        <v>74</v>
      </c>
      <c r="AN541" s="2" t="s">
        <v>74</v>
      </c>
      <c r="AO541" s="2" t="s">
        <v>195</v>
      </c>
      <c r="AP541" s="2" t="s">
        <v>196</v>
      </c>
      <c r="AQ541" s="2" t="s">
        <v>74</v>
      </c>
      <c r="AR541" s="2" t="s">
        <v>74</v>
      </c>
      <c r="AS541" s="2" t="s">
        <v>74</v>
      </c>
      <c r="AT541" s="2" t="s">
        <v>964</v>
      </c>
      <c r="AU541" s="2">
        <v>2008</v>
      </c>
      <c r="AV541" s="2">
        <v>598</v>
      </c>
      <c r="AW541" s="2" t="s">
        <v>74</v>
      </c>
      <c r="AX541" s="2" t="s">
        <v>74</v>
      </c>
      <c r="AY541" s="2" t="s">
        <v>74</v>
      </c>
      <c r="AZ541" s="2" t="s">
        <v>74</v>
      </c>
      <c r="BA541" s="2" t="s">
        <v>74</v>
      </c>
      <c r="BB541" s="2">
        <v>361</v>
      </c>
      <c r="BC541" s="2">
        <v>371</v>
      </c>
      <c r="BD541" s="2" t="s">
        <v>74</v>
      </c>
      <c r="BE541" s="2" t="s">
        <v>2646</v>
      </c>
      <c r="BF541" s="2" t="str">
        <f>HYPERLINK("http://dx.doi.org/10.1007/s10750-007-9169-z","http://dx.doi.org/10.1007/s10750-007-9169-z")</f>
        <v>http://dx.doi.org/10.1007/s10750-007-9169-z</v>
      </c>
      <c r="BG541" s="2" t="s">
        <v>74</v>
      </c>
      <c r="BH541" s="2" t="s">
        <v>74</v>
      </c>
      <c r="BI541" s="2" t="s">
        <v>74</v>
      </c>
      <c r="BJ541" s="2" t="s">
        <v>74</v>
      </c>
      <c r="BK541" s="2" t="s">
        <v>74</v>
      </c>
      <c r="BL541" s="2" t="s">
        <v>74</v>
      </c>
      <c r="BM541" s="2" t="s">
        <v>74</v>
      </c>
      <c r="BN541" s="2" t="s">
        <v>74</v>
      </c>
      <c r="BO541" s="2" t="s">
        <v>74</v>
      </c>
      <c r="BP541" s="2" t="s">
        <v>74</v>
      </c>
      <c r="BQ541" s="2" t="s">
        <v>74</v>
      </c>
      <c r="BR541" s="2" t="s">
        <v>74</v>
      </c>
      <c r="BS541" s="2" t="s">
        <v>2647</v>
      </c>
      <c r="BT541" s="2" t="str">
        <f>HYPERLINK("https%3A%2F%2Fwww.webofscience.com%2Fwos%2Fwoscc%2Ffull-record%2FWOS:000251874300028","View Full Record in Web of Science")</f>
        <v>View Full Record in Web of Science</v>
      </c>
    </row>
    <row r="542" spans="1:72" s="1" customFormat="1" x14ac:dyDescent="0.4">
      <c r="A542" s="2" t="s">
        <v>72</v>
      </c>
      <c r="B542" s="2" t="s">
        <v>2334</v>
      </c>
      <c r="C542" s="2" t="s">
        <v>74</v>
      </c>
      <c r="D542" s="2" t="s">
        <v>74</v>
      </c>
      <c r="E542" s="2" t="s">
        <v>74</v>
      </c>
      <c r="F542" s="2" t="s">
        <v>2335</v>
      </c>
      <c r="G542" s="2" t="s">
        <v>74</v>
      </c>
      <c r="H542" s="2" t="s">
        <v>74</v>
      </c>
      <c r="I542" s="2" t="s">
        <v>2336</v>
      </c>
      <c r="J542" s="2" t="s">
        <v>545</v>
      </c>
      <c r="K542" s="2" t="s">
        <v>74</v>
      </c>
      <c r="L542" s="2" t="s">
        <v>74</v>
      </c>
      <c r="M542" s="2" t="s">
        <v>74</v>
      </c>
      <c r="N542" s="2" t="s">
        <v>74</v>
      </c>
      <c r="O542" s="2" t="s">
        <v>74</v>
      </c>
      <c r="P542" s="2" t="s">
        <v>74</v>
      </c>
      <c r="Q542" s="2" t="s">
        <v>74</v>
      </c>
      <c r="R542" s="2" t="s">
        <v>74</v>
      </c>
      <c r="S542" s="2" t="s">
        <v>74</v>
      </c>
      <c r="T542" s="2" t="s">
        <v>74</v>
      </c>
      <c r="U542" s="2" t="s">
        <v>74</v>
      </c>
      <c r="V542" s="5" t="s">
        <v>2337</v>
      </c>
      <c r="W542" s="2" t="s">
        <v>74</v>
      </c>
      <c r="X542" s="2" t="s">
        <v>74</v>
      </c>
      <c r="Y542" s="2" t="s">
        <v>74</v>
      </c>
      <c r="Z542" s="2" t="s">
        <v>74</v>
      </c>
      <c r="AA542" s="2" t="s">
        <v>2338</v>
      </c>
      <c r="AB542" s="2" t="s">
        <v>2339</v>
      </c>
      <c r="AC542" s="2" t="s">
        <v>74</v>
      </c>
      <c r="AD542" s="2" t="s">
        <v>74</v>
      </c>
      <c r="AE542" s="2" t="s">
        <v>74</v>
      </c>
      <c r="AF542" s="2" t="s">
        <v>74</v>
      </c>
      <c r="AG542" s="2" t="s">
        <v>74</v>
      </c>
      <c r="AH542" s="2" t="s">
        <v>74</v>
      </c>
      <c r="AI542" s="2" t="s">
        <v>74</v>
      </c>
      <c r="AJ542" s="2" t="s">
        <v>74</v>
      </c>
      <c r="AK542" s="2" t="s">
        <v>74</v>
      </c>
      <c r="AL542" s="2" t="s">
        <v>74</v>
      </c>
      <c r="AM542" s="2" t="s">
        <v>74</v>
      </c>
      <c r="AN542" s="2" t="s">
        <v>74</v>
      </c>
      <c r="AO542" s="2" t="s">
        <v>547</v>
      </c>
      <c r="AP542" s="2" t="s">
        <v>74</v>
      </c>
      <c r="AQ542" s="2" t="s">
        <v>74</v>
      </c>
      <c r="AR542" s="2" t="s">
        <v>74</v>
      </c>
      <c r="AS542" s="2" t="s">
        <v>74</v>
      </c>
      <c r="AT542" s="2" t="s">
        <v>74</v>
      </c>
      <c r="AU542" s="2">
        <v>2013</v>
      </c>
      <c r="AV542" s="2">
        <v>252</v>
      </c>
      <c r="AW542" s="2">
        <v>4</v>
      </c>
      <c r="AX542" s="2" t="s">
        <v>74</v>
      </c>
      <c r="AY542" s="2" t="s">
        <v>74</v>
      </c>
      <c r="AZ542" s="2" t="s">
        <v>74</v>
      </c>
      <c r="BA542" s="2" t="s">
        <v>74</v>
      </c>
      <c r="BB542" s="2">
        <v>511</v>
      </c>
      <c r="BC542" s="2">
        <v>521</v>
      </c>
      <c r="BD542" s="2" t="s">
        <v>74</v>
      </c>
      <c r="BE542" s="2" t="s">
        <v>2340</v>
      </c>
      <c r="BF542" s="2" t="str">
        <f>HYPERLINK("http://dx.doi.org/10.1016/j.jcz.2012.12.001","http://dx.doi.org/10.1016/j.jcz.2012.12.001")</f>
        <v>http://dx.doi.org/10.1016/j.jcz.2012.12.001</v>
      </c>
      <c r="BG542" s="2" t="s">
        <v>74</v>
      </c>
      <c r="BH542" s="2" t="s">
        <v>74</v>
      </c>
      <c r="BI542" s="2" t="s">
        <v>74</v>
      </c>
      <c r="BJ542" s="2" t="s">
        <v>74</v>
      </c>
      <c r="BK542" s="2" t="s">
        <v>74</v>
      </c>
      <c r="BL542" s="2" t="s">
        <v>74</v>
      </c>
      <c r="BM542" s="2" t="s">
        <v>74</v>
      </c>
      <c r="BN542" s="2" t="s">
        <v>74</v>
      </c>
      <c r="BO542" s="2" t="s">
        <v>74</v>
      </c>
      <c r="BP542" s="2" t="s">
        <v>74</v>
      </c>
      <c r="BQ542" s="2" t="s">
        <v>74</v>
      </c>
      <c r="BR542" s="2" t="s">
        <v>74</v>
      </c>
      <c r="BS542" s="2" t="s">
        <v>2341</v>
      </c>
      <c r="BT542" s="2" t="str">
        <f>HYPERLINK("https%3A%2F%2Fwww.webofscience.com%2Fwos%2Fwoscc%2Ffull-record%2FWOS:000322803400009","View Full Record in Web of Science")</f>
        <v>View Full Record in Web of Science</v>
      </c>
    </row>
    <row r="543" spans="1:72" s="7" customFormat="1" x14ac:dyDescent="0.4">
      <c r="A543" s="2" t="s">
        <v>72</v>
      </c>
      <c r="B543" s="2" t="s">
        <v>1110</v>
      </c>
      <c r="C543" s="2" t="s">
        <v>74</v>
      </c>
      <c r="D543" s="2" t="s">
        <v>74</v>
      </c>
      <c r="E543" s="2" t="s">
        <v>74</v>
      </c>
      <c r="F543" s="2" t="s">
        <v>1110</v>
      </c>
      <c r="G543" s="2" t="s">
        <v>74</v>
      </c>
      <c r="H543" s="2" t="s">
        <v>74</v>
      </c>
      <c r="I543" s="2" t="s">
        <v>1111</v>
      </c>
      <c r="J543" s="2" t="s">
        <v>1112</v>
      </c>
      <c r="K543" s="2" t="s">
        <v>74</v>
      </c>
      <c r="L543" s="2" t="s">
        <v>74</v>
      </c>
      <c r="M543" s="2" t="s">
        <v>74</v>
      </c>
      <c r="N543" s="2" t="s">
        <v>74</v>
      </c>
      <c r="O543" s="2" t="s">
        <v>74</v>
      </c>
      <c r="P543" s="2" t="s">
        <v>74</v>
      </c>
      <c r="Q543" s="2" t="s">
        <v>74</v>
      </c>
      <c r="R543" s="2" t="s">
        <v>74</v>
      </c>
      <c r="S543" s="2" t="s">
        <v>74</v>
      </c>
      <c r="T543" s="2" t="s">
        <v>74</v>
      </c>
      <c r="U543" s="2" t="s">
        <v>74</v>
      </c>
      <c r="V543" s="5" t="s">
        <v>1113</v>
      </c>
      <c r="W543" s="2" t="s">
        <v>74</v>
      </c>
      <c r="X543" s="2" t="s">
        <v>74</v>
      </c>
      <c r="Y543" s="2" t="s">
        <v>74</v>
      </c>
      <c r="Z543" s="2" t="s">
        <v>74</v>
      </c>
      <c r="AA543" s="2" t="s">
        <v>74</v>
      </c>
      <c r="AB543" s="2" t="s">
        <v>74</v>
      </c>
      <c r="AC543" s="2" t="s">
        <v>74</v>
      </c>
      <c r="AD543" s="2" t="s">
        <v>74</v>
      </c>
      <c r="AE543" s="2" t="s">
        <v>74</v>
      </c>
      <c r="AF543" s="2" t="s">
        <v>74</v>
      </c>
      <c r="AG543" s="2" t="s">
        <v>74</v>
      </c>
      <c r="AH543" s="2" t="s">
        <v>74</v>
      </c>
      <c r="AI543" s="2" t="s">
        <v>74</v>
      </c>
      <c r="AJ543" s="2" t="s">
        <v>74</v>
      </c>
      <c r="AK543" s="2" t="s">
        <v>74</v>
      </c>
      <c r="AL543" s="2" t="s">
        <v>74</v>
      </c>
      <c r="AM543" s="2" t="s">
        <v>74</v>
      </c>
      <c r="AN543" s="2" t="s">
        <v>74</v>
      </c>
      <c r="AO543" s="2" t="s">
        <v>1114</v>
      </c>
      <c r="AP543" s="2" t="s">
        <v>1115</v>
      </c>
      <c r="AQ543" s="2" t="s">
        <v>74</v>
      </c>
      <c r="AR543" s="2" t="s">
        <v>74</v>
      </c>
      <c r="AS543" s="2" t="s">
        <v>74</v>
      </c>
      <c r="AT543" s="2" t="s">
        <v>1116</v>
      </c>
      <c r="AU543" s="2">
        <v>2004</v>
      </c>
      <c r="AV543" s="2">
        <v>86</v>
      </c>
      <c r="AW543" s="2" t="s">
        <v>548</v>
      </c>
      <c r="AX543" s="2" t="s">
        <v>74</v>
      </c>
      <c r="AY543" s="2" t="s">
        <v>74</v>
      </c>
      <c r="AZ543" s="2" t="s">
        <v>74</v>
      </c>
      <c r="BA543" s="2" t="s">
        <v>74</v>
      </c>
      <c r="BB543" s="2">
        <v>63</v>
      </c>
      <c r="BC543" s="2">
        <v>76</v>
      </c>
      <c r="BD543" s="2" t="s">
        <v>74</v>
      </c>
      <c r="BE543" s="2" t="s">
        <v>1117</v>
      </c>
      <c r="BF543" s="2" t="str">
        <f>HYPERLINK("http://dx.doi.org/10.1016/j.applanim.2003.12.003","http://dx.doi.org/10.1016/j.applanim.2003.12.003")</f>
        <v>http://dx.doi.org/10.1016/j.applanim.2003.12.003</v>
      </c>
      <c r="BG543" s="2" t="s">
        <v>74</v>
      </c>
      <c r="BH543" s="2" t="s">
        <v>74</v>
      </c>
      <c r="BI543" s="2" t="s">
        <v>74</v>
      </c>
      <c r="BJ543" s="2" t="s">
        <v>74</v>
      </c>
      <c r="BK543" s="2" t="s">
        <v>74</v>
      </c>
      <c r="BL543" s="2" t="s">
        <v>74</v>
      </c>
      <c r="BM543" s="2" t="s">
        <v>74</v>
      </c>
      <c r="BN543" s="2" t="s">
        <v>74</v>
      </c>
      <c r="BO543" s="2" t="s">
        <v>74</v>
      </c>
      <c r="BP543" s="2" t="s">
        <v>74</v>
      </c>
      <c r="BQ543" s="2" t="s">
        <v>74</v>
      </c>
      <c r="BR543" s="2" t="s">
        <v>74</v>
      </c>
      <c r="BS543" s="2" t="s">
        <v>1118</v>
      </c>
      <c r="BT543" s="2" t="str">
        <f>HYPERLINK("https%3A%2F%2Fwww.webofscience.com%2Fwos%2Fwoscc%2Ffull-record%2FWOS:000220316400006","View Full Record in Web of Science")</f>
        <v>View Full Record in Web of Science</v>
      </c>
    </row>
    <row r="544" spans="1:72" s="2" customFormat="1" x14ac:dyDescent="0.4">
      <c r="A544" s="2" t="s">
        <v>72</v>
      </c>
      <c r="B544" s="2" t="s">
        <v>7720</v>
      </c>
      <c r="C544" s="2" t="s">
        <v>74</v>
      </c>
      <c r="D544" s="2" t="s">
        <v>74</v>
      </c>
      <c r="E544" s="2" t="s">
        <v>74</v>
      </c>
      <c r="F544" s="2" t="s">
        <v>7721</v>
      </c>
      <c r="G544" s="2" t="s">
        <v>74</v>
      </c>
      <c r="H544" s="2" t="s">
        <v>74</v>
      </c>
      <c r="I544" s="2" t="s">
        <v>7722</v>
      </c>
      <c r="J544" s="2" t="s">
        <v>7723</v>
      </c>
      <c r="K544" s="2" t="s">
        <v>74</v>
      </c>
      <c r="L544" s="2" t="s">
        <v>74</v>
      </c>
      <c r="M544" s="2" t="s">
        <v>74</v>
      </c>
      <c r="N544" s="2" t="s">
        <v>74</v>
      </c>
      <c r="O544" s="2" t="s">
        <v>74</v>
      </c>
      <c r="P544" s="2" t="s">
        <v>74</v>
      </c>
      <c r="Q544" s="2" t="s">
        <v>74</v>
      </c>
      <c r="R544" s="2" t="s">
        <v>74</v>
      </c>
      <c r="S544" s="2" t="s">
        <v>74</v>
      </c>
      <c r="T544" s="2" t="s">
        <v>74</v>
      </c>
      <c r="U544" s="2" t="s">
        <v>74</v>
      </c>
      <c r="V544" s="5" t="s">
        <v>7724</v>
      </c>
      <c r="W544" s="2" t="s">
        <v>74</v>
      </c>
      <c r="X544" s="2" t="s">
        <v>74</v>
      </c>
      <c r="Y544" s="2" t="s">
        <v>74</v>
      </c>
      <c r="Z544" s="2" t="s">
        <v>74</v>
      </c>
      <c r="AA544" s="2" t="s">
        <v>74</v>
      </c>
      <c r="AB544" s="2" t="s">
        <v>7725</v>
      </c>
      <c r="AC544" s="2" t="s">
        <v>74</v>
      </c>
      <c r="AD544" s="2" t="s">
        <v>74</v>
      </c>
      <c r="AE544" s="2" t="s">
        <v>74</v>
      </c>
      <c r="AF544" s="2" t="s">
        <v>74</v>
      </c>
      <c r="AG544" s="2" t="s">
        <v>74</v>
      </c>
      <c r="AH544" s="2" t="s">
        <v>74</v>
      </c>
      <c r="AI544" s="2" t="s">
        <v>74</v>
      </c>
      <c r="AJ544" s="2" t="s">
        <v>74</v>
      </c>
      <c r="AK544" s="2" t="s">
        <v>74</v>
      </c>
      <c r="AL544" s="2" t="s">
        <v>74</v>
      </c>
      <c r="AM544" s="2" t="s">
        <v>74</v>
      </c>
      <c r="AN544" s="2" t="s">
        <v>74</v>
      </c>
      <c r="AO544" s="2" t="s">
        <v>7726</v>
      </c>
      <c r="AP544" s="2" t="s">
        <v>7727</v>
      </c>
      <c r="AQ544" s="2" t="s">
        <v>74</v>
      </c>
      <c r="AR544" s="2" t="s">
        <v>74</v>
      </c>
      <c r="AS544" s="2" t="s">
        <v>74</v>
      </c>
      <c r="AT544" s="2" t="s">
        <v>352</v>
      </c>
      <c r="AU544" s="2">
        <v>2014</v>
      </c>
      <c r="AV544" s="2">
        <v>105</v>
      </c>
      <c r="AW544" s="2" t="s">
        <v>74</v>
      </c>
      <c r="AX544" s="2" t="s">
        <v>74</v>
      </c>
      <c r="AY544" s="2">
        <v>1</v>
      </c>
      <c r="AZ544" s="2" t="s">
        <v>848</v>
      </c>
      <c r="BA544" s="2" t="s">
        <v>74</v>
      </c>
      <c r="BB544" s="2">
        <v>821</v>
      </c>
      <c r="BC544" s="2">
        <v>833</v>
      </c>
      <c r="BD544" s="2" t="s">
        <v>74</v>
      </c>
      <c r="BE544" s="2" t="s">
        <v>7728</v>
      </c>
      <c r="BF544" s="2" t="str">
        <f>HYPERLINK("http://dx.doi.org/10.1093/jhered/esu041","http://dx.doi.org/10.1093/jhered/esu041")</f>
        <v>http://dx.doi.org/10.1093/jhered/esu041</v>
      </c>
      <c r="BG544" s="2" t="s">
        <v>74</v>
      </c>
      <c r="BH544" s="2" t="s">
        <v>74</v>
      </c>
      <c r="BI544" s="2" t="s">
        <v>74</v>
      </c>
      <c r="BJ544" s="2" t="s">
        <v>74</v>
      </c>
      <c r="BK544" s="2" t="s">
        <v>74</v>
      </c>
      <c r="BL544" s="2" t="s">
        <v>74</v>
      </c>
      <c r="BM544" s="2" t="s">
        <v>74</v>
      </c>
      <c r="BN544" s="2">
        <v>25149257</v>
      </c>
      <c r="BO544" s="2" t="s">
        <v>74</v>
      </c>
      <c r="BP544" s="2" t="s">
        <v>74</v>
      </c>
      <c r="BQ544" s="2" t="s">
        <v>74</v>
      </c>
      <c r="BR544" s="2" t="s">
        <v>74</v>
      </c>
      <c r="BS544" s="2" t="s">
        <v>7729</v>
      </c>
      <c r="BT544" s="2" t="str">
        <f>HYPERLINK("https%3A%2F%2Fwww.webofscience.com%2Fwos%2Fwoscc%2Ffull-record%2FWOS:000342995100008","View Full Record in Web of Science")</f>
        <v>View Full Record in Web of Science</v>
      </c>
    </row>
    <row r="545" spans="1:72" s="2" customFormat="1" x14ac:dyDescent="0.4">
      <c r="A545" s="2" t="s">
        <v>72</v>
      </c>
      <c r="B545" s="2" t="s">
        <v>6594</v>
      </c>
      <c r="C545" s="2" t="s">
        <v>74</v>
      </c>
      <c r="D545" s="2" t="s">
        <v>74</v>
      </c>
      <c r="E545" s="2" t="s">
        <v>74</v>
      </c>
      <c r="F545" s="2" t="s">
        <v>6594</v>
      </c>
      <c r="G545" s="2" t="s">
        <v>74</v>
      </c>
      <c r="H545" s="2" t="s">
        <v>74</v>
      </c>
      <c r="I545" s="2" t="s">
        <v>6595</v>
      </c>
      <c r="J545" s="2" t="s">
        <v>140</v>
      </c>
      <c r="K545" s="2" t="s">
        <v>74</v>
      </c>
      <c r="L545" s="2" t="s">
        <v>74</v>
      </c>
      <c r="M545" s="2" t="s">
        <v>74</v>
      </c>
      <c r="N545" s="2" t="s">
        <v>74</v>
      </c>
      <c r="O545" s="2" t="s">
        <v>74</v>
      </c>
      <c r="P545" s="2" t="s">
        <v>74</v>
      </c>
      <c r="Q545" s="2" t="s">
        <v>74</v>
      </c>
      <c r="R545" s="2" t="s">
        <v>74</v>
      </c>
      <c r="S545" s="2" t="s">
        <v>74</v>
      </c>
      <c r="T545" s="2" t="s">
        <v>74</v>
      </c>
      <c r="U545" s="2" t="s">
        <v>74</v>
      </c>
      <c r="V545" s="5" t="s">
        <v>6596</v>
      </c>
      <c r="W545" s="2" t="s">
        <v>74</v>
      </c>
      <c r="X545" s="2" t="s">
        <v>74</v>
      </c>
      <c r="Y545" s="2" t="s">
        <v>74</v>
      </c>
      <c r="Z545" s="2" t="s">
        <v>74</v>
      </c>
      <c r="AA545" s="2" t="s">
        <v>6597</v>
      </c>
      <c r="AB545" s="2" t="s">
        <v>74</v>
      </c>
      <c r="AC545" s="2" t="s">
        <v>74</v>
      </c>
      <c r="AD545" s="2" t="s">
        <v>74</v>
      </c>
      <c r="AE545" s="2" t="s">
        <v>74</v>
      </c>
      <c r="AF545" s="2" t="s">
        <v>74</v>
      </c>
      <c r="AG545" s="2" t="s">
        <v>74</v>
      </c>
      <c r="AH545" s="2" t="s">
        <v>74</v>
      </c>
      <c r="AI545" s="2" t="s">
        <v>74</v>
      </c>
      <c r="AJ545" s="2" t="s">
        <v>74</v>
      </c>
      <c r="AK545" s="2" t="s">
        <v>74</v>
      </c>
      <c r="AL545" s="2" t="s">
        <v>74</v>
      </c>
      <c r="AM545" s="2" t="s">
        <v>74</v>
      </c>
      <c r="AN545" s="2" t="s">
        <v>74</v>
      </c>
      <c r="AO545" s="2" t="s">
        <v>143</v>
      </c>
      <c r="AP545" s="2" t="s">
        <v>144</v>
      </c>
      <c r="AQ545" s="2" t="s">
        <v>74</v>
      </c>
      <c r="AR545" s="2" t="s">
        <v>74</v>
      </c>
      <c r="AS545" s="2" t="s">
        <v>74</v>
      </c>
      <c r="AT545" s="2" t="s">
        <v>213</v>
      </c>
      <c r="AU545" s="2">
        <v>1997</v>
      </c>
      <c r="AV545" s="2">
        <v>54</v>
      </c>
      <c r="AW545" s="2" t="s">
        <v>74</v>
      </c>
      <c r="AX545" s="2">
        <v>5</v>
      </c>
      <c r="AY545" s="2" t="s">
        <v>74</v>
      </c>
      <c r="AZ545" s="2" t="s">
        <v>74</v>
      </c>
      <c r="BA545" s="2" t="s">
        <v>74</v>
      </c>
      <c r="BB545" s="2">
        <v>1309</v>
      </c>
      <c r="BC545" s="2">
        <v>1315</v>
      </c>
      <c r="BD545" s="2" t="s">
        <v>74</v>
      </c>
      <c r="BE545" s="2" t="s">
        <v>6598</v>
      </c>
      <c r="BF545" s="2" t="str">
        <f>HYPERLINK("http://dx.doi.org/10.1006/anbe.1997.0531","http://dx.doi.org/10.1006/anbe.1997.0531")</f>
        <v>http://dx.doi.org/10.1006/anbe.1997.0531</v>
      </c>
      <c r="BG545" s="2" t="s">
        <v>74</v>
      </c>
      <c r="BH545" s="2" t="s">
        <v>74</v>
      </c>
      <c r="BI545" s="2" t="s">
        <v>74</v>
      </c>
      <c r="BJ545" s="2" t="s">
        <v>74</v>
      </c>
      <c r="BK545" s="2" t="s">
        <v>74</v>
      </c>
      <c r="BL545" s="2" t="s">
        <v>74</v>
      </c>
      <c r="BM545" s="2" t="s">
        <v>74</v>
      </c>
      <c r="BN545" s="2">
        <v>9398384</v>
      </c>
      <c r="BO545" s="2" t="s">
        <v>74</v>
      </c>
      <c r="BP545" s="2" t="s">
        <v>74</v>
      </c>
      <c r="BQ545" s="2" t="s">
        <v>74</v>
      </c>
      <c r="BR545" s="2" t="s">
        <v>74</v>
      </c>
      <c r="BS545" s="2" t="s">
        <v>6599</v>
      </c>
      <c r="BT545" s="2" t="str">
        <f>HYPERLINK("https%3A%2F%2Fwww.webofscience.com%2Fwos%2Fwoscc%2Ffull-record%2FWOS:A1997YJ17400025","View Full Record in Web of Science")</f>
        <v>View Full Record in Web of Science</v>
      </c>
    </row>
    <row r="546" spans="1:72" s="2" customFormat="1" x14ac:dyDescent="0.4">
      <c r="A546" s="2" t="s">
        <v>72</v>
      </c>
      <c r="B546" s="2" t="s">
        <v>2173</v>
      </c>
      <c r="C546" s="2" t="s">
        <v>74</v>
      </c>
      <c r="D546" s="2" t="s">
        <v>74</v>
      </c>
      <c r="E546" s="2" t="s">
        <v>74</v>
      </c>
      <c r="F546" s="2" t="s">
        <v>2174</v>
      </c>
      <c r="G546" s="2" t="s">
        <v>74</v>
      </c>
      <c r="H546" s="2" t="s">
        <v>74</v>
      </c>
      <c r="I546" s="2" t="s">
        <v>2175</v>
      </c>
      <c r="J546" s="2" t="s">
        <v>420</v>
      </c>
      <c r="K546" s="2" t="s">
        <v>74</v>
      </c>
      <c r="L546" s="2" t="s">
        <v>74</v>
      </c>
      <c r="M546" s="2" t="s">
        <v>74</v>
      </c>
      <c r="N546" s="2" t="s">
        <v>74</v>
      </c>
      <c r="O546" s="2" t="s">
        <v>74</v>
      </c>
      <c r="P546" s="2" t="s">
        <v>74</v>
      </c>
      <c r="Q546" s="2" t="s">
        <v>74</v>
      </c>
      <c r="R546" s="2" t="s">
        <v>74</v>
      </c>
      <c r="S546" s="2" t="s">
        <v>74</v>
      </c>
      <c r="T546" s="2" t="s">
        <v>74</v>
      </c>
      <c r="U546" s="2" t="s">
        <v>74</v>
      </c>
      <c r="V546" s="5" t="s">
        <v>2176</v>
      </c>
      <c r="W546" s="2" t="s">
        <v>74</v>
      </c>
      <c r="X546" s="2" t="s">
        <v>74</v>
      </c>
      <c r="Y546" s="2" t="s">
        <v>74</v>
      </c>
      <c r="Z546" s="2" t="s">
        <v>74</v>
      </c>
      <c r="AA546" s="2" t="s">
        <v>74</v>
      </c>
      <c r="AB546" s="2" t="s">
        <v>322</v>
      </c>
      <c r="AC546" s="2" t="s">
        <v>74</v>
      </c>
      <c r="AD546" s="2" t="s">
        <v>74</v>
      </c>
      <c r="AE546" s="2" t="s">
        <v>74</v>
      </c>
      <c r="AF546" s="2" t="s">
        <v>74</v>
      </c>
      <c r="AG546" s="2" t="s">
        <v>74</v>
      </c>
      <c r="AH546" s="2" t="s">
        <v>74</v>
      </c>
      <c r="AI546" s="2" t="s">
        <v>74</v>
      </c>
      <c r="AJ546" s="2" t="s">
        <v>74</v>
      </c>
      <c r="AK546" s="2" t="s">
        <v>74</v>
      </c>
      <c r="AL546" s="2" t="s">
        <v>74</v>
      </c>
      <c r="AM546" s="2" t="s">
        <v>74</v>
      </c>
      <c r="AN546" s="2" t="s">
        <v>74</v>
      </c>
      <c r="AO546" s="2" t="s">
        <v>424</v>
      </c>
      <c r="AP546" s="2" t="s">
        <v>74</v>
      </c>
      <c r="AQ546" s="2" t="s">
        <v>74</v>
      </c>
      <c r="AR546" s="2" t="s">
        <v>74</v>
      </c>
      <c r="AS546" s="2" t="s">
        <v>74</v>
      </c>
      <c r="AT546" s="2" t="s">
        <v>2177</v>
      </c>
      <c r="AU546" s="2">
        <v>2010</v>
      </c>
      <c r="AV546" s="2">
        <v>10</v>
      </c>
      <c r="AW546" s="2" t="s">
        <v>74</v>
      </c>
      <c r="AX546" s="2" t="s">
        <v>74</v>
      </c>
      <c r="AY546" s="2" t="s">
        <v>74</v>
      </c>
      <c r="AZ546" s="2" t="s">
        <v>74</v>
      </c>
      <c r="BA546" s="2" t="s">
        <v>74</v>
      </c>
      <c r="BB546" s="2" t="s">
        <v>74</v>
      </c>
      <c r="BC546" s="2" t="s">
        <v>74</v>
      </c>
      <c r="BD546" s="2">
        <v>391</v>
      </c>
      <c r="BE546" s="2" t="s">
        <v>2178</v>
      </c>
      <c r="BF546" s="2" t="str">
        <f>HYPERLINK("http://dx.doi.org/10.1186/1471-2148-10-391","http://dx.doi.org/10.1186/1471-2148-10-391")</f>
        <v>http://dx.doi.org/10.1186/1471-2148-10-391</v>
      </c>
      <c r="BG546" s="2" t="s">
        <v>74</v>
      </c>
      <c r="BH546" s="2" t="s">
        <v>74</v>
      </c>
      <c r="BI546" s="2" t="s">
        <v>74</v>
      </c>
      <c r="BJ546" s="2" t="s">
        <v>74</v>
      </c>
      <c r="BK546" s="2" t="s">
        <v>74</v>
      </c>
      <c r="BL546" s="2" t="s">
        <v>74</v>
      </c>
      <c r="BM546" s="2" t="s">
        <v>74</v>
      </c>
      <c r="BN546" s="2">
        <v>21182755</v>
      </c>
      <c r="BO546" s="2" t="s">
        <v>74</v>
      </c>
      <c r="BP546" s="2" t="s">
        <v>74</v>
      </c>
      <c r="BQ546" s="2" t="s">
        <v>74</v>
      </c>
      <c r="BR546" s="2" t="s">
        <v>74</v>
      </c>
      <c r="BS546" s="2" t="s">
        <v>2179</v>
      </c>
      <c r="BT546" s="2" t="str">
        <f>HYPERLINK("https%3A%2F%2Fwww.webofscience.com%2Fwos%2Fwoscc%2Ffull-record%2FWOS:000287579200001","View Full Record in Web of Science")</f>
        <v>View Full Record in Web of Science</v>
      </c>
    </row>
    <row r="547" spans="1:72" s="2" customFormat="1" x14ac:dyDescent="0.4">
      <c r="A547" s="2" t="s">
        <v>72</v>
      </c>
      <c r="B547" s="2" t="s">
        <v>3970</v>
      </c>
      <c r="C547" s="2" t="s">
        <v>74</v>
      </c>
      <c r="D547" s="2" t="s">
        <v>74</v>
      </c>
      <c r="E547" s="2" t="s">
        <v>74</v>
      </c>
      <c r="F547" s="2" t="s">
        <v>3970</v>
      </c>
      <c r="G547" s="2" t="s">
        <v>74</v>
      </c>
      <c r="H547" s="2" t="s">
        <v>74</v>
      </c>
      <c r="I547" s="2" t="s">
        <v>3971</v>
      </c>
      <c r="J547" s="2" t="s">
        <v>1812</v>
      </c>
      <c r="K547" s="2" t="s">
        <v>74</v>
      </c>
      <c r="L547" s="2" t="s">
        <v>74</v>
      </c>
      <c r="M547" s="2" t="s">
        <v>74</v>
      </c>
      <c r="N547" s="2" t="s">
        <v>74</v>
      </c>
      <c r="O547" s="2" t="s">
        <v>74</v>
      </c>
      <c r="P547" s="2" t="s">
        <v>74</v>
      </c>
      <c r="Q547" s="2" t="s">
        <v>74</v>
      </c>
      <c r="R547" s="2" t="s">
        <v>74</v>
      </c>
      <c r="S547" s="2" t="s">
        <v>74</v>
      </c>
      <c r="T547" s="2" t="s">
        <v>74</v>
      </c>
      <c r="U547" s="2" t="s">
        <v>74</v>
      </c>
      <c r="V547" s="5" t="s">
        <v>3972</v>
      </c>
      <c r="W547" s="2" t="s">
        <v>74</v>
      </c>
      <c r="X547" s="2" t="s">
        <v>74</v>
      </c>
      <c r="Y547" s="2" t="s">
        <v>74</v>
      </c>
      <c r="Z547" s="2" t="s">
        <v>74</v>
      </c>
      <c r="AA547" s="2" t="s">
        <v>74</v>
      </c>
      <c r="AB547" s="2" t="s">
        <v>3973</v>
      </c>
      <c r="AC547" s="2" t="s">
        <v>74</v>
      </c>
      <c r="AD547" s="2" t="s">
        <v>74</v>
      </c>
      <c r="AE547" s="2" t="s">
        <v>74</v>
      </c>
      <c r="AF547" s="2" t="s">
        <v>74</v>
      </c>
      <c r="AG547" s="2" t="s">
        <v>74</v>
      </c>
      <c r="AH547" s="2" t="s">
        <v>74</v>
      </c>
      <c r="AI547" s="2" t="s">
        <v>74</v>
      </c>
      <c r="AJ547" s="2" t="s">
        <v>74</v>
      </c>
      <c r="AK547" s="2" t="s">
        <v>74</v>
      </c>
      <c r="AL547" s="2" t="s">
        <v>74</v>
      </c>
      <c r="AM547" s="2" t="s">
        <v>74</v>
      </c>
      <c r="AN547" s="2" t="s">
        <v>74</v>
      </c>
      <c r="AO547" s="2" t="s">
        <v>1814</v>
      </c>
      <c r="AP547" s="2" t="s">
        <v>1815</v>
      </c>
      <c r="AQ547" s="2" t="s">
        <v>74</v>
      </c>
      <c r="AR547" s="2" t="s">
        <v>74</v>
      </c>
      <c r="AS547" s="2" t="s">
        <v>74</v>
      </c>
      <c r="AT547" s="2" t="s">
        <v>123</v>
      </c>
      <c r="AU547" s="2">
        <v>2004</v>
      </c>
      <c r="AV547" s="2">
        <v>38</v>
      </c>
      <c r="AW547" s="2">
        <v>1</v>
      </c>
      <c r="AX547" s="2" t="s">
        <v>74</v>
      </c>
      <c r="AY547" s="2" t="s">
        <v>74</v>
      </c>
      <c r="AZ547" s="2" t="s">
        <v>74</v>
      </c>
      <c r="BA547" s="2" t="s">
        <v>74</v>
      </c>
      <c r="BB547" s="2">
        <v>156</v>
      </c>
      <c r="BC547" s="2">
        <v>160</v>
      </c>
      <c r="BD547" s="2" t="s">
        <v>74</v>
      </c>
      <c r="BE547" s="2" t="s">
        <v>3974</v>
      </c>
      <c r="BF547" s="2" t="str">
        <f>HYPERLINK("http://dx.doi.org/10.1670/138-03N","http://dx.doi.org/10.1670/138-03N")</f>
        <v>http://dx.doi.org/10.1670/138-03N</v>
      </c>
      <c r="BG547" s="2" t="s">
        <v>74</v>
      </c>
      <c r="BH547" s="2" t="s">
        <v>74</v>
      </c>
      <c r="BI547" s="2" t="s">
        <v>74</v>
      </c>
      <c r="BJ547" s="2" t="s">
        <v>74</v>
      </c>
      <c r="BK547" s="2" t="s">
        <v>74</v>
      </c>
      <c r="BL547" s="2" t="s">
        <v>74</v>
      </c>
      <c r="BM547" s="2" t="s">
        <v>74</v>
      </c>
      <c r="BN547" s="2" t="s">
        <v>74</v>
      </c>
      <c r="BO547" s="2" t="s">
        <v>74</v>
      </c>
      <c r="BP547" s="2" t="s">
        <v>74</v>
      </c>
      <c r="BQ547" s="2" t="s">
        <v>74</v>
      </c>
      <c r="BR547" s="2" t="s">
        <v>74</v>
      </c>
      <c r="BS547" s="2" t="s">
        <v>3975</v>
      </c>
      <c r="BT547" s="2" t="str">
        <f>HYPERLINK("https%3A%2F%2Fwww.webofscience.com%2Fwos%2Fwoscc%2Ffull-record%2FWOS:000220546800025","View Full Record in Web of Science")</f>
        <v>View Full Record in Web of Science</v>
      </c>
    </row>
    <row r="548" spans="1:72" s="2" customFormat="1" x14ac:dyDescent="0.4">
      <c r="A548" s="2" t="s">
        <v>72</v>
      </c>
      <c r="B548" s="2" t="s">
        <v>5911</v>
      </c>
      <c r="C548" s="2" t="s">
        <v>74</v>
      </c>
      <c r="D548" s="2" t="s">
        <v>74</v>
      </c>
      <c r="E548" s="2" t="s">
        <v>74</v>
      </c>
      <c r="F548" s="2" t="s">
        <v>5912</v>
      </c>
      <c r="G548" s="2" t="s">
        <v>74</v>
      </c>
      <c r="H548" s="2" t="s">
        <v>74</v>
      </c>
      <c r="I548" s="2" t="s">
        <v>5913</v>
      </c>
      <c r="J548" s="2" t="s">
        <v>1743</v>
      </c>
      <c r="K548" s="2" t="s">
        <v>74</v>
      </c>
      <c r="L548" s="2" t="s">
        <v>74</v>
      </c>
      <c r="M548" s="2" t="s">
        <v>74</v>
      </c>
      <c r="N548" s="2" t="s">
        <v>74</v>
      </c>
      <c r="O548" s="2" t="s">
        <v>74</v>
      </c>
      <c r="P548" s="2" t="s">
        <v>74</v>
      </c>
      <c r="Q548" s="2" t="s">
        <v>74</v>
      </c>
      <c r="R548" s="2" t="s">
        <v>74</v>
      </c>
      <c r="S548" s="2" t="s">
        <v>74</v>
      </c>
      <c r="T548" s="2" t="s">
        <v>74</v>
      </c>
      <c r="U548" s="2" t="s">
        <v>74</v>
      </c>
      <c r="V548" s="5" t="s">
        <v>5914</v>
      </c>
      <c r="W548" s="2" t="s">
        <v>74</v>
      </c>
      <c r="X548" s="2" t="s">
        <v>74</v>
      </c>
      <c r="Y548" s="2" t="s">
        <v>74</v>
      </c>
      <c r="Z548" s="2" t="s">
        <v>74</v>
      </c>
      <c r="AA548" s="2" t="s">
        <v>5915</v>
      </c>
      <c r="AB548" s="2" t="s">
        <v>5916</v>
      </c>
      <c r="AC548" s="2" t="s">
        <v>74</v>
      </c>
      <c r="AD548" s="2" t="s">
        <v>74</v>
      </c>
      <c r="AE548" s="2" t="s">
        <v>74</v>
      </c>
      <c r="AF548" s="2" t="s">
        <v>74</v>
      </c>
      <c r="AG548" s="2" t="s">
        <v>74</v>
      </c>
      <c r="AH548" s="2" t="s">
        <v>74</v>
      </c>
      <c r="AI548" s="2" t="s">
        <v>74</v>
      </c>
      <c r="AJ548" s="2" t="s">
        <v>74</v>
      </c>
      <c r="AK548" s="2" t="s">
        <v>74</v>
      </c>
      <c r="AL548" s="2" t="s">
        <v>74</v>
      </c>
      <c r="AM548" s="2" t="s">
        <v>74</v>
      </c>
      <c r="AN548" s="2" t="s">
        <v>74</v>
      </c>
      <c r="AO548" s="2" t="s">
        <v>1746</v>
      </c>
      <c r="AP548" s="2" t="s">
        <v>74</v>
      </c>
      <c r="AQ548" s="2" t="s">
        <v>74</v>
      </c>
      <c r="AR548" s="2" t="s">
        <v>74</v>
      </c>
      <c r="AS548" s="2" t="s">
        <v>74</v>
      </c>
      <c r="AT548" s="2" t="s">
        <v>633</v>
      </c>
      <c r="AU548" s="2">
        <v>2021</v>
      </c>
      <c r="AV548" s="2">
        <v>38</v>
      </c>
      <c r="AW548" s="2">
        <v>2</v>
      </c>
      <c r="AX548" s="2" t="s">
        <v>74</v>
      </c>
      <c r="AY548" s="2" t="s">
        <v>74</v>
      </c>
      <c r="AZ548" s="2" t="s">
        <v>74</v>
      </c>
      <c r="BA548" s="2" t="s">
        <v>74</v>
      </c>
      <c r="BB548" s="2">
        <v>193</v>
      </c>
      <c r="BC548" s="2">
        <v>202</v>
      </c>
      <c r="BD548" s="2" t="s">
        <v>74</v>
      </c>
      <c r="BE548" s="2" t="s">
        <v>5917</v>
      </c>
      <c r="BF548" s="2" t="str">
        <f>HYPERLINK("http://dx.doi.org/10.2108/zs200112","http://dx.doi.org/10.2108/zs200112")</f>
        <v>http://dx.doi.org/10.2108/zs200112</v>
      </c>
      <c r="BG548" s="2" t="s">
        <v>74</v>
      </c>
      <c r="BH548" s="2" t="s">
        <v>74</v>
      </c>
      <c r="BI548" s="2" t="s">
        <v>74</v>
      </c>
      <c r="BJ548" s="2" t="s">
        <v>74</v>
      </c>
      <c r="BK548" s="2" t="s">
        <v>74</v>
      </c>
      <c r="BL548" s="2" t="s">
        <v>74</v>
      </c>
      <c r="BM548" s="2" t="s">
        <v>74</v>
      </c>
      <c r="BN548" s="2">
        <v>33812359</v>
      </c>
      <c r="BO548" s="2" t="s">
        <v>74</v>
      </c>
      <c r="BP548" s="2" t="s">
        <v>74</v>
      </c>
      <c r="BQ548" s="2" t="s">
        <v>74</v>
      </c>
      <c r="BR548" s="2" t="s">
        <v>74</v>
      </c>
      <c r="BS548" s="2" t="s">
        <v>5918</v>
      </c>
      <c r="BT548" s="2" t="str">
        <f>HYPERLINK("https%3A%2F%2Fwww.webofscience.com%2Fwos%2Fwoscc%2Ffull-record%2FWOS:000635436200010","View Full Record in Web of Science")</f>
        <v>View Full Record in Web of Science</v>
      </c>
    </row>
    <row r="549" spans="1:72" s="2" customFormat="1" x14ac:dyDescent="0.4">
      <c r="A549" s="2" t="s">
        <v>72</v>
      </c>
      <c r="B549" s="2" t="s">
        <v>6906</v>
      </c>
      <c r="C549" s="2" t="s">
        <v>74</v>
      </c>
      <c r="D549" s="2" t="s">
        <v>74</v>
      </c>
      <c r="E549" s="2" t="s">
        <v>74</v>
      </c>
      <c r="F549" s="2" t="s">
        <v>6907</v>
      </c>
      <c r="G549" s="2" t="s">
        <v>74</v>
      </c>
      <c r="H549" s="2" t="s">
        <v>74</v>
      </c>
      <c r="I549" s="2" t="s">
        <v>6908</v>
      </c>
      <c r="J549" s="2" t="s">
        <v>171</v>
      </c>
      <c r="K549" s="2" t="s">
        <v>74</v>
      </c>
      <c r="L549" s="2" t="s">
        <v>74</v>
      </c>
      <c r="M549" s="2" t="s">
        <v>74</v>
      </c>
      <c r="N549" s="2" t="s">
        <v>74</v>
      </c>
      <c r="O549" s="2" t="s">
        <v>74</v>
      </c>
      <c r="P549" s="2" t="s">
        <v>74</v>
      </c>
      <c r="Q549" s="2" t="s">
        <v>74</v>
      </c>
      <c r="R549" s="2" t="s">
        <v>74</v>
      </c>
      <c r="S549" s="2" t="s">
        <v>74</v>
      </c>
      <c r="T549" s="2" t="s">
        <v>74</v>
      </c>
      <c r="U549" s="2" t="s">
        <v>74</v>
      </c>
      <c r="V549" s="5" t="s">
        <v>6909</v>
      </c>
      <c r="W549" s="2" t="s">
        <v>74</v>
      </c>
      <c r="X549" s="2" t="s">
        <v>74</v>
      </c>
      <c r="Y549" s="2" t="s">
        <v>74</v>
      </c>
      <c r="Z549" s="2" t="s">
        <v>74</v>
      </c>
      <c r="AA549" s="2" t="s">
        <v>6910</v>
      </c>
      <c r="AB549" s="2" t="s">
        <v>434</v>
      </c>
      <c r="AC549" s="2" t="s">
        <v>74</v>
      </c>
      <c r="AD549" s="2" t="s">
        <v>74</v>
      </c>
      <c r="AE549" s="2" t="s">
        <v>74</v>
      </c>
      <c r="AF549" s="2" t="s">
        <v>74</v>
      </c>
      <c r="AG549" s="2" t="s">
        <v>74</v>
      </c>
      <c r="AH549" s="2" t="s">
        <v>74</v>
      </c>
      <c r="AI549" s="2" t="s">
        <v>74</v>
      </c>
      <c r="AJ549" s="2" t="s">
        <v>74</v>
      </c>
      <c r="AK549" s="2" t="s">
        <v>74</v>
      </c>
      <c r="AL549" s="2" t="s">
        <v>74</v>
      </c>
      <c r="AM549" s="2" t="s">
        <v>74</v>
      </c>
      <c r="AN549" s="2" t="s">
        <v>74</v>
      </c>
      <c r="AO549" s="2" t="s">
        <v>173</v>
      </c>
      <c r="AP549" s="2" t="s">
        <v>174</v>
      </c>
      <c r="AQ549" s="2" t="s">
        <v>74</v>
      </c>
      <c r="AR549" s="2" t="s">
        <v>74</v>
      </c>
      <c r="AS549" s="2" t="s">
        <v>74</v>
      </c>
      <c r="AT549" s="2" t="s">
        <v>102</v>
      </c>
      <c r="AU549" s="2">
        <v>2010</v>
      </c>
      <c r="AV549" s="2">
        <v>64</v>
      </c>
      <c r="AW549" s="2">
        <v>6</v>
      </c>
      <c r="AX549" s="2" t="s">
        <v>74</v>
      </c>
      <c r="AY549" s="2" t="s">
        <v>74</v>
      </c>
      <c r="AZ549" s="2" t="s">
        <v>74</v>
      </c>
      <c r="BA549" s="2" t="s">
        <v>74</v>
      </c>
      <c r="BB549" s="2">
        <v>1634</v>
      </c>
      <c r="BC549" s="2">
        <v>1643</v>
      </c>
      <c r="BD549" s="2" t="s">
        <v>74</v>
      </c>
      <c r="BE549" s="2" t="s">
        <v>6911</v>
      </c>
      <c r="BF549" s="2" t="str">
        <f>HYPERLINK("http://dx.doi.org/10.1111/j.1558-5646.2009.00924.x","http://dx.doi.org/10.1111/j.1558-5646.2009.00924.x")</f>
        <v>http://dx.doi.org/10.1111/j.1558-5646.2009.00924.x</v>
      </c>
      <c r="BG549" s="2" t="s">
        <v>74</v>
      </c>
      <c r="BH549" s="2" t="s">
        <v>74</v>
      </c>
      <c r="BI549" s="2" t="s">
        <v>74</v>
      </c>
      <c r="BJ549" s="2" t="s">
        <v>74</v>
      </c>
      <c r="BK549" s="2" t="s">
        <v>74</v>
      </c>
      <c r="BL549" s="2" t="s">
        <v>74</v>
      </c>
      <c r="BM549" s="2" t="s">
        <v>74</v>
      </c>
      <c r="BN549" s="2">
        <v>20015235</v>
      </c>
      <c r="BO549" s="2" t="s">
        <v>74</v>
      </c>
      <c r="BP549" s="2" t="s">
        <v>74</v>
      </c>
      <c r="BQ549" s="2" t="s">
        <v>74</v>
      </c>
      <c r="BR549" s="2" t="s">
        <v>74</v>
      </c>
      <c r="BS549" s="2" t="s">
        <v>6912</v>
      </c>
      <c r="BT549" s="2" t="str">
        <f>HYPERLINK("https%3A%2F%2Fwww.webofscience.com%2Fwos%2Fwoscc%2Ffull-record%2FWOS:000278343200009","View Full Record in Web of Science")</f>
        <v>View Full Record in Web of Science</v>
      </c>
    </row>
    <row r="550" spans="1:72" s="2" customFormat="1" x14ac:dyDescent="0.4">
      <c r="A550" s="2" t="s">
        <v>72</v>
      </c>
      <c r="B550" s="2" t="s">
        <v>3187</v>
      </c>
      <c r="C550" s="2" t="s">
        <v>74</v>
      </c>
      <c r="D550" s="2" t="s">
        <v>74</v>
      </c>
      <c r="E550" s="2" t="s">
        <v>74</v>
      </c>
      <c r="F550" s="2" t="s">
        <v>3188</v>
      </c>
      <c r="G550" s="2" t="s">
        <v>74</v>
      </c>
      <c r="H550" s="2" t="s">
        <v>74</v>
      </c>
      <c r="I550" s="2" t="s">
        <v>3189</v>
      </c>
      <c r="J550" s="2" t="s">
        <v>3190</v>
      </c>
      <c r="K550" s="2" t="s">
        <v>74</v>
      </c>
      <c r="L550" s="2" t="s">
        <v>74</v>
      </c>
      <c r="M550" s="2" t="s">
        <v>74</v>
      </c>
      <c r="N550" s="2" t="s">
        <v>74</v>
      </c>
      <c r="O550" s="2" t="s">
        <v>74</v>
      </c>
      <c r="P550" s="2" t="s">
        <v>74</v>
      </c>
      <c r="Q550" s="2" t="s">
        <v>74</v>
      </c>
      <c r="R550" s="2" t="s">
        <v>74</v>
      </c>
      <c r="S550" s="2" t="s">
        <v>74</v>
      </c>
      <c r="T550" s="2" t="s">
        <v>74</v>
      </c>
      <c r="U550" s="2" t="s">
        <v>74</v>
      </c>
      <c r="V550" s="5" t="s">
        <v>3191</v>
      </c>
      <c r="W550" s="2" t="s">
        <v>74</v>
      </c>
      <c r="X550" s="2" t="s">
        <v>74</v>
      </c>
      <c r="Y550" s="2" t="s">
        <v>74</v>
      </c>
      <c r="Z550" s="2" t="s">
        <v>74</v>
      </c>
      <c r="AA550" s="2" t="s">
        <v>3192</v>
      </c>
      <c r="AB550" s="2" t="s">
        <v>74</v>
      </c>
      <c r="AC550" s="2" t="s">
        <v>74</v>
      </c>
      <c r="AD550" s="2" t="s">
        <v>74</v>
      </c>
      <c r="AE550" s="2" t="s">
        <v>74</v>
      </c>
      <c r="AF550" s="2" t="s">
        <v>74</v>
      </c>
      <c r="AG550" s="2" t="s">
        <v>74</v>
      </c>
      <c r="AH550" s="2" t="s">
        <v>74</v>
      </c>
      <c r="AI550" s="2" t="s">
        <v>74</v>
      </c>
      <c r="AJ550" s="2" t="s">
        <v>74</v>
      </c>
      <c r="AK550" s="2" t="s">
        <v>74</v>
      </c>
      <c r="AL550" s="2" t="s">
        <v>74</v>
      </c>
      <c r="AM550" s="2" t="s">
        <v>74</v>
      </c>
      <c r="AN550" s="2" t="s">
        <v>74</v>
      </c>
      <c r="AO550" s="2" t="s">
        <v>3193</v>
      </c>
      <c r="AP550" s="2" t="s">
        <v>3194</v>
      </c>
      <c r="AQ550" s="2" t="s">
        <v>74</v>
      </c>
      <c r="AR550" s="2" t="s">
        <v>74</v>
      </c>
      <c r="AS550" s="2" t="s">
        <v>74</v>
      </c>
      <c r="AT550" s="2" t="s">
        <v>255</v>
      </c>
      <c r="AU550" s="2">
        <v>2011</v>
      </c>
      <c r="AV550" s="2">
        <v>40</v>
      </c>
      <c r="AW550" s="2">
        <v>1</v>
      </c>
      <c r="AX550" s="2" t="s">
        <v>74</v>
      </c>
      <c r="AY550" s="2" t="s">
        <v>74</v>
      </c>
      <c r="AZ550" s="2" t="s">
        <v>74</v>
      </c>
      <c r="BA550" s="2" t="s">
        <v>74</v>
      </c>
      <c r="BB550" s="2">
        <v>21</v>
      </c>
      <c r="BC550" s="2">
        <v>25</v>
      </c>
      <c r="BD550" s="2" t="s">
        <v>74</v>
      </c>
      <c r="BE550" s="2" t="s">
        <v>3195</v>
      </c>
      <c r="BF550" s="2" t="str">
        <f>HYPERLINK("http://dx.doi.org/10.1016/j.asd.2010.07.006","http://dx.doi.org/10.1016/j.asd.2010.07.006")</f>
        <v>http://dx.doi.org/10.1016/j.asd.2010.07.006</v>
      </c>
      <c r="BG550" s="2" t="s">
        <v>74</v>
      </c>
      <c r="BH550" s="2" t="s">
        <v>74</v>
      </c>
      <c r="BI550" s="2" t="s">
        <v>74</v>
      </c>
      <c r="BJ550" s="2" t="s">
        <v>74</v>
      </c>
      <c r="BK550" s="2" t="s">
        <v>74</v>
      </c>
      <c r="BL550" s="2" t="s">
        <v>74</v>
      </c>
      <c r="BM550" s="2" t="s">
        <v>74</v>
      </c>
      <c r="BN550" s="2">
        <v>20696270</v>
      </c>
      <c r="BO550" s="2" t="s">
        <v>74</v>
      </c>
      <c r="BP550" s="2" t="s">
        <v>74</v>
      </c>
      <c r="BQ550" s="2" t="s">
        <v>74</v>
      </c>
      <c r="BR550" s="2" t="s">
        <v>74</v>
      </c>
      <c r="BS550" s="2" t="s">
        <v>3196</v>
      </c>
      <c r="BT550" s="2" t="str">
        <f>HYPERLINK("https%3A%2F%2Fwww.webofscience.com%2Fwos%2Fwoscc%2Ffull-record%2FWOS:000286405700003","View Full Record in Web of Science")</f>
        <v>View Full Record in Web of Science</v>
      </c>
    </row>
    <row r="551" spans="1:72" s="2" customFormat="1" x14ac:dyDescent="0.4">
      <c r="A551" s="2" t="s">
        <v>72</v>
      </c>
      <c r="B551" s="2" t="s">
        <v>3065</v>
      </c>
      <c r="C551" s="2" t="s">
        <v>74</v>
      </c>
      <c r="D551" s="2" t="s">
        <v>74</v>
      </c>
      <c r="E551" s="2" t="s">
        <v>74</v>
      </c>
      <c r="F551" s="2" t="s">
        <v>3066</v>
      </c>
      <c r="G551" s="2" t="s">
        <v>74</v>
      </c>
      <c r="H551" s="2" t="s">
        <v>74</v>
      </c>
      <c r="I551" s="2" t="s">
        <v>3067</v>
      </c>
      <c r="J551" s="2" t="s">
        <v>3068</v>
      </c>
      <c r="K551" s="2" t="s">
        <v>74</v>
      </c>
      <c r="L551" s="2" t="s">
        <v>74</v>
      </c>
      <c r="M551" s="2" t="s">
        <v>74</v>
      </c>
      <c r="N551" s="2" t="s">
        <v>74</v>
      </c>
      <c r="O551" s="2" t="s">
        <v>74</v>
      </c>
      <c r="P551" s="2" t="s">
        <v>74</v>
      </c>
      <c r="Q551" s="2" t="s">
        <v>74</v>
      </c>
      <c r="R551" s="2" t="s">
        <v>74</v>
      </c>
      <c r="S551" s="2" t="s">
        <v>74</v>
      </c>
      <c r="T551" s="2" t="s">
        <v>74</v>
      </c>
      <c r="U551" s="2" t="s">
        <v>74</v>
      </c>
      <c r="V551" s="5" t="s">
        <v>3069</v>
      </c>
      <c r="W551" s="2" t="s">
        <v>74</v>
      </c>
      <c r="X551" s="2" t="s">
        <v>74</v>
      </c>
      <c r="Y551" s="2" t="s">
        <v>74</v>
      </c>
      <c r="Z551" s="2" t="s">
        <v>74</v>
      </c>
      <c r="AA551" s="2" t="s">
        <v>3070</v>
      </c>
      <c r="AB551" s="2" t="s">
        <v>3071</v>
      </c>
      <c r="AC551" s="2" t="s">
        <v>74</v>
      </c>
      <c r="AD551" s="2" t="s">
        <v>74</v>
      </c>
      <c r="AE551" s="2" t="s">
        <v>74</v>
      </c>
      <c r="AF551" s="2" t="s">
        <v>74</v>
      </c>
      <c r="AG551" s="2" t="s">
        <v>74</v>
      </c>
      <c r="AH551" s="2" t="s">
        <v>74</v>
      </c>
      <c r="AI551" s="2" t="s">
        <v>74</v>
      </c>
      <c r="AJ551" s="2" t="s">
        <v>74</v>
      </c>
      <c r="AK551" s="2" t="s">
        <v>74</v>
      </c>
      <c r="AL551" s="2" t="s">
        <v>74</v>
      </c>
      <c r="AM551" s="2" t="s">
        <v>74</v>
      </c>
      <c r="AN551" s="2" t="s">
        <v>74</v>
      </c>
      <c r="AO551" s="2" t="s">
        <v>3072</v>
      </c>
      <c r="AP551" s="2" t="s">
        <v>3073</v>
      </c>
      <c r="AQ551" s="2" t="s">
        <v>74</v>
      </c>
      <c r="AR551" s="2" t="s">
        <v>74</v>
      </c>
      <c r="AS551" s="2" t="s">
        <v>74</v>
      </c>
      <c r="AT551" s="2" t="s">
        <v>102</v>
      </c>
      <c r="AU551" s="2">
        <v>2018</v>
      </c>
      <c r="AV551" s="2">
        <v>37</v>
      </c>
      <c r="AW551" s="2">
        <v>2</v>
      </c>
      <c r="AX551" s="2" t="s">
        <v>74</v>
      </c>
      <c r="AY551" s="2" t="s">
        <v>74</v>
      </c>
      <c r="AZ551" s="2" t="s">
        <v>74</v>
      </c>
      <c r="BA551" s="2" t="s">
        <v>74</v>
      </c>
      <c r="BB551" s="2">
        <v>423</v>
      </c>
      <c r="BC551" s="2">
        <v>430</v>
      </c>
      <c r="BD551" s="2" t="s">
        <v>74</v>
      </c>
      <c r="BE551" s="2" t="s">
        <v>3074</v>
      </c>
      <c r="BF551" s="2" t="str">
        <f>HYPERLINK("http://dx.doi.org/10.1007/s00338-018-1667-0","http://dx.doi.org/10.1007/s00338-018-1667-0")</f>
        <v>http://dx.doi.org/10.1007/s00338-018-1667-0</v>
      </c>
      <c r="BG551" s="2" t="s">
        <v>74</v>
      </c>
      <c r="BH551" s="2" t="s">
        <v>74</v>
      </c>
      <c r="BI551" s="2" t="s">
        <v>74</v>
      </c>
      <c r="BJ551" s="2" t="s">
        <v>74</v>
      </c>
      <c r="BK551" s="2" t="s">
        <v>74</v>
      </c>
      <c r="BL551" s="2" t="s">
        <v>74</v>
      </c>
      <c r="BM551" s="2" t="s">
        <v>74</v>
      </c>
      <c r="BN551" s="2" t="s">
        <v>74</v>
      </c>
      <c r="BO551" s="2" t="s">
        <v>74</v>
      </c>
      <c r="BP551" s="2" t="s">
        <v>74</v>
      </c>
      <c r="BQ551" s="2" t="s">
        <v>74</v>
      </c>
      <c r="BR551" s="2" t="s">
        <v>74</v>
      </c>
      <c r="BS551" s="2" t="s">
        <v>3075</v>
      </c>
      <c r="BT551" s="2" t="str">
        <f>HYPERLINK("https%3A%2F%2Fwww.webofscience.com%2Fwos%2Fwoscc%2Ffull-record%2FWOS:000432285500010","View Full Record in Web of Science")</f>
        <v>View Full Record in Web of Science</v>
      </c>
    </row>
    <row r="552" spans="1:72" s="2" customFormat="1" x14ac:dyDescent="0.4">
      <c r="A552" s="2" t="s">
        <v>72</v>
      </c>
      <c r="B552" s="2" t="s">
        <v>2648</v>
      </c>
      <c r="C552" s="2" t="s">
        <v>74</v>
      </c>
      <c r="D552" s="2" t="s">
        <v>74</v>
      </c>
      <c r="E552" s="2" t="s">
        <v>74</v>
      </c>
      <c r="F552" s="2" t="s">
        <v>2649</v>
      </c>
      <c r="G552" s="2" t="s">
        <v>74</v>
      </c>
      <c r="H552" s="2" t="s">
        <v>74</v>
      </c>
      <c r="I552" s="2" t="s">
        <v>2650</v>
      </c>
      <c r="J552" s="2" t="s">
        <v>2651</v>
      </c>
      <c r="K552" s="2" t="s">
        <v>74</v>
      </c>
      <c r="L552" s="2" t="s">
        <v>74</v>
      </c>
      <c r="M552" s="2" t="s">
        <v>74</v>
      </c>
      <c r="N552" s="2" t="s">
        <v>74</v>
      </c>
      <c r="O552" s="2" t="s">
        <v>74</v>
      </c>
      <c r="P552" s="2" t="s">
        <v>74</v>
      </c>
      <c r="Q552" s="2" t="s">
        <v>74</v>
      </c>
      <c r="R552" s="2" t="s">
        <v>74</v>
      </c>
      <c r="S552" s="2" t="s">
        <v>74</v>
      </c>
      <c r="T552" s="2" t="s">
        <v>74</v>
      </c>
      <c r="U552" s="2" t="s">
        <v>74</v>
      </c>
      <c r="V552" s="5" t="s">
        <v>2652</v>
      </c>
      <c r="W552" s="2" t="s">
        <v>74</v>
      </c>
      <c r="X552" s="2" t="s">
        <v>74</v>
      </c>
      <c r="Y552" s="2" t="s">
        <v>74</v>
      </c>
      <c r="Z552" s="2" t="s">
        <v>74</v>
      </c>
      <c r="AA552" s="2" t="s">
        <v>2653</v>
      </c>
      <c r="AB552" s="2" t="s">
        <v>2654</v>
      </c>
      <c r="AC552" s="2" t="s">
        <v>74</v>
      </c>
      <c r="AD552" s="2" t="s">
        <v>74</v>
      </c>
      <c r="AE552" s="2" t="s">
        <v>74</v>
      </c>
      <c r="AF552" s="2" t="s">
        <v>74</v>
      </c>
      <c r="AG552" s="2" t="s">
        <v>74</v>
      </c>
      <c r="AH552" s="2" t="s">
        <v>74</v>
      </c>
      <c r="AI552" s="2" t="s">
        <v>74</v>
      </c>
      <c r="AJ552" s="2" t="s">
        <v>74</v>
      </c>
      <c r="AK552" s="2" t="s">
        <v>74</v>
      </c>
      <c r="AL552" s="2" t="s">
        <v>74</v>
      </c>
      <c r="AM552" s="2" t="s">
        <v>74</v>
      </c>
      <c r="AN552" s="2" t="s">
        <v>74</v>
      </c>
      <c r="AO552" s="2" t="s">
        <v>2655</v>
      </c>
      <c r="AP552" s="2" t="s">
        <v>2656</v>
      </c>
      <c r="AQ552" s="2" t="s">
        <v>74</v>
      </c>
      <c r="AR552" s="2" t="s">
        <v>74</v>
      </c>
      <c r="AS552" s="2" t="s">
        <v>74</v>
      </c>
      <c r="AT552" s="2" t="s">
        <v>204</v>
      </c>
      <c r="AU552" s="2">
        <v>2007</v>
      </c>
      <c r="AV552" s="2">
        <v>28</v>
      </c>
      <c r="AW552" s="2">
        <v>4</v>
      </c>
      <c r="AX552" s="2" t="s">
        <v>74</v>
      </c>
      <c r="AY552" s="2" t="s">
        <v>74</v>
      </c>
      <c r="AZ552" s="2" t="s">
        <v>74</v>
      </c>
      <c r="BA552" s="2" t="s">
        <v>74</v>
      </c>
      <c r="BB552" s="2">
        <v>285</v>
      </c>
      <c r="BC552" s="2">
        <v>293</v>
      </c>
      <c r="BD552" s="2" t="s">
        <v>74</v>
      </c>
      <c r="BE552" s="2" t="s">
        <v>2657</v>
      </c>
      <c r="BF552" s="2" t="str">
        <f>HYPERLINK("http://dx.doi.org/10.1016/j.evolhumbehav.2007.03.001","http://dx.doi.org/10.1016/j.evolhumbehav.2007.03.001")</f>
        <v>http://dx.doi.org/10.1016/j.evolhumbehav.2007.03.001</v>
      </c>
      <c r="BG552" s="2" t="s">
        <v>74</v>
      </c>
      <c r="BH552" s="2" t="s">
        <v>74</v>
      </c>
      <c r="BI552" s="2" t="s">
        <v>74</v>
      </c>
      <c r="BJ552" s="2" t="s">
        <v>74</v>
      </c>
      <c r="BK552" s="2" t="s">
        <v>74</v>
      </c>
      <c r="BL552" s="2" t="s">
        <v>74</v>
      </c>
      <c r="BM552" s="2" t="s">
        <v>74</v>
      </c>
      <c r="BN552" s="2" t="s">
        <v>74</v>
      </c>
      <c r="BO552" s="2" t="s">
        <v>74</v>
      </c>
      <c r="BP552" s="2" t="s">
        <v>74</v>
      </c>
      <c r="BQ552" s="2" t="s">
        <v>74</v>
      </c>
      <c r="BR552" s="2" t="s">
        <v>74</v>
      </c>
      <c r="BS552" s="2" t="s">
        <v>2658</v>
      </c>
      <c r="BT552" s="2" t="str">
        <f>HYPERLINK("https%3A%2F%2Fwww.webofscience.com%2Fwos%2Fwoscc%2Ffull-record%2FWOS:000247824100010","View Full Record in Web of Science")</f>
        <v>View Full Record in Web of Science</v>
      </c>
    </row>
    <row r="553" spans="1:72" s="2" customFormat="1" x14ac:dyDescent="0.4">
      <c r="A553" s="2" t="s">
        <v>72</v>
      </c>
      <c r="B553" s="2" t="s">
        <v>4073</v>
      </c>
      <c r="C553" s="2" t="s">
        <v>74</v>
      </c>
      <c r="D553" s="2" t="s">
        <v>74</v>
      </c>
      <c r="E553" s="2" t="s">
        <v>74</v>
      </c>
      <c r="F553" s="2" t="s">
        <v>4073</v>
      </c>
      <c r="G553" s="2" t="s">
        <v>74</v>
      </c>
      <c r="H553" s="2" t="s">
        <v>74</v>
      </c>
      <c r="I553" s="2" t="s">
        <v>4074</v>
      </c>
      <c r="J553" s="2" t="s">
        <v>2847</v>
      </c>
      <c r="K553" s="2" t="s">
        <v>74</v>
      </c>
      <c r="L553" s="2" t="s">
        <v>74</v>
      </c>
      <c r="M553" s="2" t="s">
        <v>74</v>
      </c>
      <c r="N553" s="2" t="s">
        <v>74</v>
      </c>
      <c r="O553" s="2" t="s">
        <v>74</v>
      </c>
      <c r="P553" s="2" t="s">
        <v>74</v>
      </c>
      <c r="Q553" s="2" t="s">
        <v>74</v>
      </c>
      <c r="R553" s="2" t="s">
        <v>74</v>
      </c>
      <c r="S553" s="2" t="s">
        <v>74</v>
      </c>
      <c r="T553" s="2" t="s">
        <v>74</v>
      </c>
      <c r="U553" s="2" t="s">
        <v>74</v>
      </c>
      <c r="V553" s="5" t="s">
        <v>4075</v>
      </c>
      <c r="W553" s="2" t="s">
        <v>74</v>
      </c>
      <c r="X553" s="2" t="s">
        <v>74</v>
      </c>
      <c r="Y553" s="2" t="s">
        <v>74</v>
      </c>
      <c r="Z553" s="2" t="s">
        <v>74</v>
      </c>
      <c r="AA553" s="2" t="s">
        <v>74</v>
      </c>
      <c r="AB553" s="2" t="s">
        <v>74</v>
      </c>
      <c r="AC553" s="2" t="s">
        <v>74</v>
      </c>
      <c r="AD553" s="2" t="s">
        <v>74</v>
      </c>
      <c r="AE553" s="2" t="s">
        <v>74</v>
      </c>
      <c r="AF553" s="2" t="s">
        <v>74</v>
      </c>
      <c r="AG553" s="2" t="s">
        <v>74</v>
      </c>
      <c r="AH553" s="2" t="s">
        <v>74</v>
      </c>
      <c r="AI553" s="2" t="s">
        <v>74</v>
      </c>
      <c r="AJ553" s="2" t="s">
        <v>74</v>
      </c>
      <c r="AK553" s="2" t="s">
        <v>74</v>
      </c>
      <c r="AL553" s="2" t="s">
        <v>74</v>
      </c>
      <c r="AM553" s="2" t="s">
        <v>74</v>
      </c>
      <c r="AN553" s="2" t="s">
        <v>74</v>
      </c>
      <c r="AO553" s="2" t="s">
        <v>2849</v>
      </c>
      <c r="AP553" s="2" t="s">
        <v>74</v>
      </c>
      <c r="AQ553" s="2" t="s">
        <v>74</v>
      </c>
      <c r="AR553" s="2" t="s">
        <v>74</v>
      </c>
      <c r="AS553" s="2" t="s">
        <v>74</v>
      </c>
      <c r="AT553" s="2" t="s">
        <v>74</v>
      </c>
      <c r="AU553" s="2">
        <v>1991</v>
      </c>
      <c r="AV553" s="2">
        <v>153</v>
      </c>
      <c r="AW553" s="2">
        <v>1</v>
      </c>
      <c r="AX553" s="2" t="s">
        <v>74</v>
      </c>
      <c r="AY553" s="2" t="s">
        <v>74</v>
      </c>
      <c r="AZ553" s="2" t="s">
        <v>74</v>
      </c>
      <c r="BA553" s="2" t="s">
        <v>74</v>
      </c>
      <c r="BB553" s="2">
        <v>49</v>
      </c>
      <c r="BC553" s="2">
        <v>61</v>
      </c>
      <c r="BD553" s="2" t="s">
        <v>74</v>
      </c>
      <c r="BE553" s="2" t="s">
        <v>4076</v>
      </c>
      <c r="BF553" s="2" t="str">
        <f>HYPERLINK("http://dx.doi.org/10.1016/S0022-0981(05)80005-X","http://dx.doi.org/10.1016/S0022-0981(05)80005-X")</f>
        <v>http://dx.doi.org/10.1016/S0022-0981(05)80005-X</v>
      </c>
      <c r="BG553" s="2" t="s">
        <v>74</v>
      </c>
      <c r="BH553" s="2" t="s">
        <v>74</v>
      </c>
      <c r="BI553" s="2" t="s">
        <v>74</v>
      </c>
      <c r="BJ553" s="2" t="s">
        <v>74</v>
      </c>
      <c r="BK553" s="2" t="s">
        <v>74</v>
      </c>
      <c r="BL553" s="2" t="s">
        <v>74</v>
      </c>
      <c r="BM553" s="2" t="s">
        <v>74</v>
      </c>
      <c r="BN553" s="2" t="s">
        <v>74</v>
      </c>
      <c r="BO553" s="2" t="s">
        <v>74</v>
      </c>
      <c r="BP553" s="2" t="s">
        <v>74</v>
      </c>
      <c r="BQ553" s="2" t="s">
        <v>74</v>
      </c>
      <c r="BR553" s="2" t="s">
        <v>74</v>
      </c>
      <c r="BS553" s="2" t="s">
        <v>4077</v>
      </c>
      <c r="BT553" s="2" t="str">
        <f>HYPERLINK("https%3A%2F%2Fwww.webofscience.com%2Fwos%2Fwoscc%2Ffull-record%2FWOS:A1991GR91500004","View Full Record in Web of Science")</f>
        <v>View Full Record in Web of Science</v>
      </c>
    </row>
    <row r="554" spans="1:72" s="2" customFormat="1" x14ac:dyDescent="0.4">
      <c r="A554" s="2" t="s">
        <v>72</v>
      </c>
      <c r="B554" s="2" t="s">
        <v>7694</v>
      </c>
      <c r="C554" s="2" t="s">
        <v>74</v>
      </c>
      <c r="D554" s="2" t="s">
        <v>74</v>
      </c>
      <c r="E554" s="2" t="s">
        <v>74</v>
      </c>
      <c r="F554" s="2" t="s">
        <v>7695</v>
      </c>
      <c r="G554" s="2" t="s">
        <v>74</v>
      </c>
      <c r="H554" s="2" t="s">
        <v>74</v>
      </c>
      <c r="I554" s="2" t="s">
        <v>7696</v>
      </c>
      <c r="J554" s="2" t="s">
        <v>4145</v>
      </c>
      <c r="K554" s="2" t="s">
        <v>74</v>
      </c>
      <c r="L554" s="2" t="s">
        <v>74</v>
      </c>
      <c r="M554" s="2" t="s">
        <v>74</v>
      </c>
      <c r="N554" s="2" t="s">
        <v>74</v>
      </c>
      <c r="O554" s="2" t="s">
        <v>74</v>
      </c>
      <c r="P554" s="2" t="s">
        <v>74</v>
      </c>
      <c r="Q554" s="2" t="s">
        <v>74</v>
      </c>
      <c r="R554" s="2" t="s">
        <v>74</v>
      </c>
      <c r="S554" s="2" t="s">
        <v>74</v>
      </c>
      <c r="T554" s="2" t="s">
        <v>74</v>
      </c>
      <c r="U554" s="2" t="s">
        <v>74</v>
      </c>
      <c r="V554" s="5" t="s">
        <v>7697</v>
      </c>
      <c r="W554" s="2" t="s">
        <v>74</v>
      </c>
      <c r="X554" s="2" t="s">
        <v>74</v>
      </c>
      <c r="Y554" s="2" t="s">
        <v>74</v>
      </c>
      <c r="Z554" s="2" t="s">
        <v>74</v>
      </c>
      <c r="AA554" s="2" t="s">
        <v>875</v>
      </c>
      <c r="AB554" s="2" t="s">
        <v>7698</v>
      </c>
      <c r="AC554" s="2" t="s">
        <v>74</v>
      </c>
      <c r="AD554" s="2" t="s">
        <v>74</v>
      </c>
      <c r="AE554" s="2" t="s">
        <v>74</v>
      </c>
      <c r="AF554" s="2" t="s">
        <v>74</v>
      </c>
      <c r="AG554" s="2" t="s">
        <v>74</v>
      </c>
      <c r="AH554" s="2" t="s">
        <v>74</v>
      </c>
      <c r="AI554" s="2" t="s">
        <v>74</v>
      </c>
      <c r="AJ554" s="2" t="s">
        <v>74</v>
      </c>
      <c r="AK554" s="2" t="s">
        <v>74</v>
      </c>
      <c r="AL554" s="2" t="s">
        <v>74</v>
      </c>
      <c r="AM554" s="2" t="s">
        <v>74</v>
      </c>
      <c r="AN554" s="2" t="s">
        <v>74</v>
      </c>
      <c r="AO554" s="2" t="s">
        <v>4147</v>
      </c>
      <c r="AP554" s="2" t="s">
        <v>7534</v>
      </c>
      <c r="AQ554" s="2" t="s">
        <v>74</v>
      </c>
      <c r="AR554" s="2" t="s">
        <v>74</v>
      </c>
      <c r="AS554" s="2" t="s">
        <v>74</v>
      </c>
      <c r="AT554" s="2" t="s">
        <v>204</v>
      </c>
      <c r="AU554" s="2">
        <v>2009</v>
      </c>
      <c r="AV554" s="2">
        <v>195</v>
      </c>
      <c r="AW554" s="2">
        <v>7</v>
      </c>
      <c r="AX554" s="2" t="s">
        <v>74</v>
      </c>
      <c r="AY554" s="2" t="s">
        <v>74</v>
      </c>
      <c r="AZ554" s="2" t="s">
        <v>74</v>
      </c>
      <c r="BA554" s="2" t="s">
        <v>74</v>
      </c>
      <c r="BB554" s="2">
        <v>619</v>
      </c>
      <c r="BC554" s="2">
        <v>630</v>
      </c>
      <c r="BD554" s="2" t="s">
        <v>74</v>
      </c>
      <c r="BE554" s="2" t="s">
        <v>7699</v>
      </c>
      <c r="BF554" s="2" t="str">
        <f>HYPERLINK("http://dx.doi.org/10.1007/s00359-009-0437-4","http://dx.doi.org/10.1007/s00359-009-0437-4")</f>
        <v>http://dx.doi.org/10.1007/s00359-009-0437-4</v>
      </c>
      <c r="BG554" s="2" t="s">
        <v>74</v>
      </c>
      <c r="BH554" s="2" t="s">
        <v>74</v>
      </c>
      <c r="BI554" s="2" t="s">
        <v>74</v>
      </c>
      <c r="BJ554" s="2" t="s">
        <v>74</v>
      </c>
      <c r="BK554" s="2" t="s">
        <v>74</v>
      </c>
      <c r="BL554" s="2" t="s">
        <v>74</v>
      </c>
      <c r="BM554" s="2" t="s">
        <v>74</v>
      </c>
      <c r="BN554" s="2">
        <v>19363614</v>
      </c>
      <c r="BO554" s="2" t="s">
        <v>74</v>
      </c>
      <c r="BP554" s="2" t="s">
        <v>74</v>
      </c>
      <c r="BQ554" s="2" t="s">
        <v>74</v>
      </c>
      <c r="BR554" s="2" t="s">
        <v>74</v>
      </c>
      <c r="BS554" s="2" t="s">
        <v>7700</v>
      </c>
      <c r="BT554" s="2" t="str">
        <f>HYPERLINK("https%3A%2F%2Fwww.webofscience.com%2Fwos%2Fwoscc%2Ffull-record%2FWOS:000267541400001","View Full Record in Web of Science")</f>
        <v>View Full Record in Web of Science</v>
      </c>
    </row>
    <row r="555" spans="1:72" s="2" customFormat="1" x14ac:dyDescent="0.4">
      <c r="A555" s="2" t="s">
        <v>72</v>
      </c>
      <c r="B555" s="2" t="s">
        <v>8365</v>
      </c>
      <c r="C555" s="2" t="s">
        <v>74</v>
      </c>
      <c r="D555" s="2" t="s">
        <v>74</v>
      </c>
      <c r="E555" s="2" t="s">
        <v>74</v>
      </c>
      <c r="F555" s="2" t="s">
        <v>8366</v>
      </c>
      <c r="G555" s="2" t="s">
        <v>74</v>
      </c>
      <c r="H555" s="2" t="s">
        <v>74</v>
      </c>
      <c r="I555" s="2" t="s">
        <v>8367</v>
      </c>
      <c r="J555" s="2" t="s">
        <v>1635</v>
      </c>
      <c r="K555" s="2" t="s">
        <v>74</v>
      </c>
      <c r="L555" s="2" t="s">
        <v>74</v>
      </c>
      <c r="M555" s="2" t="s">
        <v>74</v>
      </c>
      <c r="N555" s="2" t="s">
        <v>74</v>
      </c>
      <c r="O555" s="2" t="s">
        <v>74</v>
      </c>
      <c r="P555" s="2" t="s">
        <v>74</v>
      </c>
      <c r="Q555" s="2" t="s">
        <v>74</v>
      </c>
      <c r="R555" s="2" t="s">
        <v>74</v>
      </c>
      <c r="S555" s="2" t="s">
        <v>74</v>
      </c>
      <c r="T555" s="2" t="s">
        <v>74</v>
      </c>
      <c r="U555" s="2" t="s">
        <v>74</v>
      </c>
      <c r="V555" s="5" t="s">
        <v>8368</v>
      </c>
      <c r="W555" s="2" t="s">
        <v>74</v>
      </c>
      <c r="X555" s="2" t="s">
        <v>74</v>
      </c>
      <c r="Y555" s="2" t="s">
        <v>74</v>
      </c>
      <c r="Z555" s="2" t="s">
        <v>74</v>
      </c>
      <c r="AA555" s="2" t="s">
        <v>74</v>
      </c>
      <c r="AB555" s="2" t="s">
        <v>8369</v>
      </c>
      <c r="AC555" s="2" t="s">
        <v>74</v>
      </c>
      <c r="AD555" s="2" t="s">
        <v>74</v>
      </c>
      <c r="AE555" s="2" t="s">
        <v>74</v>
      </c>
      <c r="AF555" s="2" t="s">
        <v>74</v>
      </c>
      <c r="AG555" s="2" t="s">
        <v>74</v>
      </c>
      <c r="AH555" s="2" t="s">
        <v>74</v>
      </c>
      <c r="AI555" s="2" t="s">
        <v>74</v>
      </c>
      <c r="AJ555" s="2" t="s">
        <v>74</v>
      </c>
      <c r="AK555" s="2" t="s">
        <v>74</v>
      </c>
      <c r="AL555" s="2" t="s">
        <v>74</v>
      </c>
      <c r="AM555" s="2" t="s">
        <v>74</v>
      </c>
      <c r="AN555" s="2" t="s">
        <v>74</v>
      </c>
      <c r="AO555" s="2" t="s">
        <v>1639</v>
      </c>
      <c r="AP555" s="2" t="s">
        <v>1640</v>
      </c>
      <c r="AQ555" s="2" t="s">
        <v>74</v>
      </c>
      <c r="AR555" s="2" t="s">
        <v>74</v>
      </c>
      <c r="AS555" s="2" t="s">
        <v>74</v>
      </c>
      <c r="AT555" s="2" t="s">
        <v>8370</v>
      </c>
      <c r="AU555" s="2">
        <v>2022</v>
      </c>
      <c r="AV555" s="2">
        <v>377</v>
      </c>
      <c r="AW555" s="2">
        <v>1858</v>
      </c>
      <c r="AX555" s="2" t="s">
        <v>74</v>
      </c>
      <c r="AY555" s="2" t="s">
        <v>74</v>
      </c>
      <c r="AZ555" s="2" t="s">
        <v>74</v>
      </c>
      <c r="BA555" s="2" t="s">
        <v>74</v>
      </c>
      <c r="BB555" s="2" t="s">
        <v>74</v>
      </c>
      <c r="BC555" s="2" t="s">
        <v>74</v>
      </c>
      <c r="BD555" s="2">
        <v>20210133</v>
      </c>
      <c r="BE555" s="2" t="s">
        <v>8371</v>
      </c>
      <c r="BF555" s="2" t="str">
        <f>HYPERLINK("http://dx.doi.org/10.1098/rstb.2021.0133","http://dx.doi.org/10.1098/rstb.2021.0133")</f>
        <v>http://dx.doi.org/10.1098/rstb.2021.0133</v>
      </c>
      <c r="BG555" s="2" t="s">
        <v>74</v>
      </c>
      <c r="BH555" s="2" t="s">
        <v>74</v>
      </c>
      <c r="BI555" s="2" t="s">
        <v>74</v>
      </c>
      <c r="BJ555" s="2" t="s">
        <v>74</v>
      </c>
      <c r="BK555" s="2" t="s">
        <v>74</v>
      </c>
      <c r="BL555" s="2" t="s">
        <v>74</v>
      </c>
      <c r="BM555" s="2" t="s">
        <v>74</v>
      </c>
      <c r="BN555" s="2">
        <v>35858095</v>
      </c>
      <c r="BO555" s="2" t="s">
        <v>74</v>
      </c>
      <c r="BP555" s="2" t="s">
        <v>74</v>
      </c>
      <c r="BQ555" s="2" t="s">
        <v>74</v>
      </c>
      <c r="BR555" s="2" t="s">
        <v>74</v>
      </c>
      <c r="BS555" s="2" t="s">
        <v>8372</v>
      </c>
      <c r="BT555" s="2" t="str">
        <f>HYPERLINK("https%3A%2F%2Fwww.webofscience.com%2Fwos%2Fwoscc%2Ffull-record%2FWOS:000823209300013","View Full Record in Web of Science")</f>
        <v>View Full Record in Web of Science</v>
      </c>
    </row>
    <row r="556" spans="1:72" s="2" customFormat="1" x14ac:dyDescent="0.4">
      <c r="A556" s="2" t="s">
        <v>72</v>
      </c>
      <c r="B556" s="2" t="s">
        <v>1053</v>
      </c>
      <c r="C556" s="2" t="s">
        <v>74</v>
      </c>
      <c r="D556" s="2" t="s">
        <v>74</v>
      </c>
      <c r="E556" s="2" t="s">
        <v>74</v>
      </c>
      <c r="F556" s="2" t="s">
        <v>1054</v>
      </c>
      <c r="G556" s="2" t="s">
        <v>74</v>
      </c>
      <c r="H556" s="2" t="s">
        <v>74</v>
      </c>
      <c r="I556" s="2" t="s">
        <v>1055</v>
      </c>
      <c r="J556" s="2" t="s">
        <v>218</v>
      </c>
      <c r="K556" s="2" t="s">
        <v>74</v>
      </c>
      <c r="L556" s="2" t="s">
        <v>74</v>
      </c>
      <c r="M556" s="2" t="s">
        <v>74</v>
      </c>
      <c r="N556" s="2" t="s">
        <v>74</v>
      </c>
      <c r="O556" s="2" t="s">
        <v>74</v>
      </c>
      <c r="P556" s="2" t="s">
        <v>74</v>
      </c>
      <c r="Q556" s="2" t="s">
        <v>74</v>
      </c>
      <c r="R556" s="2" t="s">
        <v>74</v>
      </c>
      <c r="S556" s="2" t="s">
        <v>74</v>
      </c>
      <c r="T556" s="2" t="s">
        <v>74</v>
      </c>
      <c r="U556" s="2" t="s">
        <v>74</v>
      </c>
      <c r="V556" s="5" t="s">
        <v>1056</v>
      </c>
      <c r="W556" s="2" t="s">
        <v>74</v>
      </c>
      <c r="X556" s="2" t="s">
        <v>74</v>
      </c>
      <c r="Y556" s="2" t="s">
        <v>74</v>
      </c>
      <c r="Z556" s="2" t="s">
        <v>74</v>
      </c>
      <c r="AA556" s="2" t="s">
        <v>74</v>
      </c>
      <c r="AB556" s="2" t="s">
        <v>74</v>
      </c>
      <c r="AC556" s="2" t="s">
        <v>74</v>
      </c>
      <c r="AD556" s="2" t="s">
        <v>74</v>
      </c>
      <c r="AE556" s="2" t="s">
        <v>74</v>
      </c>
      <c r="AF556" s="2" t="s">
        <v>74</v>
      </c>
      <c r="AG556" s="2" t="s">
        <v>74</v>
      </c>
      <c r="AH556" s="2" t="s">
        <v>74</v>
      </c>
      <c r="AI556" s="2" t="s">
        <v>74</v>
      </c>
      <c r="AJ556" s="2" t="s">
        <v>74</v>
      </c>
      <c r="AK556" s="2" t="s">
        <v>74</v>
      </c>
      <c r="AL556" s="2" t="s">
        <v>74</v>
      </c>
      <c r="AM556" s="2" t="s">
        <v>74</v>
      </c>
      <c r="AN556" s="2" t="s">
        <v>74</v>
      </c>
      <c r="AO556" s="2" t="s">
        <v>221</v>
      </c>
      <c r="AP556" s="2" t="s">
        <v>222</v>
      </c>
      <c r="AQ556" s="2" t="s">
        <v>74</v>
      </c>
      <c r="AR556" s="2" t="s">
        <v>74</v>
      </c>
      <c r="AS556" s="2" t="s">
        <v>74</v>
      </c>
      <c r="AT556" s="2" t="s">
        <v>145</v>
      </c>
      <c r="AU556" s="2">
        <v>2020</v>
      </c>
      <c r="AV556" s="2">
        <v>33</v>
      </c>
      <c r="AW556" s="2">
        <v>8</v>
      </c>
      <c r="AX556" s="2" t="s">
        <v>74</v>
      </c>
      <c r="AY556" s="2" t="s">
        <v>74</v>
      </c>
      <c r="AZ556" s="2" t="s">
        <v>74</v>
      </c>
      <c r="BA556" s="2" t="s">
        <v>74</v>
      </c>
      <c r="BB556" s="2">
        <v>1028</v>
      </c>
      <c r="BC556" s="2">
        <v>1038</v>
      </c>
      <c r="BD556" s="2" t="s">
        <v>74</v>
      </c>
      <c r="BE556" s="2" t="s">
        <v>1057</v>
      </c>
      <c r="BF556" s="2" t="str">
        <f>HYPERLINK("http://dx.doi.org/10.1111/jeb.13657","http://dx.doi.org/10.1111/jeb.13657")</f>
        <v>http://dx.doi.org/10.1111/jeb.13657</v>
      </c>
      <c r="BG556" s="2" t="s">
        <v>74</v>
      </c>
      <c r="BH556" s="2" t="s">
        <v>1058</v>
      </c>
      <c r="BI556" s="2" t="s">
        <v>74</v>
      </c>
      <c r="BJ556" s="2" t="s">
        <v>74</v>
      </c>
      <c r="BK556" s="2" t="s">
        <v>74</v>
      </c>
      <c r="BL556" s="2" t="s">
        <v>74</v>
      </c>
      <c r="BM556" s="2" t="s">
        <v>74</v>
      </c>
      <c r="BN556" s="2">
        <v>32500947</v>
      </c>
      <c r="BO556" s="2" t="s">
        <v>74</v>
      </c>
      <c r="BP556" s="2" t="s">
        <v>74</v>
      </c>
      <c r="BQ556" s="2" t="s">
        <v>74</v>
      </c>
      <c r="BR556" s="2" t="s">
        <v>74</v>
      </c>
      <c r="BS556" s="2" t="s">
        <v>1059</v>
      </c>
      <c r="BT556" s="2" t="str">
        <f>HYPERLINK("https%3A%2F%2Fwww.webofscience.com%2Fwos%2Fwoscc%2Ffull-record%2FWOS:000545247500001","View Full Record in Web of Science")</f>
        <v>View Full Record in Web of Science</v>
      </c>
    </row>
    <row r="557" spans="1:72" s="2" customFormat="1" x14ac:dyDescent="0.4">
      <c r="A557" s="2" t="s">
        <v>72</v>
      </c>
      <c r="B557" s="2" t="s">
        <v>6055</v>
      </c>
      <c r="C557" s="2" t="s">
        <v>74</v>
      </c>
      <c r="D557" s="2" t="s">
        <v>74</v>
      </c>
      <c r="E557" s="2" t="s">
        <v>74</v>
      </c>
      <c r="F557" s="2" t="s">
        <v>6056</v>
      </c>
      <c r="G557" s="2" t="s">
        <v>74</v>
      </c>
      <c r="H557" s="2" t="s">
        <v>74</v>
      </c>
      <c r="I557" s="2" t="s">
        <v>6057</v>
      </c>
      <c r="J557" s="2" t="s">
        <v>333</v>
      </c>
      <c r="K557" s="2" t="s">
        <v>74</v>
      </c>
      <c r="L557" s="2" t="s">
        <v>74</v>
      </c>
      <c r="M557" s="2" t="s">
        <v>74</v>
      </c>
      <c r="N557" s="2" t="s">
        <v>74</v>
      </c>
      <c r="O557" s="2" t="s">
        <v>74</v>
      </c>
      <c r="P557" s="2" t="s">
        <v>74</v>
      </c>
      <c r="Q557" s="2" t="s">
        <v>74</v>
      </c>
      <c r="R557" s="2" t="s">
        <v>74</v>
      </c>
      <c r="S557" s="2" t="s">
        <v>74</v>
      </c>
      <c r="T557" s="2" t="s">
        <v>74</v>
      </c>
      <c r="U557" s="2" t="s">
        <v>74</v>
      </c>
      <c r="V557" s="5" t="s">
        <v>6058</v>
      </c>
      <c r="W557" s="2" t="s">
        <v>74</v>
      </c>
      <c r="X557" s="2" t="s">
        <v>74</v>
      </c>
      <c r="Y557" s="2" t="s">
        <v>74</v>
      </c>
      <c r="Z557" s="2" t="s">
        <v>74</v>
      </c>
      <c r="AA557" s="2" t="s">
        <v>74</v>
      </c>
      <c r="AB557" s="2" t="s">
        <v>3514</v>
      </c>
      <c r="AC557" s="2" t="s">
        <v>74</v>
      </c>
      <c r="AD557" s="2" t="s">
        <v>74</v>
      </c>
      <c r="AE557" s="2" t="s">
        <v>74</v>
      </c>
      <c r="AF557" s="2" t="s">
        <v>74</v>
      </c>
      <c r="AG557" s="2" t="s">
        <v>74</v>
      </c>
      <c r="AH557" s="2" t="s">
        <v>74</v>
      </c>
      <c r="AI557" s="2" t="s">
        <v>74</v>
      </c>
      <c r="AJ557" s="2" t="s">
        <v>74</v>
      </c>
      <c r="AK557" s="2" t="s">
        <v>74</v>
      </c>
      <c r="AL557" s="2" t="s">
        <v>74</v>
      </c>
      <c r="AM557" s="2" t="s">
        <v>74</v>
      </c>
      <c r="AN557" s="2" t="s">
        <v>74</v>
      </c>
      <c r="AO557" s="2" t="s">
        <v>337</v>
      </c>
      <c r="AP557" s="2" t="s">
        <v>338</v>
      </c>
      <c r="AQ557" s="2" t="s">
        <v>74</v>
      </c>
      <c r="AR557" s="2" t="s">
        <v>74</v>
      </c>
      <c r="AS557" s="2" t="s">
        <v>74</v>
      </c>
      <c r="AT557" s="2" t="s">
        <v>1475</v>
      </c>
      <c r="AU557" s="2">
        <v>2015</v>
      </c>
      <c r="AV557" s="2">
        <v>26</v>
      </c>
      <c r="AW557" s="2">
        <v>1</v>
      </c>
      <c r="AX557" s="2" t="s">
        <v>74</v>
      </c>
      <c r="AY557" s="2" t="s">
        <v>74</v>
      </c>
      <c r="AZ557" s="2" t="s">
        <v>74</v>
      </c>
      <c r="BA557" s="2" t="s">
        <v>74</v>
      </c>
      <c r="BB557" s="2">
        <v>158</v>
      </c>
      <c r="BC557" s="2">
        <v>167</v>
      </c>
      <c r="BD557" s="2" t="s">
        <v>74</v>
      </c>
      <c r="BE557" s="2" t="s">
        <v>6059</v>
      </c>
      <c r="BF557" s="2" t="str">
        <f>HYPERLINK("http://dx.doi.org/10.1093/beheco/aru164","http://dx.doi.org/10.1093/beheco/aru164")</f>
        <v>http://dx.doi.org/10.1093/beheco/aru164</v>
      </c>
      <c r="BG557" s="2" t="s">
        <v>74</v>
      </c>
      <c r="BH557" s="2" t="s">
        <v>74</v>
      </c>
      <c r="BI557" s="2" t="s">
        <v>74</v>
      </c>
      <c r="BJ557" s="2" t="s">
        <v>74</v>
      </c>
      <c r="BK557" s="2" t="s">
        <v>74</v>
      </c>
      <c r="BL557" s="2" t="s">
        <v>74</v>
      </c>
      <c r="BM557" s="2" t="s">
        <v>74</v>
      </c>
      <c r="BN557" s="2" t="s">
        <v>74</v>
      </c>
      <c r="BO557" s="2" t="s">
        <v>74</v>
      </c>
      <c r="BP557" s="2" t="s">
        <v>74</v>
      </c>
      <c r="BQ557" s="2" t="s">
        <v>74</v>
      </c>
      <c r="BR557" s="2" t="s">
        <v>74</v>
      </c>
      <c r="BS557" s="2" t="s">
        <v>6060</v>
      </c>
      <c r="BT557" s="2" t="str">
        <f>HYPERLINK("https%3A%2F%2Fwww.webofscience.com%2Fwos%2Fwoscc%2Ffull-record%2FWOS:000351929300022","View Full Record in Web of Science")</f>
        <v>View Full Record in Web of Science</v>
      </c>
    </row>
    <row r="558" spans="1:72" s="1" customFormat="1" x14ac:dyDescent="0.4">
      <c r="A558" s="2" t="s">
        <v>72</v>
      </c>
      <c r="B558" s="2" t="s">
        <v>5411</v>
      </c>
      <c r="C558" s="2" t="s">
        <v>74</v>
      </c>
      <c r="D558" s="2" t="s">
        <v>74</v>
      </c>
      <c r="E558" s="2" t="s">
        <v>74</v>
      </c>
      <c r="F558" s="2" t="s">
        <v>5411</v>
      </c>
      <c r="G558" s="2" t="s">
        <v>74</v>
      </c>
      <c r="H558" s="2" t="s">
        <v>74</v>
      </c>
      <c r="I558" s="2" t="s">
        <v>5412</v>
      </c>
      <c r="J558" s="2" t="s">
        <v>171</v>
      </c>
      <c r="K558" s="2" t="s">
        <v>74</v>
      </c>
      <c r="L558" s="2" t="s">
        <v>74</v>
      </c>
      <c r="M558" s="2" t="s">
        <v>74</v>
      </c>
      <c r="N558" s="2" t="s">
        <v>74</v>
      </c>
      <c r="O558" s="2" t="s">
        <v>74</v>
      </c>
      <c r="P558" s="2" t="s">
        <v>74</v>
      </c>
      <c r="Q558" s="2" t="s">
        <v>74</v>
      </c>
      <c r="R558" s="2" t="s">
        <v>74</v>
      </c>
      <c r="S558" s="2" t="s">
        <v>74</v>
      </c>
      <c r="T558" s="2" t="s">
        <v>74</v>
      </c>
      <c r="U558" s="2" t="s">
        <v>74</v>
      </c>
      <c r="V558" s="5" t="s">
        <v>5413</v>
      </c>
      <c r="W558" s="2" t="s">
        <v>74</v>
      </c>
      <c r="X558" s="2" t="s">
        <v>74</v>
      </c>
      <c r="Y558" s="2" t="s">
        <v>74</v>
      </c>
      <c r="Z558" s="2" t="s">
        <v>74</v>
      </c>
      <c r="AA558" s="2" t="s">
        <v>74</v>
      </c>
      <c r="AB558" s="2" t="s">
        <v>74</v>
      </c>
      <c r="AC558" s="2" t="s">
        <v>74</v>
      </c>
      <c r="AD558" s="2" t="s">
        <v>74</v>
      </c>
      <c r="AE558" s="2" t="s">
        <v>74</v>
      </c>
      <c r="AF558" s="2" t="s">
        <v>74</v>
      </c>
      <c r="AG558" s="2" t="s">
        <v>74</v>
      </c>
      <c r="AH558" s="2" t="s">
        <v>74</v>
      </c>
      <c r="AI558" s="2" t="s">
        <v>74</v>
      </c>
      <c r="AJ558" s="2" t="s">
        <v>74</v>
      </c>
      <c r="AK558" s="2" t="s">
        <v>74</v>
      </c>
      <c r="AL558" s="2" t="s">
        <v>74</v>
      </c>
      <c r="AM558" s="2" t="s">
        <v>74</v>
      </c>
      <c r="AN558" s="2" t="s">
        <v>74</v>
      </c>
      <c r="AO558" s="2" t="s">
        <v>173</v>
      </c>
      <c r="AP558" s="2" t="s">
        <v>174</v>
      </c>
      <c r="AQ558" s="2" t="s">
        <v>74</v>
      </c>
      <c r="AR558" s="2" t="s">
        <v>74</v>
      </c>
      <c r="AS558" s="2" t="s">
        <v>74</v>
      </c>
      <c r="AT558" s="2" t="s">
        <v>74</v>
      </c>
      <c r="AU558" s="2">
        <v>1964</v>
      </c>
      <c r="AV558" s="2">
        <v>18</v>
      </c>
      <c r="AW558" s="2">
        <v>1</v>
      </c>
      <c r="AX558" s="2" t="s">
        <v>74</v>
      </c>
      <c r="AY558" s="2" t="s">
        <v>74</v>
      </c>
      <c r="AZ558" s="2" t="s">
        <v>74</v>
      </c>
      <c r="BA558" s="2" t="s">
        <v>74</v>
      </c>
      <c r="BB558" s="2">
        <v>89</v>
      </c>
      <c r="BC558" s="2" t="s">
        <v>726</v>
      </c>
      <c r="BD558" s="2" t="s">
        <v>74</v>
      </c>
      <c r="BE558" s="2" t="s">
        <v>5414</v>
      </c>
      <c r="BF558" s="2" t="str">
        <f>HYPERLINK("http://dx.doi.org/10.2307/2406422","http://dx.doi.org/10.2307/2406422")</f>
        <v>http://dx.doi.org/10.2307/2406422</v>
      </c>
      <c r="BG558" s="2" t="s">
        <v>74</v>
      </c>
      <c r="BH558" s="2" t="s">
        <v>74</v>
      </c>
      <c r="BI558" s="2" t="s">
        <v>74</v>
      </c>
      <c r="BJ558" s="2" t="s">
        <v>74</v>
      </c>
      <c r="BK558" s="2" t="s">
        <v>74</v>
      </c>
      <c r="BL558" s="2" t="s">
        <v>74</v>
      </c>
      <c r="BM558" s="2" t="s">
        <v>74</v>
      </c>
      <c r="BN558" s="2" t="s">
        <v>74</v>
      </c>
      <c r="BO558" s="2" t="s">
        <v>74</v>
      </c>
      <c r="BP558" s="2" t="s">
        <v>74</v>
      </c>
      <c r="BQ558" s="2" t="s">
        <v>74</v>
      </c>
      <c r="BR558" s="2" t="s">
        <v>74</v>
      </c>
      <c r="BS558" s="2" t="s">
        <v>5415</v>
      </c>
      <c r="BT558" s="2" t="str">
        <f>HYPERLINK("https%3A%2F%2Fwww.webofscience.com%2Fwos%2Fwoscc%2Ffull-record%2FWOS:A1964AV73200005","View Full Record in Web of Science")</f>
        <v>View Full Record in Web of Science</v>
      </c>
    </row>
    <row r="559" spans="1:72" s="2" customFormat="1" x14ac:dyDescent="0.4">
      <c r="A559" s="2" t="s">
        <v>72</v>
      </c>
      <c r="B559" s="2" t="s">
        <v>5778</v>
      </c>
      <c r="C559" s="2" t="s">
        <v>74</v>
      </c>
      <c r="D559" s="2" t="s">
        <v>74</v>
      </c>
      <c r="E559" s="2" t="s">
        <v>74</v>
      </c>
      <c r="F559" s="2" t="s">
        <v>5779</v>
      </c>
      <c r="G559" s="2" t="s">
        <v>74</v>
      </c>
      <c r="H559" s="2" t="s">
        <v>74</v>
      </c>
      <c r="I559" s="2" t="s">
        <v>5780</v>
      </c>
      <c r="J559" s="2" t="s">
        <v>1656</v>
      </c>
      <c r="K559" s="2" t="s">
        <v>74</v>
      </c>
      <c r="L559" s="2" t="s">
        <v>74</v>
      </c>
      <c r="M559" s="2" t="s">
        <v>74</v>
      </c>
      <c r="N559" s="2" t="s">
        <v>74</v>
      </c>
      <c r="O559" s="2" t="s">
        <v>74</v>
      </c>
      <c r="P559" s="2" t="s">
        <v>74</v>
      </c>
      <c r="Q559" s="2" t="s">
        <v>74</v>
      </c>
      <c r="R559" s="2" t="s">
        <v>74</v>
      </c>
      <c r="S559" s="2" t="s">
        <v>74</v>
      </c>
      <c r="T559" s="2" t="s">
        <v>74</v>
      </c>
      <c r="U559" s="2" t="s">
        <v>74</v>
      </c>
      <c r="V559" s="5" t="s">
        <v>5781</v>
      </c>
      <c r="W559" s="2" t="s">
        <v>74</v>
      </c>
      <c r="X559" s="2" t="s">
        <v>74</v>
      </c>
      <c r="Y559" s="2" t="s">
        <v>74</v>
      </c>
      <c r="Z559" s="2" t="s">
        <v>74</v>
      </c>
      <c r="AA559" s="2" t="s">
        <v>5782</v>
      </c>
      <c r="AB559" s="2" t="s">
        <v>5783</v>
      </c>
      <c r="AC559" s="2" t="s">
        <v>74</v>
      </c>
      <c r="AD559" s="2" t="s">
        <v>74</v>
      </c>
      <c r="AE559" s="2" t="s">
        <v>74</v>
      </c>
      <c r="AF559" s="2" t="s">
        <v>74</v>
      </c>
      <c r="AG559" s="2" t="s">
        <v>74</v>
      </c>
      <c r="AH559" s="2" t="s">
        <v>74</v>
      </c>
      <c r="AI559" s="2" t="s">
        <v>74</v>
      </c>
      <c r="AJ559" s="2" t="s">
        <v>74</v>
      </c>
      <c r="AK559" s="2" t="s">
        <v>74</v>
      </c>
      <c r="AL559" s="2" t="s">
        <v>74</v>
      </c>
      <c r="AM559" s="2" t="s">
        <v>74</v>
      </c>
      <c r="AN559" s="2" t="s">
        <v>74</v>
      </c>
      <c r="AO559" s="2" t="s">
        <v>1658</v>
      </c>
      <c r="AP559" s="2" t="s">
        <v>1659</v>
      </c>
      <c r="AQ559" s="2" t="s">
        <v>74</v>
      </c>
      <c r="AR559" s="2" t="s">
        <v>74</v>
      </c>
      <c r="AS559" s="2" t="s">
        <v>74</v>
      </c>
      <c r="AT559" s="2" t="s">
        <v>1146</v>
      </c>
      <c r="AU559" s="2">
        <v>2012</v>
      </c>
      <c r="AV559" s="2" t="s">
        <v>74</v>
      </c>
      <c r="AW559" s="2">
        <v>3406</v>
      </c>
      <c r="AX559" s="2" t="s">
        <v>74</v>
      </c>
      <c r="AY559" s="2" t="s">
        <v>74</v>
      </c>
      <c r="AZ559" s="2" t="s">
        <v>74</v>
      </c>
      <c r="BA559" s="2" t="s">
        <v>74</v>
      </c>
      <c r="BB559" s="2">
        <v>39</v>
      </c>
      <c r="BC559" s="2">
        <v>58</v>
      </c>
      <c r="BD559" s="2" t="s">
        <v>74</v>
      </c>
      <c r="BE559" s="2" t="s">
        <v>74</v>
      </c>
      <c r="BF559" s="2" t="s">
        <v>74</v>
      </c>
      <c r="BG559" s="2" t="s">
        <v>74</v>
      </c>
      <c r="BH559" s="2" t="s">
        <v>74</v>
      </c>
      <c r="BI559" s="2" t="s">
        <v>74</v>
      </c>
      <c r="BJ559" s="2" t="s">
        <v>74</v>
      </c>
      <c r="BK559" s="2" t="s">
        <v>74</v>
      </c>
      <c r="BL559" s="2" t="s">
        <v>74</v>
      </c>
      <c r="BM559" s="2" t="s">
        <v>74</v>
      </c>
      <c r="BN559" s="2" t="s">
        <v>74</v>
      </c>
      <c r="BO559" s="2" t="s">
        <v>74</v>
      </c>
      <c r="BP559" s="2" t="s">
        <v>74</v>
      </c>
      <c r="BQ559" s="2" t="s">
        <v>74</v>
      </c>
      <c r="BR559" s="2" t="s">
        <v>74</v>
      </c>
      <c r="BS559" s="2" t="s">
        <v>5784</v>
      </c>
      <c r="BT559" s="2" t="str">
        <f>HYPERLINK("https%3A%2F%2Fwww.webofscience.com%2Fwos%2Fwoscc%2Ffull-record%2FWOS:000306952500003","View Full Record in Web of Science")</f>
        <v>View Full Record in Web of Science</v>
      </c>
    </row>
    <row r="560" spans="1:72" s="2" customFormat="1" x14ac:dyDescent="0.4">
      <c r="A560" s="2" t="s">
        <v>72</v>
      </c>
      <c r="B560" s="2" t="s">
        <v>5461</v>
      </c>
      <c r="C560" s="2" t="s">
        <v>74</v>
      </c>
      <c r="D560" s="2" t="s">
        <v>74</v>
      </c>
      <c r="E560" s="2" t="s">
        <v>74</v>
      </c>
      <c r="F560" s="2" t="s">
        <v>5461</v>
      </c>
      <c r="G560" s="2" t="s">
        <v>74</v>
      </c>
      <c r="H560" s="2" t="s">
        <v>74</v>
      </c>
      <c r="I560" s="2" t="s">
        <v>5462</v>
      </c>
      <c r="J560" s="2" t="s">
        <v>3068</v>
      </c>
      <c r="K560" s="2" t="s">
        <v>74</v>
      </c>
      <c r="L560" s="2" t="s">
        <v>74</v>
      </c>
      <c r="M560" s="2" t="s">
        <v>74</v>
      </c>
      <c r="N560" s="2" t="s">
        <v>74</v>
      </c>
      <c r="O560" s="2" t="s">
        <v>74</v>
      </c>
      <c r="P560" s="2" t="s">
        <v>74</v>
      </c>
      <c r="Q560" s="2" t="s">
        <v>74</v>
      </c>
      <c r="R560" s="2" t="s">
        <v>74</v>
      </c>
      <c r="S560" s="2" t="s">
        <v>74</v>
      </c>
      <c r="T560" s="2" t="s">
        <v>74</v>
      </c>
      <c r="U560" s="2" t="s">
        <v>74</v>
      </c>
      <c r="V560" s="5" t="s">
        <v>5463</v>
      </c>
      <c r="W560" s="2" t="s">
        <v>74</v>
      </c>
      <c r="X560" s="2" t="s">
        <v>74</v>
      </c>
      <c r="Y560" s="2" t="s">
        <v>74</v>
      </c>
      <c r="Z560" s="2" t="s">
        <v>74</v>
      </c>
      <c r="AA560" s="2" t="s">
        <v>5464</v>
      </c>
      <c r="AB560" s="2" t="s">
        <v>74</v>
      </c>
      <c r="AC560" s="2" t="s">
        <v>74</v>
      </c>
      <c r="AD560" s="2" t="s">
        <v>74</v>
      </c>
      <c r="AE560" s="2" t="s">
        <v>74</v>
      </c>
      <c r="AF560" s="2" t="s">
        <v>74</v>
      </c>
      <c r="AG560" s="2" t="s">
        <v>74</v>
      </c>
      <c r="AH560" s="2" t="s">
        <v>74</v>
      </c>
      <c r="AI560" s="2" t="s">
        <v>74</v>
      </c>
      <c r="AJ560" s="2" t="s">
        <v>74</v>
      </c>
      <c r="AK560" s="2" t="s">
        <v>74</v>
      </c>
      <c r="AL560" s="2" t="s">
        <v>74</v>
      </c>
      <c r="AM560" s="2" t="s">
        <v>74</v>
      </c>
      <c r="AN560" s="2" t="s">
        <v>74</v>
      </c>
      <c r="AO560" s="2" t="s">
        <v>3072</v>
      </c>
      <c r="AP560" s="2" t="s">
        <v>74</v>
      </c>
      <c r="AQ560" s="2" t="s">
        <v>74</v>
      </c>
      <c r="AR560" s="2" t="s">
        <v>74</v>
      </c>
      <c r="AS560" s="2" t="s">
        <v>74</v>
      </c>
      <c r="AT560" s="2" t="s">
        <v>134</v>
      </c>
      <c r="AU560" s="2">
        <v>1995</v>
      </c>
      <c r="AV560" s="2">
        <v>14</v>
      </c>
      <c r="AW560" s="2">
        <v>2</v>
      </c>
      <c r="AX560" s="2" t="s">
        <v>74</v>
      </c>
      <c r="AY560" s="2" t="s">
        <v>74</v>
      </c>
      <c r="AZ560" s="2" t="s">
        <v>74</v>
      </c>
      <c r="BA560" s="2" t="s">
        <v>74</v>
      </c>
      <c r="BB560" s="2">
        <v>71</v>
      </c>
      <c r="BC560" s="2">
        <v>78</v>
      </c>
      <c r="BD560" s="2" t="s">
        <v>74</v>
      </c>
      <c r="BE560" s="2" t="s">
        <v>5465</v>
      </c>
      <c r="BF560" s="2" t="str">
        <f>HYPERLINK("http://dx.doi.org/10.1007/BF00303426","http://dx.doi.org/10.1007/BF00303426")</f>
        <v>http://dx.doi.org/10.1007/BF00303426</v>
      </c>
      <c r="BG560" s="2" t="s">
        <v>74</v>
      </c>
      <c r="BH560" s="2" t="s">
        <v>74</v>
      </c>
      <c r="BI560" s="2" t="s">
        <v>74</v>
      </c>
      <c r="BJ560" s="2" t="s">
        <v>74</v>
      </c>
      <c r="BK560" s="2" t="s">
        <v>74</v>
      </c>
      <c r="BL560" s="2" t="s">
        <v>74</v>
      </c>
      <c r="BM560" s="2" t="s">
        <v>74</v>
      </c>
      <c r="BN560" s="2" t="s">
        <v>74</v>
      </c>
      <c r="BO560" s="2" t="s">
        <v>74</v>
      </c>
      <c r="BP560" s="2" t="s">
        <v>74</v>
      </c>
      <c r="BQ560" s="2" t="s">
        <v>74</v>
      </c>
      <c r="BR560" s="2" t="s">
        <v>74</v>
      </c>
      <c r="BS560" s="2" t="s">
        <v>5466</v>
      </c>
      <c r="BT560" s="2" t="str">
        <f>HYPERLINK("https%3A%2F%2Fwww.webofscience.com%2Fwos%2Fwoscc%2Ffull-record%2FWOS:A1995RD44200003","View Full Record in Web of Science")</f>
        <v>View Full Record in Web of Science</v>
      </c>
    </row>
    <row r="561" spans="1:72" s="1" customFormat="1" x14ac:dyDescent="0.4">
      <c r="A561" s="2" t="s">
        <v>72</v>
      </c>
      <c r="B561" s="2" t="s">
        <v>7401</v>
      </c>
      <c r="C561" s="2" t="s">
        <v>74</v>
      </c>
      <c r="D561" s="2" t="s">
        <v>74</v>
      </c>
      <c r="E561" s="2" t="s">
        <v>74</v>
      </c>
      <c r="F561" s="2" t="s">
        <v>7401</v>
      </c>
      <c r="G561" s="2" t="s">
        <v>74</v>
      </c>
      <c r="H561" s="2" t="s">
        <v>74</v>
      </c>
      <c r="I561" s="2" t="s">
        <v>7402</v>
      </c>
      <c r="J561" s="2" t="s">
        <v>4522</v>
      </c>
      <c r="K561" s="2" t="s">
        <v>74</v>
      </c>
      <c r="L561" s="2" t="s">
        <v>74</v>
      </c>
      <c r="M561" s="2" t="s">
        <v>74</v>
      </c>
      <c r="N561" s="2" t="s">
        <v>74</v>
      </c>
      <c r="O561" s="2" t="s">
        <v>74</v>
      </c>
      <c r="P561" s="2" t="s">
        <v>74</v>
      </c>
      <c r="Q561" s="2" t="s">
        <v>74</v>
      </c>
      <c r="R561" s="2" t="s">
        <v>74</v>
      </c>
      <c r="S561" s="2" t="s">
        <v>74</v>
      </c>
      <c r="T561" s="2" t="s">
        <v>74</v>
      </c>
      <c r="U561" s="2" t="s">
        <v>74</v>
      </c>
      <c r="V561" s="5" t="s">
        <v>7403</v>
      </c>
      <c r="W561" s="2" t="s">
        <v>74</v>
      </c>
      <c r="X561" s="2" t="s">
        <v>74</v>
      </c>
      <c r="Y561" s="2" t="s">
        <v>74</v>
      </c>
      <c r="Z561" s="2" t="s">
        <v>74</v>
      </c>
      <c r="AA561" s="2" t="s">
        <v>7404</v>
      </c>
      <c r="AB561" s="2" t="s">
        <v>7405</v>
      </c>
      <c r="AC561" s="2" t="s">
        <v>74</v>
      </c>
      <c r="AD561" s="2" t="s">
        <v>74</v>
      </c>
      <c r="AE561" s="2" t="s">
        <v>74</v>
      </c>
      <c r="AF561" s="2" t="s">
        <v>74</v>
      </c>
      <c r="AG561" s="2" t="s">
        <v>74</v>
      </c>
      <c r="AH561" s="2" t="s">
        <v>74</v>
      </c>
      <c r="AI561" s="2" t="s">
        <v>74</v>
      </c>
      <c r="AJ561" s="2" t="s">
        <v>74</v>
      </c>
      <c r="AK561" s="2" t="s">
        <v>74</v>
      </c>
      <c r="AL561" s="2" t="s">
        <v>74</v>
      </c>
      <c r="AM561" s="2" t="s">
        <v>74</v>
      </c>
      <c r="AN561" s="2" t="s">
        <v>74</v>
      </c>
      <c r="AO561" s="2" t="s">
        <v>4526</v>
      </c>
      <c r="AP561" s="2" t="s">
        <v>74</v>
      </c>
      <c r="AQ561" s="2" t="s">
        <v>74</v>
      </c>
      <c r="AR561" s="2" t="s">
        <v>74</v>
      </c>
      <c r="AS561" s="2" t="s">
        <v>74</v>
      </c>
      <c r="AT561" s="2" t="s">
        <v>352</v>
      </c>
      <c r="AU561" s="2">
        <v>2001</v>
      </c>
      <c r="AV561" s="2">
        <v>35</v>
      </c>
      <c r="AW561" s="2">
        <v>9</v>
      </c>
      <c r="AX561" s="2" t="s">
        <v>74</v>
      </c>
      <c r="AY561" s="2" t="s">
        <v>74</v>
      </c>
      <c r="AZ561" s="2" t="s">
        <v>74</v>
      </c>
      <c r="BA561" s="2" t="s">
        <v>74</v>
      </c>
      <c r="BB561" s="2">
        <v>1371</v>
      </c>
      <c r="BC561" s="2">
        <v>1398</v>
      </c>
      <c r="BD561" s="2" t="s">
        <v>74</v>
      </c>
      <c r="BE561" s="2" t="s">
        <v>7406</v>
      </c>
      <c r="BF561" s="2" t="str">
        <f>HYPERLINK("http://dx.doi.org/10.1080/002229301750384310","http://dx.doi.org/10.1080/002229301750384310")</f>
        <v>http://dx.doi.org/10.1080/002229301750384310</v>
      </c>
      <c r="BG561" s="2" t="s">
        <v>74</v>
      </c>
      <c r="BH561" s="2" t="s">
        <v>74</v>
      </c>
      <c r="BI561" s="2" t="s">
        <v>74</v>
      </c>
      <c r="BJ561" s="2" t="s">
        <v>74</v>
      </c>
      <c r="BK561" s="2" t="s">
        <v>74</v>
      </c>
      <c r="BL561" s="2" t="s">
        <v>74</v>
      </c>
      <c r="BM561" s="2" t="s">
        <v>74</v>
      </c>
      <c r="BN561" s="2" t="s">
        <v>74</v>
      </c>
      <c r="BO561" s="2" t="s">
        <v>74</v>
      </c>
      <c r="BP561" s="2" t="s">
        <v>74</v>
      </c>
      <c r="BQ561" s="2" t="s">
        <v>74</v>
      </c>
      <c r="BR561" s="2" t="s">
        <v>74</v>
      </c>
      <c r="BS561" s="2" t="s">
        <v>7407</v>
      </c>
      <c r="BT561" s="2" t="str">
        <f>HYPERLINK("https%3A%2F%2Fwww.webofscience.com%2Fwos%2Fwoscc%2Ffull-record%2FWOS:000170467200003","View Full Record in Web of Science")</f>
        <v>View Full Record in Web of Science</v>
      </c>
    </row>
    <row r="562" spans="1:72" s="2" customFormat="1" x14ac:dyDescent="0.4">
      <c r="A562" s="2" t="s">
        <v>72</v>
      </c>
      <c r="B562" s="2" t="s">
        <v>7953</v>
      </c>
      <c r="C562" s="2" t="s">
        <v>74</v>
      </c>
      <c r="D562" s="2" t="s">
        <v>74</v>
      </c>
      <c r="E562" s="2" t="s">
        <v>74</v>
      </c>
      <c r="F562" s="2" t="s">
        <v>7953</v>
      </c>
      <c r="G562" s="2" t="s">
        <v>74</v>
      </c>
      <c r="H562" s="2" t="s">
        <v>74</v>
      </c>
      <c r="I562" s="2" t="s">
        <v>7954</v>
      </c>
      <c r="J562" s="2" t="s">
        <v>7955</v>
      </c>
      <c r="K562" s="2" t="s">
        <v>74</v>
      </c>
      <c r="L562" s="2" t="s">
        <v>74</v>
      </c>
      <c r="M562" s="2" t="s">
        <v>74</v>
      </c>
      <c r="N562" s="2" t="s">
        <v>74</v>
      </c>
      <c r="O562" s="2" t="s">
        <v>74</v>
      </c>
      <c r="P562" s="2" t="s">
        <v>74</v>
      </c>
      <c r="Q562" s="2" t="s">
        <v>74</v>
      </c>
      <c r="R562" s="2" t="s">
        <v>74</v>
      </c>
      <c r="S562" s="2" t="s">
        <v>74</v>
      </c>
      <c r="T562" s="2" t="s">
        <v>74</v>
      </c>
      <c r="U562" s="2" t="s">
        <v>74</v>
      </c>
      <c r="V562" s="5" t="s">
        <v>7956</v>
      </c>
      <c r="W562" s="2" t="s">
        <v>74</v>
      </c>
      <c r="X562" s="2" t="s">
        <v>74</v>
      </c>
      <c r="Y562" s="2" t="s">
        <v>74</v>
      </c>
      <c r="Z562" s="2" t="s">
        <v>74</v>
      </c>
      <c r="AA562" s="2" t="s">
        <v>74</v>
      </c>
      <c r="AB562" s="2" t="s">
        <v>7957</v>
      </c>
      <c r="AC562" s="2" t="s">
        <v>74</v>
      </c>
      <c r="AD562" s="2" t="s">
        <v>74</v>
      </c>
      <c r="AE562" s="2" t="s">
        <v>74</v>
      </c>
      <c r="AF562" s="2" t="s">
        <v>74</v>
      </c>
      <c r="AG562" s="2" t="s">
        <v>74</v>
      </c>
      <c r="AH562" s="2" t="s">
        <v>74</v>
      </c>
      <c r="AI562" s="2" t="s">
        <v>74</v>
      </c>
      <c r="AJ562" s="2" t="s">
        <v>74</v>
      </c>
      <c r="AK562" s="2" t="s">
        <v>74</v>
      </c>
      <c r="AL562" s="2" t="s">
        <v>74</v>
      </c>
      <c r="AM562" s="2" t="s">
        <v>74</v>
      </c>
      <c r="AN562" s="2" t="s">
        <v>74</v>
      </c>
      <c r="AO562" s="2" t="s">
        <v>7958</v>
      </c>
      <c r="AP562" s="2" t="s">
        <v>74</v>
      </c>
      <c r="AQ562" s="2" t="s">
        <v>74</v>
      </c>
      <c r="AR562" s="2" t="s">
        <v>74</v>
      </c>
      <c r="AS562" s="2" t="s">
        <v>74</v>
      </c>
      <c r="AT562" s="2" t="s">
        <v>74</v>
      </c>
      <c r="AU562" s="2">
        <v>2003</v>
      </c>
      <c r="AV562" s="2">
        <v>44</v>
      </c>
      <c r="AW562" s="2">
        <v>4</v>
      </c>
      <c r="AX562" s="2" t="s">
        <v>74</v>
      </c>
      <c r="AY562" s="2" t="s">
        <v>74</v>
      </c>
      <c r="AZ562" s="2" t="s">
        <v>74</v>
      </c>
      <c r="BA562" s="2" t="s">
        <v>74</v>
      </c>
      <c r="BB562" s="2">
        <v>319</v>
      </c>
      <c r="BC562" s="2">
        <v>327</v>
      </c>
      <c r="BD562" s="2" t="s">
        <v>74</v>
      </c>
      <c r="BE562" s="2" t="s">
        <v>74</v>
      </c>
      <c r="BF562" s="2" t="s">
        <v>74</v>
      </c>
      <c r="BG562" s="2" t="s">
        <v>74</v>
      </c>
      <c r="BH562" s="2" t="s">
        <v>74</v>
      </c>
      <c r="BI562" s="2" t="s">
        <v>74</v>
      </c>
      <c r="BJ562" s="2" t="s">
        <v>74</v>
      </c>
      <c r="BK562" s="2" t="s">
        <v>74</v>
      </c>
      <c r="BL562" s="2" t="s">
        <v>74</v>
      </c>
      <c r="BM562" s="2" t="s">
        <v>74</v>
      </c>
      <c r="BN562" s="2" t="s">
        <v>74</v>
      </c>
      <c r="BO562" s="2" t="s">
        <v>74</v>
      </c>
      <c r="BP562" s="2" t="s">
        <v>74</v>
      </c>
      <c r="BQ562" s="2" t="s">
        <v>74</v>
      </c>
      <c r="BR562" s="2" t="s">
        <v>74</v>
      </c>
      <c r="BS562" s="2" t="s">
        <v>7959</v>
      </c>
      <c r="BT562" s="2" t="str">
        <f>HYPERLINK("https%3A%2F%2Fwww.webofscience.com%2Fwos%2Fwoscc%2Ffull-record%2FWOS:000188352000002","View Full Record in Web of Science")</f>
        <v>View Full Record in Web of Science</v>
      </c>
    </row>
    <row r="563" spans="1:72" s="2" customFormat="1" x14ac:dyDescent="0.4">
      <c r="A563" s="2" t="s">
        <v>72</v>
      </c>
      <c r="B563" s="2" t="s">
        <v>4204</v>
      </c>
      <c r="C563" s="2" t="s">
        <v>74</v>
      </c>
      <c r="D563" s="2" t="s">
        <v>74</v>
      </c>
      <c r="E563" s="2" t="s">
        <v>74</v>
      </c>
      <c r="F563" s="2" t="s">
        <v>4205</v>
      </c>
      <c r="G563" s="2" t="s">
        <v>74</v>
      </c>
      <c r="H563" s="2" t="s">
        <v>74</v>
      </c>
      <c r="I563" s="2" t="s">
        <v>4206</v>
      </c>
      <c r="J563" s="2" t="s">
        <v>2550</v>
      </c>
      <c r="K563" s="2" t="s">
        <v>74</v>
      </c>
      <c r="L563" s="2" t="s">
        <v>74</v>
      </c>
      <c r="M563" s="2" t="s">
        <v>74</v>
      </c>
      <c r="N563" s="2" t="s">
        <v>74</v>
      </c>
      <c r="O563" s="2" t="s">
        <v>74</v>
      </c>
      <c r="P563" s="2" t="s">
        <v>74</v>
      </c>
      <c r="Q563" s="2" t="s">
        <v>74</v>
      </c>
      <c r="R563" s="2" t="s">
        <v>74</v>
      </c>
      <c r="S563" s="2" t="s">
        <v>74</v>
      </c>
      <c r="T563" s="2" t="s">
        <v>74</v>
      </c>
      <c r="U563" s="2" t="s">
        <v>74</v>
      </c>
      <c r="V563" s="5" t="s">
        <v>4207</v>
      </c>
      <c r="W563" s="2" t="s">
        <v>74</v>
      </c>
      <c r="X563" s="2" t="s">
        <v>74</v>
      </c>
      <c r="Y563" s="2" t="s">
        <v>74</v>
      </c>
      <c r="Z563" s="2" t="s">
        <v>74</v>
      </c>
      <c r="AA563" s="2" t="s">
        <v>74</v>
      </c>
      <c r="AB563" s="2" t="s">
        <v>4208</v>
      </c>
      <c r="AC563" s="2" t="s">
        <v>74</v>
      </c>
      <c r="AD563" s="2" t="s">
        <v>74</v>
      </c>
      <c r="AE563" s="2" t="s">
        <v>74</v>
      </c>
      <c r="AF563" s="2" t="s">
        <v>74</v>
      </c>
      <c r="AG563" s="2" t="s">
        <v>74</v>
      </c>
      <c r="AH563" s="2" t="s">
        <v>74</v>
      </c>
      <c r="AI563" s="2" t="s">
        <v>74</v>
      </c>
      <c r="AJ563" s="2" t="s">
        <v>74</v>
      </c>
      <c r="AK563" s="2" t="s">
        <v>74</v>
      </c>
      <c r="AL563" s="2" t="s">
        <v>74</v>
      </c>
      <c r="AM563" s="2" t="s">
        <v>74</v>
      </c>
      <c r="AN563" s="2" t="s">
        <v>74</v>
      </c>
      <c r="AO563" s="2" t="s">
        <v>2554</v>
      </c>
      <c r="AP563" s="2" t="s">
        <v>4209</v>
      </c>
      <c r="AQ563" s="2" t="s">
        <v>74</v>
      </c>
      <c r="AR563" s="2" t="s">
        <v>74</v>
      </c>
      <c r="AS563" s="2" t="s">
        <v>74</v>
      </c>
      <c r="AT563" s="2" t="s">
        <v>102</v>
      </c>
      <c r="AU563" s="2">
        <v>2019</v>
      </c>
      <c r="AV563" s="2">
        <v>42</v>
      </c>
      <c r="AW563" s="2">
        <v>6</v>
      </c>
      <c r="AX563" s="2" t="s">
        <v>74</v>
      </c>
      <c r="AY563" s="2" t="s">
        <v>74</v>
      </c>
      <c r="AZ563" s="2" t="s">
        <v>74</v>
      </c>
      <c r="BA563" s="2" t="s">
        <v>74</v>
      </c>
      <c r="BB563" s="2">
        <v>1217</v>
      </c>
      <c r="BC563" s="2">
        <v>1220</v>
      </c>
      <c r="BD563" s="2" t="s">
        <v>74</v>
      </c>
      <c r="BE563" s="2" t="s">
        <v>4210</v>
      </c>
      <c r="BF563" s="2" t="str">
        <f>HYPERLINK("http://dx.doi.org/10.1007/s00300-019-02506-3","http://dx.doi.org/10.1007/s00300-019-02506-3")</f>
        <v>http://dx.doi.org/10.1007/s00300-019-02506-3</v>
      </c>
      <c r="BG563" s="2" t="s">
        <v>74</v>
      </c>
      <c r="BH563" s="2" t="s">
        <v>74</v>
      </c>
      <c r="BI563" s="2" t="s">
        <v>74</v>
      </c>
      <c r="BJ563" s="2" t="s">
        <v>74</v>
      </c>
      <c r="BK563" s="2" t="s">
        <v>74</v>
      </c>
      <c r="BL563" s="2" t="s">
        <v>74</v>
      </c>
      <c r="BM563" s="2" t="s">
        <v>74</v>
      </c>
      <c r="BN563" s="2" t="s">
        <v>74</v>
      </c>
      <c r="BO563" s="2" t="s">
        <v>74</v>
      </c>
      <c r="BP563" s="2" t="s">
        <v>74</v>
      </c>
      <c r="BQ563" s="2" t="s">
        <v>74</v>
      </c>
      <c r="BR563" s="2" t="s">
        <v>74</v>
      </c>
      <c r="BS563" s="2" t="s">
        <v>4211</v>
      </c>
      <c r="BT563" s="2" t="str">
        <f>HYPERLINK("https%3A%2F%2Fwww.webofscience.com%2Fwos%2Fwoscc%2Ffull-record%2FWOS:000470694200016","View Full Record in Web of Science")</f>
        <v>View Full Record in Web of Science</v>
      </c>
    </row>
    <row r="564" spans="1:72" s="2" customFormat="1" x14ac:dyDescent="0.4">
      <c r="A564" s="2" t="s">
        <v>72</v>
      </c>
      <c r="B564" s="2" t="s">
        <v>1213</v>
      </c>
      <c r="C564" s="2" t="s">
        <v>74</v>
      </c>
      <c r="D564" s="2" t="s">
        <v>74</v>
      </c>
      <c r="E564" s="2" t="s">
        <v>74</v>
      </c>
      <c r="F564" s="2" t="s">
        <v>1214</v>
      </c>
      <c r="G564" s="2" t="s">
        <v>74</v>
      </c>
      <c r="H564" s="2" t="s">
        <v>74</v>
      </c>
      <c r="I564" s="2" t="s">
        <v>1215</v>
      </c>
      <c r="J564" s="2" t="s">
        <v>99</v>
      </c>
      <c r="K564" s="2" t="s">
        <v>74</v>
      </c>
      <c r="L564" s="2" t="s">
        <v>74</v>
      </c>
      <c r="M564" s="2" t="s">
        <v>74</v>
      </c>
      <c r="N564" s="2" t="s">
        <v>74</v>
      </c>
      <c r="O564" s="2" t="s">
        <v>74</v>
      </c>
      <c r="P564" s="2" t="s">
        <v>74</v>
      </c>
      <c r="Q564" s="2" t="s">
        <v>74</v>
      </c>
      <c r="R564" s="2" t="s">
        <v>74</v>
      </c>
      <c r="S564" s="2" t="s">
        <v>74</v>
      </c>
      <c r="T564" s="2" t="s">
        <v>74</v>
      </c>
      <c r="U564" s="2" t="s">
        <v>74</v>
      </c>
      <c r="V564" s="5" t="s">
        <v>1216</v>
      </c>
      <c r="W564" s="2" t="s">
        <v>74</v>
      </c>
      <c r="X564" s="2" t="s">
        <v>74</v>
      </c>
      <c r="Y564" s="2" t="s">
        <v>74</v>
      </c>
      <c r="Z564" s="2" t="s">
        <v>74</v>
      </c>
      <c r="AA564" s="2" t="s">
        <v>74</v>
      </c>
      <c r="AB564" s="2" t="s">
        <v>1217</v>
      </c>
      <c r="AC564" s="2" t="s">
        <v>74</v>
      </c>
      <c r="AD564" s="2" t="s">
        <v>74</v>
      </c>
      <c r="AE564" s="2" t="s">
        <v>74</v>
      </c>
      <c r="AF564" s="2" t="s">
        <v>74</v>
      </c>
      <c r="AG564" s="2" t="s">
        <v>74</v>
      </c>
      <c r="AH564" s="2" t="s">
        <v>74</v>
      </c>
      <c r="AI564" s="2" t="s">
        <v>74</v>
      </c>
      <c r="AJ564" s="2" t="s">
        <v>74</v>
      </c>
      <c r="AK564" s="2" t="s">
        <v>74</v>
      </c>
      <c r="AL564" s="2" t="s">
        <v>74</v>
      </c>
      <c r="AM564" s="2" t="s">
        <v>74</v>
      </c>
      <c r="AN564" s="2" t="s">
        <v>74</v>
      </c>
      <c r="AO564" s="2" t="s">
        <v>101</v>
      </c>
      <c r="AP564" s="2" t="s">
        <v>1218</v>
      </c>
      <c r="AQ564" s="2" t="s">
        <v>74</v>
      </c>
      <c r="AR564" s="2" t="s">
        <v>74</v>
      </c>
      <c r="AS564" s="2" t="s">
        <v>74</v>
      </c>
      <c r="AT564" s="2" t="s">
        <v>305</v>
      </c>
      <c r="AU564" s="2">
        <v>2014</v>
      </c>
      <c r="AV564" s="2">
        <v>126</v>
      </c>
      <c r="AW564" s="2">
        <v>4</v>
      </c>
      <c r="AX564" s="2" t="s">
        <v>74</v>
      </c>
      <c r="AY564" s="2" t="s">
        <v>74</v>
      </c>
      <c r="AZ564" s="2" t="s">
        <v>74</v>
      </c>
      <c r="BA564" s="2" t="s">
        <v>74</v>
      </c>
      <c r="BB564" s="2">
        <v>708</v>
      </c>
      <c r="BC564" s="2">
        <v>716</v>
      </c>
      <c r="BD564" s="2" t="s">
        <v>74</v>
      </c>
      <c r="BE564" s="2" t="s">
        <v>1219</v>
      </c>
      <c r="BF564" s="2" t="str">
        <f>HYPERLINK("http://dx.doi.org/10.1676/14-028.1","http://dx.doi.org/10.1676/14-028.1")</f>
        <v>http://dx.doi.org/10.1676/14-028.1</v>
      </c>
      <c r="BG564" s="2" t="s">
        <v>74</v>
      </c>
      <c r="BH564" s="2" t="s">
        <v>74</v>
      </c>
      <c r="BI564" s="2" t="s">
        <v>74</v>
      </c>
      <c r="BJ564" s="2" t="s">
        <v>74</v>
      </c>
      <c r="BK564" s="2" t="s">
        <v>74</v>
      </c>
      <c r="BL564" s="2" t="s">
        <v>74</v>
      </c>
      <c r="BM564" s="2" t="s">
        <v>74</v>
      </c>
      <c r="BN564" s="2" t="s">
        <v>74</v>
      </c>
      <c r="BO564" s="2" t="s">
        <v>74</v>
      </c>
      <c r="BP564" s="2" t="s">
        <v>74</v>
      </c>
      <c r="BQ564" s="2" t="s">
        <v>74</v>
      </c>
      <c r="BR564" s="2" t="s">
        <v>74</v>
      </c>
      <c r="BS564" s="2" t="s">
        <v>1220</v>
      </c>
      <c r="BT564" s="2" t="str">
        <f>HYPERLINK("https%3A%2F%2Fwww.webofscience.com%2Fwos%2Fwoscc%2Ffull-record%2FWOS:000346425400008","View Full Record in Web of Science")</f>
        <v>View Full Record in Web of Science</v>
      </c>
    </row>
    <row r="565" spans="1:72" s="2" customFormat="1" x14ac:dyDescent="0.4">
      <c r="A565" s="2" t="s">
        <v>72</v>
      </c>
      <c r="B565" s="2" t="s">
        <v>1686</v>
      </c>
      <c r="C565" s="2" t="s">
        <v>74</v>
      </c>
      <c r="D565" s="2" t="s">
        <v>74</v>
      </c>
      <c r="E565" s="2" t="s">
        <v>74</v>
      </c>
      <c r="F565" s="2" t="s">
        <v>1687</v>
      </c>
      <c r="G565" s="2" t="s">
        <v>74</v>
      </c>
      <c r="H565" s="2" t="s">
        <v>74</v>
      </c>
      <c r="I565" s="2" t="s">
        <v>1688</v>
      </c>
      <c r="J565" s="2" t="s">
        <v>129</v>
      </c>
      <c r="K565" s="2" t="s">
        <v>74</v>
      </c>
      <c r="L565" s="2" t="s">
        <v>74</v>
      </c>
      <c r="M565" s="2" t="s">
        <v>74</v>
      </c>
      <c r="N565" s="2" t="s">
        <v>74</v>
      </c>
      <c r="O565" s="2" t="s">
        <v>74</v>
      </c>
      <c r="P565" s="2" t="s">
        <v>74</v>
      </c>
      <c r="Q565" s="2" t="s">
        <v>74</v>
      </c>
      <c r="R565" s="2" t="s">
        <v>74</v>
      </c>
      <c r="S565" s="2" t="s">
        <v>74</v>
      </c>
      <c r="T565" s="2" t="s">
        <v>74</v>
      </c>
      <c r="U565" s="2" t="s">
        <v>74</v>
      </c>
      <c r="V565" s="5" t="s">
        <v>1689</v>
      </c>
      <c r="W565" s="2" t="s">
        <v>74</v>
      </c>
      <c r="X565" s="2" t="s">
        <v>74</v>
      </c>
      <c r="Y565" s="2" t="s">
        <v>74</v>
      </c>
      <c r="Z565" s="2" t="s">
        <v>74</v>
      </c>
      <c r="AA565" s="2" t="s">
        <v>1690</v>
      </c>
      <c r="AB565" s="2" t="s">
        <v>1691</v>
      </c>
      <c r="AC565" s="2" t="s">
        <v>74</v>
      </c>
      <c r="AD565" s="2" t="s">
        <v>74</v>
      </c>
      <c r="AE565" s="2" t="s">
        <v>74</v>
      </c>
      <c r="AF565" s="2" t="s">
        <v>74</v>
      </c>
      <c r="AG565" s="2" t="s">
        <v>74</v>
      </c>
      <c r="AH565" s="2" t="s">
        <v>74</v>
      </c>
      <c r="AI565" s="2" t="s">
        <v>74</v>
      </c>
      <c r="AJ565" s="2" t="s">
        <v>74</v>
      </c>
      <c r="AK565" s="2" t="s">
        <v>74</v>
      </c>
      <c r="AL565" s="2" t="s">
        <v>74</v>
      </c>
      <c r="AM565" s="2" t="s">
        <v>74</v>
      </c>
      <c r="AN565" s="2" t="s">
        <v>74</v>
      </c>
      <c r="AO565" s="2" t="s">
        <v>132</v>
      </c>
      <c r="AP565" s="2" t="s">
        <v>133</v>
      </c>
      <c r="AQ565" s="2" t="s">
        <v>74</v>
      </c>
      <c r="AR565" s="2" t="s">
        <v>74</v>
      </c>
      <c r="AS565" s="2" t="s">
        <v>74</v>
      </c>
      <c r="AT565" s="2" t="s">
        <v>633</v>
      </c>
      <c r="AU565" s="2">
        <v>2022</v>
      </c>
      <c r="AV565" s="2">
        <v>76</v>
      </c>
      <c r="AW565" s="2">
        <v>4</v>
      </c>
      <c r="AX565" s="2" t="s">
        <v>74</v>
      </c>
      <c r="AY565" s="2" t="s">
        <v>74</v>
      </c>
      <c r="AZ565" s="2" t="s">
        <v>74</v>
      </c>
      <c r="BA565" s="2" t="s">
        <v>74</v>
      </c>
      <c r="BB565" s="2" t="s">
        <v>74</v>
      </c>
      <c r="BC565" s="2" t="s">
        <v>74</v>
      </c>
      <c r="BD565" s="2">
        <v>57</v>
      </c>
      <c r="BE565" s="2" t="s">
        <v>1692</v>
      </c>
      <c r="BF565" s="2" t="str">
        <f>HYPERLINK("http://dx.doi.org/10.1007/s00265-022-03165-x","http://dx.doi.org/10.1007/s00265-022-03165-x")</f>
        <v>http://dx.doi.org/10.1007/s00265-022-03165-x</v>
      </c>
      <c r="BG565" s="2" t="s">
        <v>74</v>
      </c>
      <c r="BH565" s="2" t="s">
        <v>74</v>
      </c>
      <c r="BI565" s="2" t="s">
        <v>74</v>
      </c>
      <c r="BJ565" s="2" t="s">
        <v>74</v>
      </c>
      <c r="BK565" s="2" t="s">
        <v>74</v>
      </c>
      <c r="BL565" s="2" t="s">
        <v>74</v>
      </c>
      <c r="BM565" s="2" t="s">
        <v>74</v>
      </c>
      <c r="BN565" s="2" t="s">
        <v>74</v>
      </c>
      <c r="BO565" s="2" t="s">
        <v>74</v>
      </c>
      <c r="BP565" s="2" t="s">
        <v>74</v>
      </c>
      <c r="BQ565" s="2" t="s">
        <v>74</v>
      </c>
      <c r="BR565" s="2" t="s">
        <v>74</v>
      </c>
      <c r="BS565" s="2" t="s">
        <v>1693</v>
      </c>
      <c r="BT565" s="2" t="str">
        <f>HYPERLINK("https%3A%2F%2Fwww.webofscience.com%2Fwos%2Fwoscc%2Ffull-record%2FWOS:000779357300001","View Full Record in Web of Science")</f>
        <v>View Full Record in Web of Science</v>
      </c>
    </row>
    <row r="566" spans="1:72" s="2" customFormat="1" x14ac:dyDescent="0.4">
      <c r="A566" s="2" t="s">
        <v>72</v>
      </c>
      <c r="B566" s="2" t="s">
        <v>2594</v>
      </c>
      <c r="C566" s="2" t="s">
        <v>74</v>
      </c>
      <c r="D566" s="2" t="s">
        <v>74</v>
      </c>
      <c r="E566" s="2" t="s">
        <v>74</v>
      </c>
      <c r="F566" s="2" t="s">
        <v>2595</v>
      </c>
      <c r="G566" s="2" t="s">
        <v>74</v>
      </c>
      <c r="H566" s="2" t="s">
        <v>74</v>
      </c>
      <c r="I566" s="2" t="s">
        <v>2596</v>
      </c>
      <c r="J566" s="2" t="s">
        <v>140</v>
      </c>
      <c r="K566" s="2" t="s">
        <v>74</v>
      </c>
      <c r="L566" s="2" t="s">
        <v>74</v>
      </c>
      <c r="M566" s="2" t="s">
        <v>74</v>
      </c>
      <c r="N566" s="2" t="s">
        <v>74</v>
      </c>
      <c r="O566" s="2" t="s">
        <v>74</v>
      </c>
      <c r="P566" s="2" t="s">
        <v>74</v>
      </c>
      <c r="Q566" s="2" t="s">
        <v>74</v>
      </c>
      <c r="R566" s="2" t="s">
        <v>74</v>
      </c>
      <c r="S566" s="2" t="s">
        <v>74</v>
      </c>
      <c r="T566" s="2" t="s">
        <v>74</v>
      </c>
      <c r="U566" s="2" t="s">
        <v>74</v>
      </c>
      <c r="V566" s="5" t="s">
        <v>2597</v>
      </c>
      <c r="W566" s="2" t="s">
        <v>74</v>
      </c>
      <c r="X566" s="2" t="s">
        <v>74</v>
      </c>
      <c r="Y566" s="2" t="s">
        <v>74</v>
      </c>
      <c r="Z566" s="2" t="s">
        <v>74</v>
      </c>
      <c r="AA566" s="2" t="s">
        <v>946</v>
      </c>
      <c r="AB566" s="2" t="s">
        <v>2598</v>
      </c>
      <c r="AC566" s="2" t="s">
        <v>74</v>
      </c>
      <c r="AD566" s="2" t="s">
        <v>74</v>
      </c>
      <c r="AE566" s="2" t="s">
        <v>74</v>
      </c>
      <c r="AF566" s="2" t="s">
        <v>74</v>
      </c>
      <c r="AG566" s="2" t="s">
        <v>74</v>
      </c>
      <c r="AH566" s="2" t="s">
        <v>74</v>
      </c>
      <c r="AI566" s="2" t="s">
        <v>74</v>
      </c>
      <c r="AJ566" s="2" t="s">
        <v>74</v>
      </c>
      <c r="AK566" s="2" t="s">
        <v>74</v>
      </c>
      <c r="AL566" s="2" t="s">
        <v>74</v>
      </c>
      <c r="AM566" s="2" t="s">
        <v>74</v>
      </c>
      <c r="AN566" s="2" t="s">
        <v>74</v>
      </c>
      <c r="AO566" s="2" t="s">
        <v>143</v>
      </c>
      <c r="AP566" s="2" t="s">
        <v>144</v>
      </c>
      <c r="AQ566" s="2" t="s">
        <v>74</v>
      </c>
      <c r="AR566" s="2" t="s">
        <v>74</v>
      </c>
      <c r="AS566" s="2" t="s">
        <v>74</v>
      </c>
      <c r="AT566" s="2" t="s">
        <v>123</v>
      </c>
      <c r="AU566" s="2">
        <v>2015</v>
      </c>
      <c r="AV566" s="2">
        <v>101</v>
      </c>
      <c r="AW566" s="2" t="s">
        <v>74</v>
      </c>
      <c r="AX566" s="2" t="s">
        <v>74</v>
      </c>
      <c r="AY566" s="2" t="s">
        <v>74</v>
      </c>
      <c r="AZ566" s="2" t="s">
        <v>74</v>
      </c>
      <c r="BA566" s="2" t="s">
        <v>74</v>
      </c>
      <c r="BB566" s="2">
        <v>11</v>
      </c>
      <c r="BC566" s="2">
        <v>18</v>
      </c>
      <c r="BD566" s="2" t="s">
        <v>74</v>
      </c>
      <c r="BE566" s="2" t="s">
        <v>2599</v>
      </c>
      <c r="BF566" s="2" t="str">
        <f>HYPERLINK("http://dx.doi.org/10.1016/j.anbehav.2014.12.016","http://dx.doi.org/10.1016/j.anbehav.2014.12.016")</f>
        <v>http://dx.doi.org/10.1016/j.anbehav.2014.12.016</v>
      </c>
      <c r="BG566" s="2" t="s">
        <v>74</v>
      </c>
      <c r="BH566" s="2" t="s">
        <v>74</v>
      </c>
      <c r="BI566" s="2" t="s">
        <v>74</v>
      </c>
      <c r="BJ566" s="2" t="s">
        <v>74</v>
      </c>
      <c r="BK566" s="2" t="s">
        <v>74</v>
      </c>
      <c r="BL566" s="2" t="s">
        <v>74</v>
      </c>
      <c r="BM566" s="2" t="s">
        <v>74</v>
      </c>
      <c r="BN566" s="2" t="s">
        <v>74</v>
      </c>
      <c r="BO566" s="2" t="s">
        <v>74</v>
      </c>
      <c r="BP566" s="2" t="s">
        <v>74</v>
      </c>
      <c r="BQ566" s="2" t="s">
        <v>74</v>
      </c>
      <c r="BR566" s="2" t="s">
        <v>74</v>
      </c>
      <c r="BS566" s="2" t="s">
        <v>2600</v>
      </c>
      <c r="BT566" s="2" t="str">
        <f>HYPERLINK("https%3A%2F%2Fwww.webofscience.com%2Fwos%2Fwoscc%2Ffull-record%2FWOS:000351020200004","View Full Record in Web of Science")</f>
        <v>View Full Record in Web of Science</v>
      </c>
    </row>
    <row r="567" spans="1:72" s="2" customFormat="1" x14ac:dyDescent="0.4">
      <c r="A567" s="2" t="s">
        <v>72</v>
      </c>
      <c r="B567" s="2" t="s">
        <v>6144</v>
      </c>
      <c r="C567" s="2" t="s">
        <v>74</v>
      </c>
      <c r="D567" s="2" t="s">
        <v>74</v>
      </c>
      <c r="E567" s="2" t="s">
        <v>74</v>
      </c>
      <c r="F567" s="2" t="s">
        <v>6145</v>
      </c>
      <c r="G567" s="2" t="s">
        <v>74</v>
      </c>
      <c r="H567" s="2" t="s">
        <v>74</v>
      </c>
      <c r="I567" s="2" t="s">
        <v>6146</v>
      </c>
      <c r="J567" s="2" t="s">
        <v>99</v>
      </c>
      <c r="K567" s="2" t="s">
        <v>74</v>
      </c>
      <c r="L567" s="2" t="s">
        <v>74</v>
      </c>
      <c r="M567" s="2" t="s">
        <v>74</v>
      </c>
      <c r="N567" s="2" t="s">
        <v>74</v>
      </c>
      <c r="O567" s="2" t="s">
        <v>74</v>
      </c>
      <c r="P567" s="2" t="s">
        <v>74</v>
      </c>
      <c r="Q567" s="2" t="s">
        <v>74</v>
      </c>
      <c r="R567" s="2" t="s">
        <v>74</v>
      </c>
      <c r="S567" s="2" t="s">
        <v>74</v>
      </c>
      <c r="T567" s="2" t="s">
        <v>74</v>
      </c>
      <c r="U567" s="2" t="s">
        <v>74</v>
      </c>
      <c r="V567" s="5" t="s">
        <v>6147</v>
      </c>
      <c r="W567" s="2" t="s">
        <v>74</v>
      </c>
      <c r="X567" s="2" t="s">
        <v>74</v>
      </c>
      <c r="Y567" s="2" t="s">
        <v>74</v>
      </c>
      <c r="Z567" s="2" t="s">
        <v>74</v>
      </c>
      <c r="AA567" s="2" t="s">
        <v>74</v>
      </c>
      <c r="AB567" s="2" t="s">
        <v>74</v>
      </c>
      <c r="AC567" s="2" t="s">
        <v>74</v>
      </c>
      <c r="AD567" s="2" t="s">
        <v>74</v>
      </c>
      <c r="AE567" s="2" t="s">
        <v>74</v>
      </c>
      <c r="AF567" s="2" t="s">
        <v>74</v>
      </c>
      <c r="AG567" s="2" t="s">
        <v>74</v>
      </c>
      <c r="AH567" s="2" t="s">
        <v>74</v>
      </c>
      <c r="AI567" s="2" t="s">
        <v>74</v>
      </c>
      <c r="AJ567" s="2" t="s">
        <v>74</v>
      </c>
      <c r="AK567" s="2" t="s">
        <v>74</v>
      </c>
      <c r="AL567" s="2" t="s">
        <v>74</v>
      </c>
      <c r="AM567" s="2" t="s">
        <v>74</v>
      </c>
      <c r="AN567" s="2" t="s">
        <v>74</v>
      </c>
      <c r="AO567" s="2" t="s">
        <v>101</v>
      </c>
      <c r="AP567" s="2" t="s">
        <v>1218</v>
      </c>
      <c r="AQ567" s="2" t="s">
        <v>74</v>
      </c>
      <c r="AR567" s="2" t="s">
        <v>74</v>
      </c>
      <c r="AS567" s="2" t="s">
        <v>74</v>
      </c>
      <c r="AT567" s="2" t="s">
        <v>123</v>
      </c>
      <c r="AU567" s="2">
        <v>2007</v>
      </c>
      <c r="AV567" s="2">
        <v>119</v>
      </c>
      <c r="AW567" s="2">
        <v>1</v>
      </c>
      <c r="AX567" s="2" t="s">
        <v>74</v>
      </c>
      <c r="AY567" s="2" t="s">
        <v>74</v>
      </c>
      <c r="AZ567" s="2" t="s">
        <v>74</v>
      </c>
      <c r="BA567" s="2" t="s">
        <v>74</v>
      </c>
      <c r="BB567" s="2">
        <v>89</v>
      </c>
      <c r="BC567" s="2">
        <v>94</v>
      </c>
      <c r="BD567" s="2" t="s">
        <v>74</v>
      </c>
      <c r="BE567" s="2" t="s">
        <v>6148</v>
      </c>
      <c r="BF567" s="2" t="str">
        <f>HYPERLINK("http://dx.doi.org/10.1676/05-158.1","http://dx.doi.org/10.1676/05-158.1")</f>
        <v>http://dx.doi.org/10.1676/05-158.1</v>
      </c>
      <c r="BG567" s="2" t="s">
        <v>74</v>
      </c>
      <c r="BH567" s="2" t="s">
        <v>74</v>
      </c>
      <c r="BI567" s="2" t="s">
        <v>74</v>
      </c>
      <c r="BJ567" s="2" t="s">
        <v>74</v>
      </c>
      <c r="BK567" s="2" t="s">
        <v>74</v>
      </c>
      <c r="BL567" s="2" t="s">
        <v>74</v>
      </c>
      <c r="BM567" s="2" t="s">
        <v>74</v>
      </c>
      <c r="BN567" s="2" t="s">
        <v>74</v>
      </c>
      <c r="BO567" s="2" t="s">
        <v>74</v>
      </c>
      <c r="BP567" s="2" t="s">
        <v>74</v>
      </c>
      <c r="BQ567" s="2" t="s">
        <v>74</v>
      </c>
      <c r="BR567" s="2" t="s">
        <v>74</v>
      </c>
      <c r="BS567" s="2" t="s">
        <v>6149</v>
      </c>
      <c r="BT567" s="2" t="str">
        <f>HYPERLINK("https%3A%2F%2Fwww.webofscience.com%2Fwos%2Fwoscc%2Ffull-record%2FWOS:000245113700010","View Full Record in Web of Science")</f>
        <v>View Full Record in Web of Science</v>
      </c>
    </row>
    <row r="568" spans="1:72" s="2" customFormat="1" x14ac:dyDescent="0.4">
      <c r="A568" s="2" t="s">
        <v>72</v>
      </c>
      <c r="B568" s="2" t="s">
        <v>4825</v>
      </c>
      <c r="C568" s="2" t="s">
        <v>74</v>
      </c>
      <c r="D568" s="2" t="s">
        <v>74</v>
      </c>
      <c r="E568" s="2" t="s">
        <v>74</v>
      </c>
      <c r="F568" s="2" t="s">
        <v>4825</v>
      </c>
      <c r="G568" s="2" t="s">
        <v>74</v>
      </c>
      <c r="H568" s="2" t="s">
        <v>74</v>
      </c>
      <c r="I568" s="2" t="s">
        <v>4826</v>
      </c>
      <c r="J568" s="2" t="s">
        <v>1126</v>
      </c>
      <c r="K568" s="2" t="s">
        <v>74</v>
      </c>
      <c r="L568" s="2" t="s">
        <v>74</v>
      </c>
      <c r="M568" s="2" t="s">
        <v>74</v>
      </c>
      <c r="N568" s="2" t="s">
        <v>74</v>
      </c>
      <c r="O568" s="2" t="s">
        <v>74</v>
      </c>
      <c r="P568" s="2" t="s">
        <v>74</v>
      </c>
      <c r="Q568" s="2" t="s">
        <v>74</v>
      </c>
      <c r="R568" s="2" t="s">
        <v>74</v>
      </c>
      <c r="S568" s="2" t="s">
        <v>74</v>
      </c>
      <c r="T568" s="2" t="s">
        <v>74</v>
      </c>
      <c r="U568" s="2" t="s">
        <v>74</v>
      </c>
      <c r="V568" s="5" t="s">
        <v>4827</v>
      </c>
      <c r="W568" s="2" t="s">
        <v>74</v>
      </c>
      <c r="X568" s="2" t="s">
        <v>74</v>
      </c>
      <c r="Y568" s="2" t="s">
        <v>74</v>
      </c>
      <c r="Z568" s="2" t="s">
        <v>74</v>
      </c>
      <c r="AA568" s="2" t="s">
        <v>4828</v>
      </c>
      <c r="AB568" s="2" t="s">
        <v>4829</v>
      </c>
      <c r="AC568" s="2" t="s">
        <v>74</v>
      </c>
      <c r="AD568" s="2" t="s">
        <v>74</v>
      </c>
      <c r="AE568" s="2" t="s">
        <v>74</v>
      </c>
      <c r="AF568" s="2" t="s">
        <v>74</v>
      </c>
      <c r="AG568" s="2" t="s">
        <v>74</v>
      </c>
      <c r="AH568" s="2" t="s">
        <v>74</v>
      </c>
      <c r="AI568" s="2" t="s">
        <v>74</v>
      </c>
      <c r="AJ568" s="2" t="s">
        <v>74</v>
      </c>
      <c r="AK568" s="2" t="s">
        <v>74</v>
      </c>
      <c r="AL568" s="2" t="s">
        <v>74</v>
      </c>
      <c r="AM568" s="2" t="s">
        <v>74</v>
      </c>
      <c r="AN568" s="2" t="s">
        <v>74</v>
      </c>
      <c r="AO568" s="2" t="s">
        <v>1128</v>
      </c>
      <c r="AP568" s="2" t="s">
        <v>1129</v>
      </c>
      <c r="AQ568" s="2" t="s">
        <v>74</v>
      </c>
      <c r="AR568" s="2" t="s">
        <v>74</v>
      </c>
      <c r="AS568" s="2" t="s">
        <v>74</v>
      </c>
      <c r="AT568" s="2" t="s">
        <v>4830</v>
      </c>
      <c r="AU568" s="2">
        <v>2003</v>
      </c>
      <c r="AV568" s="2" t="s">
        <v>74</v>
      </c>
      <c r="AW568" s="2">
        <v>1</v>
      </c>
      <c r="AX568" s="2" t="s">
        <v>74</v>
      </c>
      <c r="AY568" s="2" t="s">
        <v>74</v>
      </c>
      <c r="AZ568" s="2" t="s">
        <v>74</v>
      </c>
      <c r="BA568" s="2" t="s">
        <v>74</v>
      </c>
      <c r="BB568" s="2">
        <v>181</v>
      </c>
      <c r="BC568" s="2">
        <v>186</v>
      </c>
      <c r="BD568" s="2" t="s">
        <v>74</v>
      </c>
      <c r="BE568" s="2" t="s">
        <v>4831</v>
      </c>
      <c r="BF568" s="2" t="str">
        <f>HYPERLINK("http://dx.doi.org/10.1643/0045-8511(2003)003[0181:EOFMCC]2.0.CO;2","http://dx.doi.org/10.1643/0045-8511(2003)003[0181:EOFMCC]2.0.CO;2")</f>
        <v>http://dx.doi.org/10.1643/0045-8511(2003)003[0181:EOFMCC]2.0.CO;2</v>
      </c>
      <c r="BG568" s="2" t="s">
        <v>74</v>
      </c>
      <c r="BH568" s="2" t="s">
        <v>74</v>
      </c>
      <c r="BI568" s="2" t="s">
        <v>74</v>
      </c>
      <c r="BJ568" s="2" t="s">
        <v>74</v>
      </c>
      <c r="BK568" s="2" t="s">
        <v>74</v>
      </c>
      <c r="BL568" s="2" t="s">
        <v>74</v>
      </c>
      <c r="BM568" s="2" t="s">
        <v>74</v>
      </c>
      <c r="BN568" s="2" t="s">
        <v>74</v>
      </c>
      <c r="BO568" s="2" t="s">
        <v>74</v>
      </c>
      <c r="BP568" s="2" t="s">
        <v>74</v>
      </c>
      <c r="BQ568" s="2" t="s">
        <v>74</v>
      </c>
      <c r="BR568" s="2" t="s">
        <v>74</v>
      </c>
      <c r="BS568" s="2" t="s">
        <v>4832</v>
      </c>
      <c r="BT568" s="2" t="str">
        <f>HYPERLINK("https%3A%2F%2Fwww.webofscience.com%2Fwos%2Fwoscc%2Ffull-record%2FWOS:000181477800020","View Full Record in Web of Science")</f>
        <v>View Full Record in Web of Science</v>
      </c>
    </row>
    <row r="569" spans="1:72" s="2" customFormat="1" x14ac:dyDescent="0.4">
      <c r="A569" s="2" t="s">
        <v>72</v>
      </c>
      <c r="B569" s="2" t="s">
        <v>8598</v>
      </c>
      <c r="C569" s="2" t="s">
        <v>74</v>
      </c>
      <c r="D569" s="2" t="s">
        <v>74</v>
      </c>
      <c r="E569" s="2" t="s">
        <v>74</v>
      </c>
      <c r="F569" s="2" t="s">
        <v>8599</v>
      </c>
      <c r="G569" s="2" t="s">
        <v>74</v>
      </c>
      <c r="H569" s="2" t="s">
        <v>74</v>
      </c>
      <c r="I569" s="2" t="s">
        <v>8600</v>
      </c>
      <c r="J569" s="2" t="s">
        <v>3100</v>
      </c>
      <c r="K569" s="2" t="s">
        <v>74</v>
      </c>
      <c r="L569" s="2" t="s">
        <v>74</v>
      </c>
      <c r="M569" s="2" t="s">
        <v>74</v>
      </c>
      <c r="N569" s="2" t="s">
        <v>74</v>
      </c>
      <c r="O569" s="2" t="s">
        <v>74</v>
      </c>
      <c r="P569" s="2" t="s">
        <v>74</v>
      </c>
      <c r="Q569" s="2" t="s">
        <v>74</v>
      </c>
      <c r="R569" s="2" t="s">
        <v>74</v>
      </c>
      <c r="S569" s="2" t="s">
        <v>74</v>
      </c>
      <c r="T569" s="2" t="s">
        <v>74</v>
      </c>
      <c r="U569" s="2" t="s">
        <v>74</v>
      </c>
      <c r="V569" s="5" t="s">
        <v>8601</v>
      </c>
      <c r="W569" s="2" t="s">
        <v>74</v>
      </c>
      <c r="X569" s="2" t="s">
        <v>74</v>
      </c>
      <c r="Y569" s="2" t="s">
        <v>74</v>
      </c>
      <c r="Z569" s="2" t="s">
        <v>74</v>
      </c>
      <c r="AA569" s="2" t="s">
        <v>8602</v>
      </c>
      <c r="AB569" s="2" t="s">
        <v>8603</v>
      </c>
      <c r="AC569" s="2" t="s">
        <v>74</v>
      </c>
      <c r="AD569" s="2" t="s">
        <v>74</v>
      </c>
      <c r="AE569" s="2" t="s">
        <v>74</v>
      </c>
      <c r="AF569" s="2" t="s">
        <v>74</v>
      </c>
      <c r="AG569" s="2" t="s">
        <v>74</v>
      </c>
      <c r="AH569" s="2" t="s">
        <v>74</v>
      </c>
      <c r="AI569" s="2" t="s">
        <v>74</v>
      </c>
      <c r="AJ569" s="2" t="s">
        <v>74</v>
      </c>
      <c r="AK569" s="2" t="s">
        <v>74</v>
      </c>
      <c r="AL569" s="2" t="s">
        <v>74</v>
      </c>
      <c r="AM569" s="2" t="s">
        <v>74</v>
      </c>
      <c r="AN569" s="2" t="s">
        <v>74</v>
      </c>
      <c r="AO569" s="2" t="s">
        <v>74</v>
      </c>
      <c r="AP569" s="2" t="s">
        <v>3104</v>
      </c>
      <c r="AQ569" s="2" t="s">
        <v>74</v>
      </c>
      <c r="AR569" s="2" t="s">
        <v>74</v>
      </c>
      <c r="AS569" s="2" t="s">
        <v>74</v>
      </c>
      <c r="AT569" s="2" t="s">
        <v>1247</v>
      </c>
      <c r="AU569" s="2">
        <v>2023</v>
      </c>
      <c r="AV569" s="2">
        <v>10</v>
      </c>
      <c r="AW569" s="2" t="s">
        <v>74</v>
      </c>
      <c r="AX569" s="2" t="s">
        <v>74</v>
      </c>
      <c r="AY569" s="2" t="s">
        <v>74</v>
      </c>
      <c r="AZ569" s="2" t="s">
        <v>74</v>
      </c>
      <c r="BA569" s="2" t="s">
        <v>74</v>
      </c>
      <c r="BB569" s="2" t="s">
        <v>74</v>
      </c>
      <c r="BC569" s="2" t="s">
        <v>74</v>
      </c>
      <c r="BD569" s="2">
        <v>1166632</v>
      </c>
      <c r="BE569" s="2" t="s">
        <v>8604</v>
      </c>
      <c r="BF569" s="2" t="str">
        <f>HYPERLINK("http://dx.doi.org/10.3389/fvets.2023.1166632","http://dx.doi.org/10.3389/fvets.2023.1166632")</f>
        <v>http://dx.doi.org/10.3389/fvets.2023.1166632</v>
      </c>
      <c r="BG569" s="2" t="s">
        <v>74</v>
      </c>
      <c r="BH569" s="2" t="s">
        <v>74</v>
      </c>
      <c r="BI569" s="2" t="s">
        <v>74</v>
      </c>
      <c r="BJ569" s="2" t="s">
        <v>74</v>
      </c>
      <c r="BK569" s="2" t="s">
        <v>74</v>
      </c>
      <c r="BL569" s="2" t="s">
        <v>74</v>
      </c>
      <c r="BM569" s="2" t="s">
        <v>74</v>
      </c>
      <c r="BN569" s="2">
        <v>37323835</v>
      </c>
      <c r="BO569" s="2" t="s">
        <v>74</v>
      </c>
      <c r="BP569" s="2" t="s">
        <v>74</v>
      </c>
      <c r="BQ569" s="2" t="s">
        <v>74</v>
      </c>
      <c r="BR569" s="2" t="s">
        <v>74</v>
      </c>
      <c r="BS569" s="2" t="s">
        <v>8605</v>
      </c>
      <c r="BT569" s="2" t="str">
        <f>HYPERLINK("https%3A%2F%2Fwww.webofscience.com%2Fwos%2Fwoscc%2Ffull-record%2FWOS:001007647700001","View Full Record in Web of Science")</f>
        <v>View Full Record in Web of Science</v>
      </c>
    </row>
    <row r="570" spans="1:72" s="2" customFormat="1" x14ac:dyDescent="0.4">
      <c r="A570" s="2" t="s">
        <v>72</v>
      </c>
      <c r="B570" s="2" t="s">
        <v>5646</v>
      </c>
      <c r="C570" s="2" t="s">
        <v>74</v>
      </c>
      <c r="D570" s="2" t="s">
        <v>74</v>
      </c>
      <c r="E570" s="2" t="s">
        <v>74</v>
      </c>
      <c r="F570" s="2" t="s">
        <v>5646</v>
      </c>
      <c r="G570" s="2" t="s">
        <v>74</v>
      </c>
      <c r="H570" s="2" t="s">
        <v>74</v>
      </c>
      <c r="I570" s="2" t="s">
        <v>5647</v>
      </c>
      <c r="J570" s="2" t="s">
        <v>731</v>
      </c>
      <c r="K570" s="2" t="s">
        <v>74</v>
      </c>
      <c r="L570" s="2" t="s">
        <v>74</v>
      </c>
      <c r="M570" s="2" t="s">
        <v>74</v>
      </c>
      <c r="N570" s="2" t="s">
        <v>74</v>
      </c>
      <c r="O570" s="2" t="s">
        <v>74</v>
      </c>
      <c r="P570" s="2" t="s">
        <v>74</v>
      </c>
      <c r="Q570" s="2" t="s">
        <v>74</v>
      </c>
      <c r="R570" s="2" t="s">
        <v>74</v>
      </c>
      <c r="S570" s="2" t="s">
        <v>74</v>
      </c>
      <c r="T570" s="2" t="s">
        <v>74</v>
      </c>
      <c r="U570" s="2" t="s">
        <v>74</v>
      </c>
      <c r="V570" s="5" t="s">
        <v>5648</v>
      </c>
      <c r="W570" s="2" t="s">
        <v>74</v>
      </c>
      <c r="X570" s="2" t="s">
        <v>74</v>
      </c>
      <c r="Y570" s="2" t="s">
        <v>74</v>
      </c>
      <c r="Z570" s="2" t="s">
        <v>74</v>
      </c>
      <c r="AA570" s="2" t="s">
        <v>74</v>
      </c>
      <c r="AB570" s="2" t="s">
        <v>5649</v>
      </c>
      <c r="AC570" s="2" t="s">
        <v>74</v>
      </c>
      <c r="AD570" s="2" t="s">
        <v>74</v>
      </c>
      <c r="AE570" s="2" t="s">
        <v>74</v>
      </c>
      <c r="AF570" s="2" t="s">
        <v>74</v>
      </c>
      <c r="AG570" s="2" t="s">
        <v>74</v>
      </c>
      <c r="AH570" s="2" t="s">
        <v>74</v>
      </c>
      <c r="AI570" s="2" t="s">
        <v>74</v>
      </c>
      <c r="AJ570" s="2" t="s">
        <v>74</v>
      </c>
      <c r="AK570" s="2" t="s">
        <v>74</v>
      </c>
      <c r="AL570" s="2" t="s">
        <v>74</v>
      </c>
      <c r="AM570" s="2" t="s">
        <v>74</v>
      </c>
      <c r="AN570" s="2" t="s">
        <v>74</v>
      </c>
      <c r="AO570" s="2" t="s">
        <v>733</v>
      </c>
      <c r="AP570" s="2" t="s">
        <v>734</v>
      </c>
      <c r="AQ570" s="2" t="s">
        <v>74</v>
      </c>
      <c r="AR570" s="2" t="s">
        <v>74</v>
      </c>
      <c r="AS570" s="2" t="s">
        <v>74</v>
      </c>
      <c r="AT570" s="2" t="s">
        <v>2022</v>
      </c>
      <c r="AU570" s="2">
        <v>2005</v>
      </c>
      <c r="AV570" s="2">
        <v>159</v>
      </c>
      <c r="AW570" s="2">
        <v>1</v>
      </c>
      <c r="AX570" s="2" t="s">
        <v>74</v>
      </c>
      <c r="AY570" s="2" t="s">
        <v>74</v>
      </c>
      <c r="AZ570" s="2" t="s">
        <v>74</v>
      </c>
      <c r="BA570" s="2" t="s">
        <v>74</v>
      </c>
      <c r="BB570" s="2">
        <v>37</v>
      </c>
      <c r="BC570" s="2">
        <v>41</v>
      </c>
      <c r="BD570" s="2" t="s">
        <v>74</v>
      </c>
      <c r="BE570" s="2" t="s">
        <v>5650</v>
      </c>
      <c r="BF570" s="2" t="str">
        <f>HYPERLINK("http://dx.doi.org/10.1016/j.bbr.2004.09.024","http://dx.doi.org/10.1016/j.bbr.2004.09.024")</f>
        <v>http://dx.doi.org/10.1016/j.bbr.2004.09.024</v>
      </c>
      <c r="BG570" s="2" t="s">
        <v>74</v>
      </c>
      <c r="BH570" s="2" t="s">
        <v>74</v>
      </c>
      <c r="BI570" s="2" t="s">
        <v>74</v>
      </c>
      <c r="BJ570" s="2" t="s">
        <v>74</v>
      </c>
      <c r="BK570" s="2" t="s">
        <v>74</v>
      </c>
      <c r="BL570" s="2" t="s">
        <v>74</v>
      </c>
      <c r="BM570" s="2" t="s">
        <v>74</v>
      </c>
      <c r="BN570" s="2">
        <v>15794995</v>
      </c>
      <c r="BO570" s="2" t="s">
        <v>74</v>
      </c>
      <c r="BP570" s="2" t="s">
        <v>74</v>
      </c>
      <c r="BQ570" s="2" t="s">
        <v>74</v>
      </c>
      <c r="BR570" s="2" t="s">
        <v>74</v>
      </c>
      <c r="BS570" s="2" t="s">
        <v>5651</v>
      </c>
      <c r="BT570" s="2" t="str">
        <f>HYPERLINK("https%3A%2F%2Fwww.webofscience.com%2Fwos%2Fwoscc%2Ffull-record%2FWOS:000228509700005","View Full Record in Web of Science")</f>
        <v>View Full Record in Web of Science</v>
      </c>
    </row>
    <row r="571" spans="1:72" s="2" customFormat="1" x14ac:dyDescent="0.4">
      <c r="A571" s="2" t="s">
        <v>72</v>
      </c>
      <c r="B571" s="2" t="s">
        <v>5141</v>
      </c>
      <c r="C571" s="2" t="s">
        <v>74</v>
      </c>
      <c r="D571" s="2" t="s">
        <v>74</v>
      </c>
      <c r="E571" s="2" t="s">
        <v>74</v>
      </c>
      <c r="F571" s="2" t="s">
        <v>5142</v>
      </c>
      <c r="G571" s="2" t="s">
        <v>74</v>
      </c>
      <c r="H571" s="2" t="s">
        <v>74</v>
      </c>
      <c r="I571" s="2" t="s">
        <v>5143</v>
      </c>
      <c r="J571" s="2" t="s">
        <v>5144</v>
      </c>
      <c r="K571" s="2" t="s">
        <v>74</v>
      </c>
      <c r="L571" s="2" t="s">
        <v>74</v>
      </c>
      <c r="M571" s="2" t="s">
        <v>74</v>
      </c>
      <c r="N571" s="2" t="s">
        <v>74</v>
      </c>
      <c r="O571" s="2" t="s">
        <v>74</v>
      </c>
      <c r="P571" s="2" t="s">
        <v>74</v>
      </c>
      <c r="Q571" s="2" t="s">
        <v>74</v>
      </c>
      <c r="R571" s="2" t="s">
        <v>74</v>
      </c>
      <c r="S571" s="2" t="s">
        <v>74</v>
      </c>
      <c r="T571" s="2" t="s">
        <v>74</v>
      </c>
      <c r="U571" s="2" t="s">
        <v>74</v>
      </c>
      <c r="V571" s="5" t="s">
        <v>5145</v>
      </c>
      <c r="W571" s="2" t="s">
        <v>74</v>
      </c>
      <c r="X571" s="2" t="s">
        <v>74</v>
      </c>
      <c r="Y571" s="2" t="s">
        <v>74</v>
      </c>
      <c r="Z571" s="2" t="s">
        <v>74</v>
      </c>
      <c r="AA571" s="2" t="s">
        <v>74</v>
      </c>
      <c r="AB571" s="2" t="s">
        <v>5146</v>
      </c>
      <c r="AC571" s="2" t="s">
        <v>74</v>
      </c>
      <c r="AD571" s="2" t="s">
        <v>74</v>
      </c>
      <c r="AE571" s="2" t="s">
        <v>74</v>
      </c>
      <c r="AF571" s="2" t="s">
        <v>74</v>
      </c>
      <c r="AG571" s="2" t="s">
        <v>74</v>
      </c>
      <c r="AH571" s="2" t="s">
        <v>74</v>
      </c>
      <c r="AI571" s="2" t="s">
        <v>74</v>
      </c>
      <c r="AJ571" s="2" t="s">
        <v>74</v>
      </c>
      <c r="AK571" s="2" t="s">
        <v>74</v>
      </c>
      <c r="AL571" s="2" t="s">
        <v>74</v>
      </c>
      <c r="AM571" s="2" t="s">
        <v>74</v>
      </c>
      <c r="AN571" s="2" t="s">
        <v>74</v>
      </c>
      <c r="AO571" s="2" t="s">
        <v>74</v>
      </c>
      <c r="AP571" s="2" t="s">
        <v>5147</v>
      </c>
      <c r="AQ571" s="2" t="s">
        <v>74</v>
      </c>
      <c r="AR571" s="2" t="s">
        <v>74</v>
      </c>
      <c r="AS571" s="2" t="s">
        <v>74</v>
      </c>
      <c r="AT571" s="2" t="s">
        <v>74</v>
      </c>
      <c r="AU571" s="2">
        <v>2020</v>
      </c>
      <c r="AV571" s="2">
        <v>2</v>
      </c>
      <c r="AW571" s="2">
        <v>1</v>
      </c>
      <c r="AX571" s="2" t="s">
        <v>74</v>
      </c>
      <c r="AY571" s="2" t="s">
        <v>74</v>
      </c>
      <c r="AZ571" s="2" t="s">
        <v>74</v>
      </c>
      <c r="BA571" s="2" t="s">
        <v>74</v>
      </c>
      <c r="BB571" s="2" t="s">
        <v>74</v>
      </c>
      <c r="BC571" s="2" t="s">
        <v>74</v>
      </c>
      <c r="BD571" s="2" t="s">
        <v>5148</v>
      </c>
      <c r="BE571" s="2" t="s">
        <v>5149</v>
      </c>
      <c r="BF571" s="2" t="str">
        <f>HYPERLINK("http://dx.doi.org/10.1093/iob/obaa027","http://dx.doi.org/10.1093/iob/obaa027")</f>
        <v>http://dx.doi.org/10.1093/iob/obaa027</v>
      </c>
      <c r="BG571" s="2" t="s">
        <v>74</v>
      </c>
      <c r="BH571" s="2" t="s">
        <v>74</v>
      </c>
      <c r="BI571" s="2" t="s">
        <v>74</v>
      </c>
      <c r="BJ571" s="2" t="s">
        <v>74</v>
      </c>
      <c r="BK571" s="2" t="s">
        <v>74</v>
      </c>
      <c r="BL571" s="2" t="s">
        <v>74</v>
      </c>
      <c r="BM571" s="2" t="s">
        <v>74</v>
      </c>
      <c r="BN571" s="2">
        <v>33791567</v>
      </c>
      <c r="BO571" s="2" t="s">
        <v>74</v>
      </c>
      <c r="BP571" s="2" t="s">
        <v>74</v>
      </c>
      <c r="BQ571" s="2" t="s">
        <v>74</v>
      </c>
      <c r="BR571" s="2" t="s">
        <v>74</v>
      </c>
      <c r="BS571" s="2" t="s">
        <v>5150</v>
      </c>
      <c r="BT571" s="2" t="str">
        <f>HYPERLINK("https%3A%2F%2Fwww.webofscience.com%2Fwos%2Fwoscc%2Ffull-record%2FWOS:000613108900027","View Full Record in Web of Science")</f>
        <v>View Full Record in Web of Science</v>
      </c>
    </row>
    <row r="572" spans="1:72" s="2" customFormat="1" x14ac:dyDescent="0.4">
      <c r="A572" s="2" t="s">
        <v>72</v>
      </c>
      <c r="B572" s="2" t="s">
        <v>5389</v>
      </c>
      <c r="C572" s="2" t="s">
        <v>74</v>
      </c>
      <c r="D572" s="2" t="s">
        <v>74</v>
      </c>
      <c r="E572" s="2" t="s">
        <v>74</v>
      </c>
      <c r="F572" s="2" t="s">
        <v>5390</v>
      </c>
      <c r="G572" s="2" t="s">
        <v>74</v>
      </c>
      <c r="H572" s="2" t="s">
        <v>74</v>
      </c>
      <c r="I572" s="2" t="s">
        <v>5391</v>
      </c>
      <c r="J572" s="2" t="s">
        <v>140</v>
      </c>
      <c r="K572" s="2" t="s">
        <v>74</v>
      </c>
      <c r="L572" s="2" t="s">
        <v>74</v>
      </c>
      <c r="M572" s="2" t="s">
        <v>74</v>
      </c>
      <c r="N572" s="2" t="s">
        <v>74</v>
      </c>
      <c r="O572" s="2" t="s">
        <v>74</v>
      </c>
      <c r="P572" s="2" t="s">
        <v>74</v>
      </c>
      <c r="Q572" s="2" t="s">
        <v>74</v>
      </c>
      <c r="R572" s="2" t="s">
        <v>74</v>
      </c>
      <c r="S572" s="2" t="s">
        <v>74</v>
      </c>
      <c r="T572" s="2" t="s">
        <v>74</v>
      </c>
      <c r="U572" s="2" t="s">
        <v>74</v>
      </c>
      <c r="V572" s="5" t="s">
        <v>5392</v>
      </c>
      <c r="W572" s="2" t="s">
        <v>74</v>
      </c>
      <c r="X572" s="2" t="s">
        <v>74</v>
      </c>
      <c r="Y572" s="2" t="s">
        <v>74</v>
      </c>
      <c r="Z572" s="2" t="s">
        <v>74</v>
      </c>
      <c r="AA572" s="2" t="s">
        <v>74</v>
      </c>
      <c r="AB572" s="2" t="s">
        <v>5146</v>
      </c>
      <c r="AC572" s="2" t="s">
        <v>74</v>
      </c>
      <c r="AD572" s="2" t="s">
        <v>74</v>
      </c>
      <c r="AE572" s="2" t="s">
        <v>74</v>
      </c>
      <c r="AF572" s="2" t="s">
        <v>74</v>
      </c>
      <c r="AG572" s="2" t="s">
        <v>74</v>
      </c>
      <c r="AH572" s="2" t="s">
        <v>74</v>
      </c>
      <c r="AI572" s="2" t="s">
        <v>74</v>
      </c>
      <c r="AJ572" s="2" t="s">
        <v>74</v>
      </c>
      <c r="AK572" s="2" t="s">
        <v>74</v>
      </c>
      <c r="AL572" s="2" t="s">
        <v>74</v>
      </c>
      <c r="AM572" s="2" t="s">
        <v>74</v>
      </c>
      <c r="AN572" s="2" t="s">
        <v>74</v>
      </c>
      <c r="AO572" s="2" t="s">
        <v>143</v>
      </c>
      <c r="AP572" s="2" t="s">
        <v>144</v>
      </c>
      <c r="AQ572" s="2" t="s">
        <v>74</v>
      </c>
      <c r="AR572" s="2" t="s">
        <v>74</v>
      </c>
      <c r="AS572" s="2" t="s">
        <v>74</v>
      </c>
      <c r="AT572" s="2" t="s">
        <v>255</v>
      </c>
      <c r="AU572" s="2">
        <v>2019</v>
      </c>
      <c r="AV572" s="2">
        <v>147</v>
      </c>
      <c r="AW572" s="2" t="s">
        <v>74</v>
      </c>
      <c r="AX572" s="2" t="s">
        <v>74</v>
      </c>
      <c r="AY572" s="2" t="s">
        <v>74</v>
      </c>
      <c r="AZ572" s="2" t="s">
        <v>74</v>
      </c>
      <c r="BA572" s="2" t="s">
        <v>74</v>
      </c>
      <c r="BB572" s="2">
        <v>115</v>
      </c>
      <c r="BC572" s="2">
        <v>123</v>
      </c>
      <c r="BD572" s="2" t="s">
        <v>74</v>
      </c>
      <c r="BE572" s="2" t="s">
        <v>5393</v>
      </c>
      <c r="BF572" s="2" t="str">
        <f>HYPERLINK("http://dx.doi.org/10.1016/j.anbehav.2018.11.011","http://dx.doi.org/10.1016/j.anbehav.2018.11.011")</f>
        <v>http://dx.doi.org/10.1016/j.anbehav.2018.11.011</v>
      </c>
      <c r="BG572" s="2" t="s">
        <v>74</v>
      </c>
      <c r="BH572" s="2" t="s">
        <v>74</v>
      </c>
      <c r="BI572" s="2" t="s">
        <v>74</v>
      </c>
      <c r="BJ572" s="2" t="s">
        <v>74</v>
      </c>
      <c r="BK572" s="2" t="s">
        <v>74</v>
      </c>
      <c r="BL572" s="2" t="s">
        <v>74</v>
      </c>
      <c r="BM572" s="2" t="s">
        <v>74</v>
      </c>
      <c r="BN572" s="2" t="s">
        <v>74</v>
      </c>
      <c r="BO572" s="2" t="s">
        <v>74</v>
      </c>
      <c r="BP572" s="2" t="s">
        <v>74</v>
      </c>
      <c r="BQ572" s="2" t="s">
        <v>74</v>
      </c>
      <c r="BR572" s="2" t="s">
        <v>74</v>
      </c>
      <c r="BS572" s="2" t="s">
        <v>5394</v>
      </c>
      <c r="BT572" s="2" t="str">
        <f>HYPERLINK("https%3A%2F%2Fwww.webofscience.com%2Fwos%2Fwoscc%2Ffull-record%2FWOS:000455323900014","View Full Record in Web of Science")</f>
        <v>View Full Record in Web of Science</v>
      </c>
    </row>
    <row r="573" spans="1:72" s="2" customFormat="1" x14ac:dyDescent="0.4">
      <c r="A573" s="2" t="s">
        <v>72</v>
      </c>
      <c r="B573" s="2" t="s">
        <v>4617</v>
      </c>
      <c r="C573" s="2" t="s">
        <v>74</v>
      </c>
      <c r="D573" s="2" t="s">
        <v>74</v>
      </c>
      <c r="E573" s="2" t="s">
        <v>74</v>
      </c>
      <c r="F573" s="2" t="s">
        <v>4618</v>
      </c>
      <c r="G573" s="2" t="s">
        <v>74</v>
      </c>
      <c r="H573" s="2" t="s">
        <v>74</v>
      </c>
      <c r="I573" s="2" t="s">
        <v>4619</v>
      </c>
      <c r="J573" s="2" t="s">
        <v>4620</v>
      </c>
      <c r="K573" s="2" t="s">
        <v>74</v>
      </c>
      <c r="L573" s="2" t="s">
        <v>74</v>
      </c>
      <c r="M573" s="2" t="s">
        <v>74</v>
      </c>
      <c r="N573" s="2" t="s">
        <v>74</v>
      </c>
      <c r="O573" s="2" t="s">
        <v>74</v>
      </c>
      <c r="P573" s="2" t="s">
        <v>74</v>
      </c>
      <c r="Q573" s="2" t="s">
        <v>74</v>
      </c>
      <c r="R573" s="2" t="s">
        <v>74</v>
      </c>
      <c r="S573" s="2" t="s">
        <v>74</v>
      </c>
      <c r="T573" s="2" t="s">
        <v>74</v>
      </c>
      <c r="U573" s="2" t="s">
        <v>74</v>
      </c>
      <c r="V573" s="5" t="s">
        <v>4621</v>
      </c>
      <c r="W573" s="2" t="s">
        <v>74</v>
      </c>
      <c r="X573" s="2" t="s">
        <v>74</v>
      </c>
      <c r="Y573" s="2" t="s">
        <v>74</v>
      </c>
      <c r="Z573" s="2" t="s">
        <v>74</v>
      </c>
      <c r="AA573" s="2" t="s">
        <v>4622</v>
      </c>
      <c r="AB573" s="2" t="s">
        <v>74</v>
      </c>
      <c r="AC573" s="2" t="s">
        <v>74</v>
      </c>
      <c r="AD573" s="2" t="s">
        <v>74</v>
      </c>
      <c r="AE573" s="2" t="s">
        <v>74</v>
      </c>
      <c r="AF573" s="2" t="s">
        <v>74</v>
      </c>
      <c r="AG573" s="2" t="s">
        <v>74</v>
      </c>
      <c r="AH573" s="2" t="s">
        <v>74</v>
      </c>
      <c r="AI573" s="2" t="s">
        <v>74</v>
      </c>
      <c r="AJ573" s="2" t="s">
        <v>74</v>
      </c>
      <c r="AK573" s="2" t="s">
        <v>74</v>
      </c>
      <c r="AL573" s="2" t="s">
        <v>74</v>
      </c>
      <c r="AM573" s="2" t="s">
        <v>74</v>
      </c>
      <c r="AN573" s="2" t="s">
        <v>74</v>
      </c>
      <c r="AO573" s="2" t="s">
        <v>4623</v>
      </c>
      <c r="AP573" s="2" t="s">
        <v>74</v>
      </c>
      <c r="AQ573" s="2" t="s">
        <v>74</v>
      </c>
      <c r="AR573" s="2" t="s">
        <v>74</v>
      </c>
      <c r="AS573" s="2" t="s">
        <v>74</v>
      </c>
      <c r="AT573" s="2" t="s">
        <v>74</v>
      </c>
      <c r="AU573" s="2">
        <v>2009</v>
      </c>
      <c r="AV573" s="2">
        <v>48</v>
      </c>
      <c r="AW573" s="2">
        <v>3</v>
      </c>
      <c r="AX573" s="2" t="s">
        <v>74</v>
      </c>
      <c r="AY573" s="2" t="s">
        <v>74</v>
      </c>
      <c r="AZ573" s="2" t="s">
        <v>74</v>
      </c>
      <c r="BA573" s="2" t="s">
        <v>74</v>
      </c>
      <c r="BB573" s="2">
        <v>209</v>
      </c>
      <c r="BC573" s="2">
        <v>214</v>
      </c>
      <c r="BD573" s="2" t="s">
        <v>74</v>
      </c>
      <c r="BE573" s="2" t="s">
        <v>4624</v>
      </c>
      <c r="BF573" s="2" t="str">
        <f>HYPERLINK("http://dx.doi.org/10.3896/IBRA.1.48.3.10","http://dx.doi.org/10.3896/IBRA.1.48.3.10")</f>
        <v>http://dx.doi.org/10.3896/IBRA.1.48.3.10</v>
      </c>
      <c r="BG573" s="2" t="s">
        <v>74</v>
      </c>
      <c r="BH573" s="2" t="s">
        <v>74</v>
      </c>
      <c r="BI573" s="2" t="s">
        <v>74</v>
      </c>
      <c r="BJ573" s="2" t="s">
        <v>74</v>
      </c>
      <c r="BK573" s="2" t="s">
        <v>74</v>
      </c>
      <c r="BL573" s="2" t="s">
        <v>74</v>
      </c>
      <c r="BM573" s="2" t="s">
        <v>74</v>
      </c>
      <c r="BN573" s="2" t="s">
        <v>74</v>
      </c>
      <c r="BO573" s="2" t="s">
        <v>74</v>
      </c>
      <c r="BP573" s="2" t="s">
        <v>74</v>
      </c>
      <c r="BQ573" s="2" t="s">
        <v>74</v>
      </c>
      <c r="BR573" s="2" t="s">
        <v>74</v>
      </c>
      <c r="BS573" s="2" t="s">
        <v>4625</v>
      </c>
      <c r="BT573" s="2" t="str">
        <f>HYPERLINK("https%3A%2F%2Fwww.webofscience.com%2Fwos%2Fwoscc%2Ffull-record%2FWOS:000267851900010","View Full Record in Web of Science")</f>
        <v>View Full Record in Web of Science</v>
      </c>
    </row>
    <row r="574" spans="1:72" s="2" customFormat="1" x14ac:dyDescent="0.4">
      <c r="A574" s="2" t="s">
        <v>72</v>
      </c>
      <c r="B574" s="2" t="s">
        <v>1419</v>
      </c>
      <c r="C574" s="2" t="s">
        <v>74</v>
      </c>
      <c r="D574" s="2" t="s">
        <v>74</v>
      </c>
      <c r="E574" s="2" t="s">
        <v>74</v>
      </c>
      <c r="F574" s="2" t="s">
        <v>1420</v>
      </c>
      <c r="G574" s="2" t="s">
        <v>74</v>
      </c>
      <c r="H574" s="2" t="s">
        <v>74</v>
      </c>
      <c r="I574" s="2" t="s">
        <v>1421</v>
      </c>
      <c r="J574" s="2" t="s">
        <v>119</v>
      </c>
      <c r="K574" s="2" t="s">
        <v>74</v>
      </c>
      <c r="L574" s="2" t="s">
        <v>74</v>
      </c>
      <c r="M574" s="2" t="s">
        <v>74</v>
      </c>
      <c r="N574" s="2" t="s">
        <v>74</v>
      </c>
      <c r="O574" s="2" t="s">
        <v>74</v>
      </c>
      <c r="P574" s="2" t="s">
        <v>74</v>
      </c>
      <c r="Q574" s="2" t="s">
        <v>74</v>
      </c>
      <c r="R574" s="2" t="s">
        <v>74</v>
      </c>
      <c r="S574" s="2" t="s">
        <v>74</v>
      </c>
      <c r="T574" s="2" t="s">
        <v>74</v>
      </c>
      <c r="U574" s="2" t="s">
        <v>74</v>
      </c>
      <c r="V574" s="5" t="s">
        <v>1422</v>
      </c>
      <c r="W574" s="2" t="s">
        <v>74</v>
      </c>
      <c r="X574" s="2" t="s">
        <v>74</v>
      </c>
      <c r="Y574" s="2" t="s">
        <v>74</v>
      </c>
      <c r="Z574" s="2" t="s">
        <v>74</v>
      </c>
      <c r="AA574" s="2" t="s">
        <v>1423</v>
      </c>
      <c r="AB574" s="2" t="s">
        <v>1424</v>
      </c>
      <c r="AC574" s="2" t="s">
        <v>74</v>
      </c>
      <c r="AD574" s="2" t="s">
        <v>74</v>
      </c>
      <c r="AE574" s="2" t="s">
        <v>74</v>
      </c>
      <c r="AF574" s="2" t="s">
        <v>74</v>
      </c>
      <c r="AG574" s="2" t="s">
        <v>74</v>
      </c>
      <c r="AH574" s="2" t="s">
        <v>74</v>
      </c>
      <c r="AI574" s="2" t="s">
        <v>74</v>
      </c>
      <c r="AJ574" s="2" t="s">
        <v>74</v>
      </c>
      <c r="AK574" s="2" t="s">
        <v>74</v>
      </c>
      <c r="AL574" s="2" t="s">
        <v>74</v>
      </c>
      <c r="AM574" s="2" t="s">
        <v>74</v>
      </c>
      <c r="AN574" s="2" t="s">
        <v>74</v>
      </c>
      <c r="AO574" s="2" t="s">
        <v>121</v>
      </c>
      <c r="AP574" s="2" t="s">
        <v>122</v>
      </c>
      <c r="AQ574" s="2" t="s">
        <v>74</v>
      </c>
      <c r="AR574" s="2" t="s">
        <v>74</v>
      </c>
      <c r="AS574" s="2" t="s">
        <v>74</v>
      </c>
      <c r="AT574" s="2" t="s">
        <v>134</v>
      </c>
      <c r="AU574" s="2">
        <v>2018</v>
      </c>
      <c r="AV574" s="2">
        <v>150</v>
      </c>
      <c r="AW574" s="2" t="s">
        <v>74</v>
      </c>
      <c r="AX574" s="2" t="s">
        <v>74</v>
      </c>
      <c r="AY574" s="2" t="s">
        <v>74</v>
      </c>
      <c r="AZ574" s="2" t="s">
        <v>74</v>
      </c>
      <c r="BA574" s="2" t="s">
        <v>74</v>
      </c>
      <c r="BB574" s="2">
        <v>25</v>
      </c>
      <c r="BC574" s="2">
        <v>28</v>
      </c>
      <c r="BD574" s="2" t="s">
        <v>74</v>
      </c>
      <c r="BE574" s="2" t="s">
        <v>1425</v>
      </c>
      <c r="BF574" s="2" t="str">
        <f>HYPERLINK("http://dx.doi.org/10.1016/j.beproc.2018.02.006","http://dx.doi.org/10.1016/j.beproc.2018.02.006")</f>
        <v>http://dx.doi.org/10.1016/j.beproc.2018.02.006</v>
      </c>
      <c r="BG574" s="2" t="s">
        <v>74</v>
      </c>
      <c r="BH574" s="2" t="s">
        <v>74</v>
      </c>
      <c r="BI574" s="2" t="s">
        <v>74</v>
      </c>
      <c r="BJ574" s="2" t="s">
        <v>74</v>
      </c>
      <c r="BK574" s="2" t="s">
        <v>74</v>
      </c>
      <c r="BL574" s="2" t="s">
        <v>74</v>
      </c>
      <c r="BM574" s="2" t="s">
        <v>74</v>
      </c>
      <c r="BN574" s="2">
        <v>29447852</v>
      </c>
      <c r="BO574" s="2" t="s">
        <v>74</v>
      </c>
      <c r="BP574" s="2" t="s">
        <v>74</v>
      </c>
      <c r="BQ574" s="2" t="s">
        <v>74</v>
      </c>
      <c r="BR574" s="2" t="s">
        <v>74</v>
      </c>
      <c r="BS574" s="2" t="s">
        <v>1426</v>
      </c>
      <c r="BT574" s="2" t="str">
        <f>HYPERLINK("https%3A%2F%2Fwww.webofscience.com%2Fwos%2Fwoscc%2Ffull-record%2FWOS:000430765900004","View Full Record in Web of Science")</f>
        <v>View Full Record in Web of Science</v>
      </c>
    </row>
    <row r="575" spans="1:72" s="2" customFormat="1" x14ac:dyDescent="0.4">
      <c r="A575" s="2" t="s">
        <v>72</v>
      </c>
      <c r="B575" s="2" t="s">
        <v>839</v>
      </c>
      <c r="C575" s="2" t="s">
        <v>74</v>
      </c>
      <c r="D575" s="2" t="s">
        <v>74</v>
      </c>
      <c r="E575" s="2" t="s">
        <v>74</v>
      </c>
      <c r="F575" s="2" t="s">
        <v>840</v>
      </c>
      <c r="G575" s="2" t="s">
        <v>74</v>
      </c>
      <c r="H575" s="2" t="s">
        <v>74</v>
      </c>
      <c r="I575" s="2" t="s">
        <v>841</v>
      </c>
      <c r="J575" s="2" t="s">
        <v>842</v>
      </c>
      <c r="K575" s="2" t="s">
        <v>74</v>
      </c>
      <c r="L575" s="2" t="s">
        <v>74</v>
      </c>
      <c r="M575" s="2" t="s">
        <v>74</v>
      </c>
      <c r="N575" s="2" t="s">
        <v>74</v>
      </c>
      <c r="O575" s="2" t="s">
        <v>74</v>
      </c>
      <c r="P575" s="2" t="s">
        <v>74</v>
      </c>
      <c r="Q575" s="2" t="s">
        <v>74</v>
      </c>
      <c r="R575" s="2" t="s">
        <v>74</v>
      </c>
      <c r="S575" s="2" t="s">
        <v>74</v>
      </c>
      <c r="T575" s="2" t="s">
        <v>74</v>
      </c>
      <c r="U575" s="2" t="s">
        <v>74</v>
      </c>
      <c r="V575" s="5" t="s">
        <v>843</v>
      </c>
      <c r="W575" s="2" t="s">
        <v>74</v>
      </c>
      <c r="X575" s="2" t="s">
        <v>74</v>
      </c>
      <c r="Y575" s="2" t="s">
        <v>74</v>
      </c>
      <c r="Z575" s="2" t="s">
        <v>74</v>
      </c>
      <c r="AA575" s="2" t="s">
        <v>844</v>
      </c>
      <c r="AB575" s="2" t="s">
        <v>845</v>
      </c>
      <c r="AC575" s="2" t="s">
        <v>74</v>
      </c>
      <c r="AD575" s="2" t="s">
        <v>74</v>
      </c>
      <c r="AE575" s="2" t="s">
        <v>74</v>
      </c>
      <c r="AF575" s="2" t="s">
        <v>74</v>
      </c>
      <c r="AG575" s="2" t="s">
        <v>74</v>
      </c>
      <c r="AH575" s="2" t="s">
        <v>74</v>
      </c>
      <c r="AI575" s="2" t="s">
        <v>74</v>
      </c>
      <c r="AJ575" s="2" t="s">
        <v>74</v>
      </c>
      <c r="AK575" s="2" t="s">
        <v>74</v>
      </c>
      <c r="AL575" s="2" t="s">
        <v>74</v>
      </c>
      <c r="AM575" s="2" t="s">
        <v>74</v>
      </c>
      <c r="AN575" s="2" t="s">
        <v>74</v>
      </c>
      <c r="AO575" s="2" t="s">
        <v>846</v>
      </c>
      <c r="AP575" s="2" t="s">
        <v>847</v>
      </c>
      <c r="AQ575" s="2" t="s">
        <v>74</v>
      </c>
      <c r="AR575" s="2" t="s">
        <v>74</v>
      </c>
      <c r="AS575" s="2" t="s">
        <v>74</v>
      </c>
      <c r="AT575" s="2" t="s">
        <v>204</v>
      </c>
      <c r="AU575" s="2">
        <v>2013</v>
      </c>
      <c r="AV575" s="2">
        <v>75</v>
      </c>
      <c r="AW575" s="2">
        <v>7</v>
      </c>
      <c r="AX575" s="2" t="s">
        <v>74</v>
      </c>
      <c r="AY575" s="2" t="s">
        <v>74</v>
      </c>
      <c r="AZ575" s="2" t="s">
        <v>848</v>
      </c>
      <c r="BA575" s="2" t="s">
        <v>74</v>
      </c>
      <c r="BB575" s="2">
        <v>740</v>
      </c>
      <c r="BC575" s="2">
        <v>751</v>
      </c>
      <c r="BD575" s="2" t="s">
        <v>74</v>
      </c>
      <c r="BE575" s="2" t="s">
        <v>849</v>
      </c>
      <c r="BF575" s="2" t="str">
        <f>HYPERLINK("http://dx.doi.org/10.1002/ajp.22099","http://dx.doi.org/10.1002/ajp.22099")</f>
        <v>http://dx.doi.org/10.1002/ajp.22099</v>
      </c>
      <c r="BG575" s="2" t="s">
        <v>74</v>
      </c>
      <c r="BH575" s="2" t="s">
        <v>74</v>
      </c>
      <c r="BI575" s="2" t="s">
        <v>74</v>
      </c>
      <c r="BJ575" s="2" t="s">
        <v>74</v>
      </c>
      <c r="BK575" s="2" t="s">
        <v>74</v>
      </c>
      <c r="BL575" s="2" t="s">
        <v>74</v>
      </c>
      <c r="BM575" s="2" t="s">
        <v>74</v>
      </c>
      <c r="BN575" s="2">
        <v>23192604</v>
      </c>
      <c r="BO575" s="2" t="s">
        <v>74</v>
      </c>
      <c r="BP575" s="2" t="s">
        <v>74</v>
      </c>
      <c r="BQ575" s="2" t="s">
        <v>74</v>
      </c>
      <c r="BR575" s="2" t="s">
        <v>74</v>
      </c>
      <c r="BS575" s="2" t="s">
        <v>850</v>
      </c>
      <c r="BT575" s="2" t="str">
        <f>HYPERLINK("https%3A%2F%2Fwww.webofscience.com%2Fwos%2Fwoscc%2Ffull-record%2FWOS:000319001000009","View Full Record in Web of Science")</f>
        <v>View Full Record in Web of Science</v>
      </c>
    </row>
    <row r="576" spans="1:72" s="2" customFormat="1" x14ac:dyDescent="0.4">
      <c r="A576" s="2" t="s">
        <v>72</v>
      </c>
      <c r="B576" s="2" t="s">
        <v>5681</v>
      </c>
      <c r="C576" s="2" t="s">
        <v>74</v>
      </c>
      <c r="D576" s="2" t="s">
        <v>74</v>
      </c>
      <c r="E576" s="2" t="s">
        <v>74</v>
      </c>
      <c r="F576" s="2" t="s">
        <v>5682</v>
      </c>
      <c r="G576" s="2" t="s">
        <v>74</v>
      </c>
      <c r="H576" s="2" t="s">
        <v>74</v>
      </c>
      <c r="I576" s="2" t="s">
        <v>5683</v>
      </c>
      <c r="J576" s="2" t="s">
        <v>5684</v>
      </c>
      <c r="K576" s="2" t="s">
        <v>74</v>
      </c>
      <c r="L576" s="2" t="s">
        <v>74</v>
      </c>
      <c r="M576" s="2" t="s">
        <v>74</v>
      </c>
      <c r="N576" s="2" t="s">
        <v>74</v>
      </c>
      <c r="O576" s="2" t="s">
        <v>74</v>
      </c>
      <c r="P576" s="2" t="s">
        <v>74</v>
      </c>
      <c r="Q576" s="2" t="s">
        <v>74</v>
      </c>
      <c r="R576" s="2" t="s">
        <v>74</v>
      </c>
      <c r="S576" s="2" t="s">
        <v>74</v>
      </c>
      <c r="T576" s="2" t="s">
        <v>74</v>
      </c>
      <c r="U576" s="2" t="s">
        <v>74</v>
      </c>
      <c r="V576" s="5" t="s">
        <v>5685</v>
      </c>
      <c r="W576" s="2" t="s">
        <v>74</v>
      </c>
      <c r="X576" s="2" t="s">
        <v>74</v>
      </c>
      <c r="Y576" s="2" t="s">
        <v>74</v>
      </c>
      <c r="Z576" s="2" t="s">
        <v>74</v>
      </c>
      <c r="AA576" s="2" t="s">
        <v>5686</v>
      </c>
      <c r="AB576" s="2" t="s">
        <v>5687</v>
      </c>
      <c r="AC576" s="2" t="s">
        <v>74</v>
      </c>
      <c r="AD576" s="2" t="s">
        <v>74</v>
      </c>
      <c r="AE576" s="2" t="s">
        <v>74</v>
      </c>
      <c r="AF576" s="2" t="s">
        <v>74</v>
      </c>
      <c r="AG576" s="2" t="s">
        <v>74</v>
      </c>
      <c r="AH576" s="2" t="s">
        <v>74</v>
      </c>
      <c r="AI576" s="2" t="s">
        <v>74</v>
      </c>
      <c r="AJ576" s="2" t="s">
        <v>74</v>
      </c>
      <c r="AK576" s="2" t="s">
        <v>74</v>
      </c>
      <c r="AL576" s="2" t="s">
        <v>74</v>
      </c>
      <c r="AM576" s="2" t="s">
        <v>74</v>
      </c>
      <c r="AN576" s="2" t="s">
        <v>74</v>
      </c>
      <c r="AO576" s="2" t="s">
        <v>5688</v>
      </c>
      <c r="AP576" s="2" t="s">
        <v>5689</v>
      </c>
      <c r="AQ576" s="2" t="s">
        <v>74</v>
      </c>
      <c r="AR576" s="2" t="s">
        <v>74</v>
      </c>
      <c r="AS576" s="2" t="s">
        <v>74</v>
      </c>
      <c r="AT576" s="2" t="s">
        <v>102</v>
      </c>
      <c r="AU576" s="2">
        <v>2018</v>
      </c>
      <c r="AV576" s="2">
        <v>74</v>
      </c>
      <c r="AW576" s="2">
        <v>6</v>
      </c>
      <c r="AX576" s="2" t="s">
        <v>74</v>
      </c>
      <c r="AY576" s="2" t="s">
        <v>74</v>
      </c>
      <c r="AZ576" s="2" t="s">
        <v>74</v>
      </c>
      <c r="BA576" s="2" t="s">
        <v>74</v>
      </c>
      <c r="BB576" s="2">
        <v>1404</v>
      </c>
      <c r="BC576" s="2">
        <v>1415</v>
      </c>
      <c r="BD576" s="2" t="s">
        <v>74</v>
      </c>
      <c r="BE576" s="2" t="s">
        <v>5690</v>
      </c>
      <c r="BF576" s="2" t="str">
        <f>HYPERLINK("http://dx.doi.org/10.1002/ps.4820","http://dx.doi.org/10.1002/ps.4820")</f>
        <v>http://dx.doi.org/10.1002/ps.4820</v>
      </c>
      <c r="BG576" s="2" t="s">
        <v>74</v>
      </c>
      <c r="BH576" s="2" t="s">
        <v>74</v>
      </c>
      <c r="BI576" s="2" t="s">
        <v>74</v>
      </c>
      <c r="BJ576" s="2" t="s">
        <v>74</v>
      </c>
      <c r="BK576" s="2" t="s">
        <v>74</v>
      </c>
      <c r="BL576" s="2" t="s">
        <v>74</v>
      </c>
      <c r="BM576" s="2" t="s">
        <v>74</v>
      </c>
      <c r="BN576" s="2">
        <v>29205860</v>
      </c>
      <c r="BO576" s="2" t="s">
        <v>74</v>
      </c>
      <c r="BP576" s="2" t="s">
        <v>74</v>
      </c>
      <c r="BQ576" s="2" t="s">
        <v>74</v>
      </c>
      <c r="BR576" s="2" t="s">
        <v>74</v>
      </c>
      <c r="BS576" s="2" t="s">
        <v>5691</v>
      </c>
      <c r="BT576" s="2" t="str">
        <f>HYPERLINK("https%3A%2F%2Fwww.webofscience.com%2Fwos%2Fwoscc%2Ffull-record%2FWOS:000431670200022","View Full Record in Web of Science")</f>
        <v>View Full Record in Web of Science</v>
      </c>
    </row>
    <row r="577" spans="1:72" s="2" customFormat="1" x14ac:dyDescent="0.4">
      <c r="A577" s="2" t="s">
        <v>72</v>
      </c>
      <c r="B577" s="2" t="s">
        <v>7108</v>
      </c>
      <c r="C577" s="2" t="s">
        <v>74</v>
      </c>
      <c r="D577" s="2" t="s">
        <v>74</v>
      </c>
      <c r="E577" s="2" t="s">
        <v>74</v>
      </c>
      <c r="F577" s="2" t="s">
        <v>7109</v>
      </c>
      <c r="G577" s="2" t="s">
        <v>74</v>
      </c>
      <c r="H577" s="2" t="s">
        <v>74</v>
      </c>
      <c r="I577" s="2" t="s">
        <v>7110</v>
      </c>
      <c r="J577" s="2" t="s">
        <v>3411</v>
      </c>
      <c r="K577" s="2" t="s">
        <v>74</v>
      </c>
      <c r="L577" s="2" t="s">
        <v>74</v>
      </c>
      <c r="M577" s="2" t="s">
        <v>74</v>
      </c>
      <c r="N577" s="2" t="s">
        <v>74</v>
      </c>
      <c r="O577" s="2" t="s">
        <v>74</v>
      </c>
      <c r="P577" s="2" t="s">
        <v>74</v>
      </c>
      <c r="Q577" s="2" t="s">
        <v>74</v>
      </c>
      <c r="R577" s="2" t="s">
        <v>74</v>
      </c>
      <c r="S577" s="2" t="s">
        <v>74</v>
      </c>
      <c r="T577" s="2" t="s">
        <v>74</v>
      </c>
      <c r="U577" s="2" t="s">
        <v>74</v>
      </c>
      <c r="V577" s="5" t="s">
        <v>7111</v>
      </c>
      <c r="W577" s="2" t="s">
        <v>74</v>
      </c>
      <c r="X577" s="2" t="s">
        <v>74</v>
      </c>
      <c r="Y577" s="2" t="s">
        <v>74</v>
      </c>
      <c r="Z577" s="2" t="s">
        <v>74</v>
      </c>
      <c r="AA577" s="2" t="s">
        <v>7112</v>
      </c>
      <c r="AB577" s="2" t="s">
        <v>7113</v>
      </c>
      <c r="AC577" s="2" t="s">
        <v>74</v>
      </c>
      <c r="AD577" s="2" t="s">
        <v>74</v>
      </c>
      <c r="AE577" s="2" t="s">
        <v>74</v>
      </c>
      <c r="AF577" s="2" t="s">
        <v>74</v>
      </c>
      <c r="AG577" s="2" t="s">
        <v>74</v>
      </c>
      <c r="AH577" s="2" t="s">
        <v>74</v>
      </c>
      <c r="AI577" s="2" t="s">
        <v>74</v>
      </c>
      <c r="AJ577" s="2" t="s">
        <v>74</v>
      </c>
      <c r="AK577" s="2" t="s">
        <v>74</v>
      </c>
      <c r="AL577" s="2" t="s">
        <v>74</v>
      </c>
      <c r="AM577" s="2" t="s">
        <v>74</v>
      </c>
      <c r="AN577" s="2" t="s">
        <v>74</v>
      </c>
      <c r="AO577" s="2" t="s">
        <v>3415</v>
      </c>
      <c r="AP577" s="2" t="s">
        <v>3416</v>
      </c>
      <c r="AQ577" s="2" t="s">
        <v>74</v>
      </c>
      <c r="AR577" s="2" t="s">
        <v>74</v>
      </c>
      <c r="AS577" s="2" t="s">
        <v>74</v>
      </c>
      <c r="AT577" s="2" t="s">
        <v>74</v>
      </c>
      <c r="AU577" s="2">
        <v>2010</v>
      </c>
      <c r="AV577" s="2">
        <v>110</v>
      </c>
      <c r="AW577" s="2">
        <v>2</v>
      </c>
      <c r="AX577" s="2" t="s">
        <v>74</v>
      </c>
      <c r="AY577" s="2" t="s">
        <v>74</v>
      </c>
      <c r="AZ577" s="2" t="s">
        <v>74</v>
      </c>
      <c r="BA577" s="2" t="s">
        <v>74</v>
      </c>
      <c r="BB577" s="2">
        <v>142</v>
      </c>
      <c r="BC577" s="2">
        <v>145</v>
      </c>
      <c r="BD577" s="2" t="s">
        <v>74</v>
      </c>
      <c r="BE577" s="2" t="s">
        <v>7114</v>
      </c>
      <c r="BF577" s="2" t="str">
        <f>HYPERLINK("http://dx.doi.org/10.1071/MU09016","http://dx.doi.org/10.1071/MU09016")</f>
        <v>http://dx.doi.org/10.1071/MU09016</v>
      </c>
      <c r="BG577" s="2" t="s">
        <v>74</v>
      </c>
      <c r="BH577" s="2" t="s">
        <v>74</v>
      </c>
      <c r="BI577" s="2" t="s">
        <v>74</v>
      </c>
      <c r="BJ577" s="2" t="s">
        <v>74</v>
      </c>
      <c r="BK577" s="2" t="s">
        <v>74</v>
      </c>
      <c r="BL577" s="2" t="s">
        <v>74</v>
      </c>
      <c r="BM577" s="2" t="s">
        <v>74</v>
      </c>
      <c r="BN577" s="2" t="s">
        <v>74</v>
      </c>
      <c r="BO577" s="2" t="s">
        <v>74</v>
      </c>
      <c r="BP577" s="2" t="s">
        <v>74</v>
      </c>
      <c r="BQ577" s="2" t="s">
        <v>74</v>
      </c>
      <c r="BR577" s="2" t="s">
        <v>74</v>
      </c>
      <c r="BS577" s="2" t="s">
        <v>7115</v>
      </c>
      <c r="BT577" s="2" t="str">
        <f>HYPERLINK("https%3A%2F%2Fwww.webofscience.com%2Fwos%2Fwoscc%2Ffull-record%2FWOS:000278020200006","View Full Record in Web of Science")</f>
        <v>View Full Record in Web of Science</v>
      </c>
    </row>
    <row r="578" spans="1:72" s="2" customFormat="1" x14ac:dyDescent="0.4">
      <c r="A578" s="2" t="s">
        <v>72</v>
      </c>
      <c r="B578" s="2" t="s">
        <v>5016</v>
      </c>
      <c r="C578" s="2" t="s">
        <v>74</v>
      </c>
      <c r="D578" s="2" t="s">
        <v>74</v>
      </c>
      <c r="E578" s="2" t="s">
        <v>74</v>
      </c>
      <c r="F578" s="2" t="s">
        <v>5017</v>
      </c>
      <c r="G578" s="2" t="s">
        <v>74</v>
      </c>
      <c r="H578" s="2" t="s">
        <v>74</v>
      </c>
      <c r="I578" s="2" t="s">
        <v>5018</v>
      </c>
      <c r="J578" s="2" t="s">
        <v>2651</v>
      </c>
      <c r="K578" s="2" t="s">
        <v>74</v>
      </c>
      <c r="L578" s="2" t="s">
        <v>74</v>
      </c>
      <c r="M578" s="2" t="s">
        <v>74</v>
      </c>
      <c r="N578" s="2" t="s">
        <v>74</v>
      </c>
      <c r="O578" s="2" t="s">
        <v>74</v>
      </c>
      <c r="P578" s="2" t="s">
        <v>74</v>
      </c>
      <c r="Q578" s="2" t="s">
        <v>74</v>
      </c>
      <c r="R578" s="2" t="s">
        <v>74</v>
      </c>
      <c r="S578" s="2" t="s">
        <v>74</v>
      </c>
      <c r="T578" s="2" t="s">
        <v>74</v>
      </c>
      <c r="U578" s="2" t="s">
        <v>74</v>
      </c>
      <c r="V578" s="5" t="s">
        <v>5019</v>
      </c>
      <c r="W578" s="2" t="s">
        <v>74</v>
      </c>
      <c r="X578" s="2" t="s">
        <v>74</v>
      </c>
      <c r="Y578" s="2" t="s">
        <v>74</v>
      </c>
      <c r="Z578" s="2" t="s">
        <v>74</v>
      </c>
      <c r="AA578" s="2" t="s">
        <v>5020</v>
      </c>
      <c r="AB578" s="2" t="s">
        <v>5021</v>
      </c>
      <c r="AC578" s="2" t="s">
        <v>74</v>
      </c>
      <c r="AD578" s="2" t="s">
        <v>74</v>
      </c>
      <c r="AE578" s="2" t="s">
        <v>74</v>
      </c>
      <c r="AF578" s="2" t="s">
        <v>74</v>
      </c>
      <c r="AG578" s="2" t="s">
        <v>74</v>
      </c>
      <c r="AH578" s="2" t="s">
        <v>74</v>
      </c>
      <c r="AI578" s="2" t="s">
        <v>74</v>
      </c>
      <c r="AJ578" s="2" t="s">
        <v>74</v>
      </c>
      <c r="AK578" s="2" t="s">
        <v>74</v>
      </c>
      <c r="AL578" s="2" t="s">
        <v>74</v>
      </c>
      <c r="AM578" s="2" t="s">
        <v>74</v>
      </c>
      <c r="AN578" s="2" t="s">
        <v>74</v>
      </c>
      <c r="AO578" s="2" t="s">
        <v>2655</v>
      </c>
      <c r="AP578" s="2" t="s">
        <v>2656</v>
      </c>
      <c r="AQ578" s="2" t="s">
        <v>74</v>
      </c>
      <c r="AR578" s="2" t="s">
        <v>74</v>
      </c>
      <c r="AS578" s="2" t="s">
        <v>74</v>
      </c>
      <c r="AT578" s="2" t="s">
        <v>134</v>
      </c>
      <c r="AU578" s="2">
        <v>2022</v>
      </c>
      <c r="AV578" s="2">
        <v>43</v>
      </c>
      <c r="AW578" s="2">
        <v>3</v>
      </c>
      <c r="AX578" s="2" t="s">
        <v>74</v>
      </c>
      <c r="AY578" s="2" t="s">
        <v>74</v>
      </c>
      <c r="AZ578" s="2" t="s">
        <v>74</v>
      </c>
      <c r="BA578" s="2" t="s">
        <v>74</v>
      </c>
      <c r="BB578" s="2">
        <v>169</v>
      </c>
      <c r="BC578" s="2">
        <v>180</v>
      </c>
      <c r="BD578" s="2" t="s">
        <v>74</v>
      </c>
      <c r="BE578" s="2" t="s">
        <v>5022</v>
      </c>
      <c r="BF578" s="2" t="str">
        <f>HYPERLINK("http://dx.doi.org/10.1016/j.evolhumbehav.2021.12.004","http://dx.doi.org/10.1016/j.evolhumbehav.2021.12.004")</f>
        <v>http://dx.doi.org/10.1016/j.evolhumbehav.2021.12.004</v>
      </c>
      <c r="BG578" s="2" t="s">
        <v>74</v>
      </c>
      <c r="BH578" s="2" t="s">
        <v>2006</v>
      </c>
      <c r="BI578" s="2" t="s">
        <v>74</v>
      </c>
      <c r="BJ578" s="2" t="s">
        <v>74</v>
      </c>
      <c r="BK578" s="2" t="s">
        <v>74</v>
      </c>
      <c r="BL578" s="2" t="s">
        <v>74</v>
      </c>
      <c r="BM578" s="2" t="s">
        <v>74</v>
      </c>
      <c r="BN578" s="2" t="s">
        <v>74</v>
      </c>
      <c r="BO578" s="2" t="s">
        <v>74</v>
      </c>
      <c r="BP578" s="2" t="s">
        <v>74</v>
      </c>
      <c r="BQ578" s="2" t="s">
        <v>74</v>
      </c>
      <c r="BR578" s="2" t="s">
        <v>74</v>
      </c>
      <c r="BS578" s="2" t="s">
        <v>5023</v>
      </c>
      <c r="BT578" s="2" t="str">
        <f>HYPERLINK("https%3A%2F%2Fwww.webofscience.com%2Fwos%2Fwoscc%2Ffull-record%2FWOS:000797243400001","View Full Record in Web of Science")</f>
        <v>View Full Record in Web of Science</v>
      </c>
    </row>
    <row r="579" spans="1:72" s="2" customFormat="1" x14ac:dyDescent="0.4">
      <c r="A579" s="2" t="s">
        <v>72</v>
      </c>
      <c r="B579" s="2" t="s">
        <v>278</v>
      </c>
      <c r="C579" s="2" t="s">
        <v>74</v>
      </c>
      <c r="D579" s="2" t="s">
        <v>74</v>
      </c>
      <c r="E579" s="2" t="s">
        <v>74</v>
      </c>
      <c r="F579" s="2" t="s">
        <v>279</v>
      </c>
      <c r="G579" s="2" t="s">
        <v>74</v>
      </c>
      <c r="H579" s="2" t="s">
        <v>74</v>
      </c>
      <c r="I579" s="2" t="s">
        <v>280</v>
      </c>
      <c r="J579" s="2" t="s">
        <v>281</v>
      </c>
      <c r="K579" s="2" t="s">
        <v>74</v>
      </c>
      <c r="L579" s="2" t="s">
        <v>74</v>
      </c>
      <c r="M579" s="2" t="s">
        <v>74</v>
      </c>
      <c r="N579" s="2" t="s">
        <v>74</v>
      </c>
      <c r="O579" s="2" t="s">
        <v>74</v>
      </c>
      <c r="P579" s="2" t="s">
        <v>74</v>
      </c>
      <c r="Q579" s="2" t="s">
        <v>74</v>
      </c>
      <c r="R579" s="2" t="s">
        <v>74</v>
      </c>
      <c r="S579" s="2" t="s">
        <v>74</v>
      </c>
      <c r="T579" s="2" t="s">
        <v>74</v>
      </c>
      <c r="U579" s="2" t="s">
        <v>74</v>
      </c>
      <c r="V579" s="5" t="s">
        <v>282</v>
      </c>
      <c r="W579" s="2" t="s">
        <v>74</v>
      </c>
      <c r="X579" s="2" t="s">
        <v>74</v>
      </c>
      <c r="Y579" s="2" t="s">
        <v>74</v>
      </c>
      <c r="Z579" s="2" t="s">
        <v>74</v>
      </c>
      <c r="AA579" s="2" t="s">
        <v>283</v>
      </c>
      <c r="AB579" s="2" t="s">
        <v>284</v>
      </c>
      <c r="AC579" s="2" t="s">
        <v>74</v>
      </c>
      <c r="AD579" s="2" t="s">
        <v>74</v>
      </c>
      <c r="AE579" s="2" t="s">
        <v>74</v>
      </c>
      <c r="AF579" s="2" t="s">
        <v>74</v>
      </c>
      <c r="AG579" s="2" t="s">
        <v>74</v>
      </c>
      <c r="AH579" s="2" t="s">
        <v>74</v>
      </c>
      <c r="AI579" s="2" t="s">
        <v>74</v>
      </c>
      <c r="AJ579" s="2" t="s">
        <v>74</v>
      </c>
      <c r="AK579" s="2" t="s">
        <v>74</v>
      </c>
      <c r="AL579" s="2" t="s">
        <v>74</v>
      </c>
      <c r="AM579" s="2" t="s">
        <v>74</v>
      </c>
      <c r="AN579" s="2" t="s">
        <v>74</v>
      </c>
      <c r="AO579" s="2" t="s">
        <v>285</v>
      </c>
      <c r="AP579" s="2" t="s">
        <v>286</v>
      </c>
      <c r="AQ579" s="2" t="s">
        <v>74</v>
      </c>
      <c r="AR579" s="2" t="s">
        <v>74</v>
      </c>
      <c r="AS579" s="2" t="s">
        <v>74</v>
      </c>
      <c r="AT579" s="2" t="s">
        <v>123</v>
      </c>
      <c r="AU579" s="2">
        <v>2013</v>
      </c>
      <c r="AV579" s="2">
        <v>16</v>
      </c>
      <c r="AW579" s="2">
        <v>2</v>
      </c>
      <c r="AX579" s="2" t="s">
        <v>74</v>
      </c>
      <c r="AY579" s="2" t="s">
        <v>74</v>
      </c>
      <c r="AZ579" s="2" t="s">
        <v>74</v>
      </c>
      <c r="BA579" s="2" t="s">
        <v>74</v>
      </c>
      <c r="BB579" s="2">
        <v>287</v>
      </c>
      <c r="BC579" s="2">
        <v>300</v>
      </c>
      <c r="BD579" s="2" t="s">
        <v>74</v>
      </c>
      <c r="BE579" s="2" t="s">
        <v>287</v>
      </c>
      <c r="BF579" s="2" t="str">
        <f>HYPERLINK("http://dx.doi.org/10.1007/s10071-012-0572-0","http://dx.doi.org/10.1007/s10071-012-0572-0")</f>
        <v>http://dx.doi.org/10.1007/s10071-012-0572-0</v>
      </c>
      <c r="BG579" s="2" t="s">
        <v>74</v>
      </c>
      <c r="BH579" s="2" t="s">
        <v>74</v>
      </c>
      <c r="BI579" s="2" t="s">
        <v>74</v>
      </c>
      <c r="BJ579" s="2" t="s">
        <v>74</v>
      </c>
      <c r="BK579" s="2" t="s">
        <v>74</v>
      </c>
      <c r="BL579" s="2" t="s">
        <v>74</v>
      </c>
      <c r="BM579" s="2" t="s">
        <v>74</v>
      </c>
      <c r="BN579" s="2">
        <v>23111900</v>
      </c>
      <c r="BO579" s="2" t="s">
        <v>74</v>
      </c>
      <c r="BP579" s="2" t="s">
        <v>74</v>
      </c>
      <c r="BQ579" s="2" t="s">
        <v>74</v>
      </c>
      <c r="BR579" s="2" t="s">
        <v>74</v>
      </c>
      <c r="BS579" s="2" t="s">
        <v>288</v>
      </c>
      <c r="BT579" s="2" t="str">
        <f>HYPERLINK("https%3A%2F%2Fwww.webofscience.com%2Fwos%2Fwoscc%2Ffull-record%2FWOS:000315035100012","View Full Record in Web of Science")</f>
        <v>View Full Record in Web of Science</v>
      </c>
    </row>
    <row r="580" spans="1:72" s="2" customFormat="1" x14ac:dyDescent="0.4">
      <c r="A580" s="2" t="s">
        <v>72</v>
      </c>
      <c r="B580" s="2" t="s">
        <v>3057</v>
      </c>
      <c r="C580" s="2" t="s">
        <v>74</v>
      </c>
      <c r="D580" s="2" t="s">
        <v>74</v>
      </c>
      <c r="E580" s="2" t="s">
        <v>74</v>
      </c>
      <c r="F580" s="2" t="s">
        <v>3058</v>
      </c>
      <c r="G580" s="2" t="s">
        <v>74</v>
      </c>
      <c r="H580" s="2" t="s">
        <v>74</v>
      </c>
      <c r="I580" s="2" t="s">
        <v>3059</v>
      </c>
      <c r="J580" s="2" t="s">
        <v>333</v>
      </c>
      <c r="K580" s="2" t="s">
        <v>74</v>
      </c>
      <c r="L580" s="2" t="s">
        <v>74</v>
      </c>
      <c r="M580" s="2" t="s">
        <v>74</v>
      </c>
      <c r="N580" s="2" t="s">
        <v>74</v>
      </c>
      <c r="O580" s="2" t="s">
        <v>74</v>
      </c>
      <c r="P580" s="2" t="s">
        <v>74</v>
      </c>
      <c r="Q580" s="2" t="s">
        <v>74</v>
      </c>
      <c r="R580" s="2" t="s">
        <v>74</v>
      </c>
      <c r="S580" s="2" t="s">
        <v>74</v>
      </c>
      <c r="T580" s="2" t="s">
        <v>74</v>
      </c>
      <c r="U580" s="2" t="s">
        <v>74</v>
      </c>
      <c r="V580" s="5" t="s">
        <v>3060</v>
      </c>
      <c r="W580" s="2" t="s">
        <v>74</v>
      </c>
      <c r="X580" s="2" t="s">
        <v>74</v>
      </c>
      <c r="Y580" s="2" t="s">
        <v>74</v>
      </c>
      <c r="Z580" s="2" t="s">
        <v>74</v>
      </c>
      <c r="AA580" s="2" t="s">
        <v>3061</v>
      </c>
      <c r="AB580" s="2" t="s">
        <v>3062</v>
      </c>
      <c r="AC580" s="2" t="s">
        <v>74</v>
      </c>
      <c r="AD580" s="2" t="s">
        <v>74</v>
      </c>
      <c r="AE580" s="2" t="s">
        <v>74</v>
      </c>
      <c r="AF580" s="2" t="s">
        <v>74</v>
      </c>
      <c r="AG580" s="2" t="s">
        <v>74</v>
      </c>
      <c r="AH580" s="2" t="s">
        <v>74</v>
      </c>
      <c r="AI580" s="2" t="s">
        <v>74</v>
      </c>
      <c r="AJ580" s="2" t="s">
        <v>74</v>
      </c>
      <c r="AK580" s="2" t="s">
        <v>74</v>
      </c>
      <c r="AL580" s="2" t="s">
        <v>74</v>
      </c>
      <c r="AM580" s="2" t="s">
        <v>74</v>
      </c>
      <c r="AN580" s="2" t="s">
        <v>74</v>
      </c>
      <c r="AO580" s="2" t="s">
        <v>337</v>
      </c>
      <c r="AP580" s="2" t="s">
        <v>74</v>
      </c>
      <c r="AQ580" s="2" t="s">
        <v>74</v>
      </c>
      <c r="AR580" s="2" t="s">
        <v>74</v>
      </c>
      <c r="AS580" s="2" t="s">
        <v>74</v>
      </c>
      <c r="AT580" s="2" t="s">
        <v>808</v>
      </c>
      <c r="AU580" s="2">
        <v>2008</v>
      </c>
      <c r="AV580" s="2">
        <v>19</v>
      </c>
      <c r="AW580" s="2">
        <v>3</v>
      </c>
      <c r="AX580" s="2" t="s">
        <v>74</v>
      </c>
      <c r="AY580" s="2" t="s">
        <v>74</v>
      </c>
      <c r="AZ580" s="2" t="s">
        <v>74</v>
      </c>
      <c r="BA580" s="2" t="s">
        <v>74</v>
      </c>
      <c r="BB580" s="2">
        <v>508</v>
      </c>
      <c r="BC580" s="2">
        <v>516</v>
      </c>
      <c r="BD580" s="2" t="s">
        <v>74</v>
      </c>
      <c r="BE580" s="2" t="s">
        <v>3063</v>
      </c>
      <c r="BF580" s="2" t="str">
        <f>HYPERLINK("http://dx.doi.org/10.1093/beheco/arm159","http://dx.doi.org/10.1093/beheco/arm159")</f>
        <v>http://dx.doi.org/10.1093/beheco/arm159</v>
      </c>
      <c r="BG580" s="2" t="s">
        <v>74</v>
      </c>
      <c r="BH580" s="2" t="s">
        <v>74</v>
      </c>
      <c r="BI580" s="2" t="s">
        <v>74</v>
      </c>
      <c r="BJ580" s="2" t="s">
        <v>74</v>
      </c>
      <c r="BK580" s="2" t="s">
        <v>74</v>
      </c>
      <c r="BL580" s="2" t="s">
        <v>74</v>
      </c>
      <c r="BM580" s="2" t="s">
        <v>74</v>
      </c>
      <c r="BN580" s="2" t="s">
        <v>74</v>
      </c>
      <c r="BO580" s="2" t="s">
        <v>74</v>
      </c>
      <c r="BP580" s="2" t="s">
        <v>74</v>
      </c>
      <c r="BQ580" s="2" t="s">
        <v>74</v>
      </c>
      <c r="BR580" s="2" t="s">
        <v>74</v>
      </c>
      <c r="BS580" s="2" t="s">
        <v>3064</v>
      </c>
      <c r="BT580" s="2" t="str">
        <f>HYPERLINK("https%3A%2F%2Fwww.webofscience.com%2Fwos%2Fwoscc%2Ffull-record%2FWOS:000255987600006","View Full Record in Web of Science")</f>
        <v>View Full Record in Web of Science</v>
      </c>
    </row>
    <row r="581" spans="1:72" s="2" customFormat="1" x14ac:dyDescent="0.4">
      <c r="A581" s="2" t="s">
        <v>72</v>
      </c>
      <c r="B581" s="2" t="s">
        <v>8606</v>
      </c>
      <c r="C581" s="2" t="s">
        <v>74</v>
      </c>
      <c r="D581" s="2" t="s">
        <v>74</v>
      </c>
      <c r="E581" s="2" t="s">
        <v>74</v>
      </c>
      <c r="F581" s="2" t="s">
        <v>8607</v>
      </c>
      <c r="G581" s="2" t="s">
        <v>74</v>
      </c>
      <c r="H581" s="2" t="s">
        <v>74</v>
      </c>
      <c r="I581" s="2" t="s">
        <v>8608</v>
      </c>
      <c r="J581" s="2" t="s">
        <v>2207</v>
      </c>
      <c r="K581" s="2" t="s">
        <v>74</v>
      </c>
      <c r="L581" s="2" t="s">
        <v>74</v>
      </c>
      <c r="M581" s="2" t="s">
        <v>74</v>
      </c>
      <c r="N581" s="2" t="s">
        <v>74</v>
      </c>
      <c r="O581" s="2" t="s">
        <v>74</v>
      </c>
      <c r="P581" s="2" t="s">
        <v>74</v>
      </c>
      <c r="Q581" s="2" t="s">
        <v>74</v>
      </c>
      <c r="R581" s="2" t="s">
        <v>74</v>
      </c>
      <c r="S581" s="2" t="s">
        <v>74</v>
      </c>
      <c r="T581" s="2" t="s">
        <v>74</v>
      </c>
      <c r="U581" s="2" t="s">
        <v>74</v>
      </c>
      <c r="V581" s="5" t="s">
        <v>8609</v>
      </c>
      <c r="W581" s="2" t="s">
        <v>74</v>
      </c>
      <c r="X581" s="2" t="s">
        <v>74</v>
      </c>
      <c r="Y581" s="2" t="s">
        <v>74</v>
      </c>
      <c r="Z581" s="2" t="s">
        <v>74</v>
      </c>
      <c r="AA581" s="2" t="s">
        <v>8610</v>
      </c>
      <c r="AB581" s="2" t="s">
        <v>8611</v>
      </c>
      <c r="AC581" s="2" t="s">
        <v>74</v>
      </c>
      <c r="AD581" s="2" t="s">
        <v>74</v>
      </c>
      <c r="AE581" s="2" t="s">
        <v>74</v>
      </c>
      <c r="AF581" s="2" t="s">
        <v>74</v>
      </c>
      <c r="AG581" s="2" t="s">
        <v>74</v>
      </c>
      <c r="AH581" s="2" t="s">
        <v>74</v>
      </c>
      <c r="AI581" s="2" t="s">
        <v>74</v>
      </c>
      <c r="AJ581" s="2" t="s">
        <v>74</v>
      </c>
      <c r="AK581" s="2" t="s">
        <v>74</v>
      </c>
      <c r="AL581" s="2" t="s">
        <v>74</v>
      </c>
      <c r="AM581" s="2" t="s">
        <v>74</v>
      </c>
      <c r="AN581" s="2" t="s">
        <v>74</v>
      </c>
      <c r="AO581" s="2" t="s">
        <v>2211</v>
      </c>
      <c r="AP581" s="2" t="s">
        <v>2461</v>
      </c>
      <c r="AQ581" s="2" t="s">
        <v>74</v>
      </c>
      <c r="AR581" s="2" t="s">
        <v>74</v>
      </c>
      <c r="AS581" s="2" t="s">
        <v>74</v>
      </c>
      <c r="AT581" s="2" t="s">
        <v>352</v>
      </c>
      <c r="AU581" s="2">
        <v>2009</v>
      </c>
      <c r="AV581" s="2">
        <v>40</v>
      </c>
      <c r="AW581" s="2">
        <v>5</v>
      </c>
      <c r="AX581" s="2" t="s">
        <v>74</v>
      </c>
      <c r="AY581" s="2" t="s">
        <v>74</v>
      </c>
      <c r="AZ581" s="2" t="s">
        <v>74</v>
      </c>
      <c r="BA581" s="2" t="s">
        <v>74</v>
      </c>
      <c r="BB581" s="2">
        <v>559</v>
      </c>
      <c r="BC581" s="2">
        <v>568</v>
      </c>
      <c r="BD581" s="2" t="s">
        <v>74</v>
      </c>
      <c r="BE581" s="2" t="s">
        <v>8612</v>
      </c>
      <c r="BF581" s="2" t="str">
        <f>HYPERLINK("http://dx.doi.org/10.1111/j.1600-048X.2009.04572.x","http://dx.doi.org/10.1111/j.1600-048X.2009.04572.x")</f>
        <v>http://dx.doi.org/10.1111/j.1600-048X.2009.04572.x</v>
      </c>
      <c r="BG581" s="2" t="s">
        <v>74</v>
      </c>
      <c r="BH581" s="2" t="s">
        <v>74</v>
      </c>
      <c r="BI581" s="2" t="s">
        <v>74</v>
      </c>
      <c r="BJ581" s="2" t="s">
        <v>74</v>
      </c>
      <c r="BK581" s="2" t="s">
        <v>74</v>
      </c>
      <c r="BL581" s="2" t="s">
        <v>74</v>
      </c>
      <c r="BM581" s="2" t="s">
        <v>74</v>
      </c>
      <c r="BN581" s="2" t="s">
        <v>74</v>
      </c>
      <c r="BO581" s="2" t="s">
        <v>74</v>
      </c>
      <c r="BP581" s="2" t="s">
        <v>74</v>
      </c>
      <c r="BQ581" s="2" t="s">
        <v>74</v>
      </c>
      <c r="BR581" s="2" t="s">
        <v>74</v>
      </c>
      <c r="BS581" s="2" t="s">
        <v>8613</v>
      </c>
      <c r="BT581" s="2" t="str">
        <f>HYPERLINK("https%3A%2F%2Fwww.webofscience.com%2Fwos%2Fwoscc%2Ffull-record%2FWOS:000270179100011","View Full Record in Web of Science")</f>
        <v>View Full Record in Web of Science</v>
      </c>
    </row>
    <row r="582" spans="1:72" s="2" customFormat="1" x14ac:dyDescent="0.4">
      <c r="A582" s="2" t="s">
        <v>72</v>
      </c>
      <c r="B582" s="2" t="s">
        <v>6965</v>
      </c>
      <c r="C582" s="2" t="s">
        <v>74</v>
      </c>
      <c r="D582" s="2" t="s">
        <v>74</v>
      </c>
      <c r="E582" s="2" t="s">
        <v>74</v>
      </c>
      <c r="F582" s="2" t="s">
        <v>6966</v>
      </c>
      <c r="G582" s="2" t="s">
        <v>74</v>
      </c>
      <c r="H582" s="2" t="s">
        <v>74</v>
      </c>
      <c r="I582" s="2" t="s">
        <v>6967</v>
      </c>
      <c r="J582" s="2" t="s">
        <v>6968</v>
      </c>
      <c r="K582" s="2" t="s">
        <v>74</v>
      </c>
      <c r="L582" s="2" t="s">
        <v>74</v>
      </c>
      <c r="M582" s="2" t="s">
        <v>74</v>
      </c>
      <c r="N582" s="2" t="s">
        <v>74</v>
      </c>
      <c r="O582" s="2" t="s">
        <v>74</v>
      </c>
      <c r="P582" s="2" t="s">
        <v>74</v>
      </c>
      <c r="Q582" s="2" t="s">
        <v>74</v>
      </c>
      <c r="R582" s="2" t="s">
        <v>74</v>
      </c>
      <c r="S582" s="2" t="s">
        <v>74</v>
      </c>
      <c r="T582" s="2" t="s">
        <v>74</v>
      </c>
      <c r="U582" s="2" t="s">
        <v>74</v>
      </c>
      <c r="V582" s="5" t="s">
        <v>6969</v>
      </c>
      <c r="W582" s="2" t="s">
        <v>74</v>
      </c>
      <c r="X582" s="2" t="s">
        <v>74</v>
      </c>
      <c r="Y582" s="2" t="s">
        <v>74</v>
      </c>
      <c r="Z582" s="2" t="s">
        <v>74</v>
      </c>
      <c r="AA582" s="2" t="s">
        <v>74</v>
      </c>
      <c r="AB582" s="2" t="s">
        <v>74</v>
      </c>
      <c r="AC582" s="2" t="s">
        <v>74</v>
      </c>
      <c r="AD582" s="2" t="s">
        <v>74</v>
      </c>
      <c r="AE582" s="2" t="s">
        <v>74</v>
      </c>
      <c r="AF582" s="2" t="s">
        <v>74</v>
      </c>
      <c r="AG582" s="2" t="s">
        <v>74</v>
      </c>
      <c r="AH582" s="2" t="s">
        <v>74</v>
      </c>
      <c r="AI582" s="2" t="s">
        <v>74</v>
      </c>
      <c r="AJ582" s="2" t="s">
        <v>74</v>
      </c>
      <c r="AK582" s="2" t="s">
        <v>74</v>
      </c>
      <c r="AL582" s="2" t="s">
        <v>74</v>
      </c>
      <c r="AM582" s="2" t="s">
        <v>74</v>
      </c>
      <c r="AN582" s="2" t="s">
        <v>74</v>
      </c>
      <c r="AO582" s="2" t="s">
        <v>6970</v>
      </c>
      <c r="AP582" s="2" t="s">
        <v>6971</v>
      </c>
      <c r="AQ582" s="2" t="s">
        <v>74</v>
      </c>
      <c r="AR582" s="2" t="s">
        <v>74</v>
      </c>
      <c r="AS582" s="2" t="s">
        <v>74</v>
      </c>
      <c r="AT582" s="2" t="s">
        <v>305</v>
      </c>
      <c r="AU582" s="2">
        <v>2021</v>
      </c>
      <c r="AV582" s="2">
        <v>21</v>
      </c>
      <c r="AW582" s="2">
        <v>4</v>
      </c>
      <c r="AX582" s="2" t="s">
        <v>74</v>
      </c>
      <c r="AY582" s="2" t="s">
        <v>74</v>
      </c>
      <c r="AZ582" s="2" t="s">
        <v>74</v>
      </c>
      <c r="BA582" s="2" t="s">
        <v>74</v>
      </c>
      <c r="BB582" s="2">
        <v>719</v>
      </c>
      <c r="BC582" s="2">
        <v>735</v>
      </c>
      <c r="BD582" s="2" t="s">
        <v>74</v>
      </c>
      <c r="BE582" s="2" t="s">
        <v>6972</v>
      </c>
      <c r="BF582" s="2" t="str">
        <f>HYPERLINK("http://dx.doi.org/10.1007/s13127-021-00510-2","http://dx.doi.org/10.1007/s13127-021-00510-2")</f>
        <v>http://dx.doi.org/10.1007/s13127-021-00510-2</v>
      </c>
      <c r="BG582" s="2" t="s">
        <v>74</v>
      </c>
      <c r="BH582" s="2" t="s">
        <v>675</v>
      </c>
      <c r="BI582" s="2" t="s">
        <v>74</v>
      </c>
      <c r="BJ582" s="2" t="s">
        <v>74</v>
      </c>
      <c r="BK582" s="2" t="s">
        <v>74</v>
      </c>
      <c r="BL582" s="2" t="s">
        <v>74</v>
      </c>
      <c r="BM582" s="2" t="s">
        <v>74</v>
      </c>
      <c r="BN582" s="2" t="s">
        <v>74</v>
      </c>
      <c r="BO582" s="2" t="s">
        <v>74</v>
      </c>
      <c r="BP582" s="2" t="s">
        <v>74</v>
      </c>
      <c r="BQ582" s="2" t="s">
        <v>74</v>
      </c>
      <c r="BR582" s="2" t="s">
        <v>74</v>
      </c>
      <c r="BS582" s="2" t="s">
        <v>6973</v>
      </c>
      <c r="BT582" s="2" t="str">
        <f>HYPERLINK("https%3A%2F%2Fwww.webofscience.com%2Fwos%2Fwoscc%2Ffull-record%2FWOS:000702265500001","View Full Record in Web of Science")</f>
        <v>View Full Record in Web of Science</v>
      </c>
    </row>
    <row r="583" spans="1:72" s="2" customFormat="1" x14ac:dyDescent="0.4">
      <c r="A583" s="2" t="s">
        <v>72</v>
      </c>
      <c r="B583" s="2" t="s">
        <v>1427</v>
      </c>
      <c r="C583" s="2" t="s">
        <v>74</v>
      </c>
      <c r="D583" s="2" t="s">
        <v>74</v>
      </c>
      <c r="E583" s="2" t="s">
        <v>74</v>
      </c>
      <c r="F583" s="2" t="s">
        <v>1428</v>
      </c>
      <c r="G583" s="2" t="s">
        <v>74</v>
      </c>
      <c r="H583" s="2" t="s">
        <v>74</v>
      </c>
      <c r="I583" s="2" t="s">
        <v>1429</v>
      </c>
      <c r="J583" s="2" t="s">
        <v>140</v>
      </c>
      <c r="K583" s="2" t="s">
        <v>74</v>
      </c>
      <c r="L583" s="2" t="s">
        <v>74</v>
      </c>
      <c r="M583" s="2" t="s">
        <v>74</v>
      </c>
      <c r="N583" s="2" t="s">
        <v>74</v>
      </c>
      <c r="O583" s="2" t="s">
        <v>74</v>
      </c>
      <c r="P583" s="2" t="s">
        <v>74</v>
      </c>
      <c r="Q583" s="2" t="s">
        <v>74</v>
      </c>
      <c r="R583" s="2" t="s">
        <v>74</v>
      </c>
      <c r="S583" s="2" t="s">
        <v>74</v>
      </c>
      <c r="T583" s="2" t="s">
        <v>74</v>
      </c>
      <c r="U583" s="2" t="s">
        <v>74</v>
      </c>
      <c r="V583" s="5" t="s">
        <v>1430</v>
      </c>
      <c r="W583" s="2" t="s">
        <v>74</v>
      </c>
      <c r="X583" s="2" t="s">
        <v>74</v>
      </c>
      <c r="Y583" s="2" t="s">
        <v>74</v>
      </c>
      <c r="Z583" s="2" t="s">
        <v>74</v>
      </c>
      <c r="AA583" s="2" t="s">
        <v>1431</v>
      </c>
      <c r="AB583" s="2" t="s">
        <v>1432</v>
      </c>
      <c r="AC583" s="2" t="s">
        <v>74</v>
      </c>
      <c r="AD583" s="2" t="s">
        <v>74</v>
      </c>
      <c r="AE583" s="2" t="s">
        <v>74</v>
      </c>
      <c r="AF583" s="2" t="s">
        <v>74</v>
      </c>
      <c r="AG583" s="2" t="s">
        <v>74</v>
      </c>
      <c r="AH583" s="2" t="s">
        <v>74</v>
      </c>
      <c r="AI583" s="2" t="s">
        <v>74</v>
      </c>
      <c r="AJ583" s="2" t="s">
        <v>74</v>
      </c>
      <c r="AK583" s="2" t="s">
        <v>74</v>
      </c>
      <c r="AL583" s="2" t="s">
        <v>74</v>
      </c>
      <c r="AM583" s="2" t="s">
        <v>74</v>
      </c>
      <c r="AN583" s="2" t="s">
        <v>74</v>
      </c>
      <c r="AO583" s="2" t="s">
        <v>143</v>
      </c>
      <c r="AP583" s="2" t="s">
        <v>74</v>
      </c>
      <c r="AQ583" s="2" t="s">
        <v>74</v>
      </c>
      <c r="AR583" s="2" t="s">
        <v>74</v>
      </c>
      <c r="AS583" s="2" t="s">
        <v>74</v>
      </c>
      <c r="AT583" s="2" t="s">
        <v>123</v>
      </c>
      <c r="AU583" s="2">
        <v>2010</v>
      </c>
      <c r="AV583" s="2">
        <v>79</v>
      </c>
      <c r="AW583" s="2">
        <v>3</v>
      </c>
      <c r="AX583" s="2" t="s">
        <v>74</v>
      </c>
      <c r="AY583" s="2" t="s">
        <v>74</v>
      </c>
      <c r="AZ583" s="2" t="s">
        <v>74</v>
      </c>
      <c r="BA583" s="2" t="s">
        <v>74</v>
      </c>
      <c r="BB583" s="2">
        <v>709</v>
      </c>
      <c r="BC583" s="2">
        <v>715</v>
      </c>
      <c r="BD583" s="2" t="s">
        <v>74</v>
      </c>
      <c r="BE583" s="2" t="s">
        <v>1433</v>
      </c>
      <c r="BF583" s="2" t="str">
        <f>HYPERLINK("http://dx.doi.org/10.1016/j.anbehav.2009.12.025","http://dx.doi.org/10.1016/j.anbehav.2009.12.025")</f>
        <v>http://dx.doi.org/10.1016/j.anbehav.2009.12.025</v>
      </c>
      <c r="BG583" s="2" t="s">
        <v>74</v>
      </c>
      <c r="BH583" s="2" t="s">
        <v>74</v>
      </c>
      <c r="BI583" s="2" t="s">
        <v>74</v>
      </c>
      <c r="BJ583" s="2" t="s">
        <v>74</v>
      </c>
      <c r="BK583" s="2" t="s">
        <v>74</v>
      </c>
      <c r="BL583" s="2" t="s">
        <v>74</v>
      </c>
      <c r="BM583" s="2" t="s">
        <v>74</v>
      </c>
      <c r="BN583" s="2" t="s">
        <v>74</v>
      </c>
      <c r="BO583" s="2" t="s">
        <v>74</v>
      </c>
      <c r="BP583" s="2" t="s">
        <v>74</v>
      </c>
      <c r="BQ583" s="2" t="s">
        <v>74</v>
      </c>
      <c r="BR583" s="2" t="s">
        <v>74</v>
      </c>
      <c r="BS583" s="2" t="s">
        <v>1434</v>
      </c>
      <c r="BT583" s="2" t="str">
        <f>HYPERLINK("https%3A%2F%2Fwww.webofscience.com%2Fwos%2Fwoscc%2Ffull-record%2FWOS:000274587400025","View Full Record in Web of Science")</f>
        <v>View Full Record in Web of Science</v>
      </c>
    </row>
    <row r="584" spans="1:72" s="2" customFormat="1" x14ac:dyDescent="0.4">
      <c r="A584" s="2" t="s">
        <v>72</v>
      </c>
      <c r="B584" s="2" t="s">
        <v>6442</v>
      </c>
      <c r="C584" s="2" t="s">
        <v>74</v>
      </c>
      <c r="D584" s="2" t="s">
        <v>74</v>
      </c>
      <c r="E584" s="2" t="s">
        <v>74</v>
      </c>
      <c r="F584" s="2" t="s">
        <v>6443</v>
      </c>
      <c r="G584" s="2" t="s">
        <v>74</v>
      </c>
      <c r="H584" s="2" t="s">
        <v>74</v>
      </c>
      <c r="I584" s="2" t="s">
        <v>6444</v>
      </c>
      <c r="J584" s="2" t="s">
        <v>6445</v>
      </c>
      <c r="K584" s="2" t="s">
        <v>74</v>
      </c>
      <c r="L584" s="2" t="s">
        <v>74</v>
      </c>
      <c r="M584" s="2" t="s">
        <v>74</v>
      </c>
      <c r="N584" s="2" t="s">
        <v>74</v>
      </c>
      <c r="O584" s="2" t="s">
        <v>74</v>
      </c>
      <c r="P584" s="2" t="s">
        <v>74</v>
      </c>
      <c r="Q584" s="2" t="s">
        <v>74</v>
      </c>
      <c r="R584" s="2" t="s">
        <v>74</v>
      </c>
      <c r="S584" s="2" t="s">
        <v>74</v>
      </c>
      <c r="T584" s="2" t="s">
        <v>74</v>
      </c>
      <c r="U584" s="2" t="s">
        <v>74</v>
      </c>
      <c r="V584" s="5" t="s">
        <v>6446</v>
      </c>
      <c r="W584" s="2" t="s">
        <v>74</v>
      </c>
      <c r="X584" s="2" t="s">
        <v>74</v>
      </c>
      <c r="Y584" s="2" t="s">
        <v>74</v>
      </c>
      <c r="Z584" s="2" t="s">
        <v>74</v>
      </c>
      <c r="AA584" s="2" t="s">
        <v>74</v>
      </c>
      <c r="AB584" s="2" t="s">
        <v>74</v>
      </c>
      <c r="AC584" s="2" t="s">
        <v>74</v>
      </c>
      <c r="AD584" s="2" t="s">
        <v>74</v>
      </c>
      <c r="AE584" s="2" t="s">
        <v>74</v>
      </c>
      <c r="AF584" s="2" t="s">
        <v>74</v>
      </c>
      <c r="AG584" s="2" t="s">
        <v>74</v>
      </c>
      <c r="AH584" s="2" t="s">
        <v>74</v>
      </c>
      <c r="AI584" s="2" t="s">
        <v>74</v>
      </c>
      <c r="AJ584" s="2" t="s">
        <v>74</v>
      </c>
      <c r="AK584" s="2" t="s">
        <v>74</v>
      </c>
      <c r="AL584" s="2" t="s">
        <v>74</v>
      </c>
      <c r="AM584" s="2" t="s">
        <v>74</v>
      </c>
      <c r="AN584" s="2" t="s">
        <v>74</v>
      </c>
      <c r="AO584" s="2" t="s">
        <v>6447</v>
      </c>
      <c r="AP584" s="2" t="s">
        <v>6448</v>
      </c>
      <c r="AQ584" s="2" t="s">
        <v>74</v>
      </c>
      <c r="AR584" s="2" t="s">
        <v>74</v>
      </c>
      <c r="AS584" s="2" t="s">
        <v>74</v>
      </c>
      <c r="AT584" s="2" t="s">
        <v>305</v>
      </c>
      <c r="AU584" s="2">
        <v>2023</v>
      </c>
      <c r="AV584" s="2">
        <v>63</v>
      </c>
      <c r="AW584" s="2">
        <v>7</v>
      </c>
      <c r="AX584" s="2" t="s">
        <v>74</v>
      </c>
      <c r="AY584" s="2" t="s">
        <v>74</v>
      </c>
      <c r="AZ584" s="2" t="s">
        <v>848</v>
      </c>
      <c r="BA584" s="2" t="s">
        <v>74</v>
      </c>
      <c r="BB584" s="2">
        <v>1279</v>
      </c>
      <c r="BC584" s="2">
        <v>1296</v>
      </c>
      <c r="BD584" s="2" t="s">
        <v>74</v>
      </c>
      <c r="BE584" s="2" t="s">
        <v>6449</v>
      </c>
      <c r="BF584" s="2" t="str">
        <f>HYPERLINK("http://dx.doi.org/10.1134/S0032945223070081","http://dx.doi.org/10.1134/S0032945223070081")</f>
        <v>http://dx.doi.org/10.1134/S0032945223070081</v>
      </c>
      <c r="BG584" s="2" t="s">
        <v>74</v>
      </c>
      <c r="BH584" s="2" t="s">
        <v>74</v>
      </c>
      <c r="BI584" s="2" t="s">
        <v>74</v>
      </c>
      <c r="BJ584" s="2" t="s">
        <v>74</v>
      </c>
      <c r="BK584" s="2" t="s">
        <v>74</v>
      </c>
      <c r="BL584" s="2" t="s">
        <v>74</v>
      </c>
      <c r="BM584" s="2" t="s">
        <v>74</v>
      </c>
      <c r="BN584" s="2" t="s">
        <v>74</v>
      </c>
      <c r="BO584" s="2" t="s">
        <v>74</v>
      </c>
      <c r="BP584" s="2" t="s">
        <v>74</v>
      </c>
      <c r="BQ584" s="2" t="s">
        <v>74</v>
      </c>
      <c r="BR584" s="2" t="s">
        <v>74</v>
      </c>
      <c r="BS584" s="2" t="s">
        <v>6450</v>
      </c>
      <c r="BT584" s="2" t="str">
        <f>HYPERLINK("https%3A%2F%2Fwww.webofscience.com%2Fwos%2Fwoscc%2Ffull-record%2FWOS:001125556700003","View Full Record in Web of Science")</f>
        <v>View Full Record in Web of Science</v>
      </c>
    </row>
    <row r="585" spans="1:72" s="2" customFormat="1" x14ac:dyDescent="0.4">
      <c r="A585" s="2" t="s">
        <v>72</v>
      </c>
      <c r="B585" s="2" t="s">
        <v>5448</v>
      </c>
      <c r="C585" s="2" t="s">
        <v>74</v>
      </c>
      <c r="D585" s="2" t="s">
        <v>74</v>
      </c>
      <c r="E585" s="2" t="s">
        <v>74</v>
      </c>
      <c r="F585" s="2" t="s">
        <v>5448</v>
      </c>
      <c r="G585" s="2" t="s">
        <v>74</v>
      </c>
      <c r="H585" s="2" t="s">
        <v>74</v>
      </c>
      <c r="I585" s="2" t="s">
        <v>5449</v>
      </c>
      <c r="J585" s="2" t="s">
        <v>2966</v>
      </c>
      <c r="K585" s="2" t="s">
        <v>74</v>
      </c>
      <c r="L585" s="2" t="s">
        <v>74</v>
      </c>
      <c r="M585" s="2" t="s">
        <v>74</v>
      </c>
      <c r="N585" s="2" t="s">
        <v>74</v>
      </c>
      <c r="O585" s="2" t="s">
        <v>74</v>
      </c>
      <c r="P585" s="2" t="s">
        <v>74</v>
      </c>
      <c r="Q585" s="2" t="s">
        <v>74</v>
      </c>
      <c r="R585" s="2" t="s">
        <v>74</v>
      </c>
      <c r="S585" s="2" t="s">
        <v>74</v>
      </c>
      <c r="T585" s="2" t="s">
        <v>74</v>
      </c>
      <c r="U585" s="2" t="s">
        <v>74</v>
      </c>
      <c r="V585" s="5" t="s">
        <v>5450</v>
      </c>
      <c r="W585" s="2" t="s">
        <v>74</v>
      </c>
      <c r="X585" s="2" t="s">
        <v>74</v>
      </c>
      <c r="Y585" s="2" t="s">
        <v>74</v>
      </c>
      <c r="Z585" s="2" t="s">
        <v>74</v>
      </c>
      <c r="AA585" s="2" t="s">
        <v>74</v>
      </c>
      <c r="AB585" s="2" t="s">
        <v>74</v>
      </c>
      <c r="AC585" s="2" t="s">
        <v>74</v>
      </c>
      <c r="AD585" s="2" t="s">
        <v>74</v>
      </c>
      <c r="AE585" s="2" t="s">
        <v>74</v>
      </c>
      <c r="AF585" s="2" t="s">
        <v>74</v>
      </c>
      <c r="AG585" s="2" t="s">
        <v>74</v>
      </c>
      <c r="AH585" s="2" t="s">
        <v>74</v>
      </c>
      <c r="AI585" s="2" t="s">
        <v>74</v>
      </c>
      <c r="AJ585" s="2" t="s">
        <v>74</v>
      </c>
      <c r="AK585" s="2" t="s">
        <v>74</v>
      </c>
      <c r="AL585" s="2" t="s">
        <v>74</v>
      </c>
      <c r="AM585" s="2" t="s">
        <v>74</v>
      </c>
      <c r="AN585" s="2" t="s">
        <v>74</v>
      </c>
      <c r="AO585" s="2" t="s">
        <v>2968</v>
      </c>
      <c r="AP585" s="2" t="s">
        <v>74</v>
      </c>
      <c r="AQ585" s="2" t="s">
        <v>74</v>
      </c>
      <c r="AR585" s="2" t="s">
        <v>74</v>
      </c>
      <c r="AS585" s="2" t="s">
        <v>74</v>
      </c>
      <c r="AT585" s="2" t="s">
        <v>2492</v>
      </c>
      <c r="AU585" s="2">
        <v>1990</v>
      </c>
      <c r="AV585" s="2">
        <v>37</v>
      </c>
      <c r="AW585" s="2">
        <v>3</v>
      </c>
      <c r="AX585" s="2" t="s">
        <v>74</v>
      </c>
      <c r="AY585" s="2" t="s">
        <v>74</v>
      </c>
      <c r="AZ585" s="2" t="s">
        <v>74</v>
      </c>
      <c r="BA585" s="2" t="s">
        <v>74</v>
      </c>
      <c r="BB585" s="2">
        <v>246</v>
      </c>
      <c r="BC585" s="2">
        <v>255</v>
      </c>
      <c r="BD585" s="2" t="s">
        <v>74</v>
      </c>
      <c r="BE585" s="2" t="s">
        <v>74</v>
      </c>
      <c r="BF585" s="2" t="s">
        <v>74</v>
      </c>
      <c r="BG585" s="2" t="s">
        <v>74</v>
      </c>
      <c r="BH585" s="2" t="s">
        <v>74</v>
      </c>
      <c r="BI585" s="2" t="s">
        <v>74</v>
      </c>
      <c r="BJ585" s="2" t="s">
        <v>74</v>
      </c>
      <c r="BK585" s="2" t="s">
        <v>74</v>
      </c>
      <c r="BL585" s="2" t="s">
        <v>74</v>
      </c>
      <c r="BM585" s="2" t="s">
        <v>74</v>
      </c>
      <c r="BN585" s="2" t="s">
        <v>74</v>
      </c>
      <c r="BO585" s="2" t="s">
        <v>74</v>
      </c>
      <c r="BP585" s="2" t="s">
        <v>74</v>
      </c>
      <c r="BQ585" s="2" t="s">
        <v>74</v>
      </c>
      <c r="BR585" s="2" t="s">
        <v>74</v>
      </c>
      <c r="BS585" s="2" t="s">
        <v>5451</v>
      </c>
      <c r="BT585" s="2" t="str">
        <f>HYPERLINK("https%3A%2F%2Fwww.webofscience.com%2Fwos%2Fwoscc%2Ffull-record%2FWOS:A1990EP23300007","View Full Record in Web of Science")</f>
        <v>View Full Record in Web of Science</v>
      </c>
    </row>
    <row r="586" spans="1:72" s="2" customFormat="1" x14ac:dyDescent="0.4">
      <c r="A586" s="2" t="s">
        <v>72</v>
      </c>
      <c r="B586" s="2" t="s">
        <v>1321</v>
      </c>
      <c r="C586" s="2" t="s">
        <v>74</v>
      </c>
      <c r="D586" s="2" t="s">
        <v>74</v>
      </c>
      <c r="E586" s="2" t="s">
        <v>74</v>
      </c>
      <c r="F586" s="2" t="s">
        <v>1322</v>
      </c>
      <c r="G586" s="2" t="s">
        <v>74</v>
      </c>
      <c r="H586" s="2" t="s">
        <v>74</v>
      </c>
      <c r="I586" s="2" t="s">
        <v>1323</v>
      </c>
      <c r="J586" s="2" t="s">
        <v>1324</v>
      </c>
      <c r="K586" s="2" t="s">
        <v>74</v>
      </c>
      <c r="L586" s="2" t="s">
        <v>74</v>
      </c>
      <c r="M586" s="2" t="s">
        <v>74</v>
      </c>
      <c r="N586" s="2" t="s">
        <v>74</v>
      </c>
      <c r="O586" s="2" t="s">
        <v>74</v>
      </c>
      <c r="P586" s="2" t="s">
        <v>74</v>
      </c>
      <c r="Q586" s="2" t="s">
        <v>74</v>
      </c>
      <c r="R586" s="2" t="s">
        <v>74</v>
      </c>
      <c r="S586" s="2" t="s">
        <v>74</v>
      </c>
      <c r="T586" s="2" t="s">
        <v>74</v>
      </c>
      <c r="U586" s="2" t="s">
        <v>74</v>
      </c>
      <c r="V586" s="5" t="s">
        <v>1325</v>
      </c>
      <c r="W586" s="2" t="s">
        <v>74</v>
      </c>
      <c r="X586" s="2" t="s">
        <v>74</v>
      </c>
      <c r="Y586" s="2" t="s">
        <v>74</v>
      </c>
      <c r="Z586" s="2" t="s">
        <v>74</v>
      </c>
      <c r="AA586" s="2" t="s">
        <v>1326</v>
      </c>
      <c r="AB586" s="2" t="s">
        <v>1327</v>
      </c>
      <c r="AC586" s="2" t="s">
        <v>74</v>
      </c>
      <c r="AD586" s="2" t="s">
        <v>74</v>
      </c>
      <c r="AE586" s="2" t="s">
        <v>74</v>
      </c>
      <c r="AF586" s="2" t="s">
        <v>74</v>
      </c>
      <c r="AG586" s="2" t="s">
        <v>74</v>
      </c>
      <c r="AH586" s="2" t="s">
        <v>74</v>
      </c>
      <c r="AI586" s="2" t="s">
        <v>74</v>
      </c>
      <c r="AJ586" s="2" t="s">
        <v>74</v>
      </c>
      <c r="AK586" s="2" t="s">
        <v>74</v>
      </c>
      <c r="AL586" s="2" t="s">
        <v>74</v>
      </c>
      <c r="AM586" s="2" t="s">
        <v>74</v>
      </c>
      <c r="AN586" s="2" t="s">
        <v>74</v>
      </c>
      <c r="AO586" s="2" t="s">
        <v>1328</v>
      </c>
      <c r="AP586" s="2" t="s">
        <v>1329</v>
      </c>
      <c r="AQ586" s="2" t="s">
        <v>74</v>
      </c>
      <c r="AR586" s="2" t="s">
        <v>74</v>
      </c>
      <c r="AS586" s="2" t="s">
        <v>74</v>
      </c>
      <c r="AT586" s="2" t="s">
        <v>123</v>
      </c>
      <c r="AU586" s="2">
        <v>2017</v>
      </c>
      <c r="AV586" s="2">
        <v>83</v>
      </c>
      <c r="AW586" s="2">
        <v>2</v>
      </c>
      <c r="AX586" s="2" t="s">
        <v>74</v>
      </c>
      <c r="AY586" s="2" t="s">
        <v>74</v>
      </c>
      <c r="AZ586" s="2" t="s">
        <v>74</v>
      </c>
      <c r="BA586" s="2" t="s">
        <v>74</v>
      </c>
      <c r="BB586" s="2">
        <v>259</v>
      </c>
      <c r="BC586" s="2">
        <v>264</v>
      </c>
      <c r="BD586" s="2" t="s">
        <v>74</v>
      </c>
      <c r="BE586" s="2" t="s">
        <v>1330</v>
      </c>
      <c r="BF586" s="2" t="str">
        <f>HYPERLINK("http://dx.doi.org/10.1007/s12562-017-1062-8","http://dx.doi.org/10.1007/s12562-017-1062-8")</f>
        <v>http://dx.doi.org/10.1007/s12562-017-1062-8</v>
      </c>
      <c r="BG586" s="2" t="s">
        <v>74</v>
      </c>
      <c r="BH586" s="2" t="s">
        <v>74</v>
      </c>
      <c r="BI586" s="2" t="s">
        <v>74</v>
      </c>
      <c r="BJ586" s="2" t="s">
        <v>74</v>
      </c>
      <c r="BK586" s="2" t="s">
        <v>74</v>
      </c>
      <c r="BL586" s="2" t="s">
        <v>74</v>
      </c>
      <c r="BM586" s="2" t="s">
        <v>74</v>
      </c>
      <c r="BN586" s="2" t="s">
        <v>74</v>
      </c>
      <c r="BO586" s="2" t="s">
        <v>74</v>
      </c>
      <c r="BP586" s="2" t="s">
        <v>74</v>
      </c>
      <c r="BQ586" s="2" t="s">
        <v>74</v>
      </c>
      <c r="BR586" s="2" t="s">
        <v>74</v>
      </c>
      <c r="BS586" s="2" t="s">
        <v>1331</v>
      </c>
      <c r="BT586" s="2" t="str">
        <f>HYPERLINK("https%3A%2F%2Fwww.webofscience.com%2Fwos%2Fwoscc%2Ffull-record%2FWOS:000399657400013","View Full Record in Web of Science")</f>
        <v>View Full Record in Web of Science</v>
      </c>
    </row>
    <row r="587" spans="1:72" s="2" customFormat="1" x14ac:dyDescent="0.4">
      <c r="A587" s="2" t="s">
        <v>72</v>
      </c>
      <c r="B587" s="2" t="s">
        <v>2771</v>
      </c>
      <c r="C587" s="2" t="s">
        <v>74</v>
      </c>
      <c r="D587" s="2" t="s">
        <v>74</v>
      </c>
      <c r="E587" s="2" t="s">
        <v>74</v>
      </c>
      <c r="F587" s="2" t="s">
        <v>2772</v>
      </c>
      <c r="G587" s="2" t="s">
        <v>74</v>
      </c>
      <c r="H587" s="2" t="s">
        <v>74</v>
      </c>
      <c r="I587" s="2" t="s">
        <v>2773</v>
      </c>
      <c r="J587" s="2" t="s">
        <v>88</v>
      </c>
      <c r="K587" s="2" t="s">
        <v>74</v>
      </c>
      <c r="L587" s="2" t="s">
        <v>74</v>
      </c>
      <c r="M587" s="2" t="s">
        <v>74</v>
      </c>
      <c r="N587" s="2" t="s">
        <v>74</v>
      </c>
      <c r="O587" s="2" t="s">
        <v>74</v>
      </c>
      <c r="P587" s="2" t="s">
        <v>74</v>
      </c>
      <c r="Q587" s="2" t="s">
        <v>74</v>
      </c>
      <c r="R587" s="2" t="s">
        <v>74</v>
      </c>
      <c r="S587" s="2" t="s">
        <v>74</v>
      </c>
      <c r="T587" s="2" t="s">
        <v>74</v>
      </c>
      <c r="U587" s="2" t="s">
        <v>74</v>
      </c>
      <c r="V587" s="5" t="s">
        <v>2774</v>
      </c>
      <c r="W587" s="2" t="s">
        <v>74</v>
      </c>
      <c r="X587" s="2" t="s">
        <v>74</v>
      </c>
      <c r="Y587" s="2" t="s">
        <v>74</v>
      </c>
      <c r="Z587" s="2" t="s">
        <v>74</v>
      </c>
      <c r="AA587" s="2" t="s">
        <v>2775</v>
      </c>
      <c r="AB587" s="2" t="s">
        <v>2776</v>
      </c>
      <c r="AC587" s="2" t="s">
        <v>74</v>
      </c>
      <c r="AD587" s="2" t="s">
        <v>74</v>
      </c>
      <c r="AE587" s="2" t="s">
        <v>74</v>
      </c>
      <c r="AF587" s="2" t="s">
        <v>74</v>
      </c>
      <c r="AG587" s="2" t="s">
        <v>74</v>
      </c>
      <c r="AH587" s="2" t="s">
        <v>74</v>
      </c>
      <c r="AI587" s="2" t="s">
        <v>74</v>
      </c>
      <c r="AJ587" s="2" t="s">
        <v>74</v>
      </c>
      <c r="AK587" s="2" t="s">
        <v>74</v>
      </c>
      <c r="AL587" s="2" t="s">
        <v>74</v>
      </c>
      <c r="AM587" s="2" t="s">
        <v>74</v>
      </c>
      <c r="AN587" s="2" t="s">
        <v>74</v>
      </c>
      <c r="AO587" s="2" t="s">
        <v>91</v>
      </c>
      <c r="AP587" s="2" t="s">
        <v>92</v>
      </c>
      <c r="AQ587" s="2" t="s">
        <v>74</v>
      </c>
      <c r="AR587" s="2" t="s">
        <v>74</v>
      </c>
      <c r="AS587" s="2" t="s">
        <v>74</v>
      </c>
      <c r="AT587" s="2" t="s">
        <v>204</v>
      </c>
      <c r="AU587" s="2">
        <v>2017</v>
      </c>
      <c r="AV587" s="2">
        <v>13</v>
      </c>
      <c r="AW587" s="2">
        <v>7</v>
      </c>
      <c r="AX587" s="2" t="s">
        <v>74</v>
      </c>
      <c r="AY587" s="2" t="s">
        <v>74</v>
      </c>
      <c r="AZ587" s="2" t="s">
        <v>74</v>
      </c>
      <c r="BA587" s="2" t="s">
        <v>74</v>
      </c>
      <c r="BB587" s="2" t="s">
        <v>74</v>
      </c>
      <c r="BC587" s="2" t="s">
        <v>74</v>
      </c>
      <c r="BD587" s="2">
        <v>20170242</v>
      </c>
      <c r="BE587" s="2" t="s">
        <v>2777</v>
      </c>
      <c r="BF587" s="2" t="str">
        <f>HYPERLINK("http://dx.doi.org/10.1098/rsbl.2017.0242","http://dx.doi.org/10.1098/rsbl.2017.0242")</f>
        <v>http://dx.doi.org/10.1098/rsbl.2017.0242</v>
      </c>
      <c r="BG587" s="2" t="s">
        <v>74</v>
      </c>
      <c r="BH587" s="2" t="s">
        <v>74</v>
      </c>
      <c r="BI587" s="2" t="s">
        <v>74</v>
      </c>
      <c r="BJ587" s="2" t="s">
        <v>74</v>
      </c>
      <c r="BK587" s="2" t="s">
        <v>74</v>
      </c>
      <c r="BL587" s="2" t="s">
        <v>74</v>
      </c>
      <c r="BM587" s="2" t="s">
        <v>74</v>
      </c>
      <c r="BN587" s="2">
        <v>28724689</v>
      </c>
      <c r="BO587" s="2" t="s">
        <v>74</v>
      </c>
      <c r="BP587" s="2" t="s">
        <v>74</v>
      </c>
      <c r="BQ587" s="2" t="s">
        <v>74</v>
      </c>
      <c r="BR587" s="2" t="s">
        <v>74</v>
      </c>
      <c r="BS587" s="2" t="s">
        <v>2778</v>
      </c>
      <c r="BT587" s="2" t="str">
        <f>HYPERLINK("https%3A%2F%2Fwww.webofscience.com%2Fwos%2Fwoscc%2Ffull-record%2FWOS:000409400700003","View Full Record in Web of Science")</f>
        <v>View Full Record in Web of Science</v>
      </c>
    </row>
    <row r="588" spans="1:72" s="2" customFormat="1" x14ac:dyDescent="0.4">
      <c r="A588" s="2" t="s">
        <v>72</v>
      </c>
      <c r="B588" s="2" t="s">
        <v>7451</v>
      </c>
      <c r="C588" s="2" t="s">
        <v>74</v>
      </c>
      <c r="D588" s="2" t="s">
        <v>74</v>
      </c>
      <c r="E588" s="2" t="s">
        <v>74</v>
      </c>
      <c r="F588" s="2" t="s">
        <v>7451</v>
      </c>
      <c r="G588" s="2" t="s">
        <v>74</v>
      </c>
      <c r="H588" s="2" t="s">
        <v>74</v>
      </c>
      <c r="I588" s="2" t="s">
        <v>7452</v>
      </c>
      <c r="J588" s="2" t="s">
        <v>129</v>
      </c>
      <c r="K588" s="2" t="s">
        <v>74</v>
      </c>
      <c r="L588" s="2" t="s">
        <v>74</v>
      </c>
      <c r="M588" s="2" t="s">
        <v>74</v>
      </c>
      <c r="N588" s="2" t="s">
        <v>74</v>
      </c>
      <c r="O588" s="2" t="s">
        <v>74</v>
      </c>
      <c r="P588" s="2" t="s">
        <v>74</v>
      </c>
      <c r="Q588" s="2" t="s">
        <v>74</v>
      </c>
      <c r="R588" s="2" t="s">
        <v>74</v>
      </c>
      <c r="S588" s="2" t="s">
        <v>74</v>
      </c>
      <c r="T588" s="2" t="s">
        <v>74</v>
      </c>
      <c r="U588" s="2" t="s">
        <v>74</v>
      </c>
      <c r="V588" s="5" t="s">
        <v>7453</v>
      </c>
      <c r="W588" s="2" t="s">
        <v>74</v>
      </c>
      <c r="X588" s="2" t="s">
        <v>74</v>
      </c>
      <c r="Y588" s="2" t="s">
        <v>74</v>
      </c>
      <c r="Z588" s="2" t="s">
        <v>74</v>
      </c>
      <c r="AA588" s="2" t="s">
        <v>4828</v>
      </c>
      <c r="AB588" s="2" t="s">
        <v>4829</v>
      </c>
      <c r="AC588" s="2" t="s">
        <v>74</v>
      </c>
      <c r="AD588" s="2" t="s">
        <v>74</v>
      </c>
      <c r="AE588" s="2" t="s">
        <v>74</v>
      </c>
      <c r="AF588" s="2" t="s">
        <v>74</v>
      </c>
      <c r="AG588" s="2" t="s">
        <v>74</v>
      </c>
      <c r="AH588" s="2" t="s">
        <v>74</v>
      </c>
      <c r="AI588" s="2" t="s">
        <v>74</v>
      </c>
      <c r="AJ588" s="2" t="s">
        <v>74</v>
      </c>
      <c r="AK588" s="2" t="s">
        <v>74</v>
      </c>
      <c r="AL588" s="2" t="s">
        <v>74</v>
      </c>
      <c r="AM588" s="2" t="s">
        <v>74</v>
      </c>
      <c r="AN588" s="2" t="s">
        <v>74</v>
      </c>
      <c r="AO588" s="2" t="s">
        <v>132</v>
      </c>
      <c r="AP588" s="2" t="s">
        <v>133</v>
      </c>
      <c r="AQ588" s="2" t="s">
        <v>74</v>
      </c>
      <c r="AR588" s="2" t="s">
        <v>74</v>
      </c>
      <c r="AS588" s="2" t="s">
        <v>74</v>
      </c>
      <c r="AT588" s="2" t="s">
        <v>964</v>
      </c>
      <c r="AU588" s="2">
        <v>2000</v>
      </c>
      <c r="AV588" s="2">
        <v>47</v>
      </c>
      <c r="AW588" s="2">
        <v>3</v>
      </c>
      <c r="AX588" s="2" t="s">
        <v>74</v>
      </c>
      <c r="AY588" s="2" t="s">
        <v>74</v>
      </c>
      <c r="AZ588" s="2" t="s">
        <v>74</v>
      </c>
      <c r="BA588" s="2" t="s">
        <v>74</v>
      </c>
      <c r="BB588" s="2">
        <v>164</v>
      </c>
      <c r="BC588" s="2">
        <v>170</v>
      </c>
      <c r="BD588" s="2" t="s">
        <v>74</v>
      </c>
      <c r="BE588" s="2" t="s">
        <v>7454</v>
      </c>
      <c r="BF588" s="2" t="str">
        <f>HYPERLINK("http://dx.doi.org/10.1007/s002650050007","http://dx.doi.org/10.1007/s002650050007")</f>
        <v>http://dx.doi.org/10.1007/s002650050007</v>
      </c>
      <c r="BG588" s="2" t="s">
        <v>74</v>
      </c>
      <c r="BH588" s="2" t="s">
        <v>74</v>
      </c>
      <c r="BI588" s="2" t="s">
        <v>74</v>
      </c>
      <c r="BJ588" s="2" t="s">
        <v>74</v>
      </c>
      <c r="BK588" s="2" t="s">
        <v>74</v>
      </c>
      <c r="BL588" s="2" t="s">
        <v>74</v>
      </c>
      <c r="BM588" s="2" t="s">
        <v>74</v>
      </c>
      <c r="BN588" s="2" t="s">
        <v>74</v>
      </c>
      <c r="BO588" s="2" t="s">
        <v>74</v>
      </c>
      <c r="BP588" s="2" t="s">
        <v>74</v>
      </c>
      <c r="BQ588" s="2" t="s">
        <v>74</v>
      </c>
      <c r="BR588" s="2" t="s">
        <v>74</v>
      </c>
      <c r="BS588" s="2" t="s">
        <v>7455</v>
      </c>
      <c r="BT588" s="2" t="str">
        <f>HYPERLINK("https%3A%2F%2Fwww.webofscience.com%2Fwos%2Fwoscc%2Ffull-record%2FWOS:000085378400007","View Full Record in Web of Science")</f>
        <v>View Full Record in Web of Science</v>
      </c>
    </row>
    <row r="589" spans="1:72" s="2" customFormat="1" x14ac:dyDescent="0.4">
      <c r="A589" s="2" t="s">
        <v>72</v>
      </c>
      <c r="B589" s="2" t="s">
        <v>1580</v>
      </c>
      <c r="C589" s="2" t="s">
        <v>74</v>
      </c>
      <c r="D589" s="2" t="s">
        <v>74</v>
      </c>
      <c r="E589" s="2" t="s">
        <v>74</v>
      </c>
      <c r="F589" s="2" t="s">
        <v>1580</v>
      </c>
      <c r="G589" s="2" t="s">
        <v>74</v>
      </c>
      <c r="H589" s="2" t="s">
        <v>74</v>
      </c>
      <c r="I589" s="2" t="s">
        <v>1581</v>
      </c>
      <c r="J589" s="2" t="s">
        <v>229</v>
      </c>
      <c r="K589" s="2" t="s">
        <v>74</v>
      </c>
      <c r="L589" s="2" t="s">
        <v>74</v>
      </c>
      <c r="M589" s="2" t="s">
        <v>74</v>
      </c>
      <c r="N589" s="2" t="s">
        <v>74</v>
      </c>
      <c r="O589" s="2" t="s">
        <v>74</v>
      </c>
      <c r="P589" s="2" t="s">
        <v>74</v>
      </c>
      <c r="Q589" s="2" t="s">
        <v>74</v>
      </c>
      <c r="R589" s="2" t="s">
        <v>74</v>
      </c>
      <c r="S589" s="2" t="s">
        <v>74</v>
      </c>
      <c r="T589" s="2" t="s">
        <v>74</v>
      </c>
      <c r="U589" s="2" t="s">
        <v>74</v>
      </c>
      <c r="V589" s="5" t="s">
        <v>1582</v>
      </c>
      <c r="W589" s="2" t="s">
        <v>74</v>
      </c>
      <c r="X589" s="2" t="s">
        <v>74</v>
      </c>
      <c r="Y589" s="2" t="s">
        <v>74</v>
      </c>
      <c r="Z589" s="2" t="s">
        <v>74</v>
      </c>
      <c r="AA589" s="2" t="s">
        <v>74</v>
      </c>
      <c r="AB589" s="2" t="s">
        <v>74</v>
      </c>
      <c r="AC589" s="2" t="s">
        <v>74</v>
      </c>
      <c r="AD589" s="2" t="s">
        <v>74</v>
      </c>
      <c r="AE589" s="2" t="s">
        <v>74</v>
      </c>
      <c r="AF589" s="2" t="s">
        <v>74</v>
      </c>
      <c r="AG589" s="2" t="s">
        <v>74</v>
      </c>
      <c r="AH589" s="2" t="s">
        <v>74</v>
      </c>
      <c r="AI589" s="2" t="s">
        <v>74</v>
      </c>
      <c r="AJ589" s="2" t="s">
        <v>74</v>
      </c>
      <c r="AK589" s="2" t="s">
        <v>74</v>
      </c>
      <c r="AL589" s="2" t="s">
        <v>74</v>
      </c>
      <c r="AM589" s="2" t="s">
        <v>74</v>
      </c>
      <c r="AN589" s="2" t="s">
        <v>74</v>
      </c>
      <c r="AO589" s="2" t="s">
        <v>233</v>
      </c>
      <c r="AP589" s="2" t="s">
        <v>234</v>
      </c>
      <c r="AQ589" s="2" t="s">
        <v>74</v>
      </c>
      <c r="AR589" s="2" t="s">
        <v>74</v>
      </c>
      <c r="AS589" s="2" t="s">
        <v>74</v>
      </c>
      <c r="AT589" s="2" t="s">
        <v>74</v>
      </c>
      <c r="AU589" s="2">
        <v>1988</v>
      </c>
      <c r="AV589" s="2">
        <v>14</v>
      </c>
      <c r="AW589" s="2">
        <v>4</v>
      </c>
      <c r="AX589" s="2" t="s">
        <v>74</v>
      </c>
      <c r="AY589" s="2" t="s">
        <v>74</v>
      </c>
      <c r="AZ589" s="2" t="s">
        <v>74</v>
      </c>
      <c r="BA589" s="2" t="s">
        <v>74</v>
      </c>
      <c r="BB589" s="2">
        <v>245</v>
      </c>
      <c r="BC589" s="2">
        <v>254</v>
      </c>
      <c r="BD589" s="2" t="s">
        <v>74</v>
      </c>
      <c r="BE589" s="2" t="s">
        <v>1583</v>
      </c>
      <c r="BF589" s="2" t="str">
        <f>HYPERLINK("http://dx.doi.org/10.1002/1098-2337(1988)14:4&lt;245::AID-AB2480140403&gt;3.0.CO;2-I","http://dx.doi.org/10.1002/1098-2337(1988)14:4&lt;245::AID-AB2480140403&gt;3.0.CO;2-I")</f>
        <v>http://dx.doi.org/10.1002/1098-2337(1988)14:4&lt;245::AID-AB2480140403&gt;3.0.CO;2-I</v>
      </c>
      <c r="BG589" s="2" t="s">
        <v>74</v>
      </c>
      <c r="BH589" s="2" t="s">
        <v>74</v>
      </c>
      <c r="BI589" s="2" t="s">
        <v>74</v>
      </c>
      <c r="BJ589" s="2" t="s">
        <v>74</v>
      </c>
      <c r="BK589" s="2" t="s">
        <v>74</v>
      </c>
      <c r="BL589" s="2" t="s">
        <v>74</v>
      </c>
      <c r="BM589" s="2" t="s">
        <v>74</v>
      </c>
      <c r="BN589" s="2" t="s">
        <v>74</v>
      </c>
      <c r="BO589" s="2" t="s">
        <v>74</v>
      </c>
      <c r="BP589" s="2" t="s">
        <v>74</v>
      </c>
      <c r="BQ589" s="2" t="s">
        <v>74</v>
      </c>
      <c r="BR589" s="2" t="s">
        <v>74</v>
      </c>
      <c r="BS589" s="2" t="s">
        <v>1584</v>
      </c>
      <c r="BT589" s="2" t="str">
        <f>HYPERLINK("https%3A%2F%2Fwww.webofscience.com%2Fwos%2Fwoscc%2Ffull-record%2FWOS:A1988P800800002","View Full Record in Web of Science")</f>
        <v>View Full Record in Web of Science</v>
      </c>
    </row>
    <row r="590" spans="1:72" s="2" customFormat="1" x14ac:dyDescent="0.4">
      <c r="A590" s="2" t="s">
        <v>72</v>
      </c>
      <c r="B590" s="2" t="s">
        <v>4251</v>
      </c>
      <c r="C590" s="2" t="s">
        <v>74</v>
      </c>
      <c r="D590" s="2" t="s">
        <v>74</v>
      </c>
      <c r="E590" s="2" t="s">
        <v>74</v>
      </c>
      <c r="F590" s="2" t="s">
        <v>4252</v>
      </c>
      <c r="G590" s="2" t="s">
        <v>74</v>
      </c>
      <c r="H590" s="2" t="s">
        <v>74</v>
      </c>
      <c r="I590" s="2" t="s">
        <v>4253</v>
      </c>
      <c r="J590" s="2" t="s">
        <v>108</v>
      </c>
      <c r="K590" s="2" t="s">
        <v>74</v>
      </c>
      <c r="L590" s="2" t="s">
        <v>74</v>
      </c>
      <c r="M590" s="2" t="s">
        <v>74</v>
      </c>
      <c r="N590" s="2" t="s">
        <v>74</v>
      </c>
      <c r="O590" s="2" t="s">
        <v>74</v>
      </c>
      <c r="P590" s="2" t="s">
        <v>74</v>
      </c>
      <c r="Q590" s="2" t="s">
        <v>74</v>
      </c>
      <c r="R590" s="2" t="s">
        <v>74</v>
      </c>
      <c r="S590" s="2" t="s">
        <v>74</v>
      </c>
      <c r="T590" s="2" t="s">
        <v>74</v>
      </c>
      <c r="U590" s="2" t="s">
        <v>74</v>
      </c>
      <c r="V590" s="5" t="s">
        <v>4254</v>
      </c>
      <c r="W590" s="2" t="s">
        <v>74</v>
      </c>
      <c r="X590" s="2" t="s">
        <v>74</v>
      </c>
      <c r="Y590" s="2" t="s">
        <v>74</v>
      </c>
      <c r="Z590" s="2" t="s">
        <v>74</v>
      </c>
      <c r="AA590" s="2" t="s">
        <v>2184</v>
      </c>
      <c r="AB590" s="2" t="s">
        <v>2806</v>
      </c>
      <c r="AC590" s="2" t="s">
        <v>74</v>
      </c>
      <c r="AD590" s="2" t="s">
        <v>74</v>
      </c>
      <c r="AE590" s="2" t="s">
        <v>74</v>
      </c>
      <c r="AF590" s="2" t="s">
        <v>74</v>
      </c>
      <c r="AG590" s="2" t="s">
        <v>74</v>
      </c>
      <c r="AH590" s="2" t="s">
        <v>74</v>
      </c>
      <c r="AI590" s="2" t="s">
        <v>74</v>
      </c>
      <c r="AJ590" s="2" t="s">
        <v>74</v>
      </c>
      <c r="AK590" s="2" t="s">
        <v>74</v>
      </c>
      <c r="AL590" s="2" t="s">
        <v>74</v>
      </c>
      <c r="AM590" s="2" t="s">
        <v>74</v>
      </c>
      <c r="AN590" s="2" t="s">
        <v>74</v>
      </c>
      <c r="AO590" s="2" t="s">
        <v>111</v>
      </c>
      <c r="AP590" s="2" t="s">
        <v>74</v>
      </c>
      <c r="AQ590" s="2" t="s">
        <v>74</v>
      </c>
      <c r="AR590" s="2" t="s">
        <v>74</v>
      </c>
      <c r="AS590" s="2" t="s">
        <v>74</v>
      </c>
      <c r="AT590" s="2" t="s">
        <v>275</v>
      </c>
      <c r="AU590" s="2">
        <v>2007</v>
      </c>
      <c r="AV590" s="2">
        <v>274</v>
      </c>
      <c r="AW590" s="2">
        <v>1613</v>
      </c>
      <c r="AX590" s="2" t="s">
        <v>74</v>
      </c>
      <c r="AY590" s="2" t="s">
        <v>74</v>
      </c>
      <c r="AZ590" s="2" t="s">
        <v>74</v>
      </c>
      <c r="BA590" s="2" t="s">
        <v>74</v>
      </c>
      <c r="BB590" s="2">
        <v>1043</v>
      </c>
      <c r="BC590" s="2">
        <v>1047</v>
      </c>
      <c r="BD590" s="2" t="s">
        <v>74</v>
      </c>
      <c r="BE590" s="2" t="s">
        <v>4255</v>
      </c>
      <c r="BF590" s="2" t="str">
        <f>HYPERLINK("http://dx.doi.org/10.1098/rspb.2006.0043","http://dx.doi.org/10.1098/rspb.2006.0043")</f>
        <v>http://dx.doi.org/10.1098/rspb.2006.0043</v>
      </c>
      <c r="BG590" s="2" t="s">
        <v>74</v>
      </c>
      <c r="BH590" s="2" t="s">
        <v>74</v>
      </c>
      <c r="BI590" s="2" t="s">
        <v>74</v>
      </c>
      <c r="BJ590" s="2" t="s">
        <v>74</v>
      </c>
      <c r="BK590" s="2" t="s">
        <v>74</v>
      </c>
      <c r="BL590" s="2" t="s">
        <v>74</v>
      </c>
      <c r="BM590" s="2" t="s">
        <v>74</v>
      </c>
      <c r="BN590" s="2">
        <v>17284412</v>
      </c>
      <c r="BO590" s="2" t="s">
        <v>74</v>
      </c>
      <c r="BP590" s="2" t="s">
        <v>74</v>
      </c>
      <c r="BQ590" s="2" t="s">
        <v>74</v>
      </c>
      <c r="BR590" s="2" t="s">
        <v>74</v>
      </c>
      <c r="BS590" s="2" t="s">
        <v>4256</v>
      </c>
      <c r="BT590" s="2" t="str">
        <f>HYPERLINK("https%3A%2F%2Fwww.webofscience.com%2Fwos%2Fwoscc%2Ffull-record%2FWOS:000245472200005","View Full Record in Web of Science")</f>
        <v>View Full Record in Web of Science</v>
      </c>
    </row>
    <row r="591" spans="1:72" s="2" customFormat="1" x14ac:dyDescent="0.4">
      <c r="A591" s="2" t="s">
        <v>72</v>
      </c>
      <c r="B591" s="2" t="s">
        <v>2803</v>
      </c>
      <c r="C591" s="2" t="s">
        <v>74</v>
      </c>
      <c r="D591" s="2" t="s">
        <v>74</v>
      </c>
      <c r="E591" s="2" t="s">
        <v>74</v>
      </c>
      <c r="F591" s="2" t="s">
        <v>2803</v>
      </c>
      <c r="G591" s="2" t="s">
        <v>74</v>
      </c>
      <c r="H591" s="2" t="s">
        <v>74</v>
      </c>
      <c r="I591" s="2" t="s">
        <v>2804</v>
      </c>
      <c r="J591" s="2" t="s">
        <v>499</v>
      </c>
      <c r="K591" s="2" t="s">
        <v>74</v>
      </c>
      <c r="L591" s="2" t="s">
        <v>74</v>
      </c>
      <c r="M591" s="2" t="s">
        <v>74</v>
      </c>
      <c r="N591" s="2" t="s">
        <v>74</v>
      </c>
      <c r="O591" s="2" t="s">
        <v>74</v>
      </c>
      <c r="P591" s="2" t="s">
        <v>74</v>
      </c>
      <c r="Q591" s="2" t="s">
        <v>74</v>
      </c>
      <c r="R591" s="2" t="s">
        <v>74</v>
      </c>
      <c r="S591" s="2" t="s">
        <v>74</v>
      </c>
      <c r="T591" s="2" t="s">
        <v>74</v>
      </c>
      <c r="U591" s="2" t="s">
        <v>74</v>
      </c>
      <c r="V591" s="5" t="s">
        <v>2805</v>
      </c>
      <c r="W591" s="2" t="s">
        <v>74</v>
      </c>
      <c r="X591" s="2" t="s">
        <v>74</v>
      </c>
      <c r="Y591" s="2" t="s">
        <v>74</v>
      </c>
      <c r="Z591" s="2" t="s">
        <v>74</v>
      </c>
      <c r="AA591" s="2" t="s">
        <v>2184</v>
      </c>
      <c r="AB591" s="2" t="s">
        <v>2806</v>
      </c>
      <c r="AC591" s="2" t="s">
        <v>74</v>
      </c>
      <c r="AD591" s="2" t="s">
        <v>74</v>
      </c>
      <c r="AE591" s="2" t="s">
        <v>74</v>
      </c>
      <c r="AF591" s="2" t="s">
        <v>74</v>
      </c>
      <c r="AG591" s="2" t="s">
        <v>74</v>
      </c>
      <c r="AH591" s="2" t="s">
        <v>74</v>
      </c>
      <c r="AI591" s="2" t="s">
        <v>74</v>
      </c>
      <c r="AJ591" s="2" t="s">
        <v>74</v>
      </c>
      <c r="AK591" s="2" t="s">
        <v>74</v>
      </c>
      <c r="AL591" s="2" t="s">
        <v>74</v>
      </c>
      <c r="AM591" s="2" t="s">
        <v>74</v>
      </c>
      <c r="AN591" s="2" t="s">
        <v>74</v>
      </c>
      <c r="AO591" s="2" t="s">
        <v>503</v>
      </c>
      <c r="AP591" s="2" t="s">
        <v>504</v>
      </c>
      <c r="AQ591" s="2" t="s">
        <v>74</v>
      </c>
      <c r="AR591" s="2" t="s">
        <v>74</v>
      </c>
      <c r="AS591" s="2" t="s">
        <v>74</v>
      </c>
      <c r="AT591" s="2" t="s">
        <v>255</v>
      </c>
      <c r="AU591" s="2">
        <v>2005</v>
      </c>
      <c r="AV591" s="2">
        <v>7</v>
      </c>
      <c r="AW591" s="2">
        <v>1</v>
      </c>
      <c r="AX591" s="2" t="s">
        <v>74</v>
      </c>
      <c r="AY591" s="2" t="s">
        <v>74</v>
      </c>
      <c r="AZ591" s="2" t="s">
        <v>74</v>
      </c>
      <c r="BA591" s="2" t="s">
        <v>74</v>
      </c>
      <c r="BB591" s="2">
        <v>133</v>
      </c>
      <c r="BC591" s="2">
        <v>141</v>
      </c>
      <c r="BD591" s="2" t="s">
        <v>74</v>
      </c>
      <c r="BE591" s="2" t="s">
        <v>74</v>
      </c>
      <c r="BF591" s="2" t="s">
        <v>74</v>
      </c>
      <c r="BG591" s="2" t="s">
        <v>74</v>
      </c>
      <c r="BH591" s="2" t="s">
        <v>74</v>
      </c>
      <c r="BI591" s="2" t="s">
        <v>74</v>
      </c>
      <c r="BJ591" s="2" t="s">
        <v>74</v>
      </c>
      <c r="BK591" s="2" t="s">
        <v>74</v>
      </c>
      <c r="BL591" s="2" t="s">
        <v>74</v>
      </c>
      <c r="BM591" s="2" t="s">
        <v>74</v>
      </c>
      <c r="BN591" s="2" t="s">
        <v>74</v>
      </c>
      <c r="BO591" s="2" t="s">
        <v>74</v>
      </c>
      <c r="BP591" s="2" t="s">
        <v>74</v>
      </c>
      <c r="BQ591" s="2" t="s">
        <v>74</v>
      </c>
      <c r="BR591" s="2" t="s">
        <v>74</v>
      </c>
      <c r="BS591" s="2" t="s">
        <v>2807</v>
      </c>
      <c r="BT591" s="2" t="str">
        <f>HYPERLINK("https%3A%2F%2Fwww.webofscience.com%2Fwos%2Fwoscc%2Ffull-record%2FWOS:000227450800009","View Full Record in Web of Science")</f>
        <v>View Full Record in Web of Science</v>
      </c>
    </row>
    <row r="592" spans="1:72" s="2" customFormat="1" x14ac:dyDescent="0.4">
      <c r="A592" s="2" t="s">
        <v>72</v>
      </c>
      <c r="B592" s="2" t="s">
        <v>215</v>
      </c>
      <c r="C592" s="2" t="s">
        <v>74</v>
      </c>
      <c r="D592" s="2" t="s">
        <v>74</v>
      </c>
      <c r="E592" s="2" t="s">
        <v>74</v>
      </c>
      <c r="F592" s="2" t="s">
        <v>216</v>
      </c>
      <c r="G592" s="2" t="s">
        <v>74</v>
      </c>
      <c r="H592" s="2" t="s">
        <v>74</v>
      </c>
      <c r="I592" s="2" t="s">
        <v>217</v>
      </c>
      <c r="J592" s="2" t="s">
        <v>218</v>
      </c>
      <c r="K592" s="2" t="s">
        <v>74</v>
      </c>
      <c r="L592" s="2" t="s">
        <v>74</v>
      </c>
      <c r="M592" s="2" t="s">
        <v>74</v>
      </c>
      <c r="N592" s="2" t="s">
        <v>74</v>
      </c>
      <c r="O592" s="2" t="s">
        <v>74</v>
      </c>
      <c r="P592" s="2" t="s">
        <v>74</v>
      </c>
      <c r="Q592" s="2" t="s">
        <v>74</v>
      </c>
      <c r="R592" s="2" t="s">
        <v>74</v>
      </c>
      <c r="S592" s="2" t="s">
        <v>74</v>
      </c>
      <c r="T592" s="2" t="s">
        <v>74</v>
      </c>
      <c r="U592" s="2" t="s">
        <v>74</v>
      </c>
      <c r="V592" s="5" t="s">
        <v>219</v>
      </c>
      <c r="W592" s="2" t="s">
        <v>74</v>
      </c>
      <c r="X592" s="2" t="s">
        <v>74</v>
      </c>
      <c r="Y592" s="2" t="s">
        <v>74</v>
      </c>
      <c r="Z592" s="2" t="s">
        <v>74</v>
      </c>
      <c r="AA592" s="2" t="s">
        <v>74</v>
      </c>
      <c r="AB592" s="2" t="s">
        <v>220</v>
      </c>
      <c r="AC592" s="2" t="s">
        <v>74</v>
      </c>
      <c r="AD592" s="2" t="s">
        <v>74</v>
      </c>
      <c r="AE592" s="2" t="s">
        <v>74</v>
      </c>
      <c r="AF592" s="2" t="s">
        <v>74</v>
      </c>
      <c r="AG592" s="2" t="s">
        <v>74</v>
      </c>
      <c r="AH592" s="2" t="s">
        <v>74</v>
      </c>
      <c r="AI592" s="2" t="s">
        <v>74</v>
      </c>
      <c r="AJ592" s="2" t="s">
        <v>74</v>
      </c>
      <c r="AK592" s="2" t="s">
        <v>74</v>
      </c>
      <c r="AL592" s="2" t="s">
        <v>74</v>
      </c>
      <c r="AM592" s="2" t="s">
        <v>74</v>
      </c>
      <c r="AN592" s="2" t="s">
        <v>74</v>
      </c>
      <c r="AO592" s="2" t="s">
        <v>221</v>
      </c>
      <c r="AP592" s="2" t="s">
        <v>222</v>
      </c>
      <c r="AQ592" s="2" t="s">
        <v>74</v>
      </c>
      <c r="AR592" s="2" t="s">
        <v>74</v>
      </c>
      <c r="AS592" s="2" t="s">
        <v>74</v>
      </c>
      <c r="AT592" s="2" t="s">
        <v>204</v>
      </c>
      <c r="AU592" s="2">
        <v>2021</v>
      </c>
      <c r="AV592" s="2">
        <v>34</v>
      </c>
      <c r="AW592" s="2">
        <v>7</v>
      </c>
      <c r="AX592" s="2" t="s">
        <v>74</v>
      </c>
      <c r="AY592" s="2" t="s">
        <v>74</v>
      </c>
      <c r="AZ592" s="2" t="s">
        <v>74</v>
      </c>
      <c r="BA592" s="2" t="s">
        <v>74</v>
      </c>
      <c r="BB592" s="2">
        <v>1110</v>
      </c>
      <c r="BC592" s="2">
        <v>1124</v>
      </c>
      <c r="BD592" s="2" t="s">
        <v>74</v>
      </c>
      <c r="BE592" s="2" t="s">
        <v>223</v>
      </c>
      <c r="BF592" s="2" t="str">
        <f>HYPERLINK("http://dx.doi.org/10.1111/jeb.13798","http://dx.doi.org/10.1111/jeb.13798")</f>
        <v>http://dx.doi.org/10.1111/jeb.13798</v>
      </c>
      <c r="BG592" s="2" t="s">
        <v>74</v>
      </c>
      <c r="BH592" s="2" t="s">
        <v>224</v>
      </c>
      <c r="BI592" s="2" t="s">
        <v>74</v>
      </c>
      <c r="BJ592" s="2" t="s">
        <v>74</v>
      </c>
      <c r="BK592" s="2" t="s">
        <v>74</v>
      </c>
      <c r="BL592" s="2" t="s">
        <v>74</v>
      </c>
      <c r="BM592" s="2" t="s">
        <v>74</v>
      </c>
      <c r="BN592" s="2">
        <v>33949033</v>
      </c>
      <c r="BO592" s="2" t="s">
        <v>74</v>
      </c>
      <c r="BP592" s="2" t="s">
        <v>74</v>
      </c>
      <c r="BQ592" s="2" t="s">
        <v>74</v>
      </c>
      <c r="BR592" s="2" t="s">
        <v>74</v>
      </c>
      <c r="BS592" s="2" t="s">
        <v>225</v>
      </c>
      <c r="BT592" s="2" t="str">
        <f>HYPERLINK("https%3A%2F%2Fwww.webofscience.com%2Fwos%2Fwoscc%2Ffull-record%2FWOS:000668020400001","View Full Record in Web of Science")</f>
        <v>View Full Record in Web of Science</v>
      </c>
    </row>
    <row r="593" spans="1:72" s="2" customFormat="1" x14ac:dyDescent="0.4">
      <c r="A593" s="2" t="s">
        <v>72</v>
      </c>
      <c r="B593" s="2" t="s">
        <v>215</v>
      </c>
      <c r="C593" s="2" t="s">
        <v>74</v>
      </c>
      <c r="D593" s="2" t="s">
        <v>74</v>
      </c>
      <c r="E593" s="2" t="s">
        <v>74</v>
      </c>
      <c r="F593" s="2" t="s">
        <v>216</v>
      </c>
      <c r="G593" s="2" t="s">
        <v>74</v>
      </c>
      <c r="H593" s="2" t="s">
        <v>74</v>
      </c>
      <c r="I593" s="2" t="s">
        <v>898</v>
      </c>
      <c r="J593" s="2" t="s">
        <v>312</v>
      </c>
      <c r="K593" s="2" t="s">
        <v>74</v>
      </c>
      <c r="L593" s="2" t="s">
        <v>74</v>
      </c>
      <c r="M593" s="2" t="s">
        <v>74</v>
      </c>
      <c r="N593" s="2" t="s">
        <v>74</v>
      </c>
      <c r="O593" s="2" t="s">
        <v>74</v>
      </c>
      <c r="P593" s="2" t="s">
        <v>74</v>
      </c>
      <c r="Q593" s="2" t="s">
        <v>74</v>
      </c>
      <c r="R593" s="2" t="s">
        <v>74</v>
      </c>
      <c r="S593" s="2" t="s">
        <v>74</v>
      </c>
      <c r="T593" s="2" t="s">
        <v>74</v>
      </c>
      <c r="U593" s="2" t="s">
        <v>74</v>
      </c>
      <c r="V593" s="5" t="s">
        <v>899</v>
      </c>
      <c r="W593" s="2" t="s">
        <v>74</v>
      </c>
      <c r="X593" s="2" t="s">
        <v>74</v>
      </c>
      <c r="Y593" s="2" t="s">
        <v>74</v>
      </c>
      <c r="Z593" s="2" t="s">
        <v>74</v>
      </c>
      <c r="AA593" s="2" t="s">
        <v>74</v>
      </c>
      <c r="AB593" s="2" t="s">
        <v>74</v>
      </c>
      <c r="AC593" s="2" t="s">
        <v>74</v>
      </c>
      <c r="AD593" s="2" t="s">
        <v>74</v>
      </c>
      <c r="AE593" s="2" t="s">
        <v>74</v>
      </c>
      <c r="AF593" s="2" t="s">
        <v>74</v>
      </c>
      <c r="AG593" s="2" t="s">
        <v>74</v>
      </c>
      <c r="AH593" s="2" t="s">
        <v>74</v>
      </c>
      <c r="AI593" s="2" t="s">
        <v>74</v>
      </c>
      <c r="AJ593" s="2" t="s">
        <v>74</v>
      </c>
      <c r="AK593" s="2" t="s">
        <v>74</v>
      </c>
      <c r="AL593" s="2" t="s">
        <v>74</v>
      </c>
      <c r="AM593" s="2" t="s">
        <v>74</v>
      </c>
      <c r="AN593" s="2" t="s">
        <v>74</v>
      </c>
      <c r="AO593" s="2" t="s">
        <v>314</v>
      </c>
      <c r="AP593" s="2" t="s">
        <v>315</v>
      </c>
      <c r="AQ593" s="2" t="s">
        <v>74</v>
      </c>
      <c r="AR593" s="2" t="s">
        <v>74</v>
      </c>
      <c r="AS593" s="2" t="s">
        <v>74</v>
      </c>
      <c r="AT593" s="2" t="s">
        <v>900</v>
      </c>
      <c r="AU593" s="2">
        <v>2023</v>
      </c>
      <c r="AV593" s="2" t="s">
        <v>74</v>
      </c>
      <c r="AW593" s="2" t="s">
        <v>74</v>
      </c>
      <c r="AX593" s="2" t="s">
        <v>74</v>
      </c>
      <c r="AY593" s="2" t="s">
        <v>74</v>
      </c>
      <c r="AZ593" s="2" t="s">
        <v>74</v>
      </c>
      <c r="BA593" s="2" t="s">
        <v>74</v>
      </c>
      <c r="BB593" s="2" t="s">
        <v>74</v>
      </c>
      <c r="BC593" s="2" t="s">
        <v>74</v>
      </c>
      <c r="BD593" s="2" t="s">
        <v>74</v>
      </c>
      <c r="BE593" s="2" t="s">
        <v>901</v>
      </c>
      <c r="BF593" s="2" t="str">
        <f>HYPERLINK("http://dx.doi.org/10.1086/725916","http://dx.doi.org/10.1086/725916")</f>
        <v>http://dx.doi.org/10.1086/725916</v>
      </c>
      <c r="BG593" s="2" t="s">
        <v>74</v>
      </c>
      <c r="BH593" s="2" t="s">
        <v>902</v>
      </c>
      <c r="BI593" s="2" t="s">
        <v>74</v>
      </c>
      <c r="BJ593" s="2" t="s">
        <v>74</v>
      </c>
      <c r="BK593" s="2" t="s">
        <v>74</v>
      </c>
      <c r="BL593" s="2" t="s">
        <v>74</v>
      </c>
      <c r="BM593" s="2" t="s">
        <v>74</v>
      </c>
      <c r="BN593" s="2">
        <v>37792917</v>
      </c>
      <c r="BO593" s="2" t="s">
        <v>74</v>
      </c>
      <c r="BP593" s="2" t="s">
        <v>74</v>
      </c>
      <c r="BQ593" s="2" t="s">
        <v>74</v>
      </c>
      <c r="BR593" s="2" t="s">
        <v>74</v>
      </c>
      <c r="BS593" s="2" t="s">
        <v>903</v>
      </c>
      <c r="BT593" s="2" t="str">
        <f>HYPERLINK("https%3A%2F%2Fwww.webofscience.com%2Fwos%2Fwoscc%2Ffull-record%2FWOS:001168568800001","View Full Record in Web of Science")</f>
        <v>View Full Record in Web of Science</v>
      </c>
    </row>
    <row r="594" spans="1:72" s="2" customFormat="1" x14ac:dyDescent="0.4">
      <c r="A594" s="2" t="s">
        <v>72</v>
      </c>
      <c r="B594" s="2" t="s">
        <v>564</v>
      </c>
      <c r="C594" s="2" t="s">
        <v>74</v>
      </c>
      <c r="D594" s="2" t="s">
        <v>74</v>
      </c>
      <c r="E594" s="2" t="s">
        <v>74</v>
      </c>
      <c r="F594" s="2" t="s">
        <v>565</v>
      </c>
      <c r="G594" s="2" t="s">
        <v>74</v>
      </c>
      <c r="H594" s="2" t="s">
        <v>74</v>
      </c>
      <c r="I594" s="2" t="s">
        <v>566</v>
      </c>
      <c r="J594" s="2" t="s">
        <v>140</v>
      </c>
      <c r="K594" s="2" t="s">
        <v>74</v>
      </c>
      <c r="L594" s="2" t="s">
        <v>74</v>
      </c>
      <c r="M594" s="2" t="s">
        <v>74</v>
      </c>
      <c r="N594" s="2" t="s">
        <v>74</v>
      </c>
      <c r="O594" s="2" t="s">
        <v>74</v>
      </c>
      <c r="P594" s="2" t="s">
        <v>74</v>
      </c>
      <c r="Q594" s="2" t="s">
        <v>74</v>
      </c>
      <c r="R594" s="2" t="s">
        <v>74</v>
      </c>
      <c r="S594" s="2" t="s">
        <v>74</v>
      </c>
      <c r="T594" s="2" t="s">
        <v>74</v>
      </c>
      <c r="U594" s="2" t="s">
        <v>74</v>
      </c>
      <c r="V594" s="5" t="s">
        <v>567</v>
      </c>
      <c r="W594" s="2" t="s">
        <v>74</v>
      </c>
      <c r="X594" s="2" t="s">
        <v>74</v>
      </c>
      <c r="Y594" s="2" t="s">
        <v>74</v>
      </c>
      <c r="Z594" s="2" t="s">
        <v>74</v>
      </c>
      <c r="AA594" s="2" t="s">
        <v>568</v>
      </c>
      <c r="AB594" s="2" t="s">
        <v>569</v>
      </c>
      <c r="AC594" s="2" t="s">
        <v>74</v>
      </c>
      <c r="AD594" s="2" t="s">
        <v>74</v>
      </c>
      <c r="AE594" s="2" t="s">
        <v>74</v>
      </c>
      <c r="AF594" s="2" t="s">
        <v>74</v>
      </c>
      <c r="AG594" s="2" t="s">
        <v>74</v>
      </c>
      <c r="AH594" s="2" t="s">
        <v>74</v>
      </c>
      <c r="AI594" s="2" t="s">
        <v>74</v>
      </c>
      <c r="AJ594" s="2" t="s">
        <v>74</v>
      </c>
      <c r="AK594" s="2" t="s">
        <v>74</v>
      </c>
      <c r="AL594" s="2" t="s">
        <v>74</v>
      </c>
      <c r="AM594" s="2" t="s">
        <v>74</v>
      </c>
      <c r="AN594" s="2" t="s">
        <v>74</v>
      </c>
      <c r="AO594" s="2" t="s">
        <v>143</v>
      </c>
      <c r="AP594" s="2" t="s">
        <v>144</v>
      </c>
      <c r="AQ594" s="2" t="s">
        <v>74</v>
      </c>
      <c r="AR594" s="2" t="s">
        <v>74</v>
      </c>
      <c r="AS594" s="2" t="s">
        <v>74</v>
      </c>
      <c r="AT594" s="2" t="s">
        <v>102</v>
      </c>
      <c r="AU594" s="2">
        <v>2021</v>
      </c>
      <c r="AV594" s="2">
        <v>176</v>
      </c>
      <c r="AW594" s="2" t="s">
        <v>74</v>
      </c>
      <c r="AX594" s="2" t="s">
        <v>74</v>
      </c>
      <c r="AY594" s="2" t="s">
        <v>74</v>
      </c>
      <c r="AZ594" s="2" t="s">
        <v>74</v>
      </c>
      <c r="BA594" s="2" t="s">
        <v>74</v>
      </c>
      <c r="BB594" s="2">
        <v>157</v>
      </c>
      <c r="BC594" s="2">
        <v>166</v>
      </c>
      <c r="BD594" s="2" t="s">
        <v>74</v>
      </c>
      <c r="BE594" s="2" t="s">
        <v>570</v>
      </c>
      <c r="BF594" s="2" t="str">
        <f>HYPERLINK("http://dx.doi.org/10.1016/j.anbehav.2021.04.006","http://dx.doi.org/10.1016/j.anbehav.2021.04.006")</f>
        <v>http://dx.doi.org/10.1016/j.anbehav.2021.04.006</v>
      </c>
      <c r="BG594" s="2" t="s">
        <v>74</v>
      </c>
      <c r="BH594" s="2" t="s">
        <v>571</v>
      </c>
      <c r="BI594" s="2" t="s">
        <v>74</v>
      </c>
      <c r="BJ594" s="2" t="s">
        <v>74</v>
      </c>
      <c r="BK594" s="2" t="s">
        <v>74</v>
      </c>
      <c r="BL594" s="2" t="s">
        <v>74</v>
      </c>
      <c r="BM594" s="2" t="s">
        <v>74</v>
      </c>
      <c r="BN594" s="2" t="s">
        <v>74</v>
      </c>
      <c r="BO594" s="2" t="s">
        <v>74</v>
      </c>
      <c r="BP594" s="2" t="s">
        <v>74</v>
      </c>
      <c r="BQ594" s="2" t="s">
        <v>74</v>
      </c>
      <c r="BR594" s="2" t="s">
        <v>74</v>
      </c>
      <c r="BS594" s="2" t="s">
        <v>572</v>
      </c>
      <c r="BT594" s="2" t="str">
        <f>HYPERLINK("https%3A%2F%2Fwww.webofscience.com%2Fwos%2Fwoscc%2Ffull-record%2FWOS:000655320000013","View Full Record in Web of Science")</f>
        <v>View Full Record in Web of Science</v>
      </c>
    </row>
    <row r="595" spans="1:72" s="2" customFormat="1" x14ac:dyDescent="0.4">
      <c r="A595" s="2" t="s">
        <v>72</v>
      </c>
      <c r="B595" s="2" t="s">
        <v>564</v>
      </c>
      <c r="C595" s="2" t="s">
        <v>74</v>
      </c>
      <c r="D595" s="2" t="s">
        <v>74</v>
      </c>
      <c r="E595" s="2" t="s">
        <v>74</v>
      </c>
      <c r="F595" s="2" t="s">
        <v>565</v>
      </c>
      <c r="G595" s="2" t="s">
        <v>74</v>
      </c>
      <c r="H595" s="2" t="s">
        <v>74</v>
      </c>
      <c r="I595" s="2" t="s">
        <v>2557</v>
      </c>
      <c r="J595" s="2" t="s">
        <v>576</v>
      </c>
      <c r="K595" s="2" t="s">
        <v>74</v>
      </c>
      <c r="L595" s="2" t="s">
        <v>74</v>
      </c>
      <c r="M595" s="2" t="s">
        <v>74</v>
      </c>
      <c r="N595" s="2" t="s">
        <v>74</v>
      </c>
      <c r="O595" s="2" t="s">
        <v>74</v>
      </c>
      <c r="P595" s="2" t="s">
        <v>74</v>
      </c>
      <c r="Q595" s="2" t="s">
        <v>74</v>
      </c>
      <c r="R595" s="2" t="s">
        <v>74</v>
      </c>
      <c r="S595" s="2" t="s">
        <v>74</v>
      </c>
      <c r="T595" s="2" t="s">
        <v>74</v>
      </c>
      <c r="U595" s="2" t="s">
        <v>74</v>
      </c>
      <c r="V595" s="5" t="s">
        <v>2558</v>
      </c>
      <c r="W595" s="2" t="s">
        <v>74</v>
      </c>
      <c r="X595" s="2" t="s">
        <v>74</v>
      </c>
      <c r="Y595" s="2" t="s">
        <v>74</v>
      </c>
      <c r="Z595" s="2" t="s">
        <v>74</v>
      </c>
      <c r="AA595" s="2" t="s">
        <v>568</v>
      </c>
      <c r="AB595" s="2" t="s">
        <v>569</v>
      </c>
      <c r="AC595" s="2" t="s">
        <v>74</v>
      </c>
      <c r="AD595" s="2" t="s">
        <v>74</v>
      </c>
      <c r="AE595" s="2" t="s">
        <v>74</v>
      </c>
      <c r="AF595" s="2" t="s">
        <v>74</v>
      </c>
      <c r="AG595" s="2" t="s">
        <v>74</v>
      </c>
      <c r="AH595" s="2" t="s">
        <v>74</v>
      </c>
      <c r="AI595" s="2" t="s">
        <v>74</v>
      </c>
      <c r="AJ595" s="2" t="s">
        <v>74</v>
      </c>
      <c r="AK595" s="2" t="s">
        <v>74</v>
      </c>
      <c r="AL595" s="2" t="s">
        <v>74</v>
      </c>
      <c r="AM595" s="2" t="s">
        <v>74</v>
      </c>
      <c r="AN595" s="2" t="s">
        <v>74</v>
      </c>
      <c r="AO595" s="2" t="s">
        <v>579</v>
      </c>
      <c r="AP595" s="2" t="s">
        <v>580</v>
      </c>
      <c r="AQ595" s="2" t="s">
        <v>74</v>
      </c>
      <c r="AR595" s="2" t="s">
        <v>74</v>
      </c>
      <c r="AS595" s="2" t="s">
        <v>74</v>
      </c>
      <c r="AT595" s="2" t="s">
        <v>175</v>
      </c>
      <c r="AU595" s="2">
        <v>2020</v>
      </c>
      <c r="AV595" s="2">
        <v>34</v>
      </c>
      <c r="AW595" s="2">
        <v>5</v>
      </c>
      <c r="AX595" s="2" t="s">
        <v>74</v>
      </c>
      <c r="AY595" s="2" t="s">
        <v>74</v>
      </c>
      <c r="AZ595" s="2" t="s">
        <v>74</v>
      </c>
      <c r="BA595" s="2" t="s">
        <v>74</v>
      </c>
      <c r="BB595" s="2">
        <v>735</v>
      </c>
      <c r="BC595" s="2">
        <v>743</v>
      </c>
      <c r="BD595" s="2" t="s">
        <v>74</v>
      </c>
      <c r="BE595" s="2" t="s">
        <v>2559</v>
      </c>
      <c r="BF595" s="2" t="str">
        <f>HYPERLINK("http://dx.doi.org/10.1007/s10682-020-10064-y","http://dx.doi.org/10.1007/s10682-020-10064-y")</f>
        <v>http://dx.doi.org/10.1007/s10682-020-10064-y</v>
      </c>
      <c r="BG595" s="2" t="s">
        <v>74</v>
      </c>
      <c r="BH595" s="2" t="s">
        <v>2560</v>
      </c>
      <c r="BI595" s="2" t="s">
        <v>74</v>
      </c>
      <c r="BJ595" s="2" t="s">
        <v>74</v>
      </c>
      <c r="BK595" s="2" t="s">
        <v>74</v>
      </c>
      <c r="BL595" s="2" t="s">
        <v>74</v>
      </c>
      <c r="BM595" s="2" t="s">
        <v>74</v>
      </c>
      <c r="BN595" s="2" t="s">
        <v>74</v>
      </c>
      <c r="BO595" s="2" t="s">
        <v>74</v>
      </c>
      <c r="BP595" s="2" t="s">
        <v>74</v>
      </c>
      <c r="BQ595" s="2" t="s">
        <v>74</v>
      </c>
      <c r="BR595" s="2" t="s">
        <v>74</v>
      </c>
      <c r="BS595" s="2" t="s">
        <v>2561</v>
      </c>
      <c r="BT595" s="2" t="str">
        <f>HYPERLINK("https%3A%2F%2Fwww.webofscience.com%2Fwos%2Fwoscc%2Ffull-record%2FWOS:000555728700001","View Full Record in Web of Science")</f>
        <v>View Full Record in Web of Science</v>
      </c>
    </row>
    <row r="596" spans="1:72" s="2" customFormat="1" x14ac:dyDescent="0.4">
      <c r="A596" s="2" t="s">
        <v>72</v>
      </c>
      <c r="B596" s="2" t="s">
        <v>5700</v>
      </c>
      <c r="C596" s="2" t="s">
        <v>74</v>
      </c>
      <c r="D596" s="2" t="s">
        <v>74</v>
      </c>
      <c r="E596" s="2" t="s">
        <v>74</v>
      </c>
      <c r="F596" s="2" t="s">
        <v>5700</v>
      </c>
      <c r="G596" s="2" t="s">
        <v>74</v>
      </c>
      <c r="H596" s="2" t="s">
        <v>74</v>
      </c>
      <c r="I596" s="2" t="s">
        <v>5701</v>
      </c>
      <c r="J596" s="2" t="s">
        <v>201</v>
      </c>
      <c r="K596" s="2" t="s">
        <v>74</v>
      </c>
      <c r="L596" s="2" t="s">
        <v>74</v>
      </c>
      <c r="M596" s="2" t="s">
        <v>74</v>
      </c>
      <c r="N596" s="2" t="s">
        <v>74</v>
      </c>
      <c r="O596" s="2" t="s">
        <v>74</v>
      </c>
      <c r="P596" s="2" t="s">
        <v>74</v>
      </c>
      <c r="Q596" s="2" t="s">
        <v>74</v>
      </c>
      <c r="R596" s="2" t="s">
        <v>74</v>
      </c>
      <c r="S596" s="2" t="s">
        <v>74</v>
      </c>
      <c r="T596" s="2" t="s">
        <v>74</v>
      </c>
      <c r="U596" s="2" t="s">
        <v>74</v>
      </c>
      <c r="V596" s="5" t="s">
        <v>5702</v>
      </c>
      <c r="W596" s="2" t="s">
        <v>74</v>
      </c>
      <c r="X596" s="2" t="s">
        <v>74</v>
      </c>
      <c r="Y596" s="2" t="s">
        <v>74</v>
      </c>
      <c r="Z596" s="2" t="s">
        <v>74</v>
      </c>
      <c r="AA596" s="2" t="s">
        <v>5703</v>
      </c>
      <c r="AB596" s="2" t="s">
        <v>5704</v>
      </c>
      <c r="AC596" s="2" t="s">
        <v>74</v>
      </c>
      <c r="AD596" s="2" t="s">
        <v>74</v>
      </c>
      <c r="AE596" s="2" t="s">
        <v>74</v>
      </c>
      <c r="AF596" s="2" t="s">
        <v>74</v>
      </c>
      <c r="AG596" s="2" t="s">
        <v>74</v>
      </c>
      <c r="AH596" s="2" t="s">
        <v>74</v>
      </c>
      <c r="AI596" s="2" t="s">
        <v>74</v>
      </c>
      <c r="AJ596" s="2" t="s">
        <v>74</v>
      </c>
      <c r="AK596" s="2" t="s">
        <v>74</v>
      </c>
      <c r="AL596" s="2" t="s">
        <v>74</v>
      </c>
      <c r="AM596" s="2" t="s">
        <v>74</v>
      </c>
      <c r="AN596" s="2" t="s">
        <v>74</v>
      </c>
      <c r="AO596" s="2" t="s">
        <v>203</v>
      </c>
      <c r="AP596" s="2" t="s">
        <v>1192</v>
      </c>
      <c r="AQ596" s="2" t="s">
        <v>74</v>
      </c>
      <c r="AR596" s="2" t="s">
        <v>74</v>
      </c>
      <c r="AS596" s="2" t="s">
        <v>74</v>
      </c>
      <c r="AT596" s="2" t="s">
        <v>964</v>
      </c>
      <c r="AU596" s="2">
        <v>2006</v>
      </c>
      <c r="AV596" s="2">
        <v>68</v>
      </c>
      <c r="AW596" s="2">
        <v>2</v>
      </c>
      <c r="AX596" s="2" t="s">
        <v>74</v>
      </c>
      <c r="AY596" s="2" t="s">
        <v>74</v>
      </c>
      <c r="AZ596" s="2" t="s">
        <v>74</v>
      </c>
      <c r="BA596" s="2" t="s">
        <v>74</v>
      </c>
      <c r="BB596" s="2">
        <v>373</v>
      </c>
      <c r="BC596" s="2">
        <v>384</v>
      </c>
      <c r="BD596" s="2" t="s">
        <v>74</v>
      </c>
      <c r="BE596" s="2" t="s">
        <v>5705</v>
      </c>
      <c r="BF596" s="2" t="str">
        <f>HYPERLINK("http://dx.doi.org/10.1111/j.0022-1112.2006.00896.x","http://dx.doi.org/10.1111/j.0022-1112.2006.00896.x")</f>
        <v>http://dx.doi.org/10.1111/j.0022-1112.2006.00896.x</v>
      </c>
      <c r="BG596" s="2" t="s">
        <v>74</v>
      </c>
      <c r="BH596" s="2" t="s">
        <v>74</v>
      </c>
      <c r="BI596" s="2" t="s">
        <v>74</v>
      </c>
      <c r="BJ596" s="2" t="s">
        <v>74</v>
      </c>
      <c r="BK596" s="2" t="s">
        <v>74</v>
      </c>
      <c r="BL596" s="2" t="s">
        <v>74</v>
      </c>
      <c r="BM596" s="2" t="s">
        <v>74</v>
      </c>
      <c r="BN596" s="2" t="s">
        <v>74</v>
      </c>
      <c r="BO596" s="2" t="s">
        <v>74</v>
      </c>
      <c r="BP596" s="2" t="s">
        <v>74</v>
      </c>
      <c r="BQ596" s="2" t="s">
        <v>74</v>
      </c>
      <c r="BR596" s="2" t="s">
        <v>74</v>
      </c>
      <c r="BS596" s="2" t="s">
        <v>5706</v>
      </c>
      <c r="BT596" s="2" t="str">
        <f>HYPERLINK("https%3A%2F%2Fwww.webofscience.com%2Fwos%2Fwoscc%2Ffull-record%2FWOS:000235469400003","View Full Record in Web of Science")</f>
        <v>View Full Record in Web of Science</v>
      </c>
    </row>
    <row r="597" spans="1:72" s="2" customFormat="1" x14ac:dyDescent="0.4">
      <c r="A597" s="2" t="s">
        <v>72</v>
      </c>
      <c r="B597" s="2" t="s">
        <v>8748</v>
      </c>
      <c r="C597" s="2" t="s">
        <v>74</v>
      </c>
      <c r="D597" s="2" t="s">
        <v>74</v>
      </c>
      <c r="E597" s="2" t="s">
        <v>74</v>
      </c>
      <c r="F597" s="2" t="s">
        <v>8749</v>
      </c>
      <c r="G597" s="2" t="s">
        <v>74</v>
      </c>
      <c r="H597" s="2" t="s">
        <v>74</v>
      </c>
      <c r="I597" s="2" t="s">
        <v>8750</v>
      </c>
      <c r="J597" s="2" t="s">
        <v>970</v>
      </c>
      <c r="K597" s="2" t="s">
        <v>74</v>
      </c>
      <c r="L597" s="2" t="s">
        <v>74</v>
      </c>
      <c r="M597" s="2" t="s">
        <v>74</v>
      </c>
      <c r="N597" s="2" t="s">
        <v>74</v>
      </c>
      <c r="O597" s="2" t="s">
        <v>74</v>
      </c>
      <c r="P597" s="2" t="s">
        <v>74</v>
      </c>
      <c r="Q597" s="2" t="s">
        <v>74</v>
      </c>
      <c r="R597" s="2" t="s">
        <v>74</v>
      </c>
      <c r="S597" s="2" t="s">
        <v>74</v>
      </c>
      <c r="T597" s="2" t="s">
        <v>74</v>
      </c>
      <c r="U597" s="2" t="s">
        <v>74</v>
      </c>
      <c r="V597" s="5" t="s">
        <v>8751</v>
      </c>
      <c r="W597" s="2" t="s">
        <v>74</v>
      </c>
      <c r="X597" s="2" t="s">
        <v>74</v>
      </c>
      <c r="Y597" s="2" t="s">
        <v>74</v>
      </c>
      <c r="Z597" s="2" t="s">
        <v>74</v>
      </c>
      <c r="AA597" s="2" t="s">
        <v>8752</v>
      </c>
      <c r="AB597" s="2" t="s">
        <v>8753</v>
      </c>
      <c r="AC597" s="2" t="s">
        <v>74</v>
      </c>
      <c r="AD597" s="2" t="s">
        <v>74</v>
      </c>
      <c r="AE597" s="2" t="s">
        <v>74</v>
      </c>
      <c r="AF597" s="2" t="s">
        <v>74</v>
      </c>
      <c r="AG597" s="2" t="s">
        <v>74</v>
      </c>
      <c r="AH597" s="2" t="s">
        <v>74</v>
      </c>
      <c r="AI597" s="2" t="s">
        <v>74</v>
      </c>
      <c r="AJ597" s="2" t="s">
        <v>74</v>
      </c>
      <c r="AK597" s="2" t="s">
        <v>74</v>
      </c>
      <c r="AL597" s="2" t="s">
        <v>74</v>
      </c>
      <c r="AM597" s="2" t="s">
        <v>74</v>
      </c>
      <c r="AN597" s="2" t="s">
        <v>74</v>
      </c>
      <c r="AO597" s="2" t="s">
        <v>8754</v>
      </c>
      <c r="AP597" s="2" t="s">
        <v>8755</v>
      </c>
      <c r="AQ597" s="2" t="s">
        <v>74</v>
      </c>
      <c r="AR597" s="2" t="s">
        <v>74</v>
      </c>
      <c r="AS597" s="2" t="s">
        <v>74</v>
      </c>
      <c r="AT597" s="2" t="s">
        <v>305</v>
      </c>
      <c r="AU597" s="2">
        <v>2007</v>
      </c>
      <c r="AV597" s="2">
        <v>148</v>
      </c>
      <c r="AW597" s="2" t="s">
        <v>74</v>
      </c>
      <c r="AX597" s="2" t="s">
        <v>74</v>
      </c>
      <c r="AY597" s="2">
        <v>2</v>
      </c>
      <c r="AZ597" s="2" t="s">
        <v>74</v>
      </c>
      <c r="BA597" s="2" t="s">
        <v>74</v>
      </c>
      <c r="BB597" s="2" t="s">
        <v>8756</v>
      </c>
      <c r="BC597" s="2" t="s">
        <v>8757</v>
      </c>
      <c r="BD597" s="2" t="s">
        <v>74</v>
      </c>
      <c r="BE597" s="2" t="s">
        <v>8758</v>
      </c>
      <c r="BF597" s="2" t="str">
        <f>HYPERLINK("http://dx.doi.org/10.1007/s10336-007-0224-3","http://dx.doi.org/10.1007/s10336-007-0224-3")</f>
        <v>http://dx.doi.org/10.1007/s10336-007-0224-3</v>
      </c>
      <c r="BG597" s="2" t="s">
        <v>74</v>
      </c>
      <c r="BH597" s="2" t="s">
        <v>74</v>
      </c>
      <c r="BI597" s="2" t="s">
        <v>74</v>
      </c>
      <c r="BJ597" s="2" t="s">
        <v>74</v>
      </c>
      <c r="BK597" s="2" t="s">
        <v>74</v>
      </c>
      <c r="BL597" s="2" t="s">
        <v>74</v>
      </c>
      <c r="BM597" s="2" t="s">
        <v>74</v>
      </c>
      <c r="BN597" s="2" t="s">
        <v>74</v>
      </c>
      <c r="BO597" s="2" t="s">
        <v>74</v>
      </c>
      <c r="BP597" s="2" t="s">
        <v>74</v>
      </c>
      <c r="BQ597" s="2" t="s">
        <v>74</v>
      </c>
      <c r="BR597" s="2" t="s">
        <v>74</v>
      </c>
      <c r="BS597" s="2" t="s">
        <v>8759</v>
      </c>
      <c r="BT597" s="2" t="str">
        <f>HYPERLINK("https%3A%2F%2Fwww.webofscience.com%2Fwos%2Fwoscc%2Ffull-record%2FWOS:000255199000012","View Full Record in Web of Science")</f>
        <v>View Full Record in Web of Science</v>
      </c>
    </row>
    <row r="598" spans="1:72" s="7" customFormat="1" x14ac:dyDescent="0.4">
      <c r="A598" s="2" t="s">
        <v>72</v>
      </c>
      <c r="B598" s="2" t="s">
        <v>4693</v>
      </c>
      <c r="C598" s="2" t="s">
        <v>74</v>
      </c>
      <c r="D598" s="2" t="s">
        <v>74</v>
      </c>
      <c r="E598" s="2" t="s">
        <v>74</v>
      </c>
      <c r="F598" s="2" t="s">
        <v>4694</v>
      </c>
      <c r="G598" s="2" t="s">
        <v>74</v>
      </c>
      <c r="H598" s="2" t="s">
        <v>74</v>
      </c>
      <c r="I598" s="2" t="s">
        <v>4695</v>
      </c>
      <c r="J598" s="2" t="s">
        <v>610</v>
      </c>
      <c r="K598" s="2" t="s">
        <v>74</v>
      </c>
      <c r="L598" s="2" t="s">
        <v>74</v>
      </c>
      <c r="M598" s="2" t="s">
        <v>74</v>
      </c>
      <c r="N598" s="2" t="s">
        <v>74</v>
      </c>
      <c r="O598" s="2" t="s">
        <v>74</v>
      </c>
      <c r="P598" s="2" t="s">
        <v>74</v>
      </c>
      <c r="Q598" s="2" t="s">
        <v>74</v>
      </c>
      <c r="R598" s="2" t="s">
        <v>74</v>
      </c>
      <c r="S598" s="2" t="s">
        <v>74</v>
      </c>
      <c r="T598" s="2" t="s">
        <v>74</v>
      </c>
      <c r="U598" s="2" t="s">
        <v>74</v>
      </c>
      <c r="V598" s="5" t="s">
        <v>4696</v>
      </c>
      <c r="W598" s="2" t="s">
        <v>74</v>
      </c>
      <c r="X598" s="2" t="s">
        <v>74</v>
      </c>
      <c r="Y598" s="2" t="s">
        <v>74</v>
      </c>
      <c r="Z598" s="2" t="s">
        <v>74</v>
      </c>
      <c r="AA598" s="2" t="s">
        <v>4697</v>
      </c>
      <c r="AB598" s="2" t="s">
        <v>4698</v>
      </c>
      <c r="AC598" s="2" t="s">
        <v>74</v>
      </c>
      <c r="AD598" s="2" t="s">
        <v>74</v>
      </c>
      <c r="AE598" s="2" t="s">
        <v>74</v>
      </c>
      <c r="AF598" s="2" t="s">
        <v>74</v>
      </c>
      <c r="AG598" s="2" t="s">
        <v>74</v>
      </c>
      <c r="AH598" s="2" t="s">
        <v>74</v>
      </c>
      <c r="AI598" s="2" t="s">
        <v>74</v>
      </c>
      <c r="AJ598" s="2" t="s">
        <v>74</v>
      </c>
      <c r="AK598" s="2" t="s">
        <v>74</v>
      </c>
      <c r="AL598" s="2" t="s">
        <v>74</v>
      </c>
      <c r="AM598" s="2" t="s">
        <v>74</v>
      </c>
      <c r="AN598" s="2" t="s">
        <v>74</v>
      </c>
      <c r="AO598" s="2" t="s">
        <v>614</v>
      </c>
      <c r="AP598" s="2" t="s">
        <v>615</v>
      </c>
      <c r="AQ598" s="2" t="s">
        <v>74</v>
      </c>
      <c r="AR598" s="2" t="s">
        <v>74</v>
      </c>
      <c r="AS598" s="2" t="s">
        <v>74</v>
      </c>
      <c r="AT598" s="2" t="s">
        <v>134</v>
      </c>
      <c r="AU598" s="2">
        <v>2014</v>
      </c>
      <c r="AV598" s="2">
        <v>120</v>
      </c>
      <c r="AW598" s="2">
        <v>5</v>
      </c>
      <c r="AX598" s="2" t="s">
        <v>74</v>
      </c>
      <c r="AY598" s="2" t="s">
        <v>74</v>
      </c>
      <c r="AZ598" s="2" t="s">
        <v>74</v>
      </c>
      <c r="BA598" s="2" t="s">
        <v>74</v>
      </c>
      <c r="BB598" s="2">
        <v>502</v>
      </c>
      <c r="BC598" s="2">
        <v>510</v>
      </c>
      <c r="BD598" s="2" t="s">
        <v>74</v>
      </c>
      <c r="BE598" s="2" t="s">
        <v>4699</v>
      </c>
      <c r="BF598" s="2" t="str">
        <f>HYPERLINK("http://dx.doi.org/10.1111/eth.12224","http://dx.doi.org/10.1111/eth.12224")</f>
        <v>http://dx.doi.org/10.1111/eth.12224</v>
      </c>
      <c r="BG598" s="2" t="s">
        <v>74</v>
      </c>
      <c r="BH598" s="2" t="s">
        <v>74</v>
      </c>
      <c r="BI598" s="2" t="s">
        <v>74</v>
      </c>
      <c r="BJ598" s="2" t="s">
        <v>74</v>
      </c>
      <c r="BK598" s="2" t="s">
        <v>74</v>
      </c>
      <c r="BL598" s="2" t="s">
        <v>74</v>
      </c>
      <c r="BM598" s="2" t="s">
        <v>74</v>
      </c>
      <c r="BN598" s="2" t="s">
        <v>74</v>
      </c>
      <c r="BO598" s="2" t="s">
        <v>74</v>
      </c>
      <c r="BP598" s="2" t="s">
        <v>74</v>
      </c>
      <c r="BQ598" s="2" t="s">
        <v>74</v>
      </c>
      <c r="BR598" s="2" t="s">
        <v>74</v>
      </c>
      <c r="BS598" s="2" t="s">
        <v>4700</v>
      </c>
      <c r="BT598" s="2" t="str">
        <f>HYPERLINK("https%3A%2F%2Fwww.webofscience.com%2Fwos%2Fwoscc%2Ffull-record%2FWOS:000333696100008","View Full Record in Web of Science")</f>
        <v>View Full Record in Web of Science</v>
      </c>
    </row>
    <row r="599" spans="1:72" s="2" customFormat="1" x14ac:dyDescent="0.4">
      <c r="A599" s="2" t="s">
        <v>72</v>
      </c>
      <c r="B599" s="2" t="s">
        <v>7919</v>
      </c>
      <c r="C599" s="2" t="s">
        <v>74</v>
      </c>
      <c r="D599" s="2" t="s">
        <v>74</v>
      </c>
      <c r="E599" s="2" t="s">
        <v>74</v>
      </c>
      <c r="F599" s="2" t="s">
        <v>7920</v>
      </c>
      <c r="G599" s="2" t="s">
        <v>74</v>
      </c>
      <c r="H599" s="2" t="s">
        <v>74</v>
      </c>
      <c r="I599" s="2" t="s">
        <v>7921</v>
      </c>
      <c r="J599" s="2" t="s">
        <v>7922</v>
      </c>
      <c r="K599" s="2" t="s">
        <v>74</v>
      </c>
      <c r="L599" s="2" t="s">
        <v>74</v>
      </c>
      <c r="M599" s="2" t="s">
        <v>74</v>
      </c>
      <c r="N599" s="2" t="s">
        <v>74</v>
      </c>
      <c r="O599" s="2" t="s">
        <v>74</v>
      </c>
      <c r="P599" s="2" t="s">
        <v>74</v>
      </c>
      <c r="Q599" s="2" t="s">
        <v>74</v>
      </c>
      <c r="R599" s="2" t="s">
        <v>74</v>
      </c>
      <c r="S599" s="2" t="s">
        <v>74</v>
      </c>
      <c r="T599" s="2" t="s">
        <v>74</v>
      </c>
      <c r="U599" s="2" t="s">
        <v>74</v>
      </c>
      <c r="V599" s="5" t="s">
        <v>7923</v>
      </c>
      <c r="W599" s="2" t="s">
        <v>74</v>
      </c>
      <c r="X599" s="2" t="s">
        <v>74</v>
      </c>
      <c r="Y599" s="2" t="s">
        <v>74</v>
      </c>
      <c r="Z599" s="2" t="s">
        <v>74</v>
      </c>
      <c r="AA599" s="2" t="s">
        <v>7924</v>
      </c>
      <c r="AB599" s="2" t="s">
        <v>7925</v>
      </c>
      <c r="AC599" s="2" t="s">
        <v>74</v>
      </c>
      <c r="AD599" s="2" t="s">
        <v>74</v>
      </c>
      <c r="AE599" s="2" t="s">
        <v>74</v>
      </c>
      <c r="AF599" s="2" t="s">
        <v>74</v>
      </c>
      <c r="AG599" s="2" t="s">
        <v>74</v>
      </c>
      <c r="AH599" s="2" t="s">
        <v>74</v>
      </c>
      <c r="AI599" s="2" t="s">
        <v>74</v>
      </c>
      <c r="AJ599" s="2" t="s">
        <v>74</v>
      </c>
      <c r="AK599" s="2" t="s">
        <v>74</v>
      </c>
      <c r="AL599" s="2" t="s">
        <v>74</v>
      </c>
      <c r="AM599" s="2" t="s">
        <v>74</v>
      </c>
      <c r="AN599" s="2" t="s">
        <v>74</v>
      </c>
      <c r="AO599" s="2" t="s">
        <v>7926</v>
      </c>
      <c r="AP599" s="2" t="s">
        <v>7927</v>
      </c>
      <c r="AQ599" s="2" t="s">
        <v>74</v>
      </c>
      <c r="AR599" s="2" t="s">
        <v>74</v>
      </c>
      <c r="AS599" s="2" t="s">
        <v>74</v>
      </c>
      <c r="AT599" s="2" t="s">
        <v>633</v>
      </c>
      <c r="AU599" s="2">
        <v>2022</v>
      </c>
      <c r="AV599" s="2">
        <v>15</v>
      </c>
      <c r="AW599" s="2">
        <v>4</v>
      </c>
      <c r="AX599" s="2" t="s">
        <v>74</v>
      </c>
      <c r="AY599" s="2" t="s">
        <v>74</v>
      </c>
      <c r="AZ599" s="2" t="s">
        <v>74</v>
      </c>
      <c r="BA599" s="2" t="s">
        <v>74</v>
      </c>
      <c r="BB599" s="2">
        <v>751</v>
      </c>
      <c r="BC599" s="2">
        <v>760</v>
      </c>
      <c r="BD599" s="2" t="s">
        <v>74</v>
      </c>
      <c r="BE599" s="2" t="s">
        <v>7928</v>
      </c>
      <c r="BF599" s="2" t="str">
        <f>HYPERLINK("http://dx.doi.org/10.1002/aur.2670","http://dx.doi.org/10.1002/aur.2670")</f>
        <v>http://dx.doi.org/10.1002/aur.2670</v>
      </c>
      <c r="BG599" s="2" t="s">
        <v>74</v>
      </c>
      <c r="BH599" s="2" t="s">
        <v>5497</v>
      </c>
      <c r="BI599" s="2" t="s">
        <v>74</v>
      </c>
      <c r="BJ599" s="2" t="s">
        <v>74</v>
      </c>
      <c r="BK599" s="2" t="s">
        <v>74</v>
      </c>
      <c r="BL599" s="2" t="s">
        <v>74</v>
      </c>
      <c r="BM599" s="2" t="s">
        <v>74</v>
      </c>
      <c r="BN599" s="2">
        <v>35040592</v>
      </c>
      <c r="BO599" s="2" t="s">
        <v>74</v>
      </c>
      <c r="BP599" s="2" t="s">
        <v>74</v>
      </c>
      <c r="BQ599" s="2" t="s">
        <v>74</v>
      </c>
      <c r="BR599" s="2" t="s">
        <v>74</v>
      </c>
      <c r="BS599" s="2" t="s">
        <v>7929</v>
      </c>
      <c r="BT599" s="2" t="str">
        <f>HYPERLINK("https%3A%2F%2Fwww.webofscience.com%2Fwos%2Fwoscc%2Ffull-record%2FWOS:000743515200001","View Full Record in Web of Science")</f>
        <v>View Full Record in Web of Science</v>
      </c>
    </row>
    <row r="600" spans="1:72" s="2" customFormat="1" x14ac:dyDescent="0.4">
      <c r="A600" s="2" t="s">
        <v>72</v>
      </c>
      <c r="B600" s="2" t="s">
        <v>2720</v>
      </c>
      <c r="C600" s="2" t="s">
        <v>74</v>
      </c>
      <c r="D600" s="2" t="s">
        <v>74</v>
      </c>
      <c r="E600" s="2" t="s">
        <v>74</v>
      </c>
      <c r="F600" s="2" t="s">
        <v>2721</v>
      </c>
      <c r="G600" s="2" t="s">
        <v>74</v>
      </c>
      <c r="H600" s="2" t="s">
        <v>74</v>
      </c>
      <c r="I600" s="2" t="s">
        <v>2722</v>
      </c>
      <c r="J600" s="2" t="s">
        <v>610</v>
      </c>
      <c r="K600" s="2" t="s">
        <v>74</v>
      </c>
      <c r="L600" s="2" t="s">
        <v>74</v>
      </c>
      <c r="M600" s="2" t="s">
        <v>74</v>
      </c>
      <c r="N600" s="2" t="s">
        <v>74</v>
      </c>
      <c r="O600" s="2" t="s">
        <v>74</v>
      </c>
      <c r="P600" s="2" t="s">
        <v>74</v>
      </c>
      <c r="Q600" s="2" t="s">
        <v>74</v>
      </c>
      <c r="R600" s="2" t="s">
        <v>74</v>
      </c>
      <c r="S600" s="2" t="s">
        <v>74</v>
      </c>
      <c r="T600" s="2" t="s">
        <v>74</v>
      </c>
      <c r="U600" s="2" t="s">
        <v>74</v>
      </c>
      <c r="V600" s="5" t="s">
        <v>2723</v>
      </c>
      <c r="W600" s="2" t="s">
        <v>74</v>
      </c>
      <c r="X600" s="2" t="s">
        <v>74</v>
      </c>
      <c r="Y600" s="2" t="s">
        <v>74</v>
      </c>
      <c r="Z600" s="2" t="s">
        <v>74</v>
      </c>
      <c r="AA600" s="2" t="s">
        <v>74</v>
      </c>
      <c r="AB600" s="2" t="s">
        <v>2724</v>
      </c>
      <c r="AC600" s="2" t="s">
        <v>74</v>
      </c>
      <c r="AD600" s="2" t="s">
        <v>74</v>
      </c>
      <c r="AE600" s="2" t="s">
        <v>74</v>
      </c>
      <c r="AF600" s="2" t="s">
        <v>74</v>
      </c>
      <c r="AG600" s="2" t="s">
        <v>74</v>
      </c>
      <c r="AH600" s="2" t="s">
        <v>74</v>
      </c>
      <c r="AI600" s="2" t="s">
        <v>74</v>
      </c>
      <c r="AJ600" s="2" t="s">
        <v>74</v>
      </c>
      <c r="AK600" s="2" t="s">
        <v>74</v>
      </c>
      <c r="AL600" s="2" t="s">
        <v>74</v>
      </c>
      <c r="AM600" s="2" t="s">
        <v>74</v>
      </c>
      <c r="AN600" s="2" t="s">
        <v>74</v>
      </c>
      <c r="AO600" s="2" t="s">
        <v>614</v>
      </c>
      <c r="AP600" s="2" t="s">
        <v>615</v>
      </c>
      <c r="AQ600" s="2" t="s">
        <v>74</v>
      </c>
      <c r="AR600" s="2" t="s">
        <v>74</v>
      </c>
      <c r="AS600" s="2" t="s">
        <v>74</v>
      </c>
      <c r="AT600" s="2" t="s">
        <v>213</v>
      </c>
      <c r="AU600" s="2">
        <v>2023</v>
      </c>
      <c r="AV600" s="2">
        <v>129</v>
      </c>
      <c r="AW600" s="2">
        <v>11</v>
      </c>
      <c r="AX600" s="2" t="s">
        <v>74</v>
      </c>
      <c r="AY600" s="2" t="s">
        <v>74</v>
      </c>
      <c r="AZ600" s="2" t="s">
        <v>74</v>
      </c>
      <c r="BA600" s="2" t="s">
        <v>74</v>
      </c>
      <c r="BB600" s="2">
        <v>612</v>
      </c>
      <c r="BC600" s="2">
        <v>621</v>
      </c>
      <c r="BD600" s="2" t="s">
        <v>74</v>
      </c>
      <c r="BE600" s="2" t="s">
        <v>2725</v>
      </c>
      <c r="BF600" s="2" t="str">
        <f>HYPERLINK("http://dx.doi.org/10.1111/eth.13397","http://dx.doi.org/10.1111/eth.13397")</f>
        <v>http://dx.doi.org/10.1111/eth.13397</v>
      </c>
      <c r="BG600" s="2" t="s">
        <v>74</v>
      </c>
      <c r="BH600" s="2" t="s">
        <v>2726</v>
      </c>
      <c r="BI600" s="2" t="s">
        <v>74</v>
      </c>
      <c r="BJ600" s="2" t="s">
        <v>74</v>
      </c>
      <c r="BK600" s="2" t="s">
        <v>74</v>
      </c>
      <c r="BL600" s="2" t="s">
        <v>74</v>
      </c>
      <c r="BM600" s="2" t="s">
        <v>74</v>
      </c>
      <c r="BN600" s="2" t="s">
        <v>74</v>
      </c>
      <c r="BO600" s="2" t="s">
        <v>74</v>
      </c>
      <c r="BP600" s="2" t="s">
        <v>74</v>
      </c>
      <c r="BQ600" s="2" t="s">
        <v>74</v>
      </c>
      <c r="BR600" s="2" t="s">
        <v>74</v>
      </c>
      <c r="BS600" s="2" t="s">
        <v>2727</v>
      </c>
      <c r="BT600" s="2" t="str">
        <f>HYPERLINK("https%3A%2F%2Fwww.webofscience.com%2Fwos%2Fwoscc%2Ffull-record%2FWOS:001033519800001","View Full Record in Web of Science")</f>
        <v>View Full Record in Web of Science</v>
      </c>
    </row>
    <row r="601" spans="1:72" s="2" customFormat="1" x14ac:dyDescent="0.4">
      <c r="A601" s="2" t="s">
        <v>72</v>
      </c>
      <c r="B601" s="2" t="s">
        <v>3665</v>
      </c>
      <c r="C601" s="2" t="s">
        <v>74</v>
      </c>
      <c r="D601" s="2" t="s">
        <v>74</v>
      </c>
      <c r="E601" s="2" t="s">
        <v>74</v>
      </c>
      <c r="F601" s="2" t="s">
        <v>3666</v>
      </c>
      <c r="G601" s="2" t="s">
        <v>74</v>
      </c>
      <c r="H601" s="2" t="s">
        <v>74</v>
      </c>
      <c r="I601" s="2" t="s">
        <v>3667</v>
      </c>
      <c r="J601" s="2" t="s">
        <v>475</v>
      </c>
      <c r="K601" s="2" t="s">
        <v>74</v>
      </c>
      <c r="L601" s="2" t="s">
        <v>74</v>
      </c>
      <c r="M601" s="2" t="s">
        <v>74</v>
      </c>
      <c r="N601" s="2" t="s">
        <v>74</v>
      </c>
      <c r="O601" s="2" t="s">
        <v>74</v>
      </c>
      <c r="P601" s="2" t="s">
        <v>74</v>
      </c>
      <c r="Q601" s="2" t="s">
        <v>74</v>
      </c>
      <c r="R601" s="2" t="s">
        <v>74</v>
      </c>
      <c r="S601" s="2" t="s">
        <v>74</v>
      </c>
      <c r="T601" s="2" t="s">
        <v>74</v>
      </c>
      <c r="U601" s="2" t="s">
        <v>74</v>
      </c>
      <c r="V601" s="5" t="s">
        <v>3668</v>
      </c>
      <c r="W601" s="2" t="s">
        <v>74</v>
      </c>
      <c r="X601" s="2" t="s">
        <v>74</v>
      </c>
      <c r="Y601" s="2" t="s">
        <v>74</v>
      </c>
      <c r="Z601" s="2" t="s">
        <v>74</v>
      </c>
      <c r="AA601" s="2" t="s">
        <v>3669</v>
      </c>
      <c r="AB601" s="2" t="s">
        <v>3670</v>
      </c>
      <c r="AC601" s="2" t="s">
        <v>74</v>
      </c>
      <c r="AD601" s="2" t="s">
        <v>74</v>
      </c>
      <c r="AE601" s="2" t="s">
        <v>74</v>
      </c>
      <c r="AF601" s="2" t="s">
        <v>74</v>
      </c>
      <c r="AG601" s="2" t="s">
        <v>74</v>
      </c>
      <c r="AH601" s="2" t="s">
        <v>74</v>
      </c>
      <c r="AI601" s="2" t="s">
        <v>74</v>
      </c>
      <c r="AJ601" s="2" t="s">
        <v>74</v>
      </c>
      <c r="AK601" s="2" t="s">
        <v>74</v>
      </c>
      <c r="AL601" s="2" t="s">
        <v>74</v>
      </c>
      <c r="AM601" s="2" t="s">
        <v>74</v>
      </c>
      <c r="AN601" s="2" t="s">
        <v>74</v>
      </c>
      <c r="AO601" s="2" t="s">
        <v>477</v>
      </c>
      <c r="AP601" s="2" t="s">
        <v>74</v>
      </c>
      <c r="AQ601" s="2" t="s">
        <v>74</v>
      </c>
      <c r="AR601" s="2" t="s">
        <v>74</v>
      </c>
      <c r="AS601" s="2" t="s">
        <v>74</v>
      </c>
      <c r="AT601" s="2" t="s">
        <v>3671</v>
      </c>
      <c r="AU601" s="2">
        <v>2012</v>
      </c>
      <c r="AV601" s="2">
        <v>175</v>
      </c>
      <c r="AW601" s="2">
        <v>2</v>
      </c>
      <c r="AX601" s="2" t="s">
        <v>74</v>
      </c>
      <c r="AY601" s="2" t="s">
        <v>74</v>
      </c>
      <c r="AZ601" s="2" t="s">
        <v>74</v>
      </c>
      <c r="BA601" s="2" t="s">
        <v>74</v>
      </c>
      <c r="BB601" s="2">
        <v>290</v>
      </c>
      <c r="BC601" s="2">
        <v>296</v>
      </c>
      <c r="BD601" s="2" t="s">
        <v>74</v>
      </c>
      <c r="BE601" s="2" t="s">
        <v>3672</v>
      </c>
      <c r="BF601" s="2" t="str">
        <f>HYPERLINK("http://dx.doi.org/10.1016/j.ygcen.2011.11.022","http://dx.doi.org/10.1016/j.ygcen.2011.11.022")</f>
        <v>http://dx.doi.org/10.1016/j.ygcen.2011.11.022</v>
      </c>
      <c r="BG601" s="2" t="s">
        <v>74</v>
      </c>
      <c r="BH601" s="2" t="s">
        <v>74</v>
      </c>
      <c r="BI601" s="2" t="s">
        <v>74</v>
      </c>
      <c r="BJ601" s="2" t="s">
        <v>74</v>
      </c>
      <c r="BK601" s="2" t="s">
        <v>74</v>
      </c>
      <c r="BL601" s="2" t="s">
        <v>74</v>
      </c>
      <c r="BM601" s="2" t="s">
        <v>74</v>
      </c>
      <c r="BN601" s="2">
        <v>22137910</v>
      </c>
      <c r="BO601" s="2" t="s">
        <v>74</v>
      </c>
      <c r="BP601" s="2" t="s">
        <v>74</v>
      </c>
      <c r="BQ601" s="2" t="s">
        <v>74</v>
      </c>
      <c r="BR601" s="2" t="s">
        <v>74</v>
      </c>
      <c r="BS601" s="2" t="s">
        <v>3673</v>
      </c>
      <c r="BT601" s="2" t="str">
        <f>HYPERLINK("https%3A%2F%2Fwww.webofscience.com%2Fwos%2Fwoscc%2Ffull-record%2FWOS:000299137900009","View Full Record in Web of Science")</f>
        <v>View Full Record in Web of Science</v>
      </c>
    </row>
    <row r="602" spans="1:72" s="1" customFormat="1" x14ac:dyDescent="0.4">
      <c r="A602" s="2" t="s">
        <v>72</v>
      </c>
      <c r="B602" s="2" t="s">
        <v>4573</v>
      </c>
      <c r="C602" s="2" t="s">
        <v>74</v>
      </c>
      <c r="D602" s="2" t="s">
        <v>74</v>
      </c>
      <c r="E602" s="2" t="s">
        <v>74</v>
      </c>
      <c r="F602" s="2" t="s">
        <v>4573</v>
      </c>
      <c r="G602" s="2" t="s">
        <v>74</v>
      </c>
      <c r="H602" s="2" t="s">
        <v>74</v>
      </c>
      <c r="I602" s="2" t="s">
        <v>4574</v>
      </c>
      <c r="J602" s="2" t="s">
        <v>140</v>
      </c>
      <c r="K602" s="2" t="s">
        <v>74</v>
      </c>
      <c r="L602" s="2" t="s">
        <v>74</v>
      </c>
      <c r="M602" s="2" t="s">
        <v>74</v>
      </c>
      <c r="N602" s="2" t="s">
        <v>74</v>
      </c>
      <c r="O602" s="2" t="s">
        <v>74</v>
      </c>
      <c r="P602" s="2" t="s">
        <v>74</v>
      </c>
      <c r="Q602" s="2" t="s">
        <v>74</v>
      </c>
      <c r="R602" s="2" t="s">
        <v>74</v>
      </c>
      <c r="S602" s="2" t="s">
        <v>74</v>
      </c>
      <c r="T602" s="2" t="s">
        <v>74</v>
      </c>
      <c r="U602" s="2" t="s">
        <v>74</v>
      </c>
      <c r="V602" s="5" t="s">
        <v>4575</v>
      </c>
      <c r="W602" s="2" t="s">
        <v>74</v>
      </c>
      <c r="X602" s="2" t="s">
        <v>74</v>
      </c>
      <c r="Y602" s="2" t="s">
        <v>74</v>
      </c>
      <c r="Z602" s="2" t="s">
        <v>74</v>
      </c>
      <c r="AA602" s="2" t="s">
        <v>74</v>
      </c>
      <c r="AB602" s="2" t="s">
        <v>74</v>
      </c>
      <c r="AC602" s="2" t="s">
        <v>74</v>
      </c>
      <c r="AD602" s="2" t="s">
        <v>74</v>
      </c>
      <c r="AE602" s="2" t="s">
        <v>74</v>
      </c>
      <c r="AF602" s="2" t="s">
        <v>74</v>
      </c>
      <c r="AG602" s="2" t="s">
        <v>74</v>
      </c>
      <c r="AH602" s="2" t="s">
        <v>74</v>
      </c>
      <c r="AI602" s="2" t="s">
        <v>74</v>
      </c>
      <c r="AJ602" s="2" t="s">
        <v>74</v>
      </c>
      <c r="AK602" s="2" t="s">
        <v>74</v>
      </c>
      <c r="AL602" s="2" t="s">
        <v>74</v>
      </c>
      <c r="AM602" s="2" t="s">
        <v>74</v>
      </c>
      <c r="AN602" s="2" t="s">
        <v>74</v>
      </c>
      <c r="AO602" s="2" t="s">
        <v>143</v>
      </c>
      <c r="AP602" s="2" t="s">
        <v>144</v>
      </c>
      <c r="AQ602" s="2" t="s">
        <v>74</v>
      </c>
      <c r="AR602" s="2" t="s">
        <v>74</v>
      </c>
      <c r="AS602" s="2" t="s">
        <v>74</v>
      </c>
      <c r="AT602" s="2" t="s">
        <v>74</v>
      </c>
      <c r="AU602" s="2">
        <v>1980</v>
      </c>
      <c r="AV602" s="2">
        <v>28</v>
      </c>
      <c r="AW602" s="2" t="s">
        <v>213</v>
      </c>
      <c r="AX602" s="2" t="s">
        <v>74</v>
      </c>
      <c r="AY602" s="2" t="s">
        <v>74</v>
      </c>
      <c r="AZ602" s="2" t="s">
        <v>74</v>
      </c>
      <c r="BA602" s="2" t="s">
        <v>74</v>
      </c>
      <c r="BB602" s="2">
        <v>1230</v>
      </c>
      <c r="BC602" s="2">
        <v>1238</v>
      </c>
      <c r="BD602" s="2" t="s">
        <v>74</v>
      </c>
      <c r="BE602" s="2" t="s">
        <v>4576</v>
      </c>
      <c r="BF602" s="2" t="str">
        <f>HYPERLINK("http://dx.doi.org/10.1016/S0003-3472(80)80111-4","http://dx.doi.org/10.1016/S0003-3472(80)80111-4")</f>
        <v>http://dx.doi.org/10.1016/S0003-3472(80)80111-4</v>
      </c>
      <c r="BG602" s="2" t="s">
        <v>74</v>
      </c>
      <c r="BH602" s="2" t="s">
        <v>74</v>
      </c>
      <c r="BI602" s="2" t="s">
        <v>74</v>
      </c>
      <c r="BJ602" s="2" t="s">
        <v>74</v>
      </c>
      <c r="BK602" s="2" t="s">
        <v>74</v>
      </c>
      <c r="BL602" s="2" t="s">
        <v>74</v>
      </c>
      <c r="BM602" s="2" t="s">
        <v>74</v>
      </c>
      <c r="BN602" s="2" t="s">
        <v>74</v>
      </c>
      <c r="BO602" s="2" t="s">
        <v>74</v>
      </c>
      <c r="BP602" s="2" t="s">
        <v>74</v>
      </c>
      <c r="BQ602" s="2" t="s">
        <v>74</v>
      </c>
      <c r="BR602" s="2" t="s">
        <v>74</v>
      </c>
      <c r="BS602" s="2" t="s">
        <v>4577</v>
      </c>
      <c r="BT602" s="2" t="str">
        <f>HYPERLINK("https%3A%2F%2Fwww.webofscience.com%2Fwos%2Fwoscc%2Ffull-record%2FWOS:A1980KT55300026","View Full Record in Web of Science")</f>
        <v>View Full Record in Web of Science</v>
      </c>
    </row>
    <row r="603" spans="1:72" s="1" customFormat="1" x14ac:dyDescent="0.4">
      <c r="A603" s="2" t="s">
        <v>72</v>
      </c>
      <c r="B603" s="2" t="s">
        <v>2757</v>
      </c>
      <c r="C603" s="2" t="s">
        <v>74</v>
      </c>
      <c r="D603" s="2" t="s">
        <v>74</v>
      </c>
      <c r="E603" s="2" t="s">
        <v>74</v>
      </c>
      <c r="F603" s="2" t="s">
        <v>2758</v>
      </c>
      <c r="G603" s="2" t="s">
        <v>74</v>
      </c>
      <c r="H603" s="2" t="s">
        <v>74</v>
      </c>
      <c r="I603" s="2" t="s">
        <v>2759</v>
      </c>
      <c r="J603" s="2" t="s">
        <v>333</v>
      </c>
      <c r="K603" s="2" t="s">
        <v>74</v>
      </c>
      <c r="L603" s="2" t="s">
        <v>74</v>
      </c>
      <c r="M603" s="2" t="s">
        <v>74</v>
      </c>
      <c r="N603" s="2" t="s">
        <v>74</v>
      </c>
      <c r="O603" s="2" t="s">
        <v>74</v>
      </c>
      <c r="P603" s="2" t="s">
        <v>74</v>
      </c>
      <c r="Q603" s="2" t="s">
        <v>74</v>
      </c>
      <c r="R603" s="2" t="s">
        <v>74</v>
      </c>
      <c r="S603" s="2" t="s">
        <v>74</v>
      </c>
      <c r="T603" s="2" t="s">
        <v>74</v>
      </c>
      <c r="U603" s="2" t="s">
        <v>74</v>
      </c>
      <c r="V603" s="5" t="s">
        <v>2760</v>
      </c>
      <c r="W603" s="2" t="s">
        <v>74</v>
      </c>
      <c r="X603" s="2" t="s">
        <v>74</v>
      </c>
      <c r="Y603" s="2" t="s">
        <v>74</v>
      </c>
      <c r="Z603" s="2" t="s">
        <v>74</v>
      </c>
      <c r="AA603" s="2" t="s">
        <v>2761</v>
      </c>
      <c r="AB603" s="2" t="s">
        <v>2762</v>
      </c>
      <c r="AC603" s="2" t="s">
        <v>74</v>
      </c>
      <c r="AD603" s="2" t="s">
        <v>74</v>
      </c>
      <c r="AE603" s="2" t="s">
        <v>74</v>
      </c>
      <c r="AF603" s="2" t="s">
        <v>74</v>
      </c>
      <c r="AG603" s="2" t="s">
        <v>74</v>
      </c>
      <c r="AH603" s="2" t="s">
        <v>74</v>
      </c>
      <c r="AI603" s="2" t="s">
        <v>74</v>
      </c>
      <c r="AJ603" s="2" t="s">
        <v>74</v>
      </c>
      <c r="AK603" s="2" t="s">
        <v>74</v>
      </c>
      <c r="AL603" s="2" t="s">
        <v>74</v>
      </c>
      <c r="AM603" s="2" t="s">
        <v>74</v>
      </c>
      <c r="AN603" s="2" t="s">
        <v>74</v>
      </c>
      <c r="AO603" s="2" t="s">
        <v>337</v>
      </c>
      <c r="AP603" s="2" t="s">
        <v>338</v>
      </c>
      <c r="AQ603" s="2" t="s">
        <v>74</v>
      </c>
      <c r="AR603" s="2" t="s">
        <v>74</v>
      </c>
      <c r="AS603" s="2" t="s">
        <v>74</v>
      </c>
      <c r="AT603" s="2" t="s">
        <v>1038</v>
      </c>
      <c r="AU603" s="2">
        <v>2017</v>
      </c>
      <c r="AV603" s="2">
        <v>28</v>
      </c>
      <c r="AW603" s="2">
        <v>2</v>
      </c>
      <c r="AX603" s="2" t="s">
        <v>74</v>
      </c>
      <c r="AY603" s="2" t="s">
        <v>74</v>
      </c>
      <c r="AZ603" s="2" t="s">
        <v>74</v>
      </c>
      <c r="BA603" s="2" t="s">
        <v>74</v>
      </c>
      <c r="BB603" s="2">
        <v>597</v>
      </c>
      <c r="BC603" s="2">
        <v>606</v>
      </c>
      <c r="BD603" s="2" t="s">
        <v>74</v>
      </c>
      <c r="BE603" s="2" t="s">
        <v>2763</v>
      </c>
      <c r="BF603" s="2" t="str">
        <f>HYPERLINK("http://dx.doi.org/10.1093/beheco/arw186","http://dx.doi.org/10.1093/beheco/arw186")</f>
        <v>http://dx.doi.org/10.1093/beheco/arw186</v>
      </c>
      <c r="BG603" s="2" t="s">
        <v>74</v>
      </c>
      <c r="BH603" s="2" t="s">
        <v>74</v>
      </c>
      <c r="BI603" s="2" t="s">
        <v>74</v>
      </c>
      <c r="BJ603" s="2" t="s">
        <v>74</v>
      </c>
      <c r="BK603" s="2" t="s">
        <v>74</v>
      </c>
      <c r="BL603" s="2" t="s">
        <v>74</v>
      </c>
      <c r="BM603" s="2" t="s">
        <v>74</v>
      </c>
      <c r="BN603" s="2" t="s">
        <v>74</v>
      </c>
      <c r="BO603" s="2" t="s">
        <v>74</v>
      </c>
      <c r="BP603" s="2" t="s">
        <v>74</v>
      </c>
      <c r="BQ603" s="2" t="s">
        <v>74</v>
      </c>
      <c r="BR603" s="2" t="s">
        <v>74</v>
      </c>
      <c r="BS603" s="2" t="s">
        <v>2764</v>
      </c>
      <c r="BT603" s="2" t="str">
        <f>HYPERLINK("https%3A%2F%2Fwww.webofscience.com%2Fwos%2Fwoscc%2Ffull-record%2FWOS:000401769000036","View Full Record in Web of Science")</f>
        <v>View Full Record in Web of Science</v>
      </c>
    </row>
    <row r="604" spans="1:72" s="2" customFormat="1" x14ac:dyDescent="0.4">
      <c r="A604" s="2" t="s">
        <v>72</v>
      </c>
      <c r="B604" s="2" t="s">
        <v>4886</v>
      </c>
      <c r="C604" s="2" t="s">
        <v>74</v>
      </c>
      <c r="D604" s="2" t="s">
        <v>74</v>
      </c>
      <c r="E604" s="2" t="s">
        <v>74</v>
      </c>
      <c r="F604" s="2" t="s">
        <v>4886</v>
      </c>
      <c r="G604" s="2" t="s">
        <v>74</v>
      </c>
      <c r="H604" s="2" t="s">
        <v>74</v>
      </c>
      <c r="I604" s="2" t="s">
        <v>4887</v>
      </c>
      <c r="J604" s="2" t="s">
        <v>509</v>
      </c>
      <c r="K604" s="2" t="s">
        <v>74</v>
      </c>
      <c r="L604" s="2" t="s">
        <v>74</v>
      </c>
      <c r="M604" s="2" t="s">
        <v>74</v>
      </c>
      <c r="N604" s="2" t="s">
        <v>74</v>
      </c>
      <c r="O604" s="2" t="s">
        <v>74</v>
      </c>
      <c r="P604" s="2" t="s">
        <v>74</v>
      </c>
      <c r="Q604" s="2" t="s">
        <v>74</v>
      </c>
      <c r="R604" s="2" t="s">
        <v>74</v>
      </c>
      <c r="S604" s="2" t="s">
        <v>74</v>
      </c>
      <c r="T604" s="2" t="s">
        <v>74</v>
      </c>
      <c r="U604" s="2" t="s">
        <v>74</v>
      </c>
      <c r="V604" s="5" t="s">
        <v>4888</v>
      </c>
      <c r="W604" s="2" t="s">
        <v>74</v>
      </c>
      <c r="X604" s="2" t="s">
        <v>74</v>
      </c>
      <c r="Y604" s="2" t="s">
        <v>74</v>
      </c>
      <c r="Z604" s="2" t="s">
        <v>74</v>
      </c>
      <c r="AA604" s="2" t="s">
        <v>74</v>
      </c>
      <c r="AB604" s="2" t="s">
        <v>4889</v>
      </c>
      <c r="AC604" s="2" t="s">
        <v>74</v>
      </c>
      <c r="AD604" s="2" t="s">
        <v>74</v>
      </c>
      <c r="AE604" s="2" t="s">
        <v>74</v>
      </c>
      <c r="AF604" s="2" t="s">
        <v>74</v>
      </c>
      <c r="AG604" s="2" t="s">
        <v>74</v>
      </c>
      <c r="AH604" s="2" t="s">
        <v>74</v>
      </c>
      <c r="AI604" s="2" t="s">
        <v>74</v>
      </c>
      <c r="AJ604" s="2" t="s">
        <v>74</v>
      </c>
      <c r="AK604" s="2" t="s">
        <v>74</v>
      </c>
      <c r="AL604" s="2" t="s">
        <v>74</v>
      </c>
      <c r="AM604" s="2" t="s">
        <v>74</v>
      </c>
      <c r="AN604" s="2" t="s">
        <v>74</v>
      </c>
      <c r="AO604" s="2" t="s">
        <v>511</v>
      </c>
      <c r="AP604" s="2" t="s">
        <v>74</v>
      </c>
      <c r="AQ604" s="2" t="s">
        <v>74</v>
      </c>
      <c r="AR604" s="2" t="s">
        <v>74</v>
      </c>
      <c r="AS604" s="2" t="s">
        <v>74</v>
      </c>
      <c r="AT604" s="2" t="s">
        <v>123</v>
      </c>
      <c r="AU604" s="2">
        <v>1995</v>
      </c>
      <c r="AV604" s="2">
        <v>29</v>
      </c>
      <c r="AW604" s="2">
        <v>1</v>
      </c>
      <c r="AX604" s="2" t="s">
        <v>74</v>
      </c>
      <c r="AY604" s="2" t="s">
        <v>74</v>
      </c>
      <c r="AZ604" s="2" t="s">
        <v>74</v>
      </c>
      <c r="BA604" s="2" t="s">
        <v>74</v>
      </c>
      <c r="BB604" s="2">
        <v>85</v>
      </c>
      <c r="BC604" s="2">
        <v>105</v>
      </c>
      <c r="BD604" s="2" t="s">
        <v>74</v>
      </c>
      <c r="BE604" s="2" t="s">
        <v>4890</v>
      </c>
      <c r="BF604" s="2" t="str">
        <f>HYPERLINK("http://dx.doi.org/10.1006/hbeh.1995.1007","http://dx.doi.org/10.1006/hbeh.1995.1007")</f>
        <v>http://dx.doi.org/10.1006/hbeh.1995.1007</v>
      </c>
      <c r="BG604" s="2" t="s">
        <v>74</v>
      </c>
      <c r="BH604" s="2" t="s">
        <v>74</v>
      </c>
      <c r="BI604" s="2" t="s">
        <v>74</v>
      </c>
      <c r="BJ604" s="2" t="s">
        <v>74</v>
      </c>
      <c r="BK604" s="2" t="s">
        <v>74</v>
      </c>
      <c r="BL604" s="2" t="s">
        <v>74</v>
      </c>
      <c r="BM604" s="2" t="s">
        <v>74</v>
      </c>
      <c r="BN604" s="2">
        <v>7782065</v>
      </c>
      <c r="BO604" s="2" t="s">
        <v>74</v>
      </c>
      <c r="BP604" s="2" t="s">
        <v>74</v>
      </c>
      <c r="BQ604" s="2" t="s">
        <v>74</v>
      </c>
      <c r="BR604" s="2" t="s">
        <v>74</v>
      </c>
      <c r="BS604" s="2" t="s">
        <v>4891</v>
      </c>
      <c r="BT604" s="2" t="str">
        <f>HYPERLINK("https%3A%2F%2Fwww.webofscience.com%2Fwos%2Fwoscc%2Ffull-record%2FWOS:A1995QN96000007","View Full Record in Web of Science")</f>
        <v>View Full Record in Web of Science</v>
      </c>
    </row>
    <row r="605" spans="1:72" s="2" customFormat="1" x14ac:dyDescent="0.4">
      <c r="A605" s="2" t="s">
        <v>72</v>
      </c>
      <c r="B605" s="2" t="s">
        <v>4585</v>
      </c>
      <c r="C605" s="2" t="s">
        <v>74</v>
      </c>
      <c r="D605" s="2" t="s">
        <v>74</v>
      </c>
      <c r="E605" s="2" t="s">
        <v>74</v>
      </c>
      <c r="F605" s="2" t="s">
        <v>4586</v>
      </c>
      <c r="G605" s="2" t="s">
        <v>74</v>
      </c>
      <c r="H605" s="2" t="s">
        <v>74</v>
      </c>
      <c r="I605" s="2" t="s">
        <v>4587</v>
      </c>
      <c r="J605" s="2" t="s">
        <v>218</v>
      </c>
      <c r="K605" s="2" t="s">
        <v>74</v>
      </c>
      <c r="L605" s="2" t="s">
        <v>74</v>
      </c>
      <c r="M605" s="2" t="s">
        <v>74</v>
      </c>
      <c r="N605" s="2" t="s">
        <v>74</v>
      </c>
      <c r="O605" s="2" t="s">
        <v>74</v>
      </c>
      <c r="P605" s="2" t="s">
        <v>74</v>
      </c>
      <c r="Q605" s="2" t="s">
        <v>74</v>
      </c>
      <c r="R605" s="2" t="s">
        <v>74</v>
      </c>
      <c r="S605" s="2" t="s">
        <v>74</v>
      </c>
      <c r="T605" s="2" t="s">
        <v>74</v>
      </c>
      <c r="U605" s="2" t="s">
        <v>74</v>
      </c>
      <c r="V605" s="5" t="s">
        <v>4588</v>
      </c>
      <c r="W605" s="2" t="s">
        <v>74</v>
      </c>
      <c r="X605" s="2" t="s">
        <v>74</v>
      </c>
      <c r="Y605" s="2" t="s">
        <v>74</v>
      </c>
      <c r="Z605" s="2" t="s">
        <v>74</v>
      </c>
      <c r="AA605" s="2" t="s">
        <v>4589</v>
      </c>
      <c r="AB605" s="2" t="s">
        <v>4590</v>
      </c>
      <c r="AC605" s="2" t="s">
        <v>74</v>
      </c>
      <c r="AD605" s="2" t="s">
        <v>74</v>
      </c>
      <c r="AE605" s="2" t="s">
        <v>74</v>
      </c>
      <c r="AF605" s="2" t="s">
        <v>74</v>
      </c>
      <c r="AG605" s="2" t="s">
        <v>74</v>
      </c>
      <c r="AH605" s="2" t="s">
        <v>74</v>
      </c>
      <c r="AI605" s="2" t="s">
        <v>74</v>
      </c>
      <c r="AJ605" s="2" t="s">
        <v>74</v>
      </c>
      <c r="AK605" s="2" t="s">
        <v>74</v>
      </c>
      <c r="AL605" s="2" t="s">
        <v>74</v>
      </c>
      <c r="AM605" s="2" t="s">
        <v>74</v>
      </c>
      <c r="AN605" s="2" t="s">
        <v>74</v>
      </c>
      <c r="AO605" s="2" t="s">
        <v>221</v>
      </c>
      <c r="AP605" s="2" t="s">
        <v>222</v>
      </c>
      <c r="AQ605" s="2" t="s">
        <v>74</v>
      </c>
      <c r="AR605" s="2" t="s">
        <v>74</v>
      </c>
      <c r="AS605" s="2" t="s">
        <v>74</v>
      </c>
      <c r="AT605" s="2" t="s">
        <v>134</v>
      </c>
      <c r="AU605" s="2">
        <v>2020</v>
      </c>
      <c r="AV605" s="2">
        <v>33</v>
      </c>
      <c r="AW605" s="2">
        <v>5</v>
      </c>
      <c r="AX605" s="2" t="s">
        <v>74</v>
      </c>
      <c r="AY605" s="2" t="s">
        <v>74</v>
      </c>
      <c r="AZ605" s="2" t="s">
        <v>74</v>
      </c>
      <c r="BA605" s="2" t="s">
        <v>74</v>
      </c>
      <c r="BB605" s="2">
        <v>727</v>
      </c>
      <c r="BC605" s="2">
        <v>733</v>
      </c>
      <c r="BD605" s="2" t="s">
        <v>74</v>
      </c>
      <c r="BE605" s="2" t="s">
        <v>4591</v>
      </c>
      <c r="BF605" s="2" t="str">
        <f>HYPERLINK("http://dx.doi.org/10.1111/jeb.13607","http://dx.doi.org/10.1111/jeb.13607")</f>
        <v>http://dx.doi.org/10.1111/jeb.13607</v>
      </c>
      <c r="BG605" s="2" t="s">
        <v>74</v>
      </c>
      <c r="BH605" s="2" t="s">
        <v>74</v>
      </c>
      <c r="BI605" s="2" t="s">
        <v>74</v>
      </c>
      <c r="BJ605" s="2" t="s">
        <v>74</v>
      </c>
      <c r="BK605" s="2" t="s">
        <v>74</v>
      </c>
      <c r="BL605" s="2" t="s">
        <v>74</v>
      </c>
      <c r="BM605" s="2" t="s">
        <v>74</v>
      </c>
      <c r="BN605" s="2">
        <v>32069366</v>
      </c>
      <c r="BO605" s="2" t="s">
        <v>74</v>
      </c>
      <c r="BP605" s="2" t="s">
        <v>74</v>
      </c>
      <c r="BQ605" s="2" t="s">
        <v>74</v>
      </c>
      <c r="BR605" s="2" t="s">
        <v>74</v>
      </c>
      <c r="BS605" s="2" t="s">
        <v>4592</v>
      </c>
      <c r="BT605" s="2" t="str">
        <f>HYPERLINK("https%3A%2F%2Fwww.webofscience.com%2Fwos%2Fwoscc%2Ffull-record%2FWOS:000531419500014","View Full Record in Web of Science")</f>
        <v>View Full Record in Web of Science</v>
      </c>
    </row>
    <row r="606" spans="1:72" s="2" customFormat="1" x14ac:dyDescent="0.4">
      <c r="A606" s="2" t="s">
        <v>72</v>
      </c>
      <c r="B606" s="2" t="s">
        <v>6238</v>
      </c>
      <c r="C606" s="2" t="s">
        <v>74</v>
      </c>
      <c r="D606" s="2" t="s">
        <v>74</v>
      </c>
      <c r="E606" s="2" t="s">
        <v>74</v>
      </c>
      <c r="F606" s="2" t="s">
        <v>6238</v>
      </c>
      <c r="G606" s="2" t="s">
        <v>74</v>
      </c>
      <c r="H606" s="2" t="s">
        <v>74</v>
      </c>
      <c r="I606" s="2" t="s">
        <v>6239</v>
      </c>
      <c r="J606" s="2" t="s">
        <v>6240</v>
      </c>
      <c r="K606" s="2" t="s">
        <v>74</v>
      </c>
      <c r="L606" s="2" t="s">
        <v>74</v>
      </c>
      <c r="M606" s="2" t="s">
        <v>74</v>
      </c>
      <c r="N606" s="2" t="s">
        <v>74</v>
      </c>
      <c r="O606" s="2" t="s">
        <v>74</v>
      </c>
      <c r="P606" s="2" t="s">
        <v>74</v>
      </c>
      <c r="Q606" s="2" t="s">
        <v>74</v>
      </c>
      <c r="R606" s="2" t="s">
        <v>74</v>
      </c>
      <c r="S606" s="2" t="s">
        <v>74</v>
      </c>
      <c r="T606" s="2" t="s">
        <v>74</v>
      </c>
      <c r="U606" s="2" t="s">
        <v>74</v>
      </c>
      <c r="V606" s="5" t="s">
        <v>6241</v>
      </c>
      <c r="W606" s="2" t="s">
        <v>74</v>
      </c>
      <c r="X606" s="2" t="s">
        <v>74</v>
      </c>
      <c r="Y606" s="2" t="s">
        <v>74</v>
      </c>
      <c r="Z606" s="2" t="s">
        <v>74</v>
      </c>
      <c r="AA606" s="2" t="s">
        <v>74</v>
      </c>
      <c r="AB606" s="2" t="s">
        <v>74</v>
      </c>
      <c r="AC606" s="2" t="s">
        <v>74</v>
      </c>
      <c r="AD606" s="2" t="s">
        <v>74</v>
      </c>
      <c r="AE606" s="2" t="s">
        <v>74</v>
      </c>
      <c r="AF606" s="2" t="s">
        <v>74</v>
      </c>
      <c r="AG606" s="2" t="s">
        <v>74</v>
      </c>
      <c r="AH606" s="2" t="s">
        <v>74</v>
      </c>
      <c r="AI606" s="2" t="s">
        <v>74</v>
      </c>
      <c r="AJ606" s="2" t="s">
        <v>74</v>
      </c>
      <c r="AK606" s="2" t="s">
        <v>74</v>
      </c>
      <c r="AL606" s="2" t="s">
        <v>74</v>
      </c>
      <c r="AM606" s="2" t="s">
        <v>74</v>
      </c>
      <c r="AN606" s="2" t="s">
        <v>74</v>
      </c>
      <c r="AO606" s="2" t="s">
        <v>6242</v>
      </c>
      <c r="AP606" s="2" t="s">
        <v>6243</v>
      </c>
      <c r="AQ606" s="2" t="s">
        <v>74</v>
      </c>
      <c r="AR606" s="2" t="s">
        <v>74</v>
      </c>
      <c r="AS606" s="2" t="s">
        <v>74</v>
      </c>
      <c r="AT606" s="2" t="s">
        <v>74</v>
      </c>
      <c r="AU606" s="2">
        <v>1983</v>
      </c>
      <c r="AV606" s="2">
        <v>33</v>
      </c>
      <c r="AW606" s="2">
        <v>2</v>
      </c>
      <c r="AX606" s="2" t="s">
        <v>74</v>
      </c>
      <c r="AY606" s="2" t="s">
        <v>74</v>
      </c>
      <c r="AZ606" s="2" t="s">
        <v>74</v>
      </c>
      <c r="BA606" s="2" t="s">
        <v>74</v>
      </c>
      <c r="BB606" s="2">
        <v>353</v>
      </c>
      <c r="BC606" s="2">
        <v>362</v>
      </c>
      <c r="BD606" s="2" t="s">
        <v>74</v>
      </c>
      <c r="BE606" s="2" t="s">
        <v>74</v>
      </c>
      <c r="BF606" s="2" t="s">
        <v>74</v>
      </c>
      <c r="BG606" s="2" t="s">
        <v>74</v>
      </c>
      <c r="BH606" s="2" t="s">
        <v>74</v>
      </c>
      <c r="BI606" s="2" t="s">
        <v>74</v>
      </c>
      <c r="BJ606" s="2" t="s">
        <v>74</v>
      </c>
      <c r="BK606" s="2" t="s">
        <v>74</v>
      </c>
      <c r="BL606" s="2" t="s">
        <v>74</v>
      </c>
      <c r="BM606" s="2" t="s">
        <v>74</v>
      </c>
      <c r="BN606" s="2" t="s">
        <v>74</v>
      </c>
      <c r="BO606" s="2" t="s">
        <v>74</v>
      </c>
      <c r="BP606" s="2" t="s">
        <v>74</v>
      </c>
      <c r="BQ606" s="2" t="s">
        <v>74</v>
      </c>
      <c r="BR606" s="2" t="s">
        <v>74</v>
      </c>
      <c r="BS606" s="2" t="s">
        <v>6244</v>
      </c>
      <c r="BT606" s="2" t="str">
        <f>HYPERLINK("https%3A%2F%2Fwww.webofscience.com%2Fwos%2Fwoscc%2Ffull-record%2FWOS:A1983QR68900012","View Full Record in Web of Science")</f>
        <v>View Full Record in Web of Science</v>
      </c>
    </row>
    <row r="607" spans="1:72" s="2" customFormat="1" x14ac:dyDescent="0.4">
      <c r="A607" s="2" t="s">
        <v>72</v>
      </c>
      <c r="B607" s="2" t="s">
        <v>2031</v>
      </c>
      <c r="C607" s="2" t="s">
        <v>74</v>
      </c>
      <c r="D607" s="2" t="s">
        <v>74</v>
      </c>
      <c r="E607" s="2" t="s">
        <v>74</v>
      </c>
      <c r="F607" s="2" t="s">
        <v>2032</v>
      </c>
      <c r="G607" s="2" t="s">
        <v>74</v>
      </c>
      <c r="H607" s="2" t="s">
        <v>74</v>
      </c>
      <c r="I607" s="2" t="s">
        <v>2033</v>
      </c>
      <c r="J607" s="2" t="s">
        <v>218</v>
      </c>
      <c r="K607" s="2" t="s">
        <v>74</v>
      </c>
      <c r="L607" s="2" t="s">
        <v>74</v>
      </c>
      <c r="M607" s="2" t="s">
        <v>74</v>
      </c>
      <c r="N607" s="2" t="s">
        <v>74</v>
      </c>
      <c r="O607" s="2" t="s">
        <v>74</v>
      </c>
      <c r="P607" s="2" t="s">
        <v>74</v>
      </c>
      <c r="Q607" s="2" t="s">
        <v>74</v>
      </c>
      <c r="R607" s="2" t="s">
        <v>74</v>
      </c>
      <c r="S607" s="2" t="s">
        <v>74</v>
      </c>
      <c r="T607" s="2" t="s">
        <v>74</v>
      </c>
      <c r="U607" s="2" t="s">
        <v>74</v>
      </c>
      <c r="V607" s="5" t="s">
        <v>2034</v>
      </c>
      <c r="W607" s="2" t="s">
        <v>74</v>
      </c>
      <c r="X607" s="2" t="s">
        <v>74</v>
      </c>
      <c r="Y607" s="2" t="s">
        <v>74</v>
      </c>
      <c r="Z607" s="2" t="s">
        <v>74</v>
      </c>
      <c r="AA607" s="2" t="s">
        <v>74</v>
      </c>
      <c r="AB607" s="2" t="s">
        <v>2035</v>
      </c>
      <c r="AC607" s="2" t="s">
        <v>74</v>
      </c>
      <c r="AD607" s="2" t="s">
        <v>74</v>
      </c>
      <c r="AE607" s="2" t="s">
        <v>74</v>
      </c>
      <c r="AF607" s="2" t="s">
        <v>74</v>
      </c>
      <c r="AG607" s="2" t="s">
        <v>74</v>
      </c>
      <c r="AH607" s="2" t="s">
        <v>74</v>
      </c>
      <c r="AI607" s="2" t="s">
        <v>74</v>
      </c>
      <c r="AJ607" s="2" t="s">
        <v>74</v>
      </c>
      <c r="AK607" s="2" t="s">
        <v>74</v>
      </c>
      <c r="AL607" s="2" t="s">
        <v>74</v>
      </c>
      <c r="AM607" s="2" t="s">
        <v>74</v>
      </c>
      <c r="AN607" s="2" t="s">
        <v>74</v>
      </c>
      <c r="AO607" s="2" t="s">
        <v>221</v>
      </c>
      <c r="AP607" s="2" t="s">
        <v>222</v>
      </c>
      <c r="AQ607" s="2" t="s">
        <v>74</v>
      </c>
      <c r="AR607" s="2" t="s">
        <v>74</v>
      </c>
      <c r="AS607" s="2" t="s">
        <v>74</v>
      </c>
      <c r="AT607" s="2" t="s">
        <v>2036</v>
      </c>
      <c r="AU607" s="2">
        <v>2024</v>
      </c>
      <c r="AV607" s="2" t="s">
        <v>74</v>
      </c>
      <c r="AW607" s="2" t="s">
        <v>74</v>
      </c>
      <c r="AX607" s="2" t="s">
        <v>74</v>
      </c>
      <c r="AY607" s="2" t="s">
        <v>74</v>
      </c>
      <c r="AZ607" s="2" t="s">
        <v>74</v>
      </c>
      <c r="BA607" s="2" t="s">
        <v>74</v>
      </c>
      <c r="BB607" s="2" t="s">
        <v>74</v>
      </c>
      <c r="BC607" s="2" t="s">
        <v>74</v>
      </c>
      <c r="BD607" s="2" t="s">
        <v>74</v>
      </c>
      <c r="BE607" s="2" t="s">
        <v>2037</v>
      </c>
      <c r="BF607" s="2" t="str">
        <f>HYPERLINK("http://dx.doi.org/10.1093/jeb/voae085","http://dx.doi.org/10.1093/jeb/voae085")</f>
        <v>http://dx.doi.org/10.1093/jeb/voae085</v>
      </c>
      <c r="BG607" s="2" t="s">
        <v>74</v>
      </c>
      <c r="BH607" s="2" t="s">
        <v>869</v>
      </c>
      <c r="BI607" s="2" t="s">
        <v>74</v>
      </c>
      <c r="BJ607" s="2" t="s">
        <v>74</v>
      </c>
      <c r="BK607" s="2" t="s">
        <v>74</v>
      </c>
      <c r="BL607" s="2" t="s">
        <v>74</v>
      </c>
      <c r="BM607" s="2" t="s">
        <v>74</v>
      </c>
      <c r="BN607" s="2">
        <v>38989853</v>
      </c>
      <c r="BO607" s="2" t="s">
        <v>74</v>
      </c>
      <c r="BP607" s="2" t="s">
        <v>74</v>
      </c>
      <c r="BQ607" s="2" t="s">
        <v>74</v>
      </c>
      <c r="BR607" s="2" t="s">
        <v>74</v>
      </c>
      <c r="BS607" s="2" t="s">
        <v>2038</v>
      </c>
      <c r="BT607" s="2" t="str">
        <f>HYPERLINK("https%3A%2F%2Fwww.webofscience.com%2Fwos%2Fwoscc%2Ffull-record%2FWOS:001274409500001","View Full Record in Web of Science")</f>
        <v>View Full Record in Web of Science</v>
      </c>
    </row>
    <row r="608" spans="1:72" s="2" customFormat="1" x14ac:dyDescent="0.4">
      <c r="A608" s="2" t="s">
        <v>72</v>
      </c>
      <c r="B608" s="2" t="s">
        <v>6769</v>
      </c>
      <c r="C608" s="2" t="s">
        <v>74</v>
      </c>
      <c r="D608" s="2" t="s">
        <v>74</v>
      </c>
      <c r="E608" s="2" t="s">
        <v>74</v>
      </c>
      <c r="F608" s="2" t="s">
        <v>6770</v>
      </c>
      <c r="G608" s="2" t="s">
        <v>74</v>
      </c>
      <c r="H608" s="2" t="s">
        <v>74</v>
      </c>
      <c r="I608" s="2" t="s">
        <v>6771</v>
      </c>
      <c r="J608" s="2" t="s">
        <v>6772</v>
      </c>
      <c r="K608" s="2" t="s">
        <v>74</v>
      </c>
      <c r="L608" s="2" t="s">
        <v>74</v>
      </c>
      <c r="M608" s="2" t="s">
        <v>74</v>
      </c>
      <c r="N608" s="2" t="s">
        <v>74</v>
      </c>
      <c r="O608" s="2" t="s">
        <v>74</v>
      </c>
      <c r="P608" s="2" t="s">
        <v>74</v>
      </c>
      <c r="Q608" s="2" t="s">
        <v>74</v>
      </c>
      <c r="R608" s="2" t="s">
        <v>74</v>
      </c>
      <c r="S608" s="2" t="s">
        <v>74</v>
      </c>
      <c r="T608" s="2" t="s">
        <v>74</v>
      </c>
      <c r="U608" s="2" t="s">
        <v>74</v>
      </c>
      <c r="V608" s="5" t="s">
        <v>6773</v>
      </c>
      <c r="W608" s="2" t="s">
        <v>74</v>
      </c>
      <c r="X608" s="2" t="s">
        <v>74</v>
      </c>
      <c r="Y608" s="2" t="s">
        <v>74</v>
      </c>
      <c r="Z608" s="2" t="s">
        <v>74</v>
      </c>
      <c r="AA608" s="2" t="s">
        <v>6774</v>
      </c>
      <c r="AB608" s="2" t="s">
        <v>6775</v>
      </c>
      <c r="AC608" s="2" t="s">
        <v>74</v>
      </c>
      <c r="AD608" s="2" t="s">
        <v>74</v>
      </c>
      <c r="AE608" s="2" t="s">
        <v>74</v>
      </c>
      <c r="AF608" s="2" t="s">
        <v>74</v>
      </c>
      <c r="AG608" s="2" t="s">
        <v>74</v>
      </c>
      <c r="AH608" s="2" t="s">
        <v>74</v>
      </c>
      <c r="AI608" s="2" t="s">
        <v>74</v>
      </c>
      <c r="AJ608" s="2" t="s">
        <v>74</v>
      </c>
      <c r="AK608" s="2" t="s">
        <v>74</v>
      </c>
      <c r="AL608" s="2" t="s">
        <v>74</v>
      </c>
      <c r="AM608" s="2" t="s">
        <v>74</v>
      </c>
      <c r="AN608" s="2" t="s">
        <v>74</v>
      </c>
      <c r="AO608" s="2" t="s">
        <v>6776</v>
      </c>
      <c r="AP608" s="2" t="s">
        <v>6777</v>
      </c>
      <c r="AQ608" s="2" t="s">
        <v>74</v>
      </c>
      <c r="AR608" s="2" t="s">
        <v>74</v>
      </c>
      <c r="AS608" s="2" t="s">
        <v>74</v>
      </c>
      <c r="AT608" s="2" t="s">
        <v>964</v>
      </c>
      <c r="AU608" s="2">
        <v>2022</v>
      </c>
      <c r="AV608" s="2">
        <v>20</v>
      </c>
      <c r="AW608" s="2">
        <v>2</v>
      </c>
      <c r="AX608" s="2" t="s">
        <v>74</v>
      </c>
      <c r="AY608" s="2" t="s">
        <v>74</v>
      </c>
      <c r="AZ608" s="2" t="s">
        <v>74</v>
      </c>
      <c r="BA608" s="2" t="s">
        <v>74</v>
      </c>
      <c r="BB608" s="2" t="s">
        <v>74</v>
      </c>
      <c r="BC608" s="2" t="s">
        <v>74</v>
      </c>
      <c r="BD608" s="2" t="s">
        <v>6778</v>
      </c>
      <c r="BE608" s="2" t="s">
        <v>6779</v>
      </c>
      <c r="BF608" s="2" t="str">
        <f>HYPERLINK("http://dx.doi.org/10.1371/journal.pbio.3001529","http://dx.doi.org/10.1371/journal.pbio.3001529")</f>
        <v>http://dx.doi.org/10.1371/journal.pbio.3001529</v>
      </c>
      <c r="BG608" s="2" t="s">
        <v>74</v>
      </c>
      <c r="BH608" s="2" t="s">
        <v>74</v>
      </c>
      <c r="BI608" s="2" t="s">
        <v>74</v>
      </c>
      <c r="BJ608" s="2" t="s">
        <v>74</v>
      </c>
      <c r="BK608" s="2" t="s">
        <v>74</v>
      </c>
      <c r="BL608" s="2" t="s">
        <v>74</v>
      </c>
      <c r="BM608" s="2" t="s">
        <v>74</v>
      </c>
      <c r="BN608" s="2">
        <v>35176032</v>
      </c>
      <c r="BO608" s="2" t="s">
        <v>74</v>
      </c>
      <c r="BP608" s="2" t="s">
        <v>74</v>
      </c>
      <c r="BQ608" s="2" t="s">
        <v>74</v>
      </c>
      <c r="BR608" s="2" t="s">
        <v>74</v>
      </c>
      <c r="BS608" s="2" t="s">
        <v>6780</v>
      </c>
      <c r="BT608" s="2" t="str">
        <f>HYPERLINK("https%3A%2F%2Fwww.webofscience.com%2Fwos%2Fwoscc%2Ffull-record%2FWOS:000759890300001","View Full Record in Web of Science")</f>
        <v>View Full Record in Web of Science</v>
      </c>
    </row>
    <row r="609" spans="1:72" s="2" customFormat="1" x14ac:dyDescent="0.4">
      <c r="A609" s="2" t="s">
        <v>72</v>
      </c>
      <c r="B609" s="2" t="s">
        <v>3920</v>
      </c>
      <c r="C609" s="2" t="s">
        <v>74</v>
      </c>
      <c r="D609" s="2" t="s">
        <v>74</v>
      </c>
      <c r="E609" s="2" t="s">
        <v>74</v>
      </c>
      <c r="F609" s="2" t="s">
        <v>3921</v>
      </c>
      <c r="G609" s="2" t="s">
        <v>74</v>
      </c>
      <c r="H609" s="2" t="s">
        <v>74</v>
      </c>
      <c r="I609" s="2" t="s">
        <v>3922</v>
      </c>
      <c r="J609" s="2" t="s">
        <v>108</v>
      </c>
      <c r="K609" s="2" t="s">
        <v>74</v>
      </c>
      <c r="L609" s="2" t="s">
        <v>74</v>
      </c>
      <c r="M609" s="2" t="s">
        <v>74</v>
      </c>
      <c r="N609" s="2" t="s">
        <v>74</v>
      </c>
      <c r="O609" s="2" t="s">
        <v>74</v>
      </c>
      <c r="P609" s="2" t="s">
        <v>74</v>
      </c>
      <c r="Q609" s="2" t="s">
        <v>74</v>
      </c>
      <c r="R609" s="2" t="s">
        <v>74</v>
      </c>
      <c r="S609" s="2" t="s">
        <v>74</v>
      </c>
      <c r="T609" s="2" t="s">
        <v>74</v>
      </c>
      <c r="U609" s="2" t="s">
        <v>74</v>
      </c>
      <c r="V609" s="5" t="s">
        <v>3923</v>
      </c>
      <c r="W609" s="2" t="s">
        <v>74</v>
      </c>
      <c r="X609" s="2" t="s">
        <v>74</v>
      </c>
      <c r="Y609" s="2" t="s">
        <v>74</v>
      </c>
      <c r="Z609" s="2" t="s">
        <v>74</v>
      </c>
      <c r="AA609" s="2" t="s">
        <v>3924</v>
      </c>
      <c r="AB609" s="2" t="s">
        <v>3925</v>
      </c>
      <c r="AC609" s="2" t="s">
        <v>74</v>
      </c>
      <c r="AD609" s="2" t="s">
        <v>74</v>
      </c>
      <c r="AE609" s="2" t="s">
        <v>74</v>
      </c>
      <c r="AF609" s="2" t="s">
        <v>74</v>
      </c>
      <c r="AG609" s="2" t="s">
        <v>74</v>
      </c>
      <c r="AH609" s="2" t="s">
        <v>74</v>
      </c>
      <c r="AI609" s="2" t="s">
        <v>74</v>
      </c>
      <c r="AJ609" s="2" t="s">
        <v>74</v>
      </c>
      <c r="AK609" s="2" t="s">
        <v>74</v>
      </c>
      <c r="AL609" s="2" t="s">
        <v>74</v>
      </c>
      <c r="AM609" s="2" t="s">
        <v>74</v>
      </c>
      <c r="AN609" s="2" t="s">
        <v>74</v>
      </c>
      <c r="AO609" s="2" t="s">
        <v>111</v>
      </c>
      <c r="AP609" s="2" t="s">
        <v>112</v>
      </c>
      <c r="AQ609" s="2" t="s">
        <v>74</v>
      </c>
      <c r="AR609" s="2" t="s">
        <v>74</v>
      </c>
      <c r="AS609" s="2" t="s">
        <v>74</v>
      </c>
      <c r="AT609" s="2" t="s">
        <v>3926</v>
      </c>
      <c r="AU609" s="2">
        <v>2014</v>
      </c>
      <c r="AV609" s="2">
        <v>281</v>
      </c>
      <c r="AW609" s="2">
        <v>1793</v>
      </c>
      <c r="AX609" s="2" t="s">
        <v>74</v>
      </c>
      <c r="AY609" s="2" t="s">
        <v>74</v>
      </c>
      <c r="AZ609" s="2" t="s">
        <v>74</v>
      </c>
      <c r="BA609" s="2" t="s">
        <v>74</v>
      </c>
      <c r="BB609" s="2" t="s">
        <v>74</v>
      </c>
      <c r="BC609" s="2" t="s">
        <v>74</v>
      </c>
      <c r="BD609" s="2">
        <v>20141794</v>
      </c>
      <c r="BE609" s="2" t="s">
        <v>3927</v>
      </c>
      <c r="BF609" s="2" t="str">
        <f>HYPERLINK("http://dx.doi.org/10.1098/rspb.2014.1794","http://dx.doi.org/10.1098/rspb.2014.1794")</f>
        <v>http://dx.doi.org/10.1098/rspb.2014.1794</v>
      </c>
      <c r="BG609" s="2" t="s">
        <v>74</v>
      </c>
      <c r="BH609" s="2" t="s">
        <v>74</v>
      </c>
      <c r="BI609" s="2" t="s">
        <v>74</v>
      </c>
      <c r="BJ609" s="2" t="s">
        <v>74</v>
      </c>
      <c r="BK609" s="2" t="s">
        <v>74</v>
      </c>
      <c r="BL609" s="2" t="s">
        <v>74</v>
      </c>
      <c r="BM609" s="2" t="s">
        <v>74</v>
      </c>
      <c r="BN609" s="2">
        <v>25209943</v>
      </c>
      <c r="BO609" s="2" t="s">
        <v>74</v>
      </c>
      <c r="BP609" s="2" t="s">
        <v>74</v>
      </c>
      <c r="BQ609" s="2" t="s">
        <v>74</v>
      </c>
      <c r="BR609" s="2" t="s">
        <v>74</v>
      </c>
      <c r="BS609" s="2" t="s">
        <v>3928</v>
      </c>
      <c r="BT609" s="2" t="str">
        <f>HYPERLINK("https%3A%2F%2Fwww.webofscience.com%2Fwos%2Fwoscc%2Ffull-record%2FWOS:000341560300025","View Full Record in Web of Science")</f>
        <v>View Full Record in Web of Science</v>
      </c>
    </row>
    <row r="610" spans="1:72" s="2" customFormat="1" x14ac:dyDescent="0.4">
      <c r="A610" s="2" t="s">
        <v>72</v>
      </c>
      <c r="B610" s="2" t="s">
        <v>737</v>
      </c>
      <c r="C610" s="2" t="s">
        <v>74</v>
      </c>
      <c r="D610" s="2" t="s">
        <v>74</v>
      </c>
      <c r="E610" s="2" t="s">
        <v>74</v>
      </c>
      <c r="F610" s="2" t="s">
        <v>738</v>
      </c>
      <c r="G610" s="2" t="s">
        <v>74</v>
      </c>
      <c r="H610" s="2" t="s">
        <v>74</v>
      </c>
      <c r="I610" s="2" t="s">
        <v>739</v>
      </c>
      <c r="J610" s="2" t="s">
        <v>408</v>
      </c>
      <c r="K610" s="2" t="s">
        <v>74</v>
      </c>
      <c r="L610" s="2" t="s">
        <v>74</v>
      </c>
      <c r="M610" s="2" t="s">
        <v>74</v>
      </c>
      <c r="N610" s="2" t="s">
        <v>74</v>
      </c>
      <c r="O610" s="2" t="s">
        <v>74</v>
      </c>
      <c r="P610" s="2" t="s">
        <v>74</v>
      </c>
      <c r="Q610" s="2" t="s">
        <v>74</v>
      </c>
      <c r="R610" s="2" t="s">
        <v>74</v>
      </c>
      <c r="S610" s="2" t="s">
        <v>74</v>
      </c>
      <c r="T610" s="2" t="s">
        <v>74</v>
      </c>
      <c r="U610" s="2" t="s">
        <v>74</v>
      </c>
      <c r="V610" s="5" t="s">
        <v>740</v>
      </c>
      <c r="W610" s="2" t="s">
        <v>74</v>
      </c>
      <c r="X610" s="2" t="s">
        <v>74</v>
      </c>
      <c r="Y610" s="2" t="s">
        <v>74</v>
      </c>
      <c r="Z610" s="2" t="s">
        <v>74</v>
      </c>
      <c r="AA610" s="2" t="s">
        <v>74</v>
      </c>
      <c r="AB610" s="2" t="s">
        <v>74</v>
      </c>
      <c r="AC610" s="2" t="s">
        <v>74</v>
      </c>
      <c r="AD610" s="2" t="s">
        <v>74</v>
      </c>
      <c r="AE610" s="2" t="s">
        <v>74</v>
      </c>
      <c r="AF610" s="2" t="s">
        <v>74</v>
      </c>
      <c r="AG610" s="2" t="s">
        <v>74</v>
      </c>
      <c r="AH610" s="2" t="s">
        <v>74</v>
      </c>
      <c r="AI610" s="2" t="s">
        <v>74</v>
      </c>
      <c r="AJ610" s="2" t="s">
        <v>74</v>
      </c>
      <c r="AK610" s="2" t="s">
        <v>74</v>
      </c>
      <c r="AL610" s="2" t="s">
        <v>74</v>
      </c>
      <c r="AM610" s="2" t="s">
        <v>74</v>
      </c>
      <c r="AN610" s="2" t="s">
        <v>74</v>
      </c>
      <c r="AO610" s="2" t="s">
        <v>412</v>
      </c>
      <c r="AP610" s="2" t="s">
        <v>413</v>
      </c>
      <c r="AQ610" s="2" t="s">
        <v>74</v>
      </c>
      <c r="AR610" s="2" t="s">
        <v>74</v>
      </c>
      <c r="AS610" s="2" t="s">
        <v>74</v>
      </c>
      <c r="AT610" s="2" t="s">
        <v>741</v>
      </c>
      <c r="AU610" s="2">
        <v>2024</v>
      </c>
      <c r="AV610" s="2" t="s">
        <v>74</v>
      </c>
      <c r="AW610" s="2" t="s">
        <v>74</v>
      </c>
      <c r="AX610" s="2" t="s">
        <v>74</v>
      </c>
      <c r="AY610" s="2" t="s">
        <v>74</v>
      </c>
      <c r="AZ610" s="2" t="s">
        <v>74</v>
      </c>
      <c r="BA610" s="2" t="s">
        <v>74</v>
      </c>
      <c r="BB610" s="2" t="s">
        <v>74</v>
      </c>
      <c r="BC610" s="2" t="s">
        <v>74</v>
      </c>
      <c r="BD610" s="2" t="s">
        <v>74</v>
      </c>
      <c r="BE610" s="2" t="s">
        <v>742</v>
      </c>
      <c r="BF610" s="2" t="str">
        <f>HYPERLINK("http://dx.doi.org/10.1093/biolinnean/blae006","http://dx.doi.org/10.1093/biolinnean/blae006")</f>
        <v>http://dx.doi.org/10.1093/biolinnean/blae006</v>
      </c>
      <c r="BG610" s="2" t="s">
        <v>74</v>
      </c>
      <c r="BH610" s="2" t="s">
        <v>743</v>
      </c>
      <c r="BI610" s="2" t="s">
        <v>74</v>
      </c>
      <c r="BJ610" s="2" t="s">
        <v>74</v>
      </c>
      <c r="BK610" s="2" t="s">
        <v>74</v>
      </c>
      <c r="BL610" s="2" t="s">
        <v>74</v>
      </c>
      <c r="BM610" s="2" t="s">
        <v>74</v>
      </c>
      <c r="BN610" s="2" t="s">
        <v>74</v>
      </c>
      <c r="BO610" s="2" t="s">
        <v>74</v>
      </c>
      <c r="BP610" s="2" t="s">
        <v>74</v>
      </c>
      <c r="BQ610" s="2" t="s">
        <v>74</v>
      </c>
      <c r="BR610" s="2" t="s">
        <v>74</v>
      </c>
      <c r="BS610" s="2" t="s">
        <v>744</v>
      </c>
      <c r="BT610" s="2" t="str">
        <f>HYPERLINK("https%3A%2F%2Fwww.webofscience.com%2Fwos%2Fwoscc%2Ffull-record%2FWOS:001178186000001","View Full Record in Web of Science")</f>
        <v>View Full Record in Web of Science</v>
      </c>
    </row>
    <row r="611" spans="1:72" s="2" customFormat="1" x14ac:dyDescent="0.4">
      <c r="A611" s="2" t="s">
        <v>72</v>
      </c>
      <c r="B611" s="2" t="s">
        <v>4190</v>
      </c>
      <c r="C611" s="2" t="s">
        <v>74</v>
      </c>
      <c r="D611" s="2" t="s">
        <v>74</v>
      </c>
      <c r="E611" s="2" t="s">
        <v>74</v>
      </c>
      <c r="F611" s="2" t="s">
        <v>4191</v>
      </c>
      <c r="G611" s="2" t="s">
        <v>74</v>
      </c>
      <c r="H611" s="2" t="s">
        <v>74</v>
      </c>
      <c r="I611" s="2" t="s">
        <v>4192</v>
      </c>
      <c r="J611" s="2" t="s">
        <v>862</v>
      </c>
      <c r="K611" s="2" t="s">
        <v>74</v>
      </c>
      <c r="L611" s="2" t="s">
        <v>74</v>
      </c>
      <c r="M611" s="2" t="s">
        <v>74</v>
      </c>
      <c r="N611" s="2" t="s">
        <v>74</v>
      </c>
      <c r="O611" s="2" t="s">
        <v>74</v>
      </c>
      <c r="P611" s="2" t="s">
        <v>74</v>
      </c>
      <c r="Q611" s="2" t="s">
        <v>74</v>
      </c>
      <c r="R611" s="2" t="s">
        <v>74</v>
      </c>
      <c r="S611" s="2" t="s">
        <v>74</v>
      </c>
      <c r="T611" s="2" t="s">
        <v>74</v>
      </c>
      <c r="U611" s="2" t="s">
        <v>74</v>
      </c>
      <c r="V611" s="5" t="s">
        <v>4193</v>
      </c>
      <c r="W611" s="2" t="s">
        <v>74</v>
      </c>
      <c r="X611" s="2" t="s">
        <v>74</v>
      </c>
      <c r="Y611" s="2" t="s">
        <v>74</v>
      </c>
      <c r="Z611" s="2" t="s">
        <v>74</v>
      </c>
      <c r="AA611" s="2" t="s">
        <v>74</v>
      </c>
      <c r="AB611" s="2" t="s">
        <v>74</v>
      </c>
      <c r="AC611" s="2" t="s">
        <v>74</v>
      </c>
      <c r="AD611" s="2" t="s">
        <v>74</v>
      </c>
      <c r="AE611" s="2" t="s">
        <v>74</v>
      </c>
      <c r="AF611" s="2" t="s">
        <v>74</v>
      </c>
      <c r="AG611" s="2" t="s">
        <v>74</v>
      </c>
      <c r="AH611" s="2" t="s">
        <v>74</v>
      </c>
      <c r="AI611" s="2" t="s">
        <v>74</v>
      </c>
      <c r="AJ611" s="2" t="s">
        <v>74</v>
      </c>
      <c r="AK611" s="2" t="s">
        <v>74</v>
      </c>
      <c r="AL611" s="2" t="s">
        <v>74</v>
      </c>
      <c r="AM611" s="2" t="s">
        <v>74</v>
      </c>
      <c r="AN611" s="2" t="s">
        <v>74</v>
      </c>
      <c r="AO611" s="2" t="s">
        <v>865</v>
      </c>
      <c r="AP611" s="2" t="s">
        <v>866</v>
      </c>
      <c r="AQ611" s="2" t="s">
        <v>74</v>
      </c>
      <c r="AR611" s="2" t="s">
        <v>74</v>
      </c>
      <c r="AS611" s="2" t="s">
        <v>74</v>
      </c>
      <c r="AT611" s="2" t="s">
        <v>123</v>
      </c>
      <c r="AU611" s="2">
        <v>2014</v>
      </c>
      <c r="AV611" s="2">
        <v>17</v>
      </c>
      <c r="AW611" s="2">
        <v>1</v>
      </c>
      <c r="AX611" s="2" t="s">
        <v>74</v>
      </c>
      <c r="AY611" s="2" t="s">
        <v>74</v>
      </c>
      <c r="AZ611" s="2" t="s">
        <v>74</v>
      </c>
      <c r="BA611" s="2" t="s">
        <v>74</v>
      </c>
      <c r="BB611" s="2">
        <v>37</v>
      </c>
      <c r="BC611" s="2">
        <v>45</v>
      </c>
      <c r="BD611" s="2" t="s">
        <v>74</v>
      </c>
      <c r="BE611" s="2" t="s">
        <v>4194</v>
      </c>
      <c r="BF611" s="2" t="str">
        <f>HYPERLINK("http://dx.doi.org/10.1007/s10211-013-0156-2","http://dx.doi.org/10.1007/s10211-013-0156-2")</f>
        <v>http://dx.doi.org/10.1007/s10211-013-0156-2</v>
      </c>
      <c r="BG611" s="2" t="s">
        <v>74</v>
      </c>
      <c r="BH611" s="2" t="s">
        <v>74</v>
      </c>
      <c r="BI611" s="2" t="s">
        <v>74</v>
      </c>
      <c r="BJ611" s="2" t="s">
        <v>74</v>
      </c>
      <c r="BK611" s="2" t="s">
        <v>74</v>
      </c>
      <c r="BL611" s="2" t="s">
        <v>74</v>
      </c>
      <c r="BM611" s="2" t="s">
        <v>74</v>
      </c>
      <c r="BN611" s="2" t="s">
        <v>74</v>
      </c>
      <c r="BO611" s="2" t="s">
        <v>74</v>
      </c>
      <c r="BP611" s="2" t="s">
        <v>74</v>
      </c>
      <c r="BQ611" s="2" t="s">
        <v>74</v>
      </c>
      <c r="BR611" s="2" t="s">
        <v>74</v>
      </c>
      <c r="BS611" s="2" t="s">
        <v>4195</v>
      </c>
      <c r="BT611" s="2" t="str">
        <f>HYPERLINK("https%3A%2F%2Fwww.webofscience.com%2Fwos%2Fwoscc%2Ffull-record%2FWOS:000331631900006","View Full Record in Web of Science")</f>
        <v>View Full Record in Web of Science</v>
      </c>
    </row>
    <row r="612" spans="1:72" s="2" customFormat="1" x14ac:dyDescent="0.4">
      <c r="A612" s="2" t="s">
        <v>72</v>
      </c>
      <c r="B612" s="2" t="s">
        <v>890</v>
      </c>
      <c r="C612" s="2" t="s">
        <v>74</v>
      </c>
      <c r="D612" s="2" t="s">
        <v>74</v>
      </c>
      <c r="E612" s="2" t="s">
        <v>74</v>
      </c>
      <c r="F612" s="2" t="s">
        <v>891</v>
      </c>
      <c r="G612" s="2" t="s">
        <v>74</v>
      </c>
      <c r="H612" s="2" t="s">
        <v>74</v>
      </c>
      <c r="I612" s="2" t="s">
        <v>892</v>
      </c>
      <c r="J612" s="2" t="s">
        <v>88</v>
      </c>
      <c r="K612" s="2" t="s">
        <v>74</v>
      </c>
      <c r="L612" s="2" t="s">
        <v>74</v>
      </c>
      <c r="M612" s="2" t="s">
        <v>74</v>
      </c>
      <c r="N612" s="2" t="s">
        <v>74</v>
      </c>
      <c r="O612" s="2" t="s">
        <v>74</v>
      </c>
      <c r="P612" s="2" t="s">
        <v>74</v>
      </c>
      <c r="Q612" s="2" t="s">
        <v>74</v>
      </c>
      <c r="R612" s="2" t="s">
        <v>74</v>
      </c>
      <c r="S612" s="2" t="s">
        <v>74</v>
      </c>
      <c r="T612" s="2" t="s">
        <v>74</v>
      </c>
      <c r="U612" s="2" t="s">
        <v>74</v>
      </c>
      <c r="V612" s="5" t="s">
        <v>893</v>
      </c>
      <c r="W612" s="2" t="s">
        <v>74</v>
      </c>
      <c r="X612" s="2" t="s">
        <v>74</v>
      </c>
      <c r="Y612" s="2" t="s">
        <v>74</v>
      </c>
      <c r="Z612" s="2" t="s">
        <v>74</v>
      </c>
      <c r="AA612" s="2" t="s">
        <v>74</v>
      </c>
      <c r="AB612" s="2" t="s">
        <v>894</v>
      </c>
      <c r="AC612" s="2" t="s">
        <v>74</v>
      </c>
      <c r="AD612" s="2" t="s">
        <v>74</v>
      </c>
      <c r="AE612" s="2" t="s">
        <v>74</v>
      </c>
      <c r="AF612" s="2" t="s">
        <v>74</v>
      </c>
      <c r="AG612" s="2" t="s">
        <v>74</v>
      </c>
      <c r="AH612" s="2" t="s">
        <v>74</v>
      </c>
      <c r="AI612" s="2" t="s">
        <v>74</v>
      </c>
      <c r="AJ612" s="2" t="s">
        <v>74</v>
      </c>
      <c r="AK612" s="2" t="s">
        <v>74</v>
      </c>
      <c r="AL612" s="2" t="s">
        <v>74</v>
      </c>
      <c r="AM612" s="2" t="s">
        <v>74</v>
      </c>
      <c r="AN612" s="2" t="s">
        <v>74</v>
      </c>
      <c r="AO612" s="2" t="s">
        <v>91</v>
      </c>
      <c r="AP612" s="2" t="s">
        <v>74</v>
      </c>
      <c r="AQ612" s="2" t="s">
        <v>74</v>
      </c>
      <c r="AR612" s="2" t="s">
        <v>74</v>
      </c>
      <c r="AS612" s="2" t="s">
        <v>74</v>
      </c>
      <c r="AT612" s="2" t="s">
        <v>895</v>
      </c>
      <c r="AU612" s="2">
        <v>2011</v>
      </c>
      <c r="AV612" s="2">
        <v>7</v>
      </c>
      <c r="AW612" s="2">
        <v>5</v>
      </c>
      <c r="AX612" s="2" t="s">
        <v>74</v>
      </c>
      <c r="AY612" s="2" t="s">
        <v>74</v>
      </c>
      <c r="AZ612" s="2" t="s">
        <v>74</v>
      </c>
      <c r="BA612" s="2" t="s">
        <v>74</v>
      </c>
      <c r="BB612" s="2">
        <v>658</v>
      </c>
      <c r="BC612" s="2">
        <v>660</v>
      </c>
      <c r="BD612" s="2" t="s">
        <v>74</v>
      </c>
      <c r="BE612" s="2" t="s">
        <v>896</v>
      </c>
      <c r="BF612" s="2" t="str">
        <f>HYPERLINK("http://dx.doi.org/10.1098/rsbl.2011.0087","http://dx.doi.org/10.1098/rsbl.2011.0087")</f>
        <v>http://dx.doi.org/10.1098/rsbl.2011.0087</v>
      </c>
      <c r="BG612" s="2" t="s">
        <v>74</v>
      </c>
      <c r="BH612" s="2" t="s">
        <v>74</v>
      </c>
      <c r="BI612" s="2" t="s">
        <v>74</v>
      </c>
      <c r="BJ612" s="2" t="s">
        <v>74</v>
      </c>
      <c r="BK612" s="2" t="s">
        <v>74</v>
      </c>
      <c r="BL612" s="2" t="s">
        <v>74</v>
      </c>
      <c r="BM612" s="2" t="s">
        <v>74</v>
      </c>
      <c r="BN612" s="2">
        <v>21450727</v>
      </c>
      <c r="BO612" s="2" t="s">
        <v>74</v>
      </c>
      <c r="BP612" s="2" t="s">
        <v>74</v>
      </c>
      <c r="BQ612" s="2" t="s">
        <v>74</v>
      </c>
      <c r="BR612" s="2" t="s">
        <v>74</v>
      </c>
      <c r="BS612" s="2" t="s">
        <v>897</v>
      </c>
      <c r="BT612" s="2" t="str">
        <f>HYPERLINK("https%3A%2F%2Fwww.webofscience.com%2Fwos%2Fwoscc%2Ffull-record%2FWOS:000294768400007","View Full Record in Web of Science")</f>
        <v>View Full Record in Web of Science</v>
      </c>
    </row>
    <row r="613" spans="1:72" s="2" customFormat="1" x14ac:dyDescent="0.4">
      <c r="A613" s="2" t="s">
        <v>72</v>
      </c>
      <c r="B613" s="2" t="s">
        <v>1034</v>
      </c>
      <c r="C613" s="2" t="s">
        <v>74</v>
      </c>
      <c r="D613" s="2" t="s">
        <v>74</v>
      </c>
      <c r="E613" s="2" t="s">
        <v>74</v>
      </c>
      <c r="F613" s="2" t="s">
        <v>1035</v>
      </c>
      <c r="G613" s="2" t="s">
        <v>74</v>
      </c>
      <c r="H613" s="2" t="s">
        <v>74</v>
      </c>
      <c r="I613" s="2" t="s">
        <v>1036</v>
      </c>
      <c r="J613" s="2" t="s">
        <v>333</v>
      </c>
      <c r="K613" s="2" t="s">
        <v>74</v>
      </c>
      <c r="L613" s="2" t="s">
        <v>74</v>
      </c>
      <c r="M613" s="2" t="s">
        <v>74</v>
      </c>
      <c r="N613" s="2" t="s">
        <v>74</v>
      </c>
      <c r="O613" s="2" t="s">
        <v>74</v>
      </c>
      <c r="P613" s="2" t="s">
        <v>74</v>
      </c>
      <c r="Q613" s="2" t="s">
        <v>74</v>
      </c>
      <c r="R613" s="2" t="s">
        <v>74</v>
      </c>
      <c r="S613" s="2" t="s">
        <v>74</v>
      </c>
      <c r="T613" s="2" t="s">
        <v>74</v>
      </c>
      <c r="U613" s="2" t="s">
        <v>74</v>
      </c>
      <c r="V613" s="5" t="s">
        <v>1037</v>
      </c>
      <c r="W613" s="2" t="s">
        <v>74</v>
      </c>
      <c r="X613" s="2" t="s">
        <v>74</v>
      </c>
      <c r="Y613" s="2" t="s">
        <v>74</v>
      </c>
      <c r="Z613" s="2" t="s">
        <v>74</v>
      </c>
      <c r="AA613" s="2" t="s">
        <v>74</v>
      </c>
      <c r="AB613" s="2" t="s">
        <v>74</v>
      </c>
      <c r="AC613" s="2" t="s">
        <v>74</v>
      </c>
      <c r="AD613" s="2" t="s">
        <v>74</v>
      </c>
      <c r="AE613" s="2" t="s">
        <v>74</v>
      </c>
      <c r="AF613" s="2" t="s">
        <v>74</v>
      </c>
      <c r="AG613" s="2" t="s">
        <v>74</v>
      </c>
      <c r="AH613" s="2" t="s">
        <v>74</v>
      </c>
      <c r="AI613" s="2" t="s">
        <v>74</v>
      </c>
      <c r="AJ613" s="2" t="s">
        <v>74</v>
      </c>
      <c r="AK613" s="2" t="s">
        <v>74</v>
      </c>
      <c r="AL613" s="2" t="s">
        <v>74</v>
      </c>
      <c r="AM613" s="2" t="s">
        <v>74</v>
      </c>
      <c r="AN613" s="2" t="s">
        <v>74</v>
      </c>
      <c r="AO613" s="2" t="s">
        <v>337</v>
      </c>
      <c r="AP613" s="2" t="s">
        <v>74</v>
      </c>
      <c r="AQ613" s="2" t="s">
        <v>74</v>
      </c>
      <c r="AR613" s="2" t="s">
        <v>74</v>
      </c>
      <c r="AS613" s="2" t="s">
        <v>74</v>
      </c>
      <c r="AT613" s="2" t="s">
        <v>1038</v>
      </c>
      <c r="AU613" s="2">
        <v>2007</v>
      </c>
      <c r="AV613" s="2">
        <v>18</v>
      </c>
      <c r="AW613" s="2">
        <v>2</v>
      </c>
      <c r="AX613" s="2" t="s">
        <v>74</v>
      </c>
      <c r="AY613" s="2" t="s">
        <v>74</v>
      </c>
      <c r="AZ613" s="2" t="s">
        <v>74</v>
      </c>
      <c r="BA613" s="2" t="s">
        <v>74</v>
      </c>
      <c r="BB613" s="2">
        <v>318</v>
      </c>
      <c r="BC613" s="2">
        <v>323</v>
      </c>
      <c r="BD613" s="2" t="s">
        <v>74</v>
      </c>
      <c r="BE613" s="2" t="s">
        <v>1039</v>
      </c>
      <c r="BF613" s="2" t="str">
        <f>HYPERLINK("http://dx.doi.org/10.1093/beheco/arl093","http://dx.doi.org/10.1093/beheco/arl093")</f>
        <v>http://dx.doi.org/10.1093/beheco/arl093</v>
      </c>
      <c r="BG613" s="2" t="s">
        <v>74</v>
      </c>
      <c r="BH613" s="2" t="s">
        <v>74</v>
      </c>
      <c r="BI613" s="2" t="s">
        <v>74</v>
      </c>
      <c r="BJ613" s="2" t="s">
        <v>74</v>
      </c>
      <c r="BK613" s="2" t="s">
        <v>74</v>
      </c>
      <c r="BL613" s="2" t="s">
        <v>74</v>
      </c>
      <c r="BM613" s="2" t="s">
        <v>74</v>
      </c>
      <c r="BN613" s="2" t="s">
        <v>74</v>
      </c>
      <c r="BO613" s="2" t="s">
        <v>74</v>
      </c>
      <c r="BP613" s="2" t="s">
        <v>74</v>
      </c>
      <c r="BQ613" s="2" t="s">
        <v>74</v>
      </c>
      <c r="BR613" s="2" t="s">
        <v>74</v>
      </c>
      <c r="BS613" s="2" t="s">
        <v>1040</v>
      </c>
      <c r="BT613" s="2" t="str">
        <f>HYPERLINK("https%3A%2F%2Fwww.webofscience.com%2Fwos%2Fwoscc%2Ffull-record%2FWOS:000244658100007","View Full Record in Web of Science")</f>
        <v>View Full Record in Web of Science</v>
      </c>
    </row>
    <row r="614" spans="1:72" s="2" customFormat="1" x14ac:dyDescent="0.4">
      <c r="A614" s="2" t="s">
        <v>72</v>
      </c>
      <c r="B614" s="2" t="s">
        <v>2697</v>
      </c>
      <c r="C614" s="2" t="s">
        <v>74</v>
      </c>
      <c r="D614" s="2" t="s">
        <v>74</v>
      </c>
      <c r="E614" s="2" t="s">
        <v>74</v>
      </c>
      <c r="F614" s="2" t="s">
        <v>2698</v>
      </c>
      <c r="G614" s="2" t="s">
        <v>74</v>
      </c>
      <c r="H614" s="2" t="s">
        <v>74</v>
      </c>
      <c r="I614" s="2" t="s">
        <v>2699</v>
      </c>
      <c r="J614" s="2" t="s">
        <v>731</v>
      </c>
      <c r="K614" s="2" t="s">
        <v>74</v>
      </c>
      <c r="L614" s="2" t="s">
        <v>74</v>
      </c>
      <c r="M614" s="2" t="s">
        <v>74</v>
      </c>
      <c r="N614" s="2" t="s">
        <v>74</v>
      </c>
      <c r="O614" s="2" t="s">
        <v>74</v>
      </c>
      <c r="P614" s="2" t="s">
        <v>74</v>
      </c>
      <c r="Q614" s="2" t="s">
        <v>74</v>
      </c>
      <c r="R614" s="2" t="s">
        <v>74</v>
      </c>
      <c r="S614" s="2" t="s">
        <v>74</v>
      </c>
      <c r="T614" s="2" t="s">
        <v>74</v>
      </c>
      <c r="U614" s="2" t="s">
        <v>74</v>
      </c>
      <c r="V614" s="5" t="s">
        <v>2700</v>
      </c>
      <c r="W614" s="2" t="s">
        <v>74</v>
      </c>
      <c r="X614" s="2" t="s">
        <v>74</v>
      </c>
      <c r="Y614" s="2" t="s">
        <v>74</v>
      </c>
      <c r="Z614" s="2" t="s">
        <v>74</v>
      </c>
      <c r="AA614" s="2" t="s">
        <v>74</v>
      </c>
      <c r="AB614" s="2" t="s">
        <v>2701</v>
      </c>
      <c r="AC614" s="2" t="s">
        <v>74</v>
      </c>
      <c r="AD614" s="2" t="s">
        <v>74</v>
      </c>
      <c r="AE614" s="2" t="s">
        <v>74</v>
      </c>
      <c r="AF614" s="2" t="s">
        <v>74</v>
      </c>
      <c r="AG614" s="2" t="s">
        <v>74</v>
      </c>
      <c r="AH614" s="2" t="s">
        <v>74</v>
      </c>
      <c r="AI614" s="2" t="s">
        <v>74</v>
      </c>
      <c r="AJ614" s="2" t="s">
        <v>74</v>
      </c>
      <c r="AK614" s="2" t="s">
        <v>74</v>
      </c>
      <c r="AL614" s="2" t="s">
        <v>74</v>
      </c>
      <c r="AM614" s="2" t="s">
        <v>74</v>
      </c>
      <c r="AN614" s="2" t="s">
        <v>74</v>
      </c>
      <c r="AO614" s="2" t="s">
        <v>733</v>
      </c>
      <c r="AP614" s="2" t="s">
        <v>734</v>
      </c>
      <c r="AQ614" s="2" t="s">
        <v>74</v>
      </c>
      <c r="AR614" s="2" t="s">
        <v>74</v>
      </c>
      <c r="AS614" s="2" t="s">
        <v>74</v>
      </c>
      <c r="AT614" s="2" t="s">
        <v>2702</v>
      </c>
      <c r="AU614" s="2">
        <v>2007</v>
      </c>
      <c r="AV614" s="2">
        <v>183</v>
      </c>
      <c r="AW614" s="2">
        <v>1</v>
      </c>
      <c r="AX614" s="2" t="s">
        <v>74</v>
      </c>
      <c r="AY614" s="2" t="s">
        <v>74</v>
      </c>
      <c r="AZ614" s="2" t="s">
        <v>74</v>
      </c>
      <c r="BA614" s="2" t="s">
        <v>74</v>
      </c>
      <c r="BB614" s="2">
        <v>31</v>
      </c>
      <c r="BC614" s="2">
        <v>42</v>
      </c>
      <c r="BD614" s="2" t="s">
        <v>74</v>
      </c>
      <c r="BE614" s="2" t="s">
        <v>2703</v>
      </c>
      <c r="BF614" s="2" t="str">
        <f>HYPERLINK("http://dx.doi.org/10.1016/j.bbr.2007.05.021","http://dx.doi.org/10.1016/j.bbr.2007.05.021")</f>
        <v>http://dx.doi.org/10.1016/j.bbr.2007.05.021</v>
      </c>
      <c r="BG614" s="2" t="s">
        <v>74</v>
      </c>
      <c r="BH614" s="2" t="s">
        <v>74</v>
      </c>
      <c r="BI614" s="2" t="s">
        <v>74</v>
      </c>
      <c r="BJ614" s="2" t="s">
        <v>74</v>
      </c>
      <c r="BK614" s="2" t="s">
        <v>74</v>
      </c>
      <c r="BL614" s="2" t="s">
        <v>74</v>
      </c>
      <c r="BM614" s="2" t="s">
        <v>74</v>
      </c>
      <c r="BN614" s="2">
        <v>17602761</v>
      </c>
      <c r="BO614" s="2" t="s">
        <v>74</v>
      </c>
      <c r="BP614" s="2" t="s">
        <v>74</v>
      </c>
      <c r="BQ614" s="2" t="s">
        <v>74</v>
      </c>
      <c r="BR614" s="2" t="s">
        <v>74</v>
      </c>
      <c r="BS614" s="2" t="s">
        <v>2704</v>
      </c>
      <c r="BT614" s="2" t="str">
        <f>HYPERLINK("https%3A%2F%2Fwww.webofscience.com%2Fwos%2Fwoscc%2Ffull-record%2FWOS:000249511100005","View Full Record in Web of Science")</f>
        <v>View Full Record in Web of Science</v>
      </c>
    </row>
    <row r="615" spans="1:72" s="2" customFormat="1" x14ac:dyDescent="0.4">
      <c r="A615" s="2" t="s">
        <v>72</v>
      </c>
      <c r="B615" s="2" t="s">
        <v>4755</v>
      </c>
      <c r="C615" s="2" t="s">
        <v>74</v>
      </c>
      <c r="D615" s="2" t="s">
        <v>74</v>
      </c>
      <c r="E615" s="2" t="s">
        <v>74</v>
      </c>
      <c r="F615" s="2" t="s">
        <v>4756</v>
      </c>
      <c r="G615" s="2" t="s">
        <v>74</v>
      </c>
      <c r="H615" s="2" t="s">
        <v>74</v>
      </c>
      <c r="I615" s="2" t="s">
        <v>4757</v>
      </c>
      <c r="J615" s="2" t="s">
        <v>119</v>
      </c>
      <c r="K615" s="2" t="s">
        <v>74</v>
      </c>
      <c r="L615" s="2" t="s">
        <v>74</v>
      </c>
      <c r="M615" s="2" t="s">
        <v>74</v>
      </c>
      <c r="N615" s="2" t="s">
        <v>74</v>
      </c>
      <c r="O615" s="2" t="s">
        <v>74</v>
      </c>
      <c r="P615" s="2" t="s">
        <v>74</v>
      </c>
      <c r="Q615" s="2" t="s">
        <v>74</v>
      </c>
      <c r="R615" s="2" t="s">
        <v>74</v>
      </c>
      <c r="S615" s="2" t="s">
        <v>74</v>
      </c>
      <c r="T615" s="2" t="s">
        <v>74</v>
      </c>
      <c r="U615" s="2" t="s">
        <v>74</v>
      </c>
      <c r="V615" s="5" t="s">
        <v>4758</v>
      </c>
      <c r="W615" s="2" t="s">
        <v>74</v>
      </c>
      <c r="X615" s="2" t="s">
        <v>74</v>
      </c>
      <c r="Y615" s="2" t="s">
        <v>74</v>
      </c>
      <c r="Z615" s="2" t="s">
        <v>74</v>
      </c>
      <c r="AA615" s="2" t="s">
        <v>74</v>
      </c>
      <c r="AB615" s="2" t="s">
        <v>74</v>
      </c>
      <c r="AC615" s="2" t="s">
        <v>74</v>
      </c>
      <c r="AD615" s="2" t="s">
        <v>74</v>
      </c>
      <c r="AE615" s="2" t="s">
        <v>74</v>
      </c>
      <c r="AF615" s="2" t="s">
        <v>74</v>
      </c>
      <c r="AG615" s="2" t="s">
        <v>74</v>
      </c>
      <c r="AH615" s="2" t="s">
        <v>74</v>
      </c>
      <c r="AI615" s="2" t="s">
        <v>74</v>
      </c>
      <c r="AJ615" s="2" t="s">
        <v>74</v>
      </c>
      <c r="AK615" s="2" t="s">
        <v>74</v>
      </c>
      <c r="AL615" s="2" t="s">
        <v>74</v>
      </c>
      <c r="AM615" s="2" t="s">
        <v>74</v>
      </c>
      <c r="AN615" s="2" t="s">
        <v>74</v>
      </c>
      <c r="AO615" s="2" t="s">
        <v>121</v>
      </c>
      <c r="AP615" s="2" t="s">
        <v>122</v>
      </c>
      <c r="AQ615" s="2" t="s">
        <v>74</v>
      </c>
      <c r="AR615" s="2" t="s">
        <v>74</v>
      </c>
      <c r="AS615" s="2" t="s">
        <v>74</v>
      </c>
      <c r="AT615" s="2" t="s">
        <v>255</v>
      </c>
      <c r="AU615" s="2">
        <v>2021</v>
      </c>
      <c r="AV615" s="2">
        <v>182</v>
      </c>
      <c r="AW615" s="2" t="s">
        <v>74</v>
      </c>
      <c r="AX615" s="2" t="s">
        <v>74</v>
      </c>
      <c r="AY615" s="2" t="s">
        <v>74</v>
      </c>
      <c r="AZ615" s="2" t="s">
        <v>74</v>
      </c>
      <c r="BA615" s="2" t="s">
        <v>74</v>
      </c>
      <c r="BB615" s="2" t="s">
        <v>74</v>
      </c>
      <c r="BC615" s="2" t="s">
        <v>74</v>
      </c>
      <c r="BD615" s="2">
        <v>104294</v>
      </c>
      <c r="BE615" s="2" t="s">
        <v>4759</v>
      </c>
      <c r="BF615" s="2" t="str">
        <f>HYPERLINK("http://dx.doi.org/10.1016/j.beproc.2020.104294","http://dx.doi.org/10.1016/j.beproc.2020.104294")</f>
        <v>http://dx.doi.org/10.1016/j.beproc.2020.104294</v>
      </c>
      <c r="BG615" s="2" t="s">
        <v>74</v>
      </c>
      <c r="BH615" s="2" t="s">
        <v>74</v>
      </c>
      <c r="BI615" s="2" t="s">
        <v>74</v>
      </c>
      <c r="BJ615" s="2" t="s">
        <v>74</v>
      </c>
      <c r="BK615" s="2" t="s">
        <v>74</v>
      </c>
      <c r="BL615" s="2" t="s">
        <v>74</v>
      </c>
      <c r="BM615" s="2" t="s">
        <v>74</v>
      </c>
      <c r="BN615" s="2">
        <v>33290833</v>
      </c>
      <c r="BO615" s="2" t="s">
        <v>74</v>
      </c>
      <c r="BP615" s="2" t="s">
        <v>74</v>
      </c>
      <c r="BQ615" s="2" t="s">
        <v>74</v>
      </c>
      <c r="BR615" s="2" t="s">
        <v>74</v>
      </c>
      <c r="BS615" s="2" t="s">
        <v>4760</v>
      </c>
      <c r="BT615" s="2" t="str">
        <f>HYPERLINK("https%3A%2F%2Fwww.webofscience.com%2Fwos%2Fwoscc%2Ffull-record%2FWOS:000608124600001","View Full Record in Web of Science")</f>
        <v>View Full Record in Web of Science</v>
      </c>
    </row>
    <row r="616" spans="1:72" s="2" customFormat="1" x14ac:dyDescent="0.4">
      <c r="A616" s="2" t="s">
        <v>72</v>
      </c>
      <c r="B616" s="2" t="s">
        <v>4755</v>
      </c>
      <c r="C616" s="2" t="s">
        <v>74</v>
      </c>
      <c r="D616" s="2" t="s">
        <v>74</v>
      </c>
      <c r="E616" s="2" t="s">
        <v>74</v>
      </c>
      <c r="F616" s="2" t="s">
        <v>4755</v>
      </c>
      <c r="G616" s="2" t="s">
        <v>74</v>
      </c>
      <c r="H616" s="2" t="s">
        <v>74</v>
      </c>
      <c r="I616" s="2" t="s">
        <v>6068</v>
      </c>
      <c r="J616" s="2" t="s">
        <v>475</v>
      </c>
      <c r="K616" s="2" t="s">
        <v>74</v>
      </c>
      <c r="L616" s="2" t="s">
        <v>74</v>
      </c>
      <c r="M616" s="2" t="s">
        <v>74</v>
      </c>
      <c r="N616" s="2" t="s">
        <v>74</v>
      </c>
      <c r="O616" s="2" t="s">
        <v>74</v>
      </c>
      <c r="P616" s="2" t="s">
        <v>74</v>
      </c>
      <c r="Q616" s="2" t="s">
        <v>74</v>
      </c>
      <c r="R616" s="2" t="s">
        <v>74</v>
      </c>
      <c r="S616" s="2" t="s">
        <v>74</v>
      </c>
      <c r="T616" s="2" t="s">
        <v>74</v>
      </c>
      <c r="U616" s="2" t="s">
        <v>74</v>
      </c>
      <c r="V616" s="5" t="s">
        <v>6069</v>
      </c>
      <c r="W616" s="2" t="s">
        <v>74</v>
      </c>
      <c r="X616" s="2" t="s">
        <v>74</v>
      </c>
      <c r="Y616" s="2" t="s">
        <v>74</v>
      </c>
      <c r="Z616" s="2" t="s">
        <v>74</v>
      </c>
      <c r="AA616" s="2" t="s">
        <v>74</v>
      </c>
      <c r="AB616" s="2" t="s">
        <v>74</v>
      </c>
      <c r="AC616" s="2" t="s">
        <v>74</v>
      </c>
      <c r="AD616" s="2" t="s">
        <v>74</v>
      </c>
      <c r="AE616" s="2" t="s">
        <v>74</v>
      </c>
      <c r="AF616" s="2" t="s">
        <v>74</v>
      </c>
      <c r="AG616" s="2" t="s">
        <v>74</v>
      </c>
      <c r="AH616" s="2" t="s">
        <v>74</v>
      </c>
      <c r="AI616" s="2" t="s">
        <v>74</v>
      </c>
      <c r="AJ616" s="2" t="s">
        <v>74</v>
      </c>
      <c r="AK616" s="2" t="s">
        <v>74</v>
      </c>
      <c r="AL616" s="2" t="s">
        <v>74</v>
      </c>
      <c r="AM616" s="2" t="s">
        <v>74</v>
      </c>
      <c r="AN616" s="2" t="s">
        <v>74</v>
      </c>
      <c r="AO616" s="2" t="s">
        <v>477</v>
      </c>
      <c r="AP616" s="2" t="s">
        <v>74</v>
      </c>
      <c r="AQ616" s="2" t="s">
        <v>74</v>
      </c>
      <c r="AR616" s="2" t="s">
        <v>74</v>
      </c>
      <c r="AS616" s="2" t="s">
        <v>74</v>
      </c>
      <c r="AT616" s="2" t="s">
        <v>352</v>
      </c>
      <c r="AU616" s="2">
        <v>2002</v>
      </c>
      <c r="AV616" s="2">
        <v>128</v>
      </c>
      <c r="AW616" s="2">
        <v>2</v>
      </c>
      <c r="AX616" s="2" t="s">
        <v>74</v>
      </c>
      <c r="AY616" s="2" t="s">
        <v>74</v>
      </c>
      <c r="AZ616" s="2" t="s">
        <v>74</v>
      </c>
      <c r="BA616" s="2" t="s">
        <v>74</v>
      </c>
      <c r="BB616" s="2">
        <v>153</v>
      </c>
      <c r="BC616" s="2">
        <v>161</v>
      </c>
      <c r="BD616" s="2" t="s">
        <v>6070</v>
      </c>
      <c r="BE616" s="2" t="s">
        <v>6071</v>
      </c>
      <c r="BF616" s="2" t="str">
        <f>HYPERLINK("http://dx.doi.org/10.1016/S0016-6480(02)00077-1","http://dx.doi.org/10.1016/S0016-6480(02)00077-1")</f>
        <v>http://dx.doi.org/10.1016/S0016-6480(02)00077-1</v>
      </c>
      <c r="BG616" s="2" t="s">
        <v>74</v>
      </c>
      <c r="BH616" s="2" t="s">
        <v>74</v>
      </c>
      <c r="BI616" s="2" t="s">
        <v>74</v>
      </c>
      <c r="BJ616" s="2" t="s">
        <v>74</v>
      </c>
      <c r="BK616" s="2" t="s">
        <v>74</v>
      </c>
      <c r="BL616" s="2" t="s">
        <v>74</v>
      </c>
      <c r="BM616" s="2" t="s">
        <v>74</v>
      </c>
      <c r="BN616" s="2">
        <v>12392689</v>
      </c>
      <c r="BO616" s="2" t="s">
        <v>74</v>
      </c>
      <c r="BP616" s="2" t="s">
        <v>74</v>
      </c>
      <c r="BQ616" s="2" t="s">
        <v>74</v>
      </c>
      <c r="BR616" s="2" t="s">
        <v>74</v>
      </c>
      <c r="BS616" s="2" t="s">
        <v>6072</v>
      </c>
      <c r="BT616" s="2" t="str">
        <f>HYPERLINK("https%3A%2F%2Fwww.webofscience.com%2Fwos%2Fwoscc%2Ffull-record%2FWOS:000178785900008","View Full Record in Web of Science")</f>
        <v>View Full Record in Web of Science</v>
      </c>
    </row>
    <row r="617" spans="1:72" s="2" customFormat="1" x14ac:dyDescent="0.4">
      <c r="A617" s="2" t="s">
        <v>72</v>
      </c>
      <c r="B617" s="2" t="s">
        <v>8638</v>
      </c>
      <c r="C617" s="2" t="s">
        <v>74</v>
      </c>
      <c r="D617" s="2" t="s">
        <v>74</v>
      </c>
      <c r="E617" s="2" t="s">
        <v>74</v>
      </c>
      <c r="F617" s="2" t="s">
        <v>8638</v>
      </c>
      <c r="G617" s="2" t="s">
        <v>74</v>
      </c>
      <c r="H617" s="2" t="s">
        <v>74</v>
      </c>
      <c r="I617" s="2" t="s">
        <v>8639</v>
      </c>
      <c r="J617" s="2" t="s">
        <v>5814</v>
      </c>
      <c r="K617" s="2" t="s">
        <v>74</v>
      </c>
      <c r="L617" s="2" t="s">
        <v>74</v>
      </c>
      <c r="M617" s="2" t="s">
        <v>74</v>
      </c>
      <c r="N617" s="2" t="s">
        <v>74</v>
      </c>
      <c r="O617" s="2" t="s">
        <v>74</v>
      </c>
      <c r="P617" s="2" t="s">
        <v>74</v>
      </c>
      <c r="Q617" s="2" t="s">
        <v>74</v>
      </c>
      <c r="R617" s="2" t="s">
        <v>74</v>
      </c>
      <c r="S617" s="2" t="s">
        <v>74</v>
      </c>
      <c r="T617" s="2" t="s">
        <v>74</v>
      </c>
      <c r="U617" s="2" t="s">
        <v>74</v>
      </c>
      <c r="V617" s="5" t="s">
        <v>8640</v>
      </c>
      <c r="W617" s="2" t="s">
        <v>74</v>
      </c>
      <c r="X617" s="2" t="s">
        <v>74</v>
      </c>
      <c r="Y617" s="2" t="s">
        <v>74</v>
      </c>
      <c r="Z617" s="2" t="s">
        <v>74</v>
      </c>
      <c r="AA617" s="2" t="s">
        <v>8641</v>
      </c>
      <c r="AB617" s="2" t="s">
        <v>8642</v>
      </c>
      <c r="AC617" s="2" t="s">
        <v>74</v>
      </c>
      <c r="AD617" s="2" t="s">
        <v>74</v>
      </c>
      <c r="AE617" s="2" t="s">
        <v>74</v>
      </c>
      <c r="AF617" s="2" t="s">
        <v>74</v>
      </c>
      <c r="AG617" s="2" t="s">
        <v>74</v>
      </c>
      <c r="AH617" s="2" t="s">
        <v>74</v>
      </c>
      <c r="AI617" s="2" t="s">
        <v>74</v>
      </c>
      <c r="AJ617" s="2" t="s">
        <v>74</v>
      </c>
      <c r="AK617" s="2" t="s">
        <v>74</v>
      </c>
      <c r="AL617" s="2" t="s">
        <v>74</v>
      </c>
      <c r="AM617" s="2" t="s">
        <v>74</v>
      </c>
      <c r="AN617" s="2" t="s">
        <v>74</v>
      </c>
      <c r="AO617" s="2" t="s">
        <v>8643</v>
      </c>
      <c r="AP617" s="2" t="s">
        <v>74</v>
      </c>
      <c r="AQ617" s="2" t="s">
        <v>74</v>
      </c>
      <c r="AR617" s="2" t="s">
        <v>74</v>
      </c>
      <c r="AS617" s="2" t="s">
        <v>74</v>
      </c>
      <c r="AT617" s="2" t="s">
        <v>74</v>
      </c>
      <c r="AU617" s="2">
        <v>2000</v>
      </c>
      <c r="AV617" s="2">
        <v>97</v>
      </c>
      <c r="AW617" s="2">
        <v>1</v>
      </c>
      <c r="AX617" s="2" t="s">
        <v>74</v>
      </c>
      <c r="AY617" s="2" t="s">
        <v>74</v>
      </c>
      <c r="AZ617" s="2" t="s">
        <v>74</v>
      </c>
      <c r="BA617" s="2" t="s">
        <v>74</v>
      </c>
      <c r="BB617" s="2">
        <v>33</v>
      </c>
      <c r="BC617" s="2">
        <v>40</v>
      </c>
      <c r="BD617" s="2" t="s">
        <v>74</v>
      </c>
      <c r="BE617" s="2" t="s">
        <v>8644</v>
      </c>
      <c r="BF617" s="2" t="str">
        <f>HYPERLINK("http://dx.doi.org/10.14411/eje.2000.009","http://dx.doi.org/10.14411/eje.2000.009")</f>
        <v>http://dx.doi.org/10.14411/eje.2000.009</v>
      </c>
      <c r="BG617" s="2" t="s">
        <v>74</v>
      </c>
      <c r="BH617" s="2" t="s">
        <v>74</v>
      </c>
      <c r="BI617" s="2" t="s">
        <v>74</v>
      </c>
      <c r="BJ617" s="2" t="s">
        <v>74</v>
      </c>
      <c r="BK617" s="2" t="s">
        <v>74</v>
      </c>
      <c r="BL617" s="2" t="s">
        <v>74</v>
      </c>
      <c r="BM617" s="2" t="s">
        <v>74</v>
      </c>
      <c r="BN617" s="2" t="s">
        <v>74</v>
      </c>
      <c r="BO617" s="2" t="s">
        <v>74</v>
      </c>
      <c r="BP617" s="2" t="s">
        <v>74</v>
      </c>
      <c r="BQ617" s="2" t="s">
        <v>74</v>
      </c>
      <c r="BR617" s="2" t="s">
        <v>74</v>
      </c>
      <c r="BS617" s="2" t="s">
        <v>8645</v>
      </c>
      <c r="BT617" s="2" t="str">
        <f>HYPERLINK("https%3A%2F%2Fwww.webofscience.com%2Fwos%2Fwoscc%2Ffull-record%2FWOS:000087497200006","View Full Record in Web of Science")</f>
        <v>View Full Record in Web of Science</v>
      </c>
    </row>
    <row r="618" spans="1:72" s="2" customFormat="1" x14ac:dyDescent="0.4">
      <c r="A618" s="2" t="s">
        <v>72</v>
      </c>
      <c r="B618" s="2" t="s">
        <v>6312</v>
      </c>
      <c r="C618" s="2" t="s">
        <v>74</v>
      </c>
      <c r="D618" s="2" t="s">
        <v>74</v>
      </c>
      <c r="E618" s="2" t="s">
        <v>74</v>
      </c>
      <c r="F618" s="2" t="s">
        <v>6313</v>
      </c>
      <c r="G618" s="2" t="s">
        <v>74</v>
      </c>
      <c r="H618" s="2" t="s">
        <v>74</v>
      </c>
      <c r="I618" s="2" t="s">
        <v>6314</v>
      </c>
      <c r="J618" s="2" t="s">
        <v>333</v>
      </c>
      <c r="K618" s="2" t="s">
        <v>74</v>
      </c>
      <c r="L618" s="2" t="s">
        <v>74</v>
      </c>
      <c r="M618" s="2" t="s">
        <v>74</v>
      </c>
      <c r="N618" s="2" t="s">
        <v>74</v>
      </c>
      <c r="O618" s="2" t="s">
        <v>74</v>
      </c>
      <c r="P618" s="2" t="s">
        <v>74</v>
      </c>
      <c r="Q618" s="2" t="s">
        <v>74</v>
      </c>
      <c r="R618" s="2" t="s">
        <v>74</v>
      </c>
      <c r="S618" s="2" t="s">
        <v>74</v>
      </c>
      <c r="T618" s="2" t="s">
        <v>74</v>
      </c>
      <c r="U618" s="2" t="s">
        <v>74</v>
      </c>
      <c r="V618" s="5" t="s">
        <v>6315</v>
      </c>
      <c r="W618" s="2" t="s">
        <v>74</v>
      </c>
      <c r="X618" s="2" t="s">
        <v>74</v>
      </c>
      <c r="Y618" s="2" t="s">
        <v>74</v>
      </c>
      <c r="Z618" s="2" t="s">
        <v>74</v>
      </c>
      <c r="AA618" s="2" t="s">
        <v>74</v>
      </c>
      <c r="AB618" s="2" t="s">
        <v>74</v>
      </c>
      <c r="AC618" s="2" t="s">
        <v>74</v>
      </c>
      <c r="AD618" s="2" t="s">
        <v>74</v>
      </c>
      <c r="AE618" s="2" t="s">
        <v>74</v>
      </c>
      <c r="AF618" s="2" t="s">
        <v>74</v>
      </c>
      <c r="AG618" s="2" t="s">
        <v>74</v>
      </c>
      <c r="AH618" s="2" t="s">
        <v>74</v>
      </c>
      <c r="AI618" s="2" t="s">
        <v>74</v>
      </c>
      <c r="AJ618" s="2" t="s">
        <v>74</v>
      </c>
      <c r="AK618" s="2" t="s">
        <v>74</v>
      </c>
      <c r="AL618" s="2" t="s">
        <v>74</v>
      </c>
      <c r="AM618" s="2" t="s">
        <v>74</v>
      </c>
      <c r="AN618" s="2" t="s">
        <v>74</v>
      </c>
      <c r="AO618" s="2" t="s">
        <v>337</v>
      </c>
      <c r="AP618" s="2" t="s">
        <v>338</v>
      </c>
      <c r="AQ618" s="2" t="s">
        <v>74</v>
      </c>
      <c r="AR618" s="2" t="s">
        <v>74</v>
      </c>
      <c r="AS618" s="2" t="s">
        <v>74</v>
      </c>
      <c r="AT618" s="2" t="s">
        <v>1038</v>
      </c>
      <c r="AU618" s="2">
        <v>2018</v>
      </c>
      <c r="AV618" s="2">
        <v>29</v>
      </c>
      <c r="AW618" s="2">
        <v>2</v>
      </c>
      <c r="AX618" s="2" t="s">
        <v>74</v>
      </c>
      <c r="AY618" s="2" t="s">
        <v>74</v>
      </c>
      <c r="AZ618" s="2" t="s">
        <v>74</v>
      </c>
      <c r="BA618" s="2" t="s">
        <v>74</v>
      </c>
      <c r="BB618" s="2">
        <v>289</v>
      </c>
      <c r="BC618" s="2">
        <v>300</v>
      </c>
      <c r="BD618" s="2" t="s">
        <v>74</v>
      </c>
      <c r="BE618" s="2" t="s">
        <v>6316</v>
      </c>
      <c r="BF618" s="2" t="str">
        <f>HYPERLINK("http://dx.doi.org/10.1093/beheco/arx180","http://dx.doi.org/10.1093/beheco/arx180")</f>
        <v>http://dx.doi.org/10.1093/beheco/arx180</v>
      </c>
      <c r="BG618" s="2" t="s">
        <v>74</v>
      </c>
      <c r="BH618" s="2" t="s">
        <v>74</v>
      </c>
      <c r="BI618" s="2" t="s">
        <v>74</v>
      </c>
      <c r="BJ618" s="2" t="s">
        <v>74</v>
      </c>
      <c r="BK618" s="2" t="s">
        <v>74</v>
      </c>
      <c r="BL618" s="2" t="s">
        <v>74</v>
      </c>
      <c r="BM618" s="2" t="s">
        <v>74</v>
      </c>
      <c r="BN618" s="2" t="s">
        <v>74</v>
      </c>
      <c r="BO618" s="2" t="s">
        <v>74</v>
      </c>
      <c r="BP618" s="2" t="s">
        <v>74</v>
      </c>
      <c r="BQ618" s="2" t="s">
        <v>74</v>
      </c>
      <c r="BR618" s="2" t="s">
        <v>74</v>
      </c>
      <c r="BS618" s="2" t="s">
        <v>6317</v>
      </c>
      <c r="BT618" s="2" t="str">
        <f>HYPERLINK("https%3A%2F%2Fwww.webofscience.com%2Fwos%2Fwoscc%2Ffull-record%2FWOS:000427885600008","View Full Record in Web of Science")</f>
        <v>View Full Record in Web of Science</v>
      </c>
    </row>
    <row r="619" spans="1:72" s="2" customFormat="1" x14ac:dyDescent="0.4">
      <c r="A619" s="2" t="s">
        <v>72</v>
      </c>
      <c r="B619" s="2" t="s">
        <v>1133</v>
      </c>
      <c r="C619" s="2" t="s">
        <v>74</v>
      </c>
      <c r="D619" s="2" t="s">
        <v>74</v>
      </c>
      <c r="E619" s="2" t="s">
        <v>74</v>
      </c>
      <c r="F619" s="2" t="s">
        <v>1133</v>
      </c>
      <c r="G619" s="2" t="s">
        <v>74</v>
      </c>
      <c r="H619" s="2" t="s">
        <v>74</v>
      </c>
      <c r="I619" s="2" t="s">
        <v>1134</v>
      </c>
      <c r="J619" s="2" t="s">
        <v>1135</v>
      </c>
      <c r="K619" s="2" t="s">
        <v>74</v>
      </c>
      <c r="L619" s="2" t="s">
        <v>74</v>
      </c>
      <c r="M619" s="2" t="s">
        <v>74</v>
      </c>
      <c r="N619" s="2" t="s">
        <v>74</v>
      </c>
      <c r="O619" s="2" t="s">
        <v>74</v>
      </c>
      <c r="P619" s="2" t="s">
        <v>74</v>
      </c>
      <c r="Q619" s="2" t="s">
        <v>74</v>
      </c>
      <c r="R619" s="2" t="s">
        <v>74</v>
      </c>
      <c r="S619" s="2" t="s">
        <v>74</v>
      </c>
      <c r="T619" s="2" t="s">
        <v>74</v>
      </c>
      <c r="U619" s="2" t="s">
        <v>74</v>
      </c>
      <c r="V619" s="5" t="s">
        <v>1136</v>
      </c>
      <c r="W619" s="2" t="s">
        <v>74</v>
      </c>
      <c r="X619" s="2" t="s">
        <v>74</v>
      </c>
      <c r="Y619" s="2" t="s">
        <v>74</v>
      </c>
      <c r="Z619" s="2" t="s">
        <v>74</v>
      </c>
      <c r="AA619" s="2" t="s">
        <v>74</v>
      </c>
      <c r="AB619" s="2" t="s">
        <v>74</v>
      </c>
      <c r="AC619" s="2" t="s">
        <v>74</v>
      </c>
      <c r="AD619" s="2" t="s">
        <v>74</v>
      </c>
      <c r="AE619" s="2" t="s">
        <v>74</v>
      </c>
      <c r="AF619" s="2" t="s">
        <v>74</v>
      </c>
      <c r="AG619" s="2" t="s">
        <v>74</v>
      </c>
      <c r="AH619" s="2" t="s">
        <v>74</v>
      </c>
      <c r="AI619" s="2" t="s">
        <v>74</v>
      </c>
      <c r="AJ619" s="2" t="s">
        <v>74</v>
      </c>
      <c r="AK619" s="2" t="s">
        <v>74</v>
      </c>
      <c r="AL619" s="2" t="s">
        <v>74</v>
      </c>
      <c r="AM619" s="2" t="s">
        <v>74</v>
      </c>
      <c r="AN619" s="2" t="s">
        <v>74</v>
      </c>
      <c r="AO619" s="2" t="s">
        <v>1137</v>
      </c>
      <c r="AP619" s="2" t="s">
        <v>74</v>
      </c>
      <c r="AQ619" s="2" t="s">
        <v>74</v>
      </c>
      <c r="AR619" s="2" t="s">
        <v>74</v>
      </c>
      <c r="AS619" s="2" t="s">
        <v>74</v>
      </c>
      <c r="AT619" s="2" t="s">
        <v>305</v>
      </c>
      <c r="AU619" s="2">
        <v>1988</v>
      </c>
      <c r="AV619" s="2">
        <v>19</v>
      </c>
      <c r="AW619" s="2">
        <v>4</v>
      </c>
      <c r="AX619" s="2" t="s">
        <v>74</v>
      </c>
      <c r="AY619" s="2" t="s">
        <v>74</v>
      </c>
      <c r="AZ619" s="2" t="s">
        <v>74</v>
      </c>
      <c r="BA619" s="2" t="s">
        <v>74</v>
      </c>
      <c r="BB619" s="2">
        <v>287</v>
      </c>
      <c r="BC619" s="2">
        <v>289</v>
      </c>
      <c r="BD619" s="2" t="s">
        <v>74</v>
      </c>
      <c r="BE619" s="2" t="s">
        <v>1138</v>
      </c>
      <c r="BF619" s="2" t="str">
        <f>HYPERLINK("http://dx.doi.org/10.2307/3676723","http://dx.doi.org/10.2307/3676723")</f>
        <v>http://dx.doi.org/10.2307/3676723</v>
      </c>
      <c r="BG619" s="2" t="s">
        <v>74</v>
      </c>
      <c r="BH619" s="2" t="s">
        <v>74</v>
      </c>
      <c r="BI619" s="2" t="s">
        <v>74</v>
      </c>
      <c r="BJ619" s="2" t="s">
        <v>74</v>
      </c>
      <c r="BK619" s="2" t="s">
        <v>74</v>
      </c>
      <c r="BL619" s="2" t="s">
        <v>74</v>
      </c>
      <c r="BM619" s="2" t="s">
        <v>74</v>
      </c>
      <c r="BN619" s="2" t="s">
        <v>74</v>
      </c>
      <c r="BO619" s="2" t="s">
        <v>74</v>
      </c>
      <c r="BP619" s="2" t="s">
        <v>74</v>
      </c>
      <c r="BQ619" s="2" t="s">
        <v>74</v>
      </c>
      <c r="BR619" s="2" t="s">
        <v>74</v>
      </c>
      <c r="BS619" s="2" t="s">
        <v>1139</v>
      </c>
      <c r="BT619" s="2" t="str">
        <f>HYPERLINK("https%3A%2F%2Fwww.webofscience.com%2Fwos%2Fwoscc%2Ffull-record%2FWOS:A1988R388700006","View Full Record in Web of Science")</f>
        <v>View Full Record in Web of Science</v>
      </c>
    </row>
    <row r="620" spans="1:72" s="2" customFormat="1" x14ac:dyDescent="0.4">
      <c r="A620" s="2" t="s">
        <v>72</v>
      </c>
      <c r="B620" s="2" t="s">
        <v>7034</v>
      </c>
      <c r="C620" s="2" t="s">
        <v>74</v>
      </c>
      <c r="D620" s="2" t="s">
        <v>74</v>
      </c>
      <c r="E620" s="2" t="s">
        <v>74</v>
      </c>
      <c r="F620" s="2" t="s">
        <v>7034</v>
      </c>
      <c r="G620" s="2" t="s">
        <v>74</v>
      </c>
      <c r="H620" s="2" t="s">
        <v>74</v>
      </c>
      <c r="I620" s="2" t="s">
        <v>7035</v>
      </c>
      <c r="J620" s="2" t="s">
        <v>333</v>
      </c>
      <c r="K620" s="2" t="s">
        <v>74</v>
      </c>
      <c r="L620" s="2" t="s">
        <v>74</v>
      </c>
      <c r="M620" s="2" t="s">
        <v>74</v>
      </c>
      <c r="N620" s="2" t="s">
        <v>74</v>
      </c>
      <c r="O620" s="2" t="s">
        <v>74</v>
      </c>
      <c r="P620" s="2" t="s">
        <v>74</v>
      </c>
      <c r="Q620" s="2" t="s">
        <v>74</v>
      </c>
      <c r="R620" s="2" t="s">
        <v>74</v>
      </c>
      <c r="S620" s="2" t="s">
        <v>74</v>
      </c>
      <c r="T620" s="2" t="s">
        <v>74</v>
      </c>
      <c r="U620" s="2" t="s">
        <v>74</v>
      </c>
      <c r="V620" s="5" t="s">
        <v>7036</v>
      </c>
      <c r="W620" s="2" t="s">
        <v>74</v>
      </c>
      <c r="X620" s="2" t="s">
        <v>74</v>
      </c>
      <c r="Y620" s="2" t="s">
        <v>74</v>
      </c>
      <c r="Z620" s="2" t="s">
        <v>74</v>
      </c>
      <c r="AA620" s="2" t="s">
        <v>74</v>
      </c>
      <c r="AB620" s="2" t="s">
        <v>74</v>
      </c>
      <c r="AC620" s="2" t="s">
        <v>74</v>
      </c>
      <c r="AD620" s="2" t="s">
        <v>74</v>
      </c>
      <c r="AE620" s="2" t="s">
        <v>74</v>
      </c>
      <c r="AF620" s="2" t="s">
        <v>74</v>
      </c>
      <c r="AG620" s="2" t="s">
        <v>74</v>
      </c>
      <c r="AH620" s="2" t="s">
        <v>74</v>
      </c>
      <c r="AI620" s="2" t="s">
        <v>74</v>
      </c>
      <c r="AJ620" s="2" t="s">
        <v>74</v>
      </c>
      <c r="AK620" s="2" t="s">
        <v>74</v>
      </c>
      <c r="AL620" s="2" t="s">
        <v>74</v>
      </c>
      <c r="AM620" s="2" t="s">
        <v>74</v>
      </c>
      <c r="AN620" s="2" t="s">
        <v>74</v>
      </c>
      <c r="AO620" s="2" t="s">
        <v>337</v>
      </c>
      <c r="AP620" s="2" t="s">
        <v>338</v>
      </c>
      <c r="AQ620" s="2" t="s">
        <v>74</v>
      </c>
      <c r="AR620" s="2" t="s">
        <v>74</v>
      </c>
      <c r="AS620" s="2" t="s">
        <v>74</v>
      </c>
      <c r="AT620" s="2" t="s">
        <v>213</v>
      </c>
      <c r="AU620" s="2">
        <v>2004</v>
      </c>
      <c r="AV620" s="2">
        <v>15</v>
      </c>
      <c r="AW620" s="2">
        <v>6</v>
      </c>
      <c r="AX620" s="2" t="s">
        <v>74</v>
      </c>
      <c r="AY620" s="2" t="s">
        <v>74</v>
      </c>
      <c r="AZ620" s="2" t="s">
        <v>74</v>
      </c>
      <c r="BA620" s="2" t="s">
        <v>74</v>
      </c>
      <c r="BB620" s="2">
        <v>946</v>
      </c>
      <c r="BC620" s="2">
        <v>951</v>
      </c>
      <c r="BD620" s="2" t="s">
        <v>74</v>
      </c>
      <c r="BE620" s="2" t="s">
        <v>7037</v>
      </c>
      <c r="BF620" s="2" t="str">
        <f>HYPERLINK("http://dx.doi.org/10.1093/beheco/arh078","http://dx.doi.org/10.1093/beheco/arh078")</f>
        <v>http://dx.doi.org/10.1093/beheco/arh078</v>
      </c>
      <c r="BG620" s="2" t="s">
        <v>74</v>
      </c>
      <c r="BH620" s="2" t="s">
        <v>74</v>
      </c>
      <c r="BI620" s="2" t="s">
        <v>74</v>
      </c>
      <c r="BJ620" s="2" t="s">
        <v>74</v>
      </c>
      <c r="BK620" s="2" t="s">
        <v>74</v>
      </c>
      <c r="BL620" s="2" t="s">
        <v>74</v>
      </c>
      <c r="BM620" s="2" t="s">
        <v>74</v>
      </c>
      <c r="BN620" s="2" t="s">
        <v>74</v>
      </c>
      <c r="BO620" s="2" t="s">
        <v>74</v>
      </c>
      <c r="BP620" s="2" t="s">
        <v>74</v>
      </c>
      <c r="BQ620" s="2" t="s">
        <v>74</v>
      </c>
      <c r="BR620" s="2" t="s">
        <v>74</v>
      </c>
      <c r="BS620" s="2" t="s">
        <v>7038</v>
      </c>
      <c r="BT620" s="2" t="str">
        <f>HYPERLINK("https%3A%2F%2Fwww.webofscience.com%2Fwos%2Fwoscc%2Ffull-record%2FWOS:000224482000008","View Full Record in Web of Science")</f>
        <v>View Full Record in Web of Science</v>
      </c>
    </row>
    <row r="621" spans="1:72" s="2" customFormat="1" x14ac:dyDescent="0.4">
      <c r="A621" s="2" t="s">
        <v>72</v>
      </c>
      <c r="B621" s="2" t="s">
        <v>6269</v>
      </c>
      <c r="C621" s="2" t="s">
        <v>74</v>
      </c>
      <c r="D621" s="2" t="s">
        <v>74</v>
      </c>
      <c r="E621" s="2" t="s">
        <v>74</v>
      </c>
      <c r="F621" s="2" t="s">
        <v>6270</v>
      </c>
      <c r="G621" s="2" t="s">
        <v>74</v>
      </c>
      <c r="H621" s="2" t="s">
        <v>74</v>
      </c>
      <c r="I621" s="2" t="s">
        <v>6271</v>
      </c>
      <c r="J621" s="2" t="s">
        <v>654</v>
      </c>
      <c r="K621" s="2" t="s">
        <v>74</v>
      </c>
      <c r="L621" s="2" t="s">
        <v>74</v>
      </c>
      <c r="M621" s="2" t="s">
        <v>74</v>
      </c>
      <c r="N621" s="2" t="s">
        <v>74</v>
      </c>
      <c r="O621" s="2" t="s">
        <v>74</v>
      </c>
      <c r="P621" s="2" t="s">
        <v>74</v>
      </c>
      <c r="Q621" s="2" t="s">
        <v>74</v>
      </c>
      <c r="R621" s="2" t="s">
        <v>74</v>
      </c>
      <c r="S621" s="2" t="s">
        <v>74</v>
      </c>
      <c r="T621" s="2" t="s">
        <v>74</v>
      </c>
      <c r="U621" s="2" t="s">
        <v>74</v>
      </c>
      <c r="V621" s="5" t="s">
        <v>6272</v>
      </c>
      <c r="W621" s="2" t="s">
        <v>74</v>
      </c>
      <c r="X621" s="2" t="s">
        <v>74</v>
      </c>
      <c r="Y621" s="2" t="s">
        <v>74</v>
      </c>
      <c r="Z621" s="2" t="s">
        <v>74</v>
      </c>
      <c r="AA621" s="2" t="s">
        <v>74</v>
      </c>
      <c r="AB621" s="2" t="s">
        <v>6273</v>
      </c>
      <c r="AC621" s="2" t="s">
        <v>74</v>
      </c>
      <c r="AD621" s="2" t="s">
        <v>74</v>
      </c>
      <c r="AE621" s="2" t="s">
        <v>74</v>
      </c>
      <c r="AF621" s="2" t="s">
        <v>74</v>
      </c>
      <c r="AG621" s="2" t="s">
        <v>74</v>
      </c>
      <c r="AH621" s="2" t="s">
        <v>74</v>
      </c>
      <c r="AI621" s="2" t="s">
        <v>74</v>
      </c>
      <c r="AJ621" s="2" t="s">
        <v>74</v>
      </c>
      <c r="AK621" s="2" t="s">
        <v>74</v>
      </c>
      <c r="AL621" s="2" t="s">
        <v>74</v>
      </c>
      <c r="AM621" s="2" t="s">
        <v>74</v>
      </c>
      <c r="AN621" s="2" t="s">
        <v>74</v>
      </c>
      <c r="AO621" s="2" t="s">
        <v>658</v>
      </c>
      <c r="AP621" s="2" t="s">
        <v>74</v>
      </c>
      <c r="AQ621" s="2" t="s">
        <v>74</v>
      </c>
      <c r="AR621" s="2" t="s">
        <v>74</v>
      </c>
      <c r="AS621" s="2" t="s">
        <v>74</v>
      </c>
      <c r="AT621" s="2" t="s">
        <v>145</v>
      </c>
      <c r="AU621" s="2">
        <v>2021</v>
      </c>
      <c r="AV621" s="2">
        <v>11</v>
      </c>
      <c r="AW621" s="2">
        <v>16</v>
      </c>
      <c r="AX621" s="2" t="s">
        <v>74</v>
      </c>
      <c r="AY621" s="2" t="s">
        <v>74</v>
      </c>
      <c r="AZ621" s="2" t="s">
        <v>74</v>
      </c>
      <c r="BA621" s="2" t="s">
        <v>74</v>
      </c>
      <c r="BB621" s="2">
        <v>11038</v>
      </c>
      <c r="BC621" s="2">
        <v>11050</v>
      </c>
      <c r="BD621" s="2" t="s">
        <v>74</v>
      </c>
      <c r="BE621" s="2" t="s">
        <v>6274</v>
      </c>
      <c r="BF621" s="2" t="str">
        <f>HYPERLINK("http://dx.doi.org/10.1002/ece3.7892","http://dx.doi.org/10.1002/ece3.7892")</f>
        <v>http://dx.doi.org/10.1002/ece3.7892</v>
      </c>
      <c r="BG621" s="2" t="s">
        <v>74</v>
      </c>
      <c r="BH621" s="2" t="s">
        <v>3826</v>
      </c>
      <c r="BI621" s="2" t="s">
        <v>74</v>
      </c>
      <c r="BJ621" s="2" t="s">
        <v>74</v>
      </c>
      <c r="BK621" s="2" t="s">
        <v>74</v>
      </c>
      <c r="BL621" s="2" t="s">
        <v>74</v>
      </c>
      <c r="BM621" s="2" t="s">
        <v>74</v>
      </c>
      <c r="BN621" s="2">
        <v>34429901</v>
      </c>
      <c r="BO621" s="2" t="s">
        <v>74</v>
      </c>
      <c r="BP621" s="2" t="s">
        <v>74</v>
      </c>
      <c r="BQ621" s="2" t="s">
        <v>74</v>
      </c>
      <c r="BR621" s="2" t="s">
        <v>74</v>
      </c>
      <c r="BS621" s="2" t="s">
        <v>6275</v>
      </c>
      <c r="BT621" s="2" t="str">
        <f>HYPERLINK("https%3A%2F%2Fwww.webofscience.com%2Fwos%2Fwoscc%2Ffull-record%2FWOS:000670837800001","View Full Record in Web of Science")</f>
        <v>View Full Record in Web of Science</v>
      </c>
    </row>
    <row r="622" spans="1:72" s="2" customFormat="1" x14ac:dyDescent="0.4">
      <c r="A622" s="2" t="s">
        <v>72</v>
      </c>
      <c r="B622" s="2" t="s">
        <v>8184</v>
      </c>
      <c r="C622" s="2" t="s">
        <v>74</v>
      </c>
      <c r="D622" s="2" t="s">
        <v>74</v>
      </c>
      <c r="E622" s="2" t="s">
        <v>74</v>
      </c>
      <c r="F622" s="2" t="s">
        <v>8184</v>
      </c>
      <c r="G622" s="2" t="s">
        <v>74</v>
      </c>
      <c r="H622" s="2" t="s">
        <v>74</v>
      </c>
      <c r="I622" s="2" t="s">
        <v>8185</v>
      </c>
      <c r="J622" s="2" t="s">
        <v>8186</v>
      </c>
      <c r="K622" s="2" t="s">
        <v>74</v>
      </c>
      <c r="L622" s="2" t="s">
        <v>74</v>
      </c>
      <c r="M622" s="2" t="s">
        <v>74</v>
      </c>
      <c r="N622" s="2" t="s">
        <v>74</v>
      </c>
      <c r="O622" s="2" t="s">
        <v>74</v>
      </c>
      <c r="P622" s="2" t="s">
        <v>74</v>
      </c>
      <c r="Q622" s="2" t="s">
        <v>74</v>
      </c>
      <c r="R622" s="2" t="s">
        <v>74</v>
      </c>
      <c r="S622" s="2" t="s">
        <v>74</v>
      </c>
      <c r="T622" s="2" t="s">
        <v>74</v>
      </c>
      <c r="U622" s="2" t="s">
        <v>74</v>
      </c>
      <c r="V622" s="5" t="s">
        <v>8187</v>
      </c>
      <c r="W622" s="2" t="s">
        <v>74</v>
      </c>
      <c r="X622" s="2" t="s">
        <v>74</v>
      </c>
      <c r="Y622" s="2" t="s">
        <v>74</v>
      </c>
      <c r="Z622" s="2" t="s">
        <v>74</v>
      </c>
      <c r="AA622" s="2" t="s">
        <v>8188</v>
      </c>
      <c r="AB622" s="2" t="s">
        <v>8189</v>
      </c>
      <c r="AC622" s="2" t="s">
        <v>74</v>
      </c>
      <c r="AD622" s="2" t="s">
        <v>74</v>
      </c>
      <c r="AE622" s="2" t="s">
        <v>74</v>
      </c>
      <c r="AF622" s="2" t="s">
        <v>74</v>
      </c>
      <c r="AG622" s="2" t="s">
        <v>74</v>
      </c>
      <c r="AH622" s="2" t="s">
        <v>74</v>
      </c>
      <c r="AI622" s="2" t="s">
        <v>74</v>
      </c>
      <c r="AJ622" s="2" t="s">
        <v>74</v>
      </c>
      <c r="AK622" s="2" t="s">
        <v>74</v>
      </c>
      <c r="AL622" s="2" t="s">
        <v>74</v>
      </c>
      <c r="AM622" s="2" t="s">
        <v>74</v>
      </c>
      <c r="AN622" s="2" t="s">
        <v>74</v>
      </c>
      <c r="AO622" s="2" t="s">
        <v>8190</v>
      </c>
      <c r="AP622" s="2" t="s">
        <v>8191</v>
      </c>
      <c r="AQ622" s="2" t="s">
        <v>74</v>
      </c>
      <c r="AR622" s="2" t="s">
        <v>74</v>
      </c>
      <c r="AS622" s="2" t="s">
        <v>74</v>
      </c>
      <c r="AT622" s="2" t="s">
        <v>352</v>
      </c>
      <c r="AU622" s="2">
        <v>2004</v>
      </c>
      <c r="AV622" s="2">
        <v>82</v>
      </c>
      <c r="AW622" s="2">
        <v>2</v>
      </c>
      <c r="AX622" s="2" t="s">
        <v>74</v>
      </c>
      <c r="AY622" s="2" t="s">
        <v>74</v>
      </c>
      <c r="AZ622" s="2" t="s">
        <v>74</v>
      </c>
      <c r="BA622" s="2" t="s">
        <v>74</v>
      </c>
      <c r="BB622" s="2">
        <v>99</v>
      </c>
      <c r="BC622" s="2">
        <v>108</v>
      </c>
      <c r="BD622" s="2" t="s">
        <v>74</v>
      </c>
      <c r="BE622" s="2" t="s">
        <v>8192</v>
      </c>
      <c r="BF622" s="2" t="str">
        <f>HYPERLINK("http://dx.doi.org/10.1016/j.nlm.2004.05.001","http://dx.doi.org/10.1016/j.nlm.2004.05.001")</f>
        <v>http://dx.doi.org/10.1016/j.nlm.2004.05.001</v>
      </c>
      <c r="BG622" s="2" t="s">
        <v>74</v>
      </c>
      <c r="BH622" s="2" t="s">
        <v>74</v>
      </c>
      <c r="BI622" s="2" t="s">
        <v>74</v>
      </c>
      <c r="BJ622" s="2" t="s">
        <v>74</v>
      </c>
      <c r="BK622" s="2" t="s">
        <v>74</v>
      </c>
      <c r="BL622" s="2" t="s">
        <v>74</v>
      </c>
      <c r="BM622" s="2" t="s">
        <v>74</v>
      </c>
      <c r="BN622" s="2">
        <v>15341795</v>
      </c>
      <c r="BO622" s="2" t="s">
        <v>74</v>
      </c>
      <c r="BP622" s="2" t="s">
        <v>74</v>
      </c>
      <c r="BQ622" s="2" t="s">
        <v>74</v>
      </c>
      <c r="BR622" s="2" t="s">
        <v>74</v>
      </c>
      <c r="BS622" s="2" t="s">
        <v>8193</v>
      </c>
      <c r="BT622" s="2" t="str">
        <f>HYPERLINK("https%3A%2F%2Fwww.webofscience.com%2Fwos%2Fwoscc%2Ffull-record%2FWOS:000223495300006","View Full Record in Web of Science")</f>
        <v>View Full Record in Web of Science</v>
      </c>
    </row>
    <row r="623" spans="1:72" s="2" customFormat="1" x14ac:dyDescent="0.4">
      <c r="A623" s="2" t="s">
        <v>72</v>
      </c>
      <c r="B623" s="2" t="s">
        <v>3236</v>
      </c>
      <c r="C623" s="2" t="s">
        <v>74</v>
      </c>
      <c r="D623" s="2" t="s">
        <v>74</v>
      </c>
      <c r="E623" s="2" t="s">
        <v>74</v>
      </c>
      <c r="F623" s="2" t="s">
        <v>3236</v>
      </c>
      <c r="G623" s="2" t="s">
        <v>74</v>
      </c>
      <c r="H623" s="2" t="s">
        <v>74</v>
      </c>
      <c r="I623" s="2" t="s">
        <v>3237</v>
      </c>
      <c r="J623" s="2" t="s">
        <v>3238</v>
      </c>
      <c r="K623" s="2" t="s">
        <v>74</v>
      </c>
      <c r="L623" s="2" t="s">
        <v>74</v>
      </c>
      <c r="M623" s="2" t="s">
        <v>74</v>
      </c>
      <c r="N623" s="2" t="s">
        <v>74</v>
      </c>
      <c r="O623" s="2" t="s">
        <v>74</v>
      </c>
      <c r="P623" s="2" t="s">
        <v>74</v>
      </c>
      <c r="Q623" s="2" t="s">
        <v>74</v>
      </c>
      <c r="R623" s="2" t="s">
        <v>74</v>
      </c>
      <c r="S623" s="2" t="s">
        <v>74</v>
      </c>
      <c r="T623" s="2" t="s">
        <v>74</v>
      </c>
      <c r="U623" s="2" t="s">
        <v>74</v>
      </c>
      <c r="V623" s="5" t="s">
        <v>3239</v>
      </c>
      <c r="W623" s="2" t="s">
        <v>74</v>
      </c>
      <c r="X623" s="2" t="s">
        <v>74</v>
      </c>
      <c r="Y623" s="2" t="s">
        <v>74</v>
      </c>
      <c r="Z623" s="2" t="s">
        <v>74</v>
      </c>
      <c r="AA623" s="2" t="s">
        <v>74</v>
      </c>
      <c r="AB623" s="2" t="s">
        <v>74</v>
      </c>
      <c r="AC623" s="2" t="s">
        <v>74</v>
      </c>
      <c r="AD623" s="2" t="s">
        <v>74</v>
      </c>
      <c r="AE623" s="2" t="s">
        <v>74</v>
      </c>
      <c r="AF623" s="2" t="s">
        <v>74</v>
      </c>
      <c r="AG623" s="2" t="s">
        <v>74</v>
      </c>
      <c r="AH623" s="2" t="s">
        <v>74</v>
      </c>
      <c r="AI623" s="2" t="s">
        <v>74</v>
      </c>
      <c r="AJ623" s="2" t="s">
        <v>74</v>
      </c>
      <c r="AK623" s="2" t="s">
        <v>74</v>
      </c>
      <c r="AL623" s="2" t="s">
        <v>74</v>
      </c>
      <c r="AM623" s="2" t="s">
        <v>74</v>
      </c>
      <c r="AN623" s="2" t="s">
        <v>74</v>
      </c>
      <c r="AO623" s="2" t="s">
        <v>3240</v>
      </c>
      <c r="AP623" s="2" t="s">
        <v>3241</v>
      </c>
      <c r="AQ623" s="2" t="s">
        <v>74</v>
      </c>
      <c r="AR623" s="2" t="s">
        <v>74</v>
      </c>
      <c r="AS623" s="2" t="s">
        <v>74</v>
      </c>
      <c r="AT623" s="2" t="s">
        <v>74</v>
      </c>
      <c r="AU623" s="2">
        <v>1983</v>
      </c>
      <c r="AV623" s="2">
        <v>76</v>
      </c>
      <c r="AW623" s="2">
        <v>2</v>
      </c>
      <c r="AX623" s="2" t="s">
        <v>74</v>
      </c>
      <c r="AY623" s="2" t="s">
        <v>74</v>
      </c>
      <c r="AZ623" s="2" t="s">
        <v>74</v>
      </c>
      <c r="BA623" s="2" t="s">
        <v>74</v>
      </c>
      <c r="BB623" s="2">
        <v>197</v>
      </c>
      <c r="BC623" s="2">
        <v>204</v>
      </c>
      <c r="BD623" s="2" t="s">
        <v>74</v>
      </c>
      <c r="BE623" s="2" t="s">
        <v>3242</v>
      </c>
      <c r="BF623" s="2" t="str">
        <f>HYPERLINK("http://dx.doi.org/10.1093/aesa/76.2.197","http://dx.doi.org/10.1093/aesa/76.2.197")</f>
        <v>http://dx.doi.org/10.1093/aesa/76.2.197</v>
      </c>
      <c r="BG623" s="2" t="s">
        <v>74</v>
      </c>
      <c r="BH623" s="2" t="s">
        <v>74</v>
      </c>
      <c r="BI623" s="2" t="s">
        <v>74</v>
      </c>
      <c r="BJ623" s="2" t="s">
        <v>74</v>
      </c>
      <c r="BK623" s="2" t="s">
        <v>74</v>
      </c>
      <c r="BL623" s="2" t="s">
        <v>74</v>
      </c>
      <c r="BM623" s="2" t="s">
        <v>74</v>
      </c>
      <c r="BN623" s="2" t="s">
        <v>74</v>
      </c>
      <c r="BO623" s="2" t="s">
        <v>74</v>
      </c>
      <c r="BP623" s="2" t="s">
        <v>74</v>
      </c>
      <c r="BQ623" s="2" t="s">
        <v>74</v>
      </c>
      <c r="BR623" s="2" t="s">
        <v>74</v>
      </c>
      <c r="BS623" s="2" t="s">
        <v>3243</v>
      </c>
      <c r="BT623" s="2" t="str">
        <f>HYPERLINK("https%3A%2F%2Fwww.webofscience.com%2Fwos%2Fwoscc%2Ffull-record%2FWOS:A1983QE09100008","View Full Record in Web of Science")</f>
        <v>View Full Record in Web of Science</v>
      </c>
    </row>
    <row r="624" spans="1:72" s="2" customFormat="1" x14ac:dyDescent="0.4">
      <c r="A624" s="2" t="s">
        <v>72</v>
      </c>
      <c r="B624" s="2" t="s">
        <v>394</v>
      </c>
      <c r="C624" s="2" t="s">
        <v>74</v>
      </c>
      <c r="D624" s="2" t="s">
        <v>74</v>
      </c>
      <c r="E624" s="2" t="s">
        <v>74</v>
      </c>
      <c r="F624" s="2" t="s">
        <v>395</v>
      </c>
      <c r="G624" s="2" t="s">
        <v>74</v>
      </c>
      <c r="H624" s="2" t="s">
        <v>74</v>
      </c>
      <c r="I624" s="2" t="s">
        <v>396</v>
      </c>
      <c r="J624" s="2" t="s">
        <v>397</v>
      </c>
      <c r="K624" s="2" t="s">
        <v>74</v>
      </c>
      <c r="L624" s="2" t="s">
        <v>74</v>
      </c>
      <c r="M624" s="2" t="s">
        <v>74</v>
      </c>
      <c r="N624" s="2" t="s">
        <v>74</v>
      </c>
      <c r="O624" s="2" t="s">
        <v>74</v>
      </c>
      <c r="P624" s="2" t="s">
        <v>74</v>
      </c>
      <c r="Q624" s="2" t="s">
        <v>74</v>
      </c>
      <c r="R624" s="2" t="s">
        <v>74</v>
      </c>
      <c r="S624" s="2" t="s">
        <v>74</v>
      </c>
      <c r="T624" s="2" t="s">
        <v>74</v>
      </c>
      <c r="U624" s="2" t="s">
        <v>74</v>
      </c>
      <c r="V624" s="5" t="s">
        <v>398</v>
      </c>
      <c r="W624" s="2" t="s">
        <v>74</v>
      </c>
      <c r="X624" s="2" t="s">
        <v>74</v>
      </c>
      <c r="Y624" s="2" t="s">
        <v>74</v>
      </c>
      <c r="Z624" s="2" t="s">
        <v>74</v>
      </c>
      <c r="AA624" s="2" t="s">
        <v>399</v>
      </c>
      <c r="AB624" s="2" t="s">
        <v>400</v>
      </c>
      <c r="AC624" s="2" t="s">
        <v>74</v>
      </c>
      <c r="AD624" s="2" t="s">
        <v>74</v>
      </c>
      <c r="AE624" s="2" t="s">
        <v>74</v>
      </c>
      <c r="AF624" s="2" t="s">
        <v>74</v>
      </c>
      <c r="AG624" s="2" t="s">
        <v>74</v>
      </c>
      <c r="AH624" s="2" t="s">
        <v>74</v>
      </c>
      <c r="AI624" s="2" t="s">
        <v>74</v>
      </c>
      <c r="AJ624" s="2" t="s">
        <v>74</v>
      </c>
      <c r="AK624" s="2" t="s">
        <v>74</v>
      </c>
      <c r="AL624" s="2" t="s">
        <v>74</v>
      </c>
      <c r="AM624" s="2" t="s">
        <v>74</v>
      </c>
      <c r="AN624" s="2" t="s">
        <v>74</v>
      </c>
      <c r="AO624" s="2" t="s">
        <v>401</v>
      </c>
      <c r="AP624" s="2" t="s">
        <v>402</v>
      </c>
      <c r="AQ624" s="2" t="s">
        <v>74</v>
      </c>
      <c r="AR624" s="2" t="s">
        <v>74</v>
      </c>
      <c r="AS624" s="2" t="s">
        <v>74</v>
      </c>
      <c r="AT624" s="2" t="s">
        <v>213</v>
      </c>
      <c r="AU624" s="2">
        <v>2016</v>
      </c>
      <c r="AV624" s="2">
        <v>15</v>
      </c>
      <c r="AW624" s="2">
        <v>8</v>
      </c>
      <c r="AX624" s="2" t="s">
        <v>74</v>
      </c>
      <c r="AY624" s="2" t="s">
        <v>74</v>
      </c>
      <c r="AZ624" s="2" t="s">
        <v>74</v>
      </c>
      <c r="BA624" s="2" t="s">
        <v>74</v>
      </c>
      <c r="BB624" s="2">
        <v>733</v>
      </c>
      <c r="BC624" s="2">
        <v>740</v>
      </c>
      <c r="BD624" s="2" t="s">
        <v>74</v>
      </c>
      <c r="BE624" s="2" t="s">
        <v>403</v>
      </c>
      <c r="BF624" s="2" t="str">
        <f>HYPERLINK("http://dx.doi.org/10.1111/gbb.12313","http://dx.doi.org/10.1111/gbb.12313")</f>
        <v>http://dx.doi.org/10.1111/gbb.12313</v>
      </c>
      <c r="BG624" s="2" t="s">
        <v>74</v>
      </c>
      <c r="BH624" s="2" t="s">
        <v>74</v>
      </c>
      <c r="BI624" s="2" t="s">
        <v>74</v>
      </c>
      <c r="BJ624" s="2" t="s">
        <v>74</v>
      </c>
      <c r="BK624" s="2" t="s">
        <v>74</v>
      </c>
      <c r="BL624" s="2" t="s">
        <v>74</v>
      </c>
      <c r="BM624" s="2" t="s">
        <v>74</v>
      </c>
      <c r="BN624" s="2">
        <v>27489198</v>
      </c>
      <c r="BO624" s="2" t="s">
        <v>74</v>
      </c>
      <c r="BP624" s="2" t="s">
        <v>74</v>
      </c>
      <c r="BQ624" s="2" t="s">
        <v>74</v>
      </c>
      <c r="BR624" s="2" t="s">
        <v>74</v>
      </c>
      <c r="BS624" s="2" t="s">
        <v>404</v>
      </c>
      <c r="BT624" s="2" t="str">
        <f>HYPERLINK("https%3A%2F%2Fwww.webofscience.com%2Fwos%2Fwoscc%2Ffull-record%2FWOS:000393079000005","View Full Record in Web of Science")</f>
        <v>View Full Record in Web of Science</v>
      </c>
    </row>
    <row r="625" spans="1:72" s="2" customFormat="1" x14ac:dyDescent="0.4">
      <c r="A625" s="2" t="s">
        <v>72</v>
      </c>
      <c r="B625" s="2" t="s">
        <v>4096</v>
      </c>
      <c r="C625" s="2" t="s">
        <v>74</v>
      </c>
      <c r="D625" s="2" t="s">
        <v>74</v>
      </c>
      <c r="E625" s="2" t="s">
        <v>74</v>
      </c>
      <c r="F625" s="2" t="s">
        <v>4097</v>
      </c>
      <c r="G625" s="2" t="s">
        <v>74</v>
      </c>
      <c r="H625" s="2" t="s">
        <v>74</v>
      </c>
      <c r="I625" s="2" t="s">
        <v>4098</v>
      </c>
      <c r="J625" s="2" t="s">
        <v>218</v>
      </c>
      <c r="K625" s="2" t="s">
        <v>74</v>
      </c>
      <c r="L625" s="2" t="s">
        <v>74</v>
      </c>
      <c r="M625" s="2" t="s">
        <v>74</v>
      </c>
      <c r="N625" s="2" t="s">
        <v>74</v>
      </c>
      <c r="O625" s="2" t="s">
        <v>74</v>
      </c>
      <c r="P625" s="2" t="s">
        <v>74</v>
      </c>
      <c r="Q625" s="2" t="s">
        <v>74</v>
      </c>
      <c r="R625" s="2" t="s">
        <v>74</v>
      </c>
      <c r="S625" s="2" t="s">
        <v>74</v>
      </c>
      <c r="T625" s="2" t="s">
        <v>74</v>
      </c>
      <c r="U625" s="2" t="s">
        <v>74</v>
      </c>
      <c r="V625" s="5" t="s">
        <v>4099</v>
      </c>
      <c r="W625" s="2" t="s">
        <v>74</v>
      </c>
      <c r="X625" s="2" t="s">
        <v>74</v>
      </c>
      <c r="Y625" s="2" t="s">
        <v>74</v>
      </c>
      <c r="Z625" s="2" t="s">
        <v>74</v>
      </c>
      <c r="AA625" s="2" t="s">
        <v>74</v>
      </c>
      <c r="AB625" s="2" t="s">
        <v>4100</v>
      </c>
      <c r="AC625" s="2" t="s">
        <v>74</v>
      </c>
      <c r="AD625" s="2" t="s">
        <v>74</v>
      </c>
      <c r="AE625" s="2" t="s">
        <v>74</v>
      </c>
      <c r="AF625" s="2" t="s">
        <v>74</v>
      </c>
      <c r="AG625" s="2" t="s">
        <v>74</v>
      </c>
      <c r="AH625" s="2" t="s">
        <v>74</v>
      </c>
      <c r="AI625" s="2" t="s">
        <v>74</v>
      </c>
      <c r="AJ625" s="2" t="s">
        <v>74</v>
      </c>
      <c r="AK625" s="2" t="s">
        <v>74</v>
      </c>
      <c r="AL625" s="2" t="s">
        <v>74</v>
      </c>
      <c r="AM625" s="2" t="s">
        <v>74</v>
      </c>
      <c r="AN625" s="2" t="s">
        <v>74</v>
      </c>
      <c r="AO625" s="2" t="s">
        <v>221</v>
      </c>
      <c r="AP625" s="2" t="s">
        <v>222</v>
      </c>
      <c r="AQ625" s="2" t="s">
        <v>74</v>
      </c>
      <c r="AR625" s="2" t="s">
        <v>74</v>
      </c>
      <c r="AS625" s="2" t="s">
        <v>74</v>
      </c>
      <c r="AT625" s="2" t="s">
        <v>3302</v>
      </c>
      <c r="AU625" s="2">
        <v>2024</v>
      </c>
      <c r="AV625" s="2">
        <v>37</v>
      </c>
      <c r="AW625" s="2">
        <v>3</v>
      </c>
      <c r="AX625" s="2" t="s">
        <v>74</v>
      </c>
      <c r="AY625" s="2" t="s">
        <v>74</v>
      </c>
      <c r="AZ625" s="2" t="s">
        <v>74</v>
      </c>
      <c r="BA625" s="2" t="s">
        <v>74</v>
      </c>
      <c r="BB625" s="2">
        <v>267</v>
      </c>
      <c r="BC625" s="2">
        <v>273</v>
      </c>
      <c r="BD625" s="2" t="s">
        <v>74</v>
      </c>
      <c r="BE625" s="2" t="s">
        <v>4101</v>
      </c>
      <c r="BF625" s="2" t="str">
        <f>HYPERLINK("http://dx.doi.org/10.1093/jeb/voae010","http://dx.doi.org/10.1093/jeb/voae010")</f>
        <v>http://dx.doi.org/10.1093/jeb/voae010</v>
      </c>
      <c r="BG625" s="2" t="s">
        <v>74</v>
      </c>
      <c r="BH625" s="2" t="s">
        <v>583</v>
      </c>
      <c r="BI625" s="2" t="s">
        <v>74</v>
      </c>
      <c r="BJ625" s="2" t="s">
        <v>74</v>
      </c>
      <c r="BK625" s="2" t="s">
        <v>74</v>
      </c>
      <c r="BL625" s="2" t="s">
        <v>74</v>
      </c>
      <c r="BM625" s="2" t="s">
        <v>74</v>
      </c>
      <c r="BN625" s="2">
        <v>38306464</v>
      </c>
      <c r="BO625" s="2" t="s">
        <v>74</v>
      </c>
      <c r="BP625" s="2" t="s">
        <v>74</v>
      </c>
      <c r="BQ625" s="2" t="s">
        <v>74</v>
      </c>
      <c r="BR625" s="2" t="s">
        <v>74</v>
      </c>
      <c r="BS625" s="2" t="s">
        <v>4102</v>
      </c>
      <c r="BT625" s="2" t="str">
        <f>HYPERLINK("https%3A%2F%2Fwww.webofscience.com%2Fwos%2Fwoscc%2Ffull-record%2FWOS:001155391900001","View Full Record in Web of Science")</f>
        <v>View Full Record in Web of Science</v>
      </c>
    </row>
    <row r="626" spans="1:72" s="2" customFormat="1" x14ac:dyDescent="0.4">
      <c r="A626" s="2" t="s">
        <v>72</v>
      </c>
      <c r="B626" s="2" t="s">
        <v>178</v>
      </c>
      <c r="C626" s="2" t="s">
        <v>74</v>
      </c>
      <c r="D626" s="2" t="s">
        <v>74</v>
      </c>
      <c r="E626" s="2" t="s">
        <v>74</v>
      </c>
      <c r="F626" s="2" t="s">
        <v>179</v>
      </c>
      <c r="G626" s="2" t="s">
        <v>74</v>
      </c>
      <c r="H626" s="2" t="s">
        <v>74</v>
      </c>
      <c r="I626" s="2" t="s">
        <v>180</v>
      </c>
      <c r="J626" s="2" t="s">
        <v>181</v>
      </c>
      <c r="K626" s="2" t="s">
        <v>74</v>
      </c>
      <c r="L626" s="2" t="s">
        <v>74</v>
      </c>
      <c r="M626" s="2" t="s">
        <v>74</v>
      </c>
      <c r="N626" s="2" t="s">
        <v>74</v>
      </c>
      <c r="O626" s="2" t="s">
        <v>74</v>
      </c>
      <c r="P626" s="2" t="s">
        <v>74</v>
      </c>
      <c r="Q626" s="2" t="s">
        <v>74</v>
      </c>
      <c r="R626" s="2" t="s">
        <v>74</v>
      </c>
      <c r="S626" s="2" t="s">
        <v>74</v>
      </c>
      <c r="T626" s="2" t="s">
        <v>74</v>
      </c>
      <c r="U626" s="2" t="s">
        <v>74</v>
      </c>
      <c r="V626" s="5" t="s">
        <v>182</v>
      </c>
      <c r="W626" s="2" t="s">
        <v>74</v>
      </c>
      <c r="X626" s="2" t="s">
        <v>74</v>
      </c>
      <c r="Y626" s="2" t="s">
        <v>74</v>
      </c>
      <c r="Z626" s="2" t="s">
        <v>74</v>
      </c>
      <c r="AA626" s="2" t="s">
        <v>183</v>
      </c>
      <c r="AB626" s="2" t="s">
        <v>184</v>
      </c>
      <c r="AC626" s="2" t="s">
        <v>74</v>
      </c>
      <c r="AD626" s="2" t="s">
        <v>74</v>
      </c>
      <c r="AE626" s="2" t="s">
        <v>74</v>
      </c>
      <c r="AF626" s="2" t="s">
        <v>74</v>
      </c>
      <c r="AG626" s="2" t="s">
        <v>74</v>
      </c>
      <c r="AH626" s="2" t="s">
        <v>74</v>
      </c>
      <c r="AI626" s="2" t="s">
        <v>74</v>
      </c>
      <c r="AJ626" s="2" t="s">
        <v>74</v>
      </c>
      <c r="AK626" s="2" t="s">
        <v>74</v>
      </c>
      <c r="AL626" s="2" t="s">
        <v>74</v>
      </c>
      <c r="AM626" s="2" t="s">
        <v>74</v>
      </c>
      <c r="AN626" s="2" t="s">
        <v>74</v>
      </c>
      <c r="AO626" s="2" t="s">
        <v>185</v>
      </c>
      <c r="AP626" s="2" t="s">
        <v>74</v>
      </c>
      <c r="AQ626" s="2" t="s">
        <v>74</v>
      </c>
      <c r="AR626" s="2" t="s">
        <v>74</v>
      </c>
      <c r="AS626" s="2" t="s">
        <v>74</v>
      </c>
      <c r="AT626" s="2" t="s">
        <v>186</v>
      </c>
      <c r="AU626" s="2">
        <v>2015</v>
      </c>
      <c r="AV626" s="2">
        <v>13</v>
      </c>
      <c r="AW626" s="2" t="s">
        <v>74</v>
      </c>
      <c r="AX626" s="2" t="s">
        <v>74</v>
      </c>
      <c r="AY626" s="2" t="s">
        <v>74</v>
      </c>
      <c r="AZ626" s="2" t="s">
        <v>74</v>
      </c>
      <c r="BA626" s="2" t="s">
        <v>74</v>
      </c>
      <c r="BB626" s="2" t="s">
        <v>74</v>
      </c>
      <c r="BC626" s="2" t="s">
        <v>74</v>
      </c>
      <c r="BD626" s="2">
        <v>82</v>
      </c>
      <c r="BE626" s="2" t="s">
        <v>187</v>
      </c>
      <c r="BF626" s="2" t="str">
        <f>HYPERLINK("http://dx.doi.org/10.1186/s12915-015-0192-7","http://dx.doi.org/10.1186/s12915-015-0192-7")</f>
        <v>http://dx.doi.org/10.1186/s12915-015-0192-7</v>
      </c>
      <c r="BG626" s="2" t="s">
        <v>74</v>
      </c>
      <c r="BH626" s="2" t="s">
        <v>74</v>
      </c>
      <c r="BI626" s="2" t="s">
        <v>74</v>
      </c>
      <c r="BJ626" s="2" t="s">
        <v>74</v>
      </c>
      <c r="BK626" s="2" t="s">
        <v>74</v>
      </c>
      <c r="BL626" s="2" t="s">
        <v>74</v>
      </c>
      <c r="BM626" s="2" t="s">
        <v>74</v>
      </c>
      <c r="BN626" s="2">
        <v>26437665</v>
      </c>
      <c r="BO626" s="2" t="s">
        <v>74</v>
      </c>
      <c r="BP626" s="2" t="s">
        <v>74</v>
      </c>
      <c r="BQ626" s="2" t="s">
        <v>74</v>
      </c>
      <c r="BR626" s="2" t="s">
        <v>74</v>
      </c>
      <c r="BS626" s="2" t="s">
        <v>188</v>
      </c>
      <c r="BT626" s="2" t="str">
        <f>HYPERLINK("https%3A%2F%2Fwww.webofscience.com%2Fwos%2Fwoscc%2Ffull-record%2FWOS:000362280500001","View Full Record in Web of Science")</f>
        <v>View Full Record in Web of Science</v>
      </c>
    </row>
    <row r="627" spans="1:72" s="2" customFormat="1" x14ac:dyDescent="0.4">
      <c r="A627" s="2" t="s">
        <v>72</v>
      </c>
      <c r="B627" s="2" t="s">
        <v>6589</v>
      </c>
      <c r="C627" s="2" t="s">
        <v>74</v>
      </c>
      <c r="D627" s="2" t="s">
        <v>74</v>
      </c>
      <c r="E627" s="2" t="s">
        <v>74</v>
      </c>
      <c r="F627" s="2" t="s">
        <v>6589</v>
      </c>
      <c r="G627" s="2" t="s">
        <v>74</v>
      </c>
      <c r="H627" s="2" t="s">
        <v>74</v>
      </c>
      <c r="I627" s="2" t="s">
        <v>6590</v>
      </c>
      <c r="J627" s="2" t="s">
        <v>77</v>
      </c>
      <c r="K627" s="2" t="s">
        <v>74</v>
      </c>
      <c r="L627" s="2" t="s">
        <v>74</v>
      </c>
      <c r="M627" s="2" t="s">
        <v>74</v>
      </c>
      <c r="N627" s="2" t="s">
        <v>74</v>
      </c>
      <c r="O627" s="2" t="s">
        <v>74</v>
      </c>
      <c r="P627" s="2" t="s">
        <v>74</v>
      </c>
      <c r="Q627" s="2" t="s">
        <v>74</v>
      </c>
      <c r="R627" s="2" t="s">
        <v>74</v>
      </c>
      <c r="S627" s="2" t="s">
        <v>74</v>
      </c>
      <c r="T627" s="2" t="s">
        <v>74</v>
      </c>
      <c r="U627" s="2" t="s">
        <v>74</v>
      </c>
      <c r="V627" s="5" t="s">
        <v>6591</v>
      </c>
      <c r="W627" s="2" t="s">
        <v>74</v>
      </c>
      <c r="X627" s="2" t="s">
        <v>74</v>
      </c>
      <c r="Y627" s="2" t="s">
        <v>74</v>
      </c>
      <c r="Z627" s="2" t="s">
        <v>74</v>
      </c>
      <c r="AA627" s="2" t="s">
        <v>74</v>
      </c>
      <c r="AB627" s="2" t="s">
        <v>74</v>
      </c>
      <c r="AC627" s="2" t="s">
        <v>74</v>
      </c>
      <c r="AD627" s="2" t="s">
        <v>74</v>
      </c>
      <c r="AE627" s="2" t="s">
        <v>74</v>
      </c>
      <c r="AF627" s="2" t="s">
        <v>74</v>
      </c>
      <c r="AG627" s="2" t="s">
        <v>74</v>
      </c>
      <c r="AH627" s="2" t="s">
        <v>74</v>
      </c>
      <c r="AI627" s="2" t="s">
        <v>74</v>
      </c>
      <c r="AJ627" s="2" t="s">
        <v>74</v>
      </c>
      <c r="AK627" s="2" t="s">
        <v>74</v>
      </c>
      <c r="AL627" s="2" t="s">
        <v>74</v>
      </c>
      <c r="AM627" s="2" t="s">
        <v>74</v>
      </c>
      <c r="AN627" s="2" t="s">
        <v>74</v>
      </c>
      <c r="AO627" s="2" t="s">
        <v>81</v>
      </c>
      <c r="AP627" s="2" t="s">
        <v>82</v>
      </c>
      <c r="AQ627" s="2" t="s">
        <v>74</v>
      </c>
      <c r="AR627" s="2" t="s">
        <v>74</v>
      </c>
      <c r="AS627" s="2" t="s">
        <v>74</v>
      </c>
      <c r="AT627" s="2" t="s">
        <v>74</v>
      </c>
      <c r="AU627" s="2">
        <v>1978</v>
      </c>
      <c r="AV627" s="2">
        <v>67</v>
      </c>
      <c r="AW627" s="2" t="s">
        <v>74</v>
      </c>
      <c r="AX627" s="2" t="s">
        <v>1276</v>
      </c>
      <c r="AY627" s="2" t="s">
        <v>74</v>
      </c>
      <c r="AZ627" s="2" t="s">
        <v>74</v>
      </c>
      <c r="BA627" s="2" t="s">
        <v>74</v>
      </c>
      <c r="BB627" s="2">
        <v>178</v>
      </c>
      <c r="BC627" s="2">
        <v>207</v>
      </c>
      <c r="BD627" s="2" t="s">
        <v>74</v>
      </c>
      <c r="BE627" s="2" t="s">
        <v>6592</v>
      </c>
      <c r="BF627" s="2" t="str">
        <f>HYPERLINK("http://dx.doi.org/10.1163/156853978X00323","http://dx.doi.org/10.1163/156853978X00323")</f>
        <v>http://dx.doi.org/10.1163/156853978X00323</v>
      </c>
      <c r="BG627" s="2" t="s">
        <v>74</v>
      </c>
      <c r="BH627" s="2" t="s">
        <v>74</v>
      </c>
      <c r="BI627" s="2" t="s">
        <v>74</v>
      </c>
      <c r="BJ627" s="2" t="s">
        <v>74</v>
      </c>
      <c r="BK627" s="2" t="s">
        <v>74</v>
      </c>
      <c r="BL627" s="2" t="s">
        <v>74</v>
      </c>
      <c r="BM627" s="2" t="s">
        <v>74</v>
      </c>
      <c r="BN627" s="2" t="s">
        <v>74</v>
      </c>
      <c r="BO627" s="2" t="s">
        <v>74</v>
      </c>
      <c r="BP627" s="2" t="s">
        <v>74</v>
      </c>
      <c r="BQ627" s="2" t="s">
        <v>74</v>
      </c>
      <c r="BR627" s="2" t="s">
        <v>74</v>
      </c>
      <c r="BS627" s="2" t="s">
        <v>6593</v>
      </c>
      <c r="BT627" s="2" t="str">
        <f>HYPERLINK("https%3A%2F%2Fwww.webofscience.com%2Fwos%2Fwoscc%2Ffull-record%2FWOS:A1978GF13900003","View Full Record in Web of Science")</f>
        <v>View Full Record in Web of Science</v>
      </c>
    </row>
    <row r="628" spans="1:72" s="2" customFormat="1" x14ac:dyDescent="0.4">
      <c r="A628" s="2" t="s">
        <v>72</v>
      </c>
      <c r="B628" s="2" t="s">
        <v>4983</v>
      </c>
      <c r="C628" s="2" t="s">
        <v>74</v>
      </c>
      <c r="D628" s="2" t="s">
        <v>74</v>
      </c>
      <c r="E628" s="2" t="s">
        <v>74</v>
      </c>
      <c r="F628" s="2" t="s">
        <v>4984</v>
      </c>
      <c r="G628" s="2" t="s">
        <v>74</v>
      </c>
      <c r="H628" s="2" t="s">
        <v>74</v>
      </c>
      <c r="I628" s="2" t="s">
        <v>4985</v>
      </c>
      <c r="J628" s="2" t="s">
        <v>408</v>
      </c>
      <c r="K628" s="2" t="s">
        <v>74</v>
      </c>
      <c r="L628" s="2" t="s">
        <v>74</v>
      </c>
      <c r="M628" s="2" t="s">
        <v>74</v>
      </c>
      <c r="N628" s="2" t="s">
        <v>74</v>
      </c>
      <c r="O628" s="2" t="s">
        <v>74</v>
      </c>
      <c r="P628" s="2" t="s">
        <v>74</v>
      </c>
      <c r="Q628" s="2" t="s">
        <v>74</v>
      </c>
      <c r="R628" s="2" t="s">
        <v>74</v>
      </c>
      <c r="S628" s="2" t="s">
        <v>74</v>
      </c>
      <c r="T628" s="2" t="s">
        <v>74</v>
      </c>
      <c r="U628" s="2" t="s">
        <v>74</v>
      </c>
      <c r="V628" s="5" t="s">
        <v>4986</v>
      </c>
      <c r="W628" s="2" t="s">
        <v>74</v>
      </c>
      <c r="X628" s="2" t="s">
        <v>74</v>
      </c>
      <c r="Y628" s="2" t="s">
        <v>74</v>
      </c>
      <c r="Z628" s="2" t="s">
        <v>74</v>
      </c>
      <c r="AA628" s="2" t="s">
        <v>4987</v>
      </c>
      <c r="AB628" s="2" t="s">
        <v>4988</v>
      </c>
      <c r="AC628" s="2" t="s">
        <v>74</v>
      </c>
      <c r="AD628" s="2" t="s">
        <v>74</v>
      </c>
      <c r="AE628" s="2" t="s">
        <v>74</v>
      </c>
      <c r="AF628" s="2" t="s">
        <v>74</v>
      </c>
      <c r="AG628" s="2" t="s">
        <v>74</v>
      </c>
      <c r="AH628" s="2" t="s">
        <v>74</v>
      </c>
      <c r="AI628" s="2" t="s">
        <v>74</v>
      </c>
      <c r="AJ628" s="2" t="s">
        <v>74</v>
      </c>
      <c r="AK628" s="2" t="s">
        <v>74</v>
      </c>
      <c r="AL628" s="2" t="s">
        <v>74</v>
      </c>
      <c r="AM628" s="2" t="s">
        <v>74</v>
      </c>
      <c r="AN628" s="2" t="s">
        <v>74</v>
      </c>
      <c r="AO628" s="2" t="s">
        <v>412</v>
      </c>
      <c r="AP628" s="2" t="s">
        <v>413</v>
      </c>
      <c r="AQ628" s="2" t="s">
        <v>74</v>
      </c>
      <c r="AR628" s="2" t="s">
        <v>74</v>
      </c>
      <c r="AS628" s="2" t="s">
        <v>74</v>
      </c>
      <c r="AT628" s="2" t="s">
        <v>213</v>
      </c>
      <c r="AU628" s="2">
        <v>2021</v>
      </c>
      <c r="AV628" s="2">
        <v>134</v>
      </c>
      <c r="AW628" s="2">
        <v>3</v>
      </c>
      <c r="AX628" s="2" t="s">
        <v>74</v>
      </c>
      <c r="AY628" s="2" t="s">
        <v>74</v>
      </c>
      <c r="AZ628" s="2" t="s">
        <v>74</v>
      </c>
      <c r="BA628" s="2" t="s">
        <v>74</v>
      </c>
      <c r="BB628" s="2">
        <v>685</v>
      </c>
      <c r="BC628" s="2">
        <v>696</v>
      </c>
      <c r="BD628" s="2" t="s">
        <v>74</v>
      </c>
      <c r="BE628" s="2" t="s">
        <v>4989</v>
      </c>
      <c r="BF628" s="2" t="str">
        <f>HYPERLINK("http://dx.doi.org/10.1093/biolinnean/blab102","http://dx.doi.org/10.1093/biolinnean/blab102")</f>
        <v>http://dx.doi.org/10.1093/biolinnean/blab102</v>
      </c>
      <c r="BG628" s="2" t="s">
        <v>74</v>
      </c>
      <c r="BH628" s="2" t="s">
        <v>4990</v>
      </c>
      <c r="BI628" s="2" t="s">
        <v>74</v>
      </c>
      <c r="BJ628" s="2" t="s">
        <v>74</v>
      </c>
      <c r="BK628" s="2" t="s">
        <v>74</v>
      </c>
      <c r="BL628" s="2" t="s">
        <v>74</v>
      </c>
      <c r="BM628" s="2" t="s">
        <v>74</v>
      </c>
      <c r="BN628" s="2" t="s">
        <v>74</v>
      </c>
      <c r="BO628" s="2" t="s">
        <v>74</v>
      </c>
      <c r="BP628" s="2" t="s">
        <v>74</v>
      </c>
      <c r="BQ628" s="2" t="s">
        <v>74</v>
      </c>
      <c r="BR628" s="2" t="s">
        <v>74</v>
      </c>
      <c r="BS628" s="2" t="s">
        <v>4991</v>
      </c>
      <c r="BT628" s="2" t="str">
        <f>HYPERLINK("https%3A%2F%2Fwww.webofscience.com%2Fwos%2Fwoscc%2Ffull-record%2FWOS:000715341100013","View Full Record in Web of Science")</f>
        <v>View Full Record in Web of Science</v>
      </c>
    </row>
    <row r="629" spans="1:72" s="2" customFormat="1" x14ac:dyDescent="0.4">
      <c r="A629" s="2" t="s">
        <v>72</v>
      </c>
      <c r="B629" s="2" t="s">
        <v>7122</v>
      </c>
      <c r="C629" s="2" t="s">
        <v>74</v>
      </c>
      <c r="D629" s="2" t="s">
        <v>74</v>
      </c>
      <c r="E629" s="2" t="s">
        <v>74</v>
      </c>
      <c r="F629" s="2" t="s">
        <v>7123</v>
      </c>
      <c r="G629" s="2" t="s">
        <v>74</v>
      </c>
      <c r="H629" s="2" t="s">
        <v>74</v>
      </c>
      <c r="I629" s="2" t="s">
        <v>7124</v>
      </c>
      <c r="J629" s="2" t="s">
        <v>1656</v>
      </c>
      <c r="K629" s="2" t="s">
        <v>74</v>
      </c>
      <c r="L629" s="2" t="s">
        <v>74</v>
      </c>
      <c r="M629" s="2" t="s">
        <v>74</v>
      </c>
      <c r="N629" s="2" t="s">
        <v>74</v>
      </c>
      <c r="O629" s="2" t="s">
        <v>74</v>
      </c>
      <c r="P629" s="2" t="s">
        <v>74</v>
      </c>
      <c r="Q629" s="2" t="s">
        <v>74</v>
      </c>
      <c r="R629" s="2" t="s">
        <v>74</v>
      </c>
      <c r="S629" s="2" t="s">
        <v>74</v>
      </c>
      <c r="T629" s="2" t="s">
        <v>74</v>
      </c>
      <c r="U629" s="2" t="s">
        <v>74</v>
      </c>
      <c r="V629" s="5" t="s">
        <v>7125</v>
      </c>
      <c r="W629" s="2" t="s">
        <v>74</v>
      </c>
      <c r="X629" s="2" t="s">
        <v>74</v>
      </c>
      <c r="Y629" s="2" t="s">
        <v>74</v>
      </c>
      <c r="Z629" s="2" t="s">
        <v>74</v>
      </c>
      <c r="AA629" s="2" t="s">
        <v>7126</v>
      </c>
      <c r="AB629" s="2" t="s">
        <v>7127</v>
      </c>
      <c r="AC629" s="2" t="s">
        <v>74</v>
      </c>
      <c r="AD629" s="2" t="s">
        <v>74</v>
      </c>
      <c r="AE629" s="2" t="s">
        <v>74</v>
      </c>
      <c r="AF629" s="2" t="s">
        <v>74</v>
      </c>
      <c r="AG629" s="2" t="s">
        <v>74</v>
      </c>
      <c r="AH629" s="2" t="s">
        <v>74</v>
      </c>
      <c r="AI629" s="2" t="s">
        <v>74</v>
      </c>
      <c r="AJ629" s="2" t="s">
        <v>74</v>
      </c>
      <c r="AK629" s="2" t="s">
        <v>74</v>
      </c>
      <c r="AL629" s="2" t="s">
        <v>74</v>
      </c>
      <c r="AM629" s="2" t="s">
        <v>74</v>
      </c>
      <c r="AN629" s="2" t="s">
        <v>74</v>
      </c>
      <c r="AO629" s="2" t="s">
        <v>1658</v>
      </c>
      <c r="AP629" s="2" t="s">
        <v>1659</v>
      </c>
      <c r="AQ629" s="2" t="s">
        <v>74</v>
      </c>
      <c r="AR629" s="2" t="s">
        <v>74</v>
      </c>
      <c r="AS629" s="2" t="s">
        <v>74</v>
      </c>
      <c r="AT629" s="2" t="s">
        <v>7128</v>
      </c>
      <c r="AU629" s="2">
        <v>2022</v>
      </c>
      <c r="AV629" s="2">
        <v>5155</v>
      </c>
      <c r="AW629" s="2">
        <v>4</v>
      </c>
      <c r="AX629" s="2" t="s">
        <v>74</v>
      </c>
      <c r="AY629" s="2" t="s">
        <v>74</v>
      </c>
      <c r="AZ629" s="2" t="s">
        <v>74</v>
      </c>
      <c r="BA629" s="2" t="s">
        <v>74</v>
      </c>
      <c r="BB629" s="2">
        <v>564</v>
      </c>
      <c r="BC629" s="2">
        <v>580</v>
      </c>
      <c r="BD629" s="2" t="s">
        <v>74</v>
      </c>
      <c r="BE629" s="2" t="s">
        <v>7129</v>
      </c>
      <c r="BF629" s="2" t="str">
        <f>HYPERLINK("http://dx.doi.org/10.11646/zootaxa.5155.4.6","http://dx.doi.org/10.11646/zootaxa.5155.4.6")</f>
        <v>http://dx.doi.org/10.11646/zootaxa.5155.4.6</v>
      </c>
      <c r="BG629" s="2" t="s">
        <v>74</v>
      </c>
      <c r="BH629" s="2" t="s">
        <v>74</v>
      </c>
      <c r="BI629" s="2" t="s">
        <v>74</v>
      </c>
      <c r="BJ629" s="2" t="s">
        <v>74</v>
      </c>
      <c r="BK629" s="2" t="s">
        <v>74</v>
      </c>
      <c r="BL629" s="2" t="s">
        <v>74</v>
      </c>
      <c r="BM629" s="2" t="s">
        <v>74</v>
      </c>
      <c r="BN629" s="2">
        <v>36095567</v>
      </c>
      <c r="BO629" s="2" t="s">
        <v>74</v>
      </c>
      <c r="BP629" s="2" t="s">
        <v>74</v>
      </c>
      <c r="BQ629" s="2" t="s">
        <v>74</v>
      </c>
      <c r="BR629" s="2" t="s">
        <v>74</v>
      </c>
      <c r="BS629" s="2" t="s">
        <v>7130</v>
      </c>
      <c r="BT629" s="2" t="str">
        <f>HYPERLINK("https%3A%2F%2Fwww.webofscience.com%2Fwos%2Fwoscc%2Ffull-record%2FWOS:000821618900003","View Full Record in Web of Science")</f>
        <v>View Full Record in Web of Science</v>
      </c>
    </row>
    <row r="630" spans="1:72" s="2" customFormat="1" x14ac:dyDescent="0.4">
      <c r="A630" s="2" t="s">
        <v>72</v>
      </c>
      <c r="B630" s="2" t="s">
        <v>7470</v>
      </c>
      <c r="C630" s="2" t="s">
        <v>74</v>
      </c>
      <c r="D630" s="2" t="s">
        <v>74</v>
      </c>
      <c r="E630" s="2" t="s">
        <v>74</v>
      </c>
      <c r="F630" s="2" t="s">
        <v>7470</v>
      </c>
      <c r="G630" s="2" t="s">
        <v>74</v>
      </c>
      <c r="H630" s="2" t="s">
        <v>74</v>
      </c>
      <c r="I630" s="2" t="s">
        <v>7471</v>
      </c>
      <c r="J630" s="2" t="s">
        <v>140</v>
      </c>
      <c r="K630" s="2" t="s">
        <v>74</v>
      </c>
      <c r="L630" s="2" t="s">
        <v>74</v>
      </c>
      <c r="M630" s="2" t="s">
        <v>74</v>
      </c>
      <c r="N630" s="2" t="s">
        <v>74</v>
      </c>
      <c r="O630" s="2" t="s">
        <v>74</v>
      </c>
      <c r="P630" s="2" t="s">
        <v>74</v>
      </c>
      <c r="Q630" s="2" t="s">
        <v>74</v>
      </c>
      <c r="R630" s="2" t="s">
        <v>74</v>
      </c>
      <c r="S630" s="2" t="s">
        <v>74</v>
      </c>
      <c r="T630" s="2" t="s">
        <v>74</v>
      </c>
      <c r="U630" s="2" t="s">
        <v>74</v>
      </c>
      <c r="V630" s="5" t="s">
        <v>7472</v>
      </c>
      <c r="W630" s="2" t="s">
        <v>74</v>
      </c>
      <c r="X630" s="2" t="s">
        <v>74</v>
      </c>
      <c r="Y630" s="2" t="s">
        <v>74</v>
      </c>
      <c r="Z630" s="2" t="s">
        <v>74</v>
      </c>
      <c r="AA630" s="2" t="s">
        <v>7473</v>
      </c>
      <c r="AB630" s="2" t="s">
        <v>7474</v>
      </c>
      <c r="AC630" s="2" t="s">
        <v>74</v>
      </c>
      <c r="AD630" s="2" t="s">
        <v>74</v>
      </c>
      <c r="AE630" s="2" t="s">
        <v>74</v>
      </c>
      <c r="AF630" s="2" t="s">
        <v>74</v>
      </c>
      <c r="AG630" s="2" t="s">
        <v>74</v>
      </c>
      <c r="AH630" s="2" t="s">
        <v>74</v>
      </c>
      <c r="AI630" s="2" t="s">
        <v>74</v>
      </c>
      <c r="AJ630" s="2" t="s">
        <v>74</v>
      </c>
      <c r="AK630" s="2" t="s">
        <v>74</v>
      </c>
      <c r="AL630" s="2" t="s">
        <v>74</v>
      </c>
      <c r="AM630" s="2" t="s">
        <v>74</v>
      </c>
      <c r="AN630" s="2" t="s">
        <v>74</v>
      </c>
      <c r="AO630" s="2" t="s">
        <v>143</v>
      </c>
      <c r="AP630" s="2" t="s">
        <v>74</v>
      </c>
      <c r="AQ630" s="2" t="s">
        <v>74</v>
      </c>
      <c r="AR630" s="2" t="s">
        <v>74</v>
      </c>
      <c r="AS630" s="2" t="s">
        <v>74</v>
      </c>
      <c r="AT630" s="2" t="s">
        <v>204</v>
      </c>
      <c r="AU630" s="2">
        <v>1998</v>
      </c>
      <c r="AV630" s="2">
        <v>56</v>
      </c>
      <c r="AW630" s="2" t="s">
        <v>74</v>
      </c>
      <c r="AX630" s="2">
        <v>1</v>
      </c>
      <c r="AY630" s="2" t="s">
        <v>74</v>
      </c>
      <c r="AZ630" s="2" t="s">
        <v>74</v>
      </c>
      <c r="BA630" s="2" t="s">
        <v>74</v>
      </c>
      <c r="BB630" s="2">
        <v>181</v>
      </c>
      <c r="BC630" s="2">
        <v>190</v>
      </c>
      <c r="BD630" s="2" t="s">
        <v>74</v>
      </c>
      <c r="BE630" s="2" t="s">
        <v>7475</v>
      </c>
      <c r="BF630" s="2" t="str">
        <f>HYPERLINK("http://dx.doi.org/10.1006/anbe.1998.0760","http://dx.doi.org/10.1006/anbe.1998.0760")</f>
        <v>http://dx.doi.org/10.1006/anbe.1998.0760</v>
      </c>
      <c r="BG630" s="2" t="s">
        <v>74</v>
      </c>
      <c r="BH630" s="2" t="s">
        <v>74</v>
      </c>
      <c r="BI630" s="2" t="s">
        <v>74</v>
      </c>
      <c r="BJ630" s="2" t="s">
        <v>74</v>
      </c>
      <c r="BK630" s="2" t="s">
        <v>74</v>
      </c>
      <c r="BL630" s="2" t="s">
        <v>74</v>
      </c>
      <c r="BM630" s="2" t="s">
        <v>74</v>
      </c>
      <c r="BN630" s="2">
        <v>9710476</v>
      </c>
      <c r="BO630" s="2" t="s">
        <v>74</v>
      </c>
      <c r="BP630" s="2" t="s">
        <v>74</v>
      </c>
      <c r="BQ630" s="2" t="s">
        <v>74</v>
      </c>
      <c r="BR630" s="2" t="s">
        <v>74</v>
      </c>
      <c r="BS630" s="2" t="s">
        <v>7476</v>
      </c>
      <c r="BT630" s="2" t="str">
        <f>HYPERLINK("https%3A%2F%2Fwww.webofscience.com%2Fwos%2Fwoscc%2Ffull-record%2FWOS:000075228700021","View Full Record in Web of Science")</f>
        <v>View Full Record in Web of Science</v>
      </c>
    </row>
    <row r="631" spans="1:72" s="2" customFormat="1" x14ac:dyDescent="0.4">
      <c r="A631" s="2" t="s">
        <v>72</v>
      </c>
      <c r="B631" s="2" t="s">
        <v>2733</v>
      </c>
      <c r="C631" s="2" t="s">
        <v>74</v>
      </c>
      <c r="D631" s="2" t="s">
        <v>74</v>
      </c>
      <c r="E631" s="2" t="s">
        <v>74</v>
      </c>
      <c r="F631" s="2" t="s">
        <v>2734</v>
      </c>
      <c r="G631" s="2" t="s">
        <v>74</v>
      </c>
      <c r="H631" s="2" t="s">
        <v>74</v>
      </c>
      <c r="I631" s="2" t="s">
        <v>2735</v>
      </c>
      <c r="J631" s="2" t="s">
        <v>218</v>
      </c>
      <c r="K631" s="2" t="s">
        <v>74</v>
      </c>
      <c r="L631" s="2" t="s">
        <v>74</v>
      </c>
      <c r="M631" s="2" t="s">
        <v>74</v>
      </c>
      <c r="N631" s="2" t="s">
        <v>74</v>
      </c>
      <c r="O631" s="2" t="s">
        <v>74</v>
      </c>
      <c r="P631" s="2" t="s">
        <v>74</v>
      </c>
      <c r="Q631" s="2" t="s">
        <v>74</v>
      </c>
      <c r="R631" s="2" t="s">
        <v>74</v>
      </c>
      <c r="S631" s="2" t="s">
        <v>74</v>
      </c>
      <c r="T631" s="2" t="s">
        <v>74</v>
      </c>
      <c r="U631" s="2" t="s">
        <v>74</v>
      </c>
      <c r="V631" s="5" t="s">
        <v>2736</v>
      </c>
      <c r="W631" s="2" t="s">
        <v>74</v>
      </c>
      <c r="X631" s="2" t="s">
        <v>74</v>
      </c>
      <c r="Y631" s="2" t="s">
        <v>74</v>
      </c>
      <c r="Z631" s="2" t="s">
        <v>74</v>
      </c>
      <c r="AA631" s="2" t="s">
        <v>74</v>
      </c>
      <c r="AB631" s="2" t="s">
        <v>2737</v>
      </c>
      <c r="AC631" s="2" t="s">
        <v>74</v>
      </c>
      <c r="AD631" s="2" t="s">
        <v>74</v>
      </c>
      <c r="AE631" s="2" t="s">
        <v>74</v>
      </c>
      <c r="AF631" s="2" t="s">
        <v>74</v>
      </c>
      <c r="AG631" s="2" t="s">
        <v>74</v>
      </c>
      <c r="AH631" s="2" t="s">
        <v>74</v>
      </c>
      <c r="AI631" s="2" t="s">
        <v>74</v>
      </c>
      <c r="AJ631" s="2" t="s">
        <v>74</v>
      </c>
      <c r="AK631" s="2" t="s">
        <v>74</v>
      </c>
      <c r="AL631" s="2" t="s">
        <v>74</v>
      </c>
      <c r="AM631" s="2" t="s">
        <v>74</v>
      </c>
      <c r="AN631" s="2" t="s">
        <v>74</v>
      </c>
      <c r="AO631" s="2" t="s">
        <v>221</v>
      </c>
      <c r="AP631" s="2" t="s">
        <v>222</v>
      </c>
      <c r="AQ631" s="2" t="s">
        <v>74</v>
      </c>
      <c r="AR631" s="2" t="s">
        <v>74</v>
      </c>
      <c r="AS631" s="2" t="s">
        <v>74</v>
      </c>
      <c r="AT631" s="2" t="s">
        <v>145</v>
      </c>
      <c r="AU631" s="2">
        <v>2013</v>
      </c>
      <c r="AV631" s="2">
        <v>26</v>
      </c>
      <c r="AW631" s="2">
        <v>8</v>
      </c>
      <c r="AX631" s="2" t="s">
        <v>74</v>
      </c>
      <c r="AY631" s="2" t="s">
        <v>74</v>
      </c>
      <c r="AZ631" s="2" t="s">
        <v>74</v>
      </c>
      <c r="BA631" s="2" t="s">
        <v>74</v>
      </c>
      <c r="BB631" s="2">
        <v>1611</v>
      </c>
      <c r="BC631" s="2">
        <v>1624</v>
      </c>
      <c r="BD631" s="2" t="s">
        <v>74</v>
      </c>
      <c r="BE631" s="2" t="s">
        <v>2738</v>
      </c>
      <c r="BF631" s="2" t="str">
        <f>HYPERLINK("http://dx.doi.org/10.1111/jeb.12173","http://dx.doi.org/10.1111/jeb.12173")</f>
        <v>http://dx.doi.org/10.1111/jeb.12173</v>
      </c>
      <c r="BG631" s="2" t="s">
        <v>74</v>
      </c>
      <c r="BH631" s="2" t="s">
        <v>74</v>
      </c>
      <c r="BI631" s="2" t="s">
        <v>74</v>
      </c>
      <c r="BJ631" s="2" t="s">
        <v>74</v>
      </c>
      <c r="BK631" s="2" t="s">
        <v>74</v>
      </c>
      <c r="BL631" s="2" t="s">
        <v>74</v>
      </c>
      <c r="BM631" s="2" t="s">
        <v>74</v>
      </c>
      <c r="BN631" s="2">
        <v>23859471</v>
      </c>
      <c r="BO631" s="2" t="s">
        <v>74</v>
      </c>
      <c r="BP631" s="2" t="s">
        <v>74</v>
      </c>
      <c r="BQ631" s="2" t="s">
        <v>74</v>
      </c>
      <c r="BR631" s="2" t="s">
        <v>74</v>
      </c>
      <c r="BS631" s="2" t="s">
        <v>2739</v>
      </c>
      <c r="BT631" s="2" t="str">
        <f>HYPERLINK("https%3A%2F%2Fwww.webofscience.com%2Fwos%2Fwoscc%2Ffull-record%2FWOS:000323101800001","View Full Record in Web of Science")</f>
        <v>View Full Record in Web of Science</v>
      </c>
    </row>
    <row r="632" spans="1:72" s="2" customFormat="1" x14ac:dyDescent="0.4">
      <c r="A632" s="2" t="s">
        <v>72</v>
      </c>
      <c r="B632" s="2" t="s">
        <v>4701</v>
      </c>
      <c r="C632" s="2" t="s">
        <v>74</v>
      </c>
      <c r="D632" s="2" t="s">
        <v>74</v>
      </c>
      <c r="E632" s="2" t="s">
        <v>74</v>
      </c>
      <c r="F632" s="2" t="s">
        <v>4702</v>
      </c>
      <c r="G632" s="2" t="s">
        <v>74</v>
      </c>
      <c r="H632" s="2" t="s">
        <v>74</v>
      </c>
      <c r="I632" s="2" t="s">
        <v>4703</v>
      </c>
      <c r="J632" s="2" t="s">
        <v>1656</v>
      </c>
      <c r="K632" s="2" t="s">
        <v>74</v>
      </c>
      <c r="L632" s="2" t="s">
        <v>74</v>
      </c>
      <c r="M632" s="2" t="s">
        <v>74</v>
      </c>
      <c r="N632" s="2" t="s">
        <v>74</v>
      </c>
      <c r="O632" s="2" t="s">
        <v>74</v>
      </c>
      <c r="P632" s="2" t="s">
        <v>74</v>
      </c>
      <c r="Q632" s="2" t="s">
        <v>74</v>
      </c>
      <c r="R632" s="2" t="s">
        <v>74</v>
      </c>
      <c r="S632" s="2" t="s">
        <v>74</v>
      </c>
      <c r="T632" s="2" t="s">
        <v>74</v>
      </c>
      <c r="U632" s="2" t="s">
        <v>74</v>
      </c>
      <c r="V632" s="5" t="s">
        <v>4704</v>
      </c>
      <c r="W632" s="2" t="s">
        <v>74</v>
      </c>
      <c r="X632" s="2" t="s">
        <v>74</v>
      </c>
      <c r="Y632" s="2" t="s">
        <v>74</v>
      </c>
      <c r="Z632" s="2" t="s">
        <v>74</v>
      </c>
      <c r="AA632" s="2" t="s">
        <v>4705</v>
      </c>
      <c r="AB632" s="2" t="s">
        <v>4706</v>
      </c>
      <c r="AC632" s="2" t="s">
        <v>74</v>
      </c>
      <c r="AD632" s="2" t="s">
        <v>74</v>
      </c>
      <c r="AE632" s="2" t="s">
        <v>74</v>
      </c>
      <c r="AF632" s="2" t="s">
        <v>74</v>
      </c>
      <c r="AG632" s="2" t="s">
        <v>74</v>
      </c>
      <c r="AH632" s="2" t="s">
        <v>74</v>
      </c>
      <c r="AI632" s="2" t="s">
        <v>74</v>
      </c>
      <c r="AJ632" s="2" t="s">
        <v>74</v>
      </c>
      <c r="AK632" s="2" t="s">
        <v>74</v>
      </c>
      <c r="AL632" s="2" t="s">
        <v>74</v>
      </c>
      <c r="AM632" s="2" t="s">
        <v>74</v>
      </c>
      <c r="AN632" s="2" t="s">
        <v>74</v>
      </c>
      <c r="AO632" s="2" t="s">
        <v>1658</v>
      </c>
      <c r="AP632" s="2" t="s">
        <v>1659</v>
      </c>
      <c r="AQ632" s="2" t="s">
        <v>74</v>
      </c>
      <c r="AR632" s="2" t="s">
        <v>74</v>
      </c>
      <c r="AS632" s="2" t="s">
        <v>74</v>
      </c>
      <c r="AT632" s="2" t="s">
        <v>4707</v>
      </c>
      <c r="AU632" s="2">
        <v>2023</v>
      </c>
      <c r="AV632" s="2">
        <v>5230</v>
      </c>
      <c r="AW632" s="2">
        <v>1</v>
      </c>
      <c r="AX632" s="2" t="s">
        <v>74</v>
      </c>
      <c r="AY632" s="2" t="s">
        <v>74</v>
      </c>
      <c r="AZ632" s="2" t="s">
        <v>74</v>
      </c>
      <c r="BA632" s="2" t="s">
        <v>74</v>
      </c>
      <c r="BB632" s="2">
        <v>48</v>
      </c>
      <c r="BC632" s="2">
        <v>66</v>
      </c>
      <c r="BD632" s="2" t="s">
        <v>74</v>
      </c>
      <c r="BE632" s="2" t="s">
        <v>4708</v>
      </c>
      <c r="BF632" s="2" t="str">
        <f>HYPERLINK("http://dx.doi.org/10.11646/zootaxa.5230.1.3","http://dx.doi.org/10.11646/zootaxa.5230.1.3")</f>
        <v>http://dx.doi.org/10.11646/zootaxa.5230.1.3</v>
      </c>
      <c r="BG632" s="2" t="s">
        <v>74</v>
      </c>
      <c r="BH632" s="2" t="s">
        <v>74</v>
      </c>
      <c r="BI632" s="2" t="s">
        <v>74</v>
      </c>
      <c r="BJ632" s="2" t="s">
        <v>74</v>
      </c>
      <c r="BK632" s="2" t="s">
        <v>74</v>
      </c>
      <c r="BL632" s="2" t="s">
        <v>74</v>
      </c>
      <c r="BM632" s="2" t="s">
        <v>74</v>
      </c>
      <c r="BN632" s="2">
        <v>37044858</v>
      </c>
      <c r="BO632" s="2" t="s">
        <v>74</v>
      </c>
      <c r="BP632" s="2" t="s">
        <v>74</v>
      </c>
      <c r="BQ632" s="2" t="s">
        <v>74</v>
      </c>
      <c r="BR632" s="2" t="s">
        <v>74</v>
      </c>
      <c r="BS632" s="2" t="s">
        <v>4709</v>
      </c>
      <c r="BT632" s="2" t="str">
        <f>HYPERLINK("https%3A%2F%2Fwww.webofscience.com%2Fwos%2Fwoscc%2Ffull-record%2FWOS:000927998600003","View Full Record in Web of Science")</f>
        <v>View Full Record in Web of Science</v>
      </c>
    </row>
    <row r="633" spans="1:72" s="2" customFormat="1" x14ac:dyDescent="0.4">
      <c r="A633" s="2" t="s">
        <v>72</v>
      </c>
      <c r="B633" s="2" t="s">
        <v>7047</v>
      </c>
      <c r="C633" s="2" t="s">
        <v>74</v>
      </c>
      <c r="D633" s="2" t="s">
        <v>74</v>
      </c>
      <c r="E633" s="2" t="s">
        <v>74</v>
      </c>
      <c r="F633" s="2" t="s">
        <v>7048</v>
      </c>
      <c r="G633" s="2" t="s">
        <v>74</v>
      </c>
      <c r="H633" s="2" t="s">
        <v>74</v>
      </c>
      <c r="I633" s="2" t="s">
        <v>7049</v>
      </c>
      <c r="J633" s="2" t="s">
        <v>2017</v>
      </c>
      <c r="K633" s="2" t="s">
        <v>74</v>
      </c>
      <c r="L633" s="2" t="s">
        <v>74</v>
      </c>
      <c r="M633" s="2" t="s">
        <v>74</v>
      </c>
      <c r="N633" s="2" t="s">
        <v>74</v>
      </c>
      <c r="O633" s="2" t="s">
        <v>74</v>
      </c>
      <c r="P633" s="2" t="s">
        <v>74</v>
      </c>
      <c r="Q633" s="2" t="s">
        <v>74</v>
      </c>
      <c r="R633" s="2" t="s">
        <v>74</v>
      </c>
      <c r="S633" s="2" t="s">
        <v>74</v>
      </c>
      <c r="T633" s="2" t="s">
        <v>74</v>
      </c>
      <c r="U633" s="2" t="s">
        <v>74</v>
      </c>
      <c r="V633" s="5" t="s">
        <v>7050</v>
      </c>
      <c r="W633" s="2" t="s">
        <v>74</v>
      </c>
      <c r="X633" s="2" t="s">
        <v>74</v>
      </c>
      <c r="Y633" s="2" t="s">
        <v>74</v>
      </c>
      <c r="Z633" s="2" t="s">
        <v>74</v>
      </c>
      <c r="AA633" s="2" t="s">
        <v>74</v>
      </c>
      <c r="AB633" s="2" t="s">
        <v>74</v>
      </c>
      <c r="AC633" s="2" t="s">
        <v>74</v>
      </c>
      <c r="AD633" s="2" t="s">
        <v>74</v>
      </c>
      <c r="AE633" s="2" t="s">
        <v>74</v>
      </c>
      <c r="AF633" s="2" t="s">
        <v>74</v>
      </c>
      <c r="AG633" s="2" t="s">
        <v>74</v>
      </c>
      <c r="AH633" s="2" t="s">
        <v>74</v>
      </c>
      <c r="AI633" s="2" t="s">
        <v>74</v>
      </c>
      <c r="AJ633" s="2" t="s">
        <v>74</v>
      </c>
      <c r="AK633" s="2" t="s">
        <v>74</v>
      </c>
      <c r="AL633" s="2" t="s">
        <v>74</v>
      </c>
      <c r="AM633" s="2" t="s">
        <v>74</v>
      </c>
      <c r="AN633" s="2" t="s">
        <v>74</v>
      </c>
      <c r="AO633" s="2" t="s">
        <v>2021</v>
      </c>
      <c r="AP633" s="2" t="s">
        <v>74</v>
      </c>
      <c r="AQ633" s="2" t="s">
        <v>74</v>
      </c>
      <c r="AR633" s="2" t="s">
        <v>74</v>
      </c>
      <c r="AS633" s="2" t="s">
        <v>74</v>
      </c>
      <c r="AT633" s="2" t="s">
        <v>7051</v>
      </c>
      <c r="AU633" s="2">
        <v>2021</v>
      </c>
      <c r="AV633" s="2">
        <v>9</v>
      </c>
      <c r="AW633" s="2" t="s">
        <v>74</v>
      </c>
      <c r="AX633" s="2" t="s">
        <v>74</v>
      </c>
      <c r="AY633" s="2" t="s">
        <v>74</v>
      </c>
      <c r="AZ633" s="2" t="s">
        <v>74</v>
      </c>
      <c r="BA633" s="2" t="s">
        <v>74</v>
      </c>
      <c r="BB633" s="2" t="s">
        <v>74</v>
      </c>
      <c r="BC633" s="2" t="s">
        <v>74</v>
      </c>
      <c r="BD633" s="2">
        <v>734126</v>
      </c>
      <c r="BE633" s="2" t="s">
        <v>7052</v>
      </c>
      <c r="BF633" s="2" t="str">
        <f>HYPERLINK("http://dx.doi.org/10.3389/fevo.2021.734126","http://dx.doi.org/10.3389/fevo.2021.734126")</f>
        <v>http://dx.doi.org/10.3389/fevo.2021.734126</v>
      </c>
      <c r="BG633" s="2" t="s">
        <v>74</v>
      </c>
      <c r="BH633" s="2" t="s">
        <v>74</v>
      </c>
      <c r="BI633" s="2" t="s">
        <v>74</v>
      </c>
      <c r="BJ633" s="2" t="s">
        <v>74</v>
      </c>
      <c r="BK633" s="2" t="s">
        <v>74</v>
      </c>
      <c r="BL633" s="2" t="s">
        <v>74</v>
      </c>
      <c r="BM633" s="2" t="s">
        <v>74</v>
      </c>
      <c r="BN633" s="2" t="s">
        <v>74</v>
      </c>
      <c r="BO633" s="2" t="s">
        <v>74</v>
      </c>
      <c r="BP633" s="2" t="s">
        <v>74</v>
      </c>
      <c r="BQ633" s="2" t="s">
        <v>74</v>
      </c>
      <c r="BR633" s="2" t="s">
        <v>74</v>
      </c>
      <c r="BS633" s="2" t="s">
        <v>7053</v>
      </c>
      <c r="BT633" s="2" t="str">
        <f>HYPERLINK("https%3A%2F%2Fwww.webofscience.com%2Fwos%2Fwoscc%2Ffull-record%2FWOS:000712776000001","View Full Record in Web of Science")</f>
        <v>View Full Record in Web of Science</v>
      </c>
    </row>
    <row r="634" spans="1:72" s="2" customFormat="1" x14ac:dyDescent="0.4">
      <c r="A634" s="2" t="s">
        <v>72</v>
      </c>
      <c r="B634" s="2" t="s">
        <v>7047</v>
      </c>
      <c r="C634" s="2" t="s">
        <v>74</v>
      </c>
      <c r="D634" s="2" t="s">
        <v>74</v>
      </c>
      <c r="E634" s="2" t="s">
        <v>74</v>
      </c>
      <c r="F634" s="2" t="s">
        <v>7047</v>
      </c>
      <c r="G634" s="2" t="s">
        <v>74</v>
      </c>
      <c r="H634" s="2" t="s">
        <v>74</v>
      </c>
      <c r="I634" s="2" t="s">
        <v>7249</v>
      </c>
      <c r="J634" s="2" t="s">
        <v>171</v>
      </c>
      <c r="K634" s="2" t="s">
        <v>74</v>
      </c>
      <c r="L634" s="2" t="s">
        <v>74</v>
      </c>
      <c r="M634" s="2" t="s">
        <v>74</v>
      </c>
      <c r="N634" s="2" t="s">
        <v>74</v>
      </c>
      <c r="O634" s="2" t="s">
        <v>74</v>
      </c>
      <c r="P634" s="2" t="s">
        <v>74</v>
      </c>
      <c r="Q634" s="2" t="s">
        <v>74</v>
      </c>
      <c r="R634" s="2" t="s">
        <v>74</v>
      </c>
      <c r="S634" s="2" t="s">
        <v>74</v>
      </c>
      <c r="T634" s="2" t="s">
        <v>74</v>
      </c>
      <c r="U634" s="2" t="s">
        <v>74</v>
      </c>
      <c r="V634" s="5" t="s">
        <v>7250</v>
      </c>
      <c r="W634" s="2" t="s">
        <v>74</v>
      </c>
      <c r="X634" s="2" t="s">
        <v>74</v>
      </c>
      <c r="Y634" s="2" t="s">
        <v>74</v>
      </c>
      <c r="Z634" s="2" t="s">
        <v>74</v>
      </c>
      <c r="AA634" s="2" t="s">
        <v>74</v>
      </c>
      <c r="AB634" s="2" t="s">
        <v>74</v>
      </c>
      <c r="AC634" s="2" t="s">
        <v>74</v>
      </c>
      <c r="AD634" s="2" t="s">
        <v>74</v>
      </c>
      <c r="AE634" s="2" t="s">
        <v>74</v>
      </c>
      <c r="AF634" s="2" t="s">
        <v>74</v>
      </c>
      <c r="AG634" s="2" t="s">
        <v>74</v>
      </c>
      <c r="AH634" s="2" t="s">
        <v>74</v>
      </c>
      <c r="AI634" s="2" t="s">
        <v>74</v>
      </c>
      <c r="AJ634" s="2" t="s">
        <v>74</v>
      </c>
      <c r="AK634" s="2" t="s">
        <v>74</v>
      </c>
      <c r="AL634" s="2" t="s">
        <v>74</v>
      </c>
      <c r="AM634" s="2" t="s">
        <v>74</v>
      </c>
      <c r="AN634" s="2" t="s">
        <v>74</v>
      </c>
      <c r="AO634" s="2" t="s">
        <v>173</v>
      </c>
      <c r="AP634" s="2" t="s">
        <v>174</v>
      </c>
      <c r="AQ634" s="2" t="s">
        <v>74</v>
      </c>
      <c r="AR634" s="2" t="s">
        <v>74</v>
      </c>
      <c r="AS634" s="2" t="s">
        <v>74</v>
      </c>
      <c r="AT634" s="2" t="s">
        <v>255</v>
      </c>
      <c r="AU634" s="2">
        <v>2006</v>
      </c>
      <c r="AV634" s="2">
        <v>60</v>
      </c>
      <c r="AW634" s="2">
        <v>1</v>
      </c>
      <c r="AX634" s="2" t="s">
        <v>74</v>
      </c>
      <c r="AY634" s="2" t="s">
        <v>74</v>
      </c>
      <c r="AZ634" s="2" t="s">
        <v>74</v>
      </c>
      <c r="BA634" s="2" t="s">
        <v>74</v>
      </c>
      <c r="BB634" s="2">
        <v>157</v>
      </c>
      <c r="BC634" s="2">
        <v>168</v>
      </c>
      <c r="BD634" s="2" t="s">
        <v>74</v>
      </c>
      <c r="BE634" s="2" t="s">
        <v>74</v>
      </c>
      <c r="BF634" s="2" t="s">
        <v>74</v>
      </c>
      <c r="BG634" s="2" t="s">
        <v>74</v>
      </c>
      <c r="BH634" s="2" t="s">
        <v>74</v>
      </c>
      <c r="BI634" s="2" t="s">
        <v>74</v>
      </c>
      <c r="BJ634" s="2" t="s">
        <v>74</v>
      </c>
      <c r="BK634" s="2" t="s">
        <v>74</v>
      </c>
      <c r="BL634" s="2" t="s">
        <v>74</v>
      </c>
      <c r="BM634" s="2" t="s">
        <v>74</v>
      </c>
      <c r="BN634" s="2">
        <v>16568640</v>
      </c>
      <c r="BO634" s="2" t="s">
        <v>74</v>
      </c>
      <c r="BP634" s="2" t="s">
        <v>74</v>
      </c>
      <c r="BQ634" s="2" t="s">
        <v>74</v>
      </c>
      <c r="BR634" s="2" t="s">
        <v>74</v>
      </c>
      <c r="BS634" s="2" t="s">
        <v>7251</v>
      </c>
      <c r="BT634" s="2" t="str">
        <f>HYPERLINK("https%3A%2F%2Fwww.webofscience.com%2Fwos%2Fwoscc%2Ffull-record%2FWOS:000235477400015","View Full Record in Web of Science")</f>
        <v>View Full Record in Web of Science</v>
      </c>
    </row>
    <row r="635" spans="1:72" s="2" customFormat="1" x14ac:dyDescent="0.4">
      <c r="A635" s="2" t="s">
        <v>72</v>
      </c>
      <c r="B635" s="2" t="s">
        <v>8434</v>
      </c>
      <c r="C635" s="2" t="s">
        <v>74</v>
      </c>
      <c r="D635" s="2" t="s">
        <v>74</v>
      </c>
      <c r="E635" s="2" t="s">
        <v>74</v>
      </c>
      <c r="F635" s="2" t="s">
        <v>8434</v>
      </c>
      <c r="G635" s="2" t="s">
        <v>74</v>
      </c>
      <c r="H635" s="2" t="s">
        <v>74</v>
      </c>
      <c r="I635" s="2" t="s">
        <v>8435</v>
      </c>
      <c r="J635" s="2" t="s">
        <v>140</v>
      </c>
      <c r="K635" s="2" t="s">
        <v>74</v>
      </c>
      <c r="L635" s="2" t="s">
        <v>74</v>
      </c>
      <c r="M635" s="2" t="s">
        <v>74</v>
      </c>
      <c r="N635" s="2" t="s">
        <v>74</v>
      </c>
      <c r="O635" s="2" t="s">
        <v>74</v>
      </c>
      <c r="P635" s="2" t="s">
        <v>74</v>
      </c>
      <c r="Q635" s="2" t="s">
        <v>74</v>
      </c>
      <c r="R635" s="2" t="s">
        <v>74</v>
      </c>
      <c r="S635" s="2" t="s">
        <v>74</v>
      </c>
      <c r="T635" s="2" t="s">
        <v>74</v>
      </c>
      <c r="U635" s="2" t="s">
        <v>74</v>
      </c>
      <c r="V635" s="5" t="s">
        <v>8436</v>
      </c>
      <c r="W635" s="2" t="s">
        <v>74</v>
      </c>
      <c r="X635" s="2" t="s">
        <v>74</v>
      </c>
      <c r="Y635" s="2" t="s">
        <v>74</v>
      </c>
      <c r="Z635" s="2" t="s">
        <v>74</v>
      </c>
      <c r="AA635" s="2" t="s">
        <v>74</v>
      </c>
      <c r="AB635" s="2" t="s">
        <v>74</v>
      </c>
      <c r="AC635" s="2" t="s">
        <v>74</v>
      </c>
      <c r="AD635" s="2" t="s">
        <v>74</v>
      </c>
      <c r="AE635" s="2" t="s">
        <v>74</v>
      </c>
      <c r="AF635" s="2" t="s">
        <v>74</v>
      </c>
      <c r="AG635" s="2" t="s">
        <v>74</v>
      </c>
      <c r="AH635" s="2" t="s">
        <v>74</v>
      </c>
      <c r="AI635" s="2" t="s">
        <v>74</v>
      </c>
      <c r="AJ635" s="2" t="s">
        <v>74</v>
      </c>
      <c r="AK635" s="2" t="s">
        <v>74</v>
      </c>
      <c r="AL635" s="2" t="s">
        <v>74</v>
      </c>
      <c r="AM635" s="2" t="s">
        <v>74</v>
      </c>
      <c r="AN635" s="2" t="s">
        <v>74</v>
      </c>
      <c r="AO635" s="2" t="s">
        <v>143</v>
      </c>
      <c r="AP635" s="2" t="s">
        <v>144</v>
      </c>
      <c r="AQ635" s="2" t="s">
        <v>74</v>
      </c>
      <c r="AR635" s="2" t="s">
        <v>74</v>
      </c>
      <c r="AS635" s="2" t="s">
        <v>74</v>
      </c>
      <c r="AT635" s="2" t="s">
        <v>102</v>
      </c>
      <c r="AU635" s="2">
        <v>2002</v>
      </c>
      <c r="AV635" s="2">
        <v>63</v>
      </c>
      <c r="AW635" s="2" t="s">
        <v>74</v>
      </c>
      <c r="AX635" s="2">
        <v>6</v>
      </c>
      <c r="AY635" s="2" t="s">
        <v>74</v>
      </c>
      <c r="AZ635" s="2" t="s">
        <v>74</v>
      </c>
      <c r="BA635" s="2" t="s">
        <v>74</v>
      </c>
      <c r="BB635" s="2">
        <v>1135</v>
      </c>
      <c r="BC635" s="2">
        <v>1142</v>
      </c>
      <c r="BD635" s="2" t="s">
        <v>74</v>
      </c>
      <c r="BE635" s="2" t="s">
        <v>8437</v>
      </c>
      <c r="BF635" s="2" t="str">
        <f>HYPERLINK("http://dx.doi.org/10.1006/anbe.2002.3009","http://dx.doi.org/10.1006/anbe.2002.3009")</f>
        <v>http://dx.doi.org/10.1006/anbe.2002.3009</v>
      </c>
      <c r="BG635" s="2" t="s">
        <v>74</v>
      </c>
      <c r="BH635" s="2" t="s">
        <v>74</v>
      </c>
      <c r="BI635" s="2" t="s">
        <v>74</v>
      </c>
      <c r="BJ635" s="2" t="s">
        <v>74</v>
      </c>
      <c r="BK635" s="2" t="s">
        <v>74</v>
      </c>
      <c r="BL635" s="2" t="s">
        <v>74</v>
      </c>
      <c r="BM635" s="2" t="s">
        <v>74</v>
      </c>
      <c r="BN635" s="2" t="s">
        <v>74</v>
      </c>
      <c r="BO635" s="2" t="s">
        <v>74</v>
      </c>
      <c r="BP635" s="2" t="s">
        <v>74</v>
      </c>
      <c r="BQ635" s="2" t="s">
        <v>74</v>
      </c>
      <c r="BR635" s="2" t="s">
        <v>74</v>
      </c>
      <c r="BS635" s="2" t="s">
        <v>8438</v>
      </c>
      <c r="BT635" s="2" t="str">
        <f>HYPERLINK("https%3A%2F%2Fwww.webofscience.com%2Fwos%2Fwoscc%2Ffull-record%2FWOS:000177715700012","View Full Record in Web of Science")</f>
        <v>View Full Record in Web of Science</v>
      </c>
    </row>
    <row r="636" spans="1:72" s="2" customFormat="1" x14ac:dyDescent="0.4">
      <c r="A636" s="2" t="s">
        <v>72</v>
      </c>
      <c r="B636" s="2" t="s">
        <v>453</v>
      </c>
      <c r="C636" s="2" t="s">
        <v>74</v>
      </c>
      <c r="D636" s="2" t="s">
        <v>74</v>
      </c>
      <c r="E636" s="2" t="s">
        <v>74</v>
      </c>
      <c r="F636" s="2" t="s">
        <v>454</v>
      </c>
      <c r="G636" s="2" t="s">
        <v>74</v>
      </c>
      <c r="H636" s="2" t="s">
        <v>74</v>
      </c>
      <c r="I636" s="2" t="s">
        <v>455</v>
      </c>
      <c r="J636" s="2" t="s">
        <v>456</v>
      </c>
      <c r="K636" s="2" t="s">
        <v>74</v>
      </c>
      <c r="L636" s="2" t="s">
        <v>74</v>
      </c>
      <c r="M636" s="2" t="s">
        <v>74</v>
      </c>
      <c r="N636" s="2" t="s">
        <v>74</v>
      </c>
      <c r="O636" s="2" t="s">
        <v>74</v>
      </c>
      <c r="P636" s="2" t="s">
        <v>74</v>
      </c>
      <c r="Q636" s="2" t="s">
        <v>74</v>
      </c>
      <c r="R636" s="2" t="s">
        <v>74</v>
      </c>
      <c r="S636" s="2" t="s">
        <v>74</v>
      </c>
      <c r="T636" s="2" t="s">
        <v>74</v>
      </c>
      <c r="U636" s="2" t="s">
        <v>74</v>
      </c>
      <c r="V636" s="5" t="s">
        <v>457</v>
      </c>
      <c r="W636" s="2" t="s">
        <v>74</v>
      </c>
      <c r="X636" s="2" t="s">
        <v>74</v>
      </c>
      <c r="Y636" s="2" t="s">
        <v>74</v>
      </c>
      <c r="Z636" s="2" t="s">
        <v>74</v>
      </c>
      <c r="AA636" s="2" t="s">
        <v>458</v>
      </c>
      <c r="AB636" s="2" t="s">
        <v>459</v>
      </c>
      <c r="AC636" s="2" t="s">
        <v>74</v>
      </c>
      <c r="AD636" s="2" t="s">
        <v>74</v>
      </c>
      <c r="AE636" s="2" t="s">
        <v>74</v>
      </c>
      <c r="AF636" s="2" t="s">
        <v>74</v>
      </c>
      <c r="AG636" s="2" t="s">
        <v>74</v>
      </c>
      <c r="AH636" s="2" t="s">
        <v>74</v>
      </c>
      <c r="AI636" s="2" t="s">
        <v>74</v>
      </c>
      <c r="AJ636" s="2" t="s">
        <v>74</v>
      </c>
      <c r="AK636" s="2" t="s">
        <v>74</v>
      </c>
      <c r="AL636" s="2" t="s">
        <v>74</v>
      </c>
      <c r="AM636" s="2" t="s">
        <v>74</v>
      </c>
      <c r="AN636" s="2" t="s">
        <v>74</v>
      </c>
      <c r="AO636" s="2" t="s">
        <v>460</v>
      </c>
      <c r="AP636" s="2" t="s">
        <v>461</v>
      </c>
      <c r="AQ636" s="2" t="s">
        <v>74</v>
      </c>
      <c r="AR636" s="2" t="s">
        <v>74</v>
      </c>
      <c r="AS636" s="2" t="s">
        <v>74</v>
      </c>
      <c r="AT636" s="2" t="s">
        <v>213</v>
      </c>
      <c r="AU636" s="2">
        <v>2012</v>
      </c>
      <c r="AV636" s="2">
        <v>288</v>
      </c>
      <c r="AW636" s="2">
        <v>3</v>
      </c>
      <c r="AX636" s="2" t="s">
        <v>74</v>
      </c>
      <c r="AY636" s="2" t="s">
        <v>74</v>
      </c>
      <c r="AZ636" s="2" t="s">
        <v>74</v>
      </c>
      <c r="BA636" s="2" t="s">
        <v>74</v>
      </c>
      <c r="BB636" s="2">
        <v>207</v>
      </c>
      <c r="BC636" s="2">
        <v>213</v>
      </c>
      <c r="BD636" s="2" t="s">
        <v>74</v>
      </c>
      <c r="BE636" s="2" t="s">
        <v>462</v>
      </c>
      <c r="BF636" s="2" t="str">
        <f>HYPERLINK("http://dx.doi.org/10.1111/j.1469-7998.2012.00943.x","http://dx.doi.org/10.1111/j.1469-7998.2012.00943.x")</f>
        <v>http://dx.doi.org/10.1111/j.1469-7998.2012.00943.x</v>
      </c>
      <c r="BG636" s="2" t="s">
        <v>74</v>
      </c>
      <c r="BH636" s="2" t="s">
        <v>74</v>
      </c>
      <c r="BI636" s="2" t="s">
        <v>74</v>
      </c>
      <c r="BJ636" s="2" t="s">
        <v>74</v>
      </c>
      <c r="BK636" s="2" t="s">
        <v>74</v>
      </c>
      <c r="BL636" s="2" t="s">
        <v>74</v>
      </c>
      <c r="BM636" s="2" t="s">
        <v>74</v>
      </c>
      <c r="BN636" s="2" t="s">
        <v>74</v>
      </c>
      <c r="BO636" s="2" t="s">
        <v>74</v>
      </c>
      <c r="BP636" s="2" t="s">
        <v>74</v>
      </c>
      <c r="BQ636" s="2" t="s">
        <v>74</v>
      </c>
      <c r="BR636" s="2" t="s">
        <v>74</v>
      </c>
      <c r="BS636" s="2" t="s">
        <v>463</v>
      </c>
      <c r="BT636" s="2" t="str">
        <f>HYPERLINK("https%3A%2F%2Fwww.webofscience.com%2Fwos%2Fwoscc%2Ffull-record%2FWOS:000310330900007","View Full Record in Web of Science")</f>
        <v>View Full Record in Web of Science</v>
      </c>
    </row>
    <row r="637" spans="1:72" s="2" customFormat="1" x14ac:dyDescent="0.4">
      <c r="A637" s="2" t="s">
        <v>72</v>
      </c>
      <c r="B637" s="2" t="s">
        <v>5987</v>
      </c>
      <c r="C637" s="2" t="s">
        <v>74</v>
      </c>
      <c r="D637" s="2" t="s">
        <v>74</v>
      </c>
      <c r="E637" s="2" t="s">
        <v>74</v>
      </c>
      <c r="F637" s="2" t="s">
        <v>5987</v>
      </c>
      <c r="G637" s="2" t="s">
        <v>74</v>
      </c>
      <c r="H637" s="2" t="s">
        <v>74</v>
      </c>
      <c r="I637" s="2" t="s">
        <v>5988</v>
      </c>
      <c r="J637" s="2" t="s">
        <v>610</v>
      </c>
      <c r="K637" s="2" t="s">
        <v>74</v>
      </c>
      <c r="L637" s="2" t="s">
        <v>74</v>
      </c>
      <c r="M637" s="2" t="s">
        <v>74</v>
      </c>
      <c r="N637" s="2" t="s">
        <v>74</v>
      </c>
      <c r="O637" s="2" t="s">
        <v>74</v>
      </c>
      <c r="P637" s="2" t="s">
        <v>74</v>
      </c>
      <c r="Q637" s="2" t="s">
        <v>74</v>
      </c>
      <c r="R637" s="2" t="s">
        <v>74</v>
      </c>
      <c r="S637" s="2" t="s">
        <v>74</v>
      </c>
      <c r="T637" s="2" t="s">
        <v>74</v>
      </c>
      <c r="U637" s="2" t="s">
        <v>74</v>
      </c>
      <c r="V637" s="5" t="s">
        <v>5989</v>
      </c>
      <c r="W637" s="2" t="s">
        <v>74</v>
      </c>
      <c r="X637" s="2" t="s">
        <v>74</v>
      </c>
      <c r="Y637" s="2" t="s">
        <v>74</v>
      </c>
      <c r="Z637" s="2" t="s">
        <v>74</v>
      </c>
      <c r="AA637" s="2" t="s">
        <v>74</v>
      </c>
      <c r="AB637" s="2" t="s">
        <v>74</v>
      </c>
      <c r="AC637" s="2" t="s">
        <v>74</v>
      </c>
      <c r="AD637" s="2" t="s">
        <v>74</v>
      </c>
      <c r="AE637" s="2" t="s">
        <v>74</v>
      </c>
      <c r="AF637" s="2" t="s">
        <v>74</v>
      </c>
      <c r="AG637" s="2" t="s">
        <v>74</v>
      </c>
      <c r="AH637" s="2" t="s">
        <v>74</v>
      </c>
      <c r="AI637" s="2" t="s">
        <v>74</v>
      </c>
      <c r="AJ637" s="2" t="s">
        <v>74</v>
      </c>
      <c r="AK637" s="2" t="s">
        <v>74</v>
      </c>
      <c r="AL637" s="2" t="s">
        <v>74</v>
      </c>
      <c r="AM637" s="2" t="s">
        <v>74</v>
      </c>
      <c r="AN637" s="2" t="s">
        <v>74</v>
      </c>
      <c r="AO637" s="2" t="s">
        <v>614</v>
      </c>
      <c r="AP637" s="2" t="s">
        <v>74</v>
      </c>
      <c r="AQ637" s="2" t="s">
        <v>74</v>
      </c>
      <c r="AR637" s="2" t="s">
        <v>74</v>
      </c>
      <c r="AS637" s="2" t="s">
        <v>74</v>
      </c>
      <c r="AT637" s="2" t="s">
        <v>175</v>
      </c>
      <c r="AU637" s="2">
        <v>1995</v>
      </c>
      <c r="AV637" s="2">
        <v>101</v>
      </c>
      <c r="AW637" s="2">
        <v>2</v>
      </c>
      <c r="AX637" s="2" t="s">
        <v>74</v>
      </c>
      <c r="AY637" s="2" t="s">
        <v>74</v>
      </c>
      <c r="AZ637" s="2" t="s">
        <v>74</v>
      </c>
      <c r="BA637" s="2" t="s">
        <v>74</v>
      </c>
      <c r="BB637" s="2">
        <v>121</v>
      </c>
      <c r="BC637" s="2">
        <v>129</v>
      </c>
      <c r="BD637" s="2" t="s">
        <v>74</v>
      </c>
      <c r="BE637" s="2" t="s">
        <v>74</v>
      </c>
      <c r="BF637" s="2" t="s">
        <v>74</v>
      </c>
      <c r="BG637" s="2" t="s">
        <v>74</v>
      </c>
      <c r="BH637" s="2" t="s">
        <v>74</v>
      </c>
      <c r="BI637" s="2" t="s">
        <v>74</v>
      </c>
      <c r="BJ637" s="2" t="s">
        <v>74</v>
      </c>
      <c r="BK637" s="2" t="s">
        <v>74</v>
      </c>
      <c r="BL637" s="2" t="s">
        <v>74</v>
      </c>
      <c r="BM637" s="2" t="s">
        <v>74</v>
      </c>
      <c r="BN637" s="2" t="s">
        <v>74</v>
      </c>
      <c r="BO637" s="2" t="s">
        <v>74</v>
      </c>
      <c r="BP637" s="2" t="s">
        <v>74</v>
      </c>
      <c r="BQ637" s="2" t="s">
        <v>74</v>
      </c>
      <c r="BR637" s="2" t="s">
        <v>74</v>
      </c>
      <c r="BS637" s="2" t="s">
        <v>5990</v>
      </c>
      <c r="BT637" s="2" t="str">
        <f>HYPERLINK("https%3A%2F%2Fwww.webofscience.com%2Fwos%2Fwoscc%2Ffull-record%2FWOS:A1995RW16700004","View Full Record in Web of Science")</f>
        <v>View Full Record in Web of Science</v>
      </c>
    </row>
    <row r="638" spans="1:72" s="2" customFormat="1" x14ac:dyDescent="0.4">
      <c r="A638" s="2" t="s">
        <v>72</v>
      </c>
      <c r="B638" s="2" t="s">
        <v>6723</v>
      </c>
      <c r="C638" s="2" t="s">
        <v>74</v>
      </c>
      <c r="D638" s="2" t="s">
        <v>74</v>
      </c>
      <c r="E638" s="2" t="s">
        <v>74</v>
      </c>
      <c r="F638" s="2" t="s">
        <v>6724</v>
      </c>
      <c r="G638" s="2" t="s">
        <v>74</v>
      </c>
      <c r="H638" s="2" t="s">
        <v>74</v>
      </c>
      <c r="I638" s="2" t="s">
        <v>6725</v>
      </c>
      <c r="J638" s="2" t="s">
        <v>77</v>
      </c>
      <c r="K638" s="2" t="s">
        <v>74</v>
      </c>
      <c r="L638" s="2" t="s">
        <v>74</v>
      </c>
      <c r="M638" s="2" t="s">
        <v>74</v>
      </c>
      <c r="N638" s="2" t="s">
        <v>74</v>
      </c>
      <c r="O638" s="2" t="s">
        <v>74</v>
      </c>
      <c r="P638" s="2" t="s">
        <v>74</v>
      </c>
      <c r="Q638" s="2" t="s">
        <v>74</v>
      </c>
      <c r="R638" s="2" t="s">
        <v>74</v>
      </c>
      <c r="S638" s="2" t="s">
        <v>74</v>
      </c>
      <c r="T638" s="2" t="s">
        <v>74</v>
      </c>
      <c r="U638" s="2" t="s">
        <v>74</v>
      </c>
      <c r="V638" s="5" t="s">
        <v>6726</v>
      </c>
      <c r="W638" s="2" t="s">
        <v>74</v>
      </c>
      <c r="X638" s="2" t="s">
        <v>74</v>
      </c>
      <c r="Y638" s="2" t="s">
        <v>74</v>
      </c>
      <c r="Z638" s="2" t="s">
        <v>74</v>
      </c>
      <c r="AA638" s="2" t="s">
        <v>6727</v>
      </c>
      <c r="AB638" s="2" t="s">
        <v>6728</v>
      </c>
      <c r="AC638" s="2" t="s">
        <v>74</v>
      </c>
      <c r="AD638" s="2" t="s">
        <v>74</v>
      </c>
      <c r="AE638" s="2" t="s">
        <v>74</v>
      </c>
      <c r="AF638" s="2" t="s">
        <v>74</v>
      </c>
      <c r="AG638" s="2" t="s">
        <v>74</v>
      </c>
      <c r="AH638" s="2" t="s">
        <v>74</v>
      </c>
      <c r="AI638" s="2" t="s">
        <v>74</v>
      </c>
      <c r="AJ638" s="2" t="s">
        <v>74</v>
      </c>
      <c r="AK638" s="2" t="s">
        <v>74</v>
      </c>
      <c r="AL638" s="2" t="s">
        <v>74</v>
      </c>
      <c r="AM638" s="2" t="s">
        <v>74</v>
      </c>
      <c r="AN638" s="2" t="s">
        <v>74</v>
      </c>
      <c r="AO638" s="2" t="s">
        <v>81</v>
      </c>
      <c r="AP638" s="2" t="s">
        <v>82</v>
      </c>
      <c r="AQ638" s="2" t="s">
        <v>74</v>
      </c>
      <c r="AR638" s="2" t="s">
        <v>74</v>
      </c>
      <c r="AS638" s="2" t="s">
        <v>74</v>
      </c>
      <c r="AT638" s="2" t="s">
        <v>74</v>
      </c>
      <c r="AU638" s="2">
        <v>2010</v>
      </c>
      <c r="AV638" s="2">
        <v>147</v>
      </c>
      <c r="AW638" s="2">
        <v>1</v>
      </c>
      <c r="AX638" s="2" t="s">
        <v>74</v>
      </c>
      <c r="AY638" s="2" t="s">
        <v>74</v>
      </c>
      <c r="AZ638" s="2" t="s">
        <v>74</v>
      </c>
      <c r="BA638" s="2" t="s">
        <v>74</v>
      </c>
      <c r="BB638" s="2">
        <v>19</v>
      </c>
      <c r="BC638" s="2">
        <v>36</v>
      </c>
      <c r="BD638" s="2" t="s">
        <v>74</v>
      </c>
      <c r="BE638" s="2" t="s">
        <v>6729</v>
      </c>
      <c r="BF638" s="2" t="str">
        <f>HYPERLINK("http://dx.doi.org/10.1163/000579509X12483520922043","http://dx.doi.org/10.1163/000579509X12483520922043")</f>
        <v>http://dx.doi.org/10.1163/000579509X12483520922043</v>
      </c>
      <c r="BG638" s="2" t="s">
        <v>74</v>
      </c>
      <c r="BH638" s="2" t="s">
        <v>74</v>
      </c>
      <c r="BI638" s="2" t="s">
        <v>74</v>
      </c>
      <c r="BJ638" s="2" t="s">
        <v>74</v>
      </c>
      <c r="BK638" s="2" t="s">
        <v>74</v>
      </c>
      <c r="BL638" s="2" t="s">
        <v>74</v>
      </c>
      <c r="BM638" s="2" t="s">
        <v>74</v>
      </c>
      <c r="BN638" s="2" t="s">
        <v>74</v>
      </c>
      <c r="BO638" s="2" t="s">
        <v>74</v>
      </c>
      <c r="BP638" s="2" t="s">
        <v>74</v>
      </c>
      <c r="BQ638" s="2" t="s">
        <v>74</v>
      </c>
      <c r="BR638" s="2" t="s">
        <v>74</v>
      </c>
      <c r="BS638" s="2" t="s">
        <v>6730</v>
      </c>
      <c r="BT638" s="2" t="str">
        <f>HYPERLINK("https%3A%2F%2Fwww.webofscience.com%2Fwos%2Fwoscc%2Ffull-record%2FWOS:000275078900002","View Full Record in Web of Science")</f>
        <v>View Full Record in Web of Science</v>
      </c>
    </row>
    <row r="639" spans="1:72" s="2" customFormat="1" x14ac:dyDescent="0.4">
      <c r="A639" s="2" t="s">
        <v>72</v>
      </c>
      <c r="B639" s="2" t="s">
        <v>4493</v>
      </c>
      <c r="C639" s="2" t="s">
        <v>74</v>
      </c>
      <c r="D639" s="2" t="s">
        <v>74</v>
      </c>
      <c r="E639" s="2" t="s">
        <v>74</v>
      </c>
      <c r="F639" s="2" t="s">
        <v>4493</v>
      </c>
      <c r="G639" s="2" t="s">
        <v>74</v>
      </c>
      <c r="H639" s="2" t="s">
        <v>74</v>
      </c>
      <c r="I639" s="2" t="s">
        <v>4494</v>
      </c>
      <c r="J639" s="2" t="s">
        <v>2847</v>
      </c>
      <c r="K639" s="2" t="s">
        <v>74</v>
      </c>
      <c r="L639" s="2" t="s">
        <v>74</v>
      </c>
      <c r="M639" s="2" t="s">
        <v>74</v>
      </c>
      <c r="N639" s="2" t="s">
        <v>74</v>
      </c>
      <c r="O639" s="2" t="s">
        <v>74</v>
      </c>
      <c r="P639" s="2" t="s">
        <v>74</v>
      </c>
      <c r="Q639" s="2" t="s">
        <v>74</v>
      </c>
      <c r="R639" s="2" t="s">
        <v>74</v>
      </c>
      <c r="S639" s="2" t="s">
        <v>74</v>
      </c>
      <c r="T639" s="2" t="s">
        <v>74</v>
      </c>
      <c r="U639" s="2" t="s">
        <v>74</v>
      </c>
      <c r="V639" s="5" t="s">
        <v>4495</v>
      </c>
      <c r="W639" s="2" t="s">
        <v>74</v>
      </c>
      <c r="X639" s="2" t="s">
        <v>74</v>
      </c>
      <c r="Y639" s="2" t="s">
        <v>74</v>
      </c>
      <c r="Z639" s="2" t="s">
        <v>74</v>
      </c>
      <c r="AA639" s="2" t="s">
        <v>74</v>
      </c>
      <c r="AB639" s="2" t="s">
        <v>74</v>
      </c>
      <c r="AC639" s="2" t="s">
        <v>74</v>
      </c>
      <c r="AD639" s="2" t="s">
        <v>74</v>
      </c>
      <c r="AE639" s="2" t="s">
        <v>74</v>
      </c>
      <c r="AF639" s="2" t="s">
        <v>74</v>
      </c>
      <c r="AG639" s="2" t="s">
        <v>74</v>
      </c>
      <c r="AH639" s="2" t="s">
        <v>74</v>
      </c>
      <c r="AI639" s="2" t="s">
        <v>74</v>
      </c>
      <c r="AJ639" s="2" t="s">
        <v>74</v>
      </c>
      <c r="AK639" s="2" t="s">
        <v>74</v>
      </c>
      <c r="AL639" s="2" t="s">
        <v>74</v>
      </c>
      <c r="AM639" s="2" t="s">
        <v>74</v>
      </c>
      <c r="AN639" s="2" t="s">
        <v>74</v>
      </c>
      <c r="AO639" s="2" t="s">
        <v>2849</v>
      </c>
      <c r="AP639" s="2" t="s">
        <v>74</v>
      </c>
      <c r="AQ639" s="2" t="s">
        <v>74</v>
      </c>
      <c r="AR639" s="2" t="s">
        <v>74</v>
      </c>
      <c r="AS639" s="2" t="s">
        <v>74</v>
      </c>
      <c r="AT639" s="2" t="s">
        <v>4496</v>
      </c>
      <c r="AU639" s="2">
        <v>1995</v>
      </c>
      <c r="AV639" s="2">
        <v>186</v>
      </c>
      <c r="AW639" s="2">
        <v>1</v>
      </c>
      <c r="AX639" s="2" t="s">
        <v>74</v>
      </c>
      <c r="AY639" s="2" t="s">
        <v>74</v>
      </c>
      <c r="AZ639" s="2" t="s">
        <v>74</v>
      </c>
      <c r="BA639" s="2" t="s">
        <v>74</v>
      </c>
      <c r="BB639" s="2">
        <v>17</v>
      </c>
      <c r="BC639" s="2">
        <v>31</v>
      </c>
      <c r="BD639" s="2" t="s">
        <v>74</v>
      </c>
      <c r="BE639" s="2" t="s">
        <v>4497</v>
      </c>
      <c r="BF639" s="2" t="str">
        <f>HYPERLINK("http://dx.doi.org/10.1016/0022-0981(94)00147-6","http://dx.doi.org/10.1016/0022-0981(94)00147-6")</f>
        <v>http://dx.doi.org/10.1016/0022-0981(94)00147-6</v>
      </c>
      <c r="BG639" s="2" t="s">
        <v>74</v>
      </c>
      <c r="BH639" s="2" t="s">
        <v>74</v>
      </c>
      <c r="BI639" s="2" t="s">
        <v>74</v>
      </c>
      <c r="BJ639" s="2" t="s">
        <v>74</v>
      </c>
      <c r="BK639" s="2" t="s">
        <v>74</v>
      </c>
      <c r="BL639" s="2" t="s">
        <v>74</v>
      </c>
      <c r="BM639" s="2" t="s">
        <v>74</v>
      </c>
      <c r="BN639" s="2" t="s">
        <v>74</v>
      </c>
      <c r="BO639" s="2" t="s">
        <v>74</v>
      </c>
      <c r="BP639" s="2" t="s">
        <v>74</v>
      </c>
      <c r="BQ639" s="2" t="s">
        <v>74</v>
      </c>
      <c r="BR639" s="2" t="s">
        <v>74</v>
      </c>
      <c r="BS639" s="2" t="s">
        <v>4498</v>
      </c>
      <c r="BT639" s="2" t="str">
        <f>HYPERLINK("https%3A%2F%2Fwww.webofscience.com%2Fwos%2Fwoscc%2Ffull-record%2FWOS:A1995QN80300003","View Full Record in Web of Science")</f>
        <v>View Full Record in Web of Science</v>
      </c>
    </row>
    <row r="640" spans="1:72" s="2" customFormat="1" x14ac:dyDescent="0.4">
      <c r="A640" s="2" t="s">
        <v>72</v>
      </c>
      <c r="B640" s="2" t="s">
        <v>3674</v>
      </c>
      <c r="C640" s="2" t="s">
        <v>74</v>
      </c>
      <c r="D640" s="2" t="s">
        <v>74</v>
      </c>
      <c r="E640" s="2" t="s">
        <v>74</v>
      </c>
      <c r="F640" s="2" t="s">
        <v>3675</v>
      </c>
      <c r="G640" s="2" t="s">
        <v>74</v>
      </c>
      <c r="H640" s="2" t="s">
        <v>74</v>
      </c>
      <c r="I640" s="2" t="s">
        <v>3676</v>
      </c>
      <c r="J640" s="2" t="s">
        <v>1812</v>
      </c>
      <c r="K640" s="2" t="s">
        <v>74</v>
      </c>
      <c r="L640" s="2" t="s">
        <v>74</v>
      </c>
      <c r="M640" s="2" t="s">
        <v>74</v>
      </c>
      <c r="N640" s="2" t="s">
        <v>74</v>
      </c>
      <c r="O640" s="2" t="s">
        <v>74</v>
      </c>
      <c r="P640" s="2" t="s">
        <v>74</v>
      </c>
      <c r="Q640" s="2" t="s">
        <v>74</v>
      </c>
      <c r="R640" s="2" t="s">
        <v>74</v>
      </c>
      <c r="S640" s="2" t="s">
        <v>74</v>
      </c>
      <c r="T640" s="2" t="s">
        <v>74</v>
      </c>
      <c r="U640" s="2" t="s">
        <v>74</v>
      </c>
      <c r="V640" s="5" t="s">
        <v>3677</v>
      </c>
      <c r="W640" s="2" t="s">
        <v>74</v>
      </c>
      <c r="X640" s="2" t="s">
        <v>74</v>
      </c>
      <c r="Y640" s="2" t="s">
        <v>74</v>
      </c>
      <c r="Z640" s="2" t="s">
        <v>74</v>
      </c>
      <c r="AA640" s="2" t="s">
        <v>3678</v>
      </c>
      <c r="AB640" s="2" t="s">
        <v>3679</v>
      </c>
      <c r="AC640" s="2" t="s">
        <v>74</v>
      </c>
      <c r="AD640" s="2" t="s">
        <v>74</v>
      </c>
      <c r="AE640" s="2" t="s">
        <v>74</v>
      </c>
      <c r="AF640" s="2" t="s">
        <v>74</v>
      </c>
      <c r="AG640" s="2" t="s">
        <v>74</v>
      </c>
      <c r="AH640" s="2" t="s">
        <v>74</v>
      </c>
      <c r="AI640" s="2" t="s">
        <v>74</v>
      </c>
      <c r="AJ640" s="2" t="s">
        <v>74</v>
      </c>
      <c r="AK640" s="2" t="s">
        <v>74</v>
      </c>
      <c r="AL640" s="2" t="s">
        <v>74</v>
      </c>
      <c r="AM640" s="2" t="s">
        <v>74</v>
      </c>
      <c r="AN640" s="2" t="s">
        <v>74</v>
      </c>
      <c r="AO640" s="2" t="s">
        <v>1814</v>
      </c>
      <c r="AP640" s="2" t="s">
        <v>1815</v>
      </c>
      <c r="AQ640" s="2" t="s">
        <v>74</v>
      </c>
      <c r="AR640" s="2" t="s">
        <v>74</v>
      </c>
      <c r="AS640" s="2" t="s">
        <v>74</v>
      </c>
      <c r="AT640" s="2" t="s">
        <v>102</v>
      </c>
      <c r="AU640" s="2">
        <v>2010</v>
      </c>
      <c r="AV640" s="2">
        <v>44</v>
      </c>
      <c r="AW640" s="2">
        <v>2</v>
      </c>
      <c r="AX640" s="2" t="s">
        <v>74</v>
      </c>
      <c r="AY640" s="2" t="s">
        <v>74</v>
      </c>
      <c r="AZ640" s="2" t="s">
        <v>74</v>
      </c>
      <c r="BA640" s="2" t="s">
        <v>74</v>
      </c>
      <c r="BB640" s="2">
        <v>261</v>
      </c>
      <c r="BC640" s="2">
        <v>271</v>
      </c>
      <c r="BD640" s="2" t="s">
        <v>74</v>
      </c>
      <c r="BE640" s="2" t="s">
        <v>3680</v>
      </c>
      <c r="BF640" s="2" t="str">
        <f>HYPERLINK("http://dx.doi.org/10.1670/08-275.1","http://dx.doi.org/10.1670/08-275.1")</f>
        <v>http://dx.doi.org/10.1670/08-275.1</v>
      </c>
      <c r="BG640" s="2" t="s">
        <v>74</v>
      </c>
      <c r="BH640" s="2" t="s">
        <v>74</v>
      </c>
      <c r="BI640" s="2" t="s">
        <v>74</v>
      </c>
      <c r="BJ640" s="2" t="s">
        <v>74</v>
      </c>
      <c r="BK640" s="2" t="s">
        <v>74</v>
      </c>
      <c r="BL640" s="2" t="s">
        <v>74</v>
      </c>
      <c r="BM640" s="2" t="s">
        <v>74</v>
      </c>
      <c r="BN640" s="2" t="s">
        <v>74</v>
      </c>
      <c r="BO640" s="2" t="s">
        <v>74</v>
      </c>
      <c r="BP640" s="2" t="s">
        <v>74</v>
      </c>
      <c r="BQ640" s="2" t="s">
        <v>74</v>
      </c>
      <c r="BR640" s="2" t="s">
        <v>74</v>
      </c>
      <c r="BS640" s="2" t="s">
        <v>3681</v>
      </c>
      <c r="BT640" s="2" t="str">
        <f>HYPERLINK("https%3A%2F%2Fwww.webofscience.com%2Fwos%2Fwoscc%2Ffull-record%2FWOS:000278297700010","View Full Record in Web of Science")</f>
        <v>View Full Record in Web of Science</v>
      </c>
    </row>
    <row r="641" spans="1:72" s="2" customFormat="1" x14ac:dyDescent="0.4">
      <c r="A641" s="2" t="s">
        <v>72</v>
      </c>
      <c r="B641" s="2" t="s">
        <v>1886</v>
      </c>
      <c r="C641" s="2" t="s">
        <v>74</v>
      </c>
      <c r="D641" s="2" t="s">
        <v>74</v>
      </c>
      <c r="E641" s="2" t="s">
        <v>74</v>
      </c>
      <c r="F641" s="2" t="s">
        <v>1887</v>
      </c>
      <c r="G641" s="2" t="s">
        <v>74</v>
      </c>
      <c r="H641" s="2" t="s">
        <v>74</v>
      </c>
      <c r="I641" s="2" t="s">
        <v>1888</v>
      </c>
      <c r="J641" s="2" t="s">
        <v>129</v>
      </c>
      <c r="K641" s="2" t="s">
        <v>74</v>
      </c>
      <c r="L641" s="2" t="s">
        <v>74</v>
      </c>
      <c r="M641" s="2" t="s">
        <v>74</v>
      </c>
      <c r="N641" s="2" t="s">
        <v>74</v>
      </c>
      <c r="O641" s="2" t="s">
        <v>74</v>
      </c>
      <c r="P641" s="2" t="s">
        <v>74</v>
      </c>
      <c r="Q641" s="2" t="s">
        <v>74</v>
      </c>
      <c r="R641" s="2" t="s">
        <v>74</v>
      </c>
      <c r="S641" s="2" t="s">
        <v>74</v>
      </c>
      <c r="T641" s="2" t="s">
        <v>74</v>
      </c>
      <c r="U641" s="2" t="s">
        <v>74</v>
      </c>
      <c r="V641" s="5" t="s">
        <v>1889</v>
      </c>
      <c r="W641" s="2" t="s">
        <v>74</v>
      </c>
      <c r="X641" s="2" t="s">
        <v>74</v>
      </c>
      <c r="Y641" s="2" t="s">
        <v>74</v>
      </c>
      <c r="Z641" s="2" t="s">
        <v>74</v>
      </c>
      <c r="AA641" s="2" t="s">
        <v>74</v>
      </c>
      <c r="AB641" s="2" t="s">
        <v>74</v>
      </c>
      <c r="AC641" s="2" t="s">
        <v>74</v>
      </c>
      <c r="AD641" s="2" t="s">
        <v>74</v>
      </c>
      <c r="AE641" s="2" t="s">
        <v>74</v>
      </c>
      <c r="AF641" s="2" t="s">
        <v>74</v>
      </c>
      <c r="AG641" s="2" t="s">
        <v>74</v>
      </c>
      <c r="AH641" s="2" t="s">
        <v>74</v>
      </c>
      <c r="AI641" s="2" t="s">
        <v>74</v>
      </c>
      <c r="AJ641" s="2" t="s">
        <v>74</v>
      </c>
      <c r="AK641" s="2" t="s">
        <v>74</v>
      </c>
      <c r="AL641" s="2" t="s">
        <v>74</v>
      </c>
      <c r="AM641" s="2" t="s">
        <v>74</v>
      </c>
      <c r="AN641" s="2" t="s">
        <v>74</v>
      </c>
      <c r="AO641" s="2" t="s">
        <v>132</v>
      </c>
      <c r="AP641" s="2" t="s">
        <v>133</v>
      </c>
      <c r="AQ641" s="2" t="s">
        <v>74</v>
      </c>
      <c r="AR641" s="2" t="s">
        <v>74</v>
      </c>
      <c r="AS641" s="2" t="s">
        <v>74</v>
      </c>
      <c r="AT641" s="2" t="s">
        <v>964</v>
      </c>
      <c r="AU641" s="2">
        <v>2021</v>
      </c>
      <c r="AV641" s="2">
        <v>75</v>
      </c>
      <c r="AW641" s="2">
        <v>2</v>
      </c>
      <c r="AX641" s="2" t="s">
        <v>74</v>
      </c>
      <c r="AY641" s="2" t="s">
        <v>74</v>
      </c>
      <c r="AZ641" s="2" t="s">
        <v>74</v>
      </c>
      <c r="BA641" s="2" t="s">
        <v>74</v>
      </c>
      <c r="BB641" s="2" t="s">
        <v>74</v>
      </c>
      <c r="BC641" s="2" t="s">
        <v>74</v>
      </c>
      <c r="BD641" s="2">
        <v>40</v>
      </c>
      <c r="BE641" s="2" t="s">
        <v>1890</v>
      </c>
      <c r="BF641" s="2" t="str">
        <f>HYPERLINK("http://dx.doi.org/10.1007/s00265-021-02980-y","http://dx.doi.org/10.1007/s00265-021-02980-y")</f>
        <v>http://dx.doi.org/10.1007/s00265-021-02980-y</v>
      </c>
      <c r="BG641" s="2" t="s">
        <v>74</v>
      </c>
      <c r="BH641" s="2" t="s">
        <v>74</v>
      </c>
      <c r="BI641" s="2" t="s">
        <v>74</v>
      </c>
      <c r="BJ641" s="2" t="s">
        <v>74</v>
      </c>
      <c r="BK641" s="2" t="s">
        <v>74</v>
      </c>
      <c r="BL641" s="2" t="s">
        <v>74</v>
      </c>
      <c r="BM641" s="2" t="s">
        <v>74</v>
      </c>
      <c r="BN641" s="2" t="s">
        <v>74</v>
      </c>
      <c r="BO641" s="2" t="s">
        <v>74</v>
      </c>
      <c r="BP641" s="2" t="s">
        <v>74</v>
      </c>
      <c r="BQ641" s="2" t="s">
        <v>74</v>
      </c>
      <c r="BR641" s="2" t="s">
        <v>74</v>
      </c>
      <c r="BS641" s="2" t="s">
        <v>1891</v>
      </c>
      <c r="BT641" s="2" t="str">
        <f>HYPERLINK("https%3A%2F%2Fwww.webofscience.com%2Fwos%2Fwoscc%2Ffull-record%2FWOS:000613234900001","View Full Record in Web of Science")</f>
        <v>View Full Record in Web of Science</v>
      </c>
    </row>
    <row r="642" spans="1:72" s="2" customFormat="1" x14ac:dyDescent="0.4">
      <c r="A642" s="2" t="s">
        <v>72</v>
      </c>
      <c r="B642" s="2" t="s">
        <v>3016</v>
      </c>
      <c r="C642" s="2" t="s">
        <v>74</v>
      </c>
      <c r="D642" s="2" t="s">
        <v>74</v>
      </c>
      <c r="E642" s="2" t="s">
        <v>74</v>
      </c>
      <c r="F642" s="2" t="s">
        <v>3017</v>
      </c>
      <c r="G642" s="2" t="s">
        <v>74</v>
      </c>
      <c r="H642" s="2" t="s">
        <v>74</v>
      </c>
      <c r="I642" s="2" t="s">
        <v>3018</v>
      </c>
      <c r="J642" s="2" t="s">
        <v>201</v>
      </c>
      <c r="K642" s="2" t="s">
        <v>74</v>
      </c>
      <c r="L642" s="2" t="s">
        <v>74</v>
      </c>
      <c r="M642" s="2" t="s">
        <v>74</v>
      </c>
      <c r="N642" s="2" t="s">
        <v>74</v>
      </c>
      <c r="O642" s="2" t="s">
        <v>74</v>
      </c>
      <c r="P642" s="2" t="s">
        <v>74</v>
      </c>
      <c r="Q642" s="2" t="s">
        <v>74</v>
      </c>
      <c r="R642" s="2" t="s">
        <v>74</v>
      </c>
      <c r="S642" s="2" t="s">
        <v>74</v>
      </c>
      <c r="T642" s="2" t="s">
        <v>74</v>
      </c>
      <c r="U642" s="2" t="s">
        <v>74</v>
      </c>
      <c r="V642" s="5" t="s">
        <v>3019</v>
      </c>
      <c r="W642" s="2" t="s">
        <v>74</v>
      </c>
      <c r="X642" s="2" t="s">
        <v>74</v>
      </c>
      <c r="Y642" s="2" t="s">
        <v>74</v>
      </c>
      <c r="Z642" s="2" t="s">
        <v>74</v>
      </c>
      <c r="AA642" s="2" t="s">
        <v>74</v>
      </c>
      <c r="AB642" s="2" t="s">
        <v>74</v>
      </c>
      <c r="AC642" s="2" t="s">
        <v>74</v>
      </c>
      <c r="AD642" s="2" t="s">
        <v>74</v>
      </c>
      <c r="AE642" s="2" t="s">
        <v>74</v>
      </c>
      <c r="AF642" s="2" t="s">
        <v>74</v>
      </c>
      <c r="AG642" s="2" t="s">
        <v>74</v>
      </c>
      <c r="AH642" s="2" t="s">
        <v>74</v>
      </c>
      <c r="AI642" s="2" t="s">
        <v>74</v>
      </c>
      <c r="AJ642" s="2" t="s">
        <v>74</v>
      </c>
      <c r="AK642" s="2" t="s">
        <v>74</v>
      </c>
      <c r="AL642" s="2" t="s">
        <v>74</v>
      </c>
      <c r="AM642" s="2" t="s">
        <v>74</v>
      </c>
      <c r="AN642" s="2" t="s">
        <v>74</v>
      </c>
      <c r="AO642" s="2" t="s">
        <v>203</v>
      </c>
      <c r="AP642" s="2" t="s">
        <v>1192</v>
      </c>
      <c r="AQ642" s="2" t="s">
        <v>74</v>
      </c>
      <c r="AR642" s="2" t="s">
        <v>74</v>
      </c>
      <c r="AS642" s="2" t="s">
        <v>74</v>
      </c>
      <c r="AT642" s="2" t="s">
        <v>123</v>
      </c>
      <c r="AU642" s="2">
        <v>2020</v>
      </c>
      <c r="AV642" s="2">
        <v>96</v>
      </c>
      <c r="AW642" s="2">
        <v>3</v>
      </c>
      <c r="AX642" s="2" t="s">
        <v>74</v>
      </c>
      <c r="AY642" s="2" t="s">
        <v>74</v>
      </c>
      <c r="AZ642" s="2" t="s">
        <v>74</v>
      </c>
      <c r="BA642" s="2" t="s">
        <v>74</v>
      </c>
      <c r="BB642" s="2">
        <v>663</v>
      </c>
      <c r="BC642" s="2">
        <v>668</v>
      </c>
      <c r="BD642" s="2" t="s">
        <v>74</v>
      </c>
      <c r="BE642" s="2" t="s">
        <v>3020</v>
      </c>
      <c r="BF642" s="2" t="str">
        <f>HYPERLINK("http://dx.doi.org/10.1111/jfb.14257","http://dx.doi.org/10.1111/jfb.14257")</f>
        <v>http://dx.doi.org/10.1111/jfb.14257</v>
      </c>
      <c r="BG642" s="2" t="s">
        <v>74</v>
      </c>
      <c r="BH642" s="2" t="s">
        <v>3021</v>
      </c>
      <c r="BI642" s="2" t="s">
        <v>74</v>
      </c>
      <c r="BJ642" s="2" t="s">
        <v>74</v>
      </c>
      <c r="BK642" s="2" t="s">
        <v>74</v>
      </c>
      <c r="BL642" s="2" t="s">
        <v>74</v>
      </c>
      <c r="BM642" s="2" t="s">
        <v>74</v>
      </c>
      <c r="BN642" s="2">
        <v>31944298</v>
      </c>
      <c r="BO642" s="2" t="s">
        <v>74</v>
      </c>
      <c r="BP642" s="2" t="s">
        <v>74</v>
      </c>
      <c r="BQ642" s="2" t="s">
        <v>74</v>
      </c>
      <c r="BR642" s="2" t="s">
        <v>74</v>
      </c>
      <c r="BS642" s="2" t="s">
        <v>3022</v>
      </c>
      <c r="BT642" s="2" t="str">
        <f>HYPERLINK("https%3A%2F%2Fwww.webofscience.com%2Fwos%2Fwoscc%2Ffull-record%2FWOS:000509418500001","View Full Record in Web of Science")</f>
        <v>View Full Record in Web of Science</v>
      </c>
    </row>
    <row r="643" spans="1:72" s="2" customFormat="1" x14ac:dyDescent="0.4">
      <c r="A643" s="2" t="s">
        <v>72</v>
      </c>
      <c r="B643" s="2" t="s">
        <v>5660</v>
      </c>
      <c r="C643" s="2" t="s">
        <v>74</v>
      </c>
      <c r="D643" s="2" t="s">
        <v>74</v>
      </c>
      <c r="E643" s="2" t="s">
        <v>74</v>
      </c>
      <c r="F643" s="2" t="s">
        <v>5660</v>
      </c>
      <c r="G643" s="2" t="s">
        <v>74</v>
      </c>
      <c r="H643" s="2" t="s">
        <v>74</v>
      </c>
      <c r="I643" s="2" t="s">
        <v>5661</v>
      </c>
      <c r="J643" s="2" t="s">
        <v>530</v>
      </c>
      <c r="K643" s="2" t="s">
        <v>74</v>
      </c>
      <c r="L643" s="2" t="s">
        <v>74</v>
      </c>
      <c r="M643" s="2" t="s">
        <v>74</v>
      </c>
      <c r="N643" s="2" t="s">
        <v>74</v>
      </c>
      <c r="O643" s="2" t="s">
        <v>74</v>
      </c>
      <c r="P643" s="2" t="s">
        <v>74</v>
      </c>
      <c r="Q643" s="2" t="s">
        <v>74</v>
      </c>
      <c r="R643" s="2" t="s">
        <v>74</v>
      </c>
      <c r="S643" s="2" t="s">
        <v>74</v>
      </c>
      <c r="T643" s="2" t="s">
        <v>74</v>
      </c>
      <c r="U643" s="2" t="s">
        <v>74</v>
      </c>
      <c r="V643" s="5" t="s">
        <v>5662</v>
      </c>
      <c r="W643" s="2" t="s">
        <v>74</v>
      </c>
      <c r="X643" s="2" t="s">
        <v>74</v>
      </c>
      <c r="Y643" s="2" t="s">
        <v>74</v>
      </c>
      <c r="Z643" s="2" t="s">
        <v>74</v>
      </c>
      <c r="AA643" s="2" t="s">
        <v>5663</v>
      </c>
      <c r="AB643" s="2" t="s">
        <v>5664</v>
      </c>
      <c r="AC643" s="2" t="s">
        <v>74</v>
      </c>
      <c r="AD643" s="2" t="s">
        <v>74</v>
      </c>
      <c r="AE643" s="2" t="s">
        <v>74</v>
      </c>
      <c r="AF643" s="2" t="s">
        <v>74</v>
      </c>
      <c r="AG643" s="2" t="s">
        <v>74</v>
      </c>
      <c r="AH643" s="2" t="s">
        <v>74</v>
      </c>
      <c r="AI643" s="2" t="s">
        <v>74</v>
      </c>
      <c r="AJ643" s="2" t="s">
        <v>74</v>
      </c>
      <c r="AK643" s="2" t="s">
        <v>74</v>
      </c>
      <c r="AL643" s="2" t="s">
        <v>74</v>
      </c>
      <c r="AM643" s="2" t="s">
        <v>74</v>
      </c>
      <c r="AN643" s="2" t="s">
        <v>74</v>
      </c>
      <c r="AO643" s="2" t="s">
        <v>532</v>
      </c>
      <c r="AP643" s="2" t="s">
        <v>533</v>
      </c>
      <c r="AQ643" s="2" t="s">
        <v>74</v>
      </c>
      <c r="AR643" s="2" t="s">
        <v>74</v>
      </c>
      <c r="AS643" s="2" t="s">
        <v>74</v>
      </c>
      <c r="AT643" s="2" t="s">
        <v>305</v>
      </c>
      <c r="AU643" s="2">
        <v>2001</v>
      </c>
      <c r="AV643" s="2">
        <v>139</v>
      </c>
      <c r="AW643" s="2">
        <v>6</v>
      </c>
      <c r="AX643" s="2" t="s">
        <v>74</v>
      </c>
      <c r="AY643" s="2" t="s">
        <v>74</v>
      </c>
      <c r="AZ643" s="2" t="s">
        <v>74</v>
      </c>
      <c r="BA643" s="2" t="s">
        <v>74</v>
      </c>
      <c r="BB643" s="2">
        <v>1147</v>
      </c>
      <c r="BC643" s="2">
        <v>1154</v>
      </c>
      <c r="BD643" s="2" t="s">
        <v>74</v>
      </c>
      <c r="BE643" s="2" t="s">
        <v>74</v>
      </c>
      <c r="BF643" s="2" t="s">
        <v>74</v>
      </c>
      <c r="BG643" s="2" t="s">
        <v>74</v>
      </c>
      <c r="BH643" s="2" t="s">
        <v>74</v>
      </c>
      <c r="BI643" s="2" t="s">
        <v>74</v>
      </c>
      <c r="BJ643" s="2" t="s">
        <v>74</v>
      </c>
      <c r="BK643" s="2" t="s">
        <v>74</v>
      </c>
      <c r="BL643" s="2" t="s">
        <v>74</v>
      </c>
      <c r="BM643" s="2" t="s">
        <v>74</v>
      </c>
      <c r="BN643" s="2" t="s">
        <v>74</v>
      </c>
      <c r="BO643" s="2" t="s">
        <v>74</v>
      </c>
      <c r="BP643" s="2" t="s">
        <v>74</v>
      </c>
      <c r="BQ643" s="2" t="s">
        <v>74</v>
      </c>
      <c r="BR643" s="2" t="s">
        <v>74</v>
      </c>
      <c r="BS643" s="2" t="s">
        <v>5665</v>
      </c>
      <c r="BT643" s="2" t="str">
        <f>HYPERLINK("https%3A%2F%2Fwww.webofscience.com%2Fwos%2Fwoscc%2Ffull-record%2FWOS:000173168700014","View Full Record in Web of Science")</f>
        <v>View Full Record in Web of Science</v>
      </c>
    </row>
    <row r="644" spans="1:72" s="2" customFormat="1" x14ac:dyDescent="0.4">
      <c r="A644" s="2" t="s">
        <v>72</v>
      </c>
      <c r="B644" s="2" t="s">
        <v>2586</v>
      </c>
      <c r="C644" s="2" t="s">
        <v>74</v>
      </c>
      <c r="D644" s="2" t="s">
        <v>74</v>
      </c>
      <c r="E644" s="2" t="s">
        <v>74</v>
      </c>
      <c r="F644" s="2" t="s">
        <v>2587</v>
      </c>
      <c r="G644" s="2" t="s">
        <v>74</v>
      </c>
      <c r="H644" s="2" t="s">
        <v>74</v>
      </c>
      <c r="I644" s="2" t="s">
        <v>2588</v>
      </c>
      <c r="J644" s="2" t="s">
        <v>824</v>
      </c>
      <c r="K644" s="2" t="s">
        <v>74</v>
      </c>
      <c r="L644" s="2" t="s">
        <v>74</v>
      </c>
      <c r="M644" s="2" t="s">
        <v>74</v>
      </c>
      <c r="N644" s="2" t="s">
        <v>74</v>
      </c>
      <c r="O644" s="2" t="s">
        <v>74</v>
      </c>
      <c r="P644" s="2" t="s">
        <v>74</v>
      </c>
      <c r="Q644" s="2" t="s">
        <v>74</v>
      </c>
      <c r="R644" s="2" t="s">
        <v>74</v>
      </c>
      <c r="S644" s="2" t="s">
        <v>74</v>
      </c>
      <c r="T644" s="2" t="s">
        <v>74</v>
      </c>
      <c r="U644" s="2" t="s">
        <v>74</v>
      </c>
      <c r="V644" s="5" t="s">
        <v>2589</v>
      </c>
      <c r="W644" s="2" t="s">
        <v>74</v>
      </c>
      <c r="X644" s="2" t="s">
        <v>74</v>
      </c>
      <c r="Y644" s="2" t="s">
        <v>74</v>
      </c>
      <c r="Z644" s="2" t="s">
        <v>74</v>
      </c>
      <c r="AA644" s="2" t="s">
        <v>2590</v>
      </c>
      <c r="AB644" s="2" t="s">
        <v>2591</v>
      </c>
      <c r="AC644" s="2" t="s">
        <v>74</v>
      </c>
      <c r="AD644" s="2" t="s">
        <v>74</v>
      </c>
      <c r="AE644" s="2" t="s">
        <v>74</v>
      </c>
      <c r="AF644" s="2" t="s">
        <v>74</v>
      </c>
      <c r="AG644" s="2" t="s">
        <v>74</v>
      </c>
      <c r="AH644" s="2" t="s">
        <v>74</v>
      </c>
      <c r="AI644" s="2" t="s">
        <v>74</v>
      </c>
      <c r="AJ644" s="2" t="s">
        <v>74</v>
      </c>
      <c r="AK644" s="2" t="s">
        <v>74</v>
      </c>
      <c r="AL644" s="2" t="s">
        <v>74</v>
      </c>
      <c r="AM644" s="2" t="s">
        <v>74</v>
      </c>
      <c r="AN644" s="2" t="s">
        <v>74</v>
      </c>
      <c r="AO644" s="2" t="s">
        <v>828</v>
      </c>
      <c r="AP644" s="2" t="s">
        <v>829</v>
      </c>
      <c r="AQ644" s="2" t="s">
        <v>74</v>
      </c>
      <c r="AR644" s="2" t="s">
        <v>74</v>
      </c>
      <c r="AS644" s="2" t="s">
        <v>74</v>
      </c>
      <c r="AT644" s="2" t="s">
        <v>213</v>
      </c>
      <c r="AU644" s="2">
        <v>2014</v>
      </c>
      <c r="AV644" s="2">
        <v>83</v>
      </c>
      <c r="AW644" s="2">
        <v>6</v>
      </c>
      <c r="AX644" s="2" t="s">
        <v>74</v>
      </c>
      <c r="AY644" s="2" t="s">
        <v>74</v>
      </c>
      <c r="AZ644" s="2" t="s">
        <v>74</v>
      </c>
      <c r="BA644" s="2" t="s">
        <v>74</v>
      </c>
      <c r="BB644" s="2">
        <v>1490</v>
      </c>
      <c r="BC644" s="2">
        <v>1500</v>
      </c>
      <c r="BD644" s="2" t="s">
        <v>74</v>
      </c>
      <c r="BE644" s="2" t="s">
        <v>2592</v>
      </c>
      <c r="BF644" s="2" t="str">
        <f>HYPERLINK("http://dx.doi.org/10.1111/1365-2656.12252","http://dx.doi.org/10.1111/1365-2656.12252")</f>
        <v>http://dx.doi.org/10.1111/1365-2656.12252</v>
      </c>
      <c r="BG644" s="2" t="s">
        <v>74</v>
      </c>
      <c r="BH644" s="2" t="s">
        <v>74</v>
      </c>
      <c r="BI644" s="2" t="s">
        <v>74</v>
      </c>
      <c r="BJ644" s="2" t="s">
        <v>74</v>
      </c>
      <c r="BK644" s="2" t="s">
        <v>74</v>
      </c>
      <c r="BL644" s="2" t="s">
        <v>74</v>
      </c>
      <c r="BM644" s="2" t="s">
        <v>74</v>
      </c>
      <c r="BN644" s="2">
        <v>24889087</v>
      </c>
      <c r="BO644" s="2" t="s">
        <v>74</v>
      </c>
      <c r="BP644" s="2" t="s">
        <v>74</v>
      </c>
      <c r="BQ644" s="2" t="s">
        <v>74</v>
      </c>
      <c r="BR644" s="2" t="s">
        <v>74</v>
      </c>
      <c r="BS644" s="2" t="s">
        <v>2593</v>
      </c>
      <c r="BT644" s="2" t="str">
        <f>HYPERLINK("https%3A%2F%2Fwww.webofscience.com%2Fwos%2Fwoscc%2Ffull-record%2FWOS:000344339500025","View Full Record in Web of Science")</f>
        <v>View Full Record in Web of Science</v>
      </c>
    </row>
    <row r="645" spans="1:72" s="2" customFormat="1" x14ac:dyDescent="0.4">
      <c r="A645" s="2" t="s">
        <v>72</v>
      </c>
      <c r="B645" s="2" t="s">
        <v>5958</v>
      </c>
      <c r="C645" s="2" t="s">
        <v>74</v>
      </c>
      <c r="D645" s="2" t="s">
        <v>74</v>
      </c>
      <c r="E645" s="2" t="s">
        <v>74</v>
      </c>
      <c r="F645" s="2" t="s">
        <v>5959</v>
      </c>
      <c r="G645" s="2" t="s">
        <v>74</v>
      </c>
      <c r="H645" s="2" t="s">
        <v>74</v>
      </c>
      <c r="I645" s="2" t="s">
        <v>5960</v>
      </c>
      <c r="J645" s="2" t="s">
        <v>5961</v>
      </c>
      <c r="K645" s="2" t="s">
        <v>74</v>
      </c>
      <c r="L645" s="2" t="s">
        <v>74</v>
      </c>
      <c r="M645" s="2" t="s">
        <v>74</v>
      </c>
      <c r="N645" s="2" t="s">
        <v>74</v>
      </c>
      <c r="O645" s="2" t="s">
        <v>74</v>
      </c>
      <c r="P645" s="2" t="s">
        <v>74</v>
      </c>
      <c r="Q645" s="2" t="s">
        <v>74</v>
      </c>
      <c r="R645" s="2" t="s">
        <v>74</v>
      </c>
      <c r="S645" s="2" t="s">
        <v>74</v>
      </c>
      <c r="T645" s="2" t="s">
        <v>74</v>
      </c>
      <c r="U645" s="2" t="s">
        <v>74</v>
      </c>
      <c r="V645" s="5" t="s">
        <v>5962</v>
      </c>
      <c r="W645" s="2" t="s">
        <v>74</v>
      </c>
      <c r="X645" s="2" t="s">
        <v>74</v>
      </c>
      <c r="Y645" s="2" t="s">
        <v>74</v>
      </c>
      <c r="Z645" s="2" t="s">
        <v>74</v>
      </c>
      <c r="AA645" s="2" t="s">
        <v>5963</v>
      </c>
      <c r="AB645" s="2" t="s">
        <v>5964</v>
      </c>
      <c r="AC645" s="2" t="s">
        <v>74</v>
      </c>
      <c r="AD645" s="2" t="s">
        <v>74</v>
      </c>
      <c r="AE645" s="2" t="s">
        <v>74</v>
      </c>
      <c r="AF645" s="2" t="s">
        <v>74</v>
      </c>
      <c r="AG645" s="2" t="s">
        <v>74</v>
      </c>
      <c r="AH645" s="2" t="s">
        <v>74</v>
      </c>
      <c r="AI645" s="2" t="s">
        <v>74</v>
      </c>
      <c r="AJ645" s="2" t="s">
        <v>74</v>
      </c>
      <c r="AK645" s="2" t="s">
        <v>74</v>
      </c>
      <c r="AL645" s="2" t="s">
        <v>74</v>
      </c>
      <c r="AM645" s="2" t="s">
        <v>74</v>
      </c>
      <c r="AN645" s="2" t="s">
        <v>74</v>
      </c>
      <c r="AO645" s="2" t="s">
        <v>5965</v>
      </c>
      <c r="AP645" s="2" t="s">
        <v>5966</v>
      </c>
      <c r="AQ645" s="2" t="s">
        <v>74</v>
      </c>
      <c r="AR645" s="2" t="s">
        <v>74</v>
      </c>
      <c r="AS645" s="2" t="s">
        <v>74</v>
      </c>
      <c r="AT645" s="2" t="s">
        <v>175</v>
      </c>
      <c r="AU645" s="2">
        <v>2015</v>
      </c>
      <c r="AV645" s="2">
        <v>40</v>
      </c>
      <c r="AW645" s="2">
        <v>4</v>
      </c>
      <c r="AX645" s="2" t="s">
        <v>74</v>
      </c>
      <c r="AY645" s="2" t="s">
        <v>74</v>
      </c>
      <c r="AZ645" s="2" t="s">
        <v>74</v>
      </c>
      <c r="BA645" s="2" t="s">
        <v>74</v>
      </c>
      <c r="BB645" s="2">
        <v>881</v>
      </c>
      <c r="BC645" s="2">
        <v>890</v>
      </c>
      <c r="BD645" s="2" t="s">
        <v>74</v>
      </c>
      <c r="BE645" s="2" t="s">
        <v>5967</v>
      </c>
      <c r="BF645" s="2" t="str">
        <f>HYPERLINK("http://dx.doi.org/10.1111/syen.12137","http://dx.doi.org/10.1111/syen.12137")</f>
        <v>http://dx.doi.org/10.1111/syen.12137</v>
      </c>
      <c r="BG645" s="2" t="s">
        <v>74</v>
      </c>
      <c r="BH645" s="2" t="s">
        <v>74</v>
      </c>
      <c r="BI645" s="2" t="s">
        <v>74</v>
      </c>
      <c r="BJ645" s="2" t="s">
        <v>74</v>
      </c>
      <c r="BK645" s="2" t="s">
        <v>74</v>
      </c>
      <c r="BL645" s="2" t="s">
        <v>74</v>
      </c>
      <c r="BM645" s="2" t="s">
        <v>74</v>
      </c>
      <c r="BN645" s="2" t="s">
        <v>74</v>
      </c>
      <c r="BO645" s="2" t="s">
        <v>74</v>
      </c>
      <c r="BP645" s="2" t="s">
        <v>74</v>
      </c>
      <c r="BQ645" s="2" t="s">
        <v>74</v>
      </c>
      <c r="BR645" s="2" t="s">
        <v>74</v>
      </c>
      <c r="BS645" s="2" t="s">
        <v>5968</v>
      </c>
      <c r="BT645" s="2" t="str">
        <f>HYPERLINK("https%3A%2F%2Fwww.webofscience.com%2Fwos%2Fwoscc%2Ffull-record%2FWOS:000360760000010","View Full Record in Web of Science")</f>
        <v>View Full Record in Web of Science</v>
      </c>
    </row>
    <row r="646" spans="1:72" s="2" customFormat="1" x14ac:dyDescent="0.4">
      <c r="A646" s="2" t="s">
        <v>72</v>
      </c>
      <c r="B646" s="2" t="s">
        <v>6433</v>
      </c>
      <c r="C646" s="2" t="s">
        <v>74</v>
      </c>
      <c r="D646" s="2" t="s">
        <v>74</v>
      </c>
      <c r="E646" s="2" t="s">
        <v>74</v>
      </c>
      <c r="F646" s="2" t="s">
        <v>6434</v>
      </c>
      <c r="G646" s="2" t="s">
        <v>74</v>
      </c>
      <c r="H646" s="2" t="s">
        <v>74</v>
      </c>
      <c r="I646" s="2" t="s">
        <v>6435</v>
      </c>
      <c r="J646" s="2" t="s">
        <v>6436</v>
      </c>
      <c r="K646" s="2" t="s">
        <v>74</v>
      </c>
      <c r="L646" s="2" t="s">
        <v>74</v>
      </c>
      <c r="M646" s="2" t="s">
        <v>74</v>
      </c>
      <c r="N646" s="2" t="s">
        <v>74</v>
      </c>
      <c r="O646" s="2" t="s">
        <v>74</v>
      </c>
      <c r="P646" s="2" t="s">
        <v>74</v>
      </c>
      <c r="Q646" s="2" t="s">
        <v>74</v>
      </c>
      <c r="R646" s="2" t="s">
        <v>74</v>
      </c>
      <c r="S646" s="2" t="s">
        <v>74</v>
      </c>
      <c r="T646" s="2" t="s">
        <v>74</v>
      </c>
      <c r="U646" s="2" t="s">
        <v>74</v>
      </c>
      <c r="V646" s="5" t="s">
        <v>6437</v>
      </c>
      <c r="W646" s="2" t="s">
        <v>74</v>
      </c>
      <c r="X646" s="2" t="s">
        <v>74</v>
      </c>
      <c r="Y646" s="2" t="s">
        <v>74</v>
      </c>
      <c r="Z646" s="2" t="s">
        <v>74</v>
      </c>
      <c r="AA646" s="2" t="s">
        <v>6438</v>
      </c>
      <c r="AB646" s="2" t="s">
        <v>74</v>
      </c>
      <c r="AC646" s="2" t="s">
        <v>74</v>
      </c>
      <c r="AD646" s="2" t="s">
        <v>74</v>
      </c>
      <c r="AE646" s="2" t="s">
        <v>74</v>
      </c>
      <c r="AF646" s="2" t="s">
        <v>74</v>
      </c>
      <c r="AG646" s="2" t="s">
        <v>74</v>
      </c>
      <c r="AH646" s="2" t="s">
        <v>74</v>
      </c>
      <c r="AI646" s="2" t="s">
        <v>74</v>
      </c>
      <c r="AJ646" s="2" t="s">
        <v>74</v>
      </c>
      <c r="AK646" s="2" t="s">
        <v>74</v>
      </c>
      <c r="AL646" s="2" t="s">
        <v>74</v>
      </c>
      <c r="AM646" s="2" t="s">
        <v>74</v>
      </c>
      <c r="AN646" s="2" t="s">
        <v>74</v>
      </c>
      <c r="AO646" s="2" t="s">
        <v>6439</v>
      </c>
      <c r="AP646" s="2" t="s">
        <v>74</v>
      </c>
      <c r="AQ646" s="2" t="s">
        <v>74</v>
      </c>
      <c r="AR646" s="2" t="s">
        <v>74</v>
      </c>
      <c r="AS646" s="2" t="s">
        <v>74</v>
      </c>
      <c r="AT646" s="2" t="s">
        <v>4830</v>
      </c>
      <c r="AU646" s="2">
        <v>2007</v>
      </c>
      <c r="AV646" s="2">
        <v>20</v>
      </c>
      <c r="AW646" s="2">
        <v>1</v>
      </c>
      <c r="AX646" s="2" t="s">
        <v>74</v>
      </c>
      <c r="AY646" s="2" t="s">
        <v>74</v>
      </c>
      <c r="AZ646" s="2" t="s">
        <v>74</v>
      </c>
      <c r="BA646" s="2" t="s">
        <v>74</v>
      </c>
      <c r="BB646" s="2">
        <v>72</v>
      </c>
      <c r="BC646" s="2">
        <v>81</v>
      </c>
      <c r="BD646" s="2" t="s">
        <v>74</v>
      </c>
      <c r="BE646" s="2" t="s">
        <v>6440</v>
      </c>
      <c r="BF646" s="2" t="str">
        <f>HYPERLINK("http://dx.doi.org/10.1071/SB06010","http://dx.doi.org/10.1071/SB06010")</f>
        <v>http://dx.doi.org/10.1071/SB06010</v>
      </c>
      <c r="BG646" s="2" t="s">
        <v>74</v>
      </c>
      <c r="BH646" s="2" t="s">
        <v>74</v>
      </c>
      <c r="BI646" s="2" t="s">
        <v>74</v>
      </c>
      <c r="BJ646" s="2" t="s">
        <v>74</v>
      </c>
      <c r="BK646" s="2" t="s">
        <v>74</v>
      </c>
      <c r="BL646" s="2" t="s">
        <v>74</v>
      </c>
      <c r="BM646" s="2" t="s">
        <v>74</v>
      </c>
      <c r="BN646" s="2" t="s">
        <v>74</v>
      </c>
      <c r="BO646" s="2" t="s">
        <v>74</v>
      </c>
      <c r="BP646" s="2" t="s">
        <v>74</v>
      </c>
      <c r="BQ646" s="2" t="s">
        <v>74</v>
      </c>
      <c r="BR646" s="2" t="s">
        <v>74</v>
      </c>
      <c r="BS646" s="2" t="s">
        <v>6441</v>
      </c>
      <c r="BT646" s="2" t="str">
        <f>HYPERLINK("https%3A%2F%2Fwww.webofscience.com%2Fwos%2Fwoscc%2Ffull-record%2FWOS:000244420200005","View Full Record in Web of Science")</f>
        <v>View Full Record in Web of Science</v>
      </c>
    </row>
    <row r="647" spans="1:72" s="2" customFormat="1" x14ac:dyDescent="0.4">
      <c r="A647" s="2" t="s">
        <v>72</v>
      </c>
      <c r="B647" s="2" t="s">
        <v>6134</v>
      </c>
      <c r="C647" s="2" t="s">
        <v>74</v>
      </c>
      <c r="D647" s="2" t="s">
        <v>74</v>
      </c>
      <c r="E647" s="2" t="s">
        <v>74</v>
      </c>
      <c r="F647" s="2" t="s">
        <v>6135</v>
      </c>
      <c r="G647" s="2" t="s">
        <v>74</v>
      </c>
      <c r="H647" s="2" t="s">
        <v>74</v>
      </c>
      <c r="I647" s="2" t="s">
        <v>6136</v>
      </c>
      <c r="J647" s="2" t="s">
        <v>6137</v>
      </c>
      <c r="K647" s="2" t="s">
        <v>74</v>
      </c>
      <c r="L647" s="2" t="s">
        <v>74</v>
      </c>
      <c r="M647" s="2" t="s">
        <v>74</v>
      </c>
      <c r="N647" s="2" t="s">
        <v>74</v>
      </c>
      <c r="O647" s="2" t="s">
        <v>74</v>
      </c>
      <c r="P647" s="2" t="s">
        <v>74</v>
      </c>
      <c r="Q647" s="2" t="s">
        <v>74</v>
      </c>
      <c r="R647" s="2" t="s">
        <v>74</v>
      </c>
      <c r="S647" s="2" t="s">
        <v>74</v>
      </c>
      <c r="T647" s="2" t="s">
        <v>74</v>
      </c>
      <c r="U647" s="2" t="s">
        <v>74</v>
      </c>
      <c r="V647" s="5" t="s">
        <v>6138</v>
      </c>
      <c r="W647" s="2" t="s">
        <v>74</v>
      </c>
      <c r="X647" s="2" t="s">
        <v>74</v>
      </c>
      <c r="Y647" s="2" t="s">
        <v>74</v>
      </c>
      <c r="Z647" s="2" t="s">
        <v>74</v>
      </c>
      <c r="AA647" s="2" t="s">
        <v>6139</v>
      </c>
      <c r="AB647" s="2" t="s">
        <v>74</v>
      </c>
      <c r="AC647" s="2" t="s">
        <v>74</v>
      </c>
      <c r="AD647" s="2" t="s">
        <v>74</v>
      </c>
      <c r="AE647" s="2" t="s">
        <v>74</v>
      </c>
      <c r="AF647" s="2" t="s">
        <v>74</v>
      </c>
      <c r="AG647" s="2" t="s">
        <v>74</v>
      </c>
      <c r="AH647" s="2" t="s">
        <v>74</v>
      </c>
      <c r="AI647" s="2" t="s">
        <v>74</v>
      </c>
      <c r="AJ647" s="2" t="s">
        <v>74</v>
      </c>
      <c r="AK647" s="2" t="s">
        <v>74</v>
      </c>
      <c r="AL647" s="2" t="s">
        <v>74</v>
      </c>
      <c r="AM647" s="2" t="s">
        <v>74</v>
      </c>
      <c r="AN647" s="2" t="s">
        <v>74</v>
      </c>
      <c r="AO647" s="2" t="s">
        <v>6140</v>
      </c>
      <c r="AP647" s="2" t="s">
        <v>6141</v>
      </c>
      <c r="AQ647" s="2" t="s">
        <v>74</v>
      </c>
      <c r="AR647" s="2" t="s">
        <v>74</v>
      </c>
      <c r="AS647" s="2" t="s">
        <v>74</v>
      </c>
      <c r="AT647" s="2" t="s">
        <v>6142</v>
      </c>
      <c r="AU647" s="2">
        <v>2015</v>
      </c>
      <c r="AV647" s="2" t="s">
        <v>74</v>
      </c>
      <c r="AW647" s="2" t="s">
        <v>74</v>
      </c>
      <c r="AX647" s="2" t="s">
        <v>74</v>
      </c>
      <c r="AY647" s="2">
        <v>31</v>
      </c>
      <c r="AZ647" s="2" t="s">
        <v>74</v>
      </c>
      <c r="BA647" s="2" t="s">
        <v>74</v>
      </c>
      <c r="BB647" s="2">
        <v>75</v>
      </c>
      <c r="BC647" s="2">
        <v>95</v>
      </c>
      <c r="BD647" s="2" t="s">
        <v>74</v>
      </c>
      <c r="BE647" s="2" t="s">
        <v>74</v>
      </c>
      <c r="BF647" s="2" t="s">
        <v>74</v>
      </c>
      <c r="BG647" s="2" t="s">
        <v>74</v>
      </c>
      <c r="BH647" s="2" t="s">
        <v>74</v>
      </c>
      <c r="BI647" s="2" t="s">
        <v>74</v>
      </c>
      <c r="BJ647" s="2" t="s">
        <v>74</v>
      </c>
      <c r="BK647" s="2" t="s">
        <v>74</v>
      </c>
      <c r="BL647" s="2" t="s">
        <v>74</v>
      </c>
      <c r="BM647" s="2" t="s">
        <v>74</v>
      </c>
      <c r="BN647" s="2" t="s">
        <v>74</v>
      </c>
      <c r="BO647" s="2" t="s">
        <v>74</v>
      </c>
      <c r="BP647" s="2" t="s">
        <v>74</v>
      </c>
      <c r="BQ647" s="2" t="s">
        <v>74</v>
      </c>
      <c r="BR647" s="2" t="s">
        <v>74</v>
      </c>
      <c r="BS647" s="2" t="s">
        <v>6143</v>
      </c>
      <c r="BT647" s="2" t="str">
        <f>HYPERLINK("https%3A%2F%2Fwww.webofscience.com%2Fwos%2Fwoscc%2Ffull-record%2FWOS:000360400000009","View Full Record in Web of Science")</f>
        <v>View Full Record in Web of Science</v>
      </c>
    </row>
    <row r="648" spans="1:72" s="2" customFormat="1" x14ac:dyDescent="0.4">
      <c r="A648" s="2" t="s">
        <v>72</v>
      </c>
      <c r="B648" s="2" t="s">
        <v>238</v>
      </c>
      <c r="C648" s="2" t="s">
        <v>74</v>
      </c>
      <c r="D648" s="2" t="s">
        <v>74</v>
      </c>
      <c r="E648" s="2" t="s">
        <v>74</v>
      </c>
      <c r="F648" s="2" t="s">
        <v>239</v>
      </c>
      <c r="G648" s="2" t="s">
        <v>74</v>
      </c>
      <c r="H648" s="2" t="s">
        <v>74</v>
      </c>
      <c r="I648" s="2" t="s">
        <v>240</v>
      </c>
      <c r="J648" s="2" t="s">
        <v>241</v>
      </c>
      <c r="K648" s="2" t="s">
        <v>74</v>
      </c>
      <c r="L648" s="2" t="s">
        <v>74</v>
      </c>
      <c r="M648" s="2" t="s">
        <v>74</v>
      </c>
      <c r="N648" s="2" t="s">
        <v>74</v>
      </c>
      <c r="O648" s="2" t="s">
        <v>74</v>
      </c>
      <c r="P648" s="2" t="s">
        <v>74</v>
      </c>
      <c r="Q648" s="2" t="s">
        <v>74</v>
      </c>
      <c r="R648" s="2" t="s">
        <v>74</v>
      </c>
      <c r="S648" s="2" t="s">
        <v>74</v>
      </c>
      <c r="T648" s="2" t="s">
        <v>74</v>
      </c>
      <c r="U648" s="2" t="s">
        <v>74</v>
      </c>
      <c r="V648" s="5" t="s">
        <v>242</v>
      </c>
      <c r="W648" s="2" t="s">
        <v>74</v>
      </c>
      <c r="X648" s="2" t="s">
        <v>74</v>
      </c>
      <c r="Y648" s="2" t="s">
        <v>74</v>
      </c>
      <c r="Z648" s="2" t="s">
        <v>74</v>
      </c>
      <c r="AA648" s="2" t="s">
        <v>243</v>
      </c>
      <c r="AB648" s="2" t="s">
        <v>244</v>
      </c>
      <c r="AC648" s="2" t="s">
        <v>74</v>
      </c>
      <c r="AD648" s="2" t="s">
        <v>74</v>
      </c>
      <c r="AE648" s="2" t="s">
        <v>74</v>
      </c>
      <c r="AF648" s="2" t="s">
        <v>74</v>
      </c>
      <c r="AG648" s="2" t="s">
        <v>74</v>
      </c>
      <c r="AH648" s="2" t="s">
        <v>74</v>
      </c>
      <c r="AI648" s="2" t="s">
        <v>74</v>
      </c>
      <c r="AJ648" s="2" t="s">
        <v>74</v>
      </c>
      <c r="AK648" s="2" t="s">
        <v>74</v>
      </c>
      <c r="AL648" s="2" t="s">
        <v>74</v>
      </c>
      <c r="AM648" s="2" t="s">
        <v>74</v>
      </c>
      <c r="AN648" s="2" t="s">
        <v>74</v>
      </c>
      <c r="AO648" s="2" t="s">
        <v>245</v>
      </c>
      <c r="AP648" s="2" t="s">
        <v>246</v>
      </c>
      <c r="AQ648" s="2" t="s">
        <v>74</v>
      </c>
      <c r="AR648" s="2" t="s">
        <v>74</v>
      </c>
      <c r="AS648" s="2" t="s">
        <v>74</v>
      </c>
      <c r="AT648" s="2" t="s">
        <v>134</v>
      </c>
      <c r="AU648" s="2">
        <v>2014</v>
      </c>
      <c r="AV648" s="2">
        <v>175</v>
      </c>
      <c r="AW648" s="2">
        <v>1</v>
      </c>
      <c r="AX648" s="2" t="s">
        <v>74</v>
      </c>
      <c r="AY648" s="2" t="s">
        <v>74</v>
      </c>
      <c r="AZ648" s="2" t="s">
        <v>74</v>
      </c>
      <c r="BA648" s="2" t="s">
        <v>74</v>
      </c>
      <c r="BB648" s="2">
        <v>85</v>
      </c>
      <c r="BC648" s="2">
        <v>93</v>
      </c>
      <c r="BD648" s="2" t="s">
        <v>74</v>
      </c>
      <c r="BE648" s="2" t="s">
        <v>247</v>
      </c>
      <c r="BF648" s="2" t="str">
        <f>HYPERLINK("http://dx.doi.org/10.1007/s00442-013-2879-1","http://dx.doi.org/10.1007/s00442-013-2879-1")</f>
        <v>http://dx.doi.org/10.1007/s00442-013-2879-1</v>
      </c>
      <c r="BG648" s="2" t="s">
        <v>74</v>
      </c>
      <c r="BH648" s="2" t="s">
        <v>74</v>
      </c>
      <c r="BI648" s="2" t="s">
        <v>74</v>
      </c>
      <c r="BJ648" s="2" t="s">
        <v>74</v>
      </c>
      <c r="BK648" s="2" t="s">
        <v>74</v>
      </c>
      <c r="BL648" s="2" t="s">
        <v>74</v>
      </c>
      <c r="BM648" s="2" t="s">
        <v>74</v>
      </c>
      <c r="BN648" s="2">
        <v>24414236</v>
      </c>
      <c r="BO648" s="2" t="s">
        <v>74</v>
      </c>
      <c r="BP648" s="2" t="s">
        <v>74</v>
      </c>
      <c r="BQ648" s="2" t="s">
        <v>74</v>
      </c>
      <c r="BR648" s="2" t="s">
        <v>74</v>
      </c>
      <c r="BS648" s="2" t="s">
        <v>248</v>
      </c>
      <c r="BT648" s="2" t="str">
        <f>HYPERLINK("https%3A%2F%2Fwww.webofscience.com%2Fwos%2Fwoscc%2Ffull-record%2FWOS:000334691600008","View Full Record in Web of Science")</f>
        <v>View Full Record in Web of Science</v>
      </c>
    </row>
    <row r="649" spans="1:72" s="2" customFormat="1" x14ac:dyDescent="0.4">
      <c r="A649" s="2" t="s">
        <v>72</v>
      </c>
      <c r="B649" s="2" t="s">
        <v>238</v>
      </c>
      <c r="C649" s="2" t="s">
        <v>74</v>
      </c>
      <c r="D649" s="2" t="s">
        <v>74</v>
      </c>
      <c r="E649" s="2" t="s">
        <v>74</v>
      </c>
      <c r="F649" s="2" t="s">
        <v>239</v>
      </c>
      <c r="G649" s="2" t="s">
        <v>74</v>
      </c>
      <c r="H649" s="2" t="s">
        <v>74</v>
      </c>
      <c r="I649" s="2" t="s">
        <v>1149</v>
      </c>
      <c r="J649" s="2" t="s">
        <v>333</v>
      </c>
      <c r="K649" s="2" t="s">
        <v>74</v>
      </c>
      <c r="L649" s="2" t="s">
        <v>74</v>
      </c>
      <c r="M649" s="2" t="s">
        <v>74</v>
      </c>
      <c r="N649" s="2" t="s">
        <v>74</v>
      </c>
      <c r="O649" s="2" t="s">
        <v>74</v>
      </c>
      <c r="P649" s="2" t="s">
        <v>74</v>
      </c>
      <c r="Q649" s="2" t="s">
        <v>74</v>
      </c>
      <c r="R649" s="2" t="s">
        <v>74</v>
      </c>
      <c r="S649" s="2" t="s">
        <v>74</v>
      </c>
      <c r="T649" s="2" t="s">
        <v>74</v>
      </c>
      <c r="U649" s="2" t="s">
        <v>74</v>
      </c>
      <c r="V649" s="5" t="s">
        <v>1150</v>
      </c>
      <c r="W649" s="2" t="s">
        <v>74</v>
      </c>
      <c r="X649" s="2" t="s">
        <v>74</v>
      </c>
      <c r="Y649" s="2" t="s">
        <v>74</v>
      </c>
      <c r="Z649" s="2" t="s">
        <v>74</v>
      </c>
      <c r="AA649" s="2" t="s">
        <v>243</v>
      </c>
      <c r="AB649" s="2" t="s">
        <v>244</v>
      </c>
      <c r="AC649" s="2" t="s">
        <v>74</v>
      </c>
      <c r="AD649" s="2" t="s">
        <v>74</v>
      </c>
      <c r="AE649" s="2" t="s">
        <v>74</v>
      </c>
      <c r="AF649" s="2" t="s">
        <v>74</v>
      </c>
      <c r="AG649" s="2" t="s">
        <v>74</v>
      </c>
      <c r="AH649" s="2" t="s">
        <v>74</v>
      </c>
      <c r="AI649" s="2" t="s">
        <v>74</v>
      </c>
      <c r="AJ649" s="2" t="s">
        <v>74</v>
      </c>
      <c r="AK649" s="2" t="s">
        <v>74</v>
      </c>
      <c r="AL649" s="2" t="s">
        <v>74</v>
      </c>
      <c r="AM649" s="2" t="s">
        <v>74</v>
      </c>
      <c r="AN649" s="2" t="s">
        <v>74</v>
      </c>
      <c r="AO649" s="2" t="s">
        <v>337</v>
      </c>
      <c r="AP649" s="2" t="s">
        <v>338</v>
      </c>
      <c r="AQ649" s="2" t="s">
        <v>74</v>
      </c>
      <c r="AR649" s="2" t="s">
        <v>74</v>
      </c>
      <c r="AS649" s="2" t="s">
        <v>74</v>
      </c>
      <c r="AT649" s="2" t="s">
        <v>808</v>
      </c>
      <c r="AU649" s="2">
        <v>2017</v>
      </c>
      <c r="AV649" s="2">
        <v>28</v>
      </c>
      <c r="AW649" s="2">
        <v>3</v>
      </c>
      <c r="AX649" s="2" t="s">
        <v>74</v>
      </c>
      <c r="AY649" s="2" t="s">
        <v>74</v>
      </c>
      <c r="AZ649" s="2" t="s">
        <v>74</v>
      </c>
      <c r="BA649" s="2" t="s">
        <v>74</v>
      </c>
      <c r="BB649" s="2">
        <v>925</v>
      </c>
      <c r="BC649" s="2">
        <v>933</v>
      </c>
      <c r="BD649" s="2" t="s">
        <v>74</v>
      </c>
      <c r="BE649" s="2" t="s">
        <v>1151</v>
      </c>
      <c r="BF649" s="2" t="str">
        <f>HYPERLINK("http://dx.doi.org/10.1093/beheco/arx052","http://dx.doi.org/10.1093/beheco/arx052")</f>
        <v>http://dx.doi.org/10.1093/beheco/arx052</v>
      </c>
      <c r="BG649" s="2" t="s">
        <v>74</v>
      </c>
      <c r="BH649" s="2" t="s">
        <v>74</v>
      </c>
      <c r="BI649" s="2" t="s">
        <v>74</v>
      </c>
      <c r="BJ649" s="2" t="s">
        <v>74</v>
      </c>
      <c r="BK649" s="2" t="s">
        <v>74</v>
      </c>
      <c r="BL649" s="2" t="s">
        <v>74</v>
      </c>
      <c r="BM649" s="2" t="s">
        <v>74</v>
      </c>
      <c r="BN649" s="2" t="s">
        <v>74</v>
      </c>
      <c r="BO649" s="2" t="s">
        <v>74</v>
      </c>
      <c r="BP649" s="2" t="s">
        <v>74</v>
      </c>
      <c r="BQ649" s="2" t="s">
        <v>74</v>
      </c>
      <c r="BR649" s="2" t="s">
        <v>74</v>
      </c>
      <c r="BS649" s="2" t="s">
        <v>1152</v>
      </c>
      <c r="BT649" s="2" t="str">
        <f>HYPERLINK("https%3A%2F%2Fwww.webofscience.com%2Fwos%2Fwoscc%2Ffull-record%2FWOS:000401942800043","View Full Record in Web of Science")</f>
        <v>View Full Record in Web of Science</v>
      </c>
    </row>
    <row r="650" spans="1:72" s="2" customFormat="1" x14ac:dyDescent="0.4">
      <c r="A650" s="2" t="s">
        <v>72</v>
      </c>
      <c r="B650" s="2" t="s">
        <v>417</v>
      </c>
      <c r="C650" s="2" t="s">
        <v>74</v>
      </c>
      <c r="D650" s="2" t="s">
        <v>74</v>
      </c>
      <c r="E650" s="2" t="s">
        <v>74</v>
      </c>
      <c r="F650" s="2" t="s">
        <v>418</v>
      </c>
      <c r="G650" s="2" t="s">
        <v>74</v>
      </c>
      <c r="H650" s="2" t="s">
        <v>74</v>
      </c>
      <c r="I650" s="2" t="s">
        <v>419</v>
      </c>
      <c r="J650" s="2" t="s">
        <v>420</v>
      </c>
      <c r="K650" s="2" t="s">
        <v>74</v>
      </c>
      <c r="L650" s="2" t="s">
        <v>74</v>
      </c>
      <c r="M650" s="2" t="s">
        <v>74</v>
      </c>
      <c r="N650" s="2" t="s">
        <v>74</v>
      </c>
      <c r="O650" s="2" t="s">
        <v>74</v>
      </c>
      <c r="P650" s="2" t="s">
        <v>74</v>
      </c>
      <c r="Q650" s="2" t="s">
        <v>74</v>
      </c>
      <c r="R650" s="2" t="s">
        <v>74</v>
      </c>
      <c r="S650" s="2" t="s">
        <v>74</v>
      </c>
      <c r="T650" s="2" t="s">
        <v>74</v>
      </c>
      <c r="U650" s="2" t="s">
        <v>74</v>
      </c>
      <c r="V650" s="5" t="s">
        <v>421</v>
      </c>
      <c r="W650" s="2" t="s">
        <v>74</v>
      </c>
      <c r="X650" s="2" t="s">
        <v>74</v>
      </c>
      <c r="Y650" s="2" t="s">
        <v>74</v>
      </c>
      <c r="Z650" s="2" t="s">
        <v>74</v>
      </c>
      <c r="AA650" s="2" t="s">
        <v>422</v>
      </c>
      <c r="AB650" s="2" t="s">
        <v>423</v>
      </c>
      <c r="AC650" s="2" t="s">
        <v>74</v>
      </c>
      <c r="AD650" s="2" t="s">
        <v>74</v>
      </c>
      <c r="AE650" s="2" t="s">
        <v>74</v>
      </c>
      <c r="AF650" s="2" t="s">
        <v>74</v>
      </c>
      <c r="AG650" s="2" t="s">
        <v>74</v>
      </c>
      <c r="AH650" s="2" t="s">
        <v>74</v>
      </c>
      <c r="AI650" s="2" t="s">
        <v>74</v>
      </c>
      <c r="AJ650" s="2" t="s">
        <v>74</v>
      </c>
      <c r="AK650" s="2" t="s">
        <v>74</v>
      </c>
      <c r="AL650" s="2" t="s">
        <v>74</v>
      </c>
      <c r="AM650" s="2" t="s">
        <v>74</v>
      </c>
      <c r="AN650" s="2" t="s">
        <v>74</v>
      </c>
      <c r="AO650" s="2" t="s">
        <v>424</v>
      </c>
      <c r="AP650" s="2" t="s">
        <v>74</v>
      </c>
      <c r="AQ650" s="2" t="s">
        <v>74</v>
      </c>
      <c r="AR650" s="2" t="s">
        <v>74</v>
      </c>
      <c r="AS650" s="2" t="s">
        <v>74</v>
      </c>
      <c r="AT650" s="2" t="s">
        <v>425</v>
      </c>
      <c r="AU650" s="2">
        <v>2016</v>
      </c>
      <c r="AV650" s="2">
        <v>16</v>
      </c>
      <c r="AW650" s="2" t="s">
        <v>74</v>
      </c>
      <c r="AX650" s="2" t="s">
        <v>74</v>
      </c>
      <c r="AY650" s="2" t="s">
        <v>74</v>
      </c>
      <c r="AZ650" s="2" t="s">
        <v>74</v>
      </c>
      <c r="BA650" s="2" t="s">
        <v>74</v>
      </c>
      <c r="BB650" s="2" t="s">
        <v>74</v>
      </c>
      <c r="BC650" s="2" t="s">
        <v>74</v>
      </c>
      <c r="BD650" s="2">
        <v>3</v>
      </c>
      <c r="BE650" s="2" t="s">
        <v>426</v>
      </c>
      <c r="BF650" s="2" t="str">
        <f>HYPERLINK("http://dx.doi.org/10.1186/s12862-015-0569-9","http://dx.doi.org/10.1186/s12862-015-0569-9")</f>
        <v>http://dx.doi.org/10.1186/s12862-015-0569-9</v>
      </c>
      <c r="BG650" s="2" t="s">
        <v>74</v>
      </c>
      <c r="BH650" s="2" t="s">
        <v>74</v>
      </c>
      <c r="BI650" s="2" t="s">
        <v>74</v>
      </c>
      <c r="BJ650" s="2" t="s">
        <v>74</v>
      </c>
      <c r="BK650" s="2" t="s">
        <v>74</v>
      </c>
      <c r="BL650" s="2" t="s">
        <v>74</v>
      </c>
      <c r="BM650" s="2" t="s">
        <v>74</v>
      </c>
      <c r="BN650" s="2">
        <v>26729482</v>
      </c>
      <c r="BO650" s="2" t="s">
        <v>74</v>
      </c>
      <c r="BP650" s="2" t="s">
        <v>74</v>
      </c>
      <c r="BQ650" s="2" t="s">
        <v>74</v>
      </c>
      <c r="BR650" s="2" t="s">
        <v>74</v>
      </c>
      <c r="BS650" s="2" t="s">
        <v>427</v>
      </c>
      <c r="BT650" s="2" t="str">
        <f>HYPERLINK("https%3A%2F%2Fwww.webofscience.com%2Fwos%2Fwoscc%2Ffull-record%2FWOS:000367430900003","View Full Record in Web of Science")</f>
        <v>View Full Record in Web of Science</v>
      </c>
    </row>
    <row r="651" spans="1:72" s="2" customFormat="1" x14ac:dyDescent="0.4">
      <c r="A651" s="2" t="s">
        <v>72</v>
      </c>
      <c r="B651" s="2" t="s">
        <v>1221</v>
      </c>
      <c r="C651" s="2" t="s">
        <v>74</v>
      </c>
      <c r="D651" s="2" t="s">
        <v>74</v>
      </c>
      <c r="E651" s="2" t="s">
        <v>74</v>
      </c>
      <c r="F651" s="2" t="s">
        <v>1222</v>
      </c>
      <c r="G651" s="2" t="s">
        <v>74</v>
      </c>
      <c r="H651" s="2" t="s">
        <v>74</v>
      </c>
      <c r="I651" s="2" t="s">
        <v>1223</v>
      </c>
      <c r="J651" s="2" t="s">
        <v>312</v>
      </c>
      <c r="K651" s="2" t="s">
        <v>74</v>
      </c>
      <c r="L651" s="2" t="s">
        <v>74</v>
      </c>
      <c r="M651" s="2" t="s">
        <v>74</v>
      </c>
      <c r="N651" s="2" t="s">
        <v>74</v>
      </c>
      <c r="O651" s="2" t="s">
        <v>74</v>
      </c>
      <c r="P651" s="2" t="s">
        <v>74</v>
      </c>
      <c r="Q651" s="2" t="s">
        <v>74</v>
      </c>
      <c r="R651" s="2" t="s">
        <v>74</v>
      </c>
      <c r="S651" s="2" t="s">
        <v>74</v>
      </c>
      <c r="T651" s="2" t="s">
        <v>74</v>
      </c>
      <c r="U651" s="2" t="s">
        <v>74</v>
      </c>
      <c r="V651" s="5" t="s">
        <v>1224</v>
      </c>
      <c r="W651" s="2" t="s">
        <v>74</v>
      </c>
      <c r="X651" s="2" t="s">
        <v>74</v>
      </c>
      <c r="Y651" s="2" t="s">
        <v>74</v>
      </c>
      <c r="Z651" s="2" t="s">
        <v>74</v>
      </c>
      <c r="AA651" s="2" t="s">
        <v>1225</v>
      </c>
      <c r="AB651" s="2" t="s">
        <v>1226</v>
      </c>
      <c r="AC651" s="2" t="s">
        <v>74</v>
      </c>
      <c r="AD651" s="2" t="s">
        <v>74</v>
      </c>
      <c r="AE651" s="2" t="s">
        <v>74</v>
      </c>
      <c r="AF651" s="2" t="s">
        <v>74</v>
      </c>
      <c r="AG651" s="2" t="s">
        <v>74</v>
      </c>
      <c r="AH651" s="2" t="s">
        <v>74</v>
      </c>
      <c r="AI651" s="2" t="s">
        <v>74</v>
      </c>
      <c r="AJ651" s="2" t="s">
        <v>74</v>
      </c>
      <c r="AK651" s="2" t="s">
        <v>74</v>
      </c>
      <c r="AL651" s="2" t="s">
        <v>74</v>
      </c>
      <c r="AM651" s="2" t="s">
        <v>74</v>
      </c>
      <c r="AN651" s="2" t="s">
        <v>74</v>
      </c>
      <c r="AO651" s="2" t="s">
        <v>314</v>
      </c>
      <c r="AP651" s="2" t="s">
        <v>315</v>
      </c>
      <c r="AQ651" s="2" t="s">
        <v>74</v>
      </c>
      <c r="AR651" s="2" t="s">
        <v>74</v>
      </c>
      <c r="AS651" s="2" t="s">
        <v>74</v>
      </c>
      <c r="AT651" s="2" t="s">
        <v>175</v>
      </c>
      <c r="AU651" s="2">
        <v>2015</v>
      </c>
      <c r="AV651" s="2">
        <v>186</v>
      </c>
      <c r="AW651" s="2">
        <v>4</v>
      </c>
      <c r="AX651" s="2" t="s">
        <v>74</v>
      </c>
      <c r="AY651" s="2" t="s">
        <v>74</v>
      </c>
      <c r="AZ651" s="2" t="s">
        <v>74</v>
      </c>
      <c r="BA651" s="2" t="s">
        <v>74</v>
      </c>
      <c r="BB651" s="2">
        <v>547</v>
      </c>
      <c r="BC651" s="2">
        <v>552</v>
      </c>
      <c r="BD651" s="2" t="s">
        <v>74</v>
      </c>
      <c r="BE651" s="2" t="s">
        <v>1227</v>
      </c>
      <c r="BF651" s="2" t="str">
        <f>HYPERLINK("http://dx.doi.org/10.1086/682711","http://dx.doi.org/10.1086/682711")</f>
        <v>http://dx.doi.org/10.1086/682711</v>
      </c>
      <c r="BG651" s="2" t="s">
        <v>74</v>
      </c>
      <c r="BH651" s="2" t="s">
        <v>74</v>
      </c>
      <c r="BI651" s="2" t="s">
        <v>74</v>
      </c>
      <c r="BJ651" s="2" t="s">
        <v>74</v>
      </c>
      <c r="BK651" s="2" t="s">
        <v>74</v>
      </c>
      <c r="BL651" s="2" t="s">
        <v>74</v>
      </c>
      <c r="BM651" s="2" t="s">
        <v>74</v>
      </c>
      <c r="BN651" s="2">
        <v>26655577</v>
      </c>
      <c r="BO651" s="2" t="s">
        <v>74</v>
      </c>
      <c r="BP651" s="2" t="s">
        <v>74</v>
      </c>
      <c r="BQ651" s="2" t="s">
        <v>74</v>
      </c>
      <c r="BR651" s="2" t="s">
        <v>74</v>
      </c>
      <c r="BS651" s="2" t="s">
        <v>1228</v>
      </c>
      <c r="BT651" s="2" t="str">
        <f>HYPERLINK("https%3A%2F%2Fwww.webofscience.com%2Fwos%2Fwoscc%2Ffull-record%2FWOS:000362840100013","View Full Record in Web of Science")</f>
        <v>View Full Record in Web of Science</v>
      </c>
    </row>
    <row r="652" spans="1:72" s="2" customFormat="1" x14ac:dyDescent="0.4">
      <c r="A652" s="2" t="s">
        <v>72</v>
      </c>
      <c r="B652" s="2" t="s">
        <v>159</v>
      </c>
      <c r="C652" s="2" t="s">
        <v>74</v>
      </c>
      <c r="D652" s="2" t="s">
        <v>74</v>
      </c>
      <c r="E652" s="2" t="s">
        <v>74</v>
      </c>
      <c r="F652" s="2" t="s">
        <v>160</v>
      </c>
      <c r="G652" s="2" t="s">
        <v>74</v>
      </c>
      <c r="H652" s="2" t="s">
        <v>74</v>
      </c>
      <c r="I652" s="2" t="s">
        <v>161</v>
      </c>
      <c r="J652" s="2" t="s">
        <v>108</v>
      </c>
      <c r="K652" s="2" t="s">
        <v>74</v>
      </c>
      <c r="L652" s="2" t="s">
        <v>74</v>
      </c>
      <c r="M652" s="2" t="s">
        <v>74</v>
      </c>
      <c r="N652" s="2" t="s">
        <v>74</v>
      </c>
      <c r="O652" s="2" t="s">
        <v>74</v>
      </c>
      <c r="P652" s="2" t="s">
        <v>74</v>
      </c>
      <c r="Q652" s="2" t="s">
        <v>74</v>
      </c>
      <c r="R652" s="2" t="s">
        <v>74</v>
      </c>
      <c r="S652" s="2" t="s">
        <v>74</v>
      </c>
      <c r="T652" s="2" t="s">
        <v>74</v>
      </c>
      <c r="U652" s="2" t="s">
        <v>74</v>
      </c>
      <c r="V652" s="5" t="s">
        <v>162</v>
      </c>
      <c r="W652" s="2" t="s">
        <v>74</v>
      </c>
      <c r="X652" s="2" t="s">
        <v>74</v>
      </c>
      <c r="Y652" s="2" t="s">
        <v>74</v>
      </c>
      <c r="Z652" s="2" t="s">
        <v>74</v>
      </c>
      <c r="AA652" s="2" t="s">
        <v>163</v>
      </c>
      <c r="AB652" s="2" t="s">
        <v>164</v>
      </c>
      <c r="AC652" s="2" t="s">
        <v>74</v>
      </c>
      <c r="AD652" s="2" t="s">
        <v>74</v>
      </c>
      <c r="AE652" s="2" t="s">
        <v>74</v>
      </c>
      <c r="AF652" s="2" t="s">
        <v>74</v>
      </c>
      <c r="AG652" s="2" t="s">
        <v>74</v>
      </c>
      <c r="AH652" s="2" t="s">
        <v>74</v>
      </c>
      <c r="AI652" s="2" t="s">
        <v>74</v>
      </c>
      <c r="AJ652" s="2" t="s">
        <v>74</v>
      </c>
      <c r="AK652" s="2" t="s">
        <v>74</v>
      </c>
      <c r="AL652" s="2" t="s">
        <v>74</v>
      </c>
      <c r="AM652" s="2" t="s">
        <v>74</v>
      </c>
      <c r="AN652" s="2" t="s">
        <v>74</v>
      </c>
      <c r="AO652" s="2" t="s">
        <v>111</v>
      </c>
      <c r="AP652" s="2" t="s">
        <v>112</v>
      </c>
      <c r="AQ652" s="2" t="s">
        <v>74</v>
      </c>
      <c r="AR652" s="2" t="s">
        <v>74</v>
      </c>
      <c r="AS652" s="2" t="s">
        <v>74</v>
      </c>
      <c r="AT652" s="2" t="s">
        <v>165</v>
      </c>
      <c r="AU652" s="2">
        <v>2015</v>
      </c>
      <c r="AV652" s="2">
        <v>282</v>
      </c>
      <c r="AW652" s="2">
        <v>1815</v>
      </c>
      <c r="AX652" s="2" t="s">
        <v>74</v>
      </c>
      <c r="AY652" s="2" t="s">
        <v>74</v>
      </c>
      <c r="AZ652" s="2" t="s">
        <v>74</v>
      </c>
      <c r="BA652" s="2" t="s">
        <v>74</v>
      </c>
      <c r="BB652" s="2" t="s">
        <v>74</v>
      </c>
      <c r="BC652" s="2" t="s">
        <v>74</v>
      </c>
      <c r="BD652" s="2">
        <v>20151551</v>
      </c>
      <c r="BE652" s="2" t="s">
        <v>166</v>
      </c>
      <c r="BF652" s="2" t="str">
        <f>HYPERLINK("http://dx.doi.org/10.1098/rspb.2015.1551","http://dx.doi.org/10.1098/rspb.2015.1551")</f>
        <v>http://dx.doi.org/10.1098/rspb.2015.1551</v>
      </c>
      <c r="BG652" s="2" t="s">
        <v>74</v>
      </c>
      <c r="BH652" s="2" t="s">
        <v>74</v>
      </c>
      <c r="BI652" s="2" t="s">
        <v>74</v>
      </c>
      <c r="BJ652" s="2" t="s">
        <v>74</v>
      </c>
      <c r="BK652" s="2" t="s">
        <v>74</v>
      </c>
      <c r="BL652" s="2" t="s">
        <v>74</v>
      </c>
      <c r="BM652" s="2" t="s">
        <v>74</v>
      </c>
      <c r="BN652" s="2">
        <v>26378216</v>
      </c>
      <c r="BO652" s="2" t="s">
        <v>74</v>
      </c>
      <c r="BP652" s="2" t="s">
        <v>74</v>
      </c>
      <c r="BQ652" s="2" t="s">
        <v>74</v>
      </c>
      <c r="BR652" s="2" t="s">
        <v>74</v>
      </c>
      <c r="BS652" s="2" t="s">
        <v>167</v>
      </c>
      <c r="BT652" s="2" t="str">
        <f>HYPERLINK("https%3A%2F%2Fwww.webofscience.com%2Fwos%2Fwoscc%2Ffull-record%2FWOS:000363357100008","View Full Record in Web of Science")</f>
        <v>View Full Record in Web of Science</v>
      </c>
    </row>
    <row r="653" spans="1:72" s="2" customFormat="1" x14ac:dyDescent="0.4">
      <c r="A653" s="2" t="s">
        <v>72</v>
      </c>
      <c r="B653" s="2" t="s">
        <v>4006</v>
      </c>
      <c r="C653" s="2" t="s">
        <v>74</v>
      </c>
      <c r="D653" s="2" t="s">
        <v>74</v>
      </c>
      <c r="E653" s="2" t="s">
        <v>74</v>
      </c>
      <c r="F653" s="2" t="s">
        <v>4007</v>
      </c>
      <c r="G653" s="2" t="s">
        <v>74</v>
      </c>
      <c r="H653" s="2" t="s">
        <v>74</v>
      </c>
      <c r="I653" s="2" t="s">
        <v>4008</v>
      </c>
      <c r="J653" s="2" t="s">
        <v>140</v>
      </c>
      <c r="K653" s="2" t="s">
        <v>74</v>
      </c>
      <c r="L653" s="2" t="s">
        <v>74</v>
      </c>
      <c r="M653" s="2" t="s">
        <v>74</v>
      </c>
      <c r="N653" s="2" t="s">
        <v>74</v>
      </c>
      <c r="O653" s="2" t="s">
        <v>74</v>
      </c>
      <c r="P653" s="2" t="s">
        <v>74</v>
      </c>
      <c r="Q653" s="2" t="s">
        <v>74</v>
      </c>
      <c r="R653" s="2" t="s">
        <v>74</v>
      </c>
      <c r="S653" s="2" t="s">
        <v>74</v>
      </c>
      <c r="T653" s="2" t="s">
        <v>74</v>
      </c>
      <c r="U653" s="2" t="s">
        <v>74</v>
      </c>
      <c r="V653" s="5" t="s">
        <v>4009</v>
      </c>
      <c r="W653" s="2" t="s">
        <v>74</v>
      </c>
      <c r="X653" s="2" t="s">
        <v>74</v>
      </c>
      <c r="Y653" s="2" t="s">
        <v>74</v>
      </c>
      <c r="Z653" s="2" t="s">
        <v>74</v>
      </c>
      <c r="AA653" s="2" t="s">
        <v>4010</v>
      </c>
      <c r="AB653" s="2" t="s">
        <v>4011</v>
      </c>
      <c r="AC653" s="2" t="s">
        <v>74</v>
      </c>
      <c r="AD653" s="2" t="s">
        <v>74</v>
      </c>
      <c r="AE653" s="2" t="s">
        <v>74</v>
      </c>
      <c r="AF653" s="2" t="s">
        <v>74</v>
      </c>
      <c r="AG653" s="2" t="s">
        <v>74</v>
      </c>
      <c r="AH653" s="2" t="s">
        <v>74</v>
      </c>
      <c r="AI653" s="2" t="s">
        <v>74</v>
      </c>
      <c r="AJ653" s="2" t="s">
        <v>74</v>
      </c>
      <c r="AK653" s="2" t="s">
        <v>74</v>
      </c>
      <c r="AL653" s="2" t="s">
        <v>74</v>
      </c>
      <c r="AM653" s="2" t="s">
        <v>74</v>
      </c>
      <c r="AN653" s="2" t="s">
        <v>74</v>
      </c>
      <c r="AO653" s="2" t="s">
        <v>143</v>
      </c>
      <c r="AP653" s="2" t="s">
        <v>144</v>
      </c>
      <c r="AQ653" s="2" t="s">
        <v>74</v>
      </c>
      <c r="AR653" s="2" t="s">
        <v>74</v>
      </c>
      <c r="AS653" s="2" t="s">
        <v>74</v>
      </c>
      <c r="AT653" s="2" t="s">
        <v>123</v>
      </c>
      <c r="AU653" s="2">
        <v>2018</v>
      </c>
      <c r="AV653" s="2">
        <v>137</v>
      </c>
      <c r="AW653" s="2" t="s">
        <v>74</v>
      </c>
      <c r="AX653" s="2" t="s">
        <v>74</v>
      </c>
      <c r="AY653" s="2" t="s">
        <v>74</v>
      </c>
      <c r="AZ653" s="2" t="s">
        <v>74</v>
      </c>
      <c r="BA653" s="2" t="s">
        <v>74</v>
      </c>
      <c r="BB653" s="2">
        <v>141</v>
      </c>
      <c r="BC653" s="2">
        <v>148</v>
      </c>
      <c r="BD653" s="2" t="s">
        <v>74</v>
      </c>
      <c r="BE653" s="2" t="s">
        <v>4012</v>
      </c>
      <c r="BF653" s="2" t="str">
        <f>HYPERLINK("http://dx.doi.org/10.1016/j.anbehav.2018.01.012","http://dx.doi.org/10.1016/j.anbehav.2018.01.012")</f>
        <v>http://dx.doi.org/10.1016/j.anbehav.2018.01.012</v>
      </c>
      <c r="BG653" s="2" t="s">
        <v>74</v>
      </c>
      <c r="BH653" s="2" t="s">
        <v>74</v>
      </c>
      <c r="BI653" s="2" t="s">
        <v>74</v>
      </c>
      <c r="BJ653" s="2" t="s">
        <v>74</v>
      </c>
      <c r="BK653" s="2" t="s">
        <v>74</v>
      </c>
      <c r="BL653" s="2" t="s">
        <v>74</v>
      </c>
      <c r="BM653" s="2" t="s">
        <v>74</v>
      </c>
      <c r="BN653" s="2" t="s">
        <v>74</v>
      </c>
      <c r="BO653" s="2" t="s">
        <v>74</v>
      </c>
      <c r="BP653" s="2" t="s">
        <v>74</v>
      </c>
      <c r="BQ653" s="2" t="s">
        <v>74</v>
      </c>
      <c r="BR653" s="2" t="s">
        <v>74</v>
      </c>
      <c r="BS653" s="2" t="s">
        <v>4013</v>
      </c>
      <c r="BT653" s="2" t="str">
        <f>HYPERLINK("https%3A%2F%2Fwww.webofscience.com%2Fwos%2Fwoscc%2Ffull-record%2FWOS:000427436600015","View Full Record in Web of Science")</f>
        <v>View Full Record in Web of Science</v>
      </c>
    </row>
    <row r="654" spans="1:72" s="2" customFormat="1" x14ac:dyDescent="0.4">
      <c r="A654" s="2" t="s">
        <v>72</v>
      </c>
      <c r="B654" s="2" t="s">
        <v>8042</v>
      </c>
      <c r="C654" s="2" t="s">
        <v>74</v>
      </c>
      <c r="D654" s="2" t="s">
        <v>74</v>
      </c>
      <c r="E654" s="2" t="s">
        <v>74</v>
      </c>
      <c r="F654" s="2" t="s">
        <v>8043</v>
      </c>
      <c r="G654" s="2" t="s">
        <v>74</v>
      </c>
      <c r="H654" s="2" t="s">
        <v>74</v>
      </c>
      <c r="I654" s="2" t="s">
        <v>8044</v>
      </c>
      <c r="J654" s="2" t="s">
        <v>129</v>
      </c>
      <c r="K654" s="2" t="s">
        <v>74</v>
      </c>
      <c r="L654" s="2" t="s">
        <v>74</v>
      </c>
      <c r="M654" s="2" t="s">
        <v>74</v>
      </c>
      <c r="N654" s="2" t="s">
        <v>74</v>
      </c>
      <c r="O654" s="2" t="s">
        <v>74</v>
      </c>
      <c r="P654" s="2" t="s">
        <v>74</v>
      </c>
      <c r="Q654" s="2" t="s">
        <v>74</v>
      </c>
      <c r="R654" s="2" t="s">
        <v>74</v>
      </c>
      <c r="S654" s="2" t="s">
        <v>74</v>
      </c>
      <c r="T654" s="2" t="s">
        <v>74</v>
      </c>
      <c r="U654" s="2" t="s">
        <v>74</v>
      </c>
      <c r="V654" s="5" t="s">
        <v>8045</v>
      </c>
      <c r="W654" s="2" t="s">
        <v>74</v>
      </c>
      <c r="X654" s="2" t="s">
        <v>74</v>
      </c>
      <c r="Y654" s="2" t="s">
        <v>74</v>
      </c>
      <c r="Z654" s="2" t="s">
        <v>74</v>
      </c>
      <c r="AA654" s="2" t="s">
        <v>8046</v>
      </c>
      <c r="AB654" s="2" t="s">
        <v>8047</v>
      </c>
      <c r="AC654" s="2" t="s">
        <v>74</v>
      </c>
      <c r="AD654" s="2" t="s">
        <v>74</v>
      </c>
      <c r="AE654" s="2" t="s">
        <v>74</v>
      </c>
      <c r="AF654" s="2" t="s">
        <v>74</v>
      </c>
      <c r="AG654" s="2" t="s">
        <v>74</v>
      </c>
      <c r="AH654" s="2" t="s">
        <v>74</v>
      </c>
      <c r="AI654" s="2" t="s">
        <v>74</v>
      </c>
      <c r="AJ654" s="2" t="s">
        <v>74</v>
      </c>
      <c r="AK654" s="2" t="s">
        <v>74</v>
      </c>
      <c r="AL654" s="2" t="s">
        <v>74</v>
      </c>
      <c r="AM654" s="2" t="s">
        <v>74</v>
      </c>
      <c r="AN654" s="2" t="s">
        <v>74</v>
      </c>
      <c r="AO654" s="2" t="s">
        <v>132</v>
      </c>
      <c r="AP654" s="2" t="s">
        <v>133</v>
      </c>
      <c r="AQ654" s="2" t="s">
        <v>74</v>
      </c>
      <c r="AR654" s="2" t="s">
        <v>74</v>
      </c>
      <c r="AS654" s="2" t="s">
        <v>74</v>
      </c>
      <c r="AT654" s="2" t="s">
        <v>213</v>
      </c>
      <c r="AU654" s="2">
        <v>2013</v>
      </c>
      <c r="AV654" s="2">
        <v>67</v>
      </c>
      <c r="AW654" s="2">
        <v>11</v>
      </c>
      <c r="AX654" s="2" t="s">
        <v>74</v>
      </c>
      <c r="AY654" s="2" t="s">
        <v>74</v>
      </c>
      <c r="AZ654" s="2" t="s">
        <v>74</v>
      </c>
      <c r="BA654" s="2" t="s">
        <v>74</v>
      </c>
      <c r="BB654" s="2">
        <v>1817</v>
      </c>
      <c r="BC654" s="2">
        <v>1824</v>
      </c>
      <c r="BD654" s="2" t="s">
        <v>74</v>
      </c>
      <c r="BE654" s="2" t="s">
        <v>8048</v>
      </c>
      <c r="BF654" s="2" t="str">
        <f>HYPERLINK("http://dx.doi.org/10.1007/s00265-013-1591-9","http://dx.doi.org/10.1007/s00265-013-1591-9")</f>
        <v>http://dx.doi.org/10.1007/s00265-013-1591-9</v>
      </c>
      <c r="BG654" s="2" t="s">
        <v>74</v>
      </c>
      <c r="BH654" s="2" t="s">
        <v>74</v>
      </c>
      <c r="BI654" s="2" t="s">
        <v>74</v>
      </c>
      <c r="BJ654" s="2" t="s">
        <v>74</v>
      </c>
      <c r="BK654" s="2" t="s">
        <v>74</v>
      </c>
      <c r="BL654" s="2" t="s">
        <v>74</v>
      </c>
      <c r="BM654" s="2" t="s">
        <v>74</v>
      </c>
      <c r="BN654" s="2" t="s">
        <v>74</v>
      </c>
      <c r="BO654" s="2" t="s">
        <v>74</v>
      </c>
      <c r="BP654" s="2" t="s">
        <v>74</v>
      </c>
      <c r="BQ654" s="2" t="s">
        <v>74</v>
      </c>
      <c r="BR654" s="2" t="s">
        <v>74</v>
      </c>
      <c r="BS654" s="2" t="s">
        <v>8049</v>
      </c>
      <c r="BT654" s="2" t="str">
        <f>HYPERLINK("https%3A%2F%2Fwww.webofscience.com%2Fwos%2Fwoscc%2Ffull-record%2FWOS:000325765800010","View Full Record in Web of Science")</f>
        <v>View Full Record in Web of Science</v>
      </c>
    </row>
    <row r="655" spans="1:72" s="2" customFormat="1" x14ac:dyDescent="0.4">
      <c r="A655" s="2" t="s">
        <v>72</v>
      </c>
      <c r="B655" s="2" t="s">
        <v>6451</v>
      </c>
      <c r="C655" s="2" t="s">
        <v>74</v>
      </c>
      <c r="D655" s="2" t="s">
        <v>74</v>
      </c>
      <c r="E655" s="2" t="s">
        <v>74</v>
      </c>
      <c r="F655" s="2" t="s">
        <v>6452</v>
      </c>
      <c r="G655" s="2" t="s">
        <v>74</v>
      </c>
      <c r="H655" s="2" t="s">
        <v>74</v>
      </c>
      <c r="I655" s="2" t="s">
        <v>6453</v>
      </c>
      <c r="J655" s="2" t="s">
        <v>6454</v>
      </c>
      <c r="K655" s="2" t="s">
        <v>74</v>
      </c>
      <c r="L655" s="2" t="s">
        <v>74</v>
      </c>
      <c r="M655" s="2" t="s">
        <v>74</v>
      </c>
      <c r="N655" s="2" t="s">
        <v>74</v>
      </c>
      <c r="O655" s="2" t="s">
        <v>74</v>
      </c>
      <c r="P655" s="2" t="s">
        <v>74</v>
      </c>
      <c r="Q655" s="2" t="s">
        <v>74</v>
      </c>
      <c r="R655" s="2" t="s">
        <v>74</v>
      </c>
      <c r="S655" s="2" t="s">
        <v>74</v>
      </c>
      <c r="T655" s="2" t="s">
        <v>74</v>
      </c>
      <c r="U655" s="2" t="s">
        <v>74</v>
      </c>
      <c r="V655" s="5" t="s">
        <v>6455</v>
      </c>
      <c r="W655" s="2" t="s">
        <v>74</v>
      </c>
      <c r="X655" s="2" t="s">
        <v>74</v>
      </c>
      <c r="Y655" s="2" t="s">
        <v>74</v>
      </c>
      <c r="Z655" s="2" t="s">
        <v>74</v>
      </c>
      <c r="AA655" s="2" t="s">
        <v>6456</v>
      </c>
      <c r="AB655" s="2" t="s">
        <v>6457</v>
      </c>
      <c r="AC655" s="2" t="s">
        <v>74</v>
      </c>
      <c r="AD655" s="2" t="s">
        <v>74</v>
      </c>
      <c r="AE655" s="2" t="s">
        <v>74</v>
      </c>
      <c r="AF655" s="2" t="s">
        <v>74</v>
      </c>
      <c r="AG655" s="2" t="s">
        <v>74</v>
      </c>
      <c r="AH655" s="2" t="s">
        <v>74</v>
      </c>
      <c r="AI655" s="2" t="s">
        <v>74</v>
      </c>
      <c r="AJ655" s="2" t="s">
        <v>74</v>
      </c>
      <c r="AK655" s="2" t="s">
        <v>74</v>
      </c>
      <c r="AL655" s="2" t="s">
        <v>74</v>
      </c>
      <c r="AM655" s="2" t="s">
        <v>74</v>
      </c>
      <c r="AN655" s="2" t="s">
        <v>74</v>
      </c>
      <c r="AO655" s="2" t="s">
        <v>6458</v>
      </c>
      <c r="AP655" s="2" t="s">
        <v>6459</v>
      </c>
      <c r="AQ655" s="2" t="s">
        <v>74</v>
      </c>
      <c r="AR655" s="2" t="s">
        <v>74</v>
      </c>
      <c r="AS655" s="2" t="s">
        <v>74</v>
      </c>
      <c r="AT655" s="2" t="s">
        <v>74</v>
      </c>
      <c r="AU655" s="2">
        <v>2020</v>
      </c>
      <c r="AV655" s="2">
        <v>72</v>
      </c>
      <c r="AW655" s="2">
        <v>1</v>
      </c>
      <c r="AX655" s="2" t="s">
        <v>74</v>
      </c>
      <c r="AY655" s="2" t="s">
        <v>74</v>
      </c>
      <c r="AZ655" s="2" t="s">
        <v>74</v>
      </c>
      <c r="BA655" s="2" t="s">
        <v>74</v>
      </c>
      <c r="BB655" s="2">
        <v>45</v>
      </c>
      <c r="BC655" s="2">
        <v>52</v>
      </c>
      <c r="BD655" s="2" t="s">
        <v>74</v>
      </c>
      <c r="BE655" s="2" t="s">
        <v>6460</v>
      </c>
      <c r="BF655" s="2" t="str">
        <f>HYPERLINK("http://dx.doi.org/10.2298/ABS190823065L","http://dx.doi.org/10.2298/ABS190823065L")</f>
        <v>http://dx.doi.org/10.2298/ABS190823065L</v>
      </c>
      <c r="BG655" s="2" t="s">
        <v>74</v>
      </c>
      <c r="BH655" s="2" t="s">
        <v>74</v>
      </c>
      <c r="BI655" s="2" t="s">
        <v>74</v>
      </c>
      <c r="BJ655" s="2" t="s">
        <v>74</v>
      </c>
      <c r="BK655" s="2" t="s">
        <v>74</v>
      </c>
      <c r="BL655" s="2" t="s">
        <v>74</v>
      </c>
      <c r="BM655" s="2" t="s">
        <v>74</v>
      </c>
      <c r="BN655" s="2" t="s">
        <v>74</v>
      </c>
      <c r="BO655" s="2" t="s">
        <v>74</v>
      </c>
      <c r="BP655" s="2" t="s">
        <v>74</v>
      </c>
      <c r="BQ655" s="2" t="s">
        <v>74</v>
      </c>
      <c r="BR655" s="2" t="s">
        <v>74</v>
      </c>
      <c r="BS655" s="2" t="s">
        <v>6461</v>
      </c>
      <c r="BT655" s="2" t="str">
        <f>HYPERLINK("https%3A%2F%2Fwww.webofscience.com%2Fwos%2Fwoscc%2Ffull-record%2FWOS:000524505000006","View Full Record in Web of Science")</f>
        <v>View Full Record in Web of Science</v>
      </c>
    </row>
    <row r="656" spans="1:72" s="2" customFormat="1" x14ac:dyDescent="0.4">
      <c r="A656" s="2" t="s">
        <v>72</v>
      </c>
      <c r="B656" s="2" t="s">
        <v>8629</v>
      </c>
      <c r="C656" s="2" t="s">
        <v>74</v>
      </c>
      <c r="D656" s="2" t="s">
        <v>74</v>
      </c>
      <c r="E656" s="2" t="s">
        <v>74</v>
      </c>
      <c r="F656" s="2" t="s">
        <v>8630</v>
      </c>
      <c r="G656" s="2" t="s">
        <v>74</v>
      </c>
      <c r="H656" s="2" t="s">
        <v>74</v>
      </c>
      <c r="I656" s="2" t="s">
        <v>8631</v>
      </c>
      <c r="J656" s="2" t="s">
        <v>842</v>
      </c>
      <c r="K656" s="2" t="s">
        <v>74</v>
      </c>
      <c r="L656" s="2" t="s">
        <v>74</v>
      </c>
      <c r="M656" s="2" t="s">
        <v>74</v>
      </c>
      <c r="N656" s="2" t="s">
        <v>74</v>
      </c>
      <c r="O656" s="2" t="s">
        <v>74</v>
      </c>
      <c r="P656" s="2" t="s">
        <v>74</v>
      </c>
      <c r="Q656" s="2" t="s">
        <v>74</v>
      </c>
      <c r="R656" s="2" t="s">
        <v>74</v>
      </c>
      <c r="S656" s="2" t="s">
        <v>74</v>
      </c>
      <c r="T656" s="2" t="s">
        <v>74</v>
      </c>
      <c r="U656" s="2" t="s">
        <v>74</v>
      </c>
      <c r="V656" s="5" t="s">
        <v>8632</v>
      </c>
      <c r="W656" s="2" t="s">
        <v>74</v>
      </c>
      <c r="X656" s="2" t="s">
        <v>74</v>
      </c>
      <c r="Y656" s="2" t="s">
        <v>74</v>
      </c>
      <c r="Z656" s="2" t="s">
        <v>74</v>
      </c>
      <c r="AA656" s="2" t="s">
        <v>8633</v>
      </c>
      <c r="AB656" s="2" t="s">
        <v>8634</v>
      </c>
      <c r="AC656" s="2" t="s">
        <v>74</v>
      </c>
      <c r="AD656" s="2" t="s">
        <v>74</v>
      </c>
      <c r="AE656" s="2" t="s">
        <v>74</v>
      </c>
      <c r="AF656" s="2" t="s">
        <v>74</v>
      </c>
      <c r="AG656" s="2" t="s">
        <v>74</v>
      </c>
      <c r="AH656" s="2" t="s">
        <v>74</v>
      </c>
      <c r="AI656" s="2" t="s">
        <v>74</v>
      </c>
      <c r="AJ656" s="2" t="s">
        <v>74</v>
      </c>
      <c r="AK656" s="2" t="s">
        <v>74</v>
      </c>
      <c r="AL656" s="2" t="s">
        <v>74</v>
      </c>
      <c r="AM656" s="2" t="s">
        <v>74</v>
      </c>
      <c r="AN656" s="2" t="s">
        <v>74</v>
      </c>
      <c r="AO656" s="2" t="s">
        <v>846</v>
      </c>
      <c r="AP656" s="2" t="s">
        <v>847</v>
      </c>
      <c r="AQ656" s="2" t="s">
        <v>74</v>
      </c>
      <c r="AR656" s="2" t="s">
        <v>74</v>
      </c>
      <c r="AS656" s="2" t="s">
        <v>74</v>
      </c>
      <c r="AT656" s="2" t="s">
        <v>102</v>
      </c>
      <c r="AU656" s="2">
        <v>2022</v>
      </c>
      <c r="AV656" s="2">
        <v>84</v>
      </c>
      <c r="AW656" s="2">
        <v>6</v>
      </c>
      <c r="AX656" s="2" t="s">
        <v>74</v>
      </c>
      <c r="AY656" s="2" t="s">
        <v>74</v>
      </c>
      <c r="AZ656" s="2" t="s">
        <v>74</v>
      </c>
      <c r="BA656" s="2" t="s">
        <v>74</v>
      </c>
      <c r="BB656" s="2" t="s">
        <v>74</v>
      </c>
      <c r="BC656" s="2" t="s">
        <v>74</v>
      </c>
      <c r="BD656" s="2" t="s">
        <v>8635</v>
      </c>
      <c r="BE656" s="2" t="s">
        <v>8636</v>
      </c>
      <c r="BF656" s="2" t="str">
        <f>HYPERLINK("http://dx.doi.org/10.1002/ajp.23305","http://dx.doi.org/10.1002/ajp.23305")</f>
        <v>http://dx.doi.org/10.1002/ajp.23305</v>
      </c>
      <c r="BG656" s="2" t="s">
        <v>74</v>
      </c>
      <c r="BH656" s="2" t="s">
        <v>3826</v>
      </c>
      <c r="BI656" s="2" t="s">
        <v>74</v>
      </c>
      <c r="BJ656" s="2" t="s">
        <v>74</v>
      </c>
      <c r="BK656" s="2" t="s">
        <v>74</v>
      </c>
      <c r="BL656" s="2" t="s">
        <v>74</v>
      </c>
      <c r="BM656" s="2" t="s">
        <v>74</v>
      </c>
      <c r="BN656" s="2">
        <v>34270104</v>
      </c>
      <c r="BO656" s="2" t="s">
        <v>74</v>
      </c>
      <c r="BP656" s="2" t="s">
        <v>74</v>
      </c>
      <c r="BQ656" s="2" t="s">
        <v>74</v>
      </c>
      <c r="BR656" s="2" t="s">
        <v>74</v>
      </c>
      <c r="BS656" s="2" t="s">
        <v>8637</v>
      </c>
      <c r="BT656" s="2" t="str">
        <f>HYPERLINK("https%3A%2F%2Fwww.webofscience.com%2Fwos%2Fwoscc%2Ffull-record%2FWOS:000673989800001","View Full Record in Web of Science")</f>
        <v>View Full Record in Web of Science</v>
      </c>
    </row>
    <row r="657" spans="1:72" s="2" customFormat="1" x14ac:dyDescent="0.4">
      <c r="A657" s="2" t="s">
        <v>72</v>
      </c>
      <c r="B657" s="2" t="s">
        <v>3682</v>
      </c>
      <c r="C657" s="2" t="s">
        <v>74</v>
      </c>
      <c r="D657" s="2" t="s">
        <v>74</v>
      </c>
      <c r="E657" s="2" t="s">
        <v>74</v>
      </c>
      <c r="F657" s="2" t="s">
        <v>3682</v>
      </c>
      <c r="G657" s="2" t="s">
        <v>74</v>
      </c>
      <c r="H657" s="2" t="s">
        <v>74</v>
      </c>
      <c r="I657" s="2" t="s">
        <v>3683</v>
      </c>
      <c r="J657" s="2" t="s">
        <v>1341</v>
      </c>
      <c r="K657" s="2" t="s">
        <v>74</v>
      </c>
      <c r="L657" s="2" t="s">
        <v>74</v>
      </c>
      <c r="M657" s="2" t="s">
        <v>74</v>
      </c>
      <c r="N657" s="2" t="s">
        <v>74</v>
      </c>
      <c r="O657" s="2" t="s">
        <v>74</v>
      </c>
      <c r="P657" s="2" t="s">
        <v>74</v>
      </c>
      <c r="Q657" s="2" t="s">
        <v>74</v>
      </c>
      <c r="R657" s="2" t="s">
        <v>74</v>
      </c>
      <c r="S657" s="2" t="s">
        <v>74</v>
      </c>
      <c r="T657" s="2" t="s">
        <v>74</v>
      </c>
      <c r="U657" s="2" t="s">
        <v>74</v>
      </c>
      <c r="V657" s="5" t="s">
        <v>3684</v>
      </c>
      <c r="W657" s="2" t="s">
        <v>74</v>
      </c>
      <c r="X657" s="2" t="s">
        <v>74</v>
      </c>
      <c r="Y657" s="2" t="s">
        <v>74</v>
      </c>
      <c r="Z657" s="2" t="s">
        <v>74</v>
      </c>
      <c r="AA657" s="2" t="s">
        <v>3685</v>
      </c>
      <c r="AB657" s="2" t="s">
        <v>74</v>
      </c>
      <c r="AC657" s="2" t="s">
        <v>74</v>
      </c>
      <c r="AD657" s="2" t="s">
        <v>74</v>
      </c>
      <c r="AE657" s="2" t="s">
        <v>74</v>
      </c>
      <c r="AF657" s="2" t="s">
        <v>74</v>
      </c>
      <c r="AG657" s="2" t="s">
        <v>74</v>
      </c>
      <c r="AH657" s="2" t="s">
        <v>74</v>
      </c>
      <c r="AI657" s="2" t="s">
        <v>74</v>
      </c>
      <c r="AJ657" s="2" t="s">
        <v>74</v>
      </c>
      <c r="AK657" s="2" t="s">
        <v>74</v>
      </c>
      <c r="AL657" s="2" t="s">
        <v>74</v>
      </c>
      <c r="AM657" s="2" t="s">
        <v>74</v>
      </c>
      <c r="AN657" s="2" t="s">
        <v>74</v>
      </c>
      <c r="AO657" s="2" t="s">
        <v>1343</v>
      </c>
      <c r="AP657" s="2" t="s">
        <v>3686</v>
      </c>
      <c r="AQ657" s="2" t="s">
        <v>74</v>
      </c>
      <c r="AR657" s="2" t="s">
        <v>74</v>
      </c>
      <c r="AS657" s="2" t="s">
        <v>74</v>
      </c>
      <c r="AT657" s="2" t="s">
        <v>204</v>
      </c>
      <c r="AU657" s="2">
        <v>2005</v>
      </c>
      <c r="AV657" s="2">
        <v>51</v>
      </c>
      <c r="AW657" s="2">
        <v>7</v>
      </c>
      <c r="AX657" s="2" t="s">
        <v>74</v>
      </c>
      <c r="AY657" s="2" t="s">
        <v>74</v>
      </c>
      <c r="AZ657" s="2" t="s">
        <v>74</v>
      </c>
      <c r="BA657" s="2" t="s">
        <v>74</v>
      </c>
      <c r="BB657" s="2">
        <v>737</v>
      </c>
      <c r="BC657" s="2">
        <v>747</v>
      </c>
      <c r="BD657" s="2" t="s">
        <v>74</v>
      </c>
      <c r="BE657" s="2" t="s">
        <v>3687</v>
      </c>
      <c r="BF657" s="2" t="str">
        <f>HYPERLINK("http://dx.doi.org/10.1016/j.jinsphys.2005.03.015","http://dx.doi.org/10.1016/j.jinsphys.2005.03.015")</f>
        <v>http://dx.doi.org/10.1016/j.jinsphys.2005.03.015</v>
      </c>
      <c r="BG657" s="2" t="s">
        <v>74</v>
      </c>
      <c r="BH657" s="2" t="s">
        <v>74</v>
      </c>
      <c r="BI657" s="2" t="s">
        <v>74</v>
      </c>
      <c r="BJ657" s="2" t="s">
        <v>74</v>
      </c>
      <c r="BK657" s="2" t="s">
        <v>74</v>
      </c>
      <c r="BL657" s="2" t="s">
        <v>74</v>
      </c>
      <c r="BM657" s="2" t="s">
        <v>74</v>
      </c>
      <c r="BN657" s="2" t="s">
        <v>74</v>
      </c>
      <c r="BO657" s="2" t="s">
        <v>74</v>
      </c>
      <c r="BP657" s="2" t="s">
        <v>74</v>
      </c>
      <c r="BQ657" s="2" t="s">
        <v>74</v>
      </c>
      <c r="BR657" s="2" t="s">
        <v>74</v>
      </c>
      <c r="BS657" s="2" t="s">
        <v>3688</v>
      </c>
      <c r="BT657" s="2" t="str">
        <f>HYPERLINK("https%3A%2F%2Fwww.webofscience.com%2Fwos%2Fwoscc%2Ffull-record%2FWOS:000231717400001","View Full Record in Web of Science")</f>
        <v>View Full Record in Web of Science</v>
      </c>
    </row>
    <row r="658" spans="1:72" s="2" customFormat="1" x14ac:dyDescent="0.4">
      <c r="A658" s="2" t="s">
        <v>72</v>
      </c>
      <c r="B658" s="2" t="s">
        <v>5416</v>
      </c>
      <c r="C658" s="2" t="s">
        <v>74</v>
      </c>
      <c r="D658" s="2" t="s">
        <v>74</v>
      </c>
      <c r="E658" s="2" t="s">
        <v>74</v>
      </c>
      <c r="F658" s="2" t="s">
        <v>5417</v>
      </c>
      <c r="G658" s="2" t="s">
        <v>74</v>
      </c>
      <c r="H658" s="2" t="s">
        <v>74</v>
      </c>
      <c r="I658" s="2" t="s">
        <v>5418</v>
      </c>
      <c r="J658" s="2" t="s">
        <v>1396</v>
      </c>
      <c r="K658" s="2" t="s">
        <v>74</v>
      </c>
      <c r="L658" s="2" t="s">
        <v>74</v>
      </c>
      <c r="M658" s="2" t="s">
        <v>74</v>
      </c>
      <c r="N658" s="2" t="s">
        <v>74</v>
      </c>
      <c r="O658" s="2" t="s">
        <v>74</v>
      </c>
      <c r="P658" s="2" t="s">
        <v>74</v>
      </c>
      <c r="Q658" s="2" t="s">
        <v>74</v>
      </c>
      <c r="R658" s="2" t="s">
        <v>74</v>
      </c>
      <c r="S658" s="2" t="s">
        <v>74</v>
      </c>
      <c r="T658" s="2" t="s">
        <v>74</v>
      </c>
      <c r="U658" s="2" t="s">
        <v>74</v>
      </c>
      <c r="V658" s="5" t="s">
        <v>5419</v>
      </c>
      <c r="W658" s="2" t="s">
        <v>74</v>
      </c>
      <c r="X658" s="2" t="s">
        <v>74</v>
      </c>
      <c r="Y658" s="2" t="s">
        <v>74</v>
      </c>
      <c r="Z658" s="2" t="s">
        <v>74</v>
      </c>
      <c r="AA658" s="2" t="s">
        <v>5420</v>
      </c>
      <c r="AB658" s="2" t="s">
        <v>5421</v>
      </c>
      <c r="AC658" s="2" t="s">
        <v>74</v>
      </c>
      <c r="AD658" s="2" t="s">
        <v>74</v>
      </c>
      <c r="AE658" s="2" t="s">
        <v>74</v>
      </c>
      <c r="AF658" s="2" t="s">
        <v>74</v>
      </c>
      <c r="AG658" s="2" t="s">
        <v>74</v>
      </c>
      <c r="AH658" s="2" t="s">
        <v>74</v>
      </c>
      <c r="AI658" s="2" t="s">
        <v>74</v>
      </c>
      <c r="AJ658" s="2" t="s">
        <v>74</v>
      </c>
      <c r="AK658" s="2" t="s">
        <v>74</v>
      </c>
      <c r="AL658" s="2" t="s">
        <v>74</v>
      </c>
      <c r="AM658" s="2" t="s">
        <v>74</v>
      </c>
      <c r="AN658" s="2" t="s">
        <v>74</v>
      </c>
      <c r="AO658" s="2" t="s">
        <v>1400</v>
      </c>
      <c r="AP658" s="2" t="s">
        <v>5422</v>
      </c>
      <c r="AQ658" s="2" t="s">
        <v>74</v>
      </c>
      <c r="AR658" s="2" t="s">
        <v>74</v>
      </c>
      <c r="AS658" s="2" t="s">
        <v>74</v>
      </c>
      <c r="AT658" s="2" t="s">
        <v>964</v>
      </c>
      <c r="AU658" s="2">
        <v>2018</v>
      </c>
      <c r="AV658" s="2">
        <v>56</v>
      </c>
      <c r="AW658" s="2">
        <v>1</v>
      </c>
      <c r="AX658" s="2" t="s">
        <v>74</v>
      </c>
      <c r="AY658" s="2" t="s">
        <v>74</v>
      </c>
      <c r="AZ658" s="2" t="s">
        <v>74</v>
      </c>
      <c r="BA658" s="2" t="s">
        <v>74</v>
      </c>
      <c r="BB658" s="2">
        <v>61</v>
      </c>
      <c r="BC658" s="2">
        <v>76</v>
      </c>
      <c r="BD658" s="2" t="s">
        <v>74</v>
      </c>
      <c r="BE658" s="2" t="s">
        <v>5423</v>
      </c>
      <c r="BF658" s="2" t="str">
        <f>HYPERLINK("http://dx.doi.org/10.1111/jzs.12186","http://dx.doi.org/10.1111/jzs.12186")</f>
        <v>http://dx.doi.org/10.1111/jzs.12186</v>
      </c>
      <c r="BG658" s="2" t="s">
        <v>74</v>
      </c>
      <c r="BH658" s="2" t="s">
        <v>74</v>
      </c>
      <c r="BI658" s="2" t="s">
        <v>74</v>
      </c>
      <c r="BJ658" s="2" t="s">
        <v>74</v>
      </c>
      <c r="BK658" s="2" t="s">
        <v>74</v>
      </c>
      <c r="BL658" s="2" t="s">
        <v>74</v>
      </c>
      <c r="BM658" s="2" t="s">
        <v>74</v>
      </c>
      <c r="BN658" s="2" t="s">
        <v>74</v>
      </c>
      <c r="BO658" s="2" t="s">
        <v>74</v>
      </c>
      <c r="BP658" s="2" t="s">
        <v>74</v>
      </c>
      <c r="BQ658" s="2" t="s">
        <v>74</v>
      </c>
      <c r="BR658" s="2" t="s">
        <v>74</v>
      </c>
      <c r="BS658" s="2" t="s">
        <v>5424</v>
      </c>
      <c r="BT658" s="2" t="str">
        <f>HYPERLINK("https%3A%2F%2Fwww.webofscience.com%2Fwos%2Fwoscc%2Ffull-record%2FWOS:000419657600005","View Full Record in Web of Science")</f>
        <v>View Full Record in Web of Science</v>
      </c>
    </row>
    <row r="659" spans="1:72" s="2" customFormat="1" x14ac:dyDescent="0.4">
      <c r="A659" s="2" t="s">
        <v>72</v>
      </c>
      <c r="B659" s="2" t="s">
        <v>8029</v>
      </c>
      <c r="C659" s="2" t="s">
        <v>74</v>
      </c>
      <c r="D659" s="2" t="s">
        <v>74</v>
      </c>
      <c r="E659" s="2" t="s">
        <v>74</v>
      </c>
      <c r="F659" s="2" t="s">
        <v>8030</v>
      </c>
      <c r="G659" s="2" t="s">
        <v>74</v>
      </c>
      <c r="H659" s="2" t="s">
        <v>74</v>
      </c>
      <c r="I659" s="2" t="s">
        <v>8031</v>
      </c>
      <c r="J659" s="2" t="s">
        <v>3026</v>
      </c>
      <c r="K659" s="2" t="s">
        <v>74</v>
      </c>
      <c r="L659" s="2" t="s">
        <v>74</v>
      </c>
      <c r="M659" s="2" t="s">
        <v>74</v>
      </c>
      <c r="N659" s="2" t="s">
        <v>74</v>
      </c>
      <c r="O659" s="2" t="s">
        <v>74</v>
      </c>
      <c r="P659" s="2" t="s">
        <v>74</v>
      </c>
      <c r="Q659" s="2" t="s">
        <v>74</v>
      </c>
      <c r="R659" s="2" t="s">
        <v>74</v>
      </c>
      <c r="S659" s="2" t="s">
        <v>74</v>
      </c>
      <c r="T659" s="2" t="s">
        <v>74</v>
      </c>
      <c r="U659" s="2" t="s">
        <v>74</v>
      </c>
      <c r="V659" s="5" t="s">
        <v>8032</v>
      </c>
      <c r="W659" s="2" t="s">
        <v>74</v>
      </c>
      <c r="X659" s="2" t="s">
        <v>74</v>
      </c>
      <c r="Y659" s="2" t="s">
        <v>74</v>
      </c>
      <c r="Z659" s="2" t="s">
        <v>74</v>
      </c>
      <c r="AA659" s="2" t="s">
        <v>8033</v>
      </c>
      <c r="AB659" s="2" t="s">
        <v>8034</v>
      </c>
      <c r="AC659" s="2" t="s">
        <v>74</v>
      </c>
      <c r="AD659" s="2" t="s">
        <v>74</v>
      </c>
      <c r="AE659" s="2" t="s">
        <v>74</v>
      </c>
      <c r="AF659" s="2" t="s">
        <v>74</v>
      </c>
      <c r="AG659" s="2" t="s">
        <v>74</v>
      </c>
      <c r="AH659" s="2" t="s">
        <v>74</v>
      </c>
      <c r="AI659" s="2" t="s">
        <v>74</v>
      </c>
      <c r="AJ659" s="2" t="s">
        <v>74</v>
      </c>
      <c r="AK659" s="2" t="s">
        <v>74</v>
      </c>
      <c r="AL659" s="2" t="s">
        <v>74</v>
      </c>
      <c r="AM659" s="2" t="s">
        <v>74</v>
      </c>
      <c r="AN659" s="2" t="s">
        <v>74</v>
      </c>
      <c r="AO659" s="2" t="s">
        <v>3030</v>
      </c>
      <c r="AP659" s="2" t="s">
        <v>74</v>
      </c>
      <c r="AQ659" s="2" t="s">
        <v>74</v>
      </c>
      <c r="AR659" s="2" t="s">
        <v>74</v>
      </c>
      <c r="AS659" s="2" t="s">
        <v>74</v>
      </c>
      <c r="AT659" s="2" t="s">
        <v>4557</v>
      </c>
      <c r="AU659" s="2">
        <v>2014</v>
      </c>
      <c r="AV659" s="2">
        <v>3</v>
      </c>
      <c r="AW659" s="2">
        <v>12</v>
      </c>
      <c r="AX659" s="2" t="s">
        <v>74</v>
      </c>
      <c r="AY659" s="2" t="s">
        <v>74</v>
      </c>
      <c r="AZ659" s="2" t="s">
        <v>74</v>
      </c>
      <c r="BA659" s="2" t="s">
        <v>74</v>
      </c>
      <c r="BB659" s="2">
        <v>1245</v>
      </c>
      <c r="BC659" s="2">
        <v>1251</v>
      </c>
      <c r="BD659" s="2" t="s">
        <v>74</v>
      </c>
      <c r="BE659" s="2" t="s">
        <v>8035</v>
      </c>
      <c r="BF659" s="2" t="str">
        <f>HYPERLINK("http://dx.doi.org/10.1242/bio.20149175","http://dx.doi.org/10.1242/bio.20149175")</f>
        <v>http://dx.doi.org/10.1242/bio.20149175</v>
      </c>
      <c r="BG659" s="2" t="s">
        <v>74</v>
      </c>
      <c r="BH659" s="2" t="s">
        <v>74</v>
      </c>
      <c r="BI659" s="2" t="s">
        <v>74</v>
      </c>
      <c r="BJ659" s="2" t="s">
        <v>74</v>
      </c>
      <c r="BK659" s="2" t="s">
        <v>74</v>
      </c>
      <c r="BL659" s="2" t="s">
        <v>74</v>
      </c>
      <c r="BM659" s="2" t="s">
        <v>74</v>
      </c>
      <c r="BN659" s="2">
        <v>25432516</v>
      </c>
      <c r="BO659" s="2" t="s">
        <v>74</v>
      </c>
      <c r="BP659" s="2" t="s">
        <v>74</v>
      </c>
      <c r="BQ659" s="2" t="s">
        <v>74</v>
      </c>
      <c r="BR659" s="2" t="s">
        <v>74</v>
      </c>
      <c r="BS659" s="2" t="s">
        <v>8036</v>
      </c>
      <c r="BT659" s="2" t="str">
        <f>HYPERLINK("https%3A%2F%2Fwww.webofscience.com%2Fwos%2Fwoscc%2Ffull-record%2FWOS:000348098800012","View Full Record in Web of Science")</f>
        <v>View Full Record in Web of Science</v>
      </c>
    </row>
    <row r="660" spans="1:72" s="2" customFormat="1" x14ac:dyDescent="0.4">
      <c r="A660" s="2" t="s">
        <v>72</v>
      </c>
      <c r="B660" s="2" t="s">
        <v>1353</v>
      </c>
      <c r="C660" s="2" t="s">
        <v>74</v>
      </c>
      <c r="D660" s="2" t="s">
        <v>74</v>
      </c>
      <c r="E660" s="2" t="s">
        <v>74</v>
      </c>
      <c r="F660" s="2" t="s">
        <v>1354</v>
      </c>
      <c r="G660" s="2" t="s">
        <v>74</v>
      </c>
      <c r="H660" s="2" t="s">
        <v>74</v>
      </c>
      <c r="I660" s="2" t="s">
        <v>1355</v>
      </c>
      <c r="J660" s="2" t="s">
        <v>408</v>
      </c>
      <c r="K660" s="2" t="s">
        <v>74</v>
      </c>
      <c r="L660" s="2" t="s">
        <v>74</v>
      </c>
      <c r="M660" s="2" t="s">
        <v>74</v>
      </c>
      <c r="N660" s="2" t="s">
        <v>74</v>
      </c>
      <c r="O660" s="2" t="s">
        <v>74</v>
      </c>
      <c r="P660" s="2" t="s">
        <v>74</v>
      </c>
      <c r="Q660" s="2" t="s">
        <v>74</v>
      </c>
      <c r="R660" s="2" t="s">
        <v>74</v>
      </c>
      <c r="S660" s="2" t="s">
        <v>74</v>
      </c>
      <c r="T660" s="2" t="s">
        <v>74</v>
      </c>
      <c r="U660" s="2" t="s">
        <v>74</v>
      </c>
      <c r="V660" s="5" t="s">
        <v>1356</v>
      </c>
      <c r="W660" s="2" t="s">
        <v>74</v>
      </c>
      <c r="X660" s="2" t="s">
        <v>74</v>
      </c>
      <c r="Y660" s="2" t="s">
        <v>74</v>
      </c>
      <c r="Z660" s="2" t="s">
        <v>74</v>
      </c>
      <c r="AA660" s="2" t="s">
        <v>74</v>
      </c>
      <c r="AB660" s="2" t="s">
        <v>1357</v>
      </c>
      <c r="AC660" s="2" t="s">
        <v>74</v>
      </c>
      <c r="AD660" s="2" t="s">
        <v>74</v>
      </c>
      <c r="AE660" s="2" t="s">
        <v>74</v>
      </c>
      <c r="AF660" s="2" t="s">
        <v>74</v>
      </c>
      <c r="AG660" s="2" t="s">
        <v>74</v>
      </c>
      <c r="AH660" s="2" t="s">
        <v>74</v>
      </c>
      <c r="AI660" s="2" t="s">
        <v>74</v>
      </c>
      <c r="AJ660" s="2" t="s">
        <v>74</v>
      </c>
      <c r="AK660" s="2" t="s">
        <v>74</v>
      </c>
      <c r="AL660" s="2" t="s">
        <v>74</v>
      </c>
      <c r="AM660" s="2" t="s">
        <v>74</v>
      </c>
      <c r="AN660" s="2" t="s">
        <v>74</v>
      </c>
      <c r="AO660" s="2" t="s">
        <v>412</v>
      </c>
      <c r="AP660" s="2" t="s">
        <v>413</v>
      </c>
      <c r="AQ660" s="2" t="s">
        <v>74</v>
      </c>
      <c r="AR660" s="2" t="s">
        <v>74</v>
      </c>
      <c r="AS660" s="2" t="s">
        <v>74</v>
      </c>
      <c r="AT660" s="2" t="s">
        <v>145</v>
      </c>
      <c r="AU660" s="2">
        <v>2008</v>
      </c>
      <c r="AV660" s="2">
        <v>94</v>
      </c>
      <c r="AW660" s="2">
        <v>4</v>
      </c>
      <c r="AX660" s="2" t="s">
        <v>74</v>
      </c>
      <c r="AY660" s="2" t="s">
        <v>74</v>
      </c>
      <c r="AZ660" s="2" t="s">
        <v>74</v>
      </c>
      <c r="BA660" s="2" t="s">
        <v>74</v>
      </c>
      <c r="BB660" s="2">
        <v>663</v>
      </c>
      <c r="BC660" s="2">
        <v>673</v>
      </c>
      <c r="BD660" s="2" t="s">
        <v>74</v>
      </c>
      <c r="BE660" s="2" t="s">
        <v>1358</v>
      </c>
      <c r="BF660" s="2" t="str">
        <f>HYPERLINK("http://dx.doi.org/10.1111/j.1095-8312.2008.01021.x","http://dx.doi.org/10.1111/j.1095-8312.2008.01021.x")</f>
        <v>http://dx.doi.org/10.1111/j.1095-8312.2008.01021.x</v>
      </c>
      <c r="BG660" s="2" t="s">
        <v>74</v>
      </c>
      <c r="BH660" s="2" t="s">
        <v>74</v>
      </c>
      <c r="BI660" s="2" t="s">
        <v>74</v>
      </c>
      <c r="BJ660" s="2" t="s">
        <v>74</v>
      </c>
      <c r="BK660" s="2" t="s">
        <v>74</v>
      </c>
      <c r="BL660" s="2" t="s">
        <v>74</v>
      </c>
      <c r="BM660" s="2" t="s">
        <v>74</v>
      </c>
      <c r="BN660" s="2" t="s">
        <v>74</v>
      </c>
      <c r="BO660" s="2" t="s">
        <v>74</v>
      </c>
      <c r="BP660" s="2" t="s">
        <v>74</v>
      </c>
      <c r="BQ660" s="2" t="s">
        <v>74</v>
      </c>
      <c r="BR660" s="2" t="s">
        <v>74</v>
      </c>
      <c r="BS660" s="2" t="s">
        <v>1359</v>
      </c>
      <c r="BT660" s="2" t="str">
        <f>HYPERLINK("https%3A%2F%2Fwww.webofscience.com%2Fwos%2Fwoscc%2Ffull-record%2FWOS:000258458500002","View Full Record in Web of Science")</f>
        <v>View Full Record in Web of Science</v>
      </c>
    </row>
    <row r="661" spans="1:72" s="2" customFormat="1" x14ac:dyDescent="0.4">
      <c r="A661" s="2" t="s">
        <v>72</v>
      </c>
      <c r="B661" s="2" t="s">
        <v>967</v>
      </c>
      <c r="C661" s="2" t="s">
        <v>74</v>
      </c>
      <c r="D661" s="2" t="s">
        <v>74</v>
      </c>
      <c r="E661" s="2" t="s">
        <v>74</v>
      </c>
      <c r="F661" s="2" t="s">
        <v>968</v>
      </c>
      <c r="G661" s="2" t="s">
        <v>74</v>
      </c>
      <c r="H661" s="2" t="s">
        <v>74</v>
      </c>
      <c r="I661" s="2" t="s">
        <v>969</v>
      </c>
      <c r="J661" s="2" t="s">
        <v>970</v>
      </c>
      <c r="K661" s="2" t="s">
        <v>74</v>
      </c>
      <c r="L661" s="2" t="s">
        <v>74</v>
      </c>
      <c r="M661" s="2" t="s">
        <v>74</v>
      </c>
      <c r="N661" s="2" t="s">
        <v>74</v>
      </c>
      <c r="O661" s="2" t="s">
        <v>74</v>
      </c>
      <c r="P661" s="2" t="s">
        <v>74</v>
      </c>
      <c r="Q661" s="2" t="s">
        <v>74</v>
      </c>
      <c r="R661" s="2" t="s">
        <v>74</v>
      </c>
      <c r="S661" s="2" t="s">
        <v>74</v>
      </c>
      <c r="T661" s="2" t="s">
        <v>74</v>
      </c>
      <c r="U661" s="2" t="s">
        <v>74</v>
      </c>
      <c r="V661" s="5" t="s">
        <v>971</v>
      </c>
      <c r="W661" s="2" t="s">
        <v>74</v>
      </c>
      <c r="X661" s="2" t="s">
        <v>74</v>
      </c>
      <c r="Y661" s="2" t="s">
        <v>74</v>
      </c>
      <c r="Z661" s="2" t="s">
        <v>74</v>
      </c>
      <c r="AA661" s="2" t="s">
        <v>972</v>
      </c>
      <c r="AB661" s="2" t="s">
        <v>973</v>
      </c>
      <c r="AC661" s="2" t="s">
        <v>74</v>
      </c>
      <c r="AD661" s="2" t="s">
        <v>74</v>
      </c>
      <c r="AE661" s="2" t="s">
        <v>74</v>
      </c>
      <c r="AF661" s="2" t="s">
        <v>74</v>
      </c>
      <c r="AG661" s="2" t="s">
        <v>74</v>
      </c>
      <c r="AH661" s="2" t="s">
        <v>74</v>
      </c>
      <c r="AI661" s="2" t="s">
        <v>74</v>
      </c>
      <c r="AJ661" s="2" t="s">
        <v>74</v>
      </c>
      <c r="AK661" s="2" t="s">
        <v>74</v>
      </c>
      <c r="AL661" s="2" t="s">
        <v>74</v>
      </c>
      <c r="AM661" s="2" t="s">
        <v>74</v>
      </c>
      <c r="AN661" s="2" t="s">
        <v>74</v>
      </c>
      <c r="AO661" s="2" t="s">
        <v>974</v>
      </c>
      <c r="AP661" s="2" t="s">
        <v>975</v>
      </c>
      <c r="AQ661" s="2" t="s">
        <v>74</v>
      </c>
      <c r="AR661" s="2" t="s">
        <v>74</v>
      </c>
      <c r="AS661" s="2" t="s">
        <v>74</v>
      </c>
      <c r="AT661" s="2" t="s">
        <v>204</v>
      </c>
      <c r="AU661" s="2">
        <v>2008</v>
      </c>
      <c r="AV661" s="2">
        <v>149</v>
      </c>
      <c r="AW661" s="2">
        <v>3</v>
      </c>
      <c r="AX661" s="2" t="s">
        <v>74</v>
      </c>
      <c r="AY661" s="2" t="s">
        <v>74</v>
      </c>
      <c r="AZ661" s="2" t="s">
        <v>74</v>
      </c>
      <c r="BA661" s="2" t="s">
        <v>74</v>
      </c>
      <c r="BB661" s="2">
        <v>415</v>
      </c>
      <c r="BC661" s="2">
        <v>421</v>
      </c>
      <c r="BD661" s="2" t="s">
        <v>74</v>
      </c>
      <c r="BE661" s="2" t="s">
        <v>976</v>
      </c>
      <c r="BF661" s="2" t="str">
        <f>HYPERLINK("http://dx.doi.org/10.1007/s10336-008-0283-0","http://dx.doi.org/10.1007/s10336-008-0283-0")</f>
        <v>http://dx.doi.org/10.1007/s10336-008-0283-0</v>
      </c>
      <c r="BG661" s="2" t="s">
        <v>74</v>
      </c>
      <c r="BH661" s="2" t="s">
        <v>74</v>
      </c>
      <c r="BI661" s="2" t="s">
        <v>74</v>
      </c>
      <c r="BJ661" s="2" t="s">
        <v>74</v>
      </c>
      <c r="BK661" s="2" t="s">
        <v>74</v>
      </c>
      <c r="BL661" s="2" t="s">
        <v>74</v>
      </c>
      <c r="BM661" s="2" t="s">
        <v>74</v>
      </c>
      <c r="BN661" s="2" t="s">
        <v>74</v>
      </c>
      <c r="BO661" s="2" t="s">
        <v>74</v>
      </c>
      <c r="BP661" s="2" t="s">
        <v>74</v>
      </c>
      <c r="BQ661" s="2" t="s">
        <v>74</v>
      </c>
      <c r="BR661" s="2" t="s">
        <v>74</v>
      </c>
      <c r="BS661" s="2" t="s">
        <v>977</v>
      </c>
      <c r="BT661" s="2" t="str">
        <f>HYPERLINK("https%3A%2F%2Fwww.webofscience.com%2Fwos%2Fwoscc%2Ffull-record%2FWOS:000256660000013","View Full Record in Web of Science")</f>
        <v>View Full Record in Web of Science</v>
      </c>
    </row>
    <row r="662" spans="1:72" s="2" customFormat="1" x14ac:dyDescent="0.4">
      <c r="A662" s="2" t="s">
        <v>72</v>
      </c>
      <c r="B662" s="2" t="s">
        <v>6357</v>
      </c>
      <c r="C662" s="2" t="s">
        <v>74</v>
      </c>
      <c r="D662" s="2" t="s">
        <v>74</v>
      </c>
      <c r="E662" s="2" t="s">
        <v>74</v>
      </c>
      <c r="F662" s="2" t="s">
        <v>6358</v>
      </c>
      <c r="G662" s="2" t="s">
        <v>74</v>
      </c>
      <c r="H662" s="2" t="s">
        <v>74</v>
      </c>
      <c r="I662" s="2" t="s">
        <v>6359</v>
      </c>
      <c r="J662" s="2" t="s">
        <v>77</v>
      </c>
      <c r="K662" s="2" t="s">
        <v>74</v>
      </c>
      <c r="L662" s="2" t="s">
        <v>74</v>
      </c>
      <c r="M662" s="2" t="s">
        <v>74</v>
      </c>
      <c r="N662" s="2" t="s">
        <v>74</v>
      </c>
      <c r="O662" s="2" t="s">
        <v>74</v>
      </c>
      <c r="P662" s="2" t="s">
        <v>74</v>
      </c>
      <c r="Q662" s="2" t="s">
        <v>74</v>
      </c>
      <c r="R662" s="2" t="s">
        <v>74</v>
      </c>
      <c r="S662" s="2" t="s">
        <v>74</v>
      </c>
      <c r="T662" s="2" t="s">
        <v>74</v>
      </c>
      <c r="U662" s="2" t="s">
        <v>74</v>
      </c>
      <c r="V662" s="5" t="s">
        <v>6360</v>
      </c>
      <c r="W662" s="2" t="s">
        <v>74</v>
      </c>
      <c r="X662" s="2" t="s">
        <v>74</v>
      </c>
      <c r="Y662" s="2" t="s">
        <v>74</v>
      </c>
      <c r="Z662" s="2" t="s">
        <v>74</v>
      </c>
      <c r="AA662" s="2" t="s">
        <v>74</v>
      </c>
      <c r="AB662" s="2" t="s">
        <v>6361</v>
      </c>
      <c r="AC662" s="2" t="s">
        <v>74</v>
      </c>
      <c r="AD662" s="2" t="s">
        <v>74</v>
      </c>
      <c r="AE662" s="2" t="s">
        <v>74</v>
      </c>
      <c r="AF662" s="2" t="s">
        <v>74</v>
      </c>
      <c r="AG662" s="2" t="s">
        <v>74</v>
      </c>
      <c r="AH662" s="2" t="s">
        <v>74</v>
      </c>
      <c r="AI662" s="2" t="s">
        <v>74</v>
      </c>
      <c r="AJ662" s="2" t="s">
        <v>74</v>
      </c>
      <c r="AK662" s="2" t="s">
        <v>74</v>
      </c>
      <c r="AL662" s="2" t="s">
        <v>74</v>
      </c>
      <c r="AM662" s="2" t="s">
        <v>74</v>
      </c>
      <c r="AN662" s="2" t="s">
        <v>74</v>
      </c>
      <c r="AO662" s="2" t="s">
        <v>81</v>
      </c>
      <c r="AP662" s="2" t="s">
        <v>82</v>
      </c>
      <c r="AQ662" s="2" t="s">
        <v>74</v>
      </c>
      <c r="AR662" s="2" t="s">
        <v>74</v>
      </c>
      <c r="AS662" s="2" t="s">
        <v>74</v>
      </c>
      <c r="AT662" s="2" t="s">
        <v>74</v>
      </c>
      <c r="AU662" s="2">
        <v>2015</v>
      </c>
      <c r="AV662" s="2">
        <v>152</v>
      </c>
      <c r="AW662" s="2" t="s">
        <v>6362</v>
      </c>
      <c r="AX662" s="2" t="s">
        <v>74</v>
      </c>
      <c r="AY662" s="2" t="s">
        <v>74</v>
      </c>
      <c r="AZ662" s="2" t="s">
        <v>74</v>
      </c>
      <c r="BA662" s="2" t="s">
        <v>74</v>
      </c>
      <c r="BB662" s="2">
        <v>1601</v>
      </c>
      <c r="BC662" s="2">
        <v>1621</v>
      </c>
      <c r="BD662" s="2" t="s">
        <v>74</v>
      </c>
      <c r="BE662" s="2" t="s">
        <v>6363</v>
      </c>
      <c r="BF662" s="2" t="str">
        <f>HYPERLINK("http://dx.doi.org/10.1163/1568539X-00003295","http://dx.doi.org/10.1163/1568539X-00003295")</f>
        <v>http://dx.doi.org/10.1163/1568539X-00003295</v>
      </c>
      <c r="BG662" s="2" t="s">
        <v>74</v>
      </c>
      <c r="BH662" s="2" t="s">
        <v>74</v>
      </c>
      <c r="BI662" s="2" t="s">
        <v>74</v>
      </c>
      <c r="BJ662" s="2" t="s">
        <v>74</v>
      </c>
      <c r="BK662" s="2" t="s">
        <v>74</v>
      </c>
      <c r="BL662" s="2" t="s">
        <v>74</v>
      </c>
      <c r="BM662" s="2" t="s">
        <v>74</v>
      </c>
      <c r="BN662" s="2" t="s">
        <v>74</v>
      </c>
      <c r="BO662" s="2" t="s">
        <v>74</v>
      </c>
      <c r="BP662" s="2" t="s">
        <v>74</v>
      </c>
      <c r="BQ662" s="2" t="s">
        <v>74</v>
      </c>
      <c r="BR662" s="2" t="s">
        <v>74</v>
      </c>
      <c r="BS662" s="2" t="s">
        <v>6364</v>
      </c>
      <c r="BT662" s="2" t="str">
        <f>HYPERLINK("https%3A%2F%2Fwww.webofscience.com%2Fwos%2Fwoscc%2Ffull-record%2FWOS:000362911000001","View Full Record in Web of Science")</f>
        <v>View Full Record in Web of Science</v>
      </c>
    </row>
    <row r="663" spans="1:72" s="2" customFormat="1" x14ac:dyDescent="0.4">
      <c r="A663" s="2" t="s">
        <v>72</v>
      </c>
      <c r="B663" s="2" t="s">
        <v>8706</v>
      </c>
      <c r="C663" s="2" t="s">
        <v>74</v>
      </c>
      <c r="D663" s="2" t="s">
        <v>74</v>
      </c>
      <c r="E663" s="2" t="s">
        <v>74</v>
      </c>
      <c r="F663" s="2" t="s">
        <v>8707</v>
      </c>
      <c r="G663" s="2" t="s">
        <v>74</v>
      </c>
      <c r="H663" s="2" t="s">
        <v>74</v>
      </c>
      <c r="I663" s="2" t="s">
        <v>8708</v>
      </c>
      <c r="J663" s="2" t="s">
        <v>4522</v>
      </c>
      <c r="K663" s="2" t="s">
        <v>74</v>
      </c>
      <c r="L663" s="2" t="s">
        <v>74</v>
      </c>
      <c r="M663" s="2" t="s">
        <v>74</v>
      </c>
      <c r="N663" s="2" t="s">
        <v>74</v>
      </c>
      <c r="O663" s="2" t="s">
        <v>74</v>
      </c>
      <c r="P663" s="2" t="s">
        <v>74</v>
      </c>
      <c r="Q663" s="2" t="s">
        <v>74</v>
      </c>
      <c r="R663" s="2" t="s">
        <v>74</v>
      </c>
      <c r="S663" s="2" t="s">
        <v>74</v>
      </c>
      <c r="T663" s="2" t="s">
        <v>74</v>
      </c>
      <c r="U663" s="2" t="s">
        <v>74</v>
      </c>
      <c r="V663" s="5" t="s">
        <v>8709</v>
      </c>
      <c r="W663" s="2" t="s">
        <v>74</v>
      </c>
      <c r="X663" s="2" t="s">
        <v>74</v>
      </c>
      <c r="Y663" s="2" t="s">
        <v>74</v>
      </c>
      <c r="Z663" s="2" t="s">
        <v>74</v>
      </c>
      <c r="AA663" s="2" t="s">
        <v>8710</v>
      </c>
      <c r="AB663" s="2" t="s">
        <v>8711</v>
      </c>
      <c r="AC663" s="2" t="s">
        <v>74</v>
      </c>
      <c r="AD663" s="2" t="s">
        <v>74</v>
      </c>
      <c r="AE663" s="2" t="s">
        <v>74</v>
      </c>
      <c r="AF663" s="2" t="s">
        <v>74</v>
      </c>
      <c r="AG663" s="2" t="s">
        <v>74</v>
      </c>
      <c r="AH663" s="2" t="s">
        <v>74</v>
      </c>
      <c r="AI663" s="2" t="s">
        <v>74</v>
      </c>
      <c r="AJ663" s="2" t="s">
        <v>74</v>
      </c>
      <c r="AK663" s="2" t="s">
        <v>74</v>
      </c>
      <c r="AL663" s="2" t="s">
        <v>74</v>
      </c>
      <c r="AM663" s="2" t="s">
        <v>74</v>
      </c>
      <c r="AN663" s="2" t="s">
        <v>74</v>
      </c>
      <c r="AO663" s="2" t="s">
        <v>4526</v>
      </c>
      <c r="AP663" s="2" t="s">
        <v>4527</v>
      </c>
      <c r="AQ663" s="2" t="s">
        <v>74</v>
      </c>
      <c r="AR663" s="2" t="s">
        <v>74</v>
      </c>
      <c r="AS663" s="2" t="s">
        <v>74</v>
      </c>
      <c r="AT663" s="2" t="s">
        <v>8712</v>
      </c>
      <c r="AU663" s="2">
        <v>2016</v>
      </c>
      <c r="AV663" s="2">
        <v>50</v>
      </c>
      <c r="AW663" s="2" t="s">
        <v>8713</v>
      </c>
      <c r="AX663" s="2" t="s">
        <v>74</v>
      </c>
      <c r="AY663" s="2" t="s">
        <v>74</v>
      </c>
      <c r="AZ663" s="2" t="s">
        <v>74</v>
      </c>
      <c r="BA663" s="2" t="s">
        <v>74</v>
      </c>
      <c r="BB663" s="2">
        <v>1283</v>
      </c>
      <c r="BC663" s="2">
        <v>1289</v>
      </c>
      <c r="BD663" s="2" t="s">
        <v>74</v>
      </c>
      <c r="BE663" s="2" t="s">
        <v>8714</v>
      </c>
      <c r="BF663" s="2" t="str">
        <f>HYPERLINK("http://dx.doi.org/10.1080/00222933.2015.1105318","http://dx.doi.org/10.1080/00222933.2015.1105318")</f>
        <v>http://dx.doi.org/10.1080/00222933.2015.1105318</v>
      </c>
      <c r="BG663" s="2" t="s">
        <v>74</v>
      </c>
      <c r="BH663" s="2" t="s">
        <v>74</v>
      </c>
      <c r="BI663" s="2" t="s">
        <v>74</v>
      </c>
      <c r="BJ663" s="2" t="s">
        <v>74</v>
      </c>
      <c r="BK663" s="2" t="s">
        <v>74</v>
      </c>
      <c r="BL663" s="2" t="s">
        <v>74</v>
      </c>
      <c r="BM663" s="2" t="s">
        <v>74</v>
      </c>
      <c r="BN663" s="2" t="s">
        <v>74</v>
      </c>
      <c r="BO663" s="2" t="s">
        <v>74</v>
      </c>
      <c r="BP663" s="2" t="s">
        <v>74</v>
      </c>
      <c r="BQ663" s="2" t="s">
        <v>74</v>
      </c>
      <c r="BR663" s="2" t="s">
        <v>74</v>
      </c>
      <c r="BS663" s="2" t="s">
        <v>8715</v>
      </c>
      <c r="BT663" s="2" t="str">
        <f>HYPERLINK("https%3A%2F%2Fwww.webofscience.com%2Fwos%2Fwoscc%2Ffull-record%2FWOS:000373297600001","View Full Record in Web of Science")</f>
        <v>View Full Record in Web of Science</v>
      </c>
    </row>
    <row r="664" spans="1:72" s="2" customFormat="1" x14ac:dyDescent="0.4">
      <c r="A664" s="2" t="s">
        <v>72</v>
      </c>
      <c r="B664" s="2" t="s">
        <v>4512</v>
      </c>
      <c r="C664" s="2" t="s">
        <v>74</v>
      </c>
      <c r="D664" s="2" t="s">
        <v>74</v>
      </c>
      <c r="E664" s="2" t="s">
        <v>74</v>
      </c>
      <c r="F664" s="2" t="s">
        <v>4513</v>
      </c>
      <c r="G664" s="2" t="s">
        <v>74</v>
      </c>
      <c r="H664" s="2" t="s">
        <v>74</v>
      </c>
      <c r="I664" s="2" t="s">
        <v>4514</v>
      </c>
      <c r="J664" s="2" t="s">
        <v>1949</v>
      </c>
      <c r="K664" s="2" t="s">
        <v>74</v>
      </c>
      <c r="L664" s="2" t="s">
        <v>74</v>
      </c>
      <c r="M664" s="2" t="s">
        <v>74</v>
      </c>
      <c r="N664" s="2" t="s">
        <v>74</v>
      </c>
      <c r="O664" s="2" t="s">
        <v>74</v>
      </c>
      <c r="P664" s="2" t="s">
        <v>74</v>
      </c>
      <c r="Q664" s="2" t="s">
        <v>74</v>
      </c>
      <c r="R664" s="2" t="s">
        <v>74</v>
      </c>
      <c r="S664" s="2" t="s">
        <v>74</v>
      </c>
      <c r="T664" s="2" t="s">
        <v>74</v>
      </c>
      <c r="U664" s="2" t="s">
        <v>74</v>
      </c>
      <c r="V664" s="5" t="s">
        <v>4515</v>
      </c>
      <c r="W664" s="2" t="s">
        <v>74</v>
      </c>
      <c r="X664" s="2" t="s">
        <v>74</v>
      </c>
      <c r="Y664" s="2" t="s">
        <v>74</v>
      </c>
      <c r="Z664" s="2" t="s">
        <v>74</v>
      </c>
      <c r="AA664" s="2" t="s">
        <v>74</v>
      </c>
      <c r="AB664" s="2" t="s">
        <v>4516</v>
      </c>
      <c r="AC664" s="2" t="s">
        <v>74</v>
      </c>
      <c r="AD664" s="2" t="s">
        <v>74</v>
      </c>
      <c r="AE664" s="2" t="s">
        <v>74</v>
      </c>
      <c r="AF664" s="2" t="s">
        <v>74</v>
      </c>
      <c r="AG664" s="2" t="s">
        <v>74</v>
      </c>
      <c r="AH664" s="2" t="s">
        <v>74</v>
      </c>
      <c r="AI664" s="2" t="s">
        <v>74</v>
      </c>
      <c r="AJ664" s="2" t="s">
        <v>74</v>
      </c>
      <c r="AK664" s="2" t="s">
        <v>74</v>
      </c>
      <c r="AL664" s="2" t="s">
        <v>74</v>
      </c>
      <c r="AM664" s="2" t="s">
        <v>74</v>
      </c>
      <c r="AN664" s="2" t="s">
        <v>74</v>
      </c>
      <c r="AO664" s="2" t="s">
        <v>74</v>
      </c>
      <c r="AP664" s="2" t="s">
        <v>1953</v>
      </c>
      <c r="AQ664" s="2" t="s">
        <v>74</v>
      </c>
      <c r="AR664" s="2" t="s">
        <v>74</v>
      </c>
      <c r="AS664" s="2" t="s">
        <v>74</v>
      </c>
      <c r="AT664" s="2" t="s">
        <v>204</v>
      </c>
      <c r="AU664" s="2">
        <v>2024</v>
      </c>
      <c r="AV664" s="2">
        <v>15</v>
      </c>
      <c r="AW664" s="2">
        <v>7</v>
      </c>
      <c r="AX664" s="2" t="s">
        <v>74</v>
      </c>
      <c r="AY664" s="2" t="s">
        <v>74</v>
      </c>
      <c r="AZ664" s="2" t="s">
        <v>74</v>
      </c>
      <c r="BA664" s="2" t="s">
        <v>74</v>
      </c>
      <c r="BB664" s="2" t="s">
        <v>74</v>
      </c>
      <c r="BC664" s="2" t="s">
        <v>74</v>
      </c>
      <c r="BD664" s="2">
        <v>548</v>
      </c>
      <c r="BE664" s="2" t="s">
        <v>4517</v>
      </c>
      <c r="BF664" s="2" t="str">
        <f>HYPERLINK("http://dx.doi.org/10.3390/insects15070548","http://dx.doi.org/10.3390/insects15070548")</f>
        <v>http://dx.doi.org/10.3390/insects15070548</v>
      </c>
      <c r="BG664" s="2" t="s">
        <v>74</v>
      </c>
      <c r="BH664" s="2" t="s">
        <v>74</v>
      </c>
      <c r="BI664" s="2" t="s">
        <v>74</v>
      </c>
      <c r="BJ664" s="2" t="s">
        <v>74</v>
      </c>
      <c r="BK664" s="2" t="s">
        <v>74</v>
      </c>
      <c r="BL664" s="2" t="s">
        <v>74</v>
      </c>
      <c r="BM664" s="2" t="s">
        <v>74</v>
      </c>
      <c r="BN664" s="2">
        <v>39057280</v>
      </c>
      <c r="BO664" s="2" t="s">
        <v>74</v>
      </c>
      <c r="BP664" s="2" t="s">
        <v>74</v>
      </c>
      <c r="BQ664" s="2" t="s">
        <v>74</v>
      </c>
      <c r="BR664" s="2" t="s">
        <v>74</v>
      </c>
      <c r="BS664" s="2" t="s">
        <v>4518</v>
      </c>
      <c r="BT664" s="2" t="str">
        <f>HYPERLINK("https%3A%2F%2Fwww.webofscience.com%2Fwos%2Fwoscc%2Ffull-record%2FWOS:001278556300001","View Full Record in Web of Science")</f>
        <v>View Full Record in Web of Science</v>
      </c>
    </row>
    <row r="665" spans="1:72" s="2" customFormat="1" x14ac:dyDescent="0.4">
      <c r="A665" s="2" t="s">
        <v>72</v>
      </c>
      <c r="B665" s="2" t="s">
        <v>7648</v>
      </c>
      <c r="C665" s="2" t="s">
        <v>74</v>
      </c>
      <c r="D665" s="2" t="s">
        <v>74</v>
      </c>
      <c r="E665" s="2" t="s">
        <v>74</v>
      </c>
      <c r="F665" s="2" t="s">
        <v>7649</v>
      </c>
      <c r="G665" s="2" t="s">
        <v>74</v>
      </c>
      <c r="H665" s="2" t="s">
        <v>74</v>
      </c>
      <c r="I665" s="2" t="s">
        <v>7650</v>
      </c>
      <c r="J665" s="2" t="s">
        <v>6968</v>
      </c>
      <c r="K665" s="2" t="s">
        <v>74</v>
      </c>
      <c r="L665" s="2" t="s">
        <v>74</v>
      </c>
      <c r="M665" s="2" t="s">
        <v>74</v>
      </c>
      <c r="N665" s="2" t="s">
        <v>74</v>
      </c>
      <c r="O665" s="2" t="s">
        <v>74</v>
      </c>
      <c r="P665" s="2" t="s">
        <v>74</v>
      </c>
      <c r="Q665" s="2" t="s">
        <v>74</v>
      </c>
      <c r="R665" s="2" t="s">
        <v>74</v>
      </c>
      <c r="S665" s="2" t="s">
        <v>74</v>
      </c>
      <c r="T665" s="2" t="s">
        <v>74</v>
      </c>
      <c r="U665" s="2" t="s">
        <v>74</v>
      </c>
      <c r="V665" s="5" t="s">
        <v>7651</v>
      </c>
      <c r="W665" s="2" t="s">
        <v>74</v>
      </c>
      <c r="X665" s="2" t="s">
        <v>74</v>
      </c>
      <c r="Y665" s="2" t="s">
        <v>74</v>
      </c>
      <c r="Z665" s="2" t="s">
        <v>74</v>
      </c>
      <c r="AA665" s="2" t="s">
        <v>74</v>
      </c>
      <c r="AB665" s="2" t="s">
        <v>74</v>
      </c>
      <c r="AC665" s="2" t="s">
        <v>74</v>
      </c>
      <c r="AD665" s="2" t="s">
        <v>74</v>
      </c>
      <c r="AE665" s="2" t="s">
        <v>74</v>
      </c>
      <c r="AF665" s="2" t="s">
        <v>74</v>
      </c>
      <c r="AG665" s="2" t="s">
        <v>74</v>
      </c>
      <c r="AH665" s="2" t="s">
        <v>74</v>
      </c>
      <c r="AI665" s="2" t="s">
        <v>74</v>
      </c>
      <c r="AJ665" s="2" t="s">
        <v>74</v>
      </c>
      <c r="AK665" s="2" t="s">
        <v>74</v>
      </c>
      <c r="AL665" s="2" t="s">
        <v>74</v>
      </c>
      <c r="AM665" s="2" t="s">
        <v>74</v>
      </c>
      <c r="AN665" s="2" t="s">
        <v>74</v>
      </c>
      <c r="AO665" s="2" t="s">
        <v>6970</v>
      </c>
      <c r="AP665" s="2" t="s">
        <v>6971</v>
      </c>
      <c r="AQ665" s="2" t="s">
        <v>74</v>
      </c>
      <c r="AR665" s="2" t="s">
        <v>74</v>
      </c>
      <c r="AS665" s="2" t="s">
        <v>74</v>
      </c>
      <c r="AT665" s="2" t="s">
        <v>352</v>
      </c>
      <c r="AU665" s="2">
        <v>2021</v>
      </c>
      <c r="AV665" s="2">
        <v>21</v>
      </c>
      <c r="AW665" s="2">
        <v>3</v>
      </c>
      <c r="AX665" s="2" t="s">
        <v>74</v>
      </c>
      <c r="AY665" s="2" t="s">
        <v>74</v>
      </c>
      <c r="AZ665" s="2" t="s">
        <v>74</v>
      </c>
      <c r="BA665" s="2" t="s">
        <v>74</v>
      </c>
      <c r="BB665" s="2">
        <v>533</v>
      </c>
      <c r="BC665" s="2">
        <v>545</v>
      </c>
      <c r="BD665" s="2" t="s">
        <v>74</v>
      </c>
      <c r="BE665" s="2" t="s">
        <v>7652</v>
      </c>
      <c r="BF665" s="2" t="str">
        <f>HYPERLINK("http://dx.doi.org/10.1007/s13127-021-00498-9","http://dx.doi.org/10.1007/s13127-021-00498-9")</f>
        <v>http://dx.doi.org/10.1007/s13127-021-00498-9</v>
      </c>
      <c r="BG665" s="2" t="s">
        <v>74</v>
      </c>
      <c r="BH665" s="2" t="s">
        <v>224</v>
      </c>
      <c r="BI665" s="2" t="s">
        <v>74</v>
      </c>
      <c r="BJ665" s="2" t="s">
        <v>74</v>
      </c>
      <c r="BK665" s="2" t="s">
        <v>74</v>
      </c>
      <c r="BL665" s="2" t="s">
        <v>74</v>
      </c>
      <c r="BM665" s="2" t="s">
        <v>74</v>
      </c>
      <c r="BN665" s="2" t="s">
        <v>74</v>
      </c>
      <c r="BO665" s="2" t="s">
        <v>74</v>
      </c>
      <c r="BP665" s="2" t="s">
        <v>74</v>
      </c>
      <c r="BQ665" s="2" t="s">
        <v>74</v>
      </c>
      <c r="BR665" s="2" t="s">
        <v>74</v>
      </c>
      <c r="BS665" s="2" t="s">
        <v>7653</v>
      </c>
      <c r="BT665" s="2" t="str">
        <f>HYPERLINK("https%3A%2F%2Fwww.webofscience.com%2Fwos%2Fwoscc%2Ffull-record%2FWOS:000665705600001","View Full Record in Web of Science")</f>
        <v>View Full Record in Web of Science</v>
      </c>
    </row>
    <row r="666" spans="1:72" s="2" customFormat="1" x14ac:dyDescent="0.4">
      <c r="A666" s="2" t="s">
        <v>72</v>
      </c>
      <c r="B666" s="2" t="s">
        <v>8227</v>
      </c>
      <c r="C666" s="2" t="s">
        <v>74</v>
      </c>
      <c r="D666" s="2" t="s">
        <v>74</v>
      </c>
      <c r="E666" s="2" t="s">
        <v>74</v>
      </c>
      <c r="F666" s="2" t="s">
        <v>8228</v>
      </c>
      <c r="G666" s="2" t="s">
        <v>74</v>
      </c>
      <c r="H666" s="2" t="s">
        <v>74</v>
      </c>
      <c r="I666" s="2" t="s">
        <v>8229</v>
      </c>
      <c r="J666" s="2" t="s">
        <v>8230</v>
      </c>
      <c r="K666" s="2" t="s">
        <v>74</v>
      </c>
      <c r="L666" s="2" t="s">
        <v>74</v>
      </c>
      <c r="M666" s="2" t="s">
        <v>74</v>
      </c>
      <c r="N666" s="2" t="s">
        <v>74</v>
      </c>
      <c r="O666" s="2" t="s">
        <v>74</v>
      </c>
      <c r="P666" s="2" t="s">
        <v>74</v>
      </c>
      <c r="Q666" s="2" t="s">
        <v>74</v>
      </c>
      <c r="R666" s="2" t="s">
        <v>74</v>
      </c>
      <c r="S666" s="2" t="s">
        <v>74</v>
      </c>
      <c r="T666" s="2" t="s">
        <v>74</v>
      </c>
      <c r="U666" s="2" t="s">
        <v>74</v>
      </c>
      <c r="V666" s="5" t="s">
        <v>8231</v>
      </c>
      <c r="W666" s="2" t="s">
        <v>74</v>
      </c>
      <c r="X666" s="2" t="s">
        <v>74</v>
      </c>
      <c r="Y666" s="2" t="s">
        <v>74</v>
      </c>
      <c r="Z666" s="2" t="s">
        <v>74</v>
      </c>
      <c r="AA666" s="2" t="s">
        <v>74</v>
      </c>
      <c r="AB666" s="2" t="s">
        <v>8232</v>
      </c>
      <c r="AC666" s="2" t="s">
        <v>74</v>
      </c>
      <c r="AD666" s="2" t="s">
        <v>74</v>
      </c>
      <c r="AE666" s="2" t="s">
        <v>74</v>
      </c>
      <c r="AF666" s="2" t="s">
        <v>74</v>
      </c>
      <c r="AG666" s="2" t="s">
        <v>74</v>
      </c>
      <c r="AH666" s="2" t="s">
        <v>74</v>
      </c>
      <c r="AI666" s="2" t="s">
        <v>74</v>
      </c>
      <c r="AJ666" s="2" t="s">
        <v>74</v>
      </c>
      <c r="AK666" s="2" t="s">
        <v>74</v>
      </c>
      <c r="AL666" s="2" t="s">
        <v>74</v>
      </c>
      <c r="AM666" s="2" t="s">
        <v>74</v>
      </c>
      <c r="AN666" s="2" t="s">
        <v>74</v>
      </c>
      <c r="AO666" s="2" t="s">
        <v>8233</v>
      </c>
      <c r="AP666" s="2" t="s">
        <v>8234</v>
      </c>
      <c r="AQ666" s="2" t="s">
        <v>74</v>
      </c>
      <c r="AR666" s="2" t="s">
        <v>74</v>
      </c>
      <c r="AS666" s="2" t="s">
        <v>74</v>
      </c>
      <c r="AT666" s="2" t="s">
        <v>204</v>
      </c>
      <c r="AU666" s="2">
        <v>2010</v>
      </c>
      <c r="AV666" s="2">
        <v>23</v>
      </c>
      <c r="AW666" s="2">
        <v>7</v>
      </c>
      <c r="AX666" s="2" t="s">
        <v>74</v>
      </c>
      <c r="AY666" s="2" t="s">
        <v>74</v>
      </c>
      <c r="AZ666" s="2" t="s">
        <v>74</v>
      </c>
      <c r="BA666" s="2" t="s">
        <v>74</v>
      </c>
      <c r="BB666" s="2">
        <v>952</v>
      </c>
      <c r="BC666" s="2">
        <v>959</v>
      </c>
      <c r="BD666" s="2" t="s">
        <v>74</v>
      </c>
      <c r="BE666" s="2" t="s">
        <v>8235</v>
      </c>
      <c r="BF666" s="2" t="str">
        <f>HYPERLINK("http://dx.doi.org/10.5713/ajas.2010.90276","http://dx.doi.org/10.5713/ajas.2010.90276")</f>
        <v>http://dx.doi.org/10.5713/ajas.2010.90276</v>
      </c>
      <c r="BG666" s="2" t="s">
        <v>74</v>
      </c>
      <c r="BH666" s="2" t="s">
        <v>74</v>
      </c>
      <c r="BI666" s="2" t="s">
        <v>74</v>
      </c>
      <c r="BJ666" s="2" t="s">
        <v>74</v>
      </c>
      <c r="BK666" s="2" t="s">
        <v>74</v>
      </c>
      <c r="BL666" s="2" t="s">
        <v>74</v>
      </c>
      <c r="BM666" s="2" t="s">
        <v>74</v>
      </c>
      <c r="BN666" s="2" t="s">
        <v>74</v>
      </c>
      <c r="BO666" s="2" t="s">
        <v>74</v>
      </c>
      <c r="BP666" s="2" t="s">
        <v>74</v>
      </c>
      <c r="BQ666" s="2" t="s">
        <v>74</v>
      </c>
      <c r="BR666" s="2" t="s">
        <v>74</v>
      </c>
      <c r="BS666" s="2" t="s">
        <v>8236</v>
      </c>
      <c r="BT666" s="2" t="str">
        <f>HYPERLINK("https%3A%2F%2Fwww.webofscience.com%2Fwos%2Fwoscc%2Ffull-record%2FWOS:000279576700016","View Full Record in Web of Science")</f>
        <v>View Full Record in Web of Science</v>
      </c>
    </row>
    <row r="667" spans="1:72" s="2" customFormat="1" x14ac:dyDescent="0.4">
      <c r="A667" s="2" t="s">
        <v>72</v>
      </c>
      <c r="B667" s="2" t="s">
        <v>6510</v>
      </c>
      <c r="C667" s="2" t="s">
        <v>74</v>
      </c>
      <c r="D667" s="2" t="s">
        <v>74</v>
      </c>
      <c r="E667" s="2" t="s">
        <v>74</v>
      </c>
      <c r="F667" s="2" t="s">
        <v>6511</v>
      </c>
      <c r="G667" s="2" t="s">
        <v>74</v>
      </c>
      <c r="H667" s="2" t="s">
        <v>74</v>
      </c>
      <c r="I667" s="2" t="s">
        <v>6512</v>
      </c>
      <c r="J667" s="2" t="s">
        <v>6513</v>
      </c>
      <c r="K667" s="2" t="s">
        <v>74</v>
      </c>
      <c r="L667" s="2" t="s">
        <v>74</v>
      </c>
      <c r="M667" s="2" t="s">
        <v>74</v>
      </c>
      <c r="N667" s="2" t="s">
        <v>74</v>
      </c>
      <c r="O667" s="2" t="s">
        <v>74</v>
      </c>
      <c r="P667" s="2" t="s">
        <v>74</v>
      </c>
      <c r="Q667" s="2" t="s">
        <v>74</v>
      </c>
      <c r="R667" s="2" t="s">
        <v>74</v>
      </c>
      <c r="S667" s="2" t="s">
        <v>74</v>
      </c>
      <c r="T667" s="2" t="s">
        <v>74</v>
      </c>
      <c r="U667" s="2" t="s">
        <v>74</v>
      </c>
      <c r="V667" s="5" t="s">
        <v>6514</v>
      </c>
      <c r="W667" s="2" t="s">
        <v>74</v>
      </c>
      <c r="X667" s="2" t="s">
        <v>74</v>
      </c>
      <c r="Y667" s="2" t="s">
        <v>74</v>
      </c>
      <c r="Z667" s="2" t="s">
        <v>74</v>
      </c>
      <c r="AA667" s="2" t="s">
        <v>6515</v>
      </c>
      <c r="AB667" s="2" t="s">
        <v>6516</v>
      </c>
      <c r="AC667" s="2" t="s">
        <v>74</v>
      </c>
      <c r="AD667" s="2" t="s">
        <v>74</v>
      </c>
      <c r="AE667" s="2" t="s">
        <v>74</v>
      </c>
      <c r="AF667" s="2" t="s">
        <v>74</v>
      </c>
      <c r="AG667" s="2" t="s">
        <v>74</v>
      </c>
      <c r="AH667" s="2" t="s">
        <v>74</v>
      </c>
      <c r="AI667" s="2" t="s">
        <v>74</v>
      </c>
      <c r="AJ667" s="2" t="s">
        <v>74</v>
      </c>
      <c r="AK667" s="2" t="s">
        <v>74</v>
      </c>
      <c r="AL667" s="2" t="s">
        <v>74</v>
      </c>
      <c r="AM667" s="2" t="s">
        <v>74</v>
      </c>
      <c r="AN667" s="2" t="s">
        <v>74</v>
      </c>
      <c r="AO667" s="2" t="s">
        <v>74</v>
      </c>
      <c r="AP667" s="2" t="s">
        <v>6517</v>
      </c>
      <c r="AQ667" s="2" t="s">
        <v>74</v>
      </c>
      <c r="AR667" s="2" t="s">
        <v>74</v>
      </c>
      <c r="AS667" s="2" t="s">
        <v>74</v>
      </c>
      <c r="AT667" s="2" t="s">
        <v>352</v>
      </c>
      <c r="AU667" s="2">
        <v>2022</v>
      </c>
      <c r="AV667" s="2">
        <v>4</v>
      </c>
      <c r="AW667" s="2">
        <v>5</v>
      </c>
      <c r="AX667" s="2" t="s">
        <v>74</v>
      </c>
      <c r="AY667" s="2" t="s">
        <v>74</v>
      </c>
      <c r="AZ667" s="2" t="s">
        <v>74</v>
      </c>
      <c r="BA667" s="2" t="s">
        <v>74</v>
      </c>
      <c r="BB667" s="2">
        <v>499</v>
      </c>
      <c r="BC667" s="2">
        <v>510</v>
      </c>
      <c r="BD667" s="2" t="s">
        <v>74</v>
      </c>
      <c r="BE667" s="2" t="s">
        <v>6518</v>
      </c>
      <c r="BF667" s="2" t="str">
        <f>HYPERLINK("http://dx.doi.org/10.1002/ppp3.10286","http://dx.doi.org/10.1002/ppp3.10286")</f>
        <v>http://dx.doi.org/10.1002/ppp3.10286</v>
      </c>
      <c r="BG667" s="2" t="s">
        <v>74</v>
      </c>
      <c r="BH667" s="2" t="s">
        <v>2832</v>
      </c>
      <c r="BI667" s="2" t="s">
        <v>74</v>
      </c>
      <c r="BJ667" s="2" t="s">
        <v>74</v>
      </c>
      <c r="BK667" s="2" t="s">
        <v>74</v>
      </c>
      <c r="BL667" s="2" t="s">
        <v>74</v>
      </c>
      <c r="BM667" s="2" t="s">
        <v>74</v>
      </c>
      <c r="BN667" s="2" t="s">
        <v>74</v>
      </c>
      <c r="BO667" s="2" t="s">
        <v>74</v>
      </c>
      <c r="BP667" s="2" t="s">
        <v>74</v>
      </c>
      <c r="BQ667" s="2" t="s">
        <v>74</v>
      </c>
      <c r="BR667" s="2" t="s">
        <v>74</v>
      </c>
      <c r="BS667" s="2" t="s">
        <v>6519</v>
      </c>
      <c r="BT667" s="2" t="str">
        <f>HYPERLINK("https%3A%2F%2Fwww.webofscience.com%2Fwos%2Fwoscc%2Ffull-record%2FWOS:000820245800001","View Full Record in Web of Science")</f>
        <v>View Full Record in Web of Science</v>
      </c>
    </row>
    <row r="668" spans="1:72" s="2" customFormat="1" x14ac:dyDescent="0.4">
      <c r="A668" s="2" t="s">
        <v>72</v>
      </c>
      <c r="B668" s="2" t="s">
        <v>6150</v>
      </c>
      <c r="C668" s="2" t="s">
        <v>74</v>
      </c>
      <c r="D668" s="2" t="s">
        <v>74</v>
      </c>
      <c r="E668" s="2" t="s">
        <v>74</v>
      </c>
      <c r="F668" s="2" t="s">
        <v>6150</v>
      </c>
      <c r="G668" s="2" t="s">
        <v>74</v>
      </c>
      <c r="H668" s="2" t="s">
        <v>74</v>
      </c>
      <c r="I668" s="2" t="s">
        <v>6151</v>
      </c>
      <c r="J668" s="2" t="s">
        <v>6152</v>
      </c>
      <c r="K668" s="2" t="s">
        <v>74</v>
      </c>
      <c r="L668" s="2" t="s">
        <v>74</v>
      </c>
      <c r="M668" s="2" t="s">
        <v>74</v>
      </c>
      <c r="N668" s="2" t="s">
        <v>74</v>
      </c>
      <c r="O668" s="2" t="s">
        <v>74</v>
      </c>
      <c r="P668" s="2" t="s">
        <v>74</v>
      </c>
      <c r="Q668" s="2" t="s">
        <v>74</v>
      </c>
      <c r="R668" s="2" t="s">
        <v>74</v>
      </c>
      <c r="S668" s="2" t="s">
        <v>74</v>
      </c>
      <c r="T668" s="2" t="s">
        <v>74</v>
      </c>
      <c r="U668" s="2" t="s">
        <v>74</v>
      </c>
      <c r="V668" s="5" t="s">
        <v>6153</v>
      </c>
      <c r="W668" s="2" t="s">
        <v>74</v>
      </c>
      <c r="X668" s="2" t="s">
        <v>74</v>
      </c>
      <c r="Y668" s="2" t="s">
        <v>74</v>
      </c>
      <c r="Z668" s="2" t="s">
        <v>74</v>
      </c>
      <c r="AA668" s="2" t="s">
        <v>6154</v>
      </c>
      <c r="AB668" s="2" t="s">
        <v>6155</v>
      </c>
      <c r="AC668" s="2" t="s">
        <v>74</v>
      </c>
      <c r="AD668" s="2" t="s">
        <v>74</v>
      </c>
      <c r="AE668" s="2" t="s">
        <v>74</v>
      </c>
      <c r="AF668" s="2" t="s">
        <v>74</v>
      </c>
      <c r="AG668" s="2" t="s">
        <v>74</v>
      </c>
      <c r="AH668" s="2" t="s">
        <v>74</v>
      </c>
      <c r="AI668" s="2" t="s">
        <v>74</v>
      </c>
      <c r="AJ668" s="2" t="s">
        <v>74</v>
      </c>
      <c r="AK668" s="2" t="s">
        <v>74</v>
      </c>
      <c r="AL668" s="2" t="s">
        <v>74</v>
      </c>
      <c r="AM668" s="2" t="s">
        <v>74</v>
      </c>
      <c r="AN668" s="2" t="s">
        <v>74</v>
      </c>
      <c r="AO668" s="2" t="s">
        <v>6156</v>
      </c>
      <c r="AP668" s="2" t="s">
        <v>6157</v>
      </c>
      <c r="AQ668" s="2" t="s">
        <v>74</v>
      </c>
      <c r="AR668" s="2" t="s">
        <v>74</v>
      </c>
      <c r="AS668" s="2" t="s">
        <v>74</v>
      </c>
      <c r="AT668" s="2" t="s">
        <v>74</v>
      </c>
      <c r="AU668" s="2">
        <v>1984</v>
      </c>
      <c r="AV668" s="2">
        <v>116</v>
      </c>
      <c r="AW668" s="2">
        <v>6</v>
      </c>
      <c r="AX668" s="2" t="s">
        <v>74</v>
      </c>
      <c r="AY668" s="2" t="s">
        <v>74</v>
      </c>
      <c r="AZ668" s="2" t="s">
        <v>74</v>
      </c>
      <c r="BA668" s="2" t="s">
        <v>74</v>
      </c>
      <c r="BB668" s="2">
        <v>827</v>
      </c>
      <c r="BC668" s="2">
        <v>840</v>
      </c>
      <c r="BD668" s="2" t="s">
        <v>74</v>
      </c>
      <c r="BE668" s="2" t="s">
        <v>6158</v>
      </c>
      <c r="BF668" s="2" t="str">
        <f>HYPERLINK("http://dx.doi.org/10.4039/Ent116827-6","http://dx.doi.org/10.4039/Ent116827-6")</f>
        <v>http://dx.doi.org/10.4039/Ent116827-6</v>
      </c>
      <c r="BG668" s="2" t="s">
        <v>74</v>
      </c>
      <c r="BH668" s="2" t="s">
        <v>74</v>
      </c>
      <c r="BI668" s="2" t="s">
        <v>74</v>
      </c>
      <c r="BJ668" s="2" t="s">
        <v>74</v>
      </c>
      <c r="BK668" s="2" t="s">
        <v>74</v>
      </c>
      <c r="BL668" s="2" t="s">
        <v>74</v>
      </c>
      <c r="BM668" s="2" t="s">
        <v>74</v>
      </c>
      <c r="BN668" s="2" t="s">
        <v>74</v>
      </c>
      <c r="BO668" s="2" t="s">
        <v>74</v>
      </c>
      <c r="BP668" s="2" t="s">
        <v>74</v>
      </c>
      <c r="BQ668" s="2" t="s">
        <v>74</v>
      </c>
      <c r="BR668" s="2" t="s">
        <v>74</v>
      </c>
      <c r="BS668" s="2" t="s">
        <v>6159</v>
      </c>
      <c r="BT668" s="2" t="str">
        <f>HYPERLINK("https%3A%2F%2Fwww.webofscience.com%2Fwos%2Fwoscc%2Ffull-record%2FWOS:A1984SW69600006","View Full Record in Web of Science")</f>
        <v>View Full Record in Web of Science</v>
      </c>
    </row>
    <row r="669" spans="1:72" s="2" customFormat="1" x14ac:dyDescent="0.4">
      <c r="A669" s="2" t="s">
        <v>72</v>
      </c>
      <c r="B669" s="2" t="s">
        <v>6019</v>
      </c>
      <c r="C669" s="2" t="s">
        <v>74</v>
      </c>
      <c r="D669" s="2" t="s">
        <v>74</v>
      </c>
      <c r="E669" s="2" t="s">
        <v>74</v>
      </c>
      <c r="F669" s="2" t="s">
        <v>6020</v>
      </c>
      <c r="G669" s="2" t="s">
        <v>74</v>
      </c>
      <c r="H669" s="2" t="s">
        <v>74</v>
      </c>
      <c r="I669" s="2" t="s">
        <v>6021</v>
      </c>
      <c r="J669" s="2" t="s">
        <v>129</v>
      </c>
      <c r="K669" s="2" t="s">
        <v>74</v>
      </c>
      <c r="L669" s="2" t="s">
        <v>74</v>
      </c>
      <c r="M669" s="2" t="s">
        <v>74</v>
      </c>
      <c r="N669" s="2" t="s">
        <v>74</v>
      </c>
      <c r="O669" s="2" t="s">
        <v>74</v>
      </c>
      <c r="P669" s="2" t="s">
        <v>74</v>
      </c>
      <c r="Q669" s="2" t="s">
        <v>74</v>
      </c>
      <c r="R669" s="2" t="s">
        <v>74</v>
      </c>
      <c r="S669" s="2" t="s">
        <v>74</v>
      </c>
      <c r="T669" s="2" t="s">
        <v>74</v>
      </c>
      <c r="U669" s="2" t="s">
        <v>74</v>
      </c>
      <c r="V669" s="5" t="s">
        <v>6022</v>
      </c>
      <c r="W669" s="2" t="s">
        <v>74</v>
      </c>
      <c r="X669" s="2" t="s">
        <v>74</v>
      </c>
      <c r="Y669" s="2" t="s">
        <v>74</v>
      </c>
      <c r="Z669" s="2" t="s">
        <v>74</v>
      </c>
      <c r="AA669" s="2" t="s">
        <v>74</v>
      </c>
      <c r="AB669" s="2" t="s">
        <v>74</v>
      </c>
      <c r="AC669" s="2" t="s">
        <v>74</v>
      </c>
      <c r="AD669" s="2" t="s">
        <v>74</v>
      </c>
      <c r="AE669" s="2" t="s">
        <v>74</v>
      </c>
      <c r="AF669" s="2" t="s">
        <v>74</v>
      </c>
      <c r="AG669" s="2" t="s">
        <v>74</v>
      </c>
      <c r="AH669" s="2" t="s">
        <v>74</v>
      </c>
      <c r="AI669" s="2" t="s">
        <v>74</v>
      </c>
      <c r="AJ669" s="2" t="s">
        <v>74</v>
      </c>
      <c r="AK669" s="2" t="s">
        <v>74</v>
      </c>
      <c r="AL669" s="2" t="s">
        <v>74</v>
      </c>
      <c r="AM669" s="2" t="s">
        <v>74</v>
      </c>
      <c r="AN669" s="2" t="s">
        <v>74</v>
      </c>
      <c r="AO669" s="2" t="s">
        <v>132</v>
      </c>
      <c r="AP669" s="2" t="s">
        <v>133</v>
      </c>
      <c r="AQ669" s="2" t="s">
        <v>74</v>
      </c>
      <c r="AR669" s="2" t="s">
        <v>74</v>
      </c>
      <c r="AS669" s="2" t="s">
        <v>74</v>
      </c>
      <c r="AT669" s="2" t="s">
        <v>102</v>
      </c>
      <c r="AU669" s="2">
        <v>2019</v>
      </c>
      <c r="AV669" s="2">
        <v>73</v>
      </c>
      <c r="AW669" s="2">
        <v>6</v>
      </c>
      <c r="AX669" s="2" t="s">
        <v>74</v>
      </c>
      <c r="AY669" s="2" t="s">
        <v>74</v>
      </c>
      <c r="AZ669" s="2" t="s">
        <v>74</v>
      </c>
      <c r="BA669" s="2" t="s">
        <v>74</v>
      </c>
      <c r="BB669" s="2" t="s">
        <v>74</v>
      </c>
      <c r="BC669" s="2" t="s">
        <v>74</v>
      </c>
      <c r="BD669" s="2">
        <v>83</v>
      </c>
      <c r="BE669" s="2" t="s">
        <v>6023</v>
      </c>
      <c r="BF669" s="2" t="str">
        <f>HYPERLINK("http://dx.doi.org/10.1007/s00265-019-2691-y","http://dx.doi.org/10.1007/s00265-019-2691-y")</f>
        <v>http://dx.doi.org/10.1007/s00265-019-2691-y</v>
      </c>
      <c r="BG669" s="2" t="s">
        <v>74</v>
      </c>
      <c r="BH669" s="2" t="s">
        <v>74</v>
      </c>
      <c r="BI669" s="2" t="s">
        <v>74</v>
      </c>
      <c r="BJ669" s="2" t="s">
        <v>74</v>
      </c>
      <c r="BK669" s="2" t="s">
        <v>74</v>
      </c>
      <c r="BL669" s="2" t="s">
        <v>74</v>
      </c>
      <c r="BM669" s="2" t="s">
        <v>74</v>
      </c>
      <c r="BN669" s="2" t="s">
        <v>74</v>
      </c>
      <c r="BO669" s="2" t="s">
        <v>74</v>
      </c>
      <c r="BP669" s="2" t="s">
        <v>74</v>
      </c>
      <c r="BQ669" s="2" t="s">
        <v>74</v>
      </c>
      <c r="BR669" s="2" t="s">
        <v>74</v>
      </c>
      <c r="BS669" s="2" t="s">
        <v>6024</v>
      </c>
      <c r="BT669" s="2" t="str">
        <f>HYPERLINK("https%3A%2F%2Fwww.webofscience.com%2Fwos%2Fwoscc%2Ffull-record%2FWOS:000469197100001","View Full Record in Web of Science")</f>
        <v>View Full Record in Web of Science</v>
      </c>
    </row>
    <row r="670" spans="1:72" s="2" customFormat="1" x14ac:dyDescent="0.4">
      <c r="A670" s="2" t="s">
        <v>72</v>
      </c>
      <c r="B670" s="2" t="s">
        <v>1728</v>
      </c>
      <c r="C670" s="2" t="s">
        <v>74</v>
      </c>
      <c r="D670" s="2" t="s">
        <v>74</v>
      </c>
      <c r="E670" s="2" t="s">
        <v>74</v>
      </c>
      <c r="F670" s="2" t="s">
        <v>1729</v>
      </c>
      <c r="G670" s="2" t="s">
        <v>74</v>
      </c>
      <c r="H670" s="2" t="s">
        <v>74</v>
      </c>
      <c r="I670" s="2" t="s">
        <v>1730</v>
      </c>
      <c r="J670" s="2" t="s">
        <v>129</v>
      </c>
      <c r="K670" s="2" t="s">
        <v>74</v>
      </c>
      <c r="L670" s="2" t="s">
        <v>74</v>
      </c>
      <c r="M670" s="2" t="s">
        <v>74</v>
      </c>
      <c r="N670" s="2" t="s">
        <v>74</v>
      </c>
      <c r="O670" s="2" t="s">
        <v>74</v>
      </c>
      <c r="P670" s="2" t="s">
        <v>74</v>
      </c>
      <c r="Q670" s="2" t="s">
        <v>74</v>
      </c>
      <c r="R670" s="2" t="s">
        <v>74</v>
      </c>
      <c r="S670" s="2" t="s">
        <v>74</v>
      </c>
      <c r="T670" s="2" t="s">
        <v>74</v>
      </c>
      <c r="U670" s="2" t="s">
        <v>74</v>
      </c>
      <c r="V670" s="5" t="s">
        <v>1731</v>
      </c>
      <c r="W670" s="2" t="s">
        <v>74</v>
      </c>
      <c r="X670" s="2" t="s">
        <v>74</v>
      </c>
      <c r="Y670" s="2" t="s">
        <v>74</v>
      </c>
      <c r="Z670" s="2" t="s">
        <v>74</v>
      </c>
      <c r="AA670" s="2" t="s">
        <v>1011</v>
      </c>
      <c r="AB670" s="2" t="s">
        <v>1012</v>
      </c>
      <c r="AC670" s="2" t="s">
        <v>74</v>
      </c>
      <c r="AD670" s="2" t="s">
        <v>74</v>
      </c>
      <c r="AE670" s="2" t="s">
        <v>74</v>
      </c>
      <c r="AF670" s="2" t="s">
        <v>74</v>
      </c>
      <c r="AG670" s="2" t="s">
        <v>74</v>
      </c>
      <c r="AH670" s="2" t="s">
        <v>74</v>
      </c>
      <c r="AI670" s="2" t="s">
        <v>74</v>
      </c>
      <c r="AJ670" s="2" t="s">
        <v>74</v>
      </c>
      <c r="AK670" s="2" t="s">
        <v>74</v>
      </c>
      <c r="AL670" s="2" t="s">
        <v>74</v>
      </c>
      <c r="AM670" s="2" t="s">
        <v>74</v>
      </c>
      <c r="AN670" s="2" t="s">
        <v>74</v>
      </c>
      <c r="AO670" s="2" t="s">
        <v>132</v>
      </c>
      <c r="AP670" s="2" t="s">
        <v>133</v>
      </c>
      <c r="AQ670" s="2" t="s">
        <v>74</v>
      </c>
      <c r="AR670" s="2" t="s">
        <v>74</v>
      </c>
      <c r="AS670" s="2" t="s">
        <v>74</v>
      </c>
      <c r="AT670" s="2" t="s">
        <v>102</v>
      </c>
      <c r="AU670" s="2">
        <v>2014</v>
      </c>
      <c r="AV670" s="2">
        <v>68</v>
      </c>
      <c r="AW670" s="2">
        <v>6</v>
      </c>
      <c r="AX670" s="2" t="s">
        <v>74</v>
      </c>
      <c r="AY670" s="2" t="s">
        <v>74</v>
      </c>
      <c r="AZ670" s="2" t="s">
        <v>74</v>
      </c>
      <c r="BA670" s="2" t="s">
        <v>74</v>
      </c>
      <c r="BB670" s="2">
        <v>1007</v>
      </c>
      <c r="BC670" s="2">
        <v>1017</v>
      </c>
      <c r="BD670" s="2" t="s">
        <v>74</v>
      </c>
      <c r="BE670" s="2" t="s">
        <v>1732</v>
      </c>
      <c r="BF670" s="2" t="str">
        <f>HYPERLINK("http://dx.doi.org/10.1007/s00265-014-1713-z","http://dx.doi.org/10.1007/s00265-014-1713-z")</f>
        <v>http://dx.doi.org/10.1007/s00265-014-1713-z</v>
      </c>
      <c r="BG670" s="2" t="s">
        <v>74</v>
      </c>
      <c r="BH670" s="2" t="s">
        <v>74</v>
      </c>
      <c r="BI670" s="2" t="s">
        <v>74</v>
      </c>
      <c r="BJ670" s="2" t="s">
        <v>74</v>
      </c>
      <c r="BK670" s="2" t="s">
        <v>74</v>
      </c>
      <c r="BL670" s="2" t="s">
        <v>74</v>
      </c>
      <c r="BM670" s="2" t="s">
        <v>74</v>
      </c>
      <c r="BN670" s="2" t="s">
        <v>74</v>
      </c>
      <c r="BO670" s="2" t="s">
        <v>74</v>
      </c>
      <c r="BP670" s="2" t="s">
        <v>74</v>
      </c>
      <c r="BQ670" s="2" t="s">
        <v>74</v>
      </c>
      <c r="BR670" s="2" t="s">
        <v>74</v>
      </c>
      <c r="BS670" s="2" t="s">
        <v>1733</v>
      </c>
      <c r="BT670" s="2" t="str">
        <f>HYPERLINK("https%3A%2F%2Fwww.webofscience.com%2Fwos%2Fwoscc%2Ffull-record%2FWOS:000336022700013","View Full Record in Web of Science")</f>
        <v>View Full Record in Web of Science</v>
      </c>
    </row>
    <row r="671" spans="1:72" s="1" customFormat="1" x14ac:dyDescent="0.4">
      <c r="A671" s="2" t="s">
        <v>72</v>
      </c>
      <c r="B671" s="2" t="s">
        <v>3725</v>
      </c>
      <c r="C671" s="2" t="s">
        <v>74</v>
      </c>
      <c r="D671" s="2" t="s">
        <v>74</v>
      </c>
      <c r="E671" s="2" t="s">
        <v>74</v>
      </c>
      <c r="F671" s="2" t="s">
        <v>3726</v>
      </c>
      <c r="G671" s="2" t="s">
        <v>74</v>
      </c>
      <c r="H671" s="2" t="s">
        <v>74</v>
      </c>
      <c r="I671" s="2" t="s">
        <v>3727</v>
      </c>
      <c r="J671" s="2" t="s">
        <v>119</v>
      </c>
      <c r="K671" s="2" t="s">
        <v>74</v>
      </c>
      <c r="L671" s="2" t="s">
        <v>74</v>
      </c>
      <c r="M671" s="2" t="s">
        <v>74</v>
      </c>
      <c r="N671" s="2" t="s">
        <v>74</v>
      </c>
      <c r="O671" s="2" t="s">
        <v>74</v>
      </c>
      <c r="P671" s="2" t="s">
        <v>74</v>
      </c>
      <c r="Q671" s="2" t="s">
        <v>74</v>
      </c>
      <c r="R671" s="2" t="s">
        <v>74</v>
      </c>
      <c r="S671" s="2" t="s">
        <v>74</v>
      </c>
      <c r="T671" s="2" t="s">
        <v>74</v>
      </c>
      <c r="U671" s="2" t="s">
        <v>74</v>
      </c>
      <c r="V671" s="5" t="s">
        <v>3728</v>
      </c>
      <c r="W671" s="2" t="s">
        <v>74</v>
      </c>
      <c r="X671" s="2" t="s">
        <v>74</v>
      </c>
      <c r="Y671" s="2" t="s">
        <v>74</v>
      </c>
      <c r="Z671" s="2" t="s">
        <v>74</v>
      </c>
      <c r="AA671" s="2" t="s">
        <v>3729</v>
      </c>
      <c r="AB671" s="2" t="s">
        <v>3730</v>
      </c>
      <c r="AC671" s="2" t="s">
        <v>74</v>
      </c>
      <c r="AD671" s="2" t="s">
        <v>74</v>
      </c>
      <c r="AE671" s="2" t="s">
        <v>74</v>
      </c>
      <c r="AF671" s="2" t="s">
        <v>74</v>
      </c>
      <c r="AG671" s="2" t="s">
        <v>74</v>
      </c>
      <c r="AH671" s="2" t="s">
        <v>74</v>
      </c>
      <c r="AI671" s="2" t="s">
        <v>74</v>
      </c>
      <c r="AJ671" s="2" t="s">
        <v>74</v>
      </c>
      <c r="AK671" s="2" t="s">
        <v>74</v>
      </c>
      <c r="AL671" s="2" t="s">
        <v>74</v>
      </c>
      <c r="AM671" s="2" t="s">
        <v>74</v>
      </c>
      <c r="AN671" s="2" t="s">
        <v>74</v>
      </c>
      <c r="AO671" s="2" t="s">
        <v>121</v>
      </c>
      <c r="AP671" s="2" t="s">
        <v>122</v>
      </c>
      <c r="AQ671" s="2" t="s">
        <v>74</v>
      </c>
      <c r="AR671" s="2" t="s">
        <v>74</v>
      </c>
      <c r="AS671" s="2" t="s">
        <v>74</v>
      </c>
      <c r="AT671" s="2" t="s">
        <v>175</v>
      </c>
      <c r="AU671" s="2">
        <v>2016</v>
      </c>
      <c r="AV671" s="2">
        <v>131</v>
      </c>
      <c r="AW671" s="2" t="s">
        <v>74</v>
      </c>
      <c r="AX671" s="2" t="s">
        <v>74</v>
      </c>
      <c r="AY671" s="2" t="s">
        <v>74</v>
      </c>
      <c r="AZ671" s="2" t="s">
        <v>74</v>
      </c>
      <c r="BA671" s="2" t="s">
        <v>74</v>
      </c>
      <c r="BB671" s="2">
        <v>59</v>
      </c>
      <c r="BC671" s="2">
        <v>67</v>
      </c>
      <c r="BD671" s="2" t="s">
        <v>74</v>
      </c>
      <c r="BE671" s="2" t="s">
        <v>3731</v>
      </c>
      <c r="BF671" s="2" t="str">
        <f>HYPERLINK("http://dx.doi.org/10.1016/j.beproc.2016.08.010","http://dx.doi.org/10.1016/j.beproc.2016.08.010")</f>
        <v>http://dx.doi.org/10.1016/j.beproc.2016.08.010</v>
      </c>
      <c r="BG671" s="2" t="s">
        <v>74</v>
      </c>
      <c r="BH671" s="2" t="s">
        <v>74</v>
      </c>
      <c r="BI671" s="2" t="s">
        <v>74</v>
      </c>
      <c r="BJ671" s="2" t="s">
        <v>74</v>
      </c>
      <c r="BK671" s="2" t="s">
        <v>74</v>
      </c>
      <c r="BL671" s="2" t="s">
        <v>74</v>
      </c>
      <c r="BM671" s="2" t="s">
        <v>74</v>
      </c>
      <c r="BN671" s="2">
        <v>27561967</v>
      </c>
      <c r="BO671" s="2" t="s">
        <v>74</v>
      </c>
      <c r="BP671" s="2" t="s">
        <v>74</v>
      </c>
      <c r="BQ671" s="2" t="s">
        <v>74</v>
      </c>
      <c r="BR671" s="2" t="s">
        <v>74</v>
      </c>
      <c r="BS671" s="2" t="s">
        <v>3732</v>
      </c>
      <c r="BT671" s="2" t="str">
        <f>HYPERLINK("https%3A%2F%2Fwww.webofscience.com%2Fwos%2Fwoscc%2Ffull-record%2FWOS:000384383500009","View Full Record in Web of Science")</f>
        <v>View Full Record in Web of Science</v>
      </c>
    </row>
    <row r="672" spans="1:72" s="2" customFormat="1" x14ac:dyDescent="0.4">
      <c r="A672" s="2" t="s">
        <v>72</v>
      </c>
      <c r="B672" s="2" t="s">
        <v>1393</v>
      </c>
      <c r="C672" s="2" t="s">
        <v>74</v>
      </c>
      <c r="D672" s="2" t="s">
        <v>74</v>
      </c>
      <c r="E672" s="2" t="s">
        <v>74</v>
      </c>
      <c r="F672" s="2" t="s">
        <v>1394</v>
      </c>
      <c r="G672" s="2" t="s">
        <v>74</v>
      </c>
      <c r="H672" s="2" t="s">
        <v>74</v>
      </c>
      <c r="I672" s="2" t="s">
        <v>1395</v>
      </c>
      <c r="J672" s="2" t="s">
        <v>1396</v>
      </c>
      <c r="K672" s="2" t="s">
        <v>74</v>
      </c>
      <c r="L672" s="2" t="s">
        <v>74</v>
      </c>
      <c r="M672" s="2" t="s">
        <v>74</v>
      </c>
      <c r="N672" s="2" t="s">
        <v>74</v>
      </c>
      <c r="O672" s="2" t="s">
        <v>74</v>
      </c>
      <c r="P672" s="2" t="s">
        <v>74</v>
      </c>
      <c r="Q672" s="2" t="s">
        <v>74</v>
      </c>
      <c r="R672" s="2" t="s">
        <v>74</v>
      </c>
      <c r="S672" s="2" t="s">
        <v>74</v>
      </c>
      <c r="T672" s="2" t="s">
        <v>74</v>
      </c>
      <c r="U672" s="2" t="s">
        <v>74</v>
      </c>
      <c r="V672" s="5" t="s">
        <v>1397</v>
      </c>
      <c r="W672" s="2" t="s">
        <v>74</v>
      </c>
      <c r="X672" s="2" t="s">
        <v>74</v>
      </c>
      <c r="Y672" s="2" t="s">
        <v>74</v>
      </c>
      <c r="Z672" s="2" t="s">
        <v>74</v>
      </c>
      <c r="AA672" s="2" t="s">
        <v>1398</v>
      </c>
      <c r="AB672" s="2" t="s">
        <v>1399</v>
      </c>
      <c r="AC672" s="2" t="s">
        <v>74</v>
      </c>
      <c r="AD672" s="2" t="s">
        <v>74</v>
      </c>
      <c r="AE672" s="2" t="s">
        <v>74</v>
      </c>
      <c r="AF672" s="2" t="s">
        <v>74</v>
      </c>
      <c r="AG672" s="2" t="s">
        <v>74</v>
      </c>
      <c r="AH672" s="2" t="s">
        <v>74</v>
      </c>
      <c r="AI672" s="2" t="s">
        <v>74</v>
      </c>
      <c r="AJ672" s="2" t="s">
        <v>74</v>
      </c>
      <c r="AK672" s="2" t="s">
        <v>74</v>
      </c>
      <c r="AL672" s="2" t="s">
        <v>74</v>
      </c>
      <c r="AM672" s="2" t="s">
        <v>74</v>
      </c>
      <c r="AN672" s="2" t="s">
        <v>74</v>
      </c>
      <c r="AO672" s="2" t="s">
        <v>1400</v>
      </c>
      <c r="AP672" s="2" t="s">
        <v>74</v>
      </c>
      <c r="AQ672" s="2" t="s">
        <v>74</v>
      </c>
      <c r="AR672" s="2" t="s">
        <v>74</v>
      </c>
      <c r="AS672" s="2" t="s">
        <v>74</v>
      </c>
      <c r="AT672" s="2" t="s">
        <v>964</v>
      </c>
      <c r="AU672" s="2">
        <v>2013</v>
      </c>
      <c r="AV672" s="2">
        <v>51</v>
      </c>
      <c r="AW672" s="2">
        <v>1</v>
      </c>
      <c r="AX672" s="2" t="s">
        <v>74</v>
      </c>
      <c r="AY672" s="2" t="s">
        <v>74</v>
      </c>
      <c r="AZ672" s="2" t="s">
        <v>74</v>
      </c>
      <c r="BA672" s="2" t="s">
        <v>74</v>
      </c>
      <c r="BB672" s="2">
        <v>64</v>
      </c>
      <c r="BC672" s="2">
        <v>71</v>
      </c>
      <c r="BD672" s="2" t="s">
        <v>74</v>
      </c>
      <c r="BE672" s="2" t="s">
        <v>1401</v>
      </c>
      <c r="BF672" s="2" t="str">
        <f>HYPERLINK("http://dx.doi.org/10.1111/j.1439-0469.2012.00668.x","http://dx.doi.org/10.1111/j.1439-0469.2012.00668.x")</f>
        <v>http://dx.doi.org/10.1111/j.1439-0469.2012.00668.x</v>
      </c>
      <c r="BG672" s="2" t="s">
        <v>74</v>
      </c>
      <c r="BH672" s="2" t="s">
        <v>74</v>
      </c>
      <c r="BI672" s="2" t="s">
        <v>74</v>
      </c>
      <c r="BJ672" s="2" t="s">
        <v>74</v>
      </c>
      <c r="BK672" s="2" t="s">
        <v>74</v>
      </c>
      <c r="BL672" s="2" t="s">
        <v>74</v>
      </c>
      <c r="BM672" s="2" t="s">
        <v>74</v>
      </c>
      <c r="BN672" s="2" t="s">
        <v>74</v>
      </c>
      <c r="BO672" s="2" t="s">
        <v>74</v>
      </c>
      <c r="BP672" s="2" t="s">
        <v>74</v>
      </c>
      <c r="BQ672" s="2" t="s">
        <v>74</v>
      </c>
      <c r="BR672" s="2" t="s">
        <v>74</v>
      </c>
      <c r="BS672" s="2" t="s">
        <v>1402</v>
      </c>
      <c r="BT672" s="2" t="str">
        <f>HYPERLINK("https%3A%2F%2Fwww.webofscience.com%2Fwos%2Fwoscc%2Ffull-record%2FWOS:000313753400008","View Full Record in Web of Science")</f>
        <v>View Full Record in Web of Science</v>
      </c>
    </row>
    <row r="673" spans="1:72" s="2" customFormat="1" x14ac:dyDescent="0.4">
      <c r="A673" s="2" t="s">
        <v>72</v>
      </c>
      <c r="B673" s="2" t="s">
        <v>1393</v>
      </c>
      <c r="C673" s="2" t="s">
        <v>74</v>
      </c>
      <c r="D673" s="2" t="s">
        <v>74</v>
      </c>
      <c r="E673" s="2" t="s">
        <v>74</v>
      </c>
      <c r="F673" s="2" t="s">
        <v>1394</v>
      </c>
      <c r="G673" s="2" t="s">
        <v>74</v>
      </c>
      <c r="H673" s="2" t="s">
        <v>74</v>
      </c>
      <c r="I673" s="2" t="s">
        <v>1749</v>
      </c>
      <c r="J673" s="2" t="s">
        <v>140</v>
      </c>
      <c r="K673" s="2" t="s">
        <v>74</v>
      </c>
      <c r="L673" s="2" t="s">
        <v>74</v>
      </c>
      <c r="M673" s="2" t="s">
        <v>74</v>
      </c>
      <c r="N673" s="2" t="s">
        <v>74</v>
      </c>
      <c r="O673" s="2" t="s">
        <v>74</v>
      </c>
      <c r="P673" s="2" t="s">
        <v>74</v>
      </c>
      <c r="Q673" s="2" t="s">
        <v>74</v>
      </c>
      <c r="R673" s="2" t="s">
        <v>74</v>
      </c>
      <c r="S673" s="2" t="s">
        <v>74</v>
      </c>
      <c r="T673" s="2" t="s">
        <v>74</v>
      </c>
      <c r="U673" s="2" t="s">
        <v>74</v>
      </c>
      <c r="V673" s="5" t="s">
        <v>1750</v>
      </c>
      <c r="W673" s="2" t="s">
        <v>74</v>
      </c>
      <c r="X673" s="2" t="s">
        <v>74</v>
      </c>
      <c r="Y673" s="2" t="s">
        <v>74</v>
      </c>
      <c r="Z673" s="2" t="s">
        <v>74</v>
      </c>
      <c r="AA673" s="2" t="s">
        <v>1398</v>
      </c>
      <c r="AB673" s="2" t="s">
        <v>1399</v>
      </c>
      <c r="AC673" s="2" t="s">
        <v>74</v>
      </c>
      <c r="AD673" s="2" t="s">
        <v>74</v>
      </c>
      <c r="AE673" s="2" t="s">
        <v>74</v>
      </c>
      <c r="AF673" s="2" t="s">
        <v>74</v>
      </c>
      <c r="AG673" s="2" t="s">
        <v>74</v>
      </c>
      <c r="AH673" s="2" t="s">
        <v>74</v>
      </c>
      <c r="AI673" s="2" t="s">
        <v>74</v>
      </c>
      <c r="AJ673" s="2" t="s">
        <v>74</v>
      </c>
      <c r="AK673" s="2" t="s">
        <v>74</v>
      </c>
      <c r="AL673" s="2" t="s">
        <v>74</v>
      </c>
      <c r="AM673" s="2" t="s">
        <v>74</v>
      </c>
      <c r="AN673" s="2" t="s">
        <v>74</v>
      </c>
      <c r="AO673" s="2" t="s">
        <v>143</v>
      </c>
      <c r="AP673" s="2" t="s">
        <v>74</v>
      </c>
      <c r="AQ673" s="2" t="s">
        <v>74</v>
      </c>
      <c r="AR673" s="2" t="s">
        <v>74</v>
      </c>
      <c r="AS673" s="2" t="s">
        <v>74</v>
      </c>
      <c r="AT673" s="2" t="s">
        <v>134</v>
      </c>
      <c r="AU673" s="2">
        <v>2009</v>
      </c>
      <c r="AV673" s="2">
        <v>77</v>
      </c>
      <c r="AW673" s="2">
        <v>5</v>
      </c>
      <c r="AX673" s="2" t="s">
        <v>74</v>
      </c>
      <c r="AY673" s="2" t="s">
        <v>74</v>
      </c>
      <c r="AZ673" s="2" t="s">
        <v>74</v>
      </c>
      <c r="BA673" s="2" t="s">
        <v>74</v>
      </c>
      <c r="BB673" s="2">
        <v>1267</v>
      </c>
      <c r="BC673" s="2">
        <v>1272</v>
      </c>
      <c r="BD673" s="2" t="s">
        <v>74</v>
      </c>
      <c r="BE673" s="2" t="s">
        <v>1751</v>
      </c>
      <c r="BF673" s="2" t="str">
        <f>HYPERLINK("http://dx.doi.org/10.1016/j.anbehav.2009.01.031","http://dx.doi.org/10.1016/j.anbehav.2009.01.031")</f>
        <v>http://dx.doi.org/10.1016/j.anbehav.2009.01.031</v>
      </c>
      <c r="BG673" s="2" t="s">
        <v>74</v>
      </c>
      <c r="BH673" s="2" t="s">
        <v>74</v>
      </c>
      <c r="BI673" s="2" t="s">
        <v>74</v>
      </c>
      <c r="BJ673" s="2" t="s">
        <v>74</v>
      </c>
      <c r="BK673" s="2" t="s">
        <v>74</v>
      </c>
      <c r="BL673" s="2" t="s">
        <v>74</v>
      </c>
      <c r="BM673" s="2" t="s">
        <v>74</v>
      </c>
      <c r="BN673" s="2">
        <v>20161226</v>
      </c>
      <c r="BO673" s="2" t="s">
        <v>74</v>
      </c>
      <c r="BP673" s="2" t="s">
        <v>74</v>
      </c>
      <c r="BQ673" s="2" t="s">
        <v>74</v>
      </c>
      <c r="BR673" s="2" t="s">
        <v>74</v>
      </c>
      <c r="BS673" s="2" t="s">
        <v>1752</v>
      </c>
      <c r="BT673" s="2" t="str">
        <f>HYPERLINK("https%3A%2F%2Fwww.webofscience.com%2Fwos%2Fwoscc%2Ffull-record%2FWOS:000265283900036","View Full Record in Web of Science")</f>
        <v>View Full Record in Web of Science</v>
      </c>
    </row>
    <row r="674" spans="1:72" s="2" customFormat="1" x14ac:dyDescent="0.4">
      <c r="A674" s="2" t="s">
        <v>72</v>
      </c>
      <c r="B674" s="2" t="s">
        <v>1007</v>
      </c>
      <c r="C674" s="2" t="s">
        <v>74</v>
      </c>
      <c r="D674" s="2" t="s">
        <v>74</v>
      </c>
      <c r="E674" s="2" t="s">
        <v>74</v>
      </c>
      <c r="F674" s="2" t="s">
        <v>1008</v>
      </c>
      <c r="G674" s="2" t="s">
        <v>74</v>
      </c>
      <c r="H674" s="2" t="s">
        <v>74</v>
      </c>
      <c r="I674" s="2" t="s">
        <v>1009</v>
      </c>
      <c r="J674" s="2" t="s">
        <v>333</v>
      </c>
      <c r="K674" s="2" t="s">
        <v>74</v>
      </c>
      <c r="L674" s="2" t="s">
        <v>74</v>
      </c>
      <c r="M674" s="2" t="s">
        <v>74</v>
      </c>
      <c r="N674" s="2" t="s">
        <v>74</v>
      </c>
      <c r="O674" s="2" t="s">
        <v>74</v>
      </c>
      <c r="P674" s="2" t="s">
        <v>74</v>
      </c>
      <c r="Q674" s="2" t="s">
        <v>74</v>
      </c>
      <c r="R674" s="2" t="s">
        <v>74</v>
      </c>
      <c r="S674" s="2" t="s">
        <v>74</v>
      </c>
      <c r="T674" s="2" t="s">
        <v>74</v>
      </c>
      <c r="U674" s="2" t="s">
        <v>74</v>
      </c>
      <c r="V674" s="5" t="s">
        <v>1010</v>
      </c>
      <c r="W674" s="2" t="s">
        <v>74</v>
      </c>
      <c r="X674" s="2" t="s">
        <v>74</v>
      </c>
      <c r="Y674" s="2" t="s">
        <v>74</v>
      </c>
      <c r="Z674" s="2" t="s">
        <v>74</v>
      </c>
      <c r="AA674" s="2" t="s">
        <v>1011</v>
      </c>
      <c r="AB674" s="2" t="s">
        <v>1012</v>
      </c>
      <c r="AC674" s="2" t="s">
        <v>74</v>
      </c>
      <c r="AD674" s="2" t="s">
        <v>74</v>
      </c>
      <c r="AE674" s="2" t="s">
        <v>74</v>
      </c>
      <c r="AF674" s="2" t="s">
        <v>74</v>
      </c>
      <c r="AG674" s="2" t="s">
        <v>74</v>
      </c>
      <c r="AH674" s="2" t="s">
        <v>74</v>
      </c>
      <c r="AI674" s="2" t="s">
        <v>74</v>
      </c>
      <c r="AJ674" s="2" t="s">
        <v>74</v>
      </c>
      <c r="AK674" s="2" t="s">
        <v>74</v>
      </c>
      <c r="AL674" s="2" t="s">
        <v>74</v>
      </c>
      <c r="AM674" s="2" t="s">
        <v>74</v>
      </c>
      <c r="AN674" s="2" t="s">
        <v>74</v>
      </c>
      <c r="AO674" s="2" t="s">
        <v>337</v>
      </c>
      <c r="AP674" s="2" t="s">
        <v>338</v>
      </c>
      <c r="AQ674" s="2" t="s">
        <v>74</v>
      </c>
      <c r="AR674" s="2" t="s">
        <v>74</v>
      </c>
      <c r="AS674" s="2" t="s">
        <v>74</v>
      </c>
      <c r="AT674" s="2" t="s">
        <v>1013</v>
      </c>
      <c r="AU674" s="2">
        <v>2018</v>
      </c>
      <c r="AV674" s="2">
        <v>29</v>
      </c>
      <c r="AW674" s="2">
        <v>5</v>
      </c>
      <c r="AX674" s="2" t="s">
        <v>74</v>
      </c>
      <c r="AY674" s="2" t="s">
        <v>74</v>
      </c>
      <c r="AZ674" s="2" t="s">
        <v>74</v>
      </c>
      <c r="BA674" s="2" t="s">
        <v>74</v>
      </c>
      <c r="BB674" s="2">
        <v>1075</v>
      </c>
      <c r="BC674" s="2">
        <v>1087</v>
      </c>
      <c r="BD674" s="2" t="s">
        <v>74</v>
      </c>
      <c r="BE674" s="2" t="s">
        <v>1014</v>
      </c>
      <c r="BF674" s="2" t="str">
        <f>HYPERLINK("http://dx.doi.org/10.1093/beheco/ary076","http://dx.doi.org/10.1093/beheco/ary076")</f>
        <v>http://dx.doi.org/10.1093/beheco/ary076</v>
      </c>
      <c r="BG674" s="2" t="s">
        <v>74</v>
      </c>
      <c r="BH674" s="2" t="s">
        <v>74</v>
      </c>
      <c r="BI674" s="2" t="s">
        <v>74</v>
      </c>
      <c r="BJ674" s="2" t="s">
        <v>74</v>
      </c>
      <c r="BK674" s="2" t="s">
        <v>74</v>
      </c>
      <c r="BL674" s="2" t="s">
        <v>74</v>
      </c>
      <c r="BM674" s="2" t="s">
        <v>74</v>
      </c>
      <c r="BN674" s="2" t="s">
        <v>74</v>
      </c>
      <c r="BO674" s="2" t="s">
        <v>74</v>
      </c>
      <c r="BP674" s="2" t="s">
        <v>74</v>
      </c>
      <c r="BQ674" s="2" t="s">
        <v>74</v>
      </c>
      <c r="BR674" s="2" t="s">
        <v>74</v>
      </c>
      <c r="BS674" s="2" t="s">
        <v>1015</v>
      </c>
      <c r="BT674" s="2" t="str">
        <f>HYPERLINK("https%3A%2F%2Fwww.webofscience.com%2Fwos%2Fwoscc%2Ffull-record%2FWOS:000444301900027","View Full Record in Web of Science")</f>
        <v>View Full Record in Web of Science</v>
      </c>
    </row>
    <row r="675" spans="1:72" s="2" customFormat="1" x14ac:dyDescent="0.4">
      <c r="A675" s="2" t="s">
        <v>72</v>
      </c>
      <c r="B675" s="2" t="s">
        <v>1007</v>
      </c>
      <c r="C675" s="2" t="s">
        <v>74</v>
      </c>
      <c r="D675" s="2" t="s">
        <v>74</v>
      </c>
      <c r="E675" s="2" t="s">
        <v>74</v>
      </c>
      <c r="F675" s="2" t="s">
        <v>1008</v>
      </c>
      <c r="G675" s="2" t="s">
        <v>74</v>
      </c>
      <c r="H675" s="2" t="s">
        <v>74</v>
      </c>
      <c r="I675" s="2" t="s">
        <v>2285</v>
      </c>
      <c r="J675" s="2" t="s">
        <v>108</v>
      </c>
      <c r="K675" s="2" t="s">
        <v>74</v>
      </c>
      <c r="L675" s="2" t="s">
        <v>74</v>
      </c>
      <c r="M675" s="2" t="s">
        <v>74</v>
      </c>
      <c r="N675" s="2" t="s">
        <v>74</v>
      </c>
      <c r="O675" s="2" t="s">
        <v>74</v>
      </c>
      <c r="P675" s="2" t="s">
        <v>74</v>
      </c>
      <c r="Q675" s="2" t="s">
        <v>74</v>
      </c>
      <c r="R675" s="2" t="s">
        <v>74</v>
      </c>
      <c r="S675" s="2" t="s">
        <v>74</v>
      </c>
      <c r="T675" s="2" t="s">
        <v>74</v>
      </c>
      <c r="U675" s="2" t="s">
        <v>74</v>
      </c>
      <c r="V675" s="5" t="s">
        <v>2286</v>
      </c>
      <c r="W675" s="2" t="s">
        <v>74</v>
      </c>
      <c r="X675" s="2" t="s">
        <v>74</v>
      </c>
      <c r="Y675" s="2" t="s">
        <v>74</v>
      </c>
      <c r="Z675" s="2" t="s">
        <v>74</v>
      </c>
      <c r="AA675" s="2" t="s">
        <v>1011</v>
      </c>
      <c r="AB675" s="2" t="s">
        <v>1012</v>
      </c>
      <c r="AC675" s="2" t="s">
        <v>74</v>
      </c>
      <c r="AD675" s="2" t="s">
        <v>74</v>
      </c>
      <c r="AE675" s="2" t="s">
        <v>74</v>
      </c>
      <c r="AF675" s="2" t="s">
        <v>74</v>
      </c>
      <c r="AG675" s="2" t="s">
        <v>74</v>
      </c>
      <c r="AH675" s="2" t="s">
        <v>74</v>
      </c>
      <c r="AI675" s="2" t="s">
        <v>74</v>
      </c>
      <c r="AJ675" s="2" t="s">
        <v>74</v>
      </c>
      <c r="AK675" s="2" t="s">
        <v>74</v>
      </c>
      <c r="AL675" s="2" t="s">
        <v>74</v>
      </c>
      <c r="AM675" s="2" t="s">
        <v>74</v>
      </c>
      <c r="AN675" s="2" t="s">
        <v>74</v>
      </c>
      <c r="AO675" s="2" t="s">
        <v>111</v>
      </c>
      <c r="AP675" s="2" t="s">
        <v>112</v>
      </c>
      <c r="AQ675" s="2" t="s">
        <v>74</v>
      </c>
      <c r="AR675" s="2" t="s">
        <v>74</v>
      </c>
      <c r="AS675" s="2" t="s">
        <v>74</v>
      </c>
      <c r="AT675" s="2" t="s">
        <v>2287</v>
      </c>
      <c r="AU675" s="2">
        <v>2016</v>
      </c>
      <c r="AV675" s="2">
        <v>283</v>
      </c>
      <c r="AW675" s="2">
        <v>1841</v>
      </c>
      <c r="AX675" s="2" t="s">
        <v>74</v>
      </c>
      <c r="AY675" s="2" t="s">
        <v>74</v>
      </c>
      <c r="AZ675" s="2" t="s">
        <v>74</v>
      </c>
      <c r="BA675" s="2" t="s">
        <v>74</v>
      </c>
      <c r="BB675" s="2" t="s">
        <v>74</v>
      </c>
      <c r="BC675" s="2" t="s">
        <v>74</v>
      </c>
      <c r="BD675" s="2">
        <v>20161873</v>
      </c>
      <c r="BE675" s="2" t="s">
        <v>2288</v>
      </c>
      <c r="BF675" s="2" t="str">
        <f>HYPERLINK("http://dx.doi.org/10.1098/rspb.2016.1873","http://dx.doi.org/10.1098/rspb.2016.1873")</f>
        <v>http://dx.doi.org/10.1098/rspb.2016.1873</v>
      </c>
      <c r="BG675" s="2" t="s">
        <v>74</v>
      </c>
      <c r="BH675" s="2" t="s">
        <v>74</v>
      </c>
      <c r="BI675" s="2" t="s">
        <v>74</v>
      </c>
      <c r="BJ675" s="2" t="s">
        <v>74</v>
      </c>
      <c r="BK675" s="2" t="s">
        <v>74</v>
      </c>
      <c r="BL675" s="2" t="s">
        <v>74</v>
      </c>
      <c r="BM675" s="2" t="s">
        <v>74</v>
      </c>
      <c r="BN675" s="2">
        <v>27798310</v>
      </c>
      <c r="BO675" s="2" t="s">
        <v>74</v>
      </c>
      <c r="BP675" s="2" t="s">
        <v>74</v>
      </c>
      <c r="BQ675" s="2" t="s">
        <v>74</v>
      </c>
      <c r="BR675" s="2" t="s">
        <v>74</v>
      </c>
      <c r="BS675" s="2" t="s">
        <v>2289</v>
      </c>
      <c r="BT675" s="2" t="str">
        <f>HYPERLINK("https%3A%2F%2Fwww.webofscience.com%2Fwos%2Fwoscc%2Ffull-record%2FWOS:000386492600019","View Full Record in Web of Science")</f>
        <v>View Full Record in Web of Science</v>
      </c>
    </row>
    <row r="676" spans="1:72" s="2" customFormat="1" x14ac:dyDescent="0.4">
      <c r="A676" s="2" t="s">
        <v>72</v>
      </c>
      <c r="B676" s="2" t="s">
        <v>2222</v>
      </c>
      <c r="C676" s="2" t="s">
        <v>74</v>
      </c>
      <c r="D676" s="2" t="s">
        <v>74</v>
      </c>
      <c r="E676" s="2" t="s">
        <v>74</v>
      </c>
      <c r="F676" s="2" t="s">
        <v>2223</v>
      </c>
      <c r="G676" s="2" t="s">
        <v>74</v>
      </c>
      <c r="H676" s="2" t="s">
        <v>74</v>
      </c>
      <c r="I676" s="2" t="s">
        <v>2224</v>
      </c>
      <c r="J676" s="2" t="s">
        <v>1803</v>
      </c>
      <c r="K676" s="2" t="s">
        <v>74</v>
      </c>
      <c r="L676" s="2" t="s">
        <v>74</v>
      </c>
      <c r="M676" s="2" t="s">
        <v>74</v>
      </c>
      <c r="N676" s="2" t="s">
        <v>74</v>
      </c>
      <c r="O676" s="2" t="s">
        <v>74</v>
      </c>
      <c r="P676" s="2" t="s">
        <v>74</v>
      </c>
      <c r="Q676" s="2" t="s">
        <v>74</v>
      </c>
      <c r="R676" s="2" t="s">
        <v>74</v>
      </c>
      <c r="S676" s="2" t="s">
        <v>74</v>
      </c>
      <c r="T676" s="2" t="s">
        <v>74</v>
      </c>
      <c r="U676" s="2" t="s">
        <v>74</v>
      </c>
      <c r="V676" s="5" t="s">
        <v>2225</v>
      </c>
      <c r="W676" s="2" t="s">
        <v>74</v>
      </c>
      <c r="X676" s="2" t="s">
        <v>74</v>
      </c>
      <c r="Y676" s="2" t="s">
        <v>74</v>
      </c>
      <c r="Z676" s="2" t="s">
        <v>74</v>
      </c>
      <c r="AA676" s="2" t="s">
        <v>2226</v>
      </c>
      <c r="AB676" s="2" t="s">
        <v>2227</v>
      </c>
      <c r="AC676" s="2" t="s">
        <v>74</v>
      </c>
      <c r="AD676" s="2" t="s">
        <v>74</v>
      </c>
      <c r="AE676" s="2" t="s">
        <v>74</v>
      </c>
      <c r="AF676" s="2" t="s">
        <v>74</v>
      </c>
      <c r="AG676" s="2" t="s">
        <v>74</v>
      </c>
      <c r="AH676" s="2" t="s">
        <v>74</v>
      </c>
      <c r="AI676" s="2" t="s">
        <v>74</v>
      </c>
      <c r="AJ676" s="2" t="s">
        <v>74</v>
      </c>
      <c r="AK676" s="2" t="s">
        <v>74</v>
      </c>
      <c r="AL676" s="2" t="s">
        <v>74</v>
      </c>
      <c r="AM676" s="2" t="s">
        <v>74</v>
      </c>
      <c r="AN676" s="2" t="s">
        <v>74</v>
      </c>
      <c r="AO676" s="2" t="s">
        <v>1807</v>
      </c>
      <c r="AP676" s="2" t="s">
        <v>1808</v>
      </c>
      <c r="AQ676" s="2" t="s">
        <v>74</v>
      </c>
      <c r="AR676" s="2" t="s">
        <v>74</v>
      </c>
      <c r="AS676" s="2" t="s">
        <v>74</v>
      </c>
      <c r="AT676" s="2" t="s">
        <v>175</v>
      </c>
      <c r="AU676" s="2">
        <v>2014</v>
      </c>
      <c r="AV676" s="2">
        <v>28</v>
      </c>
      <c r="AW676" s="2">
        <v>5</v>
      </c>
      <c r="AX676" s="2" t="s">
        <v>74</v>
      </c>
      <c r="AY676" s="2" t="s">
        <v>74</v>
      </c>
      <c r="AZ676" s="2" t="s">
        <v>74</v>
      </c>
      <c r="BA676" s="2" t="s">
        <v>74</v>
      </c>
      <c r="BB676" s="2">
        <v>1197</v>
      </c>
      <c r="BC676" s="2">
        <v>1207</v>
      </c>
      <c r="BD676" s="2" t="s">
        <v>74</v>
      </c>
      <c r="BE676" s="2" t="s">
        <v>2228</v>
      </c>
      <c r="BF676" s="2" t="str">
        <f>HYPERLINK("http://dx.doi.org/10.1111/1365-2435.12244","http://dx.doi.org/10.1111/1365-2435.12244")</f>
        <v>http://dx.doi.org/10.1111/1365-2435.12244</v>
      </c>
      <c r="BG676" s="2" t="s">
        <v>74</v>
      </c>
      <c r="BH676" s="2" t="s">
        <v>74</v>
      </c>
      <c r="BI676" s="2" t="s">
        <v>74</v>
      </c>
      <c r="BJ676" s="2" t="s">
        <v>74</v>
      </c>
      <c r="BK676" s="2" t="s">
        <v>74</v>
      </c>
      <c r="BL676" s="2" t="s">
        <v>74</v>
      </c>
      <c r="BM676" s="2" t="s">
        <v>74</v>
      </c>
      <c r="BN676" s="2" t="s">
        <v>74</v>
      </c>
      <c r="BO676" s="2" t="s">
        <v>74</v>
      </c>
      <c r="BP676" s="2" t="s">
        <v>74</v>
      </c>
      <c r="BQ676" s="2" t="s">
        <v>74</v>
      </c>
      <c r="BR676" s="2" t="s">
        <v>74</v>
      </c>
      <c r="BS676" s="2" t="s">
        <v>2229</v>
      </c>
      <c r="BT676" s="2" t="str">
        <f>HYPERLINK("https%3A%2F%2Fwww.webofscience.com%2Fwos%2Fwoscc%2Ffull-record%2FWOS:000342615100015","View Full Record in Web of Science")</f>
        <v>View Full Record in Web of Science</v>
      </c>
    </row>
    <row r="677" spans="1:72" s="2" customFormat="1" x14ac:dyDescent="0.4">
      <c r="A677" s="2" t="s">
        <v>72</v>
      </c>
      <c r="B677" s="2" t="s">
        <v>4212</v>
      </c>
      <c r="C677" s="2" t="s">
        <v>74</v>
      </c>
      <c r="D677" s="2" t="s">
        <v>74</v>
      </c>
      <c r="E677" s="2" t="s">
        <v>74</v>
      </c>
      <c r="F677" s="2" t="s">
        <v>4213</v>
      </c>
      <c r="G677" s="2" t="s">
        <v>74</v>
      </c>
      <c r="H677" s="2" t="s">
        <v>74</v>
      </c>
      <c r="I677" s="2" t="s">
        <v>4214</v>
      </c>
      <c r="J677" s="2" t="s">
        <v>140</v>
      </c>
      <c r="K677" s="2" t="s">
        <v>74</v>
      </c>
      <c r="L677" s="2" t="s">
        <v>74</v>
      </c>
      <c r="M677" s="2" t="s">
        <v>74</v>
      </c>
      <c r="N677" s="2" t="s">
        <v>74</v>
      </c>
      <c r="O677" s="2" t="s">
        <v>74</v>
      </c>
      <c r="P677" s="2" t="s">
        <v>74</v>
      </c>
      <c r="Q677" s="2" t="s">
        <v>74</v>
      </c>
      <c r="R677" s="2" t="s">
        <v>74</v>
      </c>
      <c r="S677" s="2" t="s">
        <v>74</v>
      </c>
      <c r="T677" s="2" t="s">
        <v>74</v>
      </c>
      <c r="U677" s="2" t="s">
        <v>74</v>
      </c>
      <c r="V677" s="5" t="s">
        <v>4215</v>
      </c>
      <c r="W677" s="2" t="s">
        <v>74</v>
      </c>
      <c r="X677" s="2" t="s">
        <v>74</v>
      </c>
      <c r="Y677" s="2" t="s">
        <v>74</v>
      </c>
      <c r="Z677" s="2" t="s">
        <v>74</v>
      </c>
      <c r="AA677" s="2" t="s">
        <v>4216</v>
      </c>
      <c r="AB677" s="2" t="s">
        <v>4217</v>
      </c>
      <c r="AC677" s="2" t="s">
        <v>74</v>
      </c>
      <c r="AD677" s="2" t="s">
        <v>74</v>
      </c>
      <c r="AE677" s="2" t="s">
        <v>74</v>
      </c>
      <c r="AF677" s="2" t="s">
        <v>74</v>
      </c>
      <c r="AG677" s="2" t="s">
        <v>74</v>
      </c>
      <c r="AH677" s="2" t="s">
        <v>74</v>
      </c>
      <c r="AI677" s="2" t="s">
        <v>74</v>
      </c>
      <c r="AJ677" s="2" t="s">
        <v>74</v>
      </c>
      <c r="AK677" s="2" t="s">
        <v>74</v>
      </c>
      <c r="AL677" s="2" t="s">
        <v>74</v>
      </c>
      <c r="AM677" s="2" t="s">
        <v>74</v>
      </c>
      <c r="AN677" s="2" t="s">
        <v>74</v>
      </c>
      <c r="AO677" s="2" t="s">
        <v>143</v>
      </c>
      <c r="AP677" s="2" t="s">
        <v>144</v>
      </c>
      <c r="AQ677" s="2" t="s">
        <v>74</v>
      </c>
      <c r="AR677" s="2" t="s">
        <v>74</v>
      </c>
      <c r="AS677" s="2" t="s">
        <v>74</v>
      </c>
      <c r="AT677" s="2" t="s">
        <v>102</v>
      </c>
      <c r="AU677" s="2">
        <v>2009</v>
      </c>
      <c r="AV677" s="2">
        <v>77</v>
      </c>
      <c r="AW677" s="2">
        <v>6</v>
      </c>
      <c r="AX677" s="2" t="s">
        <v>74</v>
      </c>
      <c r="AY677" s="2" t="s">
        <v>74</v>
      </c>
      <c r="AZ677" s="2" t="s">
        <v>74</v>
      </c>
      <c r="BA677" s="2" t="s">
        <v>74</v>
      </c>
      <c r="BB677" s="2">
        <v>1525</v>
      </c>
      <c r="BC677" s="2">
        <v>1532</v>
      </c>
      <c r="BD677" s="2" t="s">
        <v>74</v>
      </c>
      <c r="BE677" s="2" t="s">
        <v>4218</v>
      </c>
      <c r="BF677" s="2" t="str">
        <f>HYPERLINK("http://dx.doi.org/10.1016/j.anbehav.2009.02.027","http://dx.doi.org/10.1016/j.anbehav.2009.02.027")</f>
        <v>http://dx.doi.org/10.1016/j.anbehav.2009.02.027</v>
      </c>
      <c r="BG677" s="2" t="s">
        <v>74</v>
      </c>
      <c r="BH677" s="2" t="s">
        <v>74</v>
      </c>
      <c r="BI677" s="2" t="s">
        <v>74</v>
      </c>
      <c r="BJ677" s="2" t="s">
        <v>74</v>
      </c>
      <c r="BK677" s="2" t="s">
        <v>74</v>
      </c>
      <c r="BL677" s="2" t="s">
        <v>74</v>
      </c>
      <c r="BM677" s="2" t="s">
        <v>74</v>
      </c>
      <c r="BN677" s="2" t="s">
        <v>74</v>
      </c>
      <c r="BO677" s="2" t="s">
        <v>74</v>
      </c>
      <c r="BP677" s="2" t="s">
        <v>74</v>
      </c>
      <c r="BQ677" s="2" t="s">
        <v>74</v>
      </c>
      <c r="BR677" s="2" t="s">
        <v>74</v>
      </c>
      <c r="BS677" s="2" t="s">
        <v>4219</v>
      </c>
      <c r="BT677" s="2" t="str">
        <f>HYPERLINK("https%3A%2F%2Fwww.webofscience.com%2Fwos%2Fwoscc%2Ffull-record%2FWOS:000266884200022","View Full Record in Web of Science")</f>
        <v>View Full Record in Web of Science</v>
      </c>
    </row>
    <row r="678" spans="1:72" s="2" customFormat="1" x14ac:dyDescent="0.4">
      <c r="A678" s="2" t="s">
        <v>72</v>
      </c>
      <c r="B678" s="2" t="s">
        <v>6000</v>
      </c>
      <c r="C678" s="2" t="s">
        <v>74</v>
      </c>
      <c r="D678" s="2" t="s">
        <v>74</v>
      </c>
      <c r="E678" s="2" t="s">
        <v>74</v>
      </c>
      <c r="F678" s="2" t="s">
        <v>6001</v>
      </c>
      <c r="G678" s="2" t="s">
        <v>74</v>
      </c>
      <c r="H678" s="2" t="s">
        <v>74</v>
      </c>
      <c r="I678" s="2" t="s">
        <v>6002</v>
      </c>
      <c r="J678" s="2" t="s">
        <v>1384</v>
      </c>
      <c r="K678" s="2" t="s">
        <v>74</v>
      </c>
      <c r="L678" s="2" t="s">
        <v>74</v>
      </c>
      <c r="M678" s="2" t="s">
        <v>74</v>
      </c>
      <c r="N678" s="2" t="s">
        <v>74</v>
      </c>
      <c r="O678" s="2" t="s">
        <v>74</v>
      </c>
      <c r="P678" s="2" t="s">
        <v>74</v>
      </c>
      <c r="Q678" s="2" t="s">
        <v>74</v>
      </c>
      <c r="R678" s="2" t="s">
        <v>74</v>
      </c>
      <c r="S678" s="2" t="s">
        <v>74</v>
      </c>
      <c r="T678" s="2" t="s">
        <v>74</v>
      </c>
      <c r="U678" s="2" t="s">
        <v>74</v>
      </c>
      <c r="V678" s="5" t="s">
        <v>6003</v>
      </c>
      <c r="W678" s="2" t="s">
        <v>74</v>
      </c>
      <c r="X678" s="2" t="s">
        <v>74</v>
      </c>
      <c r="Y678" s="2" t="s">
        <v>74</v>
      </c>
      <c r="Z678" s="2" t="s">
        <v>74</v>
      </c>
      <c r="AA678" s="2" t="s">
        <v>74</v>
      </c>
      <c r="AB678" s="2" t="s">
        <v>6004</v>
      </c>
      <c r="AC678" s="2" t="s">
        <v>74</v>
      </c>
      <c r="AD678" s="2" t="s">
        <v>74</v>
      </c>
      <c r="AE678" s="2" t="s">
        <v>74</v>
      </c>
      <c r="AF678" s="2" t="s">
        <v>74</v>
      </c>
      <c r="AG678" s="2" t="s">
        <v>74</v>
      </c>
      <c r="AH678" s="2" t="s">
        <v>74</v>
      </c>
      <c r="AI678" s="2" t="s">
        <v>74</v>
      </c>
      <c r="AJ678" s="2" t="s">
        <v>74</v>
      </c>
      <c r="AK678" s="2" t="s">
        <v>74</v>
      </c>
      <c r="AL678" s="2" t="s">
        <v>74</v>
      </c>
      <c r="AM678" s="2" t="s">
        <v>74</v>
      </c>
      <c r="AN678" s="2" t="s">
        <v>74</v>
      </c>
      <c r="AO678" s="2" t="s">
        <v>1388</v>
      </c>
      <c r="AP678" s="2" t="s">
        <v>1389</v>
      </c>
      <c r="AQ678" s="2" t="s">
        <v>74</v>
      </c>
      <c r="AR678" s="2" t="s">
        <v>74</v>
      </c>
      <c r="AS678" s="2" t="s">
        <v>74</v>
      </c>
      <c r="AT678" s="2" t="s">
        <v>633</v>
      </c>
      <c r="AU678" s="2">
        <v>2023</v>
      </c>
      <c r="AV678" s="2">
        <v>165</v>
      </c>
      <c r="AW678" s="2">
        <v>2</v>
      </c>
      <c r="AX678" s="2" t="s">
        <v>74</v>
      </c>
      <c r="AY678" s="2" t="s">
        <v>74</v>
      </c>
      <c r="AZ678" s="2" t="s">
        <v>74</v>
      </c>
      <c r="BA678" s="2" t="s">
        <v>74</v>
      </c>
      <c r="BB678" s="2">
        <v>561</v>
      </c>
      <c r="BC678" s="2">
        <v>570</v>
      </c>
      <c r="BD678" s="2" t="s">
        <v>74</v>
      </c>
      <c r="BE678" s="2" t="s">
        <v>6005</v>
      </c>
      <c r="BF678" s="2" t="str">
        <f>HYPERLINK("http://dx.doi.org/10.1111/ibi.13141","http://dx.doi.org/10.1111/ibi.13141")</f>
        <v>http://dx.doi.org/10.1111/ibi.13141</v>
      </c>
      <c r="BG678" s="2" t="s">
        <v>74</v>
      </c>
      <c r="BH678" s="2" t="s">
        <v>6006</v>
      </c>
      <c r="BI678" s="2" t="s">
        <v>74</v>
      </c>
      <c r="BJ678" s="2" t="s">
        <v>74</v>
      </c>
      <c r="BK678" s="2" t="s">
        <v>74</v>
      </c>
      <c r="BL678" s="2" t="s">
        <v>74</v>
      </c>
      <c r="BM678" s="2" t="s">
        <v>74</v>
      </c>
      <c r="BN678" s="2" t="s">
        <v>74</v>
      </c>
      <c r="BO678" s="2" t="s">
        <v>74</v>
      </c>
      <c r="BP678" s="2" t="s">
        <v>74</v>
      </c>
      <c r="BQ678" s="2" t="s">
        <v>74</v>
      </c>
      <c r="BR678" s="2" t="s">
        <v>74</v>
      </c>
      <c r="BS678" s="2" t="s">
        <v>6007</v>
      </c>
      <c r="BT678" s="2" t="str">
        <f>HYPERLINK("https%3A%2F%2Fwww.webofscience.com%2Fwos%2Fwoscc%2Ffull-record%2FWOS:000864028600001","View Full Record in Web of Science")</f>
        <v>View Full Record in Web of Science</v>
      </c>
    </row>
    <row r="679" spans="1:72" s="2" customFormat="1" x14ac:dyDescent="0.4">
      <c r="A679" s="2" t="s">
        <v>72</v>
      </c>
      <c r="B679" s="2" t="s">
        <v>8406</v>
      </c>
      <c r="C679" s="2" t="s">
        <v>74</v>
      </c>
      <c r="D679" s="2" t="s">
        <v>74</v>
      </c>
      <c r="E679" s="2" t="s">
        <v>74</v>
      </c>
      <c r="F679" s="2" t="s">
        <v>8407</v>
      </c>
      <c r="G679" s="2" t="s">
        <v>74</v>
      </c>
      <c r="H679" s="2" t="s">
        <v>74</v>
      </c>
      <c r="I679" s="2" t="s">
        <v>8408</v>
      </c>
      <c r="J679" s="2" t="s">
        <v>5937</v>
      </c>
      <c r="K679" s="2" t="s">
        <v>74</v>
      </c>
      <c r="L679" s="2" t="s">
        <v>74</v>
      </c>
      <c r="M679" s="2" t="s">
        <v>74</v>
      </c>
      <c r="N679" s="2" t="s">
        <v>74</v>
      </c>
      <c r="O679" s="2" t="s">
        <v>74</v>
      </c>
      <c r="P679" s="2" t="s">
        <v>74</v>
      </c>
      <c r="Q679" s="2" t="s">
        <v>74</v>
      </c>
      <c r="R679" s="2" t="s">
        <v>74</v>
      </c>
      <c r="S679" s="2" t="s">
        <v>74</v>
      </c>
      <c r="T679" s="2" t="s">
        <v>74</v>
      </c>
      <c r="U679" s="2" t="s">
        <v>74</v>
      </c>
      <c r="V679" s="5" t="s">
        <v>8409</v>
      </c>
      <c r="W679" s="2" t="s">
        <v>74</v>
      </c>
      <c r="X679" s="2" t="s">
        <v>74</v>
      </c>
      <c r="Y679" s="2" t="s">
        <v>74</v>
      </c>
      <c r="Z679" s="2" t="s">
        <v>74</v>
      </c>
      <c r="AA679" s="2" t="s">
        <v>612</v>
      </c>
      <c r="AB679" s="2" t="s">
        <v>613</v>
      </c>
      <c r="AC679" s="2" t="s">
        <v>74</v>
      </c>
      <c r="AD679" s="2" t="s">
        <v>74</v>
      </c>
      <c r="AE679" s="2" t="s">
        <v>74</v>
      </c>
      <c r="AF679" s="2" t="s">
        <v>74</v>
      </c>
      <c r="AG679" s="2" t="s">
        <v>74</v>
      </c>
      <c r="AH679" s="2" t="s">
        <v>74</v>
      </c>
      <c r="AI679" s="2" t="s">
        <v>74</v>
      </c>
      <c r="AJ679" s="2" t="s">
        <v>74</v>
      </c>
      <c r="AK679" s="2" t="s">
        <v>74</v>
      </c>
      <c r="AL679" s="2" t="s">
        <v>74</v>
      </c>
      <c r="AM679" s="2" t="s">
        <v>74</v>
      </c>
      <c r="AN679" s="2" t="s">
        <v>74</v>
      </c>
      <c r="AO679" s="2" t="s">
        <v>5941</v>
      </c>
      <c r="AP679" s="2" t="s">
        <v>74</v>
      </c>
      <c r="AQ679" s="2" t="s">
        <v>74</v>
      </c>
      <c r="AR679" s="2" t="s">
        <v>74</v>
      </c>
      <c r="AS679" s="2" t="s">
        <v>74</v>
      </c>
      <c r="AT679" s="2" t="s">
        <v>145</v>
      </c>
      <c r="AU679" s="2">
        <v>2023</v>
      </c>
      <c r="AV679" s="2">
        <v>13</v>
      </c>
      <c r="AW679" s="2">
        <v>16</v>
      </c>
      <c r="AX679" s="2" t="s">
        <v>74</v>
      </c>
      <c r="AY679" s="2" t="s">
        <v>74</v>
      </c>
      <c r="AZ679" s="2" t="s">
        <v>74</v>
      </c>
      <c r="BA679" s="2" t="s">
        <v>74</v>
      </c>
      <c r="BB679" s="2" t="s">
        <v>74</v>
      </c>
      <c r="BC679" s="2" t="s">
        <v>74</v>
      </c>
      <c r="BD679" s="2">
        <v>2623</v>
      </c>
      <c r="BE679" s="2" t="s">
        <v>8410</v>
      </c>
      <c r="BF679" s="2" t="str">
        <f>HYPERLINK("http://dx.doi.org/10.3390/ani13162623","http://dx.doi.org/10.3390/ani13162623")</f>
        <v>http://dx.doi.org/10.3390/ani13162623</v>
      </c>
      <c r="BG679" s="2" t="s">
        <v>74</v>
      </c>
      <c r="BH679" s="2" t="s">
        <v>74</v>
      </c>
      <c r="BI679" s="2" t="s">
        <v>74</v>
      </c>
      <c r="BJ679" s="2" t="s">
        <v>74</v>
      </c>
      <c r="BK679" s="2" t="s">
        <v>74</v>
      </c>
      <c r="BL679" s="2" t="s">
        <v>74</v>
      </c>
      <c r="BM679" s="2" t="s">
        <v>74</v>
      </c>
      <c r="BN679" s="2">
        <v>37627414</v>
      </c>
      <c r="BO679" s="2" t="s">
        <v>74</v>
      </c>
      <c r="BP679" s="2" t="s">
        <v>74</v>
      </c>
      <c r="BQ679" s="2" t="s">
        <v>74</v>
      </c>
      <c r="BR679" s="2" t="s">
        <v>74</v>
      </c>
      <c r="BS679" s="2" t="s">
        <v>8411</v>
      </c>
      <c r="BT679" s="2" t="str">
        <f>HYPERLINK("https%3A%2F%2Fwww.webofscience.com%2Fwos%2Fwoscc%2Ffull-record%2FWOS:001055601600001","View Full Record in Web of Science")</f>
        <v>View Full Record in Web of Science</v>
      </c>
    </row>
    <row r="680" spans="1:72" s="2" customFormat="1" x14ac:dyDescent="0.4">
      <c r="A680" s="2" t="s">
        <v>72</v>
      </c>
      <c r="B680" s="2" t="s">
        <v>7345</v>
      </c>
      <c r="C680" s="2" t="s">
        <v>74</v>
      </c>
      <c r="D680" s="2" t="s">
        <v>74</v>
      </c>
      <c r="E680" s="2" t="s">
        <v>74</v>
      </c>
      <c r="F680" s="2" t="s">
        <v>7346</v>
      </c>
      <c r="G680" s="2" t="s">
        <v>74</v>
      </c>
      <c r="H680" s="2" t="s">
        <v>74</v>
      </c>
      <c r="I680" s="2" t="s">
        <v>7347</v>
      </c>
      <c r="J680" s="2" t="s">
        <v>1112</v>
      </c>
      <c r="K680" s="2" t="s">
        <v>74</v>
      </c>
      <c r="L680" s="2" t="s">
        <v>74</v>
      </c>
      <c r="M680" s="2" t="s">
        <v>74</v>
      </c>
      <c r="N680" s="2" t="s">
        <v>74</v>
      </c>
      <c r="O680" s="2" t="s">
        <v>74</v>
      </c>
      <c r="P680" s="2" t="s">
        <v>74</v>
      </c>
      <c r="Q680" s="2" t="s">
        <v>74</v>
      </c>
      <c r="R680" s="2" t="s">
        <v>74</v>
      </c>
      <c r="S680" s="2" t="s">
        <v>74</v>
      </c>
      <c r="T680" s="2" t="s">
        <v>74</v>
      </c>
      <c r="U680" s="2" t="s">
        <v>74</v>
      </c>
      <c r="V680" s="5" t="s">
        <v>7348</v>
      </c>
      <c r="W680" s="2" t="s">
        <v>74</v>
      </c>
      <c r="X680" s="2" t="s">
        <v>74</v>
      </c>
      <c r="Y680" s="2" t="s">
        <v>74</v>
      </c>
      <c r="Z680" s="2" t="s">
        <v>74</v>
      </c>
      <c r="AA680" s="2" t="s">
        <v>7349</v>
      </c>
      <c r="AB680" s="2" t="s">
        <v>7350</v>
      </c>
      <c r="AC680" s="2" t="s">
        <v>74</v>
      </c>
      <c r="AD680" s="2" t="s">
        <v>74</v>
      </c>
      <c r="AE680" s="2" t="s">
        <v>74</v>
      </c>
      <c r="AF680" s="2" t="s">
        <v>74</v>
      </c>
      <c r="AG680" s="2" t="s">
        <v>74</v>
      </c>
      <c r="AH680" s="2" t="s">
        <v>74</v>
      </c>
      <c r="AI680" s="2" t="s">
        <v>74</v>
      </c>
      <c r="AJ680" s="2" t="s">
        <v>74</v>
      </c>
      <c r="AK680" s="2" t="s">
        <v>74</v>
      </c>
      <c r="AL680" s="2" t="s">
        <v>74</v>
      </c>
      <c r="AM680" s="2" t="s">
        <v>74</v>
      </c>
      <c r="AN680" s="2" t="s">
        <v>74</v>
      </c>
      <c r="AO680" s="2" t="s">
        <v>1114</v>
      </c>
      <c r="AP680" s="2" t="s">
        <v>1115</v>
      </c>
      <c r="AQ680" s="2" t="s">
        <v>74</v>
      </c>
      <c r="AR680" s="2" t="s">
        <v>74</v>
      </c>
      <c r="AS680" s="2" t="s">
        <v>74</v>
      </c>
      <c r="AT680" s="2" t="s">
        <v>204</v>
      </c>
      <c r="AU680" s="2">
        <v>2014</v>
      </c>
      <c r="AV680" s="2">
        <v>156</v>
      </c>
      <c r="AW680" s="2" t="s">
        <v>74</v>
      </c>
      <c r="AX680" s="2" t="s">
        <v>74</v>
      </c>
      <c r="AY680" s="2" t="s">
        <v>74</v>
      </c>
      <c r="AZ680" s="2" t="s">
        <v>74</v>
      </c>
      <c r="BA680" s="2" t="s">
        <v>74</v>
      </c>
      <c r="BB680" s="2">
        <v>44</v>
      </c>
      <c r="BC680" s="2">
        <v>53</v>
      </c>
      <c r="BD680" s="2" t="s">
        <v>74</v>
      </c>
      <c r="BE680" s="2" t="s">
        <v>7351</v>
      </c>
      <c r="BF680" s="2" t="str">
        <f>HYPERLINK("http://dx.doi.org/10.1016/j.applanim.2014.04.006","http://dx.doi.org/10.1016/j.applanim.2014.04.006")</f>
        <v>http://dx.doi.org/10.1016/j.applanim.2014.04.006</v>
      </c>
      <c r="BG680" s="2" t="s">
        <v>74</v>
      </c>
      <c r="BH680" s="2" t="s">
        <v>74</v>
      </c>
      <c r="BI680" s="2" t="s">
        <v>74</v>
      </c>
      <c r="BJ680" s="2" t="s">
        <v>74</v>
      </c>
      <c r="BK680" s="2" t="s">
        <v>74</v>
      </c>
      <c r="BL680" s="2" t="s">
        <v>74</v>
      </c>
      <c r="BM680" s="2" t="s">
        <v>74</v>
      </c>
      <c r="BN680" s="2" t="s">
        <v>74</v>
      </c>
      <c r="BO680" s="2" t="s">
        <v>74</v>
      </c>
      <c r="BP680" s="2" t="s">
        <v>74</v>
      </c>
      <c r="BQ680" s="2" t="s">
        <v>74</v>
      </c>
      <c r="BR680" s="2" t="s">
        <v>74</v>
      </c>
      <c r="BS680" s="2" t="s">
        <v>7352</v>
      </c>
      <c r="BT680" s="2" t="str">
        <f>HYPERLINK("https%3A%2F%2Fwww.webofscience.com%2Fwos%2Fwoscc%2Ffull-record%2FWOS:000337998000006","View Full Record in Web of Science")</f>
        <v>View Full Record in Web of Science</v>
      </c>
    </row>
    <row r="681" spans="1:72" s="2" customFormat="1" x14ac:dyDescent="0.4">
      <c r="A681" s="2" t="s">
        <v>72</v>
      </c>
      <c r="B681" s="2" t="s">
        <v>5790</v>
      </c>
      <c r="C681" s="2" t="s">
        <v>74</v>
      </c>
      <c r="D681" s="2" t="s">
        <v>74</v>
      </c>
      <c r="E681" s="2" t="s">
        <v>74</v>
      </c>
      <c r="F681" s="2" t="s">
        <v>5791</v>
      </c>
      <c r="G681" s="2" t="s">
        <v>74</v>
      </c>
      <c r="H681" s="2" t="s">
        <v>74</v>
      </c>
      <c r="I681" s="2" t="s">
        <v>5792</v>
      </c>
      <c r="J681" s="2" t="s">
        <v>281</v>
      </c>
      <c r="K681" s="2" t="s">
        <v>74</v>
      </c>
      <c r="L681" s="2" t="s">
        <v>74</v>
      </c>
      <c r="M681" s="2" t="s">
        <v>74</v>
      </c>
      <c r="N681" s="2" t="s">
        <v>74</v>
      </c>
      <c r="O681" s="2" t="s">
        <v>74</v>
      </c>
      <c r="P681" s="2" t="s">
        <v>74</v>
      </c>
      <c r="Q681" s="2" t="s">
        <v>74</v>
      </c>
      <c r="R681" s="2" t="s">
        <v>74</v>
      </c>
      <c r="S681" s="2" t="s">
        <v>74</v>
      </c>
      <c r="T681" s="2" t="s">
        <v>74</v>
      </c>
      <c r="U681" s="2" t="s">
        <v>74</v>
      </c>
      <c r="V681" s="5" t="s">
        <v>5793</v>
      </c>
      <c r="W681" s="2" t="s">
        <v>74</v>
      </c>
      <c r="X681" s="2" t="s">
        <v>74</v>
      </c>
      <c r="Y681" s="2" t="s">
        <v>74</v>
      </c>
      <c r="Z681" s="2" t="s">
        <v>74</v>
      </c>
      <c r="AA681" s="2" t="s">
        <v>5794</v>
      </c>
      <c r="AB681" s="2" t="s">
        <v>5795</v>
      </c>
      <c r="AC681" s="2" t="s">
        <v>74</v>
      </c>
      <c r="AD681" s="2" t="s">
        <v>74</v>
      </c>
      <c r="AE681" s="2" t="s">
        <v>74</v>
      </c>
      <c r="AF681" s="2" t="s">
        <v>74</v>
      </c>
      <c r="AG681" s="2" t="s">
        <v>74</v>
      </c>
      <c r="AH681" s="2" t="s">
        <v>74</v>
      </c>
      <c r="AI681" s="2" t="s">
        <v>74</v>
      </c>
      <c r="AJ681" s="2" t="s">
        <v>74</v>
      </c>
      <c r="AK681" s="2" t="s">
        <v>74</v>
      </c>
      <c r="AL681" s="2" t="s">
        <v>74</v>
      </c>
      <c r="AM681" s="2" t="s">
        <v>74</v>
      </c>
      <c r="AN681" s="2" t="s">
        <v>74</v>
      </c>
      <c r="AO681" s="2" t="s">
        <v>285</v>
      </c>
      <c r="AP681" s="2" t="s">
        <v>286</v>
      </c>
      <c r="AQ681" s="2" t="s">
        <v>74</v>
      </c>
      <c r="AR681" s="2" t="s">
        <v>74</v>
      </c>
      <c r="AS681" s="2" t="s">
        <v>74</v>
      </c>
      <c r="AT681" s="2" t="s">
        <v>255</v>
      </c>
      <c r="AU681" s="2">
        <v>2021</v>
      </c>
      <c r="AV681" s="2">
        <v>24</v>
      </c>
      <c r="AW681" s="2">
        <v>1</v>
      </c>
      <c r="AX681" s="2" t="s">
        <v>74</v>
      </c>
      <c r="AY681" s="2" t="s">
        <v>74</v>
      </c>
      <c r="AZ681" s="2" t="s">
        <v>74</v>
      </c>
      <c r="BA681" s="2" t="s">
        <v>74</v>
      </c>
      <c r="BB681" s="2">
        <v>205</v>
      </c>
      <c r="BC681" s="2">
        <v>212</v>
      </c>
      <c r="BD681" s="2" t="s">
        <v>74</v>
      </c>
      <c r="BE681" s="2" t="s">
        <v>5796</v>
      </c>
      <c r="BF681" s="2" t="str">
        <f>HYPERLINK("http://dx.doi.org/10.1007/s10071-020-01434-8","http://dx.doi.org/10.1007/s10071-020-01434-8")</f>
        <v>http://dx.doi.org/10.1007/s10071-020-01434-8</v>
      </c>
      <c r="BG681" s="2" t="s">
        <v>74</v>
      </c>
      <c r="BH681" s="2" t="s">
        <v>1067</v>
      </c>
      <c r="BI681" s="2" t="s">
        <v>74</v>
      </c>
      <c r="BJ681" s="2" t="s">
        <v>74</v>
      </c>
      <c r="BK681" s="2" t="s">
        <v>74</v>
      </c>
      <c r="BL681" s="2" t="s">
        <v>74</v>
      </c>
      <c r="BM681" s="2" t="s">
        <v>74</v>
      </c>
      <c r="BN681" s="2">
        <v>32980971</v>
      </c>
      <c r="BO681" s="2" t="s">
        <v>74</v>
      </c>
      <c r="BP681" s="2" t="s">
        <v>74</v>
      </c>
      <c r="BQ681" s="2" t="s">
        <v>74</v>
      </c>
      <c r="BR681" s="2" t="s">
        <v>74</v>
      </c>
      <c r="BS681" s="2" t="s">
        <v>5797</v>
      </c>
      <c r="BT681" s="2" t="str">
        <f>HYPERLINK("https%3A%2F%2Fwww.webofscience.com%2Fwos%2Fwoscc%2Ffull-record%2FWOS:000573200000001","View Full Record in Web of Science")</f>
        <v>View Full Record in Web of Science</v>
      </c>
    </row>
    <row r="682" spans="1:72" s="2" customFormat="1" x14ac:dyDescent="0.4">
      <c r="A682" s="2" t="s">
        <v>72</v>
      </c>
      <c r="B682" s="2" t="s">
        <v>4391</v>
      </c>
      <c r="C682" s="2" t="s">
        <v>74</v>
      </c>
      <c r="D682" s="2" t="s">
        <v>74</v>
      </c>
      <c r="E682" s="2" t="s">
        <v>74</v>
      </c>
      <c r="F682" s="2" t="s">
        <v>4391</v>
      </c>
      <c r="G682" s="2" t="s">
        <v>74</v>
      </c>
      <c r="H682" s="2" t="s">
        <v>74</v>
      </c>
      <c r="I682" s="2" t="s">
        <v>4392</v>
      </c>
      <c r="J682" s="2" t="s">
        <v>1533</v>
      </c>
      <c r="K682" s="2" t="s">
        <v>74</v>
      </c>
      <c r="L682" s="2" t="s">
        <v>74</v>
      </c>
      <c r="M682" s="2" t="s">
        <v>74</v>
      </c>
      <c r="N682" s="2" t="s">
        <v>74</v>
      </c>
      <c r="O682" s="2" t="s">
        <v>74</v>
      </c>
      <c r="P682" s="2" t="s">
        <v>74</v>
      </c>
      <c r="Q682" s="2" t="s">
        <v>74</v>
      </c>
      <c r="R682" s="2" t="s">
        <v>74</v>
      </c>
      <c r="S682" s="2" t="s">
        <v>74</v>
      </c>
      <c r="T682" s="2" t="s">
        <v>74</v>
      </c>
      <c r="U682" s="2" t="s">
        <v>74</v>
      </c>
      <c r="V682" s="5" t="s">
        <v>4393</v>
      </c>
      <c r="W682" s="2" t="s">
        <v>74</v>
      </c>
      <c r="X682" s="2" t="s">
        <v>74</v>
      </c>
      <c r="Y682" s="2" t="s">
        <v>74</v>
      </c>
      <c r="Z682" s="2" t="s">
        <v>74</v>
      </c>
      <c r="AA682" s="2" t="s">
        <v>74</v>
      </c>
      <c r="AB682" s="2" t="s">
        <v>74</v>
      </c>
      <c r="AC682" s="2" t="s">
        <v>74</v>
      </c>
      <c r="AD682" s="2" t="s">
        <v>74</v>
      </c>
      <c r="AE682" s="2" t="s">
        <v>74</v>
      </c>
      <c r="AF682" s="2" t="s">
        <v>74</v>
      </c>
      <c r="AG682" s="2" t="s">
        <v>74</v>
      </c>
      <c r="AH682" s="2" t="s">
        <v>74</v>
      </c>
      <c r="AI682" s="2" t="s">
        <v>74</v>
      </c>
      <c r="AJ682" s="2" t="s">
        <v>74</v>
      </c>
      <c r="AK682" s="2" t="s">
        <v>74</v>
      </c>
      <c r="AL682" s="2" t="s">
        <v>74</v>
      </c>
      <c r="AM682" s="2" t="s">
        <v>74</v>
      </c>
      <c r="AN682" s="2" t="s">
        <v>74</v>
      </c>
      <c r="AO682" s="2" t="s">
        <v>1535</v>
      </c>
      <c r="AP682" s="2" t="s">
        <v>1536</v>
      </c>
      <c r="AQ682" s="2" t="s">
        <v>74</v>
      </c>
      <c r="AR682" s="2" t="s">
        <v>74</v>
      </c>
      <c r="AS682" s="2" t="s">
        <v>74</v>
      </c>
      <c r="AT682" s="2" t="s">
        <v>74</v>
      </c>
      <c r="AU682" s="2">
        <v>1976</v>
      </c>
      <c r="AV682" s="2">
        <v>26</v>
      </c>
      <c r="AW682" s="2">
        <v>3</v>
      </c>
      <c r="AX682" s="2" t="s">
        <v>74</v>
      </c>
      <c r="AY682" s="2" t="s">
        <v>74</v>
      </c>
      <c r="AZ682" s="2" t="s">
        <v>74</v>
      </c>
      <c r="BA682" s="2" t="s">
        <v>74</v>
      </c>
      <c r="BB682" s="2">
        <v>349</v>
      </c>
      <c r="BC682" s="2">
        <v>360</v>
      </c>
      <c r="BD682" s="2" t="s">
        <v>74</v>
      </c>
      <c r="BE682" s="2" t="s">
        <v>4394</v>
      </c>
      <c r="BF682" s="2" t="str">
        <f>HYPERLINK("http://dx.doi.org/10.1901/jeab.1976.26-349","http://dx.doi.org/10.1901/jeab.1976.26-349")</f>
        <v>http://dx.doi.org/10.1901/jeab.1976.26-349</v>
      </c>
      <c r="BG682" s="2" t="s">
        <v>74</v>
      </c>
      <c r="BH682" s="2" t="s">
        <v>74</v>
      </c>
      <c r="BI682" s="2" t="s">
        <v>74</v>
      </c>
      <c r="BJ682" s="2" t="s">
        <v>74</v>
      </c>
      <c r="BK682" s="2" t="s">
        <v>74</v>
      </c>
      <c r="BL682" s="2" t="s">
        <v>74</v>
      </c>
      <c r="BM682" s="2" t="s">
        <v>74</v>
      </c>
      <c r="BN682" s="2">
        <v>1033979</v>
      </c>
      <c r="BO682" s="2" t="s">
        <v>74</v>
      </c>
      <c r="BP682" s="2" t="s">
        <v>74</v>
      </c>
      <c r="BQ682" s="2" t="s">
        <v>74</v>
      </c>
      <c r="BR682" s="2" t="s">
        <v>74</v>
      </c>
      <c r="BS682" s="2" t="s">
        <v>4395</v>
      </c>
      <c r="BT682" s="2" t="str">
        <f>HYPERLINK("https%3A%2F%2Fwww.webofscience.com%2Fwos%2Fwoscc%2Ffull-record%2FWOS:A1976CN54900004","View Full Record in Web of Science")</f>
        <v>View Full Record in Web of Science</v>
      </c>
    </row>
    <row r="683" spans="1:72" s="2" customFormat="1" x14ac:dyDescent="0.4">
      <c r="A683" s="2" t="s">
        <v>72</v>
      </c>
      <c r="B683" s="2" t="s">
        <v>7604</v>
      </c>
      <c r="C683" s="2" t="s">
        <v>74</v>
      </c>
      <c r="D683" s="2" t="s">
        <v>74</v>
      </c>
      <c r="E683" s="2" t="s">
        <v>74</v>
      </c>
      <c r="F683" s="2" t="s">
        <v>7604</v>
      </c>
      <c r="G683" s="2" t="s">
        <v>74</v>
      </c>
      <c r="H683" s="2" t="s">
        <v>74</v>
      </c>
      <c r="I683" s="2" t="s">
        <v>7605</v>
      </c>
      <c r="J683" s="2" t="s">
        <v>610</v>
      </c>
      <c r="K683" s="2" t="s">
        <v>74</v>
      </c>
      <c r="L683" s="2" t="s">
        <v>74</v>
      </c>
      <c r="M683" s="2" t="s">
        <v>74</v>
      </c>
      <c r="N683" s="2" t="s">
        <v>74</v>
      </c>
      <c r="O683" s="2" t="s">
        <v>74</v>
      </c>
      <c r="P683" s="2" t="s">
        <v>74</v>
      </c>
      <c r="Q683" s="2" t="s">
        <v>74</v>
      </c>
      <c r="R683" s="2" t="s">
        <v>74</v>
      </c>
      <c r="S683" s="2" t="s">
        <v>74</v>
      </c>
      <c r="T683" s="2" t="s">
        <v>74</v>
      </c>
      <c r="U683" s="2" t="s">
        <v>74</v>
      </c>
      <c r="V683" s="5" t="s">
        <v>7606</v>
      </c>
      <c r="W683" s="2" t="s">
        <v>74</v>
      </c>
      <c r="X683" s="2" t="s">
        <v>74</v>
      </c>
      <c r="Y683" s="2" t="s">
        <v>74</v>
      </c>
      <c r="Z683" s="2" t="s">
        <v>74</v>
      </c>
      <c r="AA683" s="2" t="s">
        <v>1933</v>
      </c>
      <c r="AB683" s="2" t="s">
        <v>1934</v>
      </c>
      <c r="AC683" s="2" t="s">
        <v>74</v>
      </c>
      <c r="AD683" s="2" t="s">
        <v>74</v>
      </c>
      <c r="AE683" s="2" t="s">
        <v>74</v>
      </c>
      <c r="AF683" s="2" t="s">
        <v>74</v>
      </c>
      <c r="AG683" s="2" t="s">
        <v>74</v>
      </c>
      <c r="AH683" s="2" t="s">
        <v>74</v>
      </c>
      <c r="AI683" s="2" t="s">
        <v>74</v>
      </c>
      <c r="AJ683" s="2" t="s">
        <v>74</v>
      </c>
      <c r="AK683" s="2" t="s">
        <v>74</v>
      </c>
      <c r="AL683" s="2" t="s">
        <v>74</v>
      </c>
      <c r="AM683" s="2" t="s">
        <v>74</v>
      </c>
      <c r="AN683" s="2" t="s">
        <v>74</v>
      </c>
      <c r="AO683" s="2" t="s">
        <v>614</v>
      </c>
      <c r="AP683" s="2" t="s">
        <v>615</v>
      </c>
      <c r="AQ683" s="2" t="s">
        <v>74</v>
      </c>
      <c r="AR683" s="2" t="s">
        <v>74</v>
      </c>
      <c r="AS683" s="2" t="s">
        <v>74</v>
      </c>
      <c r="AT683" s="2" t="s">
        <v>175</v>
      </c>
      <c r="AU683" s="2">
        <v>2001</v>
      </c>
      <c r="AV683" s="2">
        <v>107</v>
      </c>
      <c r="AW683" s="2">
        <v>10</v>
      </c>
      <c r="AX683" s="2" t="s">
        <v>74</v>
      </c>
      <c r="AY683" s="2" t="s">
        <v>74</v>
      </c>
      <c r="AZ683" s="2" t="s">
        <v>74</v>
      </c>
      <c r="BA683" s="2" t="s">
        <v>74</v>
      </c>
      <c r="BB683" s="2">
        <v>901</v>
      </c>
      <c r="BC683" s="2">
        <v>912</v>
      </c>
      <c r="BD683" s="2" t="s">
        <v>74</v>
      </c>
      <c r="BE683" s="2" t="s">
        <v>7607</v>
      </c>
      <c r="BF683" s="2" t="str">
        <f>HYPERLINK("http://dx.doi.org/10.1046/j.1439-0310.2001.00724.x","http://dx.doi.org/10.1046/j.1439-0310.2001.00724.x")</f>
        <v>http://dx.doi.org/10.1046/j.1439-0310.2001.00724.x</v>
      </c>
      <c r="BG683" s="2" t="s">
        <v>74</v>
      </c>
      <c r="BH683" s="2" t="s">
        <v>74</v>
      </c>
      <c r="BI683" s="2" t="s">
        <v>74</v>
      </c>
      <c r="BJ683" s="2" t="s">
        <v>74</v>
      </c>
      <c r="BK683" s="2" t="s">
        <v>74</v>
      </c>
      <c r="BL683" s="2" t="s">
        <v>74</v>
      </c>
      <c r="BM683" s="2" t="s">
        <v>74</v>
      </c>
      <c r="BN683" s="2" t="s">
        <v>74</v>
      </c>
      <c r="BO683" s="2" t="s">
        <v>74</v>
      </c>
      <c r="BP683" s="2" t="s">
        <v>74</v>
      </c>
      <c r="BQ683" s="2" t="s">
        <v>74</v>
      </c>
      <c r="BR683" s="2" t="s">
        <v>74</v>
      </c>
      <c r="BS683" s="2" t="s">
        <v>7608</v>
      </c>
      <c r="BT683" s="2" t="str">
        <f>HYPERLINK("https%3A%2F%2Fwww.webofscience.com%2Fwos%2Fwoscc%2Ffull-record%2FWOS:000172914000004","View Full Record in Web of Science")</f>
        <v>View Full Record in Web of Science</v>
      </c>
    </row>
    <row r="684" spans="1:72" s="2" customFormat="1" x14ac:dyDescent="0.4">
      <c r="A684" s="2" t="s">
        <v>72</v>
      </c>
      <c r="B684" s="2" t="s">
        <v>1930</v>
      </c>
      <c r="C684" s="2" t="s">
        <v>74</v>
      </c>
      <c r="D684" s="2" t="s">
        <v>74</v>
      </c>
      <c r="E684" s="2" t="s">
        <v>74</v>
      </c>
      <c r="F684" s="2" t="s">
        <v>1930</v>
      </c>
      <c r="G684" s="2" t="s">
        <v>74</v>
      </c>
      <c r="H684" s="2" t="s">
        <v>74</v>
      </c>
      <c r="I684" s="2" t="s">
        <v>1931</v>
      </c>
      <c r="J684" s="2" t="s">
        <v>229</v>
      </c>
      <c r="K684" s="2" t="s">
        <v>74</v>
      </c>
      <c r="L684" s="2" t="s">
        <v>74</v>
      </c>
      <c r="M684" s="2" t="s">
        <v>74</v>
      </c>
      <c r="N684" s="2" t="s">
        <v>74</v>
      </c>
      <c r="O684" s="2" t="s">
        <v>74</v>
      </c>
      <c r="P684" s="2" t="s">
        <v>74</v>
      </c>
      <c r="Q684" s="2" t="s">
        <v>74</v>
      </c>
      <c r="R684" s="2" t="s">
        <v>74</v>
      </c>
      <c r="S684" s="2" t="s">
        <v>74</v>
      </c>
      <c r="T684" s="2" t="s">
        <v>74</v>
      </c>
      <c r="U684" s="2" t="s">
        <v>74</v>
      </c>
      <c r="V684" s="5" t="s">
        <v>1932</v>
      </c>
      <c r="W684" s="2" t="s">
        <v>74</v>
      </c>
      <c r="X684" s="2" t="s">
        <v>74</v>
      </c>
      <c r="Y684" s="2" t="s">
        <v>74</v>
      </c>
      <c r="Z684" s="2" t="s">
        <v>74</v>
      </c>
      <c r="AA684" s="2" t="s">
        <v>1933</v>
      </c>
      <c r="AB684" s="2" t="s">
        <v>1934</v>
      </c>
      <c r="AC684" s="2" t="s">
        <v>74</v>
      </c>
      <c r="AD684" s="2" t="s">
        <v>74</v>
      </c>
      <c r="AE684" s="2" t="s">
        <v>74</v>
      </c>
      <c r="AF684" s="2" t="s">
        <v>74</v>
      </c>
      <c r="AG684" s="2" t="s">
        <v>74</v>
      </c>
      <c r="AH684" s="2" t="s">
        <v>74</v>
      </c>
      <c r="AI684" s="2" t="s">
        <v>74</v>
      </c>
      <c r="AJ684" s="2" t="s">
        <v>74</v>
      </c>
      <c r="AK684" s="2" t="s">
        <v>74</v>
      </c>
      <c r="AL684" s="2" t="s">
        <v>74</v>
      </c>
      <c r="AM684" s="2" t="s">
        <v>74</v>
      </c>
      <c r="AN684" s="2" t="s">
        <v>74</v>
      </c>
      <c r="AO684" s="2" t="s">
        <v>233</v>
      </c>
      <c r="AP684" s="2" t="s">
        <v>234</v>
      </c>
      <c r="AQ684" s="2" t="s">
        <v>74</v>
      </c>
      <c r="AR684" s="2" t="s">
        <v>74</v>
      </c>
      <c r="AS684" s="2" t="s">
        <v>74</v>
      </c>
      <c r="AT684" s="2" t="s">
        <v>1038</v>
      </c>
      <c r="AU684" s="2">
        <v>2002</v>
      </c>
      <c r="AV684" s="2">
        <v>28</v>
      </c>
      <c r="AW684" s="2">
        <v>2</v>
      </c>
      <c r="AX684" s="2" t="s">
        <v>74</v>
      </c>
      <c r="AY684" s="2" t="s">
        <v>74</v>
      </c>
      <c r="AZ684" s="2" t="s">
        <v>74</v>
      </c>
      <c r="BA684" s="2" t="s">
        <v>74</v>
      </c>
      <c r="BB684" s="2">
        <v>154</v>
      </c>
      <c r="BC684" s="2">
        <v>163</v>
      </c>
      <c r="BD684" s="2" t="s">
        <v>74</v>
      </c>
      <c r="BE684" s="2" t="s">
        <v>1935</v>
      </c>
      <c r="BF684" s="2" t="str">
        <f>HYPERLINK("http://dx.doi.org/10.1002/ab.90017","http://dx.doi.org/10.1002/ab.90017")</f>
        <v>http://dx.doi.org/10.1002/ab.90017</v>
      </c>
      <c r="BG684" s="2" t="s">
        <v>74</v>
      </c>
      <c r="BH684" s="2" t="s">
        <v>74</v>
      </c>
      <c r="BI684" s="2" t="s">
        <v>74</v>
      </c>
      <c r="BJ684" s="2" t="s">
        <v>74</v>
      </c>
      <c r="BK684" s="2" t="s">
        <v>74</v>
      </c>
      <c r="BL684" s="2" t="s">
        <v>74</v>
      </c>
      <c r="BM684" s="2" t="s">
        <v>74</v>
      </c>
      <c r="BN684" s="2" t="s">
        <v>74</v>
      </c>
      <c r="BO684" s="2" t="s">
        <v>74</v>
      </c>
      <c r="BP684" s="2" t="s">
        <v>74</v>
      </c>
      <c r="BQ684" s="2" t="s">
        <v>74</v>
      </c>
      <c r="BR684" s="2" t="s">
        <v>74</v>
      </c>
      <c r="BS684" s="2" t="s">
        <v>1936</v>
      </c>
      <c r="BT684" s="2" t="str">
        <f>HYPERLINK("https%3A%2F%2Fwww.webofscience.com%2Fwos%2Fwoscc%2Ffull-record%2FWOS:000174435600008","View Full Record in Web of Science")</f>
        <v>View Full Record in Web of Science</v>
      </c>
    </row>
    <row r="685" spans="1:72" s="2" customFormat="1" x14ac:dyDescent="0.4">
      <c r="A685" s="2" t="s">
        <v>72</v>
      </c>
      <c r="B685" s="2" t="s">
        <v>1930</v>
      </c>
      <c r="C685" s="2" t="s">
        <v>74</v>
      </c>
      <c r="D685" s="2" t="s">
        <v>74</v>
      </c>
      <c r="E685" s="2" t="s">
        <v>74</v>
      </c>
      <c r="F685" s="2" t="s">
        <v>1930</v>
      </c>
      <c r="G685" s="2" t="s">
        <v>74</v>
      </c>
      <c r="H685" s="2" t="s">
        <v>74</v>
      </c>
      <c r="I685" s="2" t="s">
        <v>5603</v>
      </c>
      <c r="J685" s="2" t="s">
        <v>129</v>
      </c>
      <c r="K685" s="2" t="s">
        <v>74</v>
      </c>
      <c r="L685" s="2" t="s">
        <v>74</v>
      </c>
      <c r="M685" s="2" t="s">
        <v>74</v>
      </c>
      <c r="N685" s="2" t="s">
        <v>74</v>
      </c>
      <c r="O685" s="2" t="s">
        <v>74</v>
      </c>
      <c r="P685" s="2" t="s">
        <v>74</v>
      </c>
      <c r="Q685" s="2" t="s">
        <v>74</v>
      </c>
      <c r="R685" s="2" t="s">
        <v>74</v>
      </c>
      <c r="S685" s="2" t="s">
        <v>74</v>
      </c>
      <c r="T685" s="2" t="s">
        <v>74</v>
      </c>
      <c r="U685" s="2" t="s">
        <v>74</v>
      </c>
      <c r="V685" s="5" t="s">
        <v>5604</v>
      </c>
      <c r="W685" s="2" t="s">
        <v>74</v>
      </c>
      <c r="X685" s="2" t="s">
        <v>74</v>
      </c>
      <c r="Y685" s="2" t="s">
        <v>74</v>
      </c>
      <c r="Z685" s="2" t="s">
        <v>74</v>
      </c>
      <c r="AA685" s="2" t="s">
        <v>1933</v>
      </c>
      <c r="AB685" s="2" t="s">
        <v>1934</v>
      </c>
      <c r="AC685" s="2" t="s">
        <v>74</v>
      </c>
      <c r="AD685" s="2" t="s">
        <v>74</v>
      </c>
      <c r="AE685" s="2" t="s">
        <v>74</v>
      </c>
      <c r="AF685" s="2" t="s">
        <v>74</v>
      </c>
      <c r="AG685" s="2" t="s">
        <v>74</v>
      </c>
      <c r="AH685" s="2" t="s">
        <v>74</v>
      </c>
      <c r="AI685" s="2" t="s">
        <v>74</v>
      </c>
      <c r="AJ685" s="2" t="s">
        <v>74</v>
      </c>
      <c r="AK685" s="2" t="s">
        <v>74</v>
      </c>
      <c r="AL685" s="2" t="s">
        <v>74</v>
      </c>
      <c r="AM685" s="2" t="s">
        <v>74</v>
      </c>
      <c r="AN685" s="2" t="s">
        <v>74</v>
      </c>
      <c r="AO685" s="2" t="s">
        <v>132</v>
      </c>
      <c r="AP685" s="2" t="s">
        <v>74</v>
      </c>
      <c r="AQ685" s="2" t="s">
        <v>74</v>
      </c>
      <c r="AR685" s="2" t="s">
        <v>74</v>
      </c>
      <c r="AS685" s="2" t="s">
        <v>74</v>
      </c>
      <c r="AT685" s="2" t="s">
        <v>145</v>
      </c>
      <c r="AU685" s="2">
        <v>2003</v>
      </c>
      <c r="AV685" s="2">
        <v>54</v>
      </c>
      <c r="AW685" s="2">
        <v>3</v>
      </c>
      <c r="AX685" s="2" t="s">
        <v>74</v>
      </c>
      <c r="AY685" s="2" t="s">
        <v>74</v>
      </c>
      <c r="AZ685" s="2" t="s">
        <v>74</v>
      </c>
      <c r="BA685" s="2" t="s">
        <v>74</v>
      </c>
      <c r="BB685" s="2">
        <v>218</v>
      </c>
      <c r="BC685" s="2">
        <v>224</v>
      </c>
      <c r="BD685" s="2" t="s">
        <v>74</v>
      </c>
      <c r="BE685" s="2" t="s">
        <v>5605</v>
      </c>
      <c r="BF685" s="2" t="str">
        <f>HYPERLINK("http://dx.doi.org/10.1007/s00265-003-0623-2","http://dx.doi.org/10.1007/s00265-003-0623-2")</f>
        <v>http://dx.doi.org/10.1007/s00265-003-0623-2</v>
      </c>
      <c r="BG685" s="2" t="s">
        <v>74</v>
      </c>
      <c r="BH685" s="2" t="s">
        <v>74</v>
      </c>
      <c r="BI685" s="2" t="s">
        <v>74</v>
      </c>
      <c r="BJ685" s="2" t="s">
        <v>74</v>
      </c>
      <c r="BK685" s="2" t="s">
        <v>74</v>
      </c>
      <c r="BL685" s="2" t="s">
        <v>74</v>
      </c>
      <c r="BM685" s="2" t="s">
        <v>74</v>
      </c>
      <c r="BN685" s="2" t="s">
        <v>74</v>
      </c>
      <c r="BO685" s="2" t="s">
        <v>74</v>
      </c>
      <c r="BP685" s="2" t="s">
        <v>74</v>
      </c>
      <c r="BQ685" s="2" t="s">
        <v>74</v>
      </c>
      <c r="BR685" s="2" t="s">
        <v>74</v>
      </c>
      <c r="BS685" s="2" t="s">
        <v>5606</v>
      </c>
      <c r="BT685" s="2" t="str">
        <f>HYPERLINK("https%3A%2F%2Fwww.webofscience.com%2Fwos%2Fwoscc%2Ffull-record%2FWOS:000184754900003","View Full Record in Web of Science")</f>
        <v>View Full Record in Web of Science</v>
      </c>
    </row>
    <row r="686" spans="1:72" s="2" customFormat="1" x14ac:dyDescent="0.4">
      <c r="A686" s="2" t="s">
        <v>72</v>
      </c>
      <c r="B686" s="2" t="s">
        <v>1930</v>
      </c>
      <c r="C686" s="2" t="s">
        <v>74</v>
      </c>
      <c r="D686" s="2" t="s">
        <v>74</v>
      </c>
      <c r="E686" s="2" t="s">
        <v>74</v>
      </c>
      <c r="F686" s="2" t="s">
        <v>1930</v>
      </c>
      <c r="G686" s="2" t="s">
        <v>74</v>
      </c>
      <c r="H686" s="2" t="s">
        <v>74</v>
      </c>
      <c r="I686" s="2" t="s">
        <v>7276</v>
      </c>
      <c r="J686" s="2" t="s">
        <v>610</v>
      </c>
      <c r="K686" s="2" t="s">
        <v>74</v>
      </c>
      <c r="L686" s="2" t="s">
        <v>74</v>
      </c>
      <c r="M686" s="2" t="s">
        <v>74</v>
      </c>
      <c r="N686" s="2" t="s">
        <v>74</v>
      </c>
      <c r="O686" s="2" t="s">
        <v>74</v>
      </c>
      <c r="P686" s="2" t="s">
        <v>74</v>
      </c>
      <c r="Q686" s="2" t="s">
        <v>74</v>
      </c>
      <c r="R686" s="2" t="s">
        <v>74</v>
      </c>
      <c r="S686" s="2" t="s">
        <v>74</v>
      </c>
      <c r="T686" s="2" t="s">
        <v>74</v>
      </c>
      <c r="U686" s="2" t="s">
        <v>74</v>
      </c>
      <c r="V686" s="5" t="s">
        <v>7277</v>
      </c>
      <c r="W686" s="2" t="s">
        <v>74</v>
      </c>
      <c r="X686" s="2" t="s">
        <v>74</v>
      </c>
      <c r="Y686" s="2" t="s">
        <v>74</v>
      </c>
      <c r="Z686" s="2" t="s">
        <v>74</v>
      </c>
      <c r="AA686" s="2" t="s">
        <v>1933</v>
      </c>
      <c r="AB686" s="2" t="s">
        <v>1934</v>
      </c>
      <c r="AC686" s="2" t="s">
        <v>74</v>
      </c>
      <c r="AD686" s="2" t="s">
        <v>74</v>
      </c>
      <c r="AE686" s="2" t="s">
        <v>74</v>
      </c>
      <c r="AF686" s="2" t="s">
        <v>74</v>
      </c>
      <c r="AG686" s="2" t="s">
        <v>74</v>
      </c>
      <c r="AH686" s="2" t="s">
        <v>74</v>
      </c>
      <c r="AI686" s="2" t="s">
        <v>74</v>
      </c>
      <c r="AJ686" s="2" t="s">
        <v>74</v>
      </c>
      <c r="AK686" s="2" t="s">
        <v>74</v>
      </c>
      <c r="AL686" s="2" t="s">
        <v>74</v>
      </c>
      <c r="AM686" s="2" t="s">
        <v>74</v>
      </c>
      <c r="AN686" s="2" t="s">
        <v>74</v>
      </c>
      <c r="AO686" s="2" t="s">
        <v>614</v>
      </c>
      <c r="AP686" s="2" t="s">
        <v>615</v>
      </c>
      <c r="AQ686" s="2" t="s">
        <v>74</v>
      </c>
      <c r="AR686" s="2" t="s">
        <v>74</v>
      </c>
      <c r="AS686" s="2" t="s">
        <v>74</v>
      </c>
      <c r="AT686" s="2" t="s">
        <v>204</v>
      </c>
      <c r="AU686" s="2">
        <v>2004</v>
      </c>
      <c r="AV686" s="2">
        <v>110</v>
      </c>
      <c r="AW686" s="2">
        <v>7</v>
      </c>
      <c r="AX686" s="2" t="s">
        <v>74</v>
      </c>
      <c r="AY686" s="2" t="s">
        <v>74</v>
      </c>
      <c r="AZ686" s="2" t="s">
        <v>74</v>
      </c>
      <c r="BA686" s="2" t="s">
        <v>74</v>
      </c>
      <c r="BB686" s="2">
        <v>543</v>
      </c>
      <c r="BC686" s="2">
        <v>561</v>
      </c>
      <c r="BD686" s="2" t="s">
        <v>74</v>
      </c>
      <c r="BE686" s="2" t="s">
        <v>7278</v>
      </c>
      <c r="BF686" s="2" t="str">
        <f>HYPERLINK("http://dx.doi.org/10.1111/j.1439-0310.2004.00996.x","http://dx.doi.org/10.1111/j.1439-0310.2004.00996.x")</f>
        <v>http://dx.doi.org/10.1111/j.1439-0310.2004.00996.x</v>
      </c>
      <c r="BG686" s="2" t="s">
        <v>74</v>
      </c>
      <c r="BH686" s="2" t="s">
        <v>74</v>
      </c>
      <c r="BI686" s="2" t="s">
        <v>74</v>
      </c>
      <c r="BJ686" s="2" t="s">
        <v>74</v>
      </c>
      <c r="BK686" s="2" t="s">
        <v>74</v>
      </c>
      <c r="BL686" s="2" t="s">
        <v>74</v>
      </c>
      <c r="BM686" s="2" t="s">
        <v>74</v>
      </c>
      <c r="BN686" s="2" t="s">
        <v>74</v>
      </c>
      <c r="BO686" s="2" t="s">
        <v>74</v>
      </c>
      <c r="BP686" s="2" t="s">
        <v>74</v>
      </c>
      <c r="BQ686" s="2" t="s">
        <v>74</v>
      </c>
      <c r="BR686" s="2" t="s">
        <v>74</v>
      </c>
      <c r="BS686" s="2" t="s">
        <v>7279</v>
      </c>
      <c r="BT686" s="2" t="str">
        <f>HYPERLINK("https%3A%2F%2Fwww.webofscience.com%2Fwos%2Fwoscc%2Ffull-record%2FWOS:000222483900004","View Full Record in Web of Science")</f>
        <v>View Full Record in Web of Science</v>
      </c>
    </row>
    <row r="687" spans="1:72" s="2" customFormat="1" x14ac:dyDescent="0.4">
      <c r="A687" s="2" t="s">
        <v>72</v>
      </c>
      <c r="B687" s="2" t="s">
        <v>249</v>
      </c>
      <c r="C687" s="2" t="s">
        <v>74</v>
      </c>
      <c r="D687" s="2" t="s">
        <v>74</v>
      </c>
      <c r="E687" s="2" t="s">
        <v>74</v>
      </c>
      <c r="F687" s="2" t="s">
        <v>250</v>
      </c>
      <c r="G687" s="2" t="s">
        <v>74</v>
      </c>
      <c r="H687" s="2" t="s">
        <v>74</v>
      </c>
      <c r="I687" s="2" t="s">
        <v>251</v>
      </c>
      <c r="J687" s="2" t="s">
        <v>129</v>
      </c>
      <c r="K687" s="2" t="s">
        <v>74</v>
      </c>
      <c r="L687" s="2" t="s">
        <v>74</v>
      </c>
      <c r="M687" s="2" t="s">
        <v>74</v>
      </c>
      <c r="N687" s="2" t="s">
        <v>74</v>
      </c>
      <c r="O687" s="2" t="s">
        <v>74</v>
      </c>
      <c r="P687" s="2" t="s">
        <v>74</v>
      </c>
      <c r="Q687" s="2" t="s">
        <v>74</v>
      </c>
      <c r="R687" s="2" t="s">
        <v>74</v>
      </c>
      <c r="S687" s="2" t="s">
        <v>74</v>
      </c>
      <c r="T687" s="2" t="s">
        <v>74</v>
      </c>
      <c r="U687" s="2" t="s">
        <v>74</v>
      </c>
      <c r="V687" s="5" t="s">
        <v>252</v>
      </c>
      <c r="W687" s="2" t="s">
        <v>74</v>
      </c>
      <c r="X687" s="2" t="s">
        <v>74</v>
      </c>
      <c r="Y687" s="2" t="s">
        <v>74</v>
      </c>
      <c r="Z687" s="2" t="s">
        <v>74</v>
      </c>
      <c r="AA687" s="2" t="s">
        <v>253</v>
      </c>
      <c r="AB687" s="2" t="s">
        <v>254</v>
      </c>
      <c r="AC687" s="2" t="s">
        <v>74</v>
      </c>
      <c r="AD687" s="2" t="s">
        <v>74</v>
      </c>
      <c r="AE687" s="2" t="s">
        <v>74</v>
      </c>
      <c r="AF687" s="2" t="s">
        <v>74</v>
      </c>
      <c r="AG687" s="2" t="s">
        <v>74</v>
      </c>
      <c r="AH687" s="2" t="s">
        <v>74</v>
      </c>
      <c r="AI687" s="2" t="s">
        <v>74</v>
      </c>
      <c r="AJ687" s="2" t="s">
        <v>74</v>
      </c>
      <c r="AK687" s="2" t="s">
        <v>74</v>
      </c>
      <c r="AL687" s="2" t="s">
        <v>74</v>
      </c>
      <c r="AM687" s="2" t="s">
        <v>74</v>
      </c>
      <c r="AN687" s="2" t="s">
        <v>74</v>
      </c>
      <c r="AO687" s="2" t="s">
        <v>132</v>
      </c>
      <c r="AP687" s="2" t="s">
        <v>133</v>
      </c>
      <c r="AQ687" s="2" t="s">
        <v>74</v>
      </c>
      <c r="AR687" s="2" t="s">
        <v>74</v>
      </c>
      <c r="AS687" s="2" t="s">
        <v>74</v>
      </c>
      <c r="AT687" s="2" t="s">
        <v>255</v>
      </c>
      <c r="AU687" s="2">
        <v>2010</v>
      </c>
      <c r="AV687" s="2">
        <v>64</v>
      </c>
      <c r="AW687" s="2">
        <v>3</v>
      </c>
      <c r="AX687" s="2" t="s">
        <v>74</v>
      </c>
      <c r="AY687" s="2" t="s">
        <v>74</v>
      </c>
      <c r="AZ687" s="2" t="s">
        <v>74</v>
      </c>
      <c r="BA687" s="2" t="s">
        <v>74</v>
      </c>
      <c r="BB687" s="2">
        <v>317</v>
      </c>
      <c r="BC687" s="2">
        <v>324</v>
      </c>
      <c r="BD687" s="2" t="s">
        <v>74</v>
      </c>
      <c r="BE687" s="2" t="s">
        <v>256</v>
      </c>
      <c r="BF687" s="2" t="str">
        <f>HYPERLINK("http://dx.doi.org/10.1007/s00265-009-0811-9","http://dx.doi.org/10.1007/s00265-009-0811-9")</f>
        <v>http://dx.doi.org/10.1007/s00265-009-0811-9</v>
      </c>
      <c r="BG687" s="2" t="s">
        <v>74</v>
      </c>
      <c r="BH687" s="2" t="s">
        <v>74</v>
      </c>
      <c r="BI687" s="2" t="s">
        <v>74</v>
      </c>
      <c r="BJ687" s="2" t="s">
        <v>74</v>
      </c>
      <c r="BK687" s="2" t="s">
        <v>74</v>
      </c>
      <c r="BL687" s="2" t="s">
        <v>74</v>
      </c>
      <c r="BM687" s="2" t="s">
        <v>74</v>
      </c>
      <c r="BN687" s="2" t="s">
        <v>74</v>
      </c>
      <c r="BO687" s="2" t="s">
        <v>74</v>
      </c>
      <c r="BP687" s="2" t="s">
        <v>74</v>
      </c>
      <c r="BQ687" s="2" t="s">
        <v>74</v>
      </c>
      <c r="BR687" s="2" t="s">
        <v>74</v>
      </c>
      <c r="BS687" s="2" t="s">
        <v>257</v>
      </c>
      <c r="BT687" s="2" t="str">
        <f>HYPERLINK("https%3A%2F%2Fwww.webofscience.com%2Fwos%2Fwoscc%2Ffull-record%2FWOS:000274433500002","View Full Record in Web of Science")</f>
        <v>View Full Record in Web of Science</v>
      </c>
    </row>
    <row r="688" spans="1:72" s="2" customFormat="1" x14ac:dyDescent="0.4">
      <c r="A688" s="2" t="s">
        <v>72</v>
      </c>
      <c r="B688" s="2" t="s">
        <v>5272</v>
      </c>
      <c r="C688" s="2" t="s">
        <v>74</v>
      </c>
      <c r="D688" s="2" t="s">
        <v>74</v>
      </c>
      <c r="E688" s="2" t="s">
        <v>74</v>
      </c>
      <c r="F688" s="2" t="s">
        <v>5273</v>
      </c>
      <c r="G688" s="2" t="s">
        <v>74</v>
      </c>
      <c r="H688" s="2" t="s">
        <v>74</v>
      </c>
      <c r="I688" s="2" t="s">
        <v>5274</v>
      </c>
      <c r="J688" s="2" t="s">
        <v>1656</v>
      </c>
      <c r="K688" s="2" t="s">
        <v>74</v>
      </c>
      <c r="L688" s="2" t="s">
        <v>74</v>
      </c>
      <c r="M688" s="2" t="s">
        <v>74</v>
      </c>
      <c r="N688" s="2" t="s">
        <v>74</v>
      </c>
      <c r="O688" s="2" t="s">
        <v>74</v>
      </c>
      <c r="P688" s="2" t="s">
        <v>74</v>
      </c>
      <c r="Q688" s="2" t="s">
        <v>74</v>
      </c>
      <c r="R688" s="2" t="s">
        <v>74</v>
      </c>
      <c r="S688" s="2" t="s">
        <v>74</v>
      </c>
      <c r="T688" s="2" t="s">
        <v>74</v>
      </c>
      <c r="U688" s="2" t="s">
        <v>74</v>
      </c>
      <c r="V688" s="5" t="s">
        <v>5275</v>
      </c>
      <c r="W688" s="2" t="s">
        <v>74</v>
      </c>
      <c r="X688" s="2" t="s">
        <v>74</v>
      </c>
      <c r="Y688" s="2" t="s">
        <v>74</v>
      </c>
      <c r="Z688" s="2" t="s">
        <v>74</v>
      </c>
      <c r="AA688" s="2" t="s">
        <v>5276</v>
      </c>
      <c r="AB688" s="2" t="s">
        <v>5277</v>
      </c>
      <c r="AC688" s="2" t="s">
        <v>74</v>
      </c>
      <c r="AD688" s="2" t="s">
        <v>74</v>
      </c>
      <c r="AE688" s="2" t="s">
        <v>74</v>
      </c>
      <c r="AF688" s="2" t="s">
        <v>74</v>
      </c>
      <c r="AG688" s="2" t="s">
        <v>74</v>
      </c>
      <c r="AH688" s="2" t="s">
        <v>74</v>
      </c>
      <c r="AI688" s="2" t="s">
        <v>74</v>
      </c>
      <c r="AJ688" s="2" t="s">
        <v>74</v>
      </c>
      <c r="AK688" s="2" t="s">
        <v>74</v>
      </c>
      <c r="AL688" s="2" t="s">
        <v>74</v>
      </c>
      <c r="AM688" s="2" t="s">
        <v>74</v>
      </c>
      <c r="AN688" s="2" t="s">
        <v>74</v>
      </c>
      <c r="AO688" s="2" t="s">
        <v>1658</v>
      </c>
      <c r="AP688" s="2" t="s">
        <v>1659</v>
      </c>
      <c r="AQ688" s="2" t="s">
        <v>74</v>
      </c>
      <c r="AR688" s="2" t="s">
        <v>74</v>
      </c>
      <c r="AS688" s="2" t="s">
        <v>74</v>
      </c>
      <c r="AT688" s="2" t="s">
        <v>5278</v>
      </c>
      <c r="AU688" s="2">
        <v>2013</v>
      </c>
      <c r="AV688" s="2">
        <v>3664</v>
      </c>
      <c r="AW688" s="2">
        <v>4</v>
      </c>
      <c r="AX688" s="2" t="s">
        <v>74</v>
      </c>
      <c r="AY688" s="2" t="s">
        <v>74</v>
      </c>
      <c r="AZ688" s="2" t="s">
        <v>74</v>
      </c>
      <c r="BA688" s="2" t="s">
        <v>74</v>
      </c>
      <c r="BB688" s="2">
        <v>505</v>
      </c>
      <c r="BC688" s="2">
        <v>524</v>
      </c>
      <c r="BD688" s="2" t="s">
        <v>74</v>
      </c>
      <c r="BE688" s="2" t="s">
        <v>5279</v>
      </c>
      <c r="BF688" s="2" t="str">
        <f>HYPERLINK("http://dx.doi.org/10.11646/zootaxa.3664.4.5","http://dx.doi.org/10.11646/zootaxa.3664.4.5")</f>
        <v>http://dx.doi.org/10.11646/zootaxa.3664.4.5</v>
      </c>
      <c r="BG688" s="2" t="s">
        <v>74</v>
      </c>
      <c r="BH688" s="2" t="s">
        <v>74</v>
      </c>
      <c r="BI688" s="2" t="s">
        <v>74</v>
      </c>
      <c r="BJ688" s="2" t="s">
        <v>74</v>
      </c>
      <c r="BK688" s="2" t="s">
        <v>74</v>
      </c>
      <c r="BL688" s="2" t="s">
        <v>74</v>
      </c>
      <c r="BM688" s="2" t="s">
        <v>74</v>
      </c>
      <c r="BN688" s="2">
        <v>26266316</v>
      </c>
      <c r="BO688" s="2" t="s">
        <v>74</v>
      </c>
      <c r="BP688" s="2" t="s">
        <v>74</v>
      </c>
      <c r="BQ688" s="2" t="s">
        <v>74</v>
      </c>
      <c r="BR688" s="2" t="s">
        <v>74</v>
      </c>
      <c r="BS688" s="2" t="s">
        <v>5280</v>
      </c>
      <c r="BT688" s="2" t="str">
        <f>HYPERLINK("https%3A%2F%2Fwww.webofscience.com%2Fwos%2Fwoscc%2Ffull-record%2FWOS:000319727800005","View Full Record in Web of Science")</f>
        <v>View Full Record in Web of Science</v>
      </c>
    </row>
    <row r="689" spans="1:72" s="1" customFormat="1" x14ac:dyDescent="0.4">
      <c r="A689" s="2" t="s">
        <v>72</v>
      </c>
      <c r="B689" s="2" t="s">
        <v>5499</v>
      </c>
      <c r="C689" s="2" t="s">
        <v>74</v>
      </c>
      <c r="D689" s="2" t="s">
        <v>74</v>
      </c>
      <c r="E689" s="2" t="s">
        <v>74</v>
      </c>
      <c r="F689" s="2" t="s">
        <v>5499</v>
      </c>
      <c r="G689" s="2" t="s">
        <v>74</v>
      </c>
      <c r="H689" s="2" t="s">
        <v>74</v>
      </c>
      <c r="I689" s="2" t="s">
        <v>5500</v>
      </c>
      <c r="J689" s="2" t="s">
        <v>140</v>
      </c>
      <c r="K689" s="2" t="s">
        <v>74</v>
      </c>
      <c r="L689" s="2" t="s">
        <v>74</v>
      </c>
      <c r="M689" s="2" t="s">
        <v>74</v>
      </c>
      <c r="N689" s="2" t="s">
        <v>74</v>
      </c>
      <c r="O689" s="2" t="s">
        <v>74</v>
      </c>
      <c r="P689" s="2" t="s">
        <v>74</v>
      </c>
      <c r="Q689" s="2" t="s">
        <v>74</v>
      </c>
      <c r="R689" s="2" t="s">
        <v>74</v>
      </c>
      <c r="S689" s="2" t="s">
        <v>74</v>
      </c>
      <c r="T689" s="2" t="s">
        <v>74</v>
      </c>
      <c r="U689" s="2" t="s">
        <v>74</v>
      </c>
      <c r="V689" s="5" t="s">
        <v>5501</v>
      </c>
      <c r="W689" s="2" t="s">
        <v>74</v>
      </c>
      <c r="X689" s="2" t="s">
        <v>74</v>
      </c>
      <c r="Y689" s="2" t="s">
        <v>74</v>
      </c>
      <c r="Z689" s="2" t="s">
        <v>74</v>
      </c>
      <c r="AA689" s="2" t="s">
        <v>74</v>
      </c>
      <c r="AB689" s="2" t="s">
        <v>74</v>
      </c>
      <c r="AC689" s="2" t="s">
        <v>74</v>
      </c>
      <c r="AD689" s="2" t="s">
        <v>74</v>
      </c>
      <c r="AE689" s="2" t="s">
        <v>74</v>
      </c>
      <c r="AF689" s="2" t="s">
        <v>74</v>
      </c>
      <c r="AG689" s="2" t="s">
        <v>74</v>
      </c>
      <c r="AH689" s="2" t="s">
        <v>74</v>
      </c>
      <c r="AI689" s="2" t="s">
        <v>74</v>
      </c>
      <c r="AJ689" s="2" t="s">
        <v>74</v>
      </c>
      <c r="AK689" s="2" t="s">
        <v>74</v>
      </c>
      <c r="AL689" s="2" t="s">
        <v>74</v>
      </c>
      <c r="AM689" s="2" t="s">
        <v>74</v>
      </c>
      <c r="AN689" s="2" t="s">
        <v>74</v>
      </c>
      <c r="AO689" s="2" t="s">
        <v>143</v>
      </c>
      <c r="AP689" s="2" t="s">
        <v>144</v>
      </c>
      <c r="AQ689" s="2" t="s">
        <v>74</v>
      </c>
      <c r="AR689" s="2" t="s">
        <v>74</v>
      </c>
      <c r="AS689" s="2" t="s">
        <v>74</v>
      </c>
      <c r="AT689" s="2" t="s">
        <v>145</v>
      </c>
      <c r="AU689" s="2">
        <v>2003</v>
      </c>
      <c r="AV689" s="2">
        <v>66</v>
      </c>
      <c r="AW689" s="2" t="s">
        <v>74</v>
      </c>
      <c r="AX689" s="2">
        <v>2</v>
      </c>
      <c r="AY689" s="2" t="s">
        <v>74</v>
      </c>
      <c r="AZ689" s="2" t="s">
        <v>74</v>
      </c>
      <c r="BA689" s="2" t="s">
        <v>74</v>
      </c>
      <c r="BB689" s="2">
        <v>299</v>
      </c>
      <c r="BC689" s="2">
        <v>307</v>
      </c>
      <c r="BD689" s="2" t="s">
        <v>74</v>
      </c>
      <c r="BE689" s="2" t="s">
        <v>5502</v>
      </c>
      <c r="BF689" s="2" t="str">
        <f>HYPERLINK("http://dx.doi.org/10.1006/anbe.2003.2214","http://dx.doi.org/10.1006/anbe.2003.2214")</f>
        <v>http://dx.doi.org/10.1006/anbe.2003.2214</v>
      </c>
      <c r="BG689" s="2" t="s">
        <v>74</v>
      </c>
      <c r="BH689" s="2" t="s">
        <v>74</v>
      </c>
      <c r="BI689" s="2" t="s">
        <v>74</v>
      </c>
      <c r="BJ689" s="2" t="s">
        <v>74</v>
      </c>
      <c r="BK689" s="2" t="s">
        <v>74</v>
      </c>
      <c r="BL689" s="2" t="s">
        <v>74</v>
      </c>
      <c r="BM689" s="2" t="s">
        <v>74</v>
      </c>
      <c r="BN689" s="2" t="s">
        <v>74</v>
      </c>
      <c r="BO689" s="2" t="s">
        <v>74</v>
      </c>
      <c r="BP689" s="2" t="s">
        <v>74</v>
      </c>
      <c r="BQ689" s="2" t="s">
        <v>74</v>
      </c>
      <c r="BR689" s="2" t="s">
        <v>74</v>
      </c>
      <c r="BS689" s="2" t="s">
        <v>5503</v>
      </c>
      <c r="BT689" s="2" t="str">
        <f>HYPERLINK("https%3A%2F%2Fwww.webofscience.com%2Fwos%2Fwoscc%2Ffull-record%2FWOS:000184899600013","View Full Record in Web of Science")</f>
        <v>View Full Record in Web of Science</v>
      </c>
    </row>
    <row r="690" spans="1:72" s="1" customFormat="1" x14ac:dyDescent="0.4">
      <c r="A690" s="2" t="s">
        <v>72</v>
      </c>
      <c r="B690" s="2" t="s">
        <v>2025</v>
      </c>
      <c r="C690" s="2" t="s">
        <v>74</v>
      </c>
      <c r="D690" s="2" t="s">
        <v>74</v>
      </c>
      <c r="E690" s="2" t="s">
        <v>74</v>
      </c>
      <c r="F690" s="2" t="s">
        <v>2025</v>
      </c>
      <c r="G690" s="2" t="s">
        <v>74</v>
      </c>
      <c r="H690" s="2" t="s">
        <v>74</v>
      </c>
      <c r="I690" s="2" t="s">
        <v>2026</v>
      </c>
      <c r="J690" s="2" t="s">
        <v>1126</v>
      </c>
      <c r="K690" s="2" t="s">
        <v>74</v>
      </c>
      <c r="L690" s="2" t="s">
        <v>74</v>
      </c>
      <c r="M690" s="2" t="s">
        <v>74</v>
      </c>
      <c r="N690" s="2" t="s">
        <v>74</v>
      </c>
      <c r="O690" s="2" t="s">
        <v>74</v>
      </c>
      <c r="P690" s="2" t="s">
        <v>74</v>
      </c>
      <c r="Q690" s="2" t="s">
        <v>74</v>
      </c>
      <c r="R690" s="2" t="s">
        <v>74</v>
      </c>
      <c r="S690" s="2" t="s">
        <v>74</v>
      </c>
      <c r="T690" s="2" t="s">
        <v>74</v>
      </c>
      <c r="U690" s="2" t="s">
        <v>74</v>
      </c>
      <c r="V690" s="5" t="s">
        <v>2027</v>
      </c>
      <c r="W690" s="2" t="s">
        <v>74</v>
      </c>
      <c r="X690" s="2" t="s">
        <v>74</v>
      </c>
      <c r="Y690" s="2" t="s">
        <v>74</v>
      </c>
      <c r="Z690" s="2" t="s">
        <v>74</v>
      </c>
      <c r="AA690" s="2" t="s">
        <v>74</v>
      </c>
      <c r="AB690" s="2" t="s">
        <v>74</v>
      </c>
      <c r="AC690" s="2" t="s">
        <v>74</v>
      </c>
      <c r="AD690" s="2" t="s">
        <v>74</v>
      </c>
      <c r="AE690" s="2" t="s">
        <v>74</v>
      </c>
      <c r="AF690" s="2" t="s">
        <v>74</v>
      </c>
      <c r="AG690" s="2" t="s">
        <v>74</v>
      </c>
      <c r="AH690" s="2" t="s">
        <v>74</v>
      </c>
      <c r="AI690" s="2" t="s">
        <v>74</v>
      </c>
      <c r="AJ690" s="2" t="s">
        <v>74</v>
      </c>
      <c r="AK690" s="2" t="s">
        <v>74</v>
      </c>
      <c r="AL690" s="2" t="s">
        <v>74</v>
      </c>
      <c r="AM690" s="2" t="s">
        <v>74</v>
      </c>
      <c r="AN690" s="2" t="s">
        <v>74</v>
      </c>
      <c r="AO690" s="2" t="s">
        <v>1128</v>
      </c>
      <c r="AP690" s="2" t="s">
        <v>1129</v>
      </c>
      <c r="AQ690" s="2" t="s">
        <v>74</v>
      </c>
      <c r="AR690" s="2" t="s">
        <v>74</v>
      </c>
      <c r="AS690" s="2" t="s">
        <v>74</v>
      </c>
      <c r="AT690" s="2" t="s">
        <v>2028</v>
      </c>
      <c r="AU690" s="2">
        <v>1985</v>
      </c>
      <c r="AV690" s="2" t="s">
        <v>74</v>
      </c>
      <c r="AW690" s="2">
        <v>4</v>
      </c>
      <c r="AX690" s="2" t="s">
        <v>74</v>
      </c>
      <c r="AY690" s="2" t="s">
        <v>74</v>
      </c>
      <c r="AZ690" s="2" t="s">
        <v>74</v>
      </c>
      <c r="BA690" s="2" t="s">
        <v>74</v>
      </c>
      <c r="BB690" s="2">
        <v>905</v>
      </c>
      <c r="BC690" s="2">
        <v>910</v>
      </c>
      <c r="BD690" s="2" t="s">
        <v>74</v>
      </c>
      <c r="BE690" s="2" t="s">
        <v>2029</v>
      </c>
      <c r="BF690" s="2" t="str">
        <f>HYPERLINK("http://dx.doi.org/10.2307/1445240","http://dx.doi.org/10.2307/1445240")</f>
        <v>http://dx.doi.org/10.2307/1445240</v>
      </c>
      <c r="BG690" s="2" t="s">
        <v>74</v>
      </c>
      <c r="BH690" s="2" t="s">
        <v>74</v>
      </c>
      <c r="BI690" s="2" t="s">
        <v>74</v>
      </c>
      <c r="BJ690" s="2" t="s">
        <v>74</v>
      </c>
      <c r="BK690" s="2" t="s">
        <v>74</v>
      </c>
      <c r="BL690" s="2" t="s">
        <v>74</v>
      </c>
      <c r="BM690" s="2" t="s">
        <v>74</v>
      </c>
      <c r="BN690" s="2" t="s">
        <v>74</v>
      </c>
      <c r="BO690" s="2" t="s">
        <v>74</v>
      </c>
      <c r="BP690" s="2" t="s">
        <v>74</v>
      </c>
      <c r="BQ690" s="2" t="s">
        <v>74</v>
      </c>
      <c r="BR690" s="2" t="s">
        <v>74</v>
      </c>
      <c r="BS690" s="2" t="s">
        <v>2030</v>
      </c>
      <c r="BT690" s="2" t="str">
        <f>HYPERLINK("https%3A%2F%2Fwww.webofscience.com%2Fwos%2Fwoscc%2Ffull-record%2FWOS:A1985AXC0800010","View Full Record in Web of Science")</f>
        <v>View Full Record in Web of Science</v>
      </c>
    </row>
    <row r="691" spans="1:72" s="2" customFormat="1" x14ac:dyDescent="0.4">
      <c r="A691" s="2" t="s">
        <v>72</v>
      </c>
      <c r="B691" s="2" t="s">
        <v>1381</v>
      </c>
      <c r="C691" s="2" t="s">
        <v>74</v>
      </c>
      <c r="D691" s="2" t="s">
        <v>74</v>
      </c>
      <c r="E691" s="2" t="s">
        <v>74</v>
      </c>
      <c r="F691" s="2" t="s">
        <v>1382</v>
      </c>
      <c r="G691" s="2" t="s">
        <v>74</v>
      </c>
      <c r="H691" s="2" t="s">
        <v>74</v>
      </c>
      <c r="I691" s="2" t="s">
        <v>1383</v>
      </c>
      <c r="J691" s="2" t="s">
        <v>1384</v>
      </c>
      <c r="K691" s="2" t="s">
        <v>74</v>
      </c>
      <c r="L691" s="2" t="s">
        <v>74</v>
      </c>
      <c r="M691" s="2" t="s">
        <v>74</v>
      </c>
      <c r="N691" s="2" t="s">
        <v>74</v>
      </c>
      <c r="O691" s="2" t="s">
        <v>74</v>
      </c>
      <c r="P691" s="2" t="s">
        <v>74</v>
      </c>
      <c r="Q691" s="2" t="s">
        <v>74</v>
      </c>
      <c r="R691" s="2" t="s">
        <v>74</v>
      </c>
      <c r="S691" s="2" t="s">
        <v>74</v>
      </c>
      <c r="T691" s="2" t="s">
        <v>74</v>
      </c>
      <c r="U691" s="2" t="s">
        <v>74</v>
      </c>
      <c r="V691" s="5" t="s">
        <v>1385</v>
      </c>
      <c r="W691" s="2" t="s">
        <v>74</v>
      </c>
      <c r="X691" s="2" t="s">
        <v>74</v>
      </c>
      <c r="Y691" s="2" t="s">
        <v>74</v>
      </c>
      <c r="Z691" s="2" t="s">
        <v>74</v>
      </c>
      <c r="AA691" s="2" t="s">
        <v>1386</v>
      </c>
      <c r="AB691" s="2" t="s">
        <v>1387</v>
      </c>
      <c r="AC691" s="2" t="s">
        <v>74</v>
      </c>
      <c r="AD691" s="2" t="s">
        <v>74</v>
      </c>
      <c r="AE691" s="2" t="s">
        <v>74</v>
      </c>
      <c r="AF691" s="2" t="s">
        <v>74</v>
      </c>
      <c r="AG691" s="2" t="s">
        <v>74</v>
      </c>
      <c r="AH691" s="2" t="s">
        <v>74</v>
      </c>
      <c r="AI691" s="2" t="s">
        <v>74</v>
      </c>
      <c r="AJ691" s="2" t="s">
        <v>74</v>
      </c>
      <c r="AK691" s="2" t="s">
        <v>74</v>
      </c>
      <c r="AL691" s="2" t="s">
        <v>74</v>
      </c>
      <c r="AM691" s="2" t="s">
        <v>74</v>
      </c>
      <c r="AN691" s="2" t="s">
        <v>74</v>
      </c>
      <c r="AO691" s="2" t="s">
        <v>1388</v>
      </c>
      <c r="AP691" s="2" t="s">
        <v>1389</v>
      </c>
      <c r="AQ691" s="2" t="s">
        <v>74</v>
      </c>
      <c r="AR691" s="2" t="s">
        <v>74</v>
      </c>
      <c r="AS691" s="2" t="s">
        <v>74</v>
      </c>
      <c r="AT691" s="2" t="s">
        <v>175</v>
      </c>
      <c r="AU691" s="2">
        <v>2023</v>
      </c>
      <c r="AV691" s="2">
        <v>165</v>
      </c>
      <c r="AW691" s="2">
        <v>4</v>
      </c>
      <c r="AX691" s="2" t="s">
        <v>74</v>
      </c>
      <c r="AY691" s="2" t="s">
        <v>74</v>
      </c>
      <c r="AZ691" s="2" t="s">
        <v>74</v>
      </c>
      <c r="BA691" s="2" t="s">
        <v>74</v>
      </c>
      <c r="BB691" s="2">
        <v>1359</v>
      </c>
      <c r="BC691" s="2">
        <v>1367</v>
      </c>
      <c r="BD691" s="2" t="s">
        <v>74</v>
      </c>
      <c r="BE691" s="2" t="s">
        <v>1390</v>
      </c>
      <c r="BF691" s="2" t="str">
        <f>HYPERLINK("http://dx.doi.org/10.1111/ibi.13219","http://dx.doi.org/10.1111/ibi.13219")</f>
        <v>http://dx.doi.org/10.1111/ibi.13219</v>
      </c>
      <c r="BG691" s="2" t="s">
        <v>74</v>
      </c>
      <c r="BH691" s="2" t="s">
        <v>1391</v>
      </c>
      <c r="BI691" s="2" t="s">
        <v>74</v>
      </c>
      <c r="BJ691" s="2" t="s">
        <v>74</v>
      </c>
      <c r="BK691" s="2" t="s">
        <v>74</v>
      </c>
      <c r="BL691" s="2" t="s">
        <v>74</v>
      </c>
      <c r="BM691" s="2" t="s">
        <v>74</v>
      </c>
      <c r="BN691" s="2" t="s">
        <v>74</v>
      </c>
      <c r="BO691" s="2" t="s">
        <v>74</v>
      </c>
      <c r="BP691" s="2" t="s">
        <v>74</v>
      </c>
      <c r="BQ691" s="2" t="s">
        <v>74</v>
      </c>
      <c r="BR691" s="2" t="s">
        <v>74</v>
      </c>
      <c r="BS691" s="2" t="s">
        <v>1392</v>
      </c>
      <c r="BT691" s="2" t="str">
        <f>HYPERLINK("https%3A%2F%2Fwww.webofscience.com%2Fwos%2Fwoscc%2Ffull-record%2FWOS:000985415400001","View Full Record in Web of Science")</f>
        <v>View Full Record in Web of Science</v>
      </c>
    </row>
    <row r="692" spans="1:72" s="1" customFormat="1" x14ac:dyDescent="0.4">
      <c r="A692" s="2" t="s">
        <v>72</v>
      </c>
      <c r="B692" s="2" t="s">
        <v>7373</v>
      </c>
      <c r="C692" s="2" t="s">
        <v>74</v>
      </c>
      <c r="D692" s="2" t="s">
        <v>74</v>
      </c>
      <c r="E692" s="2" t="s">
        <v>74</v>
      </c>
      <c r="F692" s="2" t="s">
        <v>7374</v>
      </c>
      <c r="G692" s="2" t="s">
        <v>74</v>
      </c>
      <c r="H692" s="2" t="s">
        <v>74</v>
      </c>
      <c r="I692" s="2" t="s">
        <v>7375</v>
      </c>
      <c r="J692" s="2" t="s">
        <v>7376</v>
      </c>
      <c r="K692" s="2" t="s">
        <v>74</v>
      </c>
      <c r="L692" s="2" t="s">
        <v>74</v>
      </c>
      <c r="M692" s="2" t="s">
        <v>74</v>
      </c>
      <c r="N692" s="2" t="s">
        <v>74</v>
      </c>
      <c r="O692" s="2" t="s">
        <v>74</v>
      </c>
      <c r="P692" s="2" t="s">
        <v>74</v>
      </c>
      <c r="Q692" s="2" t="s">
        <v>74</v>
      </c>
      <c r="R692" s="2" t="s">
        <v>74</v>
      </c>
      <c r="S692" s="2" t="s">
        <v>74</v>
      </c>
      <c r="T692" s="2" t="s">
        <v>74</v>
      </c>
      <c r="U692" s="2" t="s">
        <v>74</v>
      </c>
      <c r="V692" s="5" t="s">
        <v>7377</v>
      </c>
      <c r="W692" s="2" t="s">
        <v>74</v>
      </c>
      <c r="X692" s="2" t="s">
        <v>74</v>
      </c>
      <c r="Y692" s="2" t="s">
        <v>74</v>
      </c>
      <c r="Z692" s="2" t="s">
        <v>74</v>
      </c>
      <c r="AA692" s="2" t="s">
        <v>7378</v>
      </c>
      <c r="AB692" s="2" t="s">
        <v>7379</v>
      </c>
      <c r="AC692" s="2" t="s">
        <v>74</v>
      </c>
      <c r="AD692" s="2" t="s">
        <v>74</v>
      </c>
      <c r="AE692" s="2" t="s">
        <v>74</v>
      </c>
      <c r="AF692" s="2" t="s">
        <v>74</v>
      </c>
      <c r="AG692" s="2" t="s">
        <v>74</v>
      </c>
      <c r="AH692" s="2" t="s">
        <v>74</v>
      </c>
      <c r="AI692" s="2" t="s">
        <v>74</v>
      </c>
      <c r="AJ692" s="2" t="s">
        <v>74</v>
      </c>
      <c r="AK692" s="2" t="s">
        <v>74</v>
      </c>
      <c r="AL692" s="2" t="s">
        <v>74</v>
      </c>
      <c r="AM692" s="2" t="s">
        <v>74</v>
      </c>
      <c r="AN692" s="2" t="s">
        <v>74</v>
      </c>
      <c r="AO692" s="2" t="s">
        <v>7380</v>
      </c>
      <c r="AP692" s="2" t="s">
        <v>7381</v>
      </c>
      <c r="AQ692" s="2" t="s">
        <v>74</v>
      </c>
      <c r="AR692" s="2" t="s">
        <v>74</v>
      </c>
      <c r="AS692" s="2" t="s">
        <v>74</v>
      </c>
      <c r="AT692" s="2" t="s">
        <v>255</v>
      </c>
      <c r="AU692" s="2">
        <v>2021</v>
      </c>
      <c r="AV692" s="2">
        <v>62</v>
      </c>
      <c r="AW692" s="2">
        <v>1</v>
      </c>
      <c r="AX692" s="2" t="s">
        <v>74</v>
      </c>
      <c r="AY692" s="2" t="s">
        <v>74</v>
      </c>
      <c r="AZ692" s="2" t="s">
        <v>74</v>
      </c>
      <c r="BA692" s="2" t="s">
        <v>74</v>
      </c>
      <c r="BB692" s="2">
        <v>11</v>
      </c>
      <c r="BC692" s="2">
        <v>17</v>
      </c>
      <c r="BD692" s="2" t="s">
        <v>74</v>
      </c>
      <c r="BE692" s="2" t="s">
        <v>7382</v>
      </c>
      <c r="BF692" s="2" t="str">
        <f>HYPERLINK("http://dx.doi.org/10.1007/s10329-020-00852-z","http://dx.doi.org/10.1007/s10329-020-00852-z")</f>
        <v>http://dx.doi.org/10.1007/s10329-020-00852-z</v>
      </c>
      <c r="BG692" s="2" t="s">
        <v>74</v>
      </c>
      <c r="BH692" s="2" t="s">
        <v>2560</v>
      </c>
      <c r="BI692" s="2" t="s">
        <v>74</v>
      </c>
      <c r="BJ692" s="2" t="s">
        <v>74</v>
      </c>
      <c r="BK692" s="2" t="s">
        <v>74</v>
      </c>
      <c r="BL692" s="2" t="s">
        <v>74</v>
      </c>
      <c r="BM692" s="2" t="s">
        <v>74</v>
      </c>
      <c r="BN692" s="2">
        <v>32804328</v>
      </c>
      <c r="BO692" s="2" t="s">
        <v>74</v>
      </c>
      <c r="BP692" s="2" t="s">
        <v>74</v>
      </c>
      <c r="BQ692" s="2" t="s">
        <v>74</v>
      </c>
      <c r="BR692" s="2" t="s">
        <v>74</v>
      </c>
      <c r="BS692" s="2" t="s">
        <v>7383</v>
      </c>
      <c r="BT692" s="2" t="str">
        <f>HYPERLINK("https%3A%2F%2Fwww.webofscience.com%2Fwos%2Fwoscc%2Ffull-record%2FWOS:000560278300001","View Full Record in Web of Science")</f>
        <v>View Full Record in Web of Science</v>
      </c>
    </row>
    <row r="693" spans="1:72" s="2" customFormat="1" x14ac:dyDescent="0.4">
      <c r="A693" s="2" t="s">
        <v>72</v>
      </c>
      <c r="B693" s="2" t="s">
        <v>3322</v>
      </c>
      <c r="C693" s="2" t="s">
        <v>74</v>
      </c>
      <c r="D693" s="2" t="s">
        <v>74</v>
      </c>
      <c r="E693" s="2" t="s">
        <v>74</v>
      </c>
      <c r="F693" s="2" t="s">
        <v>3323</v>
      </c>
      <c r="G693" s="2" t="s">
        <v>74</v>
      </c>
      <c r="H693" s="2" t="s">
        <v>74</v>
      </c>
      <c r="I693" s="2" t="s">
        <v>3324</v>
      </c>
      <c r="J693" s="2" t="s">
        <v>119</v>
      </c>
      <c r="K693" s="2" t="s">
        <v>74</v>
      </c>
      <c r="L693" s="2" t="s">
        <v>74</v>
      </c>
      <c r="M693" s="2" t="s">
        <v>74</v>
      </c>
      <c r="N693" s="2" t="s">
        <v>74</v>
      </c>
      <c r="O693" s="2" t="s">
        <v>74</v>
      </c>
      <c r="P693" s="2" t="s">
        <v>74</v>
      </c>
      <c r="Q693" s="2" t="s">
        <v>74</v>
      </c>
      <c r="R693" s="2" t="s">
        <v>74</v>
      </c>
      <c r="S693" s="2" t="s">
        <v>74</v>
      </c>
      <c r="T693" s="2" t="s">
        <v>74</v>
      </c>
      <c r="U693" s="2" t="s">
        <v>74</v>
      </c>
      <c r="V693" s="5" t="s">
        <v>3325</v>
      </c>
      <c r="W693" s="2" t="s">
        <v>74</v>
      </c>
      <c r="X693" s="2" t="s">
        <v>74</v>
      </c>
      <c r="Y693" s="2" t="s">
        <v>74</v>
      </c>
      <c r="Z693" s="2" t="s">
        <v>74</v>
      </c>
      <c r="AA693" s="2" t="s">
        <v>3163</v>
      </c>
      <c r="AB693" s="2" t="s">
        <v>3326</v>
      </c>
      <c r="AC693" s="2" t="s">
        <v>74</v>
      </c>
      <c r="AD693" s="2" t="s">
        <v>74</v>
      </c>
      <c r="AE693" s="2" t="s">
        <v>74</v>
      </c>
      <c r="AF693" s="2" t="s">
        <v>74</v>
      </c>
      <c r="AG693" s="2" t="s">
        <v>74</v>
      </c>
      <c r="AH693" s="2" t="s">
        <v>74</v>
      </c>
      <c r="AI693" s="2" t="s">
        <v>74</v>
      </c>
      <c r="AJ693" s="2" t="s">
        <v>74</v>
      </c>
      <c r="AK693" s="2" t="s">
        <v>74</v>
      </c>
      <c r="AL693" s="2" t="s">
        <v>74</v>
      </c>
      <c r="AM693" s="2" t="s">
        <v>74</v>
      </c>
      <c r="AN693" s="2" t="s">
        <v>74</v>
      </c>
      <c r="AO693" s="2" t="s">
        <v>121</v>
      </c>
      <c r="AP693" s="2" t="s">
        <v>122</v>
      </c>
      <c r="AQ693" s="2" t="s">
        <v>74</v>
      </c>
      <c r="AR693" s="2" t="s">
        <v>74</v>
      </c>
      <c r="AS693" s="2" t="s">
        <v>74</v>
      </c>
      <c r="AT693" s="2" t="s">
        <v>123</v>
      </c>
      <c r="AU693" s="2">
        <v>2016</v>
      </c>
      <c r="AV693" s="2">
        <v>124</v>
      </c>
      <c r="AW693" s="2" t="s">
        <v>74</v>
      </c>
      <c r="AX693" s="2" t="s">
        <v>74</v>
      </c>
      <c r="AY693" s="2" t="s">
        <v>74</v>
      </c>
      <c r="AZ693" s="2" t="s">
        <v>74</v>
      </c>
      <c r="BA693" s="2" t="s">
        <v>74</v>
      </c>
      <c r="BB693" s="2">
        <v>47</v>
      </c>
      <c r="BC693" s="2">
        <v>51</v>
      </c>
      <c r="BD693" s="2" t="s">
        <v>74</v>
      </c>
      <c r="BE693" s="2" t="s">
        <v>3327</v>
      </c>
      <c r="BF693" s="2" t="str">
        <f>HYPERLINK("http://dx.doi.org/10.1016/j.beproc.2015.11.021","http://dx.doi.org/10.1016/j.beproc.2015.11.021")</f>
        <v>http://dx.doi.org/10.1016/j.beproc.2015.11.021</v>
      </c>
      <c r="BG693" s="2" t="s">
        <v>74</v>
      </c>
      <c r="BH693" s="2" t="s">
        <v>74</v>
      </c>
      <c r="BI693" s="2" t="s">
        <v>74</v>
      </c>
      <c r="BJ693" s="2" t="s">
        <v>74</v>
      </c>
      <c r="BK693" s="2" t="s">
        <v>74</v>
      </c>
      <c r="BL693" s="2" t="s">
        <v>74</v>
      </c>
      <c r="BM693" s="2" t="s">
        <v>74</v>
      </c>
      <c r="BN693" s="2">
        <v>26655891</v>
      </c>
      <c r="BO693" s="2" t="s">
        <v>74</v>
      </c>
      <c r="BP693" s="2" t="s">
        <v>74</v>
      </c>
      <c r="BQ693" s="2" t="s">
        <v>74</v>
      </c>
      <c r="BR693" s="2" t="s">
        <v>74</v>
      </c>
      <c r="BS693" s="2" t="s">
        <v>3328</v>
      </c>
      <c r="BT693" s="2" t="str">
        <f>HYPERLINK("https%3A%2F%2Fwww.webofscience.com%2Fwos%2Fwoscc%2Ffull-record%2FWOS:000371552600007","View Full Record in Web of Science")</f>
        <v>View Full Record in Web of Science</v>
      </c>
    </row>
    <row r="694" spans="1:72" s="1" customFormat="1" x14ac:dyDescent="0.4">
      <c r="A694" s="2" t="s">
        <v>72</v>
      </c>
      <c r="B694" s="2" t="s">
        <v>7235</v>
      </c>
      <c r="C694" s="2" t="s">
        <v>74</v>
      </c>
      <c r="D694" s="2" t="s">
        <v>74</v>
      </c>
      <c r="E694" s="2" t="s">
        <v>74</v>
      </c>
      <c r="F694" s="2" t="s">
        <v>7236</v>
      </c>
      <c r="G694" s="2" t="s">
        <v>74</v>
      </c>
      <c r="H694" s="2" t="s">
        <v>74</v>
      </c>
      <c r="I694" s="2" t="s">
        <v>7237</v>
      </c>
      <c r="J694" s="2" t="s">
        <v>654</v>
      </c>
      <c r="K694" s="2" t="s">
        <v>74</v>
      </c>
      <c r="L694" s="2" t="s">
        <v>74</v>
      </c>
      <c r="M694" s="2" t="s">
        <v>74</v>
      </c>
      <c r="N694" s="2" t="s">
        <v>74</v>
      </c>
      <c r="O694" s="2" t="s">
        <v>74</v>
      </c>
      <c r="P694" s="2" t="s">
        <v>74</v>
      </c>
      <c r="Q694" s="2" t="s">
        <v>74</v>
      </c>
      <c r="R694" s="2" t="s">
        <v>74</v>
      </c>
      <c r="S694" s="2" t="s">
        <v>74</v>
      </c>
      <c r="T694" s="2" t="s">
        <v>74</v>
      </c>
      <c r="U694" s="2" t="s">
        <v>74</v>
      </c>
      <c r="V694" s="5" t="s">
        <v>7238</v>
      </c>
      <c r="W694" s="2" t="s">
        <v>74</v>
      </c>
      <c r="X694" s="2" t="s">
        <v>74</v>
      </c>
      <c r="Y694" s="2" t="s">
        <v>74</v>
      </c>
      <c r="Z694" s="2" t="s">
        <v>74</v>
      </c>
      <c r="AA694" s="2" t="s">
        <v>7239</v>
      </c>
      <c r="AB694" s="2" t="s">
        <v>7240</v>
      </c>
      <c r="AC694" s="2" t="s">
        <v>74</v>
      </c>
      <c r="AD694" s="2" t="s">
        <v>74</v>
      </c>
      <c r="AE694" s="2" t="s">
        <v>74</v>
      </c>
      <c r="AF694" s="2" t="s">
        <v>74</v>
      </c>
      <c r="AG694" s="2" t="s">
        <v>74</v>
      </c>
      <c r="AH694" s="2" t="s">
        <v>74</v>
      </c>
      <c r="AI694" s="2" t="s">
        <v>74</v>
      </c>
      <c r="AJ694" s="2" t="s">
        <v>74</v>
      </c>
      <c r="AK694" s="2" t="s">
        <v>74</v>
      </c>
      <c r="AL694" s="2" t="s">
        <v>74</v>
      </c>
      <c r="AM694" s="2" t="s">
        <v>74</v>
      </c>
      <c r="AN694" s="2" t="s">
        <v>74</v>
      </c>
      <c r="AO694" s="2" t="s">
        <v>658</v>
      </c>
      <c r="AP694" s="2" t="s">
        <v>74</v>
      </c>
      <c r="AQ694" s="2" t="s">
        <v>74</v>
      </c>
      <c r="AR694" s="2" t="s">
        <v>74</v>
      </c>
      <c r="AS694" s="2" t="s">
        <v>74</v>
      </c>
      <c r="AT694" s="2" t="s">
        <v>633</v>
      </c>
      <c r="AU694" s="2">
        <v>2019</v>
      </c>
      <c r="AV694" s="2">
        <v>9</v>
      </c>
      <c r="AW694" s="2">
        <v>7</v>
      </c>
      <c r="AX694" s="2" t="s">
        <v>74</v>
      </c>
      <c r="AY694" s="2" t="s">
        <v>74</v>
      </c>
      <c r="AZ694" s="2" t="s">
        <v>74</v>
      </c>
      <c r="BA694" s="2" t="s">
        <v>74</v>
      </c>
      <c r="BB694" s="2">
        <v>4001</v>
      </c>
      <c r="BC694" s="2">
        <v>4012</v>
      </c>
      <c r="BD694" s="2" t="s">
        <v>74</v>
      </c>
      <c r="BE694" s="2" t="s">
        <v>7241</v>
      </c>
      <c r="BF694" s="2" t="str">
        <f>HYPERLINK("http://dx.doi.org/10.1002/ece3.5029","http://dx.doi.org/10.1002/ece3.5029")</f>
        <v>http://dx.doi.org/10.1002/ece3.5029</v>
      </c>
      <c r="BG694" s="2" t="s">
        <v>74</v>
      </c>
      <c r="BH694" s="2" t="s">
        <v>74</v>
      </c>
      <c r="BI694" s="2" t="s">
        <v>74</v>
      </c>
      <c r="BJ694" s="2" t="s">
        <v>74</v>
      </c>
      <c r="BK694" s="2" t="s">
        <v>74</v>
      </c>
      <c r="BL694" s="2" t="s">
        <v>74</v>
      </c>
      <c r="BM694" s="2" t="s">
        <v>74</v>
      </c>
      <c r="BN694" s="2">
        <v>31015983</v>
      </c>
      <c r="BO694" s="2" t="s">
        <v>74</v>
      </c>
      <c r="BP694" s="2" t="s">
        <v>74</v>
      </c>
      <c r="BQ694" s="2" t="s">
        <v>74</v>
      </c>
      <c r="BR694" s="2" t="s">
        <v>74</v>
      </c>
      <c r="BS694" s="2" t="s">
        <v>7242</v>
      </c>
      <c r="BT694" s="2" t="str">
        <f>HYPERLINK("https%3A%2F%2Fwww.webofscience.com%2Fwos%2Fwoscc%2Ffull-record%2FWOS:000465089500027","View Full Record in Web of Science")</f>
        <v>View Full Record in Web of Science</v>
      </c>
    </row>
    <row r="695" spans="1:72" s="2" customFormat="1" x14ac:dyDescent="0.4">
      <c r="A695" s="2" t="s">
        <v>72</v>
      </c>
      <c r="B695" s="2" t="s">
        <v>7826</v>
      </c>
      <c r="C695" s="2" t="s">
        <v>74</v>
      </c>
      <c r="D695" s="2" t="s">
        <v>74</v>
      </c>
      <c r="E695" s="2" t="s">
        <v>74</v>
      </c>
      <c r="F695" s="2" t="s">
        <v>7827</v>
      </c>
      <c r="G695" s="2" t="s">
        <v>74</v>
      </c>
      <c r="H695" s="2" t="s">
        <v>74</v>
      </c>
      <c r="I695" s="2" t="s">
        <v>7828</v>
      </c>
      <c r="J695" s="2" t="s">
        <v>218</v>
      </c>
      <c r="K695" s="2" t="s">
        <v>74</v>
      </c>
      <c r="L695" s="2" t="s">
        <v>74</v>
      </c>
      <c r="M695" s="2" t="s">
        <v>74</v>
      </c>
      <c r="N695" s="2" t="s">
        <v>74</v>
      </c>
      <c r="O695" s="2" t="s">
        <v>74</v>
      </c>
      <c r="P695" s="2" t="s">
        <v>74</v>
      </c>
      <c r="Q695" s="2" t="s">
        <v>74</v>
      </c>
      <c r="R695" s="2" t="s">
        <v>74</v>
      </c>
      <c r="S695" s="2" t="s">
        <v>74</v>
      </c>
      <c r="T695" s="2" t="s">
        <v>74</v>
      </c>
      <c r="U695" s="2" t="s">
        <v>74</v>
      </c>
      <c r="V695" s="5" t="s">
        <v>7829</v>
      </c>
      <c r="W695" s="2" t="s">
        <v>74</v>
      </c>
      <c r="X695" s="2" t="s">
        <v>74</v>
      </c>
      <c r="Y695" s="2" t="s">
        <v>74</v>
      </c>
      <c r="Z695" s="2" t="s">
        <v>74</v>
      </c>
      <c r="AA695" s="2" t="s">
        <v>74</v>
      </c>
      <c r="AB695" s="2" t="s">
        <v>7830</v>
      </c>
      <c r="AC695" s="2" t="s">
        <v>74</v>
      </c>
      <c r="AD695" s="2" t="s">
        <v>74</v>
      </c>
      <c r="AE695" s="2" t="s">
        <v>74</v>
      </c>
      <c r="AF695" s="2" t="s">
        <v>74</v>
      </c>
      <c r="AG695" s="2" t="s">
        <v>74</v>
      </c>
      <c r="AH695" s="2" t="s">
        <v>74</v>
      </c>
      <c r="AI695" s="2" t="s">
        <v>74</v>
      </c>
      <c r="AJ695" s="2" t="s">
        <v>74</v>
      </c>
      <c r="AK695" s="2" t="s">
        <v>74</v>
      </c>
      <c r="AL695" s="2" t="s">
        <v>74</v>
      </c>
      <c r="AM695" s="2" t="s">
        <v>74</v>
      </c>
      <c r="AN695" s="2" t="s">
        <v>74</v>
      </c>
      <c r="AO695" s="2" t="s">
        <v>221</v>
      </c>
      <c r="AP695" s="2" t="s">
        <v>222</v>
      </c>
      <c r="AQ695" s="2" t="s">
        <v>74</v>
      </c>
      <c r="AR695" s="2" t="s">
        <v>74</v>
      </c>
      <c r="AS695" s="2" t="s">
        <v>74</v>
      </c>
      <c r="AT695" s="2" t="s">
        <v>213</v>
      </c>
      <c r="AU695" s="2">
        <v>2022</v>
      </c>
      <c r="AV695" s="2">
        <v>35</v>
      </c>
      <c r="AW695" s="2">
        <v>11</v>
      </c>
      <c r="AX695" s="2" t="s">
        <v>74</v>
      </c>
      <c r="AY695" s="2" t="s">
        <v>74</v>
      </c>
      <c r="AZ695" s="2" t="s">
        <v>74</v>
      </c>
      <c r="BA695" s="2" t="s">
        <v>74</v>
      </c>
      <c r="BB695" s="2">
        <v>1558</v>
      </c>
      <c r="BC695" s="2">
        <v>1567</v>
      </c>
      <c r="BD695" s="2" t="s">
        <v>74</v>
      </c>
      <c r="BE695" s="2" t="s">
        <v>7831</v>
      </c>
      <c r="BF695" s="2" t="str">
        <f>HYPERLINK("http://dx.doi.org/10.1111/jeb.14089","http://dx.doi.org/10.1111/jeb.14089")</f>
        <v>http://dx.doi.org/10.1111/jeb.14089</v>
      </c>
      <c r="BG695" s="2" t="s">
        <v>74</v>
      </c>
      <c r="BH695" s="2" t="s">
        <v>6006</v>
      </c>
      <c r="BI695" s="2" t="s">
        <v>74</v>
      </c>
      <c r="BJ695" s="2" t="s">
        <v>74</v>
      </c>
      <c r="BK695" s="2" t="s">
        <v>74</v>
      </c>
      <c r="BL695" s="2" t="s">
        <v>74</v>
      </c>
      <c r="BM695" s="2" t="s">
        <v>74</v>
      </c>
      <c r="BN695" s="2">
        <v>36196886</v>
      </c>
      <c r="BO695" s="2" t="s">
        <v>74</v>
      </c>
      <c r="BP695" s="2" t="s">
        <v>74</v>
      </c>
      <c r="BQ695" s="2" t="s">
        <v>74</v>
      </c>
      <c r="BR695" s="2" t="s">
        <v>74</v>
      </c>
      <c r="BS695" s="2" t="s">
        <v>7832</v>
      </c>
      <c r="BT695" s="2" t="str">
        <f>HYPERLINK("https%3A%2F%2Fwww.webofscience.com%2Fwos%2Fwoscc%2Ffull-record%2FWOS:000863852000001","View Full Record in Web of Science")</f>
        <v>View Full Record in Web of Science</v>
      </c>
    </row>
    <row r="696" spans="1:72" s="2" customFormat="1" x14ac:dyDescent="0.4">
      <c r="A696" s="2" t="s">
        <v>72</v>
      </c>
      <c r="B696" s="2" t="s">
        <v>8492</v>
      </c>
      <c r="C696" s="2" t="s">
        <v>74</v>
      </c>
      <c r="D696" s="2" t="s">
        <v>74</v>
      </c>
      <c r="E696" s="2" t="s">
        <v>74</v>
      </c>
      <c r="F696" s="2" t="s">
        <v>8492</v>
      </c>
      <c r="G696" s="2" t="s">
        <v>74</v>
      </c>
      <c r="H696" s="2" t="s">
        <v>74</v>
      </c>
      <c r="I696" s="2" t="s">
        <v>8493</v>
      </c>
      <c r="J696" s="2" t="s">
        <v>140</v>
      </c>
      <c r="K696" s="2" t="s">
        <v>74</v>
      </c>
      <c r="L696" s="2" t="s">
        <v>74</v>
      </c>
      <c r="M696" s="2" t="s">
        <v>74</v>
      </c>
      <c r="N696" s="2" t="s">
        <v>74</v>
      </c>
      <c r="O696" s="2" t="s">
        <v>74</v>
      </c>
      <c r="P696" s="2" t="s">
        <v>74</v>
      </c>
      <c r="Q696" s="2" t="s">
        <v>74</v>
      </c>
      <c r="R696" s="2" t="s">
        <v>74</v>
      </c>
      <c r="S696" s="2" t="s">
        <v>74</v>
      </c>
      <c r="T696" s="2" t="s">
        <v>74</v>
      </c>
      <c r="U696" s="2" t="s">
        <v>74</v>
      </c>
      <c r="V696" s="5" t="s">
        <v>8494</v>
      </c>
      <c r="W696" s="2" t="s">
        <v>74</v>
      </c>
      <c r="X696" s="2" t="s">
        <v>74</v>
      </c>
      <c r="Y696" s="2" t="s">
        <v>74</v>
      </c>
      <c r="Z696" s="2" t="s">
        <v>74</v>
      </c>
      <c r="AA696" s="2" t="s">
        <v>468</v>
      </c>
      <c r="AB696" s="2" t="s">
        <v>74</v>
      </c>
      <c r="AC696" s="2" t="s">
        <v>74</v>
      </c>
      <c r="AD696" s="2" t="s">
        <v>74</v>
      </c>
      <c r="AE696" s="2" t="s">
        <v>74</v>
      </c>
      <c r="AF696" s="2" t="s">
        <v>74</v>
      </c>
      <c r="AG696" s="2" t="s">
        <v>74</v>
      </c>
      <c r="AH696" s="2" t="s">
        <v>74</v>
      </c>
      <c r="AI696" s="2" t="s">
        <v>74</v>
      </c>
      <c r="AJ696" s="2" t="s">
        <v>74</v>
      </c>
      <c r="AK696" s="2" t="s">
        <v>74</v>
      </c>
      <c r="AL696" s="2" t="s">
        <v>74</v>
      </c>
      <c r="AM696" s="2" t="s">
        <v>74</v>
      </c>
      <c r="AN696" s="2" t="s">
        <v>74</v>
      </c>
      <c r="AO696" s="2" t="s">
        <v>143</v>
      </c>
      <c r="AP696" s="2" t="s">
        <v>144</v>
      </c>
      <c r="AQ696" s="2" t="s">
        <v>74</v>
      </c>
      <c r="AR696" s="2" t="s">
        <v>74</v>
      </c>
      <c r="AS696" s="2" t="s">
        <v>74</v>
      </c>
      <c r="AT696" s="2" t="s">
        <v>175</v>
      </c>
      <c r="AU696" s="2">
        <v>1997</v>
      </c>
      <c r="AV696" s="2">
        <v>54</v>
      </c>
      <c r="AW696" s="2" t="s">
        <v>74</v>
      </c>
      <c r="AX696" s="2">
        <v>4</v>
      </c>
      <c r="AY696" s="2" t="s">
        <v>74</v>
      </c>
      <c r="AZ696" s="2" t="s">
        <v>74</v>
      </c>
      <c r="BA696" s="2" t="s">
        <v>74</v>
      </c>
      <c r="BB696" s="2">
        <v>927</v>
      </c>
      <c r="BC696" s="2">
        <v>939</v>
      </c>
      <c r="BD696" s="2" t="s">
        <v>74</v>
      </c>
      <c r="BE696" s="2" t="s">
        <v>8495</v>
      </c>
      <c r="BF696" s="2" t="str">
        <f>HYPERLINK("http://dx.doi.org/10.1006/anbe.1997.0476","http://dx.doi.org/10.1006/anbe.1997.0476")</f>
        <v>http://dx.doi.org/10.1006/anbe.1997.0476</v>
      </c>
      <c r="BG696" s="2" t="s">
        <v>74</v>
      </c>
      <c r="BH696" s="2" t="s">
        <v>74</v>
      </c>
      <c r="BI696" s="2" t="s">
        <v>74</v>
      </c>
      <c r="BJ696" s="2" t="s">
        <v>74</v>
      </c>
      <c r="BK696" s="2" t="s">
        <v>74</v>
      </c>
      <c r="BL696" s="2" t="s">
        <v>74</v>
      </c>
      <c r="BM696" s="2" t="s">
        <v>74</v>
      </c>
      <c r="BN696" s="2">
        <v>9344445</v>
      </c>
      <c r="BO696" s="2" t="s">
        <v>74</v>
      </c>
      <c r="BP696" s="2" t="s">
        <v>74</v>
      </c>
      <c r="BQ696" s="2" t="s">
        <v>74</v>
      </c>
      <c r="BR696" s="2" t="s">
        <v>74</v>
      </c>
      <c r="BS696" s="2" t="s">
        <v>8496</v>
      </c>
      <c r="BT696" s="2" t="str">
        <f>HYPERLINK("https%3A%2F%2Fwww.webofscience.com%2Fwos%2Fwoscc%2Ffull-record%2FWOS:A1997YE30600016","View Full Record in Web of Science")</f>
        <v>View Full Record in Web of Science</v>
      </c>
    </row>
    <row r="697" spans="1:72" s="2" customFormat="1" x14ac:dyDescent="0.4">
      <c r="A697" s="2" t="s">
        <v>72</v>
      </c>
      <c r="B697" s="2" t="s">
        <v>6388</v>
      </c>
      <c r="C697" s="2" t="s">
        <v>74</v>
      </c>
      <c r="D697" s="2" t="s">
        <v>74</v>
      </c>
      <c r="E697" s="2" t="s">
        <v>74</v>
      </c>
      <c r="F697" s="2" t="s">
        <v>6388</v>
      </c>
      <c r="G697" s="2" t="s">
        <v>74</v>
      </c>
      <c r="H697" s="2" t="s">
        <v>74</v>
      </c>
      <c r="I697" s="2" t="s">
        <v>6389</v>
      </c>
      <c r="J697" s="2" t="s">
        <v>171</v>
      </c>
      <c r="K697" s="2" t="s">
        <v>74</v>
      </c>
      <c r="L697" s="2" t="s">
        <v>74</v>
      </c>
      <c r="M697" s="2" t="s">
        <v>74</v>
      </c>
      <c r="N697" s="2" t="s">
        <v>74</v>
      </c>
      <c r="O697" s="2" t="s">
        <v>74</v>
      </c>
      <c r="P697" s="2" t="s">
        <v>74</v>
      </c>
      <c r="Q697" s="2" t="s">
        <v>74</v>
      </c>
      <c r="R697" s="2" t="s">
        <v>74</v>
      </c>
      <c r="S697" s="2" t="s">
        <v>74</v>
      </c>
      <c r="T697" s="2" t="s">
        <v>74</v>
      </c>
      <c r="U697" s="2" t="s">
        <v>74</v>
      </c>
      <c r="V697" s="5" t="s">
        <v>6390</v>
      </c>
      <c r="W697" s="2" t="s">
        <v>74</v>
      </c>
      <c r="X697" s="2" t="s">
        <v>74</v>
      </c>
      <c r="Y697" s="2" t="s">
        <v>74</v>
      </c>
      <c r="Z697" s="2" t="s">
        <v>74</v>
      </c>
      <c r="AA697" s="2" t="s">
        <v>6391</v>
      </c>
      <c r="AB697" s="2" t="s">
        <v>74</v>
      </c>
      <c r="AC697" s="2" t="s">
        <v>74</v>
      </c>
      <c r="AD697" s="2" t="s">
        <v>74</v>
      </c>
      <c r="AE697" s="2" t="s">
        <v>74</v>
      </c>
      <c r="AF697" s="2" t="s">
        <v>74</v>
      </c>
      <c r="AG697" s="2" t="s">
        <v>74</v>
      </c>
      <c r="AH697" s="2" t="s">
        <v>74</v>
      </c>
      <c r="AI697" s="2" t="s">
        <v>74</v>
      </c>
      <c r="AJ697" s="2" t="s">
        <v>74</v>
      </c>
      <c r="AK697" s="2" t="s">
        <v>74</v>
      </c>
      <c r="AL697" s="2" t="s">
        <v>74</v>
      </c>
      <c r="AM697" s="2" t="s">
        <v>74</v>
      </c>
      <c r="AN697" s="2" t="s">
        <v>74</v>
      </c>
      <c r="AO697" s="2" t="s">
        <v>173</v>
      </c>
      <c r="AP697" s="2" t="s">
        <v>174</v>
      </c>
      <c r="AQ697" s="2" t="s">
        <v>74</v>
      </c>
      <c r="AR697" s="2" t="s">
        <v>74</v>
      </c>
      <c r="AS697" s="2" t="s">
        <v>74</v>
      </c>
      <c r="AT697" s="2" t="s">
        <v>134</v>
      </c>
      <c r="AU697" s="2">
        <v>1986</v>
      </c>
      <c r="AV697" s="2">
        <v>40</v>
      </c>
      <c r="AW697" s="2">
        <v>3</v>
      </c>
      <c r="AX697" s="2" t="s">
        <v>74</v>
      </c>
      <c r="AY697" s="2" t="s">
        <v>74</v>
      </c>
      <c r="AZ697" s="2" t="s">
        <v>74</v>
      </c>
      <c r="BA697" s="2" t="s">
        <v>74</v>
      </c>
      <c r="BB697" s="2">
        <v>605</v>
      </c>
      <c r="BC697" s="2">
        <v>615</v>
      </c>
      <c r="BD697" s="2" t="s">
        <v>74</v>
      </c>
      <c r="BE697" s="2" t="s">
        <v>6392</v>
      </c>
      <c r="BF697" s="2" t="str">
        <f>HYPERLINK("http://dx.doi.org/10.2307/2408581","http://dx.doi.org/10.2307/2408581")</f>
        <v>http://dx.doi.org/10.2307/2408581</v>
      </c>
      <c r="BG697" s="2" t="s">
        <v>74</v>
      </c>
      <c r="BH697" s="2" t="s">
        <v>74</v>
      </c>
      <c r="BI697" s="2" t="s">
        <v>74</v>
      </c>
      <c r="BJ697" s="2" t="s">
        <v>74</v>
      </c>
      <c r="BK697" s="2" t="s">
        <v>74</v>
      </c>
      <c r="BL697" s="2" t="s">
        <v>74</v>
      </c>
      <c r="BM697" s="2" t="s">
        <v>74</v>
      </c>
      <c r="BN697" s="2">
        <v>28556339</v>
      </c>
      <c r="BO697" s="2" t="s">
        <v>74</v>
      </c>
      <c r="BP697" s="2" t="s">
        <v>74</v>
      </c>
      <c r="BQ697" s="2" t="s">
        <v>74</v>
      </c>
      <c r="BR697" s="2" t="s">
        <v>74</v>
      </c>
      <c r="BS697" s="2" t="s">
        <v>6393</v>
      </c>
      <c r="BT697" s="2" t="str">
        <f>HYPERLINK("https%3A%2F%2Fwww.webofscience.com%2Fwos%2Fwoscc%2Ffull-record%2FWOS:A1986C438800014","View Full Record in Web of Science")</f>
        <v>View Full Record in Web of Science</v>
      </c>
    </row>
    <row r="698" spans="1:72" s="2" customFormat="1" x14ac:dyDescent="0.4">
      <c r="A698" s="2" t="s">
        <v>72</v>
      </c>
      <c r="B698" s="2" t="s">
        <v>464</v>
      </c>
      <c r="C698" s="2" t="s">
        <v>74</v>
      </c>
      <c r="D698" s="2" t="s">
        <v>74</v>
      </c>
      <c r="E698" s="2" t="s">
        <v>74</v>
      </c>
      <c r="F698" s="2" t="s">
        <v>465</v>
      </c>
      <c r="G698" s="2" t="s">
        <v>74</v>
      </c>
      <c r="H698" s="2" t="s">
        <v>74</v>
      </c>
      <c r="I698" s="2" t="s">
        <v>466</v>
      </c>
      <c r="J698" s="2" t="s">
        <v>140</v>
      </c>
      <c r="K698" s="2" t="s">
        <v>74</v>
      </c>
      <c r="L698" s="2" t="s">
        <v>74</v>
      </c>
      <c r="M698" s="2" t="s">
        <v>74</v>
      </c>
      <c r="N698" s="2" t="s">
        <v>74</v>
      </c>
      <c r="O698" s="2" t="s">
        <v>74</v>
      </c>
      <c r="P698" s="2" t="s">
        <v>74</v>
      </c>
      <c r="Q698" s="2" t="s">
        <v>74</v>
      </c>
      <c r="R698" s="2" t="s">
        <v>74</v>
      </c>
      <c r="S698" s="2" t="s">
        <v>74</v>
      </c>
      <c r="T698" s="2" t="s">
        <v>74</v>
      </c>
      <c r="U698" s="2" t="s">
        <v>74</v>
      </c>
      <c r="V698" s="5" t="s">
        <v>467</v>
      </c>
      <c r="W698" s="2" t="s">
        <v>74</v>
      </c>
      <c r="X698" s="2" t="s">
        <v>74</v>
      </c>
      <c r="Y698" s="2" t="s">
        <v>74</v>
      </c>
      <c r="Z698" s="2" t="s">
        <v>74</v>
      </c>
      <c r="AA698" s="2" t="s">
        <v>468</v>
      </c>
      <c r="AB698" s="2" t="s">
        <v>469</v>
      </c>
      <c r="AC698" s="2" t="s">
        <v>74</v>
      </c>
      <c r="AD698" s="2" t="s">
        <v>74</v>
      </c>
      <c r="AE698" s="2" t="s">
        <v>74</v>
      </c>
      <c r="AF698" s="2" t="s">
        <v>74</v>
      </c>
      <c r="AG698" s="2" t="s">
        <v>74</v>
      </c>
      <c r="AH698" s="2" t="s">
        <v>74</v>
      </c>
      <c r="AI698" s="2" t="s">
        <v>74</v>
      </c>
      <c r="AJ698" s="2" t="s">
        <v>74</v>
      </c>
      <c r="AK698" s="2" t="s">
        <v>74</v>
      </c>
      <c r="AL698" s="2" t="s">
        <v>74</v>
      </c>
      <c r="AM698" s="2" t="s">
        <v>74</v>
      </c>
      <c r="AN698" s="2" t="s">
        <v>74</v>
      </c>
      <c r="AO698" s="2" t="s">
        <v>143</v>
      </c>
      <c r="AP698" s="2" t="s">
        <v>144</v>
      </c>
      <c r="AQ698" s="2" t="s">
        <v>74</v>
      </c>
      <c r="AR698" s="2" t="s">
        <v>74</v>
      </c>
      <c r="AS698" s="2" t="s">
        <v>74</v>
      </c>
      <c r="AT698" s="2" t="s">
        <v>134</v>
      </c>
      <c r="AU698" s="2">
        <v>2015</v>
      </c>
      <c r="AV698" s="2">
        <v>103</v>
      </c>
      <c r="AW698" s="2" t="s">
        <v>74</v>
      </c>
      <c r="AX698" s="2" t="s">
        <v>74</v>
      </c>
      <c r="AY698" s="2" t="s">
        <v>74</v>
      </c>
      <c r="AZ698" s="2" t="s">
        <v>74</v>
      </c>
      <c r="BA698" s="2" t="s">
        <v>74</v>
      </c>
      <c r="BB698" s="2">
        <v>117</v>
      </c>
      <c r="BC698" s="2">
        <v>124</v>
      </c>
      <c r="BD698" s="2" t="s">
        <v>74</v>
      </c>
      <c r="BE698" s="2" t="s">
        <v>470</v>
      </c>
      <c r="BF698" s="2" t="str">
        <f>HYPERLINK("http://dx.doi.org/10.1016/j.anbehav.2015.02.010","http://dx.doi.org/10.1016/j.anbehav.2015.02.010")</f>
        <v>http://dx.doi.org/10.1016/j.anbehav.2015.02.010</v>
      </c>
      <c r="BG698" s="2" t="s">
        <v>74</v>
      </c>
      <c r="BH698" s="2" t="s">
        <v>74</v>
      </c>
      <c r="BI698" s="2" t="s">
        <v>74</v>
      </c>
      <c r="BJ698" s="2" t="s">
        <v>74</v>
      </c>
      <c r="BK698" s="2" t="s">
        <v>74</v>
      </c>
      <c r="BL698" s="2" t="s">
        <v>74</v>
      </c>
      <c r="BM698" s="2" t="s">
        <v>74</v>
      </c>
      <c r="BN698" s="2" t="s">
        <v>74</v>
      </c>
      <c r="BO698" s="2" t="s">
        <v>74</v>
      </c>
      <c r="BP698" s="2" t="s">
        <v>74</v>
      </c>
      <c r="BQ698" s="2" t="s">
        <v>74</v>
      </c>
      <c r="BR698" s="2" t="s">
        <v>74</v>
      </c>
      <c r="BS698" s="2" t="s">
        <v>471</v>
      </c>
      <c r="BT698" s="2" t="str">
        <f>HYPERLINK("https%3A%2F%2Fwww.webofscience.com%2Fwos%2Fwoscc%2Ffull-record%2FWOS:000353378200015","View Full Record in Web of Science")</f>
        <v>View Full Record in Web of Science</v>
      </c>
    </row>
    <row r="699" spans="1:72" s="2" customFormat="1" x14ac:dyDescent="0.4">
      <c r="A699" s="2" t="s">
        <v>72</v>
      </c>
      <c r="B699" s="2" t="s">
        <v>2163</v>
      </c>
      <c r="C699" s="2" t="s">
        <v>74</v>
      </c>
      <c r="D699" s="2" t="s">
        <v>74</v>
      </c>
      <c r="E699" s="2" t="s">
        <v>74</v>
      </c>
      <c r="F699" s="2" t="s">
        <v>2164</v>
      </c>
      <c r="G699" s="2" t="s">
        <v>74</v>
      </c>
      <c r="H699" s="2" t="s">
        <v>74</v>
      </c>
      <c r="I699" s="2" t="s">
        <v>2165</v>
      </c>
      <c r="J699" s="2" t="s">
        <v>312</v>
      </c>
      <c r="K699" s="2" t="s">
        <v>74</v>
      </c>
      <c r="L699" s="2" t="s">
        <v>74</v>
      </c>
      <c r="M699" s="2" t="s">
        <v>74</v>
      </c>
      <c r="N699" s="2" t="s">
        <v>74</v>
      </c>
      <c r="O699" s="2" t="s">
        <v>74</v>
      </c>
      <c r="P699" s="2" t="s">
        <v>74</v>
      </c>
      <c r="Q699" s="2" t="s">
        <v>74</v>
      </c>
      <c r="R699" s="2" t="s">
        <v>74</v>
      </c>
      <c r="S699" s="2" t="s">
        <v>74</v>
      </c>
      <c r="T699" s="2" t="s">
        <v>74</v>
      </c>
      <c r="U699" s="2" t="s">
        <v>74</v>
      </c>
      <c r="V699" s="5" t="s">
        <v>2166</v>
      </c>
      <c r="W699" s="2" t="s">
        <v>74</v>
      </c>
      <c r="X699" s="2" t="s">
        <v>74</v>
      </c>
      <c r="Y699" s="2" t="s">
        <v>74</v>
      </c>
      <c r="Z699" s="2" t="s">
        <v>74</v>
      </c>
      <c r="AA699" s="2" t="s">
        <v>2167</v>
      </c>
      <c r="AB699" s="2" t="s">
        <v>2168</v>
      </c>
      <c r="AC699" s="2" t="s">
        <v>74</v>
      </c>
      <c r="AD699" s="2" t="s">
        <v>74</v>
      </c>
      <c r="AE699" s="2" t="s">
        <v>74</v>
      </c>
      <c r="AF699" s="2" t="s">
        <v>74</v>
      </c>
      <c r="AG699" s="2" t="s">
        <v>74</v>
      </c>
      <c r="AH699" s="2" t="s">
        <v>74</v>
      </c>
      <c r="AI699" s="2" t="s">
        <v>74</v>
      </c>
      <c r="AJ699" s="2" t="s">
        <v>74</v>
      </c>
      <c r="AK699" s="2" t="s">
        <v>74</v>
      </c>
      <c r="AL699" s="2" t="s">
        <v>74</v>
      </c>
      <c r="AM699" s="2" t="s">
        <v>74</v>
      </c>
      <c r="AN699" s="2" t="s">
        <v>74</v>
      </c>
      <c r="AO699" s="2" t="s">
        <v>314</v>
      </c>
      <c r="AP699" s="2" t="s">
        <v>74</v>
      </c>
      <c r="AQ699" s="2" t="s">
        <v>74</v>
      </c>
      <c r="AR699" s="2" t="s">
        <v>74</v>
      </c>
      <c r="AS699" s="2" t="s">
        <v>74</v>
      </c>
      <c r="AT699" s="2" t="s">
        <v>255</v>
      </c>
      <c r="AU699" s="2">
        <v>2012</v>
      </c>
      <c r="AV699" s="2">
        <v>179</v>
      </c>
      <c r="AW699" s="2">
        <v>1</v>
      </c>
      <c r="AX699" s="2" t="s">
        <v>74</v>
      </c>
      <c r="AY699" s="2" t="s">
        <v>74</v>
      </c>
      <c r="AZ699" s="2" t="s">
        <v>74</v>
      </c>
      <c r="BA699" s="2" t="s">
        <v>74</v>
      </c>
      <c r="BB699" s="2" t="s">
        <v>2169</v>
      </c>
      <c r="BC699" s="2" t="s">
        <v>2170</v>
      </c>
      <c r="BD699" s="2" t="s">
        <v>74</v>
      </c>
      <c r="BE699" s="2" t="s">
        <v>2171</v>
      </c>
      <c r="BF699" s="2" t="str">
        <f>HYPERLINK("http://dx.doi.org/10.1086/663197","http://dx.doi.org/10.1086/663197")</f>
        <v>http://dx.doi.org/10.1086/663197</v>
      </c>
      <c r="BG699" s="2" t="s">
        <v>74</v>
      </c>
      <c r="BH699" s="2" t="s">
        <v>74</v>
      </c>
      <c r="BI699" s="2" t="s">
        <v>74</v>
      </c>
      <c r="BJ699" s="2" t="s">
        <v>74</v>
      </c>
      <c r="BK699" s="2" t="s">
        <v>74</v>
      </c>
      <c r="BL699" s="2" t="s">
        <v>74</v>
      </c>
      <c r="BM699" s="2" t="s">
        <v>74</v>
      </c>
      <c r="BN699" s="2">
        <v>22173468</v>
      </c>
      <c r="BO699" s="2" t="s">
        <v>74</v>
      </c>
      <c r="BP699" s="2" t="s">
        <v>74</v>
      </c>
      <c r="BQ699" s="2" t="s">
        <v>74</v>
      </c>
      <c r="BR699" s="2" t="s">
        <v>74</v>
      </c>
      <c r="BS699" s="2" t="s">
        <v>2172</v>
      </c>
      <c r="BT699" s="2" t="str">
        <f>HYPERLINK("https%3A%2F%2Fwww.webofscience.com%2Fwos%2Fwoscc%2Ffull-record%2FWOS:000298379200001","View Full Record in Web of Science")</f>
        <v>View Full Record in Web of Science</v>
      </c>
    </row>
    <row r="700" spans="1:72" s="2" customFormat="1" x14ac:dyDescent="0.4">
      <c r="A700" s="2" t="s">
        <v>72</v>
      </c>
      <c r="B700" s="2" t="s">
        <v>1272</v>
      </c>
      <c r="C700" s="2" t="s">
        <v>74</v>
      </c>
      <c r="D700" s="2" t="s">
        <v>74</v>
      </c>
      <c r="E700" s="2" t="s">
        <v>74</v>
      </c>
      <c r="F700" s="2" t="s">
        <v>1272</v>
      </c>
      <c r="G700" s="2" t="s">
        <v>74</v>
      </c>
      <c r="H700" s="2" t="s">
        <v>74</v>
      </c>
      <c r="I700" s="2" t="s">
        <v>1273</v>
      </c>
      <c r="J700" s="2" t="s">
        <v>610</v>
      </c>
      <c r="K700" s="2" t="s">
        <v>74</v>
      </c>
      <c r="L700" s="2" t="s">
        <v>74</v>
      </c>
      <c r="M700" s="2" t="s">
        <v>74</v>
      </c>
      <c r="N700" s="2" t="s">
        <v>74</v>
      </c>
      <c r="O700" s="2" t="s">
        <v>74</v>
      </c>
      <c r="P700" s="2" t="s">
        <v>74</v>
      </c>
      <c r="Q700" s="2" t="s">
        <v>74</v>
      </c>
      <c r="R700" s="2" t="s">
        <v>74</v>
      </c>
      <c r="S700" s="2" t="s">
        <v>74</v>
      </c>
      <c r="T700" s="2" t="s">
        <v>74</v>
      </c>
      <c r="U700" s="2" t="s">
        <v>74</v>
      </c>
      <c r="V700" s="5" t="s">
        <v>1274</v>
      </c>
      <c r="W700" s="2" t="s">
        <v>74</v>
      </c>
      <c r="X700" s="2" t="s">
        <v>74</v>
      </c>
      <c r="Y700" s="2" t="s">
        <v>74</v>
      </c>
      <c r="Z700" s="2" t="s">
        <v>74</v>
      </c>
      <c r="AA700" s="2" t="s">
        <v>1275</v>
      </c>
      <c r="AB700" s="2" t="s">
        <v>74</v>
      </c>
      <c r="AC700" s="2" t="s">
        <v>74</v>
      </c>
      <c r="AD700" s="2" t="s">
        <v>74</v>
      </c>
      <c r="AE700" s="2" t="s">
        <v>74</v>
      </c>
      <c r="AF700" s="2" t="s">
        <v>74</v>
      </c>
      <c r="AG700" s="2" t="s">
        <v>74</v>
      </c>
      <c r="AH700" s="2" t="s">
        <v>74</v>
      </c>
      <c r="AI700" s="2" t="s">
        <v>74</v>
      </c>
      <c r="AJ700" s="2" t="s">
        <v>74</v>
      </c>
      <c r="AK700" s="2" t="s">
        <v>74</v>
      </c>
      <c r="AL700" s="2" t="s">
        <v>74</v>
      </c>
      <c r="AM700" s="2" t="s">
        <v>74</v>
      </c>
      <c r="AN700" s="2" t="s">
        <v>74</v>
      </c>
      <c r="AO700" s="2" t="s">
        <v>614</v>
      </c>
      <c r="AP700" s="2" t="s">
        <v>74</v>
      </c>
      <c r="AQ700" s="2" t="s">
        <v>74</v>
      </c>
      <c r="AR700" s="2" t="s">
        <v>74</v>
      </c>
      <c r="AS700" s="2" t="s">
        <v>74</v>
      </c>
      <c r="AT700" s="2" t="s">
        <v>1075</v>
      </c>
      <c r="AU700" s="2">
        <v>1994</v>
      </c>
      <c r="AV700" s="2">
        <v>98</v>
      </c>
      <c r="AW700" s="2" t="s">
        <v>1276</v>
      </c>
      <c r="AX700" s="2" t="s">
        <v>74</v>
      </c>
      <c r="AY700" s="2" t="s">
        <v>74</v>
      </c>
      <c r="AZ700" s="2" t="s">
        <v>74</v>
      </c>
      <c r="BA700" s="2" t="s">
        <v>74</v>
      </c>
      <c r="BB700" s="2">
        <v>246</v>
      </c>
      <c r="BC700" s="2">
        <v>264</v>
      </c>
      <c r="BD700" s="2" t="s">
        <v>74</v>
      </c>
      <c r="BE700" s="2" t="s">
        <v>74</v>
      </c>
      <c r="BF700" s="2" t="s">
        <v>74</v>
      </c>
      <c r="BG700" s="2" t="s">
        <v>74</v>
      </c>
      <c r="BH700" s="2" t="s">
        <v>74</v>
      </c>
      <c r="BI700" s="2" t="s">
        <v>74</v>
      </c>
      <c r="BJ700" s="2" t="s">
        <v>74</v>
      </c>
      <c r="BK700" s="2" t="s">
        <v>74</v>
      </c>
      <c r="BL700" s="2" t="s">
        <v>74</v>
      </c>
      <c r="BM700" s="2" t="s">
        <v>74</v>
      </c>
      <c r="BN700" s="2" t="s">
        <v>74</v>
      </c>
      <c r="BO700" s="2" t="s">
        <v>74</v>
      </c>
      <c r="BP700" s="2" t="s">
        <v>74</v>
      </c>
      <c r="BQ700" s="2" t="s">
        <v>74</v>
      </c>
      <c r="BR700" s="2" t="s">
        <v>74</v>
      </c>
      <c r="BS700" s="2" t="s">
        <v>1277</v>
      </c>
      <c r="BT700" s="2" t="str">
        <f>HYPERLINK("https%3A%2F%2Fwww.webofscience.com%2Fwos%2Fwoscc%2Ffull-record%2FWOS:A1994QA66800006","View Full Record in Web of Science")</f>
        <v>View Full Record in Web of Science</v>
      </c>
    </row>
    <row r="701" spans="1:72" s="2" customFormat="1" x14ac:dyDescent="0.4">
      <c r="A701" s="2" t="s">
        <v>72</v>
      </c>
      <c r="B701" s="2" t="s">
        <v>3860</v>
      </c>
      <c r="C701" s="2" t="s">
        <v>74</v>
      </c>
      <c r="D701" s="2" t="s">
        <v>74</v>
      </c>
      <c r="E701" s="2" t="s">
        <v>74</v>
      </c>
      <c r="F701" s="2" t="s">
        <v>3861</v>
      </c>
      <c r="G701" s="2" t="s">
        <v>74</v>
      </c>
      <c r="H701" s="2" t="s">
        <v>74</v>
      </c>
      <c r="I701" s="2" t="s">
        <v>3862</v>
      </c>
      <c r="J701" s="2" t="s">
        <v>1198</v>
      </c>
      <c r="K701" s="2" t="s">
        <v>74</v>
      </c>
      <c r="L701" s="2" t="s">
        <v>74</v>
      </c>
      <c r="M701" s="2" t="s">
        <v>74</v>
      </c>
      <c r="N701" s="2" t="s">
        <v>74</v>
      </c>
      <c r="O701" s="2" t="s">
        <v>74</v>
      </c>
      <c r="P701" s="2" t="s">
        <v>74</v>
      </c>
      <c r="Q701" s="2" t="s">
        <v>74</v>
      </c>
      <c r="R701" s="2" t="s">
        <v>74</v>
      </c>
      <c r="S701" s="2" t="s">
        <v>74</v>
      </c>
      <c r="T701" s="2" t="s">
        <v>74</v>
      </c>
      <c r="U701" s="2" t="s">
        <v>74</v>
      </c>
      <c r="V701" s="5" t="s">
        <v>3863</v>
      </c>
      <c r="W701" s="2" t="s">
        <v>74</v>
      </c>
      <c r="X701" s="2" t="s">
        <v>74</v>
      </c>
      <c r="Y701" s="2" t="s">
        <v>74</v>
      </c>
      <c r="Z701" s="2" t="s">
        <v>74</v>
      </c>
      <c r="AA701" s="2" t="s">
        <v>74</v>
      </c>
      <c r="AB701" s="2" t="s">
        <v>2709</v>
      </c>
      <c r="AC701" s="2" t="s">
        <v>74</v>
      </c>
      <c r="AD701" s="2" t="s">
        <v>74</v>
      </c>
      <c r="AE701" s="2" t="s">
        <v>74</v>
      </c>
      <c r="AF701" s="2" t="s">
        <v>74</v>
      </c>
      <c r="AG701" s="2" t="s">
        <v>74</v>
      </c>
      <c r="AH701" s="2" t="s">
        <v>74</v>
      </c>
      <c r="AI701" s="2" t="s">
        <v>74</v>
      </c>
      <c r="AJ701" s="2" t="s">
        <v>74</v>
      </c>
      <c r="AK701" s="2" t="s">
        <v>74</v>
      </c>
      <c r="AL701" s="2" t="s">
        <v>74</v>
      </c>
      <c r="AM701" s="2" t="s">
        <v>74</v>
      </c>
      <c r="AN701" s="2" t="s">
        <v>74</v>
      </c>
      <c r="AO701" s="2" t="s">
        <v>1202</v>
      </c>
      <c r="AP701" s="2" t="s">
        <v>1203</v>
      </c>
      <c r="AQ701" s="2" t="s">
        <v>74</v>
      </c>
      <c r="AR701" s="2" t="s">
        <v>74</v>
      </c>
      <c r="AS701" s="2" t="s">
        <v>74</v>
      </c>
      <c r="AT701" s="2" t="s">
        <v>102</v>
      </c>
      <c r="AU701" s="2">
        <v>2015</v>
      </c>
      <c r="AV701" s="2">
        <v>71</v>
      </c>
      <c r="AW701" s="2">
        <v>2</v>
      </c>
      <c r="AX701" s="2" t="s">
        <v>74</v>
      </c>
      <c r="AY701" s="2" t="s">
        <v>74</v>
      </c>
      <c r="AZ701" s="2" t="s">
        <v>74</v>
      </c>
      <c r="BA701" s="2" t="s">
        <v>74</v>
      </c>
      <c r="BB701" s="2">
        <v>110</v>
      </c>
      <c r="BC701" s="2">
        <v>116</v>
      </c>
      <c r="BD701" s="2" t="s">
        <v>74</v>
      </c>
      <c r="BE701" s="2" t="s">
        <v>3864</v>
      </c>
      <c r="BF701" s="2" t="str">
        <f>HYPERLINK("http://dx.doi.org/10.1655/HERPETOLOGICA-D-14-00044","http://dx.doi.org/10.1655/HERPETOLOGICA-D-14-00044")</f>
        <v>http://dx.doi.org/10.1655/HERPETOLOGICA-D-14-00044</v>
      </c>
      <c r="BG701" s="2" t="s">
        <v>74</v>
      </c>
      <c r="BH701" s="2" t="s">
        <v>74</v>
      </c>
      <c r="BI701" s="2" t="s">
        <v>74</v>
      </c>
      <c r="BJ701" s="2" t="s">
        <v>74</v>
      </c>
      <c r="BK701" s="2" t="s">
        <v>74</v>
      </c>
      <c r="BL701" s="2" t="s">
        <v>74</v>
      </c>
      <c r="BM701" s="2" t="s">
        <v>74</v>
      </c>
      <c r="BN701" s="2" t="s">
        <v>74</v>
      </c>
      <c r="BO701" s="2" t="s">
        <v>74</v>
      </c>
      <c r="BP701" s="2" t="s">
        <v>74</v>
      </c>
      <c r="BQ701" s="2" t="s">
        <v>74</v>
      </c>
      <c r="BR701" s="2" t="s">
        <v>74</v>
      </c>
      <c r="BS701" s="2" t="s">
        <v>3865</v>
      </c>
      <c r="BT701" s="2" t="str">
        <f>HYPERLINK("https%3A%2F%2Fwww.webofscience.com%2Fwos%2Fwoscc%2Ffull-record%2FWOS:000357733800005","View Full Record in Web of Science")</f>
        <v>View Full Record in Web of Science</v>
      </c>
    </row>
    <row r="702" spans="1:72" s="2" customFormat="1" x14ac:dyDescent="0.4">
      <c r="A702" s="2" t="s">
        <v>72</v>
      </c>
      <c r="B702" s="2" t="s">
        <v>7069</v>
      </c>
      <c r="C702" s="2" t="s">
        <v>74</v>
      </c>
      <c r="D702" s="2" t="s">
        <v>74</v>
      </c>
      <c r="E702" s="2" t="s">
        <v>74</v>
      </c>
      <c r="F702" s="2" t="s">
        <v>7070</v>
      </c>
      <c r="G702" s="2" t="s">
        <v>74</v>
      </c>
      <c r="H702" s="2" t="s">
        <v>74</v>
      </c>
      <c r="I702" s="2" t="s">
        <v>7071</v>
      </c>
      <c r="J702" s="2" t="s">
        <v>1198</v>
      </c>
      <c r="K702" s="2" t="s">
        <v>74</v>
      </c>
      <c r="L702" s="2" t="s">
        <v>74</v>
      </c>
      <c r="M702" s="2" t="s">
        <v>74</v>
      </c>
      <c r="N702" s="2" t="s">
        <v>74</v>
      </c>
      <c r="O702" s="2" t="s">
        <v>74</v>
      </c>
      <c r="P702" s="2" t="s">
        <v>74</v>
      </c>
      <c r="Q702" s="2" t="s">
        <v>74</v>
      </c>
      <c r="R702" s="2" t="s">
        <v>74</v>
      </c>
      <c r="S702" s="2" t="s">
        <v>74</v>
      </c>
      <c r="T702" s="2" t="s">
        <v>74</v>
      </c>
      <c r="U702" s="2" t="s">
        <v>74</v>
      </c>
      <c r="V702" s="5" t="s">
        <v>7072</v>
      </c>
      <c r="W702" s="2" t="s">
        <v>74</v>
      </c>
      <c r="X702" s="2" t="s">
        <v>74</v>
      </c>
      <c r="Y702" s="2" t="s">
        <v>74</v>
      </c>
      <c r="Z702" s="2" t="s">
        <v>74</v>
      </c>
      <c r="AA702" s="2" t="s">
        <v>74</v>
      </c>
      <c r="AB702" s="2" t="s">
        <v>74</v>
      </c>
      <c r="AC702" s="2" t="s">
        <v>74</v>
      </c>
      <c r="AD702" s="2" t="s">
        <v>74</v>
      </c>
      <c r="AE702" s="2" t="s">
        <v>74</v>
      </c>
      <c r="AF702" s="2" t="s">
        <v>74</v>
      </c>
      <c r="AG702" s="2" t="s">
        <v>74</v>
      </c>
      <c r="AH702" s="2" t="s">
        <v>74</v>
      </c>
      <c r="AI702" s="2" t="s">
        <v>74</v>
      </c>
      <c r="AJ702" s="2" t="s">
        <v>74</v>
      </c>
      <c r="AK702" s="2" t="s">
        <v>74</v>
      </c>
      <c r="AL702" s="2" t="s">
        <v>74</v>
      </c>
      <c r="AM702" s="2" t="s">
        <v>74</v>
      </c>
      <c r="AN702" s="2" t="s">
        <v>74</v>
      </c>
      <c r="AO702" s="2" t="s">
        <v>1202</v>
      </c>
      <c r="AP702" s="2" t="s">
        <v>1203</v>
      </c>
      <c r="AQ702" s="2" t="s">
        <v>74</v>
      </c>
      <c r="AR702" s="2" t="s">
        <v>74</v>
      </c>
      <c r="AS702" s="2" t="s">
        <v>74</v>
      </c>
      <c r="AT702" s="2" t="s">
        <v>305</v>
      </c>
      <c r="AU702" s="2">
        <v>2023</v>
      </c>
      <c r="AV702" s="2">
        <v>79</v>
      </c>
      <c r="AW702" s="2">
        <v>4</v>
      </c>
      <c r="AX702" s="2" t="s">
        <v>74</v>
      </c>
      <c r="AY702" s="2" t="s">
        <v>74</v>
      </c>
      <c r="AZ702" s="2" t="s">
        <v>74</v>
      </c>
      <c r="BA702" s="2" t="s">
        <v>74</v>
      </c>
      <c r="BB702" s="2">
        <v>196</v>
      </c>
      <c r="BC702" s="2">
        <v>206</v>
      </c>
      <c r="BD702" s="2" t="s">
        <v>74</v>
      </c>
      <c r="BE702" s="2" t="s">
        <v>7073</v>
      </c>
      <c r="BF702" s="2" t="str">
        <f>HYPERLINK("http://dx.doi.org/10.1655/Herpetologica-D-23-00011.s1","http://dx.doi.org/10.1655/Herpetologica-D-23-00011.s1")</f>
        <v>http://dx.doi.org/10.1655/Herpetologica-D-23-00011.s1</v>
      </c>
      <c r="BG702" s="2" t="s">
        <v>74</v>
      </c>
      <c r="BH702" s="2" t="s">
        <v>74</v>
      </c>
      <c r="BI702" s="2" t="s">
        <v>74</v>
      </c>
      <c r="BJ702" s="2" t="s">
        <v>74</v>
      </c>
      <c r="BK702" s="2" t="s">
        <v>74</v>
      </c>
      <c r="BL702" s="2" t="s">
        <v>74</v>
      </c>
      <c r="BM702" s="2" t="s">
        <v>74</v>
      </c>
      <c r="BN702" s="2" t="s">
        <v>74</v>
      </c>
      <c r="BO702" s="2" t="s">
        <v>74</v>
      </c>
      <c r="BP702" s="2" t="s">
        <v>74</v>
      </c>
      <c r="BQ702" s="2" t="s">
        <v>74</v>
      </c>
      <c r="BR702" s="2" t="s">
        <v>74</v>
      </c>
      <c r="BS702" s="2" t="s">
        <v>7074</v>
      </c>
      <c r="BT702" s="2" t="str">
        <f>HYPERLINK("https%3A%2F%2Fwww.webofscience.com%2Fwos%2Fwoscc%2Ffull-record%2FWOS:001208746500005","View Full Record in Web of Science")</f>
        <v>View Full Record in Web of Science</v>
      </c>
    </row>
    <row r="703" spans="1:72" s="2" customFormat="1" x14ac:dyDescent="0.4">
      <c r="A703" s="2" t="s">
        <v>72</v>
      </c>
      <c r="B703" s="2" t="s">
        <v>2180</v>
      </c>
      <c r="C703" s="2" t="s">
        <v>74</v>
      </c>
      <c r="D703" s="2" t="s">
        <v>74</v>
      </c>
      <c r="E703" s="2" t="s">
        <v>74</v>
      </c>
      <c r="F703" s="2" t="s">
        <v>2181</v>
      </c>
      <c r="G703" s="2" t="s">
        <v>74</v>
      </c>
      <c r="H703" s="2" t="s">
        <v>74</v>
      </c>
      <c r="I703" s="2" t="s">
        <v>2182</v>
      </c>
      <c r="J703" s="2" t="s">
        <v>333</v>
      </c>
      <c r="K703" s="2" t="s">
        <v>74</v>
      </c>
      <c r="L703" s="2" t="s">
        <v>74</v>
      </c>
      <c r="M703" s="2" t="s">
        <v>74</v>
      </c>
      <c r="N703" s="2" t="s">
        <v>74</v>
      </c>
      <c r="O703" s="2" t="s">
        <v>74</v>
      </c>
      <c r="P703" s="2" t="s">
        <v>74</v>
      </c>
      <c r="Q703" s="2" t="s">
        <v>74</v>
      </c>
      <c r="R703" s="2" t="s">
        <v>74</v>
      </c>
      <c r="S703" s="2" t="s">
        <v>74</v>
      </c>
      <c r="T703" s="2" t="s">
        <v>74</v>
      </c>
      <c r="U703" s="2" t="s">
        <v>74</v>
      </c>
      <c r="V703" s="5" t="s">
        <v>2183</v>
      </c>
      <c r="W703" s="2" t="s">
        <v>74</v>
      </c>
      <c r="X703" s="2" t="s">
        <v>74</v>
      </c>
      <c r="Y703" s="2" t="s">
        <v>74</v>
      </c>
      <c r="Z703" s="2" t="s">
        <v>74</v>
      </c>
      <c r="AA703" s="2" t="s">
        <v>2184</v>
      </c>
      <c r="AB703" s="2" t="s">
        <v>2185</v>
      </c>
      <c r="AC703" s="2" t="s">
        <v>74</v>
      </c>
      <c r="AD703" s="2" t="s">
        <v>74</v>
      </c>
      <c r="AE703" s="2" t="s">
        <v>74</v>
      </c>
      <c r="AF703" s="2" t="s">
        <v>74</v>
      </c>
      <c r="AG703" s="2" t="s">
        <v>74</v>
      </c>
      <c r="AH703" s="2" t="s">
        <v>74</v>
      </c>
      <c r="AI703" s="2" t="s">
        <v>74</v>
      </c>
      <c r="AJ703" s="2" t="s">
        <v>74</v>
      </c>
      <c r="AK703" s="2" t="s">
        <v>74</v>
      </c>
      <c r="AL703" s="2" t="s">
        <v>74</v>
      </c>
      <c r="AM703" s="2" t="s">
        <v>74</v>
      </c>
      <c r="AN703" s="2" t="s">
        <v>74</v>
      </c>
      <c r="AO703" s="2" t="s">
        <v>337</v>
      </c>
      <c r="AP703" s="2" t="s">
        <v>338</v>
      </c>
      <c r="AQ703" s="2" t="s">
        <v>74</v>
      </c>
      <c r="AR703" s="2" t="s">
        <v>74</v>
      </c>
      <c r="AS703" s="2" t="s">
        <v>74</v>
      </c>
      <c r="AT703" s="2" t="s">
        <v>339</v>
      </c>
      <c r="AU703" s="2">
        <v>2013</v>
      </c>
      <c r="AV703" s="2">
        <v>24</v>
      </c>
      <c r="AW703" s="2">
        <v>4</v>
      </c>
      <c r="AX703" s="2" t="s">
        <v>74</v>
      </c>
      <c r="AY703" s="2" t="s">
        <v>74</v>
      </c>
      <c r="AZ703" s="2" t="s">
        <v>74</v>
      </c>
      <c r="BA703" s="2" t="s">
        <v>74</v>
      </c>
      <c r="BB703" s="2">
        <v>846</v>
      </c>
      <c r="BC703" s="2">
        <v>852</v>
      </c>
      <c r="BD703" s="2" t="s">
        <v>74</v>
      </c>
      <c r="BE703" s="2" t="s">
        <v>2186</v>
      </c>
      <c r="BF703" s="2" t="str">
        <f>HYPERLINK("http://dx.doi.org/10.1093/beheco/art027","http://dx.doi.org/10.1093/beheco/art027")</f>
        <v>http://dx.doi.org/10.1093/beheco/art027</v>
      </c>
      <c r="BG703" s="2" t="s">
        <v>74</v>
      </c>
      <c r="BH703" s="2" t="s">
        <v>74</v>
      </c>
      <c r="BI703" s="2" t="s">
        <v>74</v>
      </c>
      <c r="BJ703" s="2" t="s">
        <v>74</v>
      </c>
      <c r="BK703" s="2" t="s">
        <v>74</v>
      </c>
      <c r="BL703" s="2" t="s">
        <v>74</v>
      </c>
      <c r="BM703" s="2" t="s">
        <v>74</v>
      </c>
      <c r="BN703" s="2" t="s">
        <v>74</v>
      </c>
      <c r="BO703" s="2" t="s">
        <v>74</v>
      </c>
      <c r="BP703" s="2" t="s">
        <v>74</v>
      </c>
      <c r="BQ703" s="2" t="s">
        <v>74</v>
      </c>
      <c r="BR703" s="2" t="s">
        <v>74</v>
      </c>
      <c r="BS703" s="2" t="s">
        <v>2187</v>
      </c>
      <c r="BT703" s="2" t="str">
        <f>HYPERLINK("https%3A%2F%2Fwww.webofscience.com%2Fwos%2Fwoscc%2Ffull-record%2FWOS:000320409900014","View Full Record in Web of Science")</f>
        <v>View Full Record in Web of Science</v>
      </c>
    </row>
    <row r="704" spans="1:72" s="2" customFormat="1" x14ac:dyDescent="0.4">
      <c r="A704" s="2" t="s">
        <v>72</v>
      </c>
      <c r="B704" s="2" t="s">
        <v>2705</v>
      </c>
      <c r="C704" s="2" t="s">
        <v>74</v>
      </c>
      <c r="D704" s="2" t="s">
        <v>74</v>
      </c>
      <c r="E704" s="2" t="s">
        <v>74</v>
      </c>
      <c r="F704" s="2" t="s">
        <v>2706</v>
      </c>
      <c r="G704" s="2" t="s">
        <v>74</v>
      </c>
      <c r="H704" s="2" t="s">
        <v>74</v>
      </c>
      <c r="I704" s="2" t="s">
        <v>2707</v>
      </c>
      <c r="J704" s="2" t="s">
        <v>1198</v>
      </c>
      <c r="K704" s="2" t="s">
        <v>74</v>
      </c>
      <c r="L704" s="2" t="s">
        <v>74</v>
      </c>
      <c r="M704" s="2" t="s">
        <v>74</v>
      </c>
      <c r="N704" s="2" t="s">
        <v>74</v>
      </c>
      <c r="O704" s="2" t="s">
        <v>74</v>
      </c>
      <c r="P704" s="2" t="s">
        <v>74</v>
      </c>
      <c r="Q704" s="2" t="s">
        <v>74</v>
      </c>
      <c r="R704" s="2" t="s">
        <v>74</v>
      </c>
      <c r="S704" s="2" t="s">
        <v>74</v>
      </c>
      <c r="T704" s="2" t="s">
        <v>74</v>
      </c>
      <c r="U704" s="2" t="s">
        <v>74</v>
      </c>
      <c r="V704" s="5" t="s">
        <v>2708</v>
      </c>
      <c r="W704" s="2" t="s">
        <v>74</v>
      </c>
      <c r="X704" s="2" t="s">
        <v>74</v>
      </c>
      <c r="Y704" s="2" t="s">
        <v>74</v>
      </c>
      <c r="Z704" s="2" t="s">
        <v>74</v>
      </c>
      <c r="AA704" s="2" t="s">
        <v>74</v>
      </c>
      <c r="AB704" s="2" t="s">
        <v>2709</v>
      </c>
      <c r="AC704" s="2" t="s">
        <v>74</v>
      </c>
      <c r="AD704" s="2" t="s">
        <v>74</v>
      </c>
      <c r="AE704" s="2" t="s">
        <v>74</v>
      </c>
      <c r="AF704" s="2" t="s">
        <v>74</v>
      </c>
      <c r="AG704" s="2" t="s">
        <v>74</v>
      </c>
      <c r="AH704" s="2" t="s">
        <v>74</v>
      </c>
      <c r="AI704" s="2" t="s">
        <v>74</v>
      </c>
      <c r="AJ704" s="2" t="s">
        <v>74</v>
      </c>
      <c r="AK704" s="2" t="s">
        <v>74</v>
      </c>
      <c r="AL704" s="2" t="s">
        <v>74</v>
      </c>
      <c r="AM704" s="2" t="s">
        <v>74</v>
      </c>
      <c r="AN704" s="2" t="s">
        <v>74</v>
      </c>
      <c r="AO704" s="2" t="s">
        <v>1202</v>
      </c>
      <c r="AP704" s="2" t="s">
        <v>1203</v>
      </c>
      <c r="AQ704" s="2" t="s">
        <v>74</v>
      </c>
      <c r="AR704" s="2" t="s">
        <v>74</v>
      </c>
      <c r="AS704" s="2" t="s">
        <v>74</v>
      </c>
      <c r="AT704" s="2" t="s">
        <v>102</v>
      </c>
      <c r="AU704" s="2">
        <v>2014</v>
      </c>
      <c r="AV704" s="2">
        <v>70</v>
      </c>
      <c r="AW704" s="2">
        <v>2</v>
      </c>
      <c r="AX704" s="2" t="s">
        <v>74</v>
      </c>
      <c r="AY704" s="2" t="s">
        <v>74</v>
      </c>
      <c r="AZ704" s="2" t="s">
        <v>74</v>
      </c>
      <c r="BA704" s="2" t="s">
        <v>74</v>
      </c>
      <c r="BB704" s="2">
        <v>157</v>
      </c>
      <c r="BC704" s="2">
        <v>170</v>
      </c>
      <c r="BD704" s="2" t="s">
        <v>74</v>
      </c>
      <c r="BE704" s="2" t="s">
        <v>2710</v>
      </c>
      <c r="BF704" s="2" t="str">
        <f>HYPERLINK("http://dx.doi.org/10.1655/HERPETOLOGICA-D-13-00073","http://dx.doi.org/10.1655/HERPETOLOGICA-D-13-00073")</f>
        <v>http://dx.doi.org/10.1655/HERPETOLOGICA-D-13-00073</v>
      </c>
      <c r="BG704" s="2" t="s">
        <v>74</v>
      </c>
      <c r="BH704" s="2" t="s">
        <v>74</v>
      </c>
      <c r="BI704" s="2" t="s">
        <v>74</v>
      </c>
      <c r="BJ704" s="2" t="s">
        <v>74</v>
      </c>
      <c r="BK704" s="2" t="s">
        <v>74</v>
      </c>
      <c r="BL704" s="2" t="s">
        <v>74</v>
      </c>
      <c r="BM704" s="2" t="s">
        <v>74</v>
      </c>
      <c r="BN704" s="2" t="s">
        <v>74</v>
      </c>
      <c r="BO704" s="2" t="s">
        <v>74</v>
      </c>
      <c r="BP704" s="2" t="s">
        <v>74</v>
      </c>
      <c r="BQ704" s="2" t="s">
        <v>74</v>
      </c>
      <c r="BR704" s="2" t="s">
        <v>74</v>
      </c>
      <c r="BS704" s="2" t="s">
        <v>2711</v>
      </c>
      <c r="BT704" s="2" t="str">
        <f>HYPERLINK("https%3A%2F%2Fwww.webofscience.com%2Fwos%2Fwoscc%2Ffull-record%2FWOS:000336047900004","View Full Record in Web of Science")</f>
        <v>View Full Record in Web of Science</v>
      </c>
    </row>
    <row r="705" spans="1:72" s="2" customFormat="1" x14ac:dyDescent="0.4">
      <c r="A705" s="2" t="s">
        <v>72</v>
      </c>
      <c r="B705" s="2" t="s">
        <v>3989</v>
      </c>
      <c r="C705" s="2" t="s">
        <v>74</v>
      </c>
      <c r="D705" s="2" t="s">
        <v>74</v>
      </c>
      <c r="E705" s="2" t="s">
        <v>74</v>
      </c>
      <c r="F705" s="2" t="s">
        <v>3990</v>
      </c>
      <c r="G705" s="2" t="s">
        <v>74</v>
      </c>
      <c r="H705" s="2" t="s">
        <v>74</v>
      </c>
      <c r="I705" s="2" t="s">
        <v>3991</v>
      </c>
      <c r="J705" s="2" t="s">
        <v>129</v>
      </c>
      <c r="K705" s="2" t="s">
        <v>74</v>
      </c>
      <c r="L705" s="2" t="s">
        <v>74</v>
      </c>
      <c r="M705" s="2" t="s">
        <v>74</v>
      </c>
      <c r="N705" s="2" t="s">
        <v>74</v>
      </c>
      <c r="O705" s="2" t="s">
        <v>74</v>
      </c>
      <c r="P705" s="2" t="s">
        <v>74</v>
      </c>
      <c r="Q705" s="2" t="s">
        <v>74</v>
      </c>
      <c r="R705" s="2" t="s">
        <v>74</v>
      </c>
      <c r="S705" s="2" t="s">
        <v>74</v>
      </c>
      <c r="T705" s="2" t="s">
        <v>74</v>
      </c>
      <c r="U705" s="2" t="s">
        <v>74</v>
      </c>
      <c r="V705" s="5" t="s">
        <v>3992</v>
      </c>
      <c r="W705" s="2" t="s">
        <v>74</v>
      </c>
      <c r="X705" s="2" t="s">
        <v>74</v>
      </c>
      <c r="Y705" s="2" t="s">
        <v>74</v>
      </c>
      <c r="Z705" s="2" t="s">
        <v>74</v>
      </c>
      <c r="AA705" s="2" t="s">
        <v>3993</v>
      </c>
      <c r="AB705" s="2" t="s">
        <v>3994</v>
      </c>
      <c r="AC705" s="2" t="s">
        <v>74</v>
      </c>
      <c r="AD705" s="2" t="s">
        <v>74</v>
      </c>
      <c r="AE705" s="2" t="s">
        <v>74</v>
      </c>
      <c r="AF705" s="2" t="s">
        <v>74</v>
      </c>
      <c r="AG705" s="2" t="s">
        <v>74</v>
      </c>
      <c r="AH705" s="2" t="s">
        <v>74</v>
      </c>
      <c r="AI705" s="2" t="s">
        <v>74</v>
      </c>
      <c r="AJ705" s="2" t="s">
        <v>74</v>
      </c>
      <c r="AK705" s="2" t="s">
        <v>74</v>
      </c>
      <c r="AL705" s="2" t="s">
        <v>74</v>
      </c>
      <c r="AM705" s="2" t="s">
        <v>74</v>
      </c>
      <c r="AN705" s="2" t="s">
        <v>74</v>
      </c>
      <c r="AO705" s="2" t="s">
        <v>132</v>
      </c>
      <c r="AP705" s="2" t="s">
        <v>133</v>
      </c>
      <c r="AQ705" s="2" t="s">
        <v>74</v>
      </c>
      <c r="AR705" s="2" t="s">
        <v>74</v>
      </c>
      <c r="AS705" s="2" t="s">
        <v>74</v>
      </c>
      <c r="AT705" s="2" t="s">
        <v>633</v>
      </c>
      <c r="AU705" s="2">
        <v>2008</v>
      </c>
      <c r="AV705" s="2">
        <v>62</v>
      </c>
      <c r="AW705" s="2">
        <v>8</v>
      </c>
      <c r="AX705" s="2" t="s">
        <v>74</v>
      </c>
      <c r="AY705" s="2" t="s">
        <v>74</v>
      </c>
      <c r="AZ705" s="2" t="s">
        <v>74</v>
      </c>
      <c r="BA705" s="2" t="s">
        <v>74</v>
      </c>
      <c r="BB705" s="2">
        <v>1341</v>
      </c>
      <c r="BC705" s="2">
        <v>1350</v>
      </c>
      <c r="BD705" s="2" t="s">
        <v>74</v>
      </c>
      <c r="BE705" s="2" t="s">
        <v>3995</v>
      </c>
      <c r="BF705" s="2" t="str">
        <f>HYPERLINK("http://dx.doi.org/10.1007/s00265-008-0562-z","http://dx.doi.org/10.1007/s00265-008-0562-z")</f>
        <v>http://dx.doi.org/10.1007/s00265-008-0562-z</v>
      </c>
      <c r="BG705" s="2" t="s">
        <v>74</v>
      </c>
      <c r="BH705" s="2" t="s">
        <v>74</v>
      </c>
      <c r="BI705" s="2" t="s">
        <v>74</v>
      </c>
      <c r="BJ705" s="2" t="s">
        <v>74</v>
      </c>
      <c r="BK705" s="2" t="s">
        <v>74</v>
      </c>
      <c r="BL705" s="2" t="s">
        <v>74</v>
      </c>
      <c r="BM705" s="2" t="s">
        <v>74</v>
      </c>
      <c r="BN705" s="2" t="s">
        <v>74</v>
      </c>
      <c r="BO705" s="2" t="s">
        <v>74</v>
      </c>
      <c r="BP705" s="2" t="s">
        <v>74</v>
      </c>
      <c r="BQ705" s="2" t="s">
        <v>74</v>
      </c>
      <c r="BR705" s="2" t="s">
        <v>74</v>
      </c>
      <c r="BS705" s="2" t="s">
        <v>3996</v>
      </c>
      <c r="BT705" s="2" t="str">
        <f>HYPERLINK("https%3A%2F%2Fwww.webofscience.com%2Fwos%2Fwoscc%2Ffull-record%2FWOS:000255851400013","View Full Record in Web of Science")</f>
        <v>View Full Record in Web of Science</v>
      </c>
    </row>
    <row r="706" spans="1:72" s="2" customFormat="1" x14ac:dyDescent="0.4">
      <c r="A706" s="2" t="s">
        <v>72</v>
      </c>
      <c r="B706" s="2" t="s">
        <v>7673</v>
      </c>
      <c r="C706" s="2" t="s">
        <v>74</v>
      </c>
      <c r="D706" s="2" t="s">
        <v>74</v>
      </c>
      <c r="E706" s="2" t="s">
        <v>74</v>
      </c>
      <c r="F706" s="2" t="s">
        <v>7674</v>
      </c>
      <c r="G706" s="2" t="s">
        <v>74</v>
      </c>
      <c r="H706" s="2" t="s">
        <v>74</v>
      </c>
      <c r="I706" s="2" t="s">
        <v>7675</v>
      </c>
      <c r="J706" s="2" t="s">
        <v>610</v>
      </c>
      <c r="K706" s="2" t="s">
        <v>74</v>
      </c>
      <c r="L706" s="2" t="s">
        <v>74</v>
      </c>
      <c r="M706" s="2" t="s">
        <v>74</v>
      </c>
      <c r="N706" s="2" t="s">
        <v>74</v>
      </c>
      <c r="O706" s="2" t="s">
        <v>74</v>
      </c>
      <c r="P706" s="2" t="s">
        <v>74</v>
      </c>
      <c r="Q706" s="2" t="s">
        <v>74</v>
      </c>
      <c r="R706" s="2" t="s">
        <v>74</v>
      </c>
      <c r="S706" s="2" t="s">
        <v>74</v>
      </c>
      <c r="T706" s="2" t="s">
        <v>74</v>
      </c>
      <c r="U706" s="2" t="s">
        <v>74</v>
      </c>
      <c r="V706" s="5" t="s">
        <v>7676</v>
      </c>
      <c r="W706" s="2" t="s">
        <v>74</v>
      </c>
      <c r="X706" s="2" t="s">
        <v>74</v>
      </c>
      <c r="Y706" s="2" t="s">
        <v>74</v>
      </c>
      <c r="Z706" s="2" t="s">
        <v>74</v>
      </c>
      <c r="AA706" s="2" t="s">
        <v>74</v>
      </c>
      <c r="AB706" s="2" t="s">
        <v>74</v>
      </c>
      <c r="AC706" s="2" t="s">
        <v>74</v>
      </c>
      <c r="AD706" s="2" t="s">
        <v>74</v>
      </c>
      <c r="AE706" s="2" t="s">
        <v>74</v>
      </c>
      <c r="AF706" s="2" t="s">
        <v>74</v>
      </c>
      <c r="AG706" s="2" t="s">
        <v>74</v>
      </c>
      <c r="AH706" s="2" t="s">
        <v>74</v>
      </c>
      <c r="AI706" s="2" t="s">
        <v>74</v>
      </c>
      <c r="AJ706" s="2" t="s">
        <v>74</v>
      </c>
      <c r="AK706" s="2" t="s">
        <v>74</v>
      </c>
      <c r="AL706" s="2" t="s">
        <v>74</v>
      </c>
      <c r="AM706" s="2" t="s">
        <v>74</v>
      </c>
      <c r="AN706" s="2" t="s">
        <v>74</v>
      </c>
      <c r="AO706" s="2" t="s">
        <v>614</v>
      </c>
      <c r="AP706" s="2" t="s">
        <v>615</v>
      </c>
      <c r="AQ706" s="2" t="s">
        <v>74</v>
      </c>
      <c r="AR706" s="2" t="s">
        <v>74</v>
      </c>
      <c r="AS706" s="2" t="s">
        <v>74</v>
      </c>
      <c r="AT706" s="2" t="s">
        <v>145</v>
      </c>
      <c r="AU706" s="2">
        <v>2019</v>
      </c>
      <c r="AV706" s="2">
        <v>125</v>
      </c>
      <c r="AW706" s="2">
        <v>8</v>
      </c>
      <c r="AX706" s="2" t="s">
        <v>74</v>
      </c>
      <c r="AY706" s="2" t="s">
        <v>74</v>
      </c>
      <c r="AZ706" s="2" t="s">
        <v>74</v>
      </c>
      <c r="BA706" s="2" t="s">
        <v>74</v>
      </c>
      <c r="BB706" s="2">
        <v>575</v>
      </c>
      <c r="BC706" s="2">
        <v>586</v>
      </c>
      <c r="BD706" s="2" t="s">
        <v>74</v>
      </c>
      <c r="BE706" s="2" t="s">
        <v>7677</v>
      </c>
      <c r="BF706" s="2" t="str">
        <f>HYPERLINK("http://dx.doi.org/10.1111/eth.12885","http://dx.doi.org/10.1111/eth.12885")</f>
        <v>http://dx.doi.org/10.1111/eth.12885</v>
      </c>
      <c r="BG706" s="2" t="s">
        <v>74</v>
      </c>
      <c r="BH706" s="2" t="s">
        <v>74</v>
      </c>
      <c r="BI706" s="2" t="s">
        <v>74</v>
      </c>
      <c r="BJ706" s="2" t="s">
        <v>74</v>
      </c>
      <c r="BK706" s="2" t="s">
        <v>74</v>
      </c>
      <c r="BL706" s="2" t="s">
        <v>74</v>
      </c>
      <c r="BM706" s="2" t="s">
        <v>74</v>
      </c>
      <c r="BN706" s="2" t="s">
        <v>74</v>
      </c>
      <c r="BO706" s="2" t="s">
        <v>74</v>
      </c>
      <c r="BP706" s="2" t="s">
        <v>74</v>
      </c>
      <c r="BQ706" s="2" t="s">
        <v>74</v>
      </c>
      <c r="BR706" s="2" t="s">
        <v>74</v>
      </c>
      <c r="BS706" s="2" t="s">
        <v>7678</v>
      </c>
      <c r="BT706" s="2" t="str">
        <f>HYPERLINK("https%3A%2F%2Fwww.webofscience.com%2Fwos%2Fwoscc%2Ffull-record%2FWOS:000474271600009","View Full Record in Web of Science")</f>
        <v>View Full Record in Web of Science</v>
      </c>
    </row>
    <row r="707" spans="1:72" s="2" customFormat="1" x14ac:dyDescent="0.4">
      <c r="A707" s="2" t="s">
        <v>72</v>
      </c>
      <c r="B707" s="2" t="s">
        <v>5631</v>
      </c>
      <c r="C707" s="2" t="s">
        <v>74</v>
      </c>
      <c r="D707" s="2" t="s">
        <v>74</v>
      </c>
      <c r="E707" s="2" t="s">
        <v>74</v>
      </c>
      <c r="F707" s="2" t="s">
        <v>5632</v>
      </c>
      <c r="G707" s="2" t="s">
        <v>74</v>
      </c>
      <c r="H707" s="2" t="s">
        <v>74</v>
      </c>
      <c r="I707" s="2" t="s">
        <v>5633</v>
      </c>
      <c r="J707" s="2" t="s">
        <v>1549</v>
      </c>
      <c r="K707" s="2" t="s">
        <v>74</v>
      </c>
      <c r="L707" s="2" t="s">
        <v>74</v>
      </c>
      <c r="M707" s="2" t="s">
        <v>74</v>
      </c>
      <c r="N707" s="2" t="s">
        <v>74</v>
      </c>
      <c r="O707" s="2" t="s">
        <v>74</v>
      </c>
      <c r="P707" s="2" t="s">
        <v>74</v>
      </c>
      <c r="Q707" s="2" t="s">
        <v>74</v>
      </c>
      <c r="R707" s="2" t="s">
        <v>74</v>
      </c>
      <c r="S707" s="2" t="s">
        <v>74</v>
      </c>
      <c r="T707" s="2" t="s">
        <v>74</v>
      </c>
      <c r="U707" s="2" t="s">
        <v>74</v>
      </c>
      <c r="V707" s="5" t="s">
        <v>5634</v>
      </c>
      <c r="W707" s="2" t="s">
        <v>74</v>
      </c>
      <c r="X707" s="2" t="s">
        <v>74</v>
      </c>
      <c r="Y707" s="2" t="s">
        <v>74</v>
      </c>
      <c r="Z707" s="2" t="s">
        <v>74</v>
      </c>
      <c r="AA707" s="2" t="s">
        <v>74</v>
      </c>
      <c r="AB707" s="2" t="s">
        <v>5635</v>
      </c>
      <c r="AC707" s="2" t="s">
        <v>74</v>
      </c>
      <c r="AD707" s="2" t="s">
        <v>74</v>
      </c>
      <c r="AE707" s="2" t="s">
        <v>74</v>
      </c>
      <c r="AF707" s="2" t="s">
        <v>74</v>
      </c>
      <c r="AG707" s="2" t="s">
        <v>74</v>
      </c>
      <c r="AH707" s="2" t="s">
        <v>74</v>
      </c>
      <c r="AI707" s="2" t="s">
        <v>74</v>
      </c>
      <c r="AJ707" s="2" t="s">
        <v>74</v>
      </c>
      <c r="AK707" s="2" t="s">
        <v>74</v>
      </c>
      <c r="AL707" s="2" t="s">
        <v>74</v>
      </c>
      <c r="AM707" s="2" t="s">
        <v>74</v>
      </c>
      <c r="AN707" s="2" t="s">
        <v>74</v>
      </c>
      <c r="AO707" s="2" t="s">
        <v>1551</v>
      </c>
      <c r="AP707" s="2" t="s">
        <v>74</v>
      </c>
      <c r="AQ707" s="2" t="s">
        <v>74</v>
      </c>
      <c r="AR707" s="2" t="s">
        <v>74</v>
      </c>
      <c r="AS707" s="2" t="s">
        <v>74</v>
      </c>
      <c r="AT707" s="2" t="s">
        <v>102</v>
      </c>
      <c r="AU707" s="2">
        <v>2012</v>
      </c>
      <c r="AV707" s="2">
        <v>37</v>
      </c>
      <c r="AW707" s="2">
        <v>2</v>
      </c>
      <c r="AX707" s="2" t="s">
        <v>74</v>
      </c>
      <c r="AY707" s="2" t="s">
        <v>74</v>
      </c>
      <c r="AZ707" s="2" t="s">
        <v>74</v>
      </c>
      <c r="BA707" s="2" t="s">
        <v>74</v>
      </c>
      <c r="BB707" s="2">
        <v>109</v>
      </c>
      <c r="BC707" s="2">
        <v>118</v>
      </c>
      <c r="BD707" s="2" t="s">
        <v>74</v>
      </c>
      <c r="BE707" s="2" t="s">
        <v>5636</v>
      </c>
      <c r="BF707" s="2" t="str">
        <f>HYPERLINK("http://dx.doi.org/10.1111/j.1365-3032.2011.00812.x","http://dx.doi.org/10.1111/j.1365-3032.2011.00812.x")</f>
        <v>http://dx.doi.org/10.1111/j.1365-3032.2011.00812.x</v>
      </c>
      <c r="BG707" s="2" t="s">
        <v>74</v>
      </c>
      <c r="BH707" s="2" t="s">
        <v>74</v>
      </c>
      <c r="BI707" s="2" t="s">
        <v>74</v>
      </c>
      <c r="BJ707" s="2" t="s">
        <v>74</v>
      </c>
      <c r="BK707" s="2" t="s">
        <v>74</v>
      </c>
      <c r="BL707" s="2" t="s">
        <v>74</v>
      </c>
      <c r="BM707" s="2" t="s">
        <v>74</v>
      </c>
      <c r="BN707" s="2" t="s">
        <v>74</v>
      </c>
      <c r="BO707" s="2" t="s">
        <v>74</v>
      </c>
      <c r="BP707" s="2" t="s">
        <v>74</v>
      </c>
      <c r="BQ707" s="2" t="s">
        <v>74</v>
      </c>
      <c r="BR707" s="2" t="s">
        <v>74</v>
      </c>
      <c r="BS707" s="2" t="s">
        <v>5637</v>
      </c>
      <c r="BT707" s="2" t="str">
        <f>HYPERLINK("https%3A%2F%2Fwww.webofscience.com%2Fwos%2Fwoscc%2Ffull-record%2FWOS:000304091500002","View Full Record in Web of Science")</f>
        <v>View Full Record in Web of Science</v>
      </c>
    </row>
    <row r="708" spans="1:72" s="2" customFormat="1" x14ac:dyDescent="0.4">
      <c r="A708" s="2" t="s">
        <v>72</v>
      </c>
      <c r="B708" s="2" t="s">
        <v>1102</v>
      </c>
      <c r="C708" s="2" t="s">
        <v>74</v>
      </c>
      <c r="D708" s="2" t="s">
        <v>74</v>
      </c>
      <c r="E708" s="2" t="s">
        <v>74</v>
      </c>
      <c r="F708" s="2" t="s">
        <v>1103</v>
      </c>
      <c r="G708" s="2" t="s">
        <v>74</v>
      </c>
      <c r="H708" s="2" t="s">
        <v>74</v>
      </c>
      <c r="I708" s="2" t="s">
        <v>1104</v>
      </c>
      <c r="J708" s="2" t="s">
        <v>1044</v>
      </c>
      <c r="K708" s="2" t="s">
        <v>74</v>
      </c>
      <c r="L708" s="2" t="s">
        <v>74</v>
      </c>
      <c r="M708" s="2" t="s">
        <v>74</v>
      </c>
      <c r="N708" s="2" t="s">
        <v>74</v>
      </c>
      <c r="O708" s="2" t="s">
        <v>74</v>
      </c>
      <c r="P708" s="2" t="s">
        <v>74</v>
      </c>
      <c r="Q708" s="2" t="s">
        <v>74</v>
      </c>
      <c r="R708" s="2" t="s">
        <v>74</v>
      </c>
      <c r="S708" s="2" t="s">
        <v>74</v>
      </c>
      <c r="T708" s="2" t="s">
        <v>74</v>
      </c>
      <c r="U708" s="2" t="s">
        <v>74</v>
      </c>
      <c r="V708" s="5" t="s">
        <v>1105</v>
      </c>
      <c r="W708" s="2" t="s">
        <v>74</v>
      </c>
      <c r="X708" s="2" t="s">
        <v>74</v>
      </c>
      <c r="Y708" s="2" t="s">
        <v>74</v>
      </c>
      <c r="Z708" s="2" t="s">
        <v>74</v>
      </c>
      <c r="AA708" s="2" t="s">
        <v>1106</v>
      </c>
      <c r="AB708" s="2" t="s">
        <v>1107</v>
      </c>
      <c r="AC708" s="2" t="s">
        <v>74</v>
      </c>
      <c r="AD708" s="2" t="s">
        <v>74</v>
      </c>
      <c r="AE708" s="2" t="s">
        <v>74</v>
      </c>
      <c r="AF708" s="2" t="s">
        <v>74</v>
      </c>
      <c r="AG708" s="2" t="s">
        <v>74</v>
      </c>
      <c r="AH708" s="2" t="s">
        <v>74</v>
      </c>
      <c r="AI708" s="2" t="s">
        <v>74</v>
      </c>
      <c r="AJ708" s="2" t="s">
        <v>74</v>
      </c>
      <c r="AK708" s="2" t="s">
        <v>74</v>
      </c>
      <c r="AL708" s="2" t="s">
        <v>74</v>
      </c>
      <c r="AM708" s="2" t="s">
        <v>74</v>
      </c>
      <c r="AN708" s="2" t="s">
        <v>74</v>
      </c>
      <c r="AO708" s="2" t="s">
        <v>1048</v>
      </c>
      <c r="AP708" s="2" t="s">
        <v>74</v>
      </c>
      <c r="AQ708" s="2" t="s">
        <v>74</v>
      </c>
      <c r="AR708" s="2" t="s">
        <v>74</v>
      </c>
      <c r="AS708" s="2" t="s">
        <v>74</v>
      </c>
      <c r="AT708" s="2" t="s">
        <v>145</v>
      </c>
      <c r="AU708" s="2">
        <v>2010</v>
      </c>
      <c r="AV708" s="2">
        <v>19</v>
      </c>
      <c r="AW708" s="2">
        <v>16</v>
      </c>
      <c r="AX708" s="2" t="s">
        <v>74</v>
      </c>
      <c r="AY708" s="2" t="s">
        <v>74</v>
      </c>
      <c r="AZ708" s="2" t="s">
        <v>74</v>
      </c>
      <c r="BA708" s="2" t="s">
        <v>74</v>
      </c>
      <c r="BB708" s="2">
        <v>3285</v>
      </c>
      <c r="BC708" s="2">
        <v>3300</v>
      </c>
      <c r="BD708" s="2" t="s">
        <v>74</v>
      </c>
      <c r="BE708" s="2" t="s">
        <v>1108</v>
      </c>
      <c r="BF708" s="2" t="str">
        <f>HYPERLINK("http://dx.doi.org/10.1111/j.1365-294X.2010.04751.x","http://dx.doi.org/10.1111/j.1365-294X.2010.04751.x")</f>
        <v>http://dx.doi.org/10.1111/j.1365-294X.2010.04751.x</v>
      </c>
      <c r="BG708" s="2" t="s">
        <v>74</v>
      </c>
      <c r="BH708" s="2" t="s">
        <v>74</v>
      </c>
      <c r="BI708" s="2" t="s">
        <v>74</v>
      </c>
      <c r="BJ708" s="2" t="s">
        <v>74</v>
      </c>
      <c r="BK708" s="2" t="s">
        <v>74</v>
      </c>
      <c r="BL708" s="2" t="s">
        <v>74</v>
      </c>
      <c r="BM708" s="2" t="s">
        <v>74</v>
      </c>
      <c r="BN708" s="2">
        <v>20659245</v>
      </c>
      <c r="BO708" s="2" t="s">
        <v>74</v>
      </c>
      <c r="BP708" s="2" t="s">
        <v>74</v>
      </c>
      <c r="BQ708" s="2" t="s">
        <v>74</v>
      </c>
      <c r="BR708" s="2" t="s">
        <v>74</v>
      </c>
      <c r="BS708" s="2" t="s">
        <v>1109</v>
      </c>
      <c r="BT708" s="2" t="str">
        <f>HYPERLINK("https%3A%2F%2Fwww.webofscience.com%2Fwos%2Fwoscc%2Ffull-record%2FWOS:000208393200001","View Full Record in Web of Science")</f>
        <v>View Full Record in Web of Science</v>
      </c>
    </row>
    <row r="709" spans="1:72" s="2" customFormat="1" x14ac:dyDescent="0.4">
      <c r="A709" s="2" t="s">
        <v>72</v>
      </c>
      <c r="B709" s="2" t="s">
        <v>3448</v>
      </c>
      <c r="C709" s="2" t="s">
        <v>74</v>
      </c>
      <c r="D709" s="2" t="s">
        <v>74</v>
      </c>
      <c r="E709" s="2" t="s">
        <v>74</v>
      </c>
      <c r="F709" s="2" t="s">
        <v>3449</v>
      </c>
      <c r="G709" s="2" t="s">
        <v>74</v>
      </c>
      <c r="H709" s="2" t="s">
        <v>74</v>
      </c>
      <c r="I709" s="2" t="s">
        <v>3450</v>
      </c>
      <c r="J709" s="2" t="s">
        <v>3451</v>
      </c>
      <c r="K709" s="2" t="s">
        <v>74</v>
      </c>
      <c r="L709" s="2" t="s">
        <v>74</v>
      </c>
      <c r="M709" s="2" t="s">
        <v>74</v>
      </c>
      <c r="N709" s="2" t="s">
        <v>74</v>
      </c>
      <c r="O709" s="2" t="s">
        <v>74</v>
      </c>
      <c r="P709" s="2" t="s">
        <v>74</v>
      </c>
      <c r="Q709" s="2" t="s">
        <v>74</v>
      </c>
      <c r="R709" s="2" t="s">
        <v>74</v>
      </c>
      <c r="S709" s="2" t="s">
        <v>74</v>
      </c>
      <c r="T709" s="2" t="s">
        <v>74</v>
      </c>
      <c r="U709" s="2" t="s">
        <v>74</v>
      </c>
      <c r="V709" s="5" t="s">
        <v>3452</v>
      </c>
      <c r="W709" s="2" t="s">
        <v>74</v>
      </c>
      <c r="X709" s="2" t="s">
        <v>74</v>
      </c>
      <c r="Y709" s="2" t="s">
        <v>74</v>
      </c>
      <c r="Z709" s="2" t="s">
        <v>74</v>
      </c>
      <c r="AA709" s="2" t="s">
        <v>3453</v>
      </c>
      <c r="AB709" s="2" t="s">
        <v>1610</v>
      </c>
      <c r="AC709" s="2" t="s">
        <v>74</v>
      </c>
      <c r="AD709" s="2" t="s">
        <v>74</v>
      </c>
      <c r="AE709" s="2" t="s">
        <v>74</v>
      </c>
      <c r="AF709" s="2" t="s">
        <v>74</v>
      </c>
      <c r="AG709" s="2" t="s">
        <v>74</v>
      </c>
      <c r="AH709" s="2" t="s">
        <v>74</v>
      </c>
      <c r="AI709" s="2" t="s">
        <v>74</v>
      </c>
      <c r="AJ709" s="2" t="s">
        <v>74</v>
      </c>
      <c r="AK709" s="2" t="s">
        <v>74</v>
      </c>
      <c r="AL709" s="2" t="s">
        <v>74</v>
      </c>
      <c r="AM709" s="2" t="s">
        <v>74</v>
      </c>
      <c r="AN709" s="2" t="s">
        <v>74</v>
      </c>
      <c r="AO709" s="2" t="s">
        <v>3454</v>
      </c>
      <c r="AP709" s="2" t="s">
        <v>74</v>
      </c>
      <c r="AQ709" s="2" t="s">
        <v>74</v>
      </c>
      <c r="AR709" s="2" t="s">
        <v>74</v>
      </c>
      <c r="AS709" s="2" t="s">
        <v>74</v>
      </c>
      <c r="AT709" s="2" t="s">
        <v>213</v>
      </c>
      <c r="AU709" s="2">
        <v>2010</v>
      </c>
      <c r="AV709" s="2">
        <v>81</v>
      </c>
      <c r="AW709" s="2">
        <v>3</v>
      </c>
      <c r="AX709" s="2" t="s">
        <v>74</v>
      </c>
      <c r="AY709" s="2" t="s">
        <v>74</v>
      </c>
      <c r="AZ709" s="2" t="s">
        <v>74</v>
      </c>
      <c r="BA709" s="2" t="s">
        <v>74</v>
      </c>
      <c r="BB709" s="2">
        <v>247</v>
      </c>
      <c r="BC709" s="2">
        <v>250</v>
      </c>
      <c r="BD709" s="2" t="s">
        <v>3455</v>
      </c>
      <c r="BE709" s="2" t="s">
        <v>3456</v>
      </c>
      <c r="BF709" s="2" t="str">
        <f>HYPERLINK("http://dx.doi.org/10.2989/00306525.2010.519864","http://dx.doi.org/10.2989/00306525.2010.519864")</f>
        <v>http://dx.doi.org/10.2989/00306525.2010.519864</v>
      </c>
      <c r="BG709" s="2" t="s">
        <v>74</v>
      </c>
      <c r="BH709" s="2" t="s">
        <v>74</v>
      </c>
      <c r="BI709" s="2" t="s">
        <v>74</v>
      </c>
      <c r="BJ709" s="2" t="s">
        <v>74</v>
      </c>
      <c r="BK709" s="2" t="s">
        <v>74</v>
      </c>
      <c r="BL709" s="2" t="s">
        <v>74</v>
      </c>
      <c r="BM709" s="2" t="s">
        <v>74</v>
      </c>
      <c r="BN709" s="2" t="s">
        <v>74</v>
      </c>
      <c r="BO709" s="2" t="s">
        <v>74</v>
      </c>
      <c r="BP709" s="2" t="s">
        <v>74</v>
      </c>
      <c r="BQ709" s="2" t="s">
        <v>74</v>
      </c>
      <c r="BR709" s="2" t="s">
        <v>74</v>
      </c>
      <c r="BS709" s="2" t="s">
        <v>3457</v>
      </c>
      <c r="BT709" s="2" t="str">
        <f>HYPERLINK("https%3A%2F%2Fwww.webofscience.com%2Fwos%2Fwoscc%2Ffull-record%2FWOS:000284229300012","View Full Record in Web of Science")</f>
        <v>View Full Record in Web of Science</v>
      </c>
    </row>
    <row r="710" spans="1:72" s="2" customFormat="1" x14ac:dyDescent="0.4">
      <c r="A710" s="2" t="s">
        <v>72</v>
      </c>
      <c r="B710" s="2" t="s">
        <v>2121</v>
      </c>
      <c r="C710" s="2" t="s">
        <v>74</v>
      </c>
      <c r="D710" s="2" t="s">
        <v>74</v>
      </c>
      <c r="E710" s="2" t="s">
        <v>74</v>
      </c>
      <c r="F710" s="2" t="s">
        <v>2121</v>
      </c>
      <c r="G710" s="2" t="s">
        <v>74</v>
      </c>
      <c r="H710" s="2" t="s">
        <v>74</v>
      </c>
      <c r="I710" s="2" t="s">
        <v>2122</v>
      </c>
      <c r="J710" s="2" t="s">
        <v>77</v>
      </c>
      <c r="K710" s="2" t="s">
        <v>74</v>
      </c>
      <c r="L710" s="2" t="s">
        <v>74</v>
      </c>
      <c r="M710" s="2" t="s">
        <v>74</v>
      </c>
      <c r="N710" s="2" t="s">
        <v>74</v>
      </c>
      <c r="O710" s="2" t="s">
        <v>74</v>
      </c>
      <c r="P710" s="2" t="s">
        <v>74</v>
      </c>
      <c r="Q710" s="2" t="s">
        <v>74</v>
      </c>
      <c r="R710" s="2" t="s">
        <v>74</v>
      </c>
      <c r="S710" s="2" t="s">
        <v>74</v>
      </c>
      <c r="T710" s="2" t="s">
        <v>74</v>
      </c>
      <c r="U710" s="2" t="s">
        <v>74</v>
      </c>
      <c r="V710" s="5" t="s">
        <v>2123</v>
      </c>
      <c r="W710" s="2" t="s">
        <v>74</v>
      </c>
      <c r="X710" s="2" t="s">
        <v>74</v>
      </c>
      <c r="Y710" s="2" t="s">
        <v>74</v>
      </c>
      <c r="Z710" s="2" t="s">
        <v>74</v>
      </c>
      <c r="AA710" s="2" t="s">
        <v>2124</v>
      </c>
      <c r="AB710" s="2" t="s">
        <v>2125</v>
      </c>
      <c r="AC710" s="2" t="s">
        <v>74</v>
      </c>
      <c r="AD710" s="2" t="s">
        <v>74</v>
      </c>
      <c r="AE710" s="2" t="s">
        <v>74</v>
      </c>
      <c r="AF710" s="2" t="s">
        <v>74</v>
      </c>
      <c r="AG710" s="2" t="s">
        <v>74</v>
      </c>
      <c r="AH710" s="2" t="s">
        <v>74</v>
      </c>
      <c r="AI710" s="2" t="s">
        <v>74</v>
      </c>
      <c r="AJ710" s="2" t="s">
        <v>74</v>
      </c>
      <c r="AK710" s="2" t="s">
        <v>74</v>
      </c>
      <c r="AL710" s="2" t="s">
        <v>74</v>
      </c>
      <c r="AM710" s="2" t="s">
        <v>74</v>
      </c>
      <c r="AN710" s="2" t="s">
        <v>74</v>
      </c>
      <c r="AO710" s="2" t="s">
        <v>81</v>
      </c>
      <c r="AP710" s="2" t="s">
        <v>74</v>
      </c>
      <c r="AQ710" s="2" t="s">
        <v>74</v>
      </c>
      <c r="AR710" s="2" t="s">
        <v>74</v>
      </c>
      <c r="AS710" s="2" t="s">
        <v>74</v>
      </c>
      <c r="AT710" s="2" t="s">
        <v>352</v>
      </c>
      <c r="AU710" s="2">
        <v>1991</v>
      </c>
      <c r="AV710" s="2">
        <v>118</v>
      </c>
      <c r="AW710" s="2" t="s">
        <v>74</v>
      </c>
      <c r="AX710" s="2" t="s">
        <v>1276</v>
      </c>
      <c r="AY710" s="2" t="s">
        <v>74</v>
      </c>
      <c r="AZ710" s="2" t="s">
        <v>74</v>
      </c>
      <c r="BA710" s="2" t="s">
        <v>74</v>
      </c>
      <c r="BB710" s="2">
        <v>214</v>
      </c>
      <c r="BC710" s="2">
        <v>234</v>
      </c>
      <c r="BD710" s="2" t="s">
        <v>74</v>
      </c>
      <c r="BE710" s="2" t="s">
        <v>2126</v>
      </c>
      <c r="BF710" s="2" t="str">
        <f>HYPERLINK("http://dx.doi.org/10.1163/156853991X00292","http://dx.doi.org/10.1163/156853991X00292")</f>
        <v>http://dx.doi.org/10.1163/156853991X00292</v>
      </c>
      <c r="BG710" s="2" t="s">
        <v>74</v>
      </c>
      <c r="BH710" s="2" t="s">
        <v>74</v>
      </c>
      <c r="BI710" s="2" t="s">
        <v>74</v>
      </c>
      <c r="BJ710" s="2" t="s">
        <v>74</v>
      </c>
      <c r="BK710" s="2" t="s">
        <v>74</v>
      </c>
      <c r="BL710" s="2" t="s">
        <v>74</v>
      </c>
      <c r="BM710" s="2" t="s">
        <v>74</v>
      </c>
      <c r="BN710" s="2" t="s">
        <v>74</v>
      </c>
      <c r="BO710" s="2" t="s">
        <v>74</v>
      </c>
      <c r="BP710" s="2" t="s">
        <v>74</v>
      </c>
      <c r="BQ710" s="2" t="s">
        <v>74</v>
      </c>
      <c r="BR710" s="2" t="s">
        <v>74</v>
      </c>
      <c r="BS710" s="2" t="s">
        <v>2127</v>
      </c>
      <c r="BT710" s="2" t="str">
        <f>HYPERLINK("https%3A%2F%2Fwww.webofscience.com%2Fwos%2Fwoscc%2Ffull-record%2FWOS:A1991GT42800004","View Full Record in Web of Science")</f>
        <v>View Full Record in Web of Science</v>
      </c>
    </row>
    <row r="711" spans="1:72" s="2" customFormat="1" x14ac:dyDescent="0.4">
      <c r="A711" s="2" t="s">
        <v>72</v>
      </c>
      <c r="B711" s="2" t="s">
        <v>7943</v>
      </c>
      <c r="C711" s="2" t="s">
        <v>74</v>
      </c>
      <c r="D711" s="2" t="s">
        <v>74</v>
      </c>
      <c r="E711" s="2" t="s">
        <v>74</v>
      </c>
      <c r="F711" s="2" t="s">
        <v>7943</v>
      </c>
      <c r="G711" s="2" t="s">
        <v>74</v>
      </c>
      <c r="H711" s="2" t="s">
        <v>74</v>
      </c>
      <c r="I711" s="2" t="s">
        <v>7944</v>
      </c>
      <c r="J711" s="2" t="s">
        <v>5065</v>
      </c>
      <c r="K711" s="2" t="s">
        <v>74</v>
      </c>
      <c r="L711" s="2" t="s">
        <v>74</v>
      </c>
      <c r="M711" s="2" t="s">
        <v>74</v>
      </c>
      <c r="N711" s="2" t="s">
        <v>74</v>
      </c>
      <c r="O711" s="2" t="s">
        <v>7945</v>
      </c>
      <c r="P711" s="2" t="s">
        <v>7946</v>
      </c>
      <c r="Q711" s="2" t="s">
        <v>7947</v>
      </c>
      <c r="R711" s="2" t="s">
        <v>7948</v>
      </c>
      <c r="S711" s="2" t="s">
        <v>7949</v>
      </c>
      <c r="T711" s="2" t="s">
        <v>74</v>
      </c>
      <c r="U711" s="2" t="s">
        <v>74</v>
      </c>
      <c r="V711" s="5" t="s">
        <v>7950</v>
      </c>
      <c r="W711" s="2" t="s">
        <v>74</v>
      </c>
      <c r="X711" s="2" t="s">
        <v>74</v>
      </c>
      <c r="Y711" s="2" t="s">
        <v>74</v>
      </c>
      <c r="Z711" s="2" t="s">
        <v>74</v>
      </c>
      <c r="AA711" s="2" t="s">
        <v>2124</v>
      </c>
      <c r="AB711" s="2" t="s">
        <v>74</v>
      </c>
      <c r="AC711" s="2" t="s">
        <v>74</v>
      </c>
      <c r="AD711" s="2" t="s">
        <v>74</v>
      </c>
      <c r="AE711" s="2" t="s">
        <v>74</v>
      </c>
      <c r="AF711" s="2" t="s">
        <v>74</v>
      </c>
      <c r="AG711" s="2" t="s">
        <v>74</v>
      </c>
      <c r="AH711" s="2" t="s">
        <v>74</v>
      </c>
      <c r="AI711" s="2" t="s">
        <v>74</v>
      </c>
      <c r="AJ711" s="2" t="s">
        <v>74</v>
      </c>
      <c r="AK711" s="2" t="s">
        <v>74</v>
      </c>
      <c r="AL711" s="2" t="s">
        <v>74</v>
      </c>
      <c r="AM711" s="2" t="s">
        <v>74</v>
      </c>
      <c r="AN711" s="2" t="s">
        <v>74</v>
      </c>
      <c r="AO711" s="2" t="s">
        <v>5068</v>
      </c>
      <c r="AP711" s="2" t="s">
        <v>74</v>
      </c>
      <c r="AQ711" s="2" t="s">
        <v>74</v>
      </c>
      <c r="AR711" s="2" t="s">
        <v>74</v>
      </c>
      <c r="AS711" s="2" t="s">
        <v>74</v>
      </c>
      <c r="AT711" s="2" t="s">
        <v>74</v>
      </c>
      <c r="AU711" s="2">
        <v>1993</v>
      </c>
      <c r="AV711" s="2">
        <v>23</v>
      </c>
      <c r="AW711" s="2" t="s">
        <v>3743</v>
      </c>
      <c r="AX711" s="2" t="s">
        <v>74</v>
      </c>
      <c r="AY711" s="2" t="s">
        <v>74</v>
      </c>
      <c r="AZ711" s="2" t="s">
        <v>74</v>
      </c>
      <c r="BA711" s="2" t="s">
        <v>74</v>
      </c>
      <c r="BB711" s="2">
        <v>29</v>
      </c>
      <c r="BC711" s="2">
        <v>44</v>
      </c>
      <c r="BD711" s="2" t="s">
        <v>74</v>
      </c>
      <c r="BE711" s="2" t="s">
        <v>7951</v>
      </c>
      <c r="BF711" s="2" t="str">
        <f>HYPERLINK("http://dx.doi.org/10.1080/10236249309378855","http://dx.doi.org/10.1080/10236249309378855")</f>
        <v>http://dx.doi.org/10.1080/10236249309378855</v>
      </c>
      <c r="BG711" s="2" t="s">
        <v>74</v>
      </c>
      <c r="BH711" s="2" t="s">
        <v>74</v>
      </c>
      <c r="BI711" s="2" t="s">
        <v>74</v>
      </c>
      <c r="BJ711" s="2" t="s">
        <v>74</v>
      </c>
      <c r="BK711" s="2" t="s">
        <v>74</v>
      </c>
      <c r="BL711" s="2" t="s">
        <v>74</v>
      </c>
      <c r="BM711" s="2" t="s">
        <v>74</v>
      </c>
      <c r="BN711" s="2" t="s">
        <v>74</v>
      </c>
      <c r="BO711" s="2" t="s">
        <v>74</v>
      </c>
      <c r="BP711" s="2" t="s">
        <v>74</v>
      </c>
      <c r="BQ711" s="2" t="s">
        <v>74</v>
      </c>
      <c r="BR711" s="2" t="s">
        <v>74</v>
      </c>
      <c r="BS711" s="2" t="s">
        <v>7952</v>
      </c>
      <c r="BT711" s="2" t="str">
        <f>HYPERLINK("https%3A%2F%2Fwww.webofscience.com%2Fwos%2Fwoscc%2Ffull-record%2FWOS:A1993MN22500006","View Full Record in Web of Science")</f>
        <v>View Full Record in Web of Science</v>
      </c>
    </row>
    <row r="712" spans="1:72" s="2" customFormat="1" x14ac:dyDescent="0.4">
      <c r="A712" s="2" t="s">
        <v>72</v>
      </c>
      <c r="B712" s="2" t="s">
        <v>7220</v>
      </c>
      <c r="C712" s="2" t="s">
        <v>74</v>
      </c>
      <c r="D712" s="2" t="s">
        <v>74</v>
      </c>
      <c r="E712" s="2" t="s">
        <v>74</v>
      </c>
      <c r="F712" s="2" t="s">
        <v>7221</v>
      </c>
      <c r="G712" s="2" t="s">
        <v>74</v>
      </c>
      <c r="H712" s="2" t="s">
        <v>74</v>
      </c>
      <c r="I712" s="2" t="s">
        <v>7222</v>
      </c>
      <c r="J712" s="2" t="s">
        <v>1656</v>
      </c>
      <c r="K712" s="2" t="s">
        <v>74</v>
      </c>
      <c r="L712" s="2" t="s">
        <v>74</v>
      </c>
      <c r="M712" s="2" t="s">
        <v>74</v>
      </c>
      <c r="N712" s="2" t="s">
        <v>74</v>
      </c>
      <c r="O712" s="2" t="s">
        <v>74</v>
      </c>
      <c r="P712" s="2" t="s">
        <v>74</v>
      </c>
      <c r="Q712" s="2" t="s">
        <v>74</v>
      </c>
      <c r="R712" s="2" t="s">
        <v>74</v>
      </c>
      <c r="S712" s="2" t="s">
        <v>74</v>
      </c>
      <c r="T712" s="2" t="s">
        <v>74</v>
      </c>
      <c r="U712" s="2" t="s">
        <v>74</v>
      </c>
      <c r="V712" s="5" t="s">
        <v>7223</v>
      </c>
      <c r="W712" s="2" t="s">
        <v>74</v>
      </c>
      <c r="X712" s="2" t="s">
        <v>74</v>
      </c>
      <c r="Y712" s="2" t="s">
        <v>74</v>
      </c>
      <c r="Z712" s="2" t="s">
        <v>74</v>
      </c>
      <c r="AA712" s="2" t="s">
        <v>7224</v>
      </c>
      <c r="AB712" s="2" t="s">
        <v>7225</v>
      </c>
      <c r="AC712" s="2" t="s">
        <v>74</v>
      </c>
      <c r="AD712" s="2" t="s">
        <v>74</v>
      </c>
      <c r="AE712" s="2" t="s">
        <v>74</v>
      </c>
      <c r="AF712" s="2" t="s">
        <v>74</v>
      </c>
      <c r="AG712" s="2" t="s">
        <v>74</v>
      </c>
      <c r="AH712" s="2" t="s">
        <v>74</v>
      </c>
      <c r="AI712" s="2" t="s">
        <v>74</v>
      </c>
      <c r="AJ712" s="2" t="s">
        <v>74</v>
      </c>
      <c r="AK712" s="2" t="s">
        <v>74</v>
      </c>
      <c r="AL712" s="2" t="s">
        <v>74</v>
      </c>
      <c r="AM712" s="2" t="s">
        <v>74</v>
      </c>
      <c r="AN712" s="2" t="s">
        <v>74</v>
      </c>
      <c r="AO712" s="2" t="s">
        <v>1658</v>
      </c>
      <c r="AP712" s="2" t="s">
        <v>1659</v>
      </c>
      <c r="AQ712" s="2" t="s">
        <v>74</v>
      </c>
      <c r="AR712" s="2" t="s">
        <v>74</v>
      </c>
      <c r="AS712" s="2" t="s">
        <v>74</v>
      </c>
      <c r="AT712" s="2" t="s">
        <v>2492</v>
      </c>
      <c r="AU712" s="2">
        <v>2021</v>
      </c>
      <c r="AV712" s="2">
        <v>5072</v>
      </c>
      <c r="AW712" s="2">
        <v>3</v>
      </c>
      <c r="AX712" s="2" t="s">
        <v>74</v>
      </c>
      <c r="AY712" s="2" t="s">
        <v>74</v>
      </c>
      <c r="AZ712" s="2" t="s">
        <v>74</v>
      </c>
      <c r="BA712" s="2" t="s">
        <v>74</v>
      </c>
      <c r="BB712" s="2">
        <v>201</v>
      </c>
      <c r="BC712" s="2">
        <v>237</v>
      </c>
      <c r="BD712" s="2" t="s">
        <v>74</v>
      </c>
      <c r="BE712" s="2" t="s">
        <v>7226</v>
      </c>
      <c r="BF712" s="2" t="str">
        <f>HYPERLINK("http://dx.doi.org/10.11646/zootaxa.5072.3.1","http://dx.doi.org/10.11646/zootaxa.5072.3.1")</f>
        <v>http://dx.doi.org/10.11646/zootaxa.5072.3.1</v>
      </c>
      <c r="BG712" s="2" t="s">
        <v>74</v>
      </c>
      <c r="BH712" s="2" t="s">
        <v>74</v>
      </c>
      <c r="BI712" s="2" t="s">
        <v>74</v>
      </c>
      <c r="BJ712" s="2" t="s">
        <v>74</v>
      </c>
      <c r="BK712" s="2" t="s">
        <v>74</v>
      </c>
      <c r="BL712" s="2" t="s">
        <v>74</v>
      </c>
      <c r="BM712" s="2" t="s">
        <v>74</v>
      </c>
      <c r="BN712" s="2">
        <v>35390870</v>
      </c>
      <c r="BO712" s="2" t="s">
        <v>74</v>
      </c>
      <c r="BP712" s="2" t="s">
        <v>74</v>
      </c>
      <c r="BQ712" s="2" t="s">
        <v>74</v>
      </c>
      <c r="BR712" s="2" t="s">
        <v>74</v>
      </c>
      <c r="BS712" s="2" t="s">
        <v>7227</v>
      </c>
      <c r="BT712" s="2" t="str">
        <f>HYPERLINK("https%3A%2F%2Fwww.webofscience.com%2Fwos%2Fwoscc%2Ffull-record%2FWOS:000725866700001","View Full Record in Web of Science")</f>
        <v>View Full Record in Web of Science</v>
      </c>
    </row>
    <row r="713" spans="1:72" s="2" customFormat="1" x14ac:dyDescent="0.4">
      <c r="A713" s="2" t="s">
        <v>72</v>
      </c>
      <c r="B713" s="2" t="s">
        <v>4548</v>
      </c>
      <c r="C713" s="2" t="s">
        <v>74</v>
      </c>
      <c r="D713" s="2" t="s">
        <v>74</v>
      </c>
      <c r="E713" s="2" t="s">
        <v>74</v>
      </c>
      <c r="F713" s="2" t="s">
        <v>4549</v>
      </c>
      <c r="G713" s="2" t="s">
        <v>74</v>
      </c>
      <c r="H713" s="2" t="s">
        <v>74</v>
      </c>
      <c r="I713" s="2" t="s">
        <v>4550</v>
      </c>
      <c r="J713" s="2" t="s">
        <v>4551</v>
      </c>
      <c r="K713" s="2" t="s">
        <v>74</v>
      </c>
      <c r="L713" s="2" t="s">
        <v>74</v>
      </c>
      <c r="M713" s="2" t="s">
        <v>74</v>
      </c>
      <c r="N713" s="2" t="s">
        <v>74</v>
      </c>
      <c r="O713" s="2" t="s">
        <v>74</v>
      </c>
      <c r="P713" s="2" t="s">
        <v>74</v>
      </c>
      <c r="Q713" s="2" t="s">
        <v>74</v>
      </c>
      <c r="R713" s="2" t="s">
        <v>74</v>
      </c>
      <c r="S713" s="2" t="s">
        <v>74</v>
      </c>
      <c r="T713" s="2" t="s">
        <v>74</v>
      </c>
      <c r="U713" s="2" t="s">
        <v>74</v>
      </c>
      <c r="V713" s="5" t="s">
        <v>4552</v>
      </c>
      <c r="W713" s="2" t="s">
        <v>74</v>
      </c>
      <c r="X713" s="2" t="s">
        <v>74</v>
      </c>
      <c r="Y713" s="2" t="s">
        <v>74</v>
      </c>
      <c r="Z713" s="2" t="s">
        <v>74</v>
      </c>
      <c r="AA713" s="2" t="s">
        <v>4553</v>
      </c>
      <c r="AB713" s="2" t="s">
        <v>4554</v>
      </c>
      <c r="AC713" s="2" t="s">
        <v>74</v>
      </c>
      <c r="AD713" s="2" t="s">
        <v>74</v>
      </c>
      <c r="AE713" s="2" t="s">
        <v>74</v>
      </c>
      <c r="AF713" s="2" t="s">
        <v>74</v>
      </c>
      <c r="AG713" s="2" t="s">
        <v>74</v>
      </c>
      <c r="AH713" s="2" t="s">
        <v>74</v>
      </c>
      <c r="AI713" s="2" t="s">
        <v>74</v>
      </c>
      <c r="AJ713" s="2" t="s">
        <v>74</v>
      </c>
      <c r="AK713" s="2" t="s">
        <v>74</v>
      </c>
      <c r="AL713" s="2" t="s">
        <v>74</v>
      </c>
      <c r="AM713" s="2" t="s">
        <v>74</v>
      </c>
      <c r="AN713" s="2" t="s">
        <v>74</v>
      </c>
      <c r="AO713" s="2" t="s">
        <v>4555</v>
      </c>
      <c r="AP713" s="2" t="s">
        <v>4556</v>
      </c>
      <c r="AQ713" s="2" t="s">
        <v>74</v>
      </c>
      <c r="AR713" s="2" t="s">
        <v>74</v>
      </c>
      <c r="AS713" s="2" t="s">
        <v>74</v>
      </c>
      <c r="AT713" s="2" t="s">
        <v>4557</v>
      </c>
      <c r="AU713" s="2">
        <v>2023</v>
      </c>
      <c r="AV713" s="2">
        <v>577</v>
      </c>
      <c r="AW713" s="2" t="s">
        <v>74</v>
      </c>
      <c r="AX713" s="2" t="s">
        <v>74</v>
      </c>
      <c r="AY713" s="2" t="s">
        <v>74</v>
      </c>
      <c r="AZ713" s="2" t="s">
        <v>74</v>
      </c>
      <c r="BA713" s="2" t="s">
        <v>74</v>
      </c>
      <c r="BB713" s="2" t="s">
        <v>74</v>
      </c>
      <c r="BC713" s="2" t="s">
        <v>74</v>
      </c>
      <c r="BD713" s="2">
        <v>739980</v>
      </c>
      <c r="BE713" s="2" t="s">
        <v>4558</v>
      </c>
      <c r="BF713" s="2" t="str">
        <f>HYPERLINK("http://dx.doi.org/10.1016/j.aquaculture.2023.739980","http://dx.doi.org/10.1016/j.aquaculture.2023.739980")</f>
        <v>http://dx.doi.org/10.1016/j.aquaculture.2023.739980</v>
      </c>
      <c r="BG713" s="2" t="s">
        <v>74</v>
      </c>
      <c r="BH713" s="2" t="s">
        <v>4559</v>
      </c>
      <c r="BI713" s="2" t="s">
        <v>74</v>
      </c>
      <c r="BJ713" s="2" t="s">
        <v>74</v>
      </c>
      <c r="BK713" s="2" t="s">
        <v>74</v>
      </c>
      <c r="BL713" s="2" t="s">
        <v>74</v>
      </c>
      <c r="BM713" s="2" t="s">
        <v>74</v>
      </c>
      <c r="BN713" s="2" t="s">
        <v>74</v>
      </c>
      <c r="BO713" s="2" t="s">
        <v>74</v>
      </c>
      <c r="BP713" s="2" t="s">
        <v>74</v>
      </c>
      <c r="BQ713" s="2" t="s">
        <v>74</v>
      </c>
      <c r="BR713" s="2" t="s">
        <v>74</v>
      </c>
      <c r="BS713" s="2" t="s">
        <v>4560</v>
      </c>
      <c r="BT713" s="2" t="str">
        <f>HYPERLINK("https%3A%2F%2Fwww.webofscience.com%2Fwos%2Fwoscc%2Ffull-record%2FWOS:001065191600001","View Full Record in Web of Science")</f>
        <v>View Full Record in Web of Science</v>
      </c>
    </row>
    <row r="714" spans="1:72" s="2" customFormat="1" x14ac:dyDescent="0.4">
      <c r="A714" s="2" t="s">
        <v>72</v>
      </c>
      <c r="B714" s="2" t="s">
        <v>1346</v>
      </c>
      <c r="C714" s="2" t="s">
        <v>74</v>
      </c>
      <c r="D714" s="2" t="s">
        <v>74</v>
      </c>
      <c r="E714" s="2" t="s">
        <v>74</v>
      </c>
      <c r="F714" s="2" t="s">
        <v>1346</v>
      </c>
      <c r="G714" s="2" t="s">
        <v>74</v>
      </c>
      <c r="H714" s="2" t="s">
        <v>74</v>
      </c>
      <c r="I714" s="2" t="s">
        <v>1347</v>
      </c>
      <c r="J714" s="2" t="s">
        <v>192</v>
      </c>
      <c r="K714" s="2" t="s">
        <v>74</v>
      </c>
      <c r="L714" s="2" t="s">
        <v>74</v>
      </c>
      <c r="M714" s="2" t="s">
        <v>74</v>
      </c>
      <c r="N714" s="2" t="s">
        <v>74</v>
      </c>
      <c r="O714" s="2" t="s">
        <v>74</v>
      </c>
      <c r="P714" s="2" t="s">
        <v>74</v>
      </c>
      <c r="Q714" s="2" t="s">
        <v>74</v>
      </c>
      <c r="R714" s="2" t="s">
        <v>74</v>
      </c>
      <c r="S714" s="2" t="s">
        <v>74</v>
      </c>
      <c r="T714" s="2" t="s">
        <v>74</v>
      </c>
      <c r="U714" s="2" t="s">
        <v>74</v>
      </c>
      <c r="V714" s="5" t="s">
        <v>1348</v>
      </c>
      <c r="W714" s="2" t="s">
        <v>74</v>
      </c>
      <c r="X714" s="2" t="s">
        <v>74</v>
      </c>
      <c r="Y714" s="2" t="s">
        <v>74</v>
      </c>
      <c r="Z714" s="2" t="s">
        <v>74</v>
      </c>
      <c r="AA714" s="2" t="s">
        <v>74</v>
      </c>
      <c r="AB714" s="2" t="s">
        <v>74</v>
      </c>
      <c r="AC714" s="2" t="s">
        <v>74</v>
      </c>
      <c r="AD714" s="2" t="s">
        <v>74</v>
      </c>
      <c r="AE714" s="2" t="s">
        <v>74</v>
      </c>
      <c r="AF714" s="2" t="s">
        <v>74</v>
      </c>
      <c r="AG714" s="2" t="s">
        <v>74</v>
      </c>
      <c r="AH714" s="2" t="s">
        <v>74</v>
      </c>
      <c r="AI714" s="2" t="s">
        <v>74</v>
      </c>
      <c r="AJ714" s="2" t="s">
        <v>74</v>
      </c>
      <c r="AK714" s="2" t="s">
        <v>74</v>
      </c>
      <c r="AL714" s="2" t="s">
        <v>74</v>
      </c>
      <c r="AM714" s="2" t="s">
        <v>74</v>
      </c>
      <c r="AN714" s="2" t="s">
        <v>74</v>
      </c>
      <c r="AO714" s="2" t="s">
        <v>195</v>
      </c>
      <c r="AP714" s="2" t="s">
        <v>196</v>
      </c>
      <c r="AQ714" s="2" t="s">
        <v>74</v>
      </c>
      <c r="AR714" s="2" t="s">
        <v>74</v>
      </c>
      <c r="AS714" s="2" t="s">
        <v>74</v>
      </c>
      <c r="AT714" s="2" t="s">
        <v>1349</v>
      </c>
      <c r="AU714" s="2">
        <v>1996</v>
      </c>
      <c r="AV714" s="2">
        <v>337</v>
      </c>
      <c r="AW714" s="2" t="s">
        <v>1350</v>
      </c>
      <c r="AX714" s="2" t="s">
        <v>74</v>
      </c>
      <c r="AY714" s="2" t="s">
        <v>74</v>
      </c>
      <c r="AZ714" s="2" t="s">
        <v>74</v>
      </c>
      <c r="BA714" s="2" t="s">
        <v>74</v>
      </c>
      <c r="BB714" s="2">
        <v>69</v>
      </c>
      <c r="BC714" s="2">
        <v>76</v>
      </c>
      <c r="BD714" s="2" t="s">
        <v>74</v>
      </c>
      <c r="BE714" s="2" t="s">
        <v>1351</v>
      </c>
      <c r="BF714" s="2" t="str">
        <f>HYPERLINK("http://dx.doi.org/10.1007/BF00028507","http://dx.doi.org/10.1007/BF00028507")</f>
        <v>http://dx.doi.org/10.1007/BF00028507</v>
      </c>
      <c r="BG714" s="2" t="s">
        <v>74</v>
      </c>
      <c r="BH714" s="2" t="s">
        <v>74</v>
      </c>
      <c r="BI714" s="2" t="s">
        <v>74</v>
      </c>
      <c r="BJ714" s="2" t="s">
        <v>74</v>
      </c>
      <c r="BK714" s="2" t="s">
        <v>74</v>
      </c>
      <c r="BL714" s="2" t="s">
        <v>74</v>
      </c>
      <c r="BM714" s="2" t="s">
        <v>74</v>
      </c>
      <c r="BN714" s="2" t="s">
        <v>74</v>
      </c>
      <c r="BO714" s="2" t="s">
        <v>74</v>
      </c>
      <c r="BP714" s="2" t="s">
        <v>74</v>
      </c>
      <c r="BQ714" s="2" t="s">
        <v>74</v>
      </c>
      <c r="BR714" s="2" t="s">
        <v>74</v>
      </c>
      <c r="BS714" s="2" t="s">
        <v>1352</v>
      </c>
      <c r="BT714" s="2" t="str">
        <f>HYPERLINK("https%3A%2F%2Fwww.webofscience.com%2Fwos%2Fwoscc%2Ffull-record%2FWOS:A1996WB14600006","View Full Record in Web of Science")</f>
        <v>View Full Record in Web of Science</v>
      </c>
    </row>
    <row r="715" spans="1:72" s="2" customFormat="1" x14ac:dyDescent="0.4">
      <c r="A715" s="2" t="s">
        <v>72</v>
      </c>
      <c r="B715" s="2" t="s">
        <v>4294</v>
      </c>
      <c r="C715" s="2" t="s">
        <v>74</v>
      </c>
      <c r="D715" s="2" t="s">
        <v>74</v>
      </c>
      <c r="E715" s="2" t="s">
        <v>74</v>
      </c>
      <c r="F715" s="2" t="s">
        <v>4294</v>
      </c>
      <c r="G715" s="2" t="s">
        <v>74</v>
      </c>
      <c r="H715" s="2" t="s">
        <v>74</v>
      </c>
      <c r="I715" s="2" t="s">
        <v>4295</v>
      </c>
      <c r="J715" s="2" t="s">
        <v>140</v>
      </c>
      <c r="K715" s="2" t="s">
        <v>74</v>
      </c>
      <c r="L715" s="2" t="s">
        <v>74</v>
      </c>
      <c r="M715" s="2" t="s">
        <v>74</v>
      </c>
      <c r="N715" s="2" t="s">
        <v>74</v>
      </c>
      <c r="O715" s="2" t="s">
        <v>74</v>
      </c>
      <c r="P715" s="2" t="s">
        <v>74</v>
      </c>
      <c r="Q715" s="2" t="s">
        <v>74</v>
      </c>
      <c r="R715" s="2" t="s">
        <v>74</v>
      </c>
      <c r="S715" s="2" t="s">
        <v>74</v>
      </c>
      <c r="T715" s="2" t="s">
        <v>74</v>
      </c>
      <c r="U715" s="2" t="s">
        <v>74</v>
      </c>
      <c r="V715" s="5" t="s">
        <v>4296</v>
      </c>
      <c r="W715" s="2" t="s">
        <v>74</v>
      </c>
      <c r="X715" s="2" t="s">
        <v>74</v>
      </c>
      <c r="Y715" s="2" t="s">
        <v>74</v>
      </c>
      <c r="Z715" s="2" t="s">
        <v>74</v>
      </c>
      <c r="AA715" s="2" t="s">
        <v>74</v>
      </c>
      <c r="AB715" s="2" t="s">
        <v>74</v>
      </c>
      <c r="AC715" s="2" t="s">
        <v>74</v>
      </c>
      <c r="AD715" s="2" t="s">
        <v>74</v>
      </c>
      <c r="AE715" s="2" t="s">
        <v>74</v>
      </c>
      <c r="AF715" s="2" t="s">
        <v>74</v>
      </c>
      <c r="AG715" s="2" t="s">
        <v>74</v>
      </c>
      <c r="AH715" s="2" t="s">
        <v>74</v>
      </c>
      <c r="AI715" s="2" t="s">
        <v>74</v>
      </c>
      <c r="AJ715" s="2" t="s">
        <v>74</v>
      </c>
      <c r="AK715" s="2" t="s">
        <v>74</v>
      </c>
      <c r="AL715" s="2" t="s">
        <v>74</v>
      </c>
      <c r="AM715" s="2" t="s">
        <v>74</v>
      </c>
      <c r="AN715" s="2" t="s">
        <v>74</v>
      </c>
      <c r="AO715" s="2" t="s">
        <v>143</v>
      </c>
      <c r="AP715" s="2" t="s">
        <v>144</v>
      </c>
      <c r="AQ715" s="2" t="s">
        <v>74</v>
      </c>
      <c r="AR715" s="2" t="s">
        <v>74</v>
      </c>
      <c r="AS715" s="2" t="s">
        <v>74</v>
      </c>
      <c r="AT715" s="2" t="s">
        <v>123</v>
      </c>
      <c r="AU715" s="2">
        <v>2004</v>
      </c>
      <c r="AV715" s="2">
        <v>67</v>
      </c>
      <c r="AW715" s="2" t="s">
        <v>74</v>
      </c>
      <c r="AX715" s="2">
        <v>3</v>
      </c>
      <c r="AY715" s="2" t="s">
        <v>74</v>
      </c>
      <c r="AZ715" s="2" t="s">
        <v>74</v>
      </c>
      <c r="BA715" s="2" t="s">
        <v>74</v>
      </c>
      <c r="BB715" s="2">
        <v>397</v>
      </c>
      <c r="BC715" s="2">
        <v>402</v>
      </c>
      <c r="BD715" s="2" t="s">
        <v>74</v>
      </c>
      <c r="BE715" s="2" t="s">
        <v>4297</v>
      </c>
      <c r="BF715" s="2" t="str">
        <f>HYPERLINK("http://dx.doi.org/10.1016/j.anbehav.2003.03.017","http://dx.doi.org/10.1016/j.anbehav.2003.03.017")</f>
        <v>http://dx.doi.org/10.1016/j.anbehav.2003.03.017</v>
      </c>
      <c r="BG715" s="2" t="s">
        <v>74</v>
      </c>
      <c r="BH715" s="2" t="s">
        <v>74</v>
      </c>
      <c r="BI715" s="2" t="s">
        <v>74</v>
      </c>
      <c r="BJ715" s="2" t="s">
        <v>74</v>
      </c>
      <c r="BK715" s="2" t="s">
        <v>74</v>
      </c>
      <c r="BL715" s="2" t="s">
        <v>74</v>
      </c>
      <c r="BM715" s="2" t="s">
        <v>74</v>
      </c>
      <c r="BN715" s="2" t="s">
        <v>74</v>
      </c>
      <c r="BO715" s="2" t="s">
        <v>74</v>
      </c>
      <c r="BP715" s="2" t="s">
        <v>74</v>
      </c>
      <c r="BQ715" s="2" t="s">
        <v>74</v>
      </c>
      <c r="BR715" s="2" t="s">
        <v>74</v>
      </c>
      <c r="BS715" s="2" t="s">
        <v>4298</v>
      </c>
      <c r="BT715" s="2" t="str">
        <f>HYPERLINK("https%3A%2F%2Fwww.webofscience.com%2Fwos%2Fwoscc%2Ffull-record%2FWOS:000220540800003","View Full Record in Web of Science")</f>
        <v>View Full Record in Web of Science</v>
      </c>
    </row>
    <row r="716" spans="1:72" s="2" customFormat="1" x14ac:dyDescent="0.4">
      <c r="A716" s="2" t="s">
        <v>72</v>
      </c>
      <c r="B716" s="2" t="s">
        <v>2940</v>
      </c>
      <c r="C716" s="2" t="s">
        <v>74</v>
      </c>
      <c r="D716" s="2" t="s">
        <v>74</v>
      </c>
      <c r="E716" s="2" t="s">
        <v>74</v>
      </c>
      <c r="F716" s="2" t="s">
        <v>2941</v>
      </c>
      <c r="G716" s="2" t="s">
        <v>74</v>
      </c>
      <c r="H716" s="2" t="s">
        <v>74</v>
      </c>
      <c r="I716" s="2" t="s">
        <v>2942</v>
      </c>
      <c r="J716" s="2" t="s">
        <v>970</v>
      </c>
      <c r="K716" s="2" t="s">
        <v>74</v>
      </c>
      <c r="L716" s="2" t="s">
        <v>74</v>
      </c>
      <c r="M716" s="2" t="s">
        <v>74</v>
      </c>
      <c r="N716" s="2" t="s">
        <v>74</v>
      </c>
      <c r="O716" s="2" t="s">
        <v>74</v>
      </c>
      <c r="P716" s="2" t="s">
        <v>74</v>
      </c>
      <c r="Q716" s="2" t="s">
        <v>74</v>
      </c>
      <c r="R716" s="2" t="s">
        <v>74</v>
      </c>
      <c r="S716" s="2" t="s">
        <v>74</v>
      </c>
      <c r="T716" s="2" t="s">
        <v>74</v>
      </c>
      <c r="U716" s="2" t="s">
        <v>74</v>
      </c>
      <c r="V716" s="5" t="s">
        <v>2943</v>
      </c>
      <c r="W716" s="2" t="s">
        <v>74</v>
      </c>
      <c r="X716" s="2" t="s">
        <v>74</v>
      </c>
      <c r="Y716" s="2" t="s">
        <v>74</v>
      </c>
      <c r="Z716" s="2" t="s">
        <v>74</v>
      </c>
      <c r="AA716" s="2" t="s">
        <v>2944</v>
      </c>
      <c r="AB716" s="2" t="s">
        <v>2945</v>
      </c>
      <c r="AC716" s="2" t="s">
        <v>74</v>
      </c>
      <c r="AD716" s="2" t="s">
        <v>74</v>
      </c>
      <c r="AE716" s="2" t="s">
        <v>74</v>
      </c>
      <c r="AF716" s="2" t="s">
        <v>74</v>
      </c>
      <c r="AG716" s="2" t="s">
        <v>74</v>
      </c>
      <c r="AH716" s="2" t="s">
        <v>74</v>
      </c>
      <c r="AI716" s="2" t="s">
        <v>74</v>
      </c>
      <c r="AJ716" s="2" t="s">
        <v>74</v>
      </c>
      <c r="AK716" s="2" t="s">
        <v>74</v>
      </c>
      <c r="AL716" s="2" t="s">
        <v>74</v>
      </c>
      <c r="AM716" s="2" t="s">
        <v>74</v>
      </c>
      <c r="AN716" s="2" t="s">
        <v>74</v>
      </c>
      <c r="AO716" s="2" t="s">
        <v>974</v>
      </c>
      <c r="AP716" s="2" t="s">
        <v>975</v>
      </c>
      <c r="AQ716" s="2" t="s">
        <v>74</v>
      </c>
      <c r="AR716" s="2" t="s">
        <v>74</v>
      </c>
      <c r="AS716" s="2" t="s">
        <v>74</v>
      </c>
      <c r="AT716" s="2" t="s">
        <v>204</v>
      </c>
      <c r="AU716" s="2">
        <v>2015</v>
      </c>
      <c r="AV716" s="2">
        <v>156</v>
      </c>
      <c r="AW716" s="2">
        <v>3</v>
      </c>
      <c r="AX716" s="2" t="s">
        <v>74</v>
      </c>
      <c r="AY716" s="2" t="s">
        <v>74</v>
      </c>
      <c r="AZ716" s="2" t="s">
        <v>74</v>
      </c>
      <c r="BA716" s="2" t="s">
        <v>74</v>
      </c>
      <c r="BB716" s="2">
        <v>783</v>
      </c>
      <c r="BC716" s="2">
        <v>793</v>
      </c>
      <c r="BD716" s="2" t="s">
        <v>74</v>
      </c>
      <c r="BE716" s="2" t="s">
        <v>2946</v>
      </c>
      <c r="BF716" s="2" t="str">
        <f>HYPERLINK("http://dx.doi.org/10.1007/s10336-015-1168-7","http://dx.doi.org/10.1007/s10336-015-1168-7")</f>
        <v>http://dx.doi.org/10.1007/s10336-015-1168-7</v>
      </c>
      <c r="BG716" s="2" t="s">
        <v>74</v>
      </c>
      <c r="BH716" s="2" t="s">
        <v>74</v>
      </c>
      <c r="BI716" s="2" t="s">
        <v>74</v>
      </c>
      <c r="BJ716" s="2" t="s">
        <v>74</v>
      </c>
      <c r="BK716" s="2" t="s">
        <v>74</v>
      </c>
      <c r="BL716" s="2" t="s">
        <v>74</v>
      </c>
      <c r="BM716" s="2" t="s">
        <v>74</v>
      </c>
      <c r="BN716" s="2" t="s">
        <v>74</v>
      </c>
      <c r="BO716" s="2" t="s">
        <v>74</v>
      </c>
      <c r="BP716" s="2" t="s">
        <v>74</v>
      </c>
      <c r="BQ716" s="2" t="s">
        <v>74</v>
      </c>
      <c r="BR716" s="2" t="s">
        <v>74</v>
      </c>
      <c r="BS716" s="2" t="s">
        <v>2947</v>
      </c>
      <c r="BT716" s="2" t="str">
        <f>HYPERLINK("https%3A%2F%2Fwww.webofscience.com%2Fwos%2Fwoscc%2Ffull-record%2FWOS:000356447100022","View Full Record in Web of Science")</f>
        <v>View Full Record in Web of Science</v>
      </c>
    </row>
    <row r="717" spans="1:72" s="2" customFormat="1" x14ac:dyDescent="0.4">
      <c r="A717" s="2" t="s">
        <v>72</v>
      </c>
      <c r="B717" s="2" t="s">
        <v>7061</v>
      </c>
      <c r="C717" s="2" t="s">
        <v>74</v>
      </c>
      <c r="D717" s="2" t="s">
        <v>74</v>
      </c>
      <c r="E717" s="2" t="s">
        <v>74</v>
      </c>
      <c r="F717" s="2" t="s">
        <v>7062</v>
      </c>
      <c r="G717" s="2" t="s">
        <v>74</v>
      </c>
      <c r="H717" s="2" t="s">
        <v>74</v>
      </c>
      <c r="I717" s="2" t="s">
        <v>7063</v>
      </c>
      <c r="J717" s="2" t="s">
        <v>108</v>
      </c>
      <c r="K717" s="2" t="s">
        <v>74</v>
      </c>
      <c r="L717" s="2" t="s">
        <v>74</v>
      </c>
      <c r="M717" s="2" t="s">
        <v>74</v>
      </c>
      <c r="N717" s="2" t="s">
        <v>74</v>
      </c>
      <c r="O717" s="2" t="s">
        <v>74</v>
      </c>
      <c r="P717" s="2" t="s">
        <v>74</v>
      </c>
      <c r="Q717" s="2" t="s">
        <v>74</v>
      </c>
      <c r="R717" s="2" t="s">
        <v>74</v>
      </c>
      <c r="S717" s="2" t="s">
        <v>74</v>
      </c>
      <c r="T717" s="2" t="s">
        <v>74</v>
      </c>
      <c r="U717" s="2" t="s">
        <v>74</v>
      </c>
      <c r="V717" s="5" t="s">
        <v>7064</v>
      </c>
      <c r="W717" s="2" t="s">
        <v>74</v>
      </c>
      <c r="X717" s="2" t="s">
        <v>74</v>
      </c>
      <c r="Y717" s="2" t="s">
        <v>74</v>
      </c>
      <c r="Z717" s="2" t="s">
        <v>74</v>
      </c>
      <c r="AA717" s="2" t="s">
        <v>7065</v>
      </c>
      <c r="AB717" s="2" t="s">
        <v>7066</v>
      </c>
      <c r="AC717" s="2" t="s">
        <v>74</v>
      </c>
      <c r="AD717" s="2" t="s">
        <v>74</v>
      </c>
      <c r="AE717" s="2" t="s">
        <v>74</v>
      </c>
      <c r="AF717" s="2" t="s">
        <v>74</v>
      </c>
      <c r="AG717" s="2" t="s">
        <v>74</v>
      </c>
      <c r="AH717" s="2" t="s">
        <v>74</v>
      </c>
      <c r="AI717" s="2" t="s">
        <v>74</v>
      </c>
      <c r="AJ717" s="2" t="s">
        <v>74</v>
      </c>
      <c r="AK717" s="2" t="s">
        <v>74</v>
      </c>
      <c r="AL717" s="2" t="s">
        <v>74</v>
      </c>
      <c r="AM717" s="2" t="s">
        <v>74</v>
      </c>
      <c r="AN717" s="2" t="s">
        <v>74</v>
      </c>
      <c r="AO717" s="2" t="s">
        <v>111</v>
      </c>
      <c r="AP717" s="2" t="s">
        <v>112</v>
      </c>
      <c r="AQ717" s="2" t="s">
        <v>74</v>
      </c>
      <c r="AR717" s="2" t="s">
        <v>74</v>
      </c>
      <c r="AS717" s="2" t="s">
        <v>74</v>
      </c>
      <c r="AT717" s="2" t="s">
        <v>493</v>
      </c>
      <c r="AU717" s="2">
        <v>2015</v>
      </c>
      <c r="AV717" s="2">
        <v>282</v>
      </c>
      <c r="AW717" s="2">
        <v>1811</v>
      </c>
      <c r="AX717" s="2" t="s">
        <v>74</v>
      </c>
      <c r="AY717" s="2" t="s">
        <v>74</v>
      </c>
      <c r="AZ717" s="2" t="s">
        <v>74</v>
      </c>
      <c r="BA717" s="2" t="s">
        <v>74</v>
      </c>
      <c r="BB717" s="2" t="s">
        <v>74</v>
      </c>
      <c r="BC717" s="2" t="s">
        <v>74</v>
      </c>
      <c r="BD717" s="2">
        <v>20150624</v>
      </c>
      <c r="BE717" s="2" t="s">
        <v>7067</v>
      </c>
      <c r="BF717" s="2" t="str">
        <f>HYPERLINK("http://dx.doi.org/10.1098/rspb.2015.0624","http://dx.doi.org/10.1098/rspb.2015.0624")</f>
        <v>http://dx.doi.org/10.1098/rspb.2015.0624</v>
      </c>
      <c r="BG717" s="2" t="s">
        <v>74</v>
      </c>
      <c r="BH717" s="2" t="s">
        <v>74</v>
      </c>
      <c r="BI717" s="2" t="s">
        <v>74</v>
      </c>
      <c r="BJ717" s="2" t="s">
        <v>74</v>
      </c>
      <c r="BK717" s="2" t="s">
        <v>74</v>
      </c>
      <c r="BL717" s="2" t="s">
        <v>74</v>
      </c>
      <c r="BM717" s="2" t="s">
        <v>74</v>
      </c>
      <c r="BN717" s="2">
        <v>26136445</v>
      </c>
      <c r="BO717" s="2" t="s">
        <v>74</v>
      </c>
      <c r="BP717" s="2" t="s">
        <v>74</v>
      </c>
      <c r="BQ717" s="2" t="s">
        <v>74</v>
      </c>
      <c r="BR717" s="2" t="s">
        <v>74</v>
      </c>
      <c r="BS717" s="2" t="s">
        <v>7068</v>
      </c>
      <c r="BT717" s="2" t="str">
        <f>HYPERLINK("https%3A%2F%2Fwww.webofscience.com%2Fwos%2Fwoscc%2Ffull-record%2FWOS:000358735700011","View Full Record in Web of Science")</f>
        <v>View Full Record in Web of Science</v>
      </c>
    </row>
    <row r="718" spans="1:72" s="2" customFormat="1" x14ac:dyDescent="0.4">
      <c r="A718" s="2" t="s">
        <v>72</v>
      </c>
      <c r="B718" s="2" t="s">
        <v>5257</v>
      </c>
      <c r="C718" s="2" t="s">
        <v>74</v>
      </c>
      <c r="D718" s="2" t="s">
        <v>74</v>
      </c>
      <c r="E718" s="2" t="s">
        <v>74</v>
      </c>
      <c r="F718" s="2" t="s">
        <v>5257</v>
      </c>
      <c r="G718" s="2" t="s">
        <v>74</v>
      </c>
      <c r="H718" s="2" t="s">
        <v>74</v>
      </c>
      <c r="I718" s="2" t="s">
        <v>5258</v>
      </c>
      <c r="J718" s="2" t="s">
        <v>3817</v>
      </c>
      <c r="K718" s="2" t="s">
        <v>74</v>
      </c>
      <c r="L718" s="2" t="s">
        <v>74</v>
      </c>
      <c r="M718" s="2" t="s">
        <v>74</v>
      </c>
      <c r="N718" s="2" t="s">
        <v>74</v>
      </c>
      <c r="O718" s="2" t="s">
        <v>74</v>
      </c>
      <c r="P718" s="2" t="s">
        <v>74</v>
      </c>
      <c r="Q718" s="2" t="s">
        <v>74</v>
      </c>
      <c r="R718" s="2" t="s">
        <v>74</v>
      </c>
      <c r="S718" s="2" t="s">
        <v>74</v>
      </c>
      <c r="T718" s="2" t="s">
        <v>74</v>
      </c>
      <c r="U718" s="2" t="s">
        <v>74</v>
      </c>
      <c r="V718" s="5" t="s">
        <v>5259</v>
      </c>
      <c r="W718" s="2" t="s">
        <v>74</v>
      </c>
      <c r="X718" s="2" t="s">
        <v>74</v>
      </c>
      <c r="Y718" s="2" t="s">
        <v>74</v>
      </c>
      <c r="Z718" s="2" t="s">
        <v>74</v>
      </c>
      <c r="AA718" s="2" t="s">
        <v>74</v>
      </c>
      <c r="AB718" s="2" t="s">
        <v>74</v>
      </c>
      <c r="AC718" s="2" t="s">
        <v>74</v>
      </c>
      <c r="AD718" s="2" t="s">
        <v>74</v>
      </c>
      <c r="AE718" s="2" t="s">
        <v>74</v>
      </c>
      <c r="AF718" s="2" t="s">
        <v>74</v>
      </c>
      <c r="AG718" s="2" t="s">
        <v>74</v>
      </c>
      <c r="AH718" s="2" t="s">
        <v>74</v>
      </c>
      <c r="AI718" s="2" t="s">
        <v>74</v>
      </c>
      <c r="AJ718" s="2" t="s">
        <v>74</v>
      </c>
      <c r="AK718" s="2" t="s">
        <v>74</v>
      </c>
      <c r="AL718" s="2" t="s">
        <v>74</v>
      </c>
      <c r="AM718" s="2" t="s">
        <v>74</v>
      </c>
      <c r="AN718" s="2" t="s">
        <v>74</v>
      </c>
      <c r="AO718" s="2" t="s">
        <v>3821</v>
      </c>
      <c r="AP718" s="2" t="s">
        <v>3822</v>
      </c>
      <c r="AQ718" s="2" t="s">
        <v>74</v>
      </c>
      <c r="AR718" s="2" t="s">
        <v>74</v>
      </c>
      <c r="AS718" s="2" t="s">
        <v>74</v>
      </c>
      <c r="AT718" s="2" t="s">
        <v>74</v>
      </c>
      <c r="AU718" s="2">
        <v>1981</v>
      </c>
      <c r="AV718" s="2">
        <v>71</v>
      </c>
      <c r="AW718" s="2">
        <v>3</v>
      </c>
      <c r="AX718" s="2" t="s">
        <v>74</v>
      </c>
      <c r="AY718" s="2" t="s">
        <v>74</v>
      </c>
      <c r="AZ718" s="2" t="s">
        <v>74</v>
      </c>
      <c r="BA718" s="2" t="s">
        <v>74</v>
      </c>
      <c r="BB718" s="2">
        <v>253</v>
      </c>
      <c r="BC718" s="2">
        <v>264</v>
      </c>
      <c r="BD718" s="2" t="s">
        <v>74</v>
      </c>
      <c r="BE718" s="2" t="s">
        <v>5260</v>
      </c>
      <c r="BF718" s="2" t="str">
        <f>HYPERLINK("http://dx.doi.org/10.1111/j.1096-3642.1981.tb01132.x","http://dx.doi.org/10.1111/j.1096-3642.1981.tb01132.x")</f>
        <v>http://dx.doi.org/10.1111/j.1096-3642.1981.tb01132.x</v>
      </c>
      <c r="BG718" s="2" t="s">
        <v>74</v>
      </c>
      <c r="BH718" s="2" t="s">
        <v>74</v>
      </c>
      <c r="BI718" s="2" t="s">
        <v>74</v>
      </c>
      <c r="BJ718" s="2" t="s">
        <v>74</v>
      </c>
      <c r="BK718" s="2" t="s">
        <v>74</v>
      </c>
      <c r="BL718" s="2" t="s">
        <v>74</v>
      </c>
      <c r="BM718" s="2" t="s">
        <v>74</v>
      </c>
      <c r="BN718" s="2" t="s">
        <v>74</v>
      </c>
      <c r="BO718" s="2" t="s">
        <v>74</v>
      </c>
      <c r="BP718" s="2" t="s">
        <v>74</v>
      </c>
      <c r="BQ718" s="2" t="s">
        <v>74</v>
      </c>
      <c r="BR718" s="2" t="s">
        <v>74</v>
      </c>
      <c r="BS718" s="2" t="s">
        <v>5261</v>
      </c>
      <c r="BT718" s="2" t="str">
        <f>HYPERLINK("https%3A%2F%2Fwww.webofscience.com%2Fwos%2Fwoscc%2Ffull-record%2FWOS:A1981LF81100001","View Full Record in Web of Science")</f>
        <v>View Full Record in Web of Science</v>
      </c>
    </row>
    <row r="719" spans="1:72" s="2" customFormat="1" x14ac:dyDescent="0.4">
      <c r="A719" s="2" t="s">
        <v>72</v>
      </c>
      <c r="B719" s="2" t="s">
        <v>4183</v>
      </c>
      <c r="C719" s="2" t="s">
        <v>74</v>
      </c>
      <c r="D719" s="2" t="s">
        <v>74</v>
      </c>
      <c r="E719" s="2" t="s">
        <v>74</v>
      </c>
      <c r="F719" s="2" t="s">
        <v>4184</v>
      </c>
      <c r="G719" s="2" t="s">
        <v>74</v>
      </c>
      <c r="H719" s="2" t="s">
        <v>74</v>
      </c>
      <c r="I719" s="2" t="s">
        <v>4185</v>
      </c>
      <c r="J719" s="2" t="s">
        <v>333</v>
      </c>
      <c r="K719" s="2" t="s">
        <v>74</v>
      </c>
      <c r="L719" s="2" t="s">
        <v>74</v>
      </c>
      <c r="M719" s="2" t="s">
        <v>74</v>
      </c>
      <c r="N719" s="2" t="s">
        <v>74</v>
      </c>
      <c r="O719" s="2" t="s">
        <v>74</v>
      </c>
      <c r="P719" s="2" t="s">
        <v>74</v>
      </c>
      <c r="Q719" s="2" t="s">
        <v>74</v>
      </c>
      <c r="R719" s="2" t="s">
        <v>74</v>
      </c>
      <c r="S719" s="2" t="s">
        <v>74</v>
      </c>
      <c r="T719" s="2" t="s">
        <v>74</v>
      </c>
      <c r="U719" s="2" t="s">
        <v>74</v>
      </c>
      <c r="V719" s="5" t="s">
        <v>4186</v>
      </c>
      <c r="W719" s="2" t="s">
        <v>74</v>
      </c>
      <c r="X719" s="2" t="s">
        <v>74</v>
      </c>
      <c r="Y719" s="2" t="s">
        <v>74</v>
      </c>
      <c r="Z719" s="2" t="s">
        <v>74</v>
      </c>
      <c r="AA719" s="2" t="s">
        <v>74</v>
      </c>
      <c r="AB719" s="2" t="s">
        <v>4187</v>
      </c>
      <c r="AC719" s="2" t="s">
        <v>74</v>
      </c>
      <c r="AD719" s="2" t="s">
        <v>74</v>
      </c>
      <c r="AE719" s="2" t="s">
        <v>74</v>
      </c>
      <c r="AF719" s="2" t="s">
        <v>74</v>
      </c>
      <c r="AG719" s="2" t="s">
        <v>74</v>
      </c>
      <c r="AH719" s="2" t="s">
        <v>74</v>
      </c>
      <c r="AI719" s="2" t="s">
        <v>74</v>
      </c>
      <c r="AJ719" s="2" t="s">
        <v>74</v>
      </c>
      <c r="AK719" s="2" t="s">
        <v>74</v>
      </c>
      <c r="AL719" s="2" t="s">
        <v>74</v>
      </c>
      <c r="AM719" s="2" t="s">
        <v>74</v>
      </c>
      <c r="AN719" s="2" t="s">
        <v>74</v>
      </c>
      <c r="AO719" s="2" t="s">
        <v>337</v>
      </c>
      <c r="AP719" s="2" t="s">
        <v>338</v>
      </c>
      <c r="AQ719" s="2" t="s">
        <v>74</v>
      </c>
      <c r="AR719" s="2" t="s">
        <v>74</v>
      </c>
      <c r="AS719" s="2" t="s">
        <v>74</v>
      </c>
      <c r="AT719" s="2" t="s">
        <v>1075</v>
      </c>
      <c r="AU719" s="2">
        <v>2014</v>
      </c>
      <c r="AV719" s="2">
        <v>25</v>
      </c>
      <c r="AW719" s="2">
        <v>6</v>
      </c>
      <c r="AX719" s="2" t="s">
        <v>74</v>
      </c>
      <c r="AY719" s="2" t="s">
        <v>74</v>
      </c>
      <c r="AZ719" s="2" t="s">
        <v>74</v>
      </c>
      <c r="BA719" s="2" t="s">
        <v>74</v>
      </c>
      <c r="BB719" s="2">
        <v>1325</v>
      </c>
      <c r="BC719" s="2">
        <v>1337</v>
      </c>
      <c r="BD719" s="2" t="s">
        <v>74</v>
      </c>
      <c r="BE719" s="2" t="s">
        <v>4188</v>
      </c>
      <c r="BF719" s="2" t="str">
        <f>HYPERLINK("http://dx.doi.org/10.1093/beheco/aru126","http://dx.doi.org/10.1093/beheco/aru126")</f>
        <v>http://dx.doi.org/10.1093/beheco/aru126</v>
      </c>
      <c r="BG719" s="2" t="s">
        <v>74</v>
      </c>
      <c r="BH719" s="2" t="s">
        <v>74</v>
      </c>
      <c r="BI719" s="2" t="s">
        <v>74</v>
      </c>
      <c r="BJ719" s="2" t="s">
        <v>74</v>
      </c>
      <c r="BK719" s="2" t="s">
        <v>74</v>
      </c>
      <c r="BL719" s="2" t="s">
        <v>74</v>
      </c>
      <c r="BM719" s="2" t="s">
        <v>74</v>
      </c>
      <c r="BN719" s="2">
        <v>25419083</v>
      </c>
      <c r="BO719" s="2" t="s">
        <v>74</v>
      </c>
      <c r="BP719" s="2" t="s">
        <v>74</v>
      </c>
      <c r="BQ719" s="2" t="s">
        <v>74</v>
      </c>
      <c r="BR719" s="2" t="s">
        <v>74</v>
      </c>
      <c r="BS719" s="2" t="s">
        <v>4189</v>
      </c>
      <c r="BT719" s="2" t="str">
        <f>HYPERLINK("https%3A%2F%2Fwww.webofscience.com%2Fwos%2Fwoscc%2Ffull-record%2FWOS:000345432900014","View Full Record in Web of Science")</f>
        <v>View Full Record in Web of Science</v>
      </c>
    </row>
    <row r="720" spans="1:72" s="2" customFormat="1" x14ac:dyDescent="0.4">
      <c r="A720" s="2" t="s">
        <v>72</v>
      </c>
      <c r="B720" s="2" t="s">
        <v>5047</v>
      </c>
      <c r="C720" s="2" t="s">
        <v>74</v>
      </c>
      <c r="D720" s="2" t="s">
        <v>74</v>
      </c>
      <c r="E720" s="2" t="s">
        <v>74</v>
      </c>
      <c r="F720" s="2" t="s">
        <v>5047</v>
      </c>
      <c r="G720" s="2" t="s">
        <v>74</v>
      </c>
      <c r="H720" s="2" t="s">
        <v>74</v>
      </c>
      <c r="I720" s="2" t="s">
        <v>5048</v>
      </c>
      <c r="J720" s="2" t="s">
        <v>5049</v>
      </c>
      <c r="K720" s="2" t="s">
        <v>74</v>
      </c>
      <c r="L720" s="2" t="s">
        <v>74</v>
      </c>
      <c r="M720" s="2" t="s">
        <v>74</v>
      </c>
      <c r="N720" s="2" t="s">
        <v>74</v>
      </c>
      <c r="O720" s="2" t="s">
        <v>74</v>
      </c>
      <c r="P720" s="2" t="s">
        <v>74</v>
      </c>
      <c r="Q720" s="2" t="s">
        <v>74</v>
      </c>
      <c r="R720" s="2" t="s">
        <v>74</v>
      </c>
      <c r="S720" s="2" t="s">
        <v>74</v>
      </c>
      <c r="T720" s="2" t="s">
        <v>74</v>
      </c>
      <c r="U720" s="2" t="s">
        <v>74</v>
      </c>
      <c r="V720" s="5" t="s">
        <v>5050</v>
      </c>
      <c r="W720" s="2" t="s">
        <v>74</v>
      </c>
      <c r="X720" s="2" t="s">
        <v>74</v>
      </c>
      <c r="Y720" s="2" t="s">
        <v>74</v>
      </c>
      <c r="Z720" s="2" t="s">
        <v>74</v>
      </c>
      <c r="AA720" s="2" t="s">
        <v>5051</v>
      </c>
      <c r="AB720" s="2" t="s">
        <v>5052</v>
      </c>
      <c r="AC720" s="2" t="s">
        <v>74</v>
      </c>
      <c r="AD720" s="2" t="s">
        <v>74</v>
      </c>
      <c r="AE720" s="2" t="s">
        <v>74</v>
      </c>
      <c r="AF720" s="2" t="s">
        <v>74</v>
      </c>
      <c r="AG720" s="2" t="s">
        <v>74</v>
      </c>
      <c r="AH720" s="2" t="s">
        <v>74</v>
      </c>
      <c r="AI720" s="2" t="s">
        <v>74</v>
      </c>
      <c r="AJ720" s="2" t="s">
        <v>74</v>
      </c>
      <c r="AK720" s="2" t="s">
        <v>74</v>
      </c>
      <c r="AL720" s="2" t="s">
        <v>74</v>
      </c>
      <c r="AM720" s="2" t="s">
        <v>74</v>
      </c>
      <c r="AN720" s="2" t="s">
        <v>74</v>
      </c>
      <c r="AO720" s="2" t="s">
        <v>5053</v>
      </c>
      <c r="AP720" s="2" t="s">
        <v>74</v>
      </c>
      <c r="AQ720" s="2" t="s">
        <v>74</v>
      </c>
      <c r="AR720" s="2" t="s">
        <v>74</v>
      </c>
      <c r="AS720" s="2" t="s">
        <v>74</v>
      </c>
      <c r="AT720" s="2" t="s">
        <v>255</v>
      </c>
      <c r="AU720" s="2">
        <v>2006</v>
      </c>
      <c r="AV720" s="2">
        <v>22</v>
      </c>
      <c r="AW720" s="2">
        <v>1</v>
      </c>
      <c r="AX720" s="2" t="s">
        <v>74</v>
      </c>
      <c r="AY720" s="2" t="s">
        <v>74</v>
      </c>
      <c r="AZ720" s="2" t="s">
        <v>74</v>
      </c>
      <c r="BA720" s="2" t="s">
        <v>74</v>
      </c>
      <c r="BB720" s="2">
        <v>25</v>
      </c>
      <c r="BC720" s="2">
        <v>33</v>
      </c>
      <c r="BD720" s="2" t="s">
        <v>74</v>
      </c>
      <c r="BE720" s="2" t="s">
        <v>5054</v>
      </c>
      <c r="BF720" s="2" t="str">
        <f>HYPERLINK("http://dx.doi.org/10.1111/j.1748-7692.2006.00003.x","http://dx.doi.org/10.1111/j.1748-7692.2006.00003.x")</f>
        <v>http://dx.doi.org/10.1111/j.1748-7692.2006.00003.x</v>
      </c>
      <c r="BG720" s="2" t="s">
        <v>74</v>
      </c>
      <c r="BH720" s="2" t="s">
        <v>74</v>
      </c>
      <c r="BI720" s="2" t="s">
        <v>74</v>
      </c>
      <c r="BJ720" s="2" t="s">
        <v>74</v>
      </c>
      <c r="BK720" s="2" t="s">
        <v>74</v>
      </c>
      <c r="BL720" s="2" t="s">
        <v>74</v>
      </c>
      <c r="BM720" s="2" t="s">
        <v>74</v>
      </c>
      <c r="BN720" s="2" t="s">
        <v>74</v>
      </c>
      <c r="BO720" s="2" t="s">
        <v>74</v>
      </c>
      <c r="BP720" s="2" t="s">
        <v>74</v>
      </c>
      <c r="BQ720" s="2" t="s">
        <v>74</v>
      </c>
      <c r="BR720" s="2" t="s">
        <v>74</v>
      </c>
      <c r="BS720" s="2" t="s">
        <v>5055</v>
      </c>
      <c r="BT720" s="2" t="str">
        <f>HYPERLINK("https%3A%2F%2Fwww.webofscience.com%2Fwos%2Fwoscc%2Ffull-record%2FWOS:000234942300003","View Full Record in Web of Science")</f>
        <v>View Full Record in Web of Science</v>
      </c>
    </row>
    <row r="721" spans="1:72" s="2" customFormat="1" x14ac:dyDescent="0.4">
      <c r="A721" s="2" t="s">
        <v>72</v>
      </c>
      <c r="B721" s="2" t="s">
        <v>3953</v>
      </c>
      <c r="C721" s="2" t="s">
        <v>74</v>
      </c>
      <c r="D721" s="2" t="s">
        <v>74</v>
      </c>
      <c r="E721" s="2" t="s">
        <v>74</v>
      </c>
      <c r="F721" s="2" t="s">
        <v>3954</v>
      </c>
      <c r="G721" s="2" t="s">
        <v>74</v>
      </c>
      <c r="H721" s="2" t="s">
        <v>74</v>
      </c>
      <c r="I721" s="2" t="s">
        <v>3955</v>
      </c>
      <c r="J721" s="2" t="s">
        <v>201</v>
      </c>
      <c r="K721" s="2" t="s">
        <v>74</v>
      </c>
      <c r="L721" s="2" t="s">
        <v>74</v>
      </c>
      <c r="M721" s="2" t="s">
        <v>74</v>
      </c>
      <c r="N721" s="2" t="s">
        <v>74</v>
      </c>
      <c r="O721" s="2" t="s">
        <v>74</v>
      </c>
      <c r="P721" s="2" t="s">
        <v>74</v>
      </c>
      <c r="Q721" s="2" t="s">
        <v>74</v>
      </c>
      <c r="R721" s="2" t="s">
        <v>74</v>
      </c>
      <c r="S721" s="2" t="s">
        <v>74</v>
      </c>
      <c r="T721" s="2" t="s">
        <v>74</v>
      </c>
      <c r="U721" s="2" t="s">
        <v>74</v>
      </c>
      <c r="V721" s="5" t="s">
        <v>3956</v>
      </c>
      <c r="W721" s="2" t="s">
        <v>74</v>
      </c>
      <c r="X721" s="2" t="s">
        <v>74</v>
      </c>
      <c r="Y721" s="2" t="s">
        <v>74</v>
      </c>
      <c r="Z721" s="2" t="s">
        <v>74</v>
      </c>
      <c r="AA721" s="2" t="s">
        <v>379</v>
      </c>
      <c r="AB721" s="2" t="s">
        <v>3957</v>
      </c>
      <c r="AC721" s="2" t="s">
        <v>74</v>
      </c>
      <c r="AD721" s="2" t="s">
        <v>74</v>
      </c>
      <c r="AE721" s="2" t="s">
        <v>74</v>
      </c>
      <c r="AF721" s="2" t="s">
        <v>74</v>
      </c>
      <c r="AG721" s="2" t="s">
        <v>74</v>
      </c>
      <c r="AH721" s="2" t="s">
        <v>74</v>
      </c>
      <c r="AI721" s="2" t="s">
        <v>74</v>
      </c>
      <c r="AJ721" s="2" t="s">
        <v>74</v>
      </c>
      <c r="AK721" s="2" t="s">
        <v>74</v>
      </c>
      <c r="AL721" s="2" t="s">
        <v>74</v>
      </c>
      <c r="AM721" s="2" t="s">
        <v>74</v>
      </c>
      <c r="AN721" s="2" t="s">
        <v>74</v>
      </c>
      <c r="AO721" s="2" t="s">
        <v>203</v>
      </c>
      <c r="AP721" s="2" t="s">
        <v>1192</v>
      </c>
      <c r="AQ721" s="2" t="s">
        <v>74</v>
      </c>
      <c r="AR721" s="2" t="s">
        <v>74</v>
      </c>
      <c r="AS721" s="2" t="s">
        <v>74</v>
      </c>
      <c r="AT721" s="2" t="s">
        <v>213</v>
      </c>
      <c r="AU721" s="2">
        <v>2013</v>
      </c>
      <c r="AV721" s="2">
        <v>83</v>
      </c>
      <c r="AW721" s="2">
        <v>5</v>
      </c>
      <c r="AX721" s="2" t="s">
        <v>74</v>
      </c>
      <c r="AY721" s="2" t="s">
        <v>74</v>
      </c>
      <c r="AZ721" s="2" t="s">
        <v>74</v>
      </c>
      <c r="BA721" s="2" t="s">
        <v>74</v>
      </c>
      <c r="BB721" s="2">
        <v>1371</v>
      </c>
      <c r="BC721" s="2">
        <v>1380</v>
      </c>
      <c r="BD721" s="2" t="s">
        <v>74</v>
      </c>
      <c r="BE721" s="2" t="s">
        <v>3958</v>
      </c>
      <c r="BF721" s="2" t="str">
        <f>HYPERLINK("http://dx.doi.org/10.1111/jfb.12239","http://dx.doi.org/10.1111/jfb.12239")</f>
        <v>http://dx.doi.org/10.1111/jfb.12239</v>
      </c>
      <c r="BG721" s="2" t="s">
        <v>74</v>
      </c>
      <c r="BH721" s="2" t="s">
        <v>74</v>
      </c>
      <c r="BI721" s="2" t="s">
        <v>74</v>
      </c>
      <c r="BJ721" s="2" t="s">
        <v>74</v>
      </c>
      <c r="BK721" s="2" t="s">
        <v>74</v>
      </c>
      <c r="BL721" s="2" t="s">
        <v>74</v>
      </c>
      <c r="BM721" s="2" t="s">
        <v>74</v>
      </c>
      <c r="BN721" s="2">
        <v>24580670</v>
      </c>
      <c r="BO721" s="2" t="s">
        <v>74</v>
      </c>
      <c r="BP721" s="2" t="s">
        <v>74</v>
      </c>
      <c r="BQ721" s="2" t="s">
        <v>74</v>
      </c>
      <c r="BR721" s="2" t="s">
        <v>74</v>
      </c>
      <c r="BS721" s="2" t="s">
        <v>3959</v>
      </c>
      <c r="BT721" s="2" t="str">
        <f>HYPERLINK("https%3A%2F%2Fwww.webofscience.com%2Fwos%2Fwoscc%2Ffull-record%2FWOS:000326476700019","View Full Record in Web of Science")</f>
        <v>View Full Record in Web of Science</v>
      </c>
    </row>
    <row r="722" spans="1:72" s="2" customFormat="1" x14ac:dyDescent="0.4">
      <c r="A722" s="2" t="s">
        <v>72</v>
      </c>
      <c r="B722" s="2" t="s">
        <v>5638</v>
      </c>
      <c r="C722" s="2" t="s">
        <v>74</v>
      </c>
      <c r="D722" s="2" t="s">
        <v>74</v>
      </c>
      <c r="E722" s="2" t="s">
        <v>74</v>
      </c>
      <c r="F722" s="2" t="s">
        <v>5639</v>
      </c>
      <c r="G722" s="2" t="s">
        <v>74</v>
      </c>
      <c r="H722" s="2" t="s">
        <v>74</v>
      </c>
      <c r="I722" s="2" t="s">
        <v>5640</v>
      </c>
      <c r="J722" s="2" t="s">
        <v>408</v>
      </c>
      <c r="K722" s="2" t="s">
        <v>74</v>
      </c>
      <c r="L722" s="2" t="s">
        <v>74</v>
      </c>
      <c r="M722" s="2" t="s">
        <v>74</v>
      </c>
      <c r="N722" s="2" t="s">
        <v>74</v>
      </c>
      <c r="O722" s="2" t="s">
        <v>74</v>
      </c>
      <c r="P722" s="2" t="s">
        <v>74</v>
      </c>
      <c r="Q722" s="2" t="s">
        <v>74</v>
      </c>
      <c r="R722" s="2" t="s">
        <v>74</v>
      </c>
      <c r="S722" s="2" t="s">
        <v>74</v>
      </c>
      <c r="T722" s="2" t="s">
        <v>74</v>
      </c>
      <c r="U722" s="2" t="s">
        <v>74</v>
      </c>
      <c r="V722" s="5" t="s">
        <v>5641</v>
      </c>
      <c r="W722" s="2" t="s">
        <v>74</v>
      </c>
      <c r="X722" s="2" t="s">
        <v>74</v>
      </c>
      <c r="Y722" s="2" t="s">
        <v>74</v>
      </c>
      <c r="Z722" s="2" t="s">
        <v>74</v>
      </c>
      <c r="AA722" s="2" t="s">
        <v>5642</v>
      </c>
      <c r="AB722" s="2" t="s">
        <v>5643</v>
      </c>
      <c r="AC722" s="2" t="s">
        <v>74</v>
      </c>
      <c r="AD722" s="2" t="s">
        <v>74</v>
      </c>
      <c r="AE722" s="2" t="s">
        <v>74</v>
      </c>
      <c r="AF722" s="2" t="s">
        <v>74</v>
      </c>
      <c r="AG722" s="2" t="s">
        <v>74</v>
      </c>
      <c r="AH722" s="2" t="s">
        <v>74</v>
      </c>
      <c r="AI722" s="2" t="s">
        <v>74</v>
      </c>
      <c r="AJ722" s="2" t="s">
        <v>74</v>
      </c>
      <c r="AK722" s="2" t="s">
        <v>74</v>
      </c>
      <c r="AL722" s="2" t="s">
        <v>74</v>
      </c>
      <c r="AM722" s="2" t="s">
        <v>74</v>
      </c>
      <c r="AN722" s="2" t="s">
        <v>74</v>
      </c>
      <c r="AO722" s="2" t="s">
        <v>412</v>
      </c>
      <c r="AP722" s="2" t="s">
        <v>413</v>
      </c>
      <c r="AQ722" s="2" t="s">
        <v>74</v>
      </c>
      <c r="AR722" s="2" t="s">
        <v>74</v>
      </c>
      <c r="AS722" s="2" t="s">
        <v>74</v>
      </c>
      <c r="AT722" s="2" t="s">
        <v>352</v>
      </c>
      <c r="AU722" s="2">
        <v>2013</v>
      </c>
      <c r="AV722" s="2">
        <v>110</v>
      </c>
      <c r="AW722" s="2">
        <v>1</v>
      </c>
      <c r="AX722" s="2" t="s">
        <v>74</v>
      </c>
      <c r="AY722" s="2" t="s">
        <v>74</v>
      </c>
      <c r="AZ722" s="2" t="s">
        <v>74</v>
      </c>
      <c r="BA722" s="2" t="s">
        <v>74</v>
      </c>
      <c r="BB722" s="2">
        <v>128</v>
      </c>
      <c r="BC722" s="2">
        <v>141</v>
      </c>
      <c r="BD722" s="2" t="s">
        <v>74</v>
      </c>
      <c r="BE722" s="2" t="s">
        <v>5644</v>
      </c>
      <c r="BF722" s="2" t="str">
        <f>HYPERLINK("http://dx.doi.org/10.1111/bij.12104","http://dx.doi.org/10.1111/bij.12104")</f>
        <v>http://dx.doi.org/10.1111/bij.12104</v>
      </c>
      <c r="BG722" s="2" t="s">
        <v>74</v>
      </c>
      <c r="BH722" s="2" t="s">
        <v>74</v>
      </c>
      <c r="BI722" s="2" t="s">
        <v>74</v>
      </c>
      <c r="BJ722" s="2" t="s">
        <v>74</v>
      </c>
      <c r="BK722" s="2" t="s">
        <v>74</v>
      </c>
      <c r="BL722" s="2" t="s">
        <v>74</v>
      </c>
      <c r="BM722" s="2" t="s">
        <v>74</v>
      </c>
      <c r="BN722" s="2" t="s">
        <v>74</v>
      </c>
      <c r="BO722" s="2" t="s">
        <v>74</v>
      </c>
      <c r="BP722" s="2" t="s">
        <v>74</v>
      </c>
      <c r="BQ722" s="2" t="s">
        <v>74</v>
      </c>
      <c r="BR722" s="2" t="s">
        <v>74</v>
      </c>
      <c r="BS722" s="2" t="s">
        <v>5645</v>
      </c>
      <c r="BT722" s="2" t="str">
        <f>HYPERLINK("https%3A%2F%2Fwww.webofscience.com%2Fwos%2Fwoscc%2Ffull-record%2FWOS:000323040200010","View Full Record in Web of Science")</f>
        <v>View Full Record in Web of Science</v>
      </c>
    </row>
    <row r="723" spans="1:72" s="2" customFormat="1" x14ac:dyDescent="0.4">
      <c r="A723" s="2" t="s">
        <v>72</v>
      </c>
      <c r="B723" s="2" t="s">
        <v>3806</v>
      </c>
      <c r="C723" s="2" t="s">
        <v>74</v>
      </c>
      <c r="D723" s="2" t="s">
        <v>74</v>
      </c>
      <c r="E723" s="2" t="s">
        <v>74</v>
      </c>
      <c r="F723" s="2" t="s">
        <v>3807</v>
      </c>
      <c r="G723" s="2" t="s">
        <v>74</v>
      </c>
      <c r="H723" s="2" t="s">
        <v>74</v>
      </c>
      <c r="I723" s="2" t="s">
        <v>3808</v>
      </c>
      <c r="J723" s="2" t="s">
        <v>333</v>
      </c>
      <c r="K723" s="2" t="s">
        <v>74</v>
      </c>
      <c r="L723" s="2" t="s">
        <v>74</v>
      </c>
      <c r="M723" s="2" t="s">
        <v>74</v>
      </c>
      <c r="N723" s="2" t="s">
        <v>74</v>
      </c>
      <c r="O723" s="2" t="s">
        <v>74</v>
      </c>
      <c r="P723" s="2" t="s">
        <v>74</v>
      </c>
      <c r="Q723" s="2" t="s">
        <v>74</v>
      </c>
      <c r="R723" s="2" t="s">
        <v>74</v>
      </c>
      <c r="S723" s="2" t="s">
        <v>74</v>
      </c>
      <c r="T723" s="2" t="s">
        <v>74</v>
      </c>
      <c r="U723" s="2" t="s">
        <v>74</v>
      </c>
      <c r="V723" s="5" t="s">
        <v>3809</v>
      </c>
      <c r="W723" s="2" t="s">
        <v>74</v>
      </c>
      <c r="X723" s="2" t="s">
        <v>74</v>
      </c>
      <c r="Y723" s="2" t="s">
        <v>74</v>
      </c>
      <c r="Z723" s="2" t="s">
        <v>74</v>
      </c>
      <c r="AA723" s="2" t="s">
        <v>3810</v>
      </c>
      <c r="AB723" s="2" t="s">
        <v>3811</v>
      </c>
      <c r="AC723" s="2" t="s">
        <v>74</v>
      </c>
      <c r="AD723" s="2" t="s">
        <v>74</v>
      </c>
      <c r="AE723" s="2" t="s">
        <v>74</v>
      </c>
      <c r="AF723" s="2" t="s">
        <v>74</v>
      </c>
      <c r="AG723" s="2" t="s">
        <v>74</v>
      </c>
      <c r="AH723" s="2" t="s">
        <v>74</v>
      </c>
      <c r="AI723" s="2" t="s">
        <v>74</v>
      </c>
      <c r="AJ723" s="2" t="s">
        <v>74</v>
      </c>
      <c r="AK723" s="2" t="s">
        <v>74</v>
      </c>
      <c r="AL723" s="2" t="s">
        <v>74</v>
      </c>
      <c r="AM723" s="2" t="s">
        <v>74</v>
      </c>
      <c r="AN723" s="2" t="s">
        <v>74</v>
      </c>
      <c r="AO723" s="2" t="s">
        <v>337</v>
      </c>
      <c r="AP723" s="2" t="s">
        <v>338</v>
      </c>
      <c r="AQ723" s="2" t="s">
        <v>74</v>
      </c>
      <c r="AR723" s="2" t="s">
        <v>74</v>
      </c>
      <c r="AS723" s="2" t="s">
        <v>74</v>
      </c>
      <c r="AT723" s="2" t="s">
        <v>1475</v>
      </c>
      <c r="AU723" s="2">
        <v>2016</v>
      </c>
      <c r="AV723" s="2">
        <v>27</v>
      </c>
      <c r="AW723" s="2">
        <v>1</v>
      </c>
      <c r="AX723" s="2" t="s">
        <v>74</v>
      </c>
      <c r="AY723" s="2" t="s">
        <v>74</v>
      </c>
      <c r="AZ723" s="2" t="s">
        <v>74</v>
      </c>
      <c r="BA723" s="2" t="s">
        <v>74</v>
      </c>
      <c r="BB723" s="2">
        <v>262</v>
      </c>
      <c r="BC723" s="2">
        <v>270</v>
      </c>
      <c r="BD723" s="2" t="s">
        <v>74</v>
      </c>
      <c r="BE723" s="2" t="s">
        <v>3812</v>
      </c>
      <c r="BF723" s="2" t="str">
        <f>HYPERLINK("http://dx.doi.org/10.1093/beheco/arv149","http://dx.doi.org/10.1093/beheco/arv149")</f>
        <v>http://dx.doi.org/10.1093/beheco/arv149</v>
      </c>
      <c r="BG723" s="2" t="s">
        <v>74</v>
      </c>
      <c r="BH723" s="2" t="s">
        <v>74</v>
      </c>
      <c r="BI723" s="2" t="s">
        <v>74</v>
      </c>
      <c r="BJ723" s="2" t="s">
        <v>74</v>
      </c>
      <c r="BK723" s="2" t="s">
        <v>74</v>
      </c>
      <c r="BL723" s="2" t="s">
        <v>74</v>
      </c>
      <c r="BM723" s="2" t="s">
        <v>74</v>
      </c>
      <c r="BN723" s="2" t="s">
        <v>74</v>
      </c>
      <c r="BO723" s="2" t="s">
        <v>74</v>
      </c>
      <c r="BP723" s="2" t="s">
        <v>74</v>
      </c>
      <c r="BQ723" s="2" t="s">
        <v>74</v>
      </c>
      <c r="BR723" s="2" t="s">
        <v>74</v>
      </c>
      <c r="BS723" s="2" t="s">
        <v>3813</v>
      </c>
      <c r="BT723" s="2" t="str">
        <f>HYPERLINK("https%3A%2F%2Fwww.webofscience.com%2Fwos%2Fwoscc%2Ffull-record%2FWOS:000374768300038","View Full Record in Web of Science")</f>
        <v>View Full Record in Web of Science</v>
      </c>
    </row>
    <row r="724" spans="1:72" s="2" customFormat="1" x14ac:dyDescent="0.4">
      <c r="A724" s="2" t="s">
        <v>72</v>
      </c>
      <c r="B724" s="2" t="s">
        <v>1412</v>
      </c>
      <c r="C724" s="2" t="s">
        <v>74</v>
      </c>
      <c r="D724" s="2" t="s">
        <v>74</v>
      </c>
      <c r="E724" s="2" t="s">
        <v>74</v>
      </c>
      <c r="F724" s="2" t="s">
        <v>1413</v>
      </c>
      <c r="G724" s="2" t="s">
        <v>74</v>
      </c>
      <c r="H724" s="2" t="s">
        <v>74</v>
      </c>
      <c r="I724" s="2" t="s">
        <v>1414</v>
      </c>
      <c r="J724" s="2" t="s">
        <v>312</v>
      </c>
      <c r="K724" s="2" t="s">
        <v>74</v>
      </c>
      <c r="L724" s="2" t="s">
        <v>74</v>
      </c>
      <c r="M724" s="2" t="s">
        <v>74</v>
      </c>
      <c r="N724" s="2" t="s">
        <v>74</v>
      </c>
      <c r="O724" s="2" t="s">
        <v>74</v>
      </c>
      <c r="P724" s="2" t="s">
        <v>74</v>
      </c>
      <c r="Q724" s="2" t="s">
        <v>74</v>
      </c>
      <c r="R724" s="2" t="s">
        <v>74</v>
      </c>
      <c r="S724" s="2" t="s">
        <v>74</v>
      </c>
      <c r="T724" s="2" t="s">
        <v>74</v>
      </c>
      <c r="U724" s="2" t="s">
        <v>74</v>
      </c>
      <c r="V724" s="5" t="s">
        <v>1415</v>
      </c>
      <c r="W724" s="2" t="s">
        <v>74</v>
      </c>
      <c r="X724" s="2" t="s">
        <v>74</v>
      </c>
      <c r="Y724" s="2" t="s">
        <v>74</v>
      </c>
      <c r="Z724" s="2" t="s">
        <v>74</v>
      </c>
      <c r="AA724" s="2" t="s">
        <v>1416</v>
      </c>
      <c r="AB724" s="2" t="s">
        <v>74</v>
      </c>
      <c r="AC724" s="2" t="s">
        <v>74</v>
      </c>
      <c r="AD724" s="2" t="s">
        <v>74</v>
      </c>
      <c r="AE724" s="2" t="s">
        <v>74</v>
      </c>
      <c r="AF724" s="2" t="s">
        <v>74</v>
      </c>
      <c r="AG724" s="2" t="s">
        <v>74</v>
      </c>
      <c r="AH724" s="2" t="s">
        <v>74</v>
      </c>
      <c r="AI724" s="2" t="s">
        <v>74</v>
      </c>
      <c r="AJ724" s="2" t="s">
        <v>74</v>
      </c>
      <c r="AK724" s="2" t="s">
        <v>74</v>
      </c>
      <c r="AL724" s="2" t="s">
        <v>74</v>
      </c>
      <c r="AM724" s="2" t="s">
        <v>74</v>
      </c>
      <c r="AN724" s="2" t="s">
        <v>74</v>
      </c>
      <c r="AO724" s="2" t="s">
        <v>314</v>
      </c>
      <c r="AP724" s="2" t="s">
        <v>315</v>
      </c>
      <c r="AQ724" s="2" t="s">
        <v>74</v>
      </c>
      <c r="AR724" s="2" t="s">
        <v>74</v>
      </c>
      <c r="AS724" s="2" t="s">
        <v>74</v>
      </c>
      <c r="AT724" s="2" t="s">
        <v>633</v>
      </c>
      <c r="AU724" s="2">
        <v>2015</v>
      </c>
      <c r="AV724" s="2">
        <v>185</v>
      </c>
      <c r="AW724" s="2">
        <v>4</v>
      </c>
      <c r="AX724" s="2" t="s">
        <v>74</v>
      </c>
      <c r="AY724" s="2" t="s">
        <v>74</v>
      </c>
      <c r="AZ724" s="2" t="s">
        <v>74</v>
      </c>
      <c r="BA724" s="2" t="s">
        <v>74</v>
      </c>
      <c r="BB724" s="2">
        <v>443</v>
      </c>
      <c r="BC724" s="2">
        <v>451</v>
      </c>
      <c r="BD724" s="2" t="s">
        <v>74</v>
      </c>
      <c r="BE724" s="2" t="s">
        <v>1417</v>
      </c>
      <c r="BF724" s="2" t="str">
        <f>HYPERLINK("http://dx.doi.org/10.1086/680206","http://dx.doi.org/10.1086/680206")</f>
        <v>http://dx.doi.org/10.1086/680206</v>
      </c>
      <c r="BG724" s="2" t="s">
        <v>74</v>
      </c>
      <c r="BH724" s="2" t="s">
        <v>74</v>
      </c>
      <c r="BI724" s="2" t="s">
        <v>74</v>
      </c>
      <c r="BJ724" s="2" t="s">
        <v>74</v>
      </c>
      <c r="BK724" s="2" t="s">
        <v>74</v>
      </c>
      <c r="BL724" s="2" t="s">
        <v>74</v>
      </c>
      <c r="BM724" s="2" t="s">
        <v>74</v>
      </c>
      <c r="BN724" s="2">
        <v>25811081</v>
      </c>
      <c r="BO724" s="2" t="s">
        <v>74</v>
      </c>
      <c r="BP724" s="2" t="s">
        <v>74</v>
      </c>
      <c r="BQ724" s="2" t="s">
        <v>74</v>
      </c>
      <c r="BR724" s="2" t="s">
        <v>74</v>
      </c>
      <c r="BS724" s="2" t="s">
        <v>1418</v>
      </c>
      <c r="BT724" s="2" t="str">
        <f>HYPERLINK("https%3A%2F%2Fwww.webofscience.com%2Fwos%2Fwoscc%2Ffull-record%2FWOS:000351859700005","View Full Record in Web of Science")</f>
        <v>View Full Record in Web of Science</v>
      </c>
    </row>
    <row r="725" spans="1:72" s="2" customFormat="1" x14ac:dyDescent="0.4">
      <c r="A725" s="2" t="s">
        <v>72</v>
      </c>
      <c r="B725" s="2" t="s">
        <v>689</v>
      </c>
      <c r="C725" s="2" t="s">
        <v>74</v>
      </c>
      <c r="D725" s="2" t="s">
        <v>74</v>
      </c>
      <c r="E725" s="2" t="s">
        <v>74</v>
      </c>
      <c r="F725" s="2" t="s">
        <v>689</v>
      </c>
      <c r="G725" s="2" t="s">
        <v>74</v>
      </c>
      <c r="H725" s="2" t="s">
        <v>74</v>
      </c>
      <c r="I725" s="2" t="s">
        <v>690</v>
      </c>
      <c r="J725" s="2" t="s">
        <v>691</v>
      </c>
      <c r="K725" s="2" t="s">
        <v>74</v>
      </c>
      <c r="L725" s="2" t="s">
        <v>74</v>
      </c>
      <c r="M725" s="2" t="s">
        <v>74</v>
      </c>
      <c r="N725" s="2" t="s">
        <v>74</v>
      </c>
      <c r="O725" s="2" t="s">
        <v>74</v>
      </c>
      <c r="P725" s="2" t="s">
        <v>74</v>
      </c>
      <c r="Q725" s="2" t="s">
        <v>74</v>
      </c>
      <c r="R725" s="2" t="s">
        <v>74</v>
      </c>
      <c r="S725" s="2" t="s">
        <v>74</v>
      </c>
      <c r="T725" s="2" t="s">
        <v>74</v>
      </c>
      <c r="U725" s="2" t="s">
        <v>74</v>
      </c>
      <c r="V725" s="5" t="s">
        <v>692</v>
      </c>
      <c r="W725" s="2" t="s">
        <v>74</v>
      </c>
      <c r="X725" s="2" t="s">
        <v>74</v>
      </c>
      <c r="Y725" s="2" t="s">
        <v>74</v>
      </c>
      <c r="Z725" s="2" t="s">
        <v>74</v>
      </c>
      <c r="AA725" s="2" t="s">
        <v>693</v>
      </c>
      <c r="AB725" s="2" t="s">
        <v>694</v>
      </c>
      <c r="AC725" s="2" t="s">
        <v>74</v>
      </c>
      <c r="AD725" s="2" t="s">
        <v>74</v>
      </c>
      <c r="AE725" s="2" t="s">
        <v>74</v>
      </c>
      <c r="AF725" s="2" t="s">
        <v>74</v>
      </c>
      <c r="AG725" s="2" t="s">
        <v>74</v>
      </c>
      <c r="AH725" s="2" t="s">
        <v>74</v>
      </c>
      <c r="AI725" s="2" t="s">
        <v>74</v>
      </c>
      <c r="AJ725" s="2" t="s">
        <v>74</v>
      </c>
      <c r="AK725" s="2" t="s">
        <v>74</v>
      </c>
      <c r="AL725" s="2" t="s">
        <v>74</v>
      </c>
      <c r="AM725" s="2" t="s">
        <v>74</v>
      </c>
      <c r="AN725" s="2" t="s">
        <v>74</v>
      </c>
      <c r="AO725" s="2" t="s">
        <v>695</v>
      </c>
      <c r="AP725" s="2" t="s">
        <v>74</v>
      </c>
      <c r="AQ725" s="2" t="s">
        <v>74</v>
      </c>
      <c r="AR725" s="2" t="s">
        <v>74</v>
      </c>
      <c r="AS725" s="2" t="s">
        <v>74</v>
      </c>
      <c r="AT725" s="2" t="s">
        <v>145</v>
      </c>
      <c r="AU725" s="2">
        <v>1995</v>
      </c>
      <c r="AV725" s="2">
        <v>58</v>
      </c>
      <c r="AW725" s="2">
        <v>2</v>
      </c>
      <c r="AX725" s="2" t="s">
        <v>74</v>
      </c>
      <c r="AY725" s="2" t="s">
        <v>74</v>
      </c>
      <c r="AZ725" s="2" t="s">
        <v>74</v>
      </c>
      <c r="BA725" s="2" t="s">
        <v>74</v>
      </c>
      <c r="BB725" s="2">
        <v>323</v>
      </c>
      <c r="BC725" s="2">
        <v>328</v>
      </c>
      <c r="BD725" s="2" t="s">
        <v>74</v>
      </c>
      <c r="BE725" s="2" t="s">
        <v>696</v>
      </c>
      <c r="BF725" s="2" t="str">
        <f>HYPERLINK("http://dx.doi.org/10.1016/0031-9384(95)00061-M","http://dx.doi.org/10.1016/0031-9384(95)00061-M")</f>
        <v>http://dx.doi.org/10.1016/0031-9384(95)00061-M</v>
      </c>
      <c r="BG725" s="2" t="s">
        <v>74</v>
      </c>
      <c r="BH725" s="2" t="s">
        <v>74</v>
      </c>
      <c r="BI725" s="2" t="s">
        <v>74</v>
      </c>
      <c r="BJ725" s="2" t="s">
        <v>74</v>
      </c>
      <c r="BK725" s="2" t="s">
        <v>74</v>
      </c>
      <c r="BL725" s="2" t="s">
        <v>74</v>
      </c>
      <c r="BM725" s="2" t="s">
        <v>74</v>
      </c>
      <c r="BN725" s="2">
        <v>7568436</v>
      </c>
      <c r="BO725" s="2" t="s">
        <v>74</v>
      </c>
      <c r="BP725" s="2" t="s">
        <v>74</v>
      </c>
      <c r="BQ725" s="2" t="s">
        <v>74</v>
      </c>
      <c r="BR725" s="2" t="s">
        <v>74</v>
      </c>
      <c r="BS725" s="2" t="s">
        <v>697</v>
      </c>
      <c r="BT725" s="2" t="str">
        <f>HYPERLINK("https%3A%2F%2Fwww.webofscience.com%2Fwos%2Fwoscc%2Ffull-record%2FWOS:A1995RH18300016","View Full Record in Web of Science")</f>
        <v>View Full Record in Web of Science</v>
      </c>
    </row>
    <row r="726" spans="1:72" s="2" customFormat="1" x14ac:dyDescent="0.4">
      <c r="A726" s="2" t="s">
        <v>72</v>
      </c>
      <c r="B726" s="2" t="s">
        <v>7812</v>
      </c>
      <c r="C726" s="2" t="s">
        <v>74</v>
      </c>
      <c r="D726" s="2" t="s">
        <v>74</v>
      </c>
      <c r="E726" s="2" t="s">
        <v>74</v>
      </c>
      <c r="F726" s="2" t="s">
        <v>7813</v>
      </c>
      <c r="G726" s="2" t="s">
        <v>74</v>
      </c>
      <c r="H726" s="2" t="s">
        <v>74</v>
      </c>
      <c r="I726" s="2" t="s">
        <v>7814</v>
      </c>
      <c r="J726" s="2" t="s">
        <v>803</v>
      </c>
      <c r="K726" s="2" t="s">
        <v>74</v>
      </c>
      <c r="L726" s="2" t="s">
        <v>74</v>
      </c>
      <c r="M726" s="2" t="s">
        <v>74</v>
      </c>
      <c r="N726" s="2" t="s">
        <v>74</v>
      </c>
      <c r="O726" s="2" t="s">
        <v>74</v>
      </c>
      <c r="P726" s="2" t="s">
        <v>74</v>
      </c>
      <c r="Q726" s="2" t="s">
        <v>74</v>
      </c>
      <c r="R726" s="2" t="s">
        <v>74</v>
      </c>
      <c r="S726" s="2" t="s">
        <v>74</v>
      </c>
      <c r="T726" s="2" t="s">
        <v>74</v>
      </c>
      <c r="U726" s="2" t="s">
        <v>74</v>
      </c>
      <c r="V726" s="5" t="s">
        <v>7815</v>
      </c>
      <c r="W726" s="2" t="s">
        <v>74</v>
      </c>
      <c r="X726" s="2" t="s">
        <v>74</v>
      </c>
      <c r="Y726" s="2" t="s">
        <v>74</v>
      </c>
      <c r="Z726" s="2" t="s">
        <v>74</v>
      </c>
      <c r="AA726" s="2" t="s">
        <v>7816</v>
      </c>
      <c r="AB726" s="2" t="s">
        <v>7817</v>
      </c>
      <c r="AC726" s="2" t="s">
        <v>74</v>
      </c>
      <c r="AD726" s="2" t="s">
        <v>74</v>
      </c>
      <c r="AE726" s="2" t="s">
        <v>74</v>
      </c>
      <c r="AF726" s="2" t="s">
        <v>74</v>
      </c>
      <c r="AG726" s="2" t="s">
        <v>74</v>
      </c>
      <c r="AH726" s="2" t="s">
        <v>74</v>
      </c>
      <c r="AI726" s="2" t="s">
        <v>74</v>
      </c>
      <c r="AJ726" s="2" t="s">
        <v>74</v>
      </c>
      <c r="AK726" s="2" t="s">
        <v>74</v>
      </c>
      <c r="AL726" s="2" t="s">
        <v>74</v>
      </c>
      <c r="AM726" s="2" t="s">
        <v>74</v>
      </c>
      <c r="AN726" s="2" t="s">
        <v>74</v>
      </c>
      <c r="AO726" s="2" t="s">
        <v>806</v>
      </c>
      <c r="AP726" s="2" t="s">
        <v>807</v>
      </c>
      <c r="AQ726" s="2" t="s">
        <v>74</v>
      </c>
      <c r="AR726" s="2" t="s">
        <v>74</v>
      </c>
      <c r="AS726" s="2" t="s">
        <v>74</v>
      </c>
      <c r="AT726" s="2" t="s">
        <v>1475</v>
      </c>
      <c r="AU726" s="2">
        <v>2021</v>
      </c>
      <c r="AV726" s="2">
        <v>41</v>
      </c>
      <c r="AW726" s="2" t="s">
        <v>74</v>
      </c>
      <c r="AX726" s="2" t="s">
        <v>74</v>
      </c>
      <c r="AY726" s="2" t="s">
        <v>74</v>
      </c>
      <c r="AZ726" s="2" t="s">
        <v>74</v>
      </c>
      <c r="BA726" s="2" t="s">
        <v>74</v>
      </c>
      <c r="BB726" s="2">
        <v>12</v>
      </c>
      <c r="BC726" s="2">
        <v>21</v>
      </c>
      <c r="BD726" s="2" t="s">
        <v>74</v>
      </c>
      <c r="BE726" s="2" t="s">
        <v>7818</v>
      </c>
      <c r="BF726" s="2" t="str">
        <f>HYPERLINK("http://dx.doi.org/10.1016/j.jveb.2020.10.007","http://dx.doi.org/10.1016/j.jveb.2020.10.007")</f>
        <v>http://dx.doi.org/10.1016/j.jveb.2020.10.007</v>
      </c>
      <c r="BG726" s="2" t="s">
        <v>74</v>
      </c>
      <c r="BH726" s="2" t="s">
        <v>74</v>
      </c>
      <c r="BI726" s="2" t="s">
        <v>74</v>
      </c>
      <c r="BJ726" s="2" t="s">
        <v>74</v>
      </c>
      <c r="BK726" s="2" t="s">
        <v>74</v>
      </c>
      <c r="BL726" s="2" t="s">
        <v>74</v>
      </c>
      <c r="BM726" s="2" t="s">
        <v>74</v>
      </c>
      <c r="BN726" s="2" t="s">
        <v>74</v>
      </c>
      <c r="BO726" s="2" t="s">
        <v>74</v>
      </c>
      <c r="BP726" s="2" t="s">
        <v>74</v>
      </c>
      <c r="BQ726" s="2" t="s">
        <v>74</v>
      </c>
      <c r="BR726" s="2" t="s">
        <v>74</v>
      </c>
      <c r="BS726" s="2" t="s">
        <v>7819</v>
      </c>
      <c r="BT726" s="2" t="str">
        <f>HYPERLINK("https%3A%2F%2Fwww.webofscience.com%2Fwos%2Fwoscc%2Ffull-record%2FWOS:000632186500001","View Full Record in Web of Science")</f>
        <v>View Full Record in Web of Science</v>
      </c>
    </row>
    <row r="727" spans="1:72" s="2" customFormat="1" x14ac:dyDescent="0.4">
      <c r="A727" s="2" t="s">
        <v>72</v>
      </c>
      <c r="B727" s="2" t="s">
        <v>5673</v>
      </c>
      <c r="C727" s="2" t="s">
        <v>74</v>
      </c>
      <c r="D727" s="2" t="s">
        <v>74</v>
      </c>
      <c r="E727" s="2" t="s">
        <v>74</v>
      </c>
      <c r="F727" s="2" t="s">
        <v>5674</v>
      </c>
      <c r="G727" s="2" t="s">
        <v>74</v>
      </c>
      <c r="H727" s="2" t="s">
        <v>74</v>
      </c>
      <c r="I727" s="2" t="s">
        <v>5675</v>
      </c>
      <c r="J727" s="2" t="s">
        <v>129</v>
      </c>
      <c r="K727" s="2" t="s">
        <v>74</v>
      </c>
      <c r="L727" s="2" t="s">
        <v>74</v>
      </c>
      <c r="M727" s="2" t="s">
        <v>74</v>
      </c>
      <c r="N727" s="2" t="s">
        <v>74</v>
      </c>
      <c r="O727" s="2" t="s">
        <v>74</v>
      </c>
      <c r="P727" s="2" t="s">
        <v>74</v>
      </c>
      <c r="Q727" s="2" t="s">
        <v>74</v>
      </c>
      <c r="R727" s="2" t="s">
        <v>74</v>
      </c>
      <c r="S727" s="2" t="s">
        <v>74</v>
      </c>
      <c r="T727" s="2" t="s">
        <v>74</v>
      </c>
      <c r="U727" s="2" t="s">
        <v>74</v>
      </c>
      <c r="V727" s="5" t="s">
        <v>5676</v>
      </c>
      <c r="W727" s="2" t="s">
        <v>74</v>
      </c>
      <c r="X727" s="2" t="s">
        <v>74</v>
      </c>
      <c r="Y727" s="2" t="s">
        <v>74</v>
      </c>
      <c r="Z727" s="2" t="s">
        <v>74</v>
      </c>
      <c r="AA727" s="2" t="s">
        <v>5677</v>
      </c>
      <c r="AB727" s="2" t="s">
        <v>5678</v>
      </c>
      <c r="AC727" s="2" t="s">
        <v>74</v>
      </c>
      <c r="AD727" s="2" t="s">
        <v>74</v>
      </c>
      <c r="AE727" s="2" t="s">
        <v>74</v>
      </c>
      <c r="AF727" s="2" t="s">
        <v>74</v>
      </c>
      <c r="AG727" s="2" t="s">
        <v>74</v>
      </c>
      <c r="AH727" s="2" t="s">
        <v>74</v>
      </c>
      <c r="AI727" s="2" t="s">
        <v>74</v>
      </c>
      <c r="AJ727" s="2" t="s">
        <v>74</v>
      </c>
      <c r="AK727" s="2" t="s">
        <v>74</v>
      </c>
      <c r="AL727" s="2" t="s">
        <v>74</v>
      </c>
      <c r="AM727" s="2" t="s">
        <v>74</v>
      </c>
      <c r="AN727" s="2" t="s">
        <v>74</v>
      </c>
      <c r="AO727" s="2" t="s">
        <v>132</v>
      </c>
      <c r="AP727" s="2" t="s">
        <v>133</v>
      </c>
      <c r="AQ727" s="2" t="s">
        <v>74</v>
      </c>
      <c r="AR727" s="2" t="s">
        <v>74</v>
      </c>
      <c r="AS727" s="2" t="s">
        <v>74</v>
      </c>
      <c r="AT727" s="2" t="s">
        <v>305</v>
      </c>
      <c r="AU727" s="2">
        <v>2018</v>
      </c>
      <c r="AV727" s="2">
        <v>72</v>
      </c>
      <c r="AW727" s="2">
        <v>12</v>
      </c>
      <c r="AX727" s="2" t="s">
        <v>74</v>
      </c>
      <c r="AY727" s="2" t="s">
        <v>74</v>
      </c>
      <c r="AZ727" s="2" t="s">
        <v>74</v>
      </c>
      <c r="BA727" s="2" t="s">
        <v>74</v>
      </c>
      <c r="BB727" s="2" t="s">
        <v>74</v>
      </c>
      <c r="BC727" s="2" t="s">
        <v>74</v>
      </c>
      <c r="BD727" s="2">
        <v>189</v>
      </c>
      <c r="BE727" s="2" t="s">
        <v>5679</v>
      </c>
      <c r="BF727" s="2" t="str">
        <f>HYPERLINK("http://dx.doi.org/10.1007/s00265-018-2617-0","http://dx.doi.org/10.1007/s00265-018-2617-0")</f>
        <v>http://dx.doi.org/10.1007/s00265-018-2617-0</v>
      </c>
      <c r="BG727" s="2" t="s">
        <v>74</v>
      </c>
      <c r="BH727" s="2" t="s">
        <v>74</v>
      </c>
      <c r="BI727" s="2" t="s">
        <v>74</v>
      </c>
      <c r="BJ727" s="2" t="s">
        <v>74</v>
      </c>
      <c r="BK727" s="2" t="s">
        <v>74</v>
      </c>
      <c r="BL727" s="2" t="s">
        <v>74</v>
      </c>
      <c r="BM727" s="2" t="s">
        <v>74</v>
      </c>
      <c r="BN727" s="2" t="s">
        <v>74</v>
      </c>
      <c r="BO727" s="2" t="s">
        <v>74</v>
      </c>
      <c r="BP727" s="2" t="s">
        <v>74</v>
      </c>
      <c r="BQ727" s="2" t="s">
        <v>74</v>
      </c>
      <c r="BR727" s="2" t="s">
        <v>74</v>
      </c>
      <c r="BS727" s="2" t="s">
        <v>5680</v>
      </c>
      <c r="BT727" s="2" t="str">
        <f>HYPERLINK("https%3A%2F%2Fwww.webofscience.com%2Fwos%2Fwoscc%2Ffull-record%2FWOS:000451753200001","View Full Record in Web of Science")</f>
        <v>View Full Record in Web of Science</v>
      </c>
    </row>
    <row r="728" spans="1:72" s="2" customFormat="1" x14ac:dyDescent="0.4">
      <c r="A728" s="2" t="s">
        <v>72</v>
      </c>
      <c r="B728" s="2" t="s">
        <v>5395</v>
      </c>
      <c r="C728" s="2" t="s">
        <v>74</v>
      </c>
      <c r="D728" s="2" t="s">
        <v>74</v>
      </c>
      <c r="E728" s="2" t="s">
        <v>74</v>
      </c>
      <c r="F728" s="2" t="s">
        <v>5396</v>
      </c>
      <c r="G728" s="2" t="s">
        <v>74</v>
      </c>
      <c r="H728" s="2" t="s">
        <v>74</v>
      </c>
      <c r="I728" s="2" t="s">
        <v>5397</v>
      </c>
      <c r="J728" s="2" t="s">
        <v>1656</v>
      </c>
      <c r="K728" s="2" t="s">
        <v>74</v>
      </c>
      <c r="L728" s="2" t="s">
        <v>74</v>
      </c>
      <c r="M728" s="2" t="s">
        <v>74</v>
      </c>
      <c r="N728" s="2" t="s">
        <v>74</v>
      </c>
      <c r="O728" s="2" t="s">
        <v>74</v>
      </c>
      <c r="P728" s="2" t="s">
        <v>74</v>
      </c>
      <c r="Q728" s="2" t="s">
        <v>74</v>
      </c>
      <c r="R728" s="2" t="s">
        <v>74</v>
      </c>
      <c r="S728" s="2" t="s">
        <v>74</v>
      </c>
      <c r="T728" s="2" t="s">
        <v>74</v>
      </c>
      <c r="U728" s="2" t="s">
        <v>74</v>
      </c>
      <c r="V728" s="5" t="s">
        <v>5398</v>
      </c>
      <c r="W728" s="2" t="s">
        <v>74</v>
      </c>
      <c r="X728" s="2" t="s">
        <v>74</v>
      </c>
      <c r="Y728" s="2" t="s">
        <v>74</v>
      </c>
      <c r="Z728" s="2" t="s">
        <v>74</v>
      </c>
      <c r="AA728" s="2" t="s">
        <v>5399</v>
      </c>
      <c r="AB728" s="2" t="s">
        <v>5400</v>
      </c>
      <c r="AC728" s="2" t="s">
        <v>74</v>
      </c>
      <c r="AD728" s="2" t="s">
        <v>74</v>
      </c>
      <c r="AE728" s="2" t="s">
        <v>74</v>
      </c>
      <c r="AF728" s="2" t="s">
        <v>74</v>
      </c>
      <c r="AG728" s="2" t="s">
        <v>74</v>
      </c>
      <c r="AH728" s="2" t="s">
        <v>74</v>
      </c>
      <c r="AI728" s="2" t="s">
        <v>74</v>
      </c>
      <c r="AJ728" s="2" t="s">
        <v>74</v>
      </c>
      <c r="AK728" s="2" t="s">
        <v>74</v>
      </c>
      <c r="AL728" s="2" t="s">
        <v>74</v>
      </c>
      <c r="AM728" s="2" t="s">
        <v>74</v>
      </c>
      <c r="AN728" s="2" t="s">
        <v>74</v>
      </c>
      <c r="AO728" s="2" t="s">
        <v>1658</v>
      </c>
      <c r="AP728" s="2" t="s">
        <v>1659</v>
      </c>
      <c r="AQ728" s="2" t="s">
        <v>74</v>
      </c>
      <c r="AR728" s="2" t="s">
        <v>74</v>
      </c>
      <c r="AS728" s="2" t="s">
        <v>74</v>
      </c>
      <c r="AT728" s="2" t="s">
        <v>5401</v>
      </c>
      <c r="AU728" s="2">
        <v>2014</v>
      </c>
      <c r="AV728" s="2">
        <v>3893</v>
      </c>
      <c r="AW728" s="2">
        <v>2</v>
      </c>
      <c r="AX728" s="2" t="s">
        <v>74</v>
      </c>
      <c r="AY728" s="2" t="s">
        <v>74</v>
      </c>
      <c r="AZ728" s="2" t="s">
        <v>74</v>
      </c>
      <c r="BA728" s="2" t="s">
        <v>74</v>
      </c>
      <c r="BB728" s="2">
        <v>277</v>
      </c>
      <c r="BC728" s="2">
        <v>292</v>
      </c>
      <c r="BD728" s="2" t="s">
        <v>74</v>
      </c>
      <c r="BE728" s="2" t="s">
        <v>5402</v>
      </c>
      <c r="BF728" s="2" t="str">
        <f>HYPERLINK("http://dx.doi.org/10.11646/zootaxa.3893.2.7","http://dx.doi.org/10.11646/zootaxa.3893.2.7")</f>
        <v>http://dx.doi.org/10.11646/zootaxa.3893.2.7</v>
      </c>
      <c r="BG728" s="2" t="s">
        <v>74</v>
      </c>
      <c r="BH728" s="2" t="s">
        <v>74</v>
      </c>
      <c r="BI728" s="2" t="s">
        <v>74</v>
      </c>
      <c r="BJ728" s="2" t="s">
        <v>74</v>
      </c>
      <c r="BK728" s="2" t="s">
        <v>74</v>
      </c>
      <c r="BL728" s="2" t="s">
        <v>74</v>
      </c>
      <c r="BM728" s="2" t="s">
        <v>74</v>
      </c>
      <c r="BN728" s="2">
        <v>25544523</v>
      </c>
      <c r="BO728" s="2" t="s">
        <v>74</v>
      </c>
      <c r="BP728" s="2" t="s">
        <v>74</v>
      </c>
      <c r="BQ728" s="2" t="s">
        <v>74</v>
      </c>
      <c r="BR728" s="2" t="s">
        <v>74</v>
      </c>
      <c r="BS728" s="2" t="s">
        <v>5403</v>
      </c>
      <c r="BT728" s="2" t="str">
        <f>HYPERLINK("https%3A%2F%2Fwww.webofscience.com%2Fwos%2Fwoscc%2Ffull-record%2FWOS:000346874900007","View Full Record in Web of Science")</f>
        <v>View Full Record in Web of Science</v>
      </c>
    </row>
    <row r="729" spans="1:72" s="7" customFormat="1" x14ac:dyDescent="0.4">
      <c r="A729" s="2" t="s">
        <v>72</v>
      </c>
      <c r="B729" s="2" t="s">
        <v>5188</v>
      </c>
      <c r="C729" s="2" t="s">
        <v>74</v>
      </c>
      <c r="D729" s="2" t="s">
        <v>74</v>
      </c>
      <c r="E729" s="2" t="s">
        <v>74</v>
      </c>
      <c r="F729" s="2" t="s">
        <v>5188</v>
      </c>
      <c r="G729" s="2" t="s">
        <v>74</v>
      </c>
      <c r="H729" s="2" t="s">
        <v>74</v>
      </c>
      <c r="I729" s="2" t="s">
        <v>5189</v>
      </c>
      <c r="J729" s="2" t="s">
        <v>431</v>
      </c>
      <c r="K729" s="2" t="s">
        <v>74</v>
      </c>
      <c r="L729" s="2" t="s">
        <v>74</v>
      </c>
      <c r="M729" s="2" t="s">
        <v>74</v>
      </c>
      <c r="N729" s="2" t="s">
        <v>74</v>
      </c>
      <c r="O729" s="2" t="s">
        <v>74</v>
      </c>
      <c r="P729" s="2" t="s">
        <v>74</v>
      </c>
      <c r="Q729" s="2" t="s">
        <v>74</v>
      </c>
      <c r="R729" s="2" t="s">
        <v>74</v>
      </c>
      <c r="S729" s="2" t="s">
        <v>74</v>
      </c>
      <c r="T729" s="2" t="s">
        <v>74</v>
      </c>
      <c r="U729" s="2" t="s">
        <v>74</v>
      </c>
      <c r="V729" s="5" t="s">
        <v>5190</v>
      </c>
      <c r="W729" s="2" t="s">
        <v>74</v>
      </c>
      <c r="X729" s="2" t="s">
        <v>74</v>
      </c>
      <c r="Y729" s="2" t="s">
        <v>74</v>
      </c>
      <c r="Z729" s="2" t="s">
        <v>74</v>
      </c>
      <c r="AA729" s="2" t="s">
        <v>74</v>
      </c>
      <c r="AB729" s="2" t="s">
        <v>74</v>
      </c>
      <c r="AC729" s="2" t="s">
        <v>74</v>
      </c>
      <c r="AD729" s="2" t="s">
        <v>74</v>
      </c>
      <c r="AE729" s="2" t="s">
        <v>74</v>
      </c>
      <c r="AF729" s="2" t="s">
        <v>74</v>
      </c>
      <c r="AG729" s="2" t="s">
        <v>74</v>
      </c>
      <c r="AH729" s="2" t="s">
        <v>74</v>
      </c>
      <c r="AI729" s="2" t="s">
        <v>74</v>
      </c>
      <c r="AJ729" s="2" t="s">
        <v>74</v>
      </c>
      <c r="AK729" s="2" t="s">
        <v>74</v>
      </c>
      <c r="AL729" s="2" t="s">
        <v>74</v>
      </c>
      <c r="AM729" s="2" t="s">
        <v>74</v>
      </c>
      <c r="AN729" s="2" t="s">
        <v>74</v>
      </c>
      <c r="AO729" s="2" t="s">
        <v>74</v>
      </c>
      <c r="AP729" s="2" t="s">
        <v>435</v>
      </c>
      <c r="AQ729" s="2" t="s">
        <v>74</v>
      </c>
      <c r="AR729" s="2" t="s">
        <v>74</v>
      </c>
      <c r="AS729" s="2" t="s">
        <v>74</v>
      </c>
      <c r="AT729" s="2" t="s">
        <v>74</v>
      </c>
      <c r="AU729" s="2">
        <v>1982</v>
      </c>
      <c r="AV729" s="2">
        <v>99</v>
      </c>
      <c r="AW729" s="2">
        <v>3</v>
      </c>
      <c r="AX729" s="2" t="s">
        <v>74</v>
      </c>
      <c r="AY729" s="2" t="s">
        <v>74</v>
      </c>
      <c r="AZ729" s="2" t="s">
        <v>74</v>
      </c>
      <c r="BA729" s="2" t="s">
        <v>74</v>
      </c>
      <c r="BB729" s="2">
        <v>548</v>
      </c>
      <c r="BC729" s="2">
        <v>554</v>
      </c>
      <c r="BD729" s="2" t="s">
        <v>74</v>
      </c>
      <c r="BE729" s="2" t="s">
        <v>74</v>
      </c>
      <c r="BF729" s="2" t="s">
        <v>74</v>
      </c>
      <c r="BG729" s="2" t="s">
        <v>74</v>
      </c>
      <c r="BH729" s="2" t="s">
        <v>74</v>
      </c>
      <c r="BI729" s="2" t="s">
        <v>74</v>
      </c>
      <c r="BJ729" s="2" t="s">
        <v>74</v>
      </c>
      <c r="BK729" s="2" t="s">
        <v>74</v>
      </c>
      <c r="BL729" s="2" t="s">
        <v>74</v>
      </c>
      <c r="BM729" s="2" t="s">
        <v>74</v>
      </c>
      <c r="BN729" s="2" t="s">
        <v>74</v>
      </c>
      <c r="BO729" s="2" t="s">
        <v>74</v>
      </c>
      <c r="BP729" s="2" t="s">
        <v>74</v>
      </c>
      <c r="BQ729" s="2" t="s">
        <v>74</v>
      </c>
      <c r="BR729" s="2" t="s">
        <v>74</v>
      </c>
      <c r="BS729" s="2" t="s">
        <v>5191</v>
      </c>
      <c r="BT729" s="2" t="str">
        <f>HYPERLINK("https%3A%2F%2Fwww.webofscience.com%2Fwos%2Fwoscc%2Ffull-record%2FWOS:A1982NY39800015","View Full Record in Web of Science")</f>
        <v>View Full Record in Web of Science</v>
      </c>
    </row>
    <row r="730" spans="1:72" s="2" customFormat="1" x14ac:dyDescent="0.4">
      <c r="A730" s="2" t="s">
        <v>72</v>
      </c>
      <c r="B730" s="2" t="s">
        <v>2964</v>
      </c>
      <c r="C730" s="2" t="s">
        <v>74</v>
      </c>
      <c r="D730" s="2" t="s">
        <v>74</v>
      </c>
      <c r="E730" s="2" t="s">
        <v>74</v>
      </c>
      <c r="F730" s="2" t="s">
        <v>2964</v>
      </c>
      <c r="G730" s="2" t="s">
        <v>74</v>
      </c>
      <c r="H730" s="2" t="s">
        <v>74</v>
      </c>
      <c r="I730" s="2" t="s">
        <v>2965</v>
      </c>
      <c r="J730" s="2" t="s">
        <v>2966</v>
      </c>
      <c r="K730" s="2" t="s">
        <v>74</v>
      </c>
      <c r="L730" s="2" t="s">
        <v>74</v>
      </c>
      <c r="M730" s="2" t="s">
        <v>74</v>
      </c>
      <c r="N730" s="2" t="s">
        <v>74</v>
      </c>
      <c r="O730" s="2" t="s">
        <v>74</v>
      </c>
      <c r="P730" s="2" t="s">
        <v>74</v>
      </c>
      <c r="Q730" s="2" t="s">
        <v>74</v>
      </c>
      <c r="R730" s="2" t="s">
        <v>74</v>
      </c>
      <c r="S730" s="2" t="s">
        <v>74</v>
      </c>
      <c r="T730" s="2" t="s">
        <v>74</v>
      </c>
      <c r="U730" s="2" t="s">
        <v>74</v>
      </c>
      <c r="V730" s="5" t="s">
        <v>2967</v>
      </c>
      <c r="W730" s="2" t="s">
        <v>74</v>
      </c>
      <c r="X730" s="2" t="s">
        <v>74</v>
      </c>
      <c r="Y730" s="2" t="s">
        <v>74</v>
      </c>
      <c r="Z730" s="2" t="s">
        <v>74</v>
      </c>
      <c r="AA730" s="2" t="s">
        <v>74</v>
      </c>
      <c r="AB730" s="2" t="s">
        <v>74</v>
      </c>
      <c r="AC730" s="2" t="s">
        <v>74</v>
      </c>
      <c r="AD730" s="2" t="s">
        <v>74</v>
      </c>
      <c r="AE730" s="2" t="s">
        <v>74</v>
      </c>
      <c r="AF730" s="2" t="s">
        <v>74</v>
      </c>
      <c r="AG730" s="2" t="s">
        <v>74</v>
      </c>
      <c r="AH730" s="2" t="s">
        <v>74</v>
      </c>
      <c r="AI730" s="2" t="s">
        <v>74</v>
      </c>
      <c r="AJ730" s="2" t="s">
        <v>74</v>
      </c>
      <c r="AK730" s="2" t="s">
        <v>74</v>
      </c>
      <c r="AL730" s="2" t="s">
        <v>74</v>
      </c>
      <c r="AM730" s="2" t="s">
        <v>74</v>
      </c>
      <c r="AN730" s="2" t="s">
        <v>74</v>
      </c>
      <c r="AO730" s="2" t="s">
        <v>2968</v>
      </c>
      <c r="AP730" s="2" t="s">
        <v>2969</v>
      </c>
      <c r="AQ730" s="2" t="s">
        <v>74</v>
      </c>
      <c r="AR730" s="2" t="s">
        <v>74</v>
      </c>
      <c r="AS730" s="2" t="s">
        <v>74</v>
      </c>
      <c r="AT730" s="2" t="s">
        <v>957</v>
      </c>
      <c r="AU730" s="2">
        <v>1989</v>
      </c>
      <c r="AV730" s="2">
        <v>36</v>
      </c>
      <c r="AW730" s="2">
        <v>1</v>
      </c>
      <c r="AX730" s="2" t="s">
        <v>74</v>
      </c>
      <c r="AY730" s="2" t="s">
        <v>74</v>
      </c>
      <c r="AZ730" s="2" t="s">
        <v>74</v>
      </c>
      <c r="BA730" s="2" t="s">
        <v>74</v>
      </c>
      <c r="BB730" s="2">
        <v>30</v>
      </c>
      <c r="BC730" s="2">
        <v>41</v>
      </c>
      <c r="BD730" s="2" t="s">
        <v>74</v>
      </c>
      <c r="BE730" s="2" t="s">
        <v>2970</v>
      </c>
      <c r="BF730" s="2" t="str">
        <f>HYPERLINK("http://dx.doi.org/10.1007/BF02905670","http://dx.doi.org/10.1007/BF02905670")</f>
        <v>http://dx.doi.org/10.1007/BF02905670</v>
      </c>
      <c r="BG730" s="2" t="s">
        <v>74</v>
      </c>
      <c r="BH730" s="2" t="s">
        <v>74</v>
      </c>
      <c r="BI730" s="2" t="s">
        <v>74</v>
      </c>
      <c r="BJ730" s="2" t="s">
        <v>74</v>
      </c>
      <c r="BK730" s="2" t="s">
        <v>74</v>
      </c>
      <c r="BL730" s="2" t="s">
        <v>74</v>
      </c>
      <c r="BM730" s="2" t="s">
        <v>74</v>
      </c>
      <c r="BN730" s="2" t="s">
        <v>74</v>
      </c>
      <c r="BO730" s="2" t="s">
        <v>74</v>
      </c>
      <c r="BP730" s="2" t="s">
        <v>74</v>
      </c>
      <c r="BQ730" s="2" t="s">
        <v>74</v>
      </c>
      <c r="BR730" s="2" t="s">
        <v>74</v>
      </c>
      <c r="BS730" s="2" t="s">
        <v>2971</v>
      </c>
      <c r="BT730" s="2" t="str">
        <f>HYPERLINK("https%3A%2F%2Fwww.webofscience.com%2Fwos%2Fwoscc%2Ffull-record%2FWOS:A1989AD70900004","View Full Record in Web of Science")</f>
        <v>View Full Record in Web of Science</v>
      </c>
    </row>
    <row r="731" spans="1:72" s="2" customFormat="1" x14ac:dyDescent="0.4">
      <c r="A731" s="2" t="s">
        <v>72</v>
      </c>
      <c r="B731" s="2" t="s">
        <v>6008</v>
      </c>
      <c r="C731" s="2" t="s">
        <v>74</v>
      </c>
      <c r="D731" s="2" t="s">
        <v>74</v>
      </c>
      <c r="E731" s="2" t="s">
        <v>74</v>
      </c>
      <c r="F731" s="2" t="s">
        <v>6008</v>
      </c>
      <c r="G731" s="2" t="s">
        <v>74</v>
      </c>
      <c r="H731" s="2" t="s">
        <v>74</v>
      </c>
      <c r="I731" s="2" t="s">
        <v>6009</v>
      </c>
      <c r="J731" s="2" t="s">
        <v>140</v>
      </c>
      <c r="K731" s="2" t="s">
        <v>74</v>
      </c>
      <c r="L731" s="2" t="s">
        <v>74</v>
      </c>
      <c r="M731" s="2" t="s">
        <v>74</v>
      </c>
      <c r="N731" s="2" t="s">
        <v>74</v>
      </c>
      <c r="O731" s="2" t="s">
        <v>74</v>
      </c>
      <c r="P731" s="2" t="s">
        <v>74</v>
      </c>
      <c r="Q731" s="2" t="s">
        <v>74</v>
      </c>
      <c r="R731" s="2" t="s">
        <v>74</v>
      </c>
      <c r="S731" s="2" t="s">
        <v>74</v>
      </c>
      <c r="T731" s="2" t="s">
        <v>74</v>
      </c>
      <c r="U731" s="2" t="s">
        <v>74</v>
      </c>
      <c r="V731" s="5" t="s">
        <v>6010</v>
      </c>
      <c r="W731" s="2" t="s">
        <v>74</v>
      </c>
      <c r="X731" s="2" t="s">
        <v>74</v>
      </c>
      <c r="Y731" s="2" t="s">
        <v>74</v>
      </c>
      <c r="Z731" s="2" t="s">
        <v>74</v>
      </c>
      <c r="AA731" s="2" t="s">
        <v>6011</v>
      </c>
      <c r="AB731" s="2" t="s">
        <v>6012</v>
      </c>
      <c r="AC731" s="2" t="s">
        <v>74</v>
      </c>
      <c r="AD731" s="2" t="s">
        <v>74</v>
      </c>
      <c r="AE731" s="2" t="s">
        <v>74</v>
      </c>
      <c r="AF731" s="2" t="s">
        <v>74</v>
      </c>
      <c r="AG731" s="2" t="s">
        <v>74</v>
      </c>
      <c r="AH731" s="2" t="s">
        <v>74</v>
      </c>
      <c r="AI731" s="2" t="s">
        <v>74</v>
      </c>
      <c r="AJ731" s="2" t="s">
        <v>74</v>
      </c>
      <c r="AK731" s="2" t="s">
        <v>74</v>
      </c>
      <c r="AL731" s="2" t="s">
        <v>74</v>
      </c>
      <c r="AM731" s="2" t="s">
        <v>74</v>
      </c>
      <c r="AN731" s="2" t="s">
        <v>74</v>
      </c>
      <c r="AO731" s="2" t="s">
        <v>143</v>
      </c>
      <c r="AP731" s="2" t="s">
        <v>144</v>
      </c>
      <c r="AQ731" s="2" t="s">
        <v>74</v>
      </c>
      <c r="AR731" s="2" t="s">
        <v>74</v>
      </c>
      <c r="AS731" s="2" t="s">
        <v>74</v>
      </c>
      <c r="AT731" s="2" t="s">
        <v>213</v>
      </c>
      <c r="AU731" s="2">
        <v>1997</v>
      </c>
      <c r="AV731" s="2">
        <v>54</v>
      </c>
      <c r="AW731" s="2" t="s">
        <v>74</v>
      </c>
      <c r="AX731" s="2">
        <v>5</v>
      </c>
      <c r="AY731" s="2" t="s">
        <v>74</v>
      </c>
      <c r="AZ731" s="2" t="s">
        <v>74</v>
      </c>
      <c r="BA731" s="2" t="s">
        <v>74</v>
      </c>
      <c r="BB731" s="2">
        <v>1205</v>
      </c>
      <c r="BC731" s="2">
        <v>1214</v>
      </c>
      <c r="BD731" s="2" t="s">
        <v>74</v>
      </c>
      <c r="BE731" s="2" t="s">
        <v>6013</v>
      </c>
      <c r="BF731" s="2" t="str">
        <f>HYPERLINK("http://dx.doi.org/10.1006/anbe.1997.0516","http://dx.doi.org/10.1006/anbe.1997.0516")</f>
        <v>http://dx.doi.org/10.1006/anbe.1997.0516</v>
      </c>
      <c r="BG731" s="2" t="s">
        <v>74</v>
      </c>
      <c r="BH731" s="2" t="s">
        <v>74</v>
      </c>
      <c r="BI731" s="2" t="s">
        <v>74</v>
      </c>
      <c r="BJ731" s="2" t="s">
        <v>74</v>
      </c>
      <c r="BK731" s="2" t="s">
        <v>74</v>
      </c>
      <c r="BL731" s="2" t="s">
        <v>74</v>
      </c>
      <c r="BM731" s="2" t="s">
        <v>74</v>
      </c>
      <c r="BN731" s="2">
        <v>9398373</v>
      </c>
      <c r="BO731" s="2" t="s">
        <v>74</v>
      </c>
      <c r="BP731" s="2" t="s">
        <v>74</v>
      </c>
      <c r="BQ731" s="2" t="s">
        <v>74</v>
      </c>
      <c r="BR731" s="2" t="s">
        <v>74</v>
      </c>
      <c r="BS731" s="2" t="s">
        <v>6014</v>
      </c>
      <c r="BT731" s="2" t="str">
        <f>HYPERLINK("https%3A%2F%2Fwww.webofscience.com%2Fwos%2Fwoscc%2Ffull-record%2FWOS:A1997YJ17400014","View Full Record in Web of Science")</f>
        <v>View Full Record in Web of Science</v>
      </c>
    </row>
    <row r="732" spans="1:72" s="2" customFormat="1" x14ac:dyDescent="0.4">
      <c r="A732" s="2" t="s">
        <v>72</v>
      </c>
      <c r="B732" s="2" t="s">
        <v>5619</v>
      </c>
      <c r="C732" s="2" t="s">
        <v>74</v>
      </c>
      <c r="D732" s="2" t="s">
        <v>74</v>
      </c>
      <c r="E732" s="2" t="s">
        <v>74</v>
      </c>
      <c r="F732" s="2" t="s">
        <v>5619</v>
      </c>
      <c r="G732" s="2" t="s">
        <v>74</v>
      </c>
      <c r="H732" s="2" t="s">
        <v>74</v>
      </c>
      <c r="I732" s="2" t="s">
        <v>5620</v>
      </c>
      <c r="J732" s="2" t="s">
        <v>456</v>
      </c>
      <c r="K732" s="2" t="s">
        <v>74</v>
      </c>
      <c r="L732" s="2" t="s">
        <v>74</v>
      </c>
      <c r="M732" s="2" t="s">
        <v>74</v>
      </c>
      <c r="N732" s="2" t="s">
        <v>74</v>
      </c>
      <c r="O732" s="2" t="s">
        <v>74</v>
      </c>
      <c r="P732" s="2" t="s">
        <v>74</v>
      </c>
      <c r="Q732" s="2" t="s">
        <v>74</v>
      </c>
      <c r="R732" s="2" t="s">
        <v>74</v>
      </c>
      <c r="S732" s="2" t="s">
        <v>74</v>
      </c>
      <c r="T732" s="2" t="s">
        <v>74</v>
      </c>
      <c r="U732" s="2" t="s">
        <v>74</v>
      </c>
      <c r="V732" s="5" t="s">
        <v>5621</v>
      </c>
      <c r="W732" s="2" t="s">
        <v>74</v>
      </c>
      <c r="X732" s="2" t="s">
        <v>74</v>
      </c>
      <c r="Y732" s="2" t="s">
        <v>74</v>
      </c>
      <c r="Z732" s="2" t="s">
        <v>74</v>
      </c>
      <c r="AA732" s="2" t="s">
        <v>74</v>
      </c>
      <c r="AB732" s="2" t="s">
        <v>74</v>
      </c>
      <c r="AC732" s="2" t="s">
        <v>74</v>
      </c>
      <c r="AD732" s="2" t="s">
        <v>74</v>
      </c>
      <c r="AE732" s="2" t="s">
        <v>74</v>
      </c>
      <c r="AF732" s="2" t="s">
        <v>74</v>
      </c>
      <c r="AG732" s="2" t="s">
        <v>74</v>
      </c>
      <c r="AH732" s="2" t="s">
        <v>74</v>
      </c>
      <c r="AI732" s="2" t="s">
        <v>74</v>
      </c>
      <c r="AJ732" s="2" t="s">
        <v>74</v>
      </c>
      <c r="AK732" s="2" t="s">
        <v>74</v>
      </c>
      <c r="AL732" s="2" t="s">
        <v>74</v>
      </c>
      <c r="AM732" s="2" t="s">
        <v>74</v>
      </c>
      <c r="AN732" s="2" t="s">
        <v>74</v>
      </c>
      <c r="AO732" s="2" t="s">
        <v>460</v>
      </c>
      <c r="AP732" s="2" t="s">
        <v>461</v>
      </c>
      <c r="AQ732" s="2" t="s">
        <v>74</v>
      </c>
      <c r="AR732" s="2" t="s">
        <v>74</v>
      </c>
      <c r="AS732" s="2" t="s">
        <v>74</v>
      </c>
      <c r="AT732" s="2" t="s">
        <v>134</v>
      </c>
      <c r="AU732" s="2">
        <v>2004</v>
      </c>
      <c r="AV732" s="2">
        <v>263</v>
      </c>
      <c r="AW732" s="2" t="s">
        <v>74</v>
      </c>
      <c r="AX732" s="2">
        <v>1</v>
      </c>
      <c r="AY732" s="2" t="s">
        <v>74</v>
      </c>
      <c r="AZ732" s="2" t="s">
        <v>74</v>
      </c>
      <c r="BA732" s="2" t="s">
        <v>74</v>
      </c>
      <c r="BB732" s="2">
        <v>89</v>
      </c>
      <c r="BC732" s="2">
        <v>94</v>
      </c>
      <c r="BD732" s="2" t="s">
        <v>74</v>
      </c>
      <c r="BE732" s="2" t="s">
        <v>5622</v>
      </c>
      <c r="BF732" s="2" t="str">
        <f>HYPERLINK("http://dx.doi.org/10.1017/S0952836904004911","http://dx.doi.org/10.1017/S0952836904004911")</f>
        <v>http://dx.doi.org/10.1017/S0952836904004911</v>
      </c>
      <c r="BG732" s="2" t="s">
        <v>74</v>
      </c>
      <c r="BH732" s="2" t="s">
        <v>74</v>
      </c>
      <c r="BI732" s="2" t="s">
        <v>74</v>
      </c>
      <c r="BJ732" s="2" t="s">
        <v>74</v>
      </c>
      <c r="BK732" s="2" t="s">
        <v>74</v>
      </c>
      <c r="BL732" s="2" t="s">
        <v>74</v>
      </c>
      <c r="BM732" s="2" t="s">
        <v>74</v>
      </c>
      <c r="BN732" s="2" t="s">
        <v>74</v>
      </c>
      <c r="BO732" s="2" t="s">
        <v>74</v>
      </c>
      <c r="BP732" s="2" t="s">
        <v>74</v>
      </c>
      <c r="BQ732" s="2" t="s">
        <v>74</v>
      </c>
      <c r="BR732" s="2" t="s">
        <v>74</v>
      </c>
      <c r="BS732" s="2" t="s">
        <v>5623</v>
      </c>
      <c r="BT732" s="2" t="str">
        <f>HYPERLINK("https%3A%2F%2Fwww.webofscience.com%2Fwos%2Fwoscc%2Ffull-record%2FWOS:000221567900009","View Full Record in Web of Science")</f>
        <v>View Full Record in Web of Science</v>
      </c>
    </row>
    <row r="733" spans="1:72" s="2" customFormat="1" x14ac:dyDescent="0.4">
      <c r="A733" s="2" t="s">
        <v>72</v>
      </c>
      <c r="B733" s="2" t="s">
        <v>4407</v>
      </c>
      <c r="C733" s="2" t="s">
        <v>74</v>
      </c>
      <c r="D733" s="2" t="s">
        <v>74</v>
      </c>
      <c r="E733" s="2" t="s">
        <v>74</v>
      </c>
      <c r="F733" s="2" t="s">
        <v>4408</v>
      </c>
      <c r="G733" s="2" t="s">
        <v>74</v>
      </c>
      <c r="H733" s="2" t="s">
        <v>74</v>
      </c>
      <c r="I733" s="2" t="s">
        <v>4409</v>
      </c>
      <c r="J733" s="2" t="s">
        <v>88</v>
      </c>
      <c r="K733" s="2" t="s">
        <v>74</v>
      </c>
      <c r="L733" s="2" t="s">
        <v>74</v>
      </c>
      <c r="M733" s="2" t="s">
        <v>74</v>
      </c>
      <c r="N733" s="2" t="s">
        <v>74</v>
      </c>
      <c r="O733" s="2" t="s">
        <v>74</v>
      </c>
      <c r="P733" s="2" t="s">
        <v>74</v>
      </c>
      <c r="Q733" s="2" t="s">
        <v>74</v>
      </c>
      <c r="R733" s="2" t="s">
        <v>74</v>
      </c>
      <c r="S733" s="2" t="s">
        <v>74</v>
      </c>
      <c r="T733" s="2" t="s">
        <v>74</v>
      </c>
      <c r="U733" s="2" t="s">
        <v>74</v>
      </c>
      <c r="V733" s="5" t="s">
        <v>4410</v>
      </c>
      <c r="W733" s="2" t="s">
        <v>74</v>
      </c>
      <c r="X733" s="2" t="s">
        <v>74</v>
      </c>
      <c r="Y733" s="2" t="s">
        <v>74</v>
      </c>
      <c r="Z733" s="2" t="s">
        <v>74</v>
      </c>
      <c r="AA733" s="2" t="s">
        <v>4411</v>
      </c>
      <c r="AB733" s="2" t="s">
        <v>74</v>
      </c>
      <c r="AC733" s="2" t="s">
        <v>74</v>
      </c>
      <c r="AD733" s="2" t="s">
        <v>74</v>
      </c>
      <c r="AE733" s="2" t="s">
        <v>74</v>
      </c>
      <c r="AF733" s="2" t="s">
        <v>74</v>
      </c>
      <c r="AG733" s="2" t="s">
        <v>74</v>
      </c>
      <c r="AH733" s="2" t="s">
        <v>74</v>
      </c>
      <c r="AI733" s="2" t="s">
        <v>74</v>
      </c>
      <c r="AJ733" s="2" t="s">
        <v>74</v>
      </c>
      <c r="AK733" s="2" t="s">
        <v>74</v>
      </c>
      <c r="AL733" s="2" t="s">
        <v>74</v>
      </c>
      <c r="AM733" s="2" t="s">
        <v>74</v>
      </c>
      <c r="AN733" s="2" t="s">
        <v>74</v>
      </c>
      <c r="AO733" s="2" t="s">
        <v>91</v>
      </c>
      <c r="AP733" s="2" t="s">
        <v>74</v>
      </c>
      <c r="AQ733" s="2" t="s">
        <v>74</v>
      </c>
      <c r="AR733" s="2" t="s">
        <v>74</v>
      </c>
      <c r="AS733" s="2" t="s">
        <v>74</v>
      </c>
      <c r="AT733" s="2" t="s">
        <v>1210</v>
      </c>
      <c r="AU733" s="2">
        <v>2006</v>
      </c>
      <c r="AV733" s="2">
        <v>2</v>
      </c>
      <c r="AW733" s="2">
        <v>4</v>
      </c>
      <c r="AX733" s="2" t="s">
        <v>74</v>
      </c>
      <c r="AY733" s="2" t="s">
        <v>74</v>
      </c>
      <c r="AZ733" s="2" t="s">
        <v>74</v>
      </c>
      <c r="BA733" s="2" t="s">
        <v>74</v>
      </c>
      <c r="BB733" s="2">
        <v>494</v>
      </c>
      <c r="BC733" s="2">
        <v>496</v>
      </c>
      <c r="BD733" s="2" t="s">
        <v>74</v>
      </c>
      <c r="BE733" s="2" t="s">
        <v>4412</v>
      </c>
      <c r="BF733" s="2" t="str">
        <f>HYPERLINK("http://dx.doi.org/10.1098/rsbl.2006.0542","http://dx.doi.org/10.1098/rsbl.2006.0542")</f>
        <v>http://dx.doi.org/10.1098/rsbl.2006.0542</v>
      </c>
      <c r="BG733" s="2" t="s">
        <v>74</v>
      </c>
      <c r="BH733" s="2" t="s">
        <v>74</v>
      </c>
      <c r="BI733" s="2" t="s">
        <v>74</v>
      </c>
      <c r="BJ733" s="2" t="s">
        <v>74</v>
      </c>
      <c r="BK733" s="2" t="s">
        <v>74</v>
      </c>
      <c r="BL733" s="2" t="s">
        <v>74</v>
      </c>
      <c r="BM733" s="2" t="s">
        <v>74</v>
      </c>
      <c r="BN733" s="2">
        <v>17148271</v>
      </c>
      <c r="BO733" s="2" t="s">
        <v>74</v>
      </c>
      <c r="BP733" s="2" t="s">
        <v>74</v>
      </c>
      <c r="BQ733" s="2" t="s">
        <v>74</v>
      </c>
      <c r="BR733" s="2" t="s">
        <v>74</v>
      </c>
      <c r="BS733" s="2" t="s">
        <v>4413</v>
      </c>
      <c r="BT733" s="2" t="str">
        <f>HYPERLINK("https%3A%2F%2Fwww.webofscience.com%2Fwos%2Fwoscc%2Ffull-record%2FWOS:000242686500005","View Full Record in Web of Science")</f>
        <v>View Full Record in Web of Science</v>
      </c>
    </row>
    <row r="734" spans="1:72" s="2" customFormat="1" x14ac:dyDescent="0.4">
      <c r="A734" s="2" t="s">
        <v>72</v>
      </c>
      <c r="B734" s="2" t="s">
        <v>7014</v>
      </c>
      <c r="C734" s="2" t="s">
        <v>74</v>
      </c>
      <c r="D734" s="2" t="s">
        <v>74</v>
      </c>
      <c r="E734" s="2" t="s">
        <v>74</v>
      </c>
      <c r="F734" s="2" t="s">
        <v>7014</v>
      </c>
      <c r="G734" s="2" t="s">
        <v>74</v>
      </c>
      <c r="H734" s="2" t="s">
        <v>74</v>
      </c>
      <c r="I734" s="2" t="s">
        <v>7015</v>
      </c>
      <c r="J734" s="2" t="s">
        <v>1743</v>
      </c>
      <c r="K734" s="2" t="s">
        <v>74</v>
      </c>
      <c r="L734" s="2" t="s">
        <v>74</v>
      </c>
      <c r="M734" s="2" t="s">
        <v>74</v>
      </c>
      <c r="N734" s="2" t="s">
        <v>74</v>
      </c>
      <c r="O734" s="2" t="s">
        <v>74</v>
      </c>
      <c r="P734" s="2" t="s">
        <v>74</v>
      </c>
      <c r="Q734" s="2" t="s">
        <v>74</v>
      </c>
      <c r="R734" s="2" t="s">
        <v>74</v>
      </c>
      <c r="S734" s="2" t="s">
        <v>74</v>
      </c>
      <c r="T734" s="2" t="s">
        <v>74</v>
      </c>
      <c r="U734" s="2" t="s">
        <v>74</v>
      </c>
      <c r="V734" s="5" t="s">
        <v>7016</v>
      </c>
      <c r="W734" s="2" t="s">
        <v>74</v>
      </c>
      <c r="X734" s="2" t="s">
        <v>74</v>
      </c>
      <c r="Y734" s="2" t="s">
        <v>74</v>
      </c>
      <c r="Z734" s="2" t="s">
        <v>74</v>
      </c>
      <c r="AA734" s="2" t="s">
        <v>74</v>
      </c>
      <c r="AB734" s="2" t="s">
        <v>74</v>
      </c>
      <c r="AC734" s="2" t="s">
        <v>74</v>
      </c>
      <c r="AD734" s="2" t="s">
        <v>74</v>
      </c>
      <c r="AE734" s="2" t="s">
        <v>74</v>
      </c>
      <c r="AF734" s="2" t="s">
        <v>74</v>
      </c>
      <c r="AG734" s="2" t="s">
        <v>74</v>
      </c>
      <c r="AH734" s="2" t="s">
        <v>74</v>
      </c>
      <c r="AI734" s="2" t="s">
        <v>74</v>
      </c>
      <c r="AJ734" s="2" t="s">
        <v>74</v>
      </c>
      <c r="AK734" s="2" t="s">
        <v>74</v>
      </c>
      <c r="AL734" s="2" t="s">
        <v>74</v>
      </c>
      <c r="AM734" s="2" t="s">
        <v>74</v>
      </c>
      <c r="AN734" s="2" t="s">
        <v>74</v>
      </c>
      <c r="AO734" s="2" t="s">
        <v>1746</v>
      </c>
      <c r="AP734" s="2" t="s">
        <v>74</v>
      </c>
      <c r="AQ734" s="2" t="s">
        <v>74</v>
      </c>
      <c r="AR734" s="2" t="s">
        <v>74</v>
      </c>
      <c r="AS734" s="2" t="s">
        <v>74</v>
      </c>
      <c r="AT734" s="2" t="s">
        <v>964</v>
      </c>
      <c r="AU734" s="2">
        <v>1991</v>
      </c>
      <c r="AV734" s="2">
        <v>8</v>
      </c>
      <c r="AW734" s="2">
        <v>1</v>
      </c>
      <c r="AX734" s="2" t="s">
        <v>74</v>
      </c>
      <c r="AY734" s="2" t="s">
        <v>74</v>
      </c>
      <c r="AZ734" s="2" t="s">
        <v>74</v>
      </c>
      <c r="BA734" s="2" t="s">
        <v>74</v>
      </c>
      <c r="BB734" s="2">
        <v>121</v>
      </c>
      <c r="BC734" s="2">
        <v>133</v>
      </c>
      <c r="BD734" s="2" t="s">
        <v>74</v>
      </c>
      <c r="BE734" s="2" t="s">
        <v>74</v>
      </c>
      <c r="BF734" s="2" t="s">
        <v>74</v>
      </c>
      <c r="BG734" s="2" t="s">
        <v>74</v>
      </c>
      <c r="BH734" s="2" t="s">
        <v>74</v>
      </c>
      <c r="BI734" s="2" t="s">
        <v>74</v>
      </c>
      <c r="BJ734" s="2" t="s">
        <v>74</v>
      </c>
      <c r="BK734" s="2" t="s">
        <v>74</v>
      </c>
      <c r="BL734" s="2" t="s">
        <v>74</v>
      </c>
      <c r="BM734" s="2" t="s">
        <v>74</v>
      </c>
      <c r="BN734" s="2" t="s">
        <v>74</v>
      </c>
      <c r="BO734" s="2" t="s">
        <v>74</v>
      </c>
      <c r="BP734" s="2" t="s">
        <v>74</v>
      </c>
      <c r="BQ734" s="2" t="s">
        <v>74</v>
      </c>
      <c r="BR734" s="2" t="s">
        <v>74</v>
      </c>
      <c r="BS734" s="2" t="s">
        <v>7017</v>
      </c>
      <c r="BT734" s="2" t="str">
        <f>HYPERLINK("https%3A%2F%2Fwww.webofscience.com%2Fwos%2Fwoscc%2Ffull-record%2FWOS:A1991FG50700015","View Full Record in Web of Science")</f>
        <v>View Full Record in Web of Science</v>
      </c>
    </row>
    <row r="735" spans="1:72" s="2" customFormat="1" x14ac:dyDescent="0.4">
      <c r="A735" s="2" t="s">
        <v>72</v>
      </c>
      <c r="B735" s="2" t="s">
        <v>7104</v>
      </c>
      <c r="C735" s="2" t="s">
        <v>74</v>
      </c>
      <c r="D735" s="2" t="s">
        <v>74</v>
      </c>
      <c r="E735" s="2" t="s">
        <v>74</v>
      </c>
      <c r="F735" s="2" t="s">
        <v>7104</v>
      </c>
      <c r="G735" s="2" t="s">
        <v>74</v>
      </c>
      <c r="H735" s="2" t="s">
        <v>74</v>
      </c>
      <c r="I735" s="2" t="s">
        <v>7105</v>
      </c>
      <c r="J735" s="2" t="s">
        <v>5129</v>
      </c>
      <c r="K735" s="2" t="s">
        <v>74</v>
      </c>
      <c r="L735" s="2" t="s">
        <v>74</v>
      </c>
      <c r="M735" s="2" t="s">
        <v>74</v>
      </c>
      <c r="N735" s="2" t="s">
        <v>74</v>
      </c>
      <c r="O735" s="2" t="s">
        <v>74</v>
      </c>
      <c r="P735" s="2" t="s">
        <v>74</v>
      </c>
      <c r="Q735" s="2" t="s">
        <v>74</v>
      </c>
      <c r="R735" s="2" t="s">
        <v>74</v>
      </c>
      <c r="S735" s="2" t="s">
        <v>74</v>
      </c>
      <c r="T735" s="2" t="s">
        <v>74</v>
      </c>
      <c r="U735" s="2" t="s">
        <v>74</v>
      </c>
      <c r="V735" s="5" t="s">
        <v>7106</v>
      </c>
      <c r="W735" s="2" t="s">
        <v>74</v>
      </c>
      <c r="X735" s="2" t="s">
        <v>74</v>
      </c>
      <c r="Y735" s="2" t="s">
        <v>74</v>
      </c>
      <c r="Z735" s="2" t="s">
        <v>74</v>
      </c>
      <c r="AA735" s="2" t="s">
        <v>74</v>
      </c>
      <c r="AB735" s="2" t="s">
        <v>74</v>
      </c>
      <c r="AC735" s="2" t="s">
        <v>74</v>
      </c>
      <c r="AD735" s="2" t="s">
        <v>74</v>
      </c>
      <c r="AE735" s="2" t="s">
        <v>74</v>
      </c>
      <c r="AF735" s="2" t="s">
        <v>74</v>
      </c>
      <c r="AG735" s="2" t="s">
        <v>74</v>
      </c>
      <c r="AH735" s="2" t="s">
        <v>74</v>
      </c>
      <c r="AI735" s="2" t="s">
        <v>74</v>
      </c>
      <c r="AJ735" s="2" t="s">
        <v>74</v>
      </c>
      <c r="AK735" s="2" t="s">
        <v>74</v>
      </c>
      <c r="AL735" s="2" t="s">
        <v>74</v>
      </c>
      <c r="AM735" s="2" t="s">
        <v>74</v>
      </c>
      <c r="AN735" s="2" t="s">
        <v>74</v>
      </c>
      <c r="AO735" s="2" t="s">
        <v>5131</v>
      </c>
      <c r="AP735" s="2" t="s">
        <v>5132</v>
      </c>
      <c r="AQ735" s="2" t="s">
        <v>74</v>
      </c>
      <c r="AR735" s="2" t="s">
        <v>74</v>
      </c>
      <c r="AS735" s="2" t="s">
        <v>74</v>
      </c>
      <c r="AT735" s="2" t="s">
        <v>74</v>
      </c>
      <c r="AU735" s="2">
        <v>1986</v>
      </c>
      <c r="AV735" s="2">
        <v>74</v>
      </c>
      <c r="AW735" s="2">
        <v>2</v>
      </c>
      <c r="AX735" s="2" t="s">
        <v>74</v>
      </c>
      <c r="AY735" s="2" t="s">
        <v>74</v>
      </c>
      <c r="AZ735" s="2" t="s">
        <v>74</v>
      </c>
      <c r="BA735" s="2" t="s">
        <v>74</v>
      </c>
      <c r="BB735" s="2">
        <v>177</v>
      </c>
      <c r="BC735" s="2">
        <v>183</v>
      </c>
      <c r="BD735" s="2" t="s">
        <v>74</v>
      </c>
      <c r="BE735" s="2" t="s">
        <v>74</v>
      </c>
      <c r="BF735" s="2" t="s">
        <v>74</v>
      </c>
      <c r="BG735" s="2" t="s">
        <v>74</v>
      </c>
      <c r="BH735" s="2" t="s">
        <v>74</v>
      </c>
      <c r="BI735" s="2" t="s">
        <v>74</v>
      </c>
      <c r="BJ735" s="2" t="s">
        <v>74</v>
      </c>
      <c r="BK735" s="2" t="s">
        <v>74</v>
      </c>
      <c r="BL735" s="2" t="s">
        <v>74</v>
      </c>
      <c r="BM735" s="2" t="s">
        <v>74</v>
      </c>
      <c r="BN735" s="2" t="s">
        <v>74</v>
      </c>
      <c r="BO735" s="2" t="s">
        <v>74</v>
      </c>
      <c r="BP735" s="2" t="s">
        <v>74</v>
      </c>
      <c r="BQ735" s="2" t="s">
        <v>74</v>
      </c>
      <c r="BR735" s="2" t="s">
        <v>74</v>
      </c>
      <c r="BS735" s="2" t="s">
        <v>7107</v>
      </c>
      <c r="BT735" s="2" t="str">
        <f>HYPERLINK("https%3A%2F%2Fwww.webofscience.com%2Fwos%2Fwoscc%2Ffull-record%2FWOS:A1986D993200007","View Full Record in Web of Science")</f>
        <v>View Full Record in Web of Science</v>
      </c>
    </row>
    <row r="736" spans="1:72" s="2" customFormat="1" x14ac:dyDescent="0.4">
      <c r="A736" s="2" t="s">
        <v>72</v>
      </c>
      <c r="B736" s="2" t="s">
        <v>6827</v>
      </c>
      <c r="C736" s="2" t="s">
        <v>74</v>
      </c>
      <c r="D736" s="2" t="s">
        <v>74</v>
      </c>
      <c r="E736" s="2" t="s">
        <v>74</v>
      </c>
      <c r="F736" s="2" t="s">
        <v>6827</v>
      </c>
      <c r="G736" s="2" t="s">
        <v>74</v>
      </c>
      <c r="H736" s="2" t="s">
        <v>74</v>
      </c>
      <c r="I736" s="2" t="s">
        <v>6828</v>
      </c>
      <c r="J736" s="2" t="s">
        <v>6829</v>
      </c>
      <c r="K736" s="2" t="s">
        <v>74</v>
      </c>
      <c r="L736" s="2" t="s">
        <v>74</v>
      </c>
      <c r="M736" s="2" t="s">
        <v>74</v>
      </c>
      <c r="N736" s="2" t="s">
        <v>74</v>
      </c>
      <c r="O736" s="2" t="s">
        <v>74</v>
      </c>
      <c r="P736" s="2" t="s">
        <v>74</v>
      </c>
      <c r="Q736" s="2" t="s">
        <v>74</v>
      </c>
      <c r="R736" s="2" t="s">
        <v>74</v>
      </c>
      <c r="S736" s="2" t="s">
        <v>74</v>
      </c>
      <c r="T736" s="2" t="s">
        <v>74</v>
      </c>
      <c r="U736" s="2" t="s">
        <v>74</v>
      </c>
      <c r="V736" s="5" t="s">
        <v>6830</v>
      </c>
      <c r="W736" s="2" t="s">
        <v>74</v>
      </c>
      <c r="X736" s="2" t="s">
        <v>74</v>
      </c>
      <c r="Y736" s="2" t="s">
        <v>74</v>
      </c>
      <c r="Z736" s="2" t="s">
        <v>74</v>
      </c>
      <c r="AA736" s="2" t="s">
        <v>74</v>
      </c>
      <c r="AB736" s="2" t="s">
        <v>74</v>
      </c>
      <c r="AC736" s="2" t="s">
        <v>74</v>
      </c>
      <c r="AD736" s="2" t="s">
        <v>74</v>
      </c>
      <c r="AE736" s="2" t="s">
        <v>74</v>
      </c>
      <c r="AF736" s="2" t="s">
        <v>74</v>
      </c>
      <c r="AG736" s="2" t="s">
        <v>74</v>
      </c>
      <c r="AH736" s="2" t="s">
        <v>74</v>
      </c>
      <c r="AI736" s="2" t="s">
        <v>74</v>
      </c>
      <c r="AJ736" s="2" t="s">
        <v>74</v>
      </c>
      <c r="AK736" s="2" t="s">
        <v>74</v>
      </c>
      <c r="AL736" s="2" t="s">
        <v>74</v>
      </c>
      <c r="AM736" s="2" t="s">
        <v>74</v>
      </c>
      <c r="AN736" s="2" t="s">
        <v>74</v>
      </c>
      <c r="AO736" s="2" t="s">
        <v>6831</v>
      </c>
      <c r="AP736" s="2" t="s">
        <v>6832</v>
      </c>
      <c r="AQ736" s="2" t="s">
        <v>74</v>
      </c>
      <c r="AR736" s="2" t="s">
        <v>74</v>
      </c>
      <c r="AS736" s="2" t="s">
        <v>74</v>
      </c>
      <c r="AT736" s="2" t="s">
        <v>305</v>
      </c>
      <c r="AU736" s="2">
        <v>1997</v>
      </c>
      <c r="AV736" s="2">
        <v>87</v>
      </c>
      <c r="AW736" s="2">
        <v>6</v>
      </c>
      <c r="AX736" s="2" t="s">
        <v>74</v>
      </c>
      <c r="AY736" s="2" t="s">
        <v>74</v>
      </c>
      <c r="AZ736" s="2" t="s">
        <v>74</v>
      </c>
      <c r="BA736" s="2" t="s">
        <v>74</v>
      </c>
      <c r="BB736" s="2">
        <v>595</v>
      </c>
      <c r="BC736" s="2">
        <v>608</v>
      </c>
      <c r="BD736" s="2" t="s">
        <v>74</v>
      </c>
      <c r="BE736" s="2" t="s">
        <v>6833</v>
      </c>
      <c r="BF736" s="2" t="str">
        <f>HYPERLINK("http://dx.doi.org/10.1017/S0007485300038694","http://dx.doi.org/10.1017/S0007485300038694")</f>
        <v>http://dx.doi.org/10.1017/S0007485300038694</v>
      </c>
      <c r="BG736" s="2" t="s">
        <v>74</v>
      </c>
      <c r="BH736" s="2" t="s">
        <v>74</v>
      </c>
      <c r="BI736" s="2" t="s">
        <v>74</v>
      </c>
      <c r="BJ736" s="2" t="s">
        <v>74</v>
      </c>
      <c r="BK736" s="2" t="s">
        <v>74</v>
      </c>
      <c r="BL736" s="2" t="s">
        <v>74</v>
      </c>
      <c r="BM736" s="2" t="s">
        <v>74</v>
      </c>
      <c r="BN736" s="2" t="s">
        <v>74</v>
      </c>
      <c r="BO736" s="2" t="s">
        <v>74</v>
      </c>
      <c r="BP736" s="2" t="s">
        <v>74</v>
      </c>
      <c r="BQ736" s="2" t="s">
        <v>74</v>
      </c>
      <c r="BR736" s="2" t="s">
        <v>74</v>
      </c>
      <c r="BS736" s="2" t="s">
        <v>6834</v>
      </c>
      <c r="BT736" s="2" t="str">
        <f>HYPERLINK("https%3A%2F%2Fwww.webofscience.com%2Fwos%2Fwoscc%2Ffull-record%2FWOS:A1997YL39300006","View Full Record in Web of Science")</f>
        <v>View Full Record in Web of Science</v>
      </c>
    </row>
    <row r="737" spans="1:72" s="1" customFormat="1" x14ac:dyDescent="0.4">
      <c r="A737" s="2" t="s">
        <v>72</v>
      </c>
      <c r="B737" s="2" t="s">
        <v>6122</v>
      </c>
      <c r="C737" s="2" t="s">
        <v>74</v>
      </c>
      <c r="D737" s="2" t="s">
        <v>74</v>
      </c>
      <c r="E737" s="2" t="s">
        <v>74</v>
      </c>
      <c r="F737" s="2" t="s">
        <v>6122</v>
      </c>
      <c r="G737" s="2" t="s">
        <v>74</v>
      </c>
      <c r="H737" s="2" t="s">
        <v>74</v>
      </c>
      <c r="I737" s="2" t="s">
        <v>6123</v>
      </c>
      <c r="J737" s="2" t="s">
        <v>6124</v>
      </c>
      <c r="K737" s="2" t="s">
        <v>74</v>
      </c>
      <c r="L737" s="2" t="s">
        <v>74</v>
      </c>
      <c r="M737" s="2" t="s">
        <v>74</v>
      </c>
      <c r="N737" s="2" t="s">
        <v>74</v>
      </c>
      <c r="O737" s="2" t="s">
        <v>74</v>
      </c>
      <c r="P737" s="2" t="s">
        <v>74</v>
      </c>
      <c r="Q737" s="2" t="s">
        <v>74</v>
      </c>
      <c r="R737" s="2" t="s">
        <v>74</v>
      </c>
      <c r="S737" s="2" t="s">
        <v>74</v>
      </c>
      <c r="T737" s="2" t="s">
        <v>74</v>
      </c>
      <c r="U737" s="2" t="s">
        <v>74</v>
      </c>
      <c r="V737" s="5" t="s">
        <v>6125</v>
      </c>
      <c r="W737" s="2" t="s">
        <v>74</v>
      </c>
      <c r="X737" s="2" t="s">
        <v>74</v>
      </c>
      <c r="Y737" s="2" t="s">
        <v>74</v>
      </c>
      <c r="Z737" s="2" t="s">
        <v>74</v>
      </c>
      <c r="AA737" s="2" t="s">
        <v>74</v>
      </c>
      <c r="AB737" s="2" t="s">
        <v>74</v>
      </c>
      <c r="AC737" s="2" t="s">
        <v>74</v>
      </c>
      <c r="AD737" s="2" t="s">
        <v>74</v>
      </c>
      <c r="AE737" s="2" t="s">
        <v>74</v>
      </c>
      <c r="AF737" s="2" t="s">
        <v>74</v>
      </c>
      <c r="AG737" s="2" t="s">
        <v>74</v>
      </c>
      <c r="AH737" s="2" t="s">
        <v>74</v>
      </c>
      <c r="AI737" s="2" t="s">
        <v>74</v>
      </c>
      <c r="AJ737" s="2" t="s">
        <v>74</v>
      </c>
      <c r="AK737" s="2" t="s">
        <v>74</v>
      </c>
      <c r="AL737" s="2" t="s">
        <v>74</v>
      </c>
      <c r="AM737" s="2" t="s">
        <v>74</v>
      </c>
      <c r="AN737" s="2" t="s">
        <v>74</v>
      </c>
      <c r="AO737" s="2" t="s">
        <v>6126</v>
      </c>
      <c r="AP737" s="2" t="s">
        <v>6127</v>
      </c>
      <c r="AQ737" s="2" t="s">
        <v>74</v>
      </c>
      <c r="AR737" s="2" t="s">
        <v>74</v>
      </c>
      <c r="AS737" s="2" t="s">
        <v>74</v>
      </c>
      <c r="AT737" s="2" t="s">
        <v>74</v>
      </c>
      <c r="AU737" s="2">
        <v>1984</v>
      </c>
      <c r="AV737" s="2">
        <v>70</v>
      </c>
      <c r="AW737" s="2">
        <v>4</v>
      </c>
      <c r="AX737" s="2" t="s">
        <v>74</v>
      </c>
      <c r="AY737" s="2" t="s">
        <v>74</v>
      </c>
      <c r="AZ737" s="2" t="s">
        <v>74</v>
      </c>
      <c r="BA737" s="2" t="s">
        <v>74</v>
      </c>
      <c r="BB737" s="2">
        <v>234</v>
      </c>
      <c r="BC737" s="2">
        <v>239</v>
      </c>
      <c r="BD737" s="2" t="s">
        <v>74</v>
      </c>
      <c r="BE737" s="2" t="s">
        <v>74</v>
      </c>
      <c r="BF737" s="2" t="s">
        <v>74</v>
      </c>
      <c r="BG737" s="2" t="s">
        <v>74</v>
      </c>
      <c r="BH737" s="2" t="s">
        <v>74</v>
      </c>
      <c r="BI737" s="2" t="s">
        <v>74</v>
      </c>
      <c r="BJ737" s="2" t="s">
        <v>74</v>
      </c>
      <c r="BK737" s="2" t="s">
        <v>74</v>
      </c>
      <c r="BL737" s="2" t="s">
        <v>74</v>
      </c>
      <c r="BM737" s="2" t="s">
        <v>74</v>
      </c>
      <c r="BN737" s="2" t="s">
        <v>74</v>
      </c>
      <c r="BO737" s="2" t="s">
        <v>74</v>
      </c>
      <c r="BP737" s="2" t="s">
        <v>74</v>
      </c>
      <c r="BQ737" s="2" t="s">
        <v>74</v>
      </c>
      <c r="BR737" s="2" t="s">
        <v>74</v>
      </c>
      <c r="BS737" s="2" t="s">
        <v>6128</v>
      </c>
      <c r="BT737" s="2" t="str">
        <f>HYPERLINK("https%3A%2F%2Fwww.webofscience.com%2Fwos%2Fwoscc%2Ffull-record%2FWOS:A1984TV59800004","View Full Record in Web of Science")</f>
        <v>View Full Record in Web of Science</v>
      </c>
    </row>
    <row r="738" spans="1:72" s="2" customFormat="1" x14ac:dyDescent="0.4">
      <c r="A738" s="2" t="s">
        <v>72</v>
      </c>
      <c r="B738" s="2" t="s">
        <v>8247</v>
      </c>
      <c r="C738" s="2" t="s">
        <v>74</v>
      </c>
      <c r="D738" s="2" t="s">
        <v>74</v>
      </c>
      <c r="E738" s="2" t="s">
        <v>74</v>
      </c>
      <c r="F738" s="2" t="s">
        <v>8248</v>
      </c>
      <c r="G738" s="2" t="s">
        <v>74</v>
      </c>
      <c r="H738" s="2" t="s">
        <v>74</v>
      </c>
      <c r="I738" s="2" t="s">
        <v>8249</v>
      </c>
      <c r="J738" s="2" t="s">
        <v>408</v>
      </c>
      <c r="K738" s="2" t="s">
        <v>74</v>
      </c>
      <c r="L738" s="2" t="s">
        <v>74</v>
      </c>
      <c r="M738" s="2" t="s">
        <v>74</v>
      </c>
      <c r="N738" s="2" t="s">
        <v>74</v>
      </c>
      <c r="O738" s="2" t="s">
        <v>74</v>
      </c>
      <c r="P738" s="2" t="s">
        <v>74</v>
      </c>
      <c r="Q738" s="2" t="s">
        <v>74</v>
      </c>
      <c r="R738" s="2" t="s">
        <v>74</v>
      </c>
      <c r="S738" s="2" t="s">
        <v>74</v>
      </c>
      <c r="T738" s="2" t="s">
        <v>74</v>
      </c>
      <c r="U738" s="2" t="s">
        <v>74</v>
      </c>
      <c r="V738" s="5" t="s">
        <v>8250</v>
      </c>
      <c r="W738" s="2" t="s">
        <v>74</v>
      </c>
      <c r="X738" s="2" t="s">
        <v>74</v>
      </c>
      <c r="Y738" s="2" t="s">
        <v>74</v>
      </c>
      <c r="Z738" s="2" t="s">
        <v>74</v>
      </c>
      <c r="AA738" s="2" t="s">
        <v>74</v>
      </c>
      <c r="AB738" s="2" t="s">
        <v>8251</v>
      </c>
      <c r="AC738" s="2" t="s">
        <v>74</v>
      </c>
      <c r="AD738" s="2" t="s">
        <v>74</v>
      </c>
      <c r="AE738" s="2" t="s">
        <v>74</v>
      </c>
      <c r="AF738" s="2" t="s">
        <v>74</v>
      </c>
      <c r="AG738" s="2" t="s">
        <v>74</v>
      </c>
      <c r="AH738" s="2" t="s">
        <v>74</v>
      </c>
      <c r="AI738" s="2" t="s">
        <v>74</v>
      </c>
      <c r="AJ738" s="2" t="s">
        <v>74</v>
      </c>
      <c r="AK738" s="2" t="s">
        <v>74</v>
      </c>
      <c r="AL738" s="2" t="s">
        <v>74</v>
      </c>
      <c r="AM738" s="2" t="s">
        <v>74</v>
      </c>
      <c r="AN738" s="2" t="s">
        <v>74</v>
      </c>
      <c r="AO738" s="2" t="s">
        <v>412</v>
      </c>
      <c r="AP738" s="2" t="s">
        <v>413</v>
      </c>
      <c r="AQ738" s="2" t="s">
        <v>74</v>
      </c>
      <c r="AR738" s="2" t="s">
        <v>74</v>
      </c>
      <c r="AS738" s="2" t="s">
        <v>74</v>
      </c>
      <c r="AT738" s="2" t="s">
        <v>255</v>
      </c>
      <c r="AU738" s="2">
        <v>2020</v>
      </c>
      <c r="AV738" s="2">
        <v>129</v>
      </c>
      <c r="AW738" s="2">
        <v>1</v>
      </c>
      <c r="AX738" s="2" t="s">
        <v>74</v>
      </c>
      <c r="AY738" s="2" t="s">
        <v>74</v>
      </c>
      <c r="AZ738" s="2" t="s">
        <v>74</v>
      </c>
      <c r="BA738" s="2" t="s">
        <v>74</v>
      </c>
      <c r="BB738" s="2">
        <v>143</v>
      </c>
      <c r="BC738" s="2">
        <v>161</v>
      </c>
      <c r="BD738" s="2" t="s">
        <v>74</v>
      </c>
      <c r="BE738" s="2" t="s">
        <v>8252</v>
      </c>
      <c r="BF738" s="2" t="str">
        <f>HYPERLINK("http://dx.doi.org/10.1093/biolinnean/blz162","http://dx.doi.org/10.1093/biolinnean/blz162")</f>
        <v>http://dx.doi.org/10.1093/biolinnean/blz162</v>
      </c>
      <c r="BG738" s="2" t="s">
        <v>74</v>
      </c>
      <c r="BH738" s="2" t="s">
        <v>74</v>
      </c>
      <c r="BI738" s="2" t="s">
        <v>74</v>
      </c>
      <c r="BJ738" s="2" t="s">
        <v>74</v>
      </c>
      <c r="BK738" s="2" t="s">
        <v>74</v>
      </c>
      <c r="BL738" s="2" t="s">
        <v>74</v>
      </c>
      <c r="BM738" s="2" t="s">
        <v>74</v>
      </c>
      <c r="BN738" s="2" t="s">
        <v>74</v>
      </c>
      <c r="BO738" s="2" t="s">
        <v>74</v>
      </c>
      <c r="BP738" s="2" t="s">
        <v>74</v>
      </c>
      <c r="BQ738" s="2" t="s">
        <v>74</v>
      </c>
      <c r="BR738" s="2" t="s">
        <v>74</v>
      </c>
      <c r="BS738" s="2" t="s">
        <v>8253</v>
      </c>
      <c r="BT738" s="2" t="str">
        <f>HYPERLINK("https%3A%2F%2Fwww.webofscience.com%2Fwos%2Fwoscc%2Ffull-record%2FWOS:000506800100011","View Full Record in Web of Science")</f>
        <v>View Full Record in Web of Science</v>
      </c>
    </row>
    <row r="739" spans="1:72" s="2" customFormat="1" x14ac:dyDescent="0.4">
      <c r="A739" s="2" t="s">
        <v>72</v>
      </c>
      <c r="B739" s="2" t="s">
        <v>7440</v>
      </c>
      <c r="C739" s="2" t="s">
        <v>74</v>
      </c>
      <c r="D739" s="2" t="s">
        <v>74</v>
      </c>
      <c r="E739" s="2" t="s">
        <v>74</v>
      </c>
      <c r="F739" s="2" t="s">
        <v>7440</v>
      </c>
      <c r="G739" s="2" t="s">
        <v>74</v>
      </c>
      <c r="H739" s="2" t="s">
        <v>74</v>
      </c>
      <c r="I739" s="2" t="s">
        <v>7441</v>
      </c>
      <c r="J739" s="2" t="s">
        <v>610</v>
      </c>
      <c r="K739" s="2" t="s">
        <v>74</v>
      </c>
      <c r="L739" s="2" t="s">
        <v>74</v>
      </c>
      <c r="M739" s="2" t="s">
        <v>74</v>
      </c>
      <c r="N739" s="2" t="s">
        <v>74</v>
      </c>
      <c r="O739" s="2" t="s">
        <v>74</v>
      </c>
      <c r="P739" s="2" t="s">
        <v>74</v>
      </c>
      <c r="Q739" s="2" t="s">
        <v>74</v>
      </c>
      <c r="R739" s="2" t="s">
        <v>74</v>
      </c>
      <c r="S739" s="2" t="s">
        <v>74</v>
      </c>
      <c r="T739" s="2" t="s">
        <v>74</v>
      </c>
      <c r="U739" s="2" t="s">
        <v>74</v>
      </c>
      <c r="V739" s="5" t="s">
        <v>7442</v>
      </c>
      <c r="W739" s="2" t="s">
        <v>74</v>
      </c>
      <c r="X739" s="2" t="s">
        <v>74</v>
      </c>
      <c r="Y739" s="2" t="s">
        <v>74</v>
      </c>
      <c r="Z739" s="2" t="s">
        <v>74</v>
      </c>
      <c r="AA739" s="2" t="s">
        <v>74</v>
      </c>
      <c r="AB739" s="2" t="s">
        <v>74</v>
      </c>
      <c r="AC739" s="2" t="s">
        <v>74</v>
      </c>
      <c r="AD739" s="2" t="s">
        <v>74</v>
      </c>
      <c r="AE739" s="2" t="s">
        <v>74</v>
      </c>
      <c r="AF739" s="2" t="s">
        <v>74</v>
      </c>
      <c r="AG739" s="2" t="s">
        <v>74</v>
      </c>
      <c r="AH739" s="2" t="s">
        <v>74</v>
      </c>
      <c r="AI739" s="2" t="s">
        <v>74</v>
      </c>
      <c r="AJ739" s="2" t="s">
        <v>74</v>
      </c>
      <c r="AK739" s="2" t="s">
        <v>74</v>
      </c>
      <c r="AL739" s="2" t="s">
        <v>74</v>
      </c>
      <c r="AM739" s="2" t="s">
        <v>74</v>
      </c>
      <c r="AN739" s="2" t="s">
        <v>74</v>
      </c>
      <c r="AO739" s="2" t="s">
        <v>614</v>
      </c>
      <c r="AP739" s="2" t="s">
        <v>615</v>
      </c>
      <c r="AQ739" s="2" t="s">
        <v>74</v>
      </c>
      <c r="AR739" s="2" t="s">
        <v>74</v>
      </c>
      <c r="AS739" s="2" t="s">
        <v>74</v>
      </c>
      <c r="AT739" s="2" t="s">
        <v>352</v>
      </c>
      <c r="AU739" s="2">
        <v>2004</v>
      </c>
      <c r="AV739" s="2">
        <v>110</v>
      </c>
      <c r="AW739" s="2">
        <v>9</v>
      </c>
      <c r="AX739" s="2" t="s">
        <v>74</v>
      </c>
      <c r="AY739" s="2" t="s">
        <v>74</v>
      </c>
      <c r="AZ739" s="2" t="s">
        <v>74</v>
      </c>
      <c r="BA739" s="2" t="s">
        <v>74</v>
      </c>
      <c r="BB739" s="2">
        <v>707</v>
      </c>
      <c r="BC739" s="2">
        <v>715</v>
      </c>
      <c r="BD739" s="2" t="s">
        <v>74</v>
      </c>
      <c r="BE739" s="2" t="s">
        <v>7443</v>
      </c>
      <c r="BF739" s="2" t="str">
        <f>HYPERLINK("http://dx.doi.org/10.1111/j.1439-0310.2004.01011.x","http://dx.doi.org/10.1111/j.1439-0310.2004.01011.x")</f>
        <v>http://dx.doi.org/10.1111/j.1439-0310.2004.01011.x</v>
      </c>
      <c r="BG739" s="2" t="s">
        <v>74</v>
      </c>
      <c r="BH739" s="2" t="s">
        <v>74</v>
      </c>
      <c r="BI739" s="2" t="s">
        <v>74</v>
      </c>
      <c r="BJ739" s="2" t="s">
        <v>74</v>
      </c>
      <c r="BK739" s="2" t="s">
        <v>74</v>
      </c>
      <c r="BL739" s="2" t="s">
        <v>74</v>
      </c>
      <c r="BM739" s="2" t="s">
        <v>74</v>
      </c>
      <c r="BN739" s="2" t="s">
        <v>74</v>
      </c>
      <c r="BO739" s="2" t="s">
        <v>74</v>
      </c>
      <c r="BP739" s="2" t="s">
        <v>74</v>
      </c>
      <c r="BQ739" s="2" t="s">
        <v>74</v>
      </c>
      <c r="BR739" s="2" t="s">
        <v>74</v>
      </c>
      <c r="BS739" s="2" t="s">
        <v>7444</v>
      </c>
      <c r="BT739" s="2" t="str">
        <f>HYPERLINK("https%3A%2F%2Fwww.webofscience.com%2Fwos%2Fwoscc%2Ffull-record%2FWOS:000223642800004","View Full Record in Web of Science")</f>
        <v>View Full Record in Web of Science</v>
      </c>
    </row>
    <row r="740" spans="1:72" s="2" customFormat="1" x14ac:dyDescent="0.4">
      <c r="A740" s="2" t="s">
        <v>72</v>
      </c>
      <c r="B740" s="2" t="s">
        <v>6106</v>
      </c>
      <c r="C740" s="2" t="s">
        <v>74</v>
      </c>
      <c r="D740" s="2" t="s">
        <v>74</v>
      </c>
      <c r="E740" s="2" t="s">
        <v>74</v>
      </c>
      <c r="F740" s="2" t="s">
        <v>6106</v>
      </c>
      <c r="G740" s="2" t="s">
        <v>74</v>
      </c>
      <c r="H740" s="2" t="s">
        <v>74</v>
      </c>
      <c r="I740" s="2" t="s">
        <v>6107</v>
      </c>
      <c r="J740" s="2" t="s">
        <v>333</v>
      </c>
      <c r="K740" s="2" t="s">
        <v>74</v>
      </c>
      <c r="L740" s="2" t="s">
        <v>74</v>
      </c>
      <c r="M740" s="2" t="s">
        <v>74</v>
      </c>
      <c r="N740" s="2" t="s">
        <v>74</v>
      </c>
      <c r="O740" s="2" t="s">
        <v>74</v>
      </c>
      <c r="P740" s="2" t="s">
        <v>74</v>
      </c>
      <c r="Q740" s="2" t="s">
        <v>74</v>
      </c>
      <c r="R740" s="2" t="s">
        <v>74</v>
      </c>
      <c r="S740" s="2" t="s">
        <v>74</v>
      </c>
      <c r="T740" s="2" t="s">
        <v>74</v>
      </c>
      <c r="U740" s="2" t="s">
        <v>74</v>
      </c>
      <c r="V740" s="5" t="s">
        <v>6108</v>
      </c>
      <c r="W740" s="2" t="s">
        <v>74</v>
      </c>
      <c r="X740" s="2" t="s">
        <v>74</v>
      </c>
      <c r="Y740" s="2" t="s">
        <v>74</v>
      </c>
      <c r="Z740" s="2" t="s">
        <v>74</v>
      </c>
      <c r="AA740" s="2" t="s">
        <v>5351</v>
      </c>
      <c r="AB740" s="2" t="s">
        <v>6109</v>
      </c>
      <c r="AC740" s="2" t="s">
        <v>74</v>
      </c>
      <c r="AD740" s="2" t="s">
        <v>74</v>
      </c>
      <c r="AE740" s="2" t="s">
        <v>74</v>
      </c>
      <c r="AF740" s="2" t="s">
        <v>74</v>
      </c>
      <c r="AG740" s="2" t="s">
        <v>74</v>
      </c>
      <c r="AH740" s="2" t="s">
        <v>74</v>
      </c>
      <c r="AI740" s="2" t="s">
        <v>74</v>
      </c>
      <c r="AJ740" s="2" t="s">
        <v>74</v>
      </c>
      <c r="AK740" s="2" t="s">
        <v>74</v>
      </c>
      <c r="AL740" s="2" t="s">
        <v>74</v>
      </c>
      <c r="AM740" s="2" t="s">
        <v>74</v>
      </c>
      <c r="AN740" s="2" t="s">
        <v>74</v>
      </c>
      <c r="AO740" s="2" t="s">
        <v>337</v>
      </c>
      <c r="AP740" s="2" t="s">
        <v>338</v>
      </c>
      <c r="AQ740" s="2" t="s">
        <v>74</v>
      </c>
      <c r="AR740" s="2" t="s">
        <v>74</v>
      </c>
      <c r="AS740" s="2" t="s">
        <v>74</v>
      </c>
      <c r="AT740" s="2" t="s">
        <v>1013</v>
      </c>
      <c r="AU740" s="2">
        <v>2000</v>
      </c>
      <c r="AV740" s="2">
        <v>11</v>
      </c>
      <c r="AW740" s="2">
        <v>5</v>
      </c>
      <c r="AX740" s="2" t="s">
        <v>74</v>
      </c>
      <c r="AY740" s="2" t="s">
        <v>74</v>
      </c>
      <c r="AZ740" s="2" t="s">
        <v>74</v>
      </c>
      <c r="BA740" s="2" t="s">
        <v>74</v>
      </c>
      <c r="BB740" s="2">
        <v>520</v>
      </c>
      <c r="BC740" s="2">
        <v>527</v>
      </c>
      <c r="BD740" s="2" t="s">
        <v>74</v>
      </c>
      <c r="BE740" s="2" t="s">
        <v>6110</v>
      </c>
      <c r="BF740" s="2" t="str">
        <f>HYPERLINK("http://dx.doi.org/10.1093/beheco/11.5.520","http://dx.doi.org/10.1093/beheco/11.5.520")</f>
        <v>http://dx.doi.org/10.1093/beheco/11.5.520</v>
      </c>
      <c r="BG740" s="2" t="s">
        <v>74</v>
      </c>
      <c r="BH740" s="2" t="s">
        <v>74</v>
      </c>
      <c r="BI740" s="2" t="s">
        <v>74</v>
      </c>
      <c r="BJ740" s="2" t="s">
        <v>74</v>
      </c>
      <c r="BK740" s="2" t="s">
        <v>74</v>
      </c>
      <c r="BL740" s="2" t="s">
        <v>74</v>
      </c>
      <c r="BM740" s="2" t="s">
        <v>74</v>
      </c>
      <c r="BN740" s="2" t="s">
        <v>74</v>
      </c>
      <c r="BO740" s="2" t="s">
        <v>74</v>
      </c>
      <c r="BP740" s="2" t="s">
        <v>74</v>
      </c>
      <c r="BQ740" s="2" t="s">
        <v>74</v>
      </c>
      <c r="BR740" s="2" t="s">
        <v>74</v>
      </c>
      <c r="BS740" s="2" t="s">
        <v>6111</v>
      </c>
      <c r="BT740" s="2" t="str">
        <f>HYPERLINK("https%3A%2F%2Fwww.webofscience.com%2Fwos%2Fwoscc%2Ffull-record%2FWOS:000089580100008","View Full Record in Web of Science")</f>
        <v>View Full Record in Web of Science</v>
      </c>
    </row>
    <row r="741" spans="1:72" s="2" customFormat="1" x14ac:dyDescent="0.4">
      <c r="A741" s="2" t="s">
        <v>72</v>
      </c>
      <c r="B741" s="2" t="s">
        <v>1235</v>
      </c>
      <c r="C741" s="2" t="s">
        <v>74</v>
      </c>
      <c r="D741" s="2" t="s">
        <v>74</v>
      </c>
      <c r="E741" s="2" t="s">
        <v>74</v>
      </c>
      <c r="F741" s="2" t="s">
        <v>1235</v>
      </c>
      <c r="G741" s="2" t="s">
        <v>74</v>
      </c>
      <c r="H741" s="2" t="s">
        <v>74</v>
      </c>
      <c r="I741" s="2" t="s">
        <v>1236</v>
      </c>
      <c r="J741" s="2" t="s">
        <v>1237</v>
      </c>
      <c r="K741" s="2" t="s">
        <v>74</v>
      </c>
      <c r="L741" s="2" t="s">
        <v>74</v>
      </c>
      <c r="M741" s="2" t="s">
        <v>74</v>
      </c>
      <c r="N741" s="2" t="s">
        <v>74</v>
      </c>
      <c r="O741" s="2" t="s">
        <v>74</v>
      </c>
      <c r="P741" s="2" t="s">
        <v>74</v>
      </c>
      <c r="Q741" s="2" t="s">
        <v>74</v>
      </c>
      <c r="R741" s="2" t="s">
        <v>74</v>
      </c>
      <c r="S741" s="2" t="s">
        <v>74</v>
      </c>
      <c r="T741" s="2" t="s">
        <v>74</v>
      </c>
      <c r="U741" s="2" t="s">
        <v>74</v>
      </c>
      <c r="V741" s="5" t="s">
        <v>1238</v>
      </c>
      <c r="W741" s="2" t="s">
        <v>74</v>
      </c>
      <c r="X741" s="2" t="s">
        <v>74</v>
      </c>
      <c r="Y741" s="2" t="s">
        <v>74</v>
      </c>
      <c r="Z741" s="2" t="s">
        <v>74</v>
      </c>
      <c r="AA741" s="2" t="s">
        <v>74</v>
      </c>
      <c r="AB741" s="2" t="s">
        <v>74</v>
      </c>
      <c r="AC741" s="2" t="s">
        <v>74</v>
      </c>
      <c r="AD741" s="2" t="s">
        <v>74</v>
      </c>
      <c r="AE741" s="2" t="s">
        <v>74</v>
      </c>
      <c r="AF741" s="2" t="s">
        <v>74</v>
      </c>
      <c r="AG741" s="2" t="s">
        <v>74</v>
      </c>
      <c r="AH741" s="2" t="s">
        <v>74</v>
      </c>
      <c r="AI741" s="2" t="s">
        <v>74</v>
      </c>
      <c r="AJ741" s="2" t="s">
        <v>74</v>
      </c>
      <c r="AK741" s="2" t="s">
        <v>74</v>
      </c>
      <c r="AL741" s="2" t="s">
        <v>74</v>
      </c>
      <c r="AM741" s="2" t="s">
        <v>74</v>
      </c>
      <c r="AN741" s="2" t="s">
        <v>74</v>
      </c>
      <c r="AO741" s="2" t="s">
        <v>1239</v>
      </c>
      <c r="AP741" s="2" t="s">
        <v>74</v>
      </c>
      <c r="AQ741" s="2" t="s">
        <v>74</v>
      </c>
      <c r="AR741" s="2" t="s">
        <v>74</v>
      </c>
      <c r="AS741" s="2" t="s">
        <v>74</v>
      </c>
      <c r="AT741" s="2" t="s">
        <v>352</v>
      </c>
      <c r="AU741" s="2">
        <v>1996</v>
      </c>
      <c r="AV741" s="2">
        <v>74</v>
      </c>
      <c r="AW741" s="2">
        <v>9</v>
      </c>
      <c r="AX741" s="2" t="s">
        <v>74</v>
      </c>
      <c r="AY741" s="2" t="s">
        <v>74</v>
      </c>
      <c r="AZ741" s="2" t="s">
        <v>74</v>
      </c>
      <c r="BA741" s="2" t="s">
        <v>74</v>
      </c>
      <c r="BB741" s="2">
        <v>1727</v>
      </c>
      <c r="BC741" s="2">
        <v>1733</v>
      </c>
      <c r="BD741" s="2" t="s">
        <v>74</v>
      </c>
      <c r="BE741" s="2" t="s">
        <v>1240</v>
      </c>
      <c r="BF741" s="2" t="str">
        <f>HYPERLINK("http://dx.doi.org/10.1139/z96-191","http://dx.doi.org/10.1139/z96-191")</f>
        <v>http://dx.doi.org/10.1139/z96-191</v>
      </c>
      <c r="BG741" s="2" t="s">
        <v>74</v>
      </c>
      <c r="BH741" s="2" t="s">
        <v>74</v>
      </c>
      <c r="BI741" s="2" t="s">
        <v>74</v>
      </c>
      <c r="BJ741" s="2" t="s">
        <v>74</v>
      </c>
      <c r="BK741" s="2" t="s">
        <v>74</v>
      </c>
      <c r="BL741" s="2" t="s">
        <v>74</v>
      </c>
      <c r="BM741" s="2" t="s">
        <v>74</v>
      </c>
      <c r="BN741" s="2" t="s">
        <v>74</v>
      </c>
      <c r="BO741" s="2" t="s">
        <v>74</v>
      </c>
      <c r="BP741" s="2" t="s">
        <v>74</v>
      </c>
      <c r="BQ741" s="2" t="s">
        <v>74</v>
      </c>
      <c r="BR741" s="2" t="s">
        <v>74</v>
      </c>
      <c r="BS741" s="2" t="s">
        <v>1241</v>
      </c>
      <c r="BT741" s="2" t="str">
        <f>HYPERLINK("https%3A%2F%2Fwww.webofscience.com%2Fwos%2Fwoscc%2Ffull-record%2FWOS:A1996VG77300016","View Full Record in Web of Science")</f>
        <v>View Full Record in Web of Science</v>
      </c>
    </row>
    <row r="742" spans="1:72" s="2" customFormat="1" x14ac:dyDescent="0.4">
      <c r="A742" s="2" t="s">
        <v>72</v>
      </c>
      <c r="B742" s="2" t="s">
        <v>6245</v>
      </c>
      <c r="C742" s="2" t="s">
        <v>74</v>
      </c>
      <c r="D742" s="2" t="s">
        <v>74</v>
      </c>
      <c r="E742" s="2" t="s">
        <v>74</v>
      </c>
      <c r="F742" s="2" t="s">
        <v>6246</v>
      </c>
      <c r="G742" s="2" t="s">
        <v>74</v>
      </c>
      <c r="H742" s="2" t="s">
        <v>74</v>
      </c>
      <c r="I742" s="2" t="s">
        <v>6247</v>
      </c>
      <c r="J742" s="2" t="s">
        <v>88</v>
      </c>
      <c r="K742" s="2" t="s">
        <v>74</v>
      </c>
      <c r="L742" s="2" t="s">
        <v>74</v>
      </c>
      <c r="M742" s="2" t="s">
        <v>74</v>
      </c>
      <c r="N742" s="2" t="s">
        <v>74</v>
      </c>
      <c r="O742" s="2" t="s">
        <v>74</v>
      </c>
      <c r="P742" s="2" t="s">
        <v>74</v>
      </c>
      <c r="Q742" s="2" t="s">
        <v>74</v>
      </c>
      <c r="R742" s="2" t="s">
        <v>74</v>
      </c>
      <c r="S742" s="2" t="s">
        <v>74</v>
      </c>
      <c r="T742" s="2" t="s">
        <v>74</v>
      </c>
      <c r="U742" s="2" t="s">
        <v>74</v>
      </c>
      <c r="V742" s="5" t="s">
        <v>6248</v>
      </c>
      <c r="W742" s="2" t="s">
        <v>74</v>
      </c>
      <c r="X742" s="2" t="s">
        <v>74</v>
      </c>
      <c r="Y742" s="2" t="s">
        <v>74</v>
      </c>
      <c r="Z742" s="2" t="s">
        <v>74</v>
      </c>
      <c r="AA742" s="2" t="s">
        <v>6249</v>
      </c>
      <c r="AB742" s="2" t="s">
        <v>6250</v>
      </c>
      <c r="AC742" s="2" t="s">
        <v>74</v>
      </c>
      <c r="AD742" s="2" t="s">
        <v>74</v>
      </c>
      <c r="AE742" s="2" t="s">
        <v>74</v>
      </c>
      <c r="AF742" s="2" t="s">
        <v>74</v>
      </c>
      <c r="AG742" s="2" t="s">
        <v>74</v>
      </c>
      <c r="AH742" s="2" t="s">
        <v>74</v>
      </c>
      <c r="AI742" s="2" t="s">
        <v>74</v>
      </c>
      <c r="AJ742" s="2" t="s">
        <v>74</v>
      </c>
      <c r="AK742" s="2" t="s">
        <v>74</v>
      </c>
      <c r="AL742" s="2" t="s">
        <v>74</v>
      </c>
      <c r="AM742" s="2" t="s">
        <v>74</v>
      </c>
      <c r="AN742" s="2" t="s">
        <v>74</v>
      </c>
      <c r="AO742" s="2" t="s">
        <v>91</v>
      </c>
      <c r="AP742" s="2" t="s">
        <v>92</v>
      </c>
      <c r="AQ742" s="2" t="s">
        <v>74</v>
      </c>
      <c r="AR742" s="2" t="s">
        <v>74</v>
      </c>
      <c r="AS742" s="2" t="s">
        <v>74</v>
      </c>
      <c r="AT742" s="2" t="s">
        <v>6251</v>
      </c>
      <c r="AU742" s="2">
        <v>2020</v>
      </c>
      <c r="AV742" s="2">
        <v>16</v>
      </c>
      <c r="AW742" s="2">
        <v>5</v>
      </c>
      <c r="AX742" s="2" t="s">
        <v>74</v>
      </c>
      <c r="AY742" s="2" t="s">
        <v>74</v>
      </c>
      <c r="AZ742" s="2" t="s">
        <v>74</v>
      </c>
      <c r="BA742" s="2" t="s">
        <v>74</v>
      </c>
      <c r="BB742" s="2" t="s">
        <v>74</v>
      </c>
      <c r="BC742" s="2" t="s">
        <v>74</v>
      </c>
      <c r="BD742" s="2" t="s">
        <v>74</v>
      </c>
      <c r="BE742" s="2" t="s">
        <v>6252</v>
      </c>
      <c r="BF742" s="2" t="str">
        <f>HYPERLINK("http://dx.doi.org/10.1098/rsbl.2019.0870","http://dx.doi.org/10.1098/rsbl.2019.0870")</f>
        <v>http://dx.doi.org/10.1098/rsbl.2019.0870</v>
      </c>
      <c r="BG742" s="2" t="s">
        <v>74</v>
      </c>
      <c r="BH742" s="2" t="s">
        <v>74</v>
      </c>
      <c r="BI742" s="2" t="s">
        <v>74</v>
      </c>
      <c r="BJ742" s="2" t="s">
        <v>74</v>
      </c>
      <c r="BK742" s="2" t="s">
        <v>74</v>
      </c>
      <c r="BL742" s="2" t="s">
        <v>74</v>
      </c>
      <c r="BM742" s="2" t="s">
        <v>74</v>
      </c>
      <c r="BN742" s="2">
        <v>32396786</v>
      </c>
      <c r="BO742" s="2" t="s">
        <v>74</v>
      </c>
      <c r="BP742" s="2" t="s">
        <v>74</v>
      </c>
      <c r="BQ742" s="2" t="s">
        <v>74</v>
      </c>
      <c r="BR742" s="2" t="s">
        <v>74</v>
      </c>
      <c r="BS742" s="2" t="s">
        <v>6253</v>
      </c>
      <c r="BT742" s="2" t="str">
        <f>HYPERLINK("https%3A%2F%2Fwww.webofscience.com%2Fwos%2Fwoscc%2Ffull-record%2FWOS:000535684800001","View Full Record in Web of Science")</f>
        <v>View Full Record in Web of Science</v>
      </c>
    </row>
    <row r="743" spans="1:72" s="2" customFormat="1" x14ac:dyDescent="0.4">
      <c r="A743" s="2" t="s">
        <v>72</v>
      </c>
      <c r="B743" s="2" t="s">
        <v>2685</v>
      </c>
      <c r="C743" s="2" t="s">
        <v>74</v>
      </c>
      <c r="D743" s="2" t="s">
        <v>74</v>
      </c>
      <c r="E743" s="2" t="s">
        <v>74</v>
      </c>
      <c r="F743" s="2" t="s">
        <v>2685</v>
      </c>
      <c r="G743" s="2" t="s">
        <v>74</v>
      </c>
      <c r="H743" s="2" t="s">
        <v>74</v>
      </c>
      <c r="I743" s="2" t="s">
        <v>2686</v>
      </c>
      <c r="J743" s="2" t="s">
        <v>1237</v>
      </c>
      <c r="K743" s="2" t="s">
        <v>74</v>
      </c>
      <c r="L743" s="2" t="s">
        <v>74</v>
      </c>
      <c r="M743" s="2" t="s">
        <v>74</v>
      </c>
      <c r="N743" s="2" t="s">
        <v>74</v>
      </c>
      <c r="O743" s="2" t="s">
        <v>74</v>
      </c>
      <c r="P743" s="2" t="s">
        <v>74</v>
      </c>
      <c r="Q743" s="2" t="s">
        <v>74</v>
      </c>
      <c r="R743" s="2" t="s">
        <v>74</v>
      </c>
      <c r="S743" s="2" t="s">
        <v>74</v>
      </c>
      <c r="T743" s="2" t="s">
        <v>74</v>
      </c>
      <c r="U743" s="2" t="s">
        <v>74</v>
      </c>
      <c r="V743" s="5" t="s">
        <v>2687</v>
      </c>
      <c r="W743" s="2" t="s">
        <v>74</v>
      </c>
      <c r="X743" s="2" t="s">
        <v>74</v>
      </c>
      <c r="Y743" s="2" t="s">
        <v>74</v>
      </c>
      <c r="Z743" s="2" t="s">
        <v>74</v>
      </c>
      <c r="AA743" s="2" t="s">
        <v>74</v>
      </c>
      <c r="AB743" s="2" t="s">
        <v>74</v>
      </c>
      <c r="AC743" s="2" t="s">
        <v>74</v>
      </c>
      <c r="AD743" s="2" t="s">
        <v>74</v>
      </c>
      <c r="AE743" s="2" t="s">
        <v>74</v>
      </c>
      <c r="AF743" s="2" t="s">
        <v>74</v>
      </c>
      <c r="AG743" s="2" t="s">
        <v>74</v>
      </c>
      <c r="AH743" s="2" t="s">
        <v>74</v>
      </c>
      <c r="AI743" s="2" t="s">
        <v>74</v>
      </c>
      <c r="AJ743" s="2" t="s">
        <v>74</v>
      </c>
      <c r="AK743" s="2" t="s">
        <v>74</v>
      </c>
      <c r="AL743" s="2" t="s">
        <v>74</v>
      </c>
      <c r="AM743" s="2" t="s">
        <v>74</v>
      </c>
      <c r="AN743" s="2" t="s">
        <v>74</v>
      </c>
      <c r="AO743" s="2" t="s">
        <v>1239</v>
      </c>
      <c r="AP743" s="2" t="s">
        <v>74</v>
      </c>
      <c r="AQ743" s="2" t="s">
        <v>74</v>
      </c>
      <c r="AR743" s="2" t="s">
        <v>74</v>
      </c>
      <c r="AS743" s="2" t="s">
        <v>74</v>
      </c>
      <c r="AT743" s="2" t="s">
        <v>102</v>
      </c>
      <c r="AU743" s="2">
        <v>1993</v>
      </c>
      <c r="AV743" s="2">
        <v>71</v>
      </c>
      <c r="AW743" s="2">
        <v>6</v>
      </c>
      <c r="AX743" s="2" t="s">
        <v>74</v>
      </c>
      <c r="AY743" s="2" t="s">
        <v>74</v>
      </c>
      <c r="AZ743" s="2" t="s">
        <v>74</v>
      </c>
      <c r="BA743" s="2" t="s">
        <v>74</v>
      </c>
      <c r="BB743" s="2">
        <v>1111</v>
      </c>
      <c r="BC743" s="2">
        <v>1119</v>
      </c>
      <c r="BD743" s="2" t="s">
        <v>74</v>
      </c>
      <c r="BE743" s="2" t="s">
        <v>2688</v>
      </c>
      <c r="BF743" s="2" t="str">
        <f>HYPERLINK("http://dx.doi.org/10.1139/z93-151","http://dx.doi.org/10.1139/z93-151")</f>
        <v>http://dx.doi.org/10.1139/z93-151</v>
      </c>
      <c r="BG743" s="2" t="s">
        <v>74</v>
      </c>
      <c r="BH743" s="2" t="s">
        <v>74</v>
      </c>
      <c r="BI743" s="2" t="s">
        <v>74</v>
      </c>
      <c r="BJ743" s="2" t="s">
        <v>74</v>
      </c>
      <c r="BK743" s="2" t="s">
        <v>74</v>
      </c>
      <c r="BL743" s="2" t="s">
        <v>74</v>
      </c>
      <c r="BM743" s="2" t="s">
        <v>74</v>
      </c>
      <c r="BN743" s="2" t="s">
        <v>74</v>
      </c>
      <c r="BO743" s="2" t="s">
        <v>74</v>
      </c>
      <c r="BP743" s="2" t="s">
        <v>74</v>
      </c>
      <c r="BQ743" s="2" t="s">
        <v>74</v>
      </c>
      <c r="BR743" s="2" t="s">
        <v>74</v>
      </c>
      <c r="BS743" s="2" t="s">
        <v>2689</v>
      </c>
      <c r="BT743" s="2" t="str">
        <f>HYPERLINK("https%3A%2F%2Fwww.webofscience.com%2Fwos%2Fwoscc%2Ffull-record%2FWOS:A1993LU73200007","View Full Record in Web of Science")</f>
        <v>View Full Record in Web of Science</v>
      </c>
    </row>
    <row r="744" spans="1:72" s="2" customFormat="1" x14ac:dyDescent="0.4">
      <c r="A744" s="2" t="s">
        <v>72</v>
      </c>
      <c r="B744" s="2" t="s">
        <v>2685</v>
      </c>
      <c r="C744" s="2" t="s">
        <v>74</v>
      </c>
      <c r="D744" s="2" t="s">
        <v>74</v>
      </c>
      <c r="E744" s="2" t="s">
        <v>74</v>
      </c>
      <c r="F744" s="2" t="s">
        <v>2685</v>
      </c>
      <c r="G744" s="2" t="s">
        <v>74</v>
      </c>
      <c r="H744" s="2" t="s">
        <v>74</v>
      </c>
      <c r="I744" s="2" t="s">
        <v>3634</v>
      </c>
      <c r="J744" s="2" t="s">
        <v>1673</v>
      </c>
      <c r="K744" s="2" t="s">
        <v>74</v>
      </c>
      <c r="L744" s="2" t="s">
        <v>74</v>
      </c>
      <c r="M744" s="2" t="s">
        <v>74</v>
      </c>
      <c r="N744" s="2" t="s">
        <v>74</v>
      </c>
      <c r="O744" s="2" t="s">
        <v>74</v>
      </c>
      <c r="P744" s="2" t="s">
        <v>74</v>
      </c>
      <c r="Q744" s="2" t="s">
        <v>74</v>
      </c>
      <c r="R744" s="2" t="s">
        <v>74</v>
      </c>
      <c r="S744" s="2" t="s">
        <v>74</v>
      </c>
      <c r="T744" s="2" t="s">
        <v>74</v>
      </c>
      <c r="U744" s="2" t="s">
        <v>74</v>
      </c>
      <c r="V744" s="5" t="s">
        <v>3635</v>
      </c>
      <c r="W744" s="2" t="s">
        <v>74</v>
      </c>
      <c r="X744" s="2" t="s">
        <v>74</v>
      </c>
      <c r="Y744" s="2" t="s">
        <v>74</v>
      </c>
      <c r="Z744" s="2" t="s">
        <v>74</v>
      </c>
      <c r="AA744" s="2" t="s">
        <v>74</v>
      </c>
      <c r="AB744" s="2" t="s">
        <v>74</v>
      </c>
      <c r="AC744" s="2" t="s">
        <v>74</v>
      </c>
      <c r="AD744" s="2" t="s">
        <v>74</v>
      </c>
      <c r="AE744" s="2" t="s">
        <v>74</v>
      </c>
      <c r="AF744" s="2" t="s">
        <v>74</v>
      </c>
      <c r="AG744" s="2" t="s">
        <v>74</v>
      </c>
      <c r="AH744" s="2" t="s">
        <v>74</v>
      </c>
      <c r="AI744" s="2" t="s">
        <v>74</v>
      </c>
      <c r="AJ744" s="2" t="s">
        <v>74</v>
      </c>
      <c r="AK744" s="2" t="s">
        <v>74</v>
      </c>
      <c r="AL744" s="2" t="s">
        <v>74</v>
      </c>
      <c r="AM744" s="2" t="s">
        <v>74</v>
      </c>
      <c r="AN744" s="2" t="s">
        <v>74</v>
      </c>
      <c r="AO744" s="2" t="s">
        <v>1239</v>
      </c>
      <c r="AP744" s="2" t="s">
        <v>1675</v>
      </c>
      <c r="AQ744" s="2" t="s">
        <v>74</v>
      </c>
      <c r="AR744" s="2" t="s">
        <v>74</v>
      </c>
      <c r="AS744" s="2" t="s">
        <v>74</v>
      </c>
      <c r="AT744" s="2" t="s">
        <v>255</v>
      </c>
      <c r="AU744" s="2">
        <v>1994</v>
      </c>
      <c r="AV744" s="2">
        <v>72</v>
      </c>
      <c r="AW744" s="2">
        <v>1</v>
      </c>
      <c r="AX744" s="2" t="s">
        <v>74</v>
      </c>
      <c r="AY744" s="2" t="s">
        <v>74</v>
      </c>
      <c r="AZ744" s="2" t="s">
        <v>74</v>
      </c>
      <c r="BA744" s="2" t="s">
        <v>74</v>
      </c>
      <c r="BB744" s="2">
        <v>144</v>
      </c>
      <c r="BC744" s="2">
        <v>153</v>
      </c>
      <c r="BD744" s="2" t="s">
        <v>74</v>
      </c>
      <c r="BE744" s="2" t="s">
        <v>3636</v>
      </c>
      <c r="BF744" s="2" t="str">
        <f>HYPERLINK("http://dx.doi.org/10.1139/z94-018","http://dx.doi.org/10.1139/z94-018")</f>
        <v>http://dx.doi.org/10.1139/z94-018</v>
      </c>
      <c r="BG744" s="2" t="s">
        <v>74</v>
      </c>
      <c r="BH744" s="2" t="s">
        <v>74</v>
      </c>
      <c r="BI744" s="2" t="s">
        <v>74</v>
      </c>
      <c r="BJ744" s="2" t="s">
        <v>74</v>
      </c>
      <c r="BK744" s="2" t="s">
        <v>74</v>
      </c>
      <c r="BL744" s="2" t="s">
        <v>74</v>
      </c>
      <c r="BM744" s="2" t="s">
        <v>74</v>
      </c>
      <c r="BN744" s="2" t="s">
        <v>74</v>
      </c>
      <c r="BO744" s="2" t="s">
        <v>74</v>
      </c>
      <c r="BP744" s="2" t="s">
        <v>74</v>
      </c>
      <c r="BQ744" s="2" t="s">
        <v>74</v>
      </c>
      <c r="BR744" s="2" t="s">
        <v>74</v>
      </c>
      <c r="BS744" s="2" t="s">
        <v>3637</v>
      </c>
      <c r="BT744" s="2" t="str">
        <f>HYPERLINK("https%3A%2F%2Fwww.webofscience.com%2Fwos%2Fwoscc%2Ffull-record%2FWOS:A1994NK85100018","View Full Record in Web of Science")</f>
        <v>View Full Record in Web of Science</v>
      </c>
    </row>
    <row r="745" spans="1:72" s="2" customFormat="1" x14ac:dyDescent="0.4">
      <c r="A745" s="2" t="s">
        <v>72</v>
      </c>
      <c r="B745" s="2" t="s">
        <v>2685</v>
      </c>
      <c r="C745" s="2" t="s">
        <v>74</v>
      </c>
      <c r="D745" s="2" t="s">
        <v>74</v>
      </c>
      <c r="E745" s="2" t="s">
        <v>74</v>
      </c>
      <c r="F745" s="2" t="s">
        <v>2685</v>
      </c>
      <c r="G745" s="2" t="s">
        <v>74</v>
      </c>
      <c r="H745" s="2" t="s">
        <v>74</v>
      </c>
      <c r="I745" s="2" t="s">
        <v>4476</v>
      </c>
      <c r="J745" s="2" t="s">
        <v>140</v>
      </c>
      <c r="K745" s="2" t="s">
        <v>74</v>
      </c>
      <c r="L745" s="2" t="s">
        <v>74</v>
      </c>
      <c r="M745" s="2" t="s">
        <v>74</v>
      </c>
      <c r="N745" s="2" t="s">
        <v>74</v>
      </c>
      <c r="O745" s="2" t="s">
        <v>74</v>
      </c>
      <c r="P745" s="2" t="s">
        <v>74</v>
      </c>
      <c r="Q745" s="2" t="s">
        <v>74</v>
      </c>
      <c r="R745" s="2" t="s">
        <v>74</v>
      </c>
      <c r="S745" s="2" t="s">
        <v>74</v>
      </c>
      <c r="T745" s="2" t="s">
        <v>74</v>
      </c>
      <c r="U745" s="2" t="s">
        <v>74</v>
      </c>
      <c r="V745" s="5" t="s">
        <v>4477</v>
      </c>
      <c r="W745" s="2" t="s">
        <v>74</v>
      </c>
      <c r="X745" s="2" t="s">
        <v>74</v>
      </c>
      <c r="Y745" s="2" t="s">
        <v>74</v>
      </c>
      <c r="Z745" s="2" t="s">
        <v>74</v>
      </c>
      <c r="AA745" s="2" t="s">
        <v>74</v>
      </c>
      <c r="AB745" s="2" t="s">
        <v>74</v>
      </c>
      <c r="AC745" s="2" t="s">
        <v>74</v>
      </c>
      <c r="AD745" s="2" t="s">
        <v>74</v>
      </c>
      <c r="AE745" s="2" t="s">
        <v>74</v>
      </c>
      <c r="AF745" s="2" t="s">
        <v>74</v>
      </c>
      <c r="AG745" s="2" t="s">
        <v>74</v>
      </c>
      <c r="AH745" s="2" t="s">
        <v>74</v>
      </c>
      <c r="AI745" s="2" t="s">
        <v>74</v>
      </c>
      <c r="AJ745" s="2" t="s">
        <v>74</v>
      </c>
      <c r="AK745" s="2" t="s">
        <v>74</v>
      </c>
      <c r="AL745" s="2" t="s">
        <v>74</v>
      </c>
      <c r="AM745" s="2" t="s">
        <v>74</v>
      </c>
      <c r="AN745" s="2" t="s">
        <v>74</v>
      </c>
      <c r="AO745" s="2" t="s">
        <v>143</v>
      </c>
      <c r="AP745" s="2" t="s">
        <v>74</v>
      </c>
      <c r="AQ745" s="2" t="s">
        <v>74</v>
      </c>
      <c r="AR745" s="2" t="s">
        <v>74</v>
      </c>
      <c r="AS745" s="2" t="s">
        <v>74</v>
      </c>
      <c r="AT745" s="2" t="s">
        <v>204</v>
      </c>
      <c r="AU745" s="2">
        <v>1995</v>
      </c>
      <c r="AV745" s="2">
        <v>50</v>
      </c>
      <c r="AW745" s="2" t="s">
        <v>74</v>
      </c>
      <c r="AX745" s="2">
        <v>1</v>
      </c>
      <c r="AY745" s="2" t="s">
        <v>74</v>
      </c>
      <c r="AZ745" s="2" t="s">
        <v>74</v>
      </c>
      <c r="BA745" s="2" t="s">
        <v>74</v>
      </c>
      <c r="BB745" s="2">
        <v>213</v>
      </c>
      <c r="BC745" s="2">
        <v>221</v>
      </c>
      <c r="BD745" s="2" t="s">
        <v>74</v>
      </c>
      <c r="BE745" s="2" t="s">
        <v>4478</v>
      </c>
      <c r="BF745" s="2" t="str">
        <f>HYPERLINK("http://dx.doi.org/10.1006/anbe.1995.0233","http://dx.doi.org/10.1006/anbe.1995.0233")</f>
        <v>http://dx.doi.org/10.1006/anbe.1995.0233</v>
      </c>
      <c r="BG745" s="2" t="s">
        <v>74</v>
      </c>
      <c r="BH745" s="2" t="s">
        <v>74</v>
      </c>
      <c r="BI745" s="2" t="s">
        <v>74</v>
      </c>
      <c r="BJ745" s="2" t="s">
        <v>74</v>
      </c>
      <c r="BK745" s="2" t="s">
        <v>74</v>
      </c>
      <c r="BL745" s="2" t="s">
        <v>74</v>
      </c>
      <c r="BM745" s="2" t="s">
        <v>74</v>
      </c>
      <c r="BN745" s="2" t="s">
        <v>74</v>
      </c>
      <c r="BO745" s="2" t="s">
        <v>74</v>
      </c>
      <c r="BP745" s="2" t="s">
        <v>74</v>
      </c>
      <c r="BQ745" s="2" t="s">
        <v>74</v>
      </c>
      <c r="BR745" s="2" t="s">
        <v>74</v>
      </c>
      <c r="BS745" s="2" t="s">
        <v>4479</v>
      </c>
      <c r="BT745" s="2" t="str">
        <f>HYPERLINK("https%3A%2F%2Fwww.webofscience.com%2Fwos%2Fwoscc%2Ffull-record%2FWOS:A1995RM19000020","View Full Record in Web of Science")</f>
        <v>View Full Record in Web of Science</v>
      </c>
    </row>
    <row r="746" spans="1:72" s="2" customFormat="1" x14ac:dyDescent="0.4">
      <c r="A746" s="2" t="s">
        <v>72</v>
      </c>
      <c r="B746" s="2" t="s">
        <v>2307</v>
      </c>
      <c r="C746" s="2" t="s">
        <v>74</v>
      </c>
      <c r="D746" s="2" t="s">
        <v>74</v>
      </c>
      <c r="E746" s="2" t="s">
        <v>74</v>
      </c>
      <c r="F746" s="2" t="s">
        <v>2308</v>
      </c>
      <c r="G746" s="2" t="s">
        <v>74</v>
      </c>
      <c r="H746" s="2" t="s">
        <v>74</v>
      </c>
      <c r="I746" s="2" t="s">
        <v>2309</v>
      </c>
      <c r="J746" s="2" t="s">
        <v>2310</v>
      </c>
      <c r="K746" s="2" t="s">
        <v>74</v>
      </c>
      <c r="L746" s="2" t="s">
        <v>74</v>
      </c>
      <c r="M746" s="2" t="s">
        <v>74</v>
      </c>
      <c r="N746" s="2" t="s">
        <v>74</v>
      </c>
      <c r="O746" s="2" t="s">
        <v>74</v>
      </c>
      <c r="P746" s="2" t="s">
        <v>74</v>
      </c>
      <c r="Q746" s="2" t="s">
        <v>74</v>
      </c>
      <c r="R746" s="2" t="s">
        <v>74</v>
      </c>
      <c r="S746" s="2" t="s">
        <v>74</v>
      </c>
      <c r="T746" s="2" t="s">
        <v>74</v>
      </c>
      <c r="U746" s="2" t="s">
        <v>74</v>
      </c>
      <c r="V746" s="5" t="s">
        <v>2311</v>
      </c>
      <c r="W746" s="2" t="s">
        <v>74</v>
      </c>
      <c r="X746" s="2" t="s">
        <v>74</v>
      </c>
      <c r="Y746" s="2" t="s">
        <v>74</v>
      </c>
      <c r="Z746" s="2" t="s">
        <v>74</v>
      </c>
      <c r="AA746" s="2" t="s">
        <v>74</v>
      </c>
      <c r="AB746" s="2" t="s">
        <v>2312</v>
      </c>
      <c r="AC746" s="2" t="s">
        <v>74</v>
      </c>
      <c r="AD746" s="2" t="s">
        <v>74</v>
      </c>
      <c r="AE746" s="2" t="s">
        <v>74</v>
      </c>
      <c r="AF746" s="2" t="s">
        <v>74</v>
      </c>
      <c r="AG746" s="2" t="s">
        <v>74</v>
      </c>
      <c r="AH746" s="2" t="s">
        <v>74</v>
      </c>
      <c r="AI746" s="2" t="s">
        <v>74</v>
      </c>
      <c r="AJ746" s="2" t="s">
        <v>74</v>
      </c>
      <c r="AK746" s="2" t="s">
        <v>74</v>
      </c>
      <c r="AL746" s="2" t="s">
        <v>74</v>
      </c>
      <c r="AM746" s="2" t="s">
        <v>74</v>
      </c>
      <c r="AN746" s="2" t="s">
        <v>74</v>
      </c>
      <c r="AO746" s="2" t="s">
        <v>2313</v>
      </c>
      <c r="AP746" s="2" t="s">
        <v>74</v>
      </c>
      <c r="AQ746" s="2" t="s">
        <v>74</v>
      </c>
      <c r="AR746" s="2" t="s">
        <v>74</v>
      </c>
      <c r="AS746" s="2" t="s">
        <v>74</v>
      </c>
      <c r="AT746" s="2" t="s">
        <v>123</v>
      </c>
      <c r="AU746" s="2">
        <v>2012</v>
      </c>
      <c r="AV746" s="2">
        <v>46</v>
      </c>
      <c r="AW746" s="2">
        <v>1</v>
      </c>
      <c r="AX746" s="2" t="s">
        <v>74</v>
      </c>
      <c r="AY746" s="2" t="s">
        <v>74</v>
      </c>
      <c r="AZ746" s="2" t="s">
        <v>74</v>
      </c>
      <c r="BA746" s="2" t="s">
        <v>74</v>
      </c>
      <c r="BB746" s="2">
        <v>111</v>
      </c>
      <c r="BC746" s="2">
        <v>123</v>
      </c>
      <c r="BD746" s="2" t="s">
        <v>74</v>
      </c>
      <c r="BE746" s="2" t="s">
        <v>2314</v>
      </c>
      <c r="BF746" s="2" t="str">
        <f>HYPERLINK("http://dx.doi.org/10.1080/00288330.2011.608687","http://dx.doi.org/10.1080/00288330.2011.608687")</f>
        <v>http://dx.doi.org/10.1080/00288330.2011.608687</v>
      </c>
      <c r="BG746" s="2" t="s">
        <v>74</v>
      </c>
      <c r="BH746" s="2" t="s">
        <v>74</v>
      </c>
      <c r="BI746" s="2" t="s">
        <v>74</v>
      </c>
      <c r="BJ746" s="2" t="s">
        <v>74</v>
      </c>
      <c r="BK746" s="2" t="s">
        <v>74</v>
      </c>
      <c r="BL746" s="2" t="s">
        <v>74</v>
      </c>
      <c r="BM746" s="2" t="s">
        <v>74</v>
      </c>
      <c r="BN746" s="2" t="s">
        <v>74</v>
      </c>
      <c r="BO746" s="2" t="s">
        <v>74</v>
      </c>
      <c r="BP746" s="2" t="s">
        <v>74</v>
      </c>
      <c r="BQ746" s="2" t="s">
        <v>74</v>
      </c>
      <c r="BR746" s="2" t="s">
        <v>74</v>
      </c>
      <c r="BS746" s="2" t="s">
        <v>2315</v>
      </c>
      <c r="BT746" s="2" t="str">
        <f>HYPERLINK("https%3A%2F%2Fwww.webofscience.com%2Fwos%2Fwoscc%2Ffull-record%2FWOS:000304675700010","View Full Record in Web of Science")</f>
        <v>View Full Record in Web of Science</v>
      </c>
    </row>
    <row r="747" spans="1:72" s="2" customFormat="1" x14ac:dyDescent="0.4">
      <c r="A747" s="2" t="s">
        <v>72</v>
      </c>
      <c r="B747" s="2" t="s">
        <v>4341</v>
      </c>
      <c r="C747" s="2" t="s">
        <v>74</v>
      </c>
      <c r="D747" s="2" t="s">
        <v>74</v>
      </c>
      <c r="E747" s="2" t="s">
        <v>74</v>
      </c>
      <c r="F747" s="2" t="s">
        <v>4342</v>
      </c>
      <c r="G747" s="2" t="s">
        <v>74</v>
      </c>
      <c r="H747" s="2" t="s">
        <v>74</v>
      </c>
      <c r="I747" s="2" t="s">
        <v>4343</v>
      </c>
      <c r="J747" s="2" t="s">
        <v>814</v>
      </c>
      <c r="K747" s="2" t="s">
        <v>74</v>
      </c>
      <c r="L747" s="2" t="s">
        <v>74</v>
      </c>
      <c r="M747" s="2" t="s">
        <v>74</v>
      </c>
      <c r="N747" s="2" t="s">
        <v>74</v>
      </c>
      <c r="O747" s="2" t="s">
        <v>74</v>
      </c>
      <c r="P747" s="2" t="s">
        <v>74</v>
      </c>
      <c r="Q747" s="2" t="s">
        <v>74</v>
      </c>
      <c r="R747" s="2" t="s">
        <v>74</v>
      </c>
      <c r="S747" s="2" t="s">
        <v>74</v>
      </c>
      <c r="T747" s="2" t="s">
        <v>74</v>
      </c>
      <c r="U747" s="2" t="s">
        <v>74</v>
      </c>
      <c r="V747" s="5" t="s">
        <v>4344</v>
      </c>
      <c r="W747" s="2" t="s">
        <v>74</v>
      </c>
      <c r="X747" s="2" t="s">
        <v>74</v>
      </c>
      <c r="Y747" s="2" t="s">
        <v>74</v>
      </c>
      <c r="Z747" s="2" t="s">
        <v>74</v>
      </c>
      <c r="AA747" s="2" t="s">
        <v>4345</v>
      </c>
      <c r="AB747" s="2" t="s">
        <v>4346</v>
      </c>
      <c r="AC747" s="2" t="s">
        <v>74</v>
      </c>
      <c r="AD747" s="2" t="s">
        <v>74</v>
      </c>
      <c r="AE747" s="2" t="s">
        <v>74</v>
      </c>
      <c r="AF747" s="2" t="s">
        <v>74</v>
      </c>
      <c r="AG747" s="2" t="s">
        <v>74</v>
      </c>
      <c r="AH747" s="2" t="s">
        <v>74</v>
      </c>
      <c r="AI747" s="2" t="s">
        <v>74</v>
      </c>
      <c r="AJ747" s="2" t="s">
        <v>74</v>
      </c>
      <c r="AK747" s="2" t="s">
        <v>74</v>
      </c>
      <c r="AL747" s="2" t="s">
        <v>74</v>
      </c>
      <c r="AM747" s="2" t="s">
        <v>74</v>
      </c>
      <c r="AN747" s="2" t="s">
        <v>74</v>
      </c>
      <c r="AO747" s="2" t="s">
        <v>818</v>
      </c>
      <c r="AP747" s="2" t="s">
        <v>1505</v>
      </c>
      <c r="AQ747" s="2" t="s">
        <v>74</v>
      </c>
      <c r="AR747" s="2" t="s">
        <v>74</v>
      </c>
      <c r="AS747" s="2" t="s">
        <v>74</v>
      </c>
      <c r="AT747" s="2" t="s">
        <v>74</v>
      </c>
      <c r="AU747" s="2">
        <v>2009</v>
      </c>
      <c r="AV747" s="2">
        <v>112</v>
      </c>
      <c r="AW747" s="2">
        <v>3</v>
      </c>
      <c r="AX747" s="2" t="s">
        <v>74</v>
      </c>
      <c r="AY747" s="2" t="s">
        <v>74</v>
      </c>
      <c r="AZ747" s="2" t="s">
        <v>74</v>
      </c>
      <c r="BA747" s="2" t="s">
        <v>74</v>
      </c>
      <c r="BB747" s="2">
        <v>217</v>
      </c>
      <c r="BC747" s="2">
        <v>226</v>
      </c>
      <c r="BD747" s="2" t="s">
        <v>74</v>
      </c>
      <c r="BE747" s="2" t="s">
        <v>4347</v>
      </c>
      <c r="BF747" s="2" t="str">
        <f>HYPERLINK("http://dx.doi.org/10.1016/j.zool.2008.09.005","http://dx.doi.org/10.1016/j.zool.2008.09.005")</f>
        <v>http://dx.doi.org/10.1016/j.zool.2008.09.005</v>
      </c>
      <c r="BG747" s="2" t="s">
        <v>74</v>
      </c>
      <c r="BH747" s="2" t="s">
        <v>74</v>
      </c>
      <c r="BI747" s="2" t="s">
        <v>74</v>
      </c>
      <c r="BJ747" s="2" t="s">
        <v>74</v>
      </c>
      <c r="BK747" s="2" t="s">
        <v>74</v>
      </c>
      <c r="BL747" s="2" t="s">
        <v>74</v>
      </c>
      <c r="BM747" s="2" t="s">
        <v>74</v>
      </c>
      <c r="BN747" s="2">
        <v>19230632</v>
      </c>
      <c r="BO747" s="2" t="s">
        <v>74</v>
      </c>
      <c r="BP747" s="2" t="s">
        <v>74</v>
      </c>
      <c r="BQ747" s="2" t="s">
        <v>74</v>
      </c>
      <c r="BR747" s="2" t="s">
        <v>74</v>
      </c>
      <c r="BS747" s="2" t="s">
        <v>4348</v>
      </c>
      <c r="BT747" s="2" t="str">
        <f>HYPERLINK("https%3A%2F%2Fwww.webofscience.com%2Fwos%2Fwoscc%2Ffull-record%2FWOS:000265663200006","View Full Record in Web of Science")</f>
        <v>View Full Record in Web of Science</v>
      </c>
    </row>
    <row r="748" spans="1:72" s="7" customFormat="1" x14ac:dyDescent="0.4">
      <c r="A748" s="2" t="s">
        <v>72</v>
      </c>
      <c r="B748" s="2" t="s">
        <v>3361</v>
      </c>
      <c r="C748" s="2" t="s">
        <v>74</v>
      </c>
      <c r="D748" s="2" t="s">
        <v>74</v>
      </c>
      <c r="E748" s="2" t="s">
        <v>74</v>
      </c>
      <c r="F748" s="2" t="s">
        <v>3361</v>
      </c>
      <c r="G748" s="2" t="s">
        <v>74</v>
      </c>
      <c r="H748" s="2" t="s">
        <v>74</v>
      </c>
      <c r="I748" s="2" t="s">
        <v>3362</v>
      </c>
      <c r="J748" s="2" t="s">
        <v>3363</v>
      </c>
      <c r="K748" s="2" t="s">
        <v>74</v>
      </c>
      <c r="L748" s="2" t="s">
        <v>74</v>
      </c>
      <c r="M748" s="2" t="s">
        <v>74</v>
      </c>
      <c r="N748" s="2" t="s">
        <v>74</v>
      </c>
      <c r="O748" s="2" t="s">
        <v>74</v>
      </c>
      <c r="P748" s="2" t="s">
        <v>74</v>
      </c>
      <c r="Q748" s="2" t="s">
        <v>74</v>
      </c>
      <c r="R748" s="2" t="s">
        <v>74</v>
      </c>
      <c r="S748" s="2" t="s">
        <v>74</v>
      </c>
      <c r="T748" s="2" t="s">
        <v>74</v>
      </c>
      <c r="U748" s="2" t="s">
        <v>74</v>
      </c>
      <c r="V748" s="5" t="s">
        <v>3364</v>
      </c>
      <c r="W748" s="2" t="s">
        <v>74</v>
      </c>
      <c r="X748" s="2" t="s">
        <v>74</v>
      </c>
      <c r="Y748" s="2" t="s">
        <v>74</v>
      </c>
      <c r="Z748" s="2" t="s">
        <v>74</v>
      </c>
      <c r="AA748" s="2" t="s">
        <v>74</v>
      </c>
      <c r="AB748" s="2" t="s">
        <v>74</v>
      </c>
      <c r="AC748" s="2" t="s">
        <v>74</v>
      </c>
      <c r="AD748" s="2" t="s">
        <v>74</v>
      </c>
      <c r="AE748" s="2" t="s">
        <v>74</v>
      </c>
      <c r="AF748" s="2" t="s">
        <v>74</v>
      </c>
      <c r="AG748" s="2" t="s">
        <v>74</v>
      </c>
      <c r="AH748" s="2" t="s">
        <v>74</v>
      </c>
      <c r="AI748" s="2" t="s">
        <v>74</v>
      </c>
      <c r="AJ748" s="2" t="s">
        <v>74</v>
      </c>
      <c r="AK748" s="2" t="s">
        <v>74</v>
      </c>
      <c r="AL748" s="2" t="s">
        <v>74</v>
      </c>
      <c r="AM748" s="2" t="s">
        <v>74</v>
      </c>
      <c r="AN748" s="2" t="s">
        <v>74</v>
      </c>
      <c r="AO748" s="2" t="s">
        <v>3365</v>
      </c>
      <c r="AP748" s="2" t="s">
        <v>3366</v>
      </c>
      <c r="AQ748" s="2" t="s">
        <v>74</v>
      </c>
      <c r="AR748" s="2" t="s">
        <v>74</v>
      </c>
      <c r="AS748" s="2" t="s">
        <v>74</v>
      </c>
      <c r="AT748" s="2" t="s">
        <v>74</v>
      </c>
      <c r="AU748" s="2">
        <v>1979</v>
      </c>
      <c r="AV748" s="2">
        <v>50</v>
      </c>
      <c r="AW748" s="2">
        <v>2</v>
      </c>
      <c r="AX748" s="2" t="s">
        <v>74</v>
      </c>
      <c r="AY748" s="2" t="s">
        <v>74</v>
      </c>
      <c r="AZ748" s="2" t="s">
        <v>74</v>
      </c>
      <c r="BA748" s="2" t="s">
        <v>74</v>
      </c>
      <c r="BB748" s="2">
        <v>97</v>
      </c>
      <c r="BC748" s="2">
        <v>99</v>
      </c>
      <c r="BD748" s="2" t="s">
        <v>74</v>
      </c>
      <c r="BE748" s="2" t="s">
        <v>74</v>
      </c>
      <c r="BF748" s="2" t="s">
        <v>74</v>
      </c>
      <c r="BG748" s="2" t="s">
        <v>74</v>
      </c>
      <c r="BH748" s="2" t="s">
        <v>74</v>
      </c>
      <c r="BI748" s="2" t="s">
        <v>74</v>
      </c>
      <c r="BJ748" s="2" t="s">
        <v>74</v>
      </c>
      <c r="BK748" s="2" t="s">
        <v>74</v>
      </c>
      <c r="BL748" s="2" t="s">
        <v>74</v>
      </c>
      <c r="BM748" s="2" t="s">
        <v>74</v>
      </c>
      <c r="BN748" s="2">
        <v>575907</v>
      </c>
      <c r="BO748" s="2" t="s">
        <v>74</v>
      </c>
      <c r="BP748" s="2" t="s">
        <v>74</v>
      </c>
      <c r="BQ748" s="2" t="s">
        <v>74</v>
      </c>
      <c r="BR748" s="2" t="s">
        <v>74</v>
      </c>
      <c r="BS748" s="2" t="s">
        <v>3367</v>
      </c>
      <c r="BT748" s="2" t="str">
        <f>HYPERLINK("https%3A%2F%2Fwww.webofscience.com%2Fwos%2Fwoscc%2Ffull-record%2FWOS:A1979HS03900007","View Full Record in Web of Science")</f>
        <v>View Full Record in Web of Science</v>
      </c>
    </row>
    <row r="749" spans="1:72" s="2" customFormat="1" x14ac:dyDescent="0.4">
      <c r="A749" s="2" t="s">
        <v>72</v>
      </c>
      <c r="B749" s="2" t="s">
        <v>2290</v>
      </c>
      <c r="C749" s="2" t="s">
        <v>74</v>
      </c>
      <c r="D749" s="2" t="s">
        <v>74</v>
      </c>
      <c r="E749" s="2" t="s">
        <v>74</v>
      </c>
      <c r="F749" s="2" t="s">
        <v>2291</v>
      </c>
      <c r="G749" s="2" t="s">
        <v>74</v>
      </c>
      <c r="H749" s="2" t="s">
        <v>74</v>
      </c>
      <c r="I749" s="2" t="s">
        <v>2292</v>
      </c>
      <c r="J749" s="2" t="s">
        <v>775</v>
      </c>
      <c r="K749" s="2" t="s">
        <v>74</v>
      </c>
      <c r="L749" s="2" t="s">
        <v>74</v>
      </c>
      <c r="M749" s="2" t="s">
        <v>74</v>
      </c>
      <c r="N749" s="2" t="s">
        <v>74</v>
      </c>
      <c r="O749" s="2" t="s">
        <v>74</v>
      </c>
      <c r="P749" s="2" t="s">
        <v>74</v>
      </c>
      <c r="Q749" s="2" t="s">
        <v>74</v>
      </c>
      <c r="R749" s="2" t="s">
        <v>74</v>
      </c>
      <c r="S749" s="2" t="s">
        <v>74</v>
      </c>
      <c r="T749" s="2" t="s">
        <v>74</v>
      </c>
      <c r="U749" s="2" t="s">
        <v>74</v>
      </c>
      <c r="V749" s="5" t="s">
        <v>2293</v>
      </c>
      <c r="W749" s="2" t="s">
        <v>74</v>
      </c>
      <c r="X749" s="2" t="s">
        <v>74</v>
      </c>
      <c r="Y749" s="2" t="s">
        <v>74</v>
      </c>
      <c r="Z749" s="2" t="s">
        <v>74</v>
      </c>
      <c r="AA749" s="2" t="s">
        <v>2294</v>
      </c>
      <c r="AB749" s="2" t="s">
        <v>2295</v>
      </c>
      <c r="AC749" s="2" t="s">
        <v>74</v>
      </c>
      <c r="AD749" s="2" t="s">
        <v>74</v>
      </c>
      <c r="AE749" s="2" t="s">
        <v>74</v>
      </c>
      <c r="AF749" s="2" t="s">
        <v>74</v>
      </c>
      <c r="AG749" s="2" t="s">
        <v>74</v>
      </c>
      <c r="AH749" s="2" t="s">
        <v>74</v>
      </c>
      <c r="AI749" s="2" t="s">
        <v>74</v>
      </c>
      <c r="AJ749" s="2" t="s">
        <v>74</v>
      </c>
      <c r="AK749" s="2" t="s">
        <v>74</v>
      </c>
      <c r="AL749" s="2" t="s">
        <v>74</v>
      </c>
      <c r="AM749" s="2" t="s">
        <v>74</v>
      </c>
      <c r="AN749" s="2" t="s">
        <v>74</v>
      </c>
      <c r="AO749" s="2" t="s">
        <v>778</v>
      </c>
      <c r="AP749" s="2" t="s">
        <v>779</v>
      </c>
      <c r="AQ749" s="2" t="s">
        <v>74</v>
      </c>
      <c r="AR749" s="2" t="s">
        <v>74</v>
      </c>
      <c r="AS749" s="2" t="s">
        <v>74</v>
      </c>
      <c r="AT749" s="2" t="s">
        <v>2296</v>
      </c>
      <c r="AU749" s="2">
        <v>2024</v>
      </c>
      <c r="AV749" s="2">
        <v>70</v>
      </c>
      <c r="AW749" s="2">
        <v>1</v>
      </c>
      <c r="AX749" s="2" t="s">
        <v>74</v>
      </c>
      <c r="AY749" s="2" t="s">
        <v>74</v>
      </c>
      <c r="AZ749" s="2" t="s">
        <v>74</v>
      </c>
      <c r="BA749" s="2" t="s">
        <v>74</v>
      </c>
      <c r="BB749" s="2">
        <v>59</v>
      </c>
      <c r="BC749" s="2">
        <v>69</v>
      </c>
      <c r="BD749" s="2" t="s">
        <v>74</v>
      </c>
      <c r="BE749" s="2" t="s">
        <v>2297</v>
      </c>
      <c r="BF749" s="2" t="str">
        <f>HYPERLINK("http://dx.doi.org/10.1093/cz/zoac095","http://dx.doi.org/10.1093/cz/zoac095")</f>
        <v>http://dx.doi.org/10.1093/cz/zoac095</v>
      </c>
      <c r="BG749" s="2" t="s">
        <v>74</v>
      </c>
      <c r="BH749" s="2" t="s">
        <v>2298</v>
      </c>
      <c r="BI749" s="2" t="s">
        <v>74</v>
      </c>
      <c r="BJ749" s="2" t="s">
        <v>74</v>
      </c>
      <c r="BK749" s="2" t="s">
        <v>74</v>
      </c>
      <c r="BL749" s="2" t="s">
        <v>74</v>
      </c>
      <c r="BM749" s="2" t="s">
        <v>74</v>
      </c>
      <c r="BN749" s="2">
        <v>38476133</v>
      </c>
      <c r="BO749" s="2" t="s">
        <v>74</v>
      </c>
      <c r="BP749" s="2" t="s">
        <v>74</v>
      </c>
      <c r="BQ749" s="2" t="s">
        <v>74</v>
      </c>
      <c r="BR749" s="2" t="s">
        <v>74</v>
      </c>
      <c r="BS749" s="2" t="s">
        <v>2299</v>
      </c>
      <c r="BT749" s="2" t="str">
        <f>HYPERLINK("https%3A%2F%2Fwww.webofscience.com%2Fwos%2Fwoscc%2Ffull-record%2FWOS:000908307000001","View Full Record in Web of Science")</f>
        <v>View Full Record in Web of Science</v>
      </c>
    </row>
    <row r="750" spans="1:72" s="2" customFormat="1" x14ac:dyDescent="0.4">
      <c r="A750" s="2" t="s">
        <v>72</v>
      </c>
      <c r="B750" s="2" t="s">
        <v>1721</v>
      </c>
      <c r="C750" s="2" t="s">
        <v>74</v>
      </c>
      <c r="D750" s="2" t="s">
        <v>74</v>
      </c>
      <c r="E750" s="2" t="s">
        <v>74</v>
      </c>
      <c r="F750" s="2" t="s">
        <v>1721</v>
      </c>
      <c r="G750" s="2" t="s">
        <v>74</v>
      </c>
      <c r="H750" s="2" t="s">
        <v>74</v>
      </c>
      <c r="I750" s="2" t="s">
        <v>1722</v>
      </c>
      <c r="J750" s="2" t="s">
        <v>171</v>
      </c>
      <c r="K750" s="2" t="s">
        <v>74</v>
      </c>
      <c r="L750" s="2" t="s">
        <v>74</v>
      </c>
      <c r="M750" s="2" t="s">
        <v>74</v>
      </c>
      <c r="N750" s="2" t="s">
        <v>74</v>
      </c>
      <c r="O750" s="2" t="s">
        <v>74</v>
      </c>
      <c r="P750" s="2" t="s">
        <v>74</v>
      </c>
      <c r="Q750" s="2" t="s">
        <v>74</v>
      </c>
      <c r="R750" s="2" t="s">
        <v>74</v>
      </c>
      <c r="S750" s="2" t="s">
        <v>74</v>
      </c>
      <c r="T750" s="2" t="s">
        <v>74</v>
      </c>
      <c r="U750" s="2" t="s">
        <v>74</v>
      </c>
      <c r="V750" s="5" t="s">
        <v>1723</v>
      </c>
      <c r="W750" s="2" t="s">
        <v>74</v>
      </c>
      <c r="X750" s="2" t="s">
        <v>74</v>
      </c>
      <c r="Y750" s="2" t="s">
        <v>74</v>
      </c>
      <c r="Z750" s="2" t="s">
        <v>74</v>
      </c>
      <c r="AA750" s="2" t="s">
        <v>1724</v>
      </c>
      <c r="AB750" s="2" t="s">
        <v>1725</v>
      </c>
      <c r="AC750" s="2" t="s">
        <v>74</v>
      </c>
      <c r="AD750" s="2" t="s">
        <v>74</v>
      </c>
      <c r="AE750" s="2" t="s">
        <v>74</v>
      </c>
      <c r="AF750" s="2" t="s">
        <v>74</v>
      </c>
      <c r="AG750" s="2" t="s">
        <v>74</v>
      </c>
      <c r="AH750" s="2" t="s">
        <v>74</v>
      </c>
      <c r="AI750" s="2" t="s">
        <v>74</v>
      </c>
      <c r="AJ750" s="2" t="s">
        <v>74</v>
      </c>
      <c r="AK750" s="2" t="s">
        <v>74</v>
      </c>
      <c r="AL750" s="2" t="s">
        <v>74</v>
      </c>
      <c r="AM750" s="2" t="s">
        <v>74</v>
      </c>
      <c r="AN750" s="2" t="s">
        <v>74</v>
      </c>
      <c r="AO750" s="2" t="s">
        <v>173</v>
      </c>
      <c r="AP750" s="2" t="s">
        <v>174</v>
      </c>
      <c r="AQ750" s="2" t="s">
        <v>74</v>
      </c>
      <c r="AR750" s="2" t="s">
        <v>74</v>
      </c>
      <c r="AS750" s="2" t="s">
        <v>74</v>
      </c>
      <c r="AT750" s="2" t="s">
        <v>175</v>
      </c>
      <c r="AU750" s="2">
        <v>1998</v>
      </c>
      <c r="AV750" s="2">
        <v>52</v>
      </c>
      <c r="AW750" s="2">
        <v>5</v>
      </c>
      <c r="AX750" s="2" t="s">
        <v>74</v>
      </c>
      <c r="AY750" s="2" t="s">
        <v>74</v>
      </c>
      <c r="AZ750" s="2" t="s">
        <v>74</v>
      </c>
      <c r="BA750" s="2" t="s">
        <v>74</v>
      </c>
      <c r="BB750" s="2">
        <v>1293</v>
      </c>
      <c r="BC750" s="2">
        <v>1303</v>
      </c>
      <c r="BD750" s="2" t="s">
        <v>74</v>
      </c>
      <c r="BE750" s="2" t="s">
        <v>1726</v>
      </c>
      <c r="BF750" s="2" t="str">
        <f>HYPERLINK("http://dx.doi.org/10.2307/2411299","http://dx.doi.org/10.2307/2411299")</f>
        <v>http://dx.doi.org/10.2307/2411299</v>
      </c>
      <c r="BG750" s="2" t="s">
        <v>74</v>
      </c>
      <c r="BH750" s="2" t="s">
        <v>74</v>
      </c>
      <c r="BI750" s="2" t="s">
        <v>74</v>
      </c>
      <c r="BJ750" s="2" t="s">
        <v>74</v>
      </c>
      <c r="BK750" s="2" t="s">
        <v>74</v>
      </c>
      <c r="BL750" s="2" t="s">
        <v>74</v>
      </c>
      <c r="BM750" s="2" t="s">
        <v>74</v>
      </c>
      <c r="BN750" s="2">
        <v>28565388</v>
      </c>
      <c r="BO750" s="2" t="s">
        <v>74</v>
      </c>
      <c r="BP750" s="2" t="s">
        <v>74</v>
      </c>
      <c r="BQ750" s="2" t="s">
        <v>74</v>
      </c>
      <c r="BR750" s="2" t="s">
        <v>74</v>
      </c>
      <c r="BS750" s="2" t="s">
        <v>1727</v>
      </c>
      <c r="BT750" s="2" t="str">
        <f>HYPERLINK("https%3A%2F%2Fwww.webofscience.com%2Fwos%2Fwoscc%2Ffull-record%2FWOS:000076931100006","View Full Record in Web of Science")</f>
        <v>View Full Record in Web of Science</v>
      </c>
    </row>
    <row r="751" spans="1:72" s="2" customFormat="1" x14ac:dyDescent="0.4">
      <c r="A751" s="2" t="s">
        <v>72</v>
      </c>
      <c r="B751" s="2" t="s">
        <v>4777</v>
      </c>
      <c r="C751" s="2" t="s">
        <v>74</v>
      </c>
      <c r="D751" s="2" t="s">
        <v>74</v>
      </c>
      <c r="E751" s="2" t="s">
        <v>74</v>
      </c>
      <c r="F751" s="2" t="s">
        <v>4778</v>
      </c>
      <c r="G751" s="2" t="s">
        <v>74</v>
      </c>
      <c r="H751" s="2" t="s">
        <v>74</v>
      </c>
      <c r="I751" s="2" t="s">
        <v>4779</v>
      </c>
      <c r="J751" s="2" t="s">
        <v>171</v>
      </c>
      <c r="K751" s="2" t="s">
        <v>74</v>
      </c>
      <c r="L751" s="2" t="s">
        <v>74</v>
      </c>
      <c r="M751" s="2" t="s">
        <v>74</v>
      </c>
      <c r="N751" s="2" t="s">
        <v>74</v>
      </c>
      <c r="O751" s="2" t="s">
        <v>74</v>
      </c>
      <c r="P751" s="2" t="s">
        <v>74</v>
      </c>
      <c r="Q751" s="2" t="s">
        <v>74</v>
      </c>
      <c r="R751" s="2" t="s">
        <v>74</v>
      </c>
      <c r="S751" s="2" t="s">
        <v>74</v>
      </c>
      <c r="T751" s="2" t="s">
        <v>74</v>
      </c>
      <c r="U751" s="2" t="s">
        <v>74</v>
      </c>
      <c r="V751" s="5" t="s">
        <v>4780</v>
      </c>
      <c r="W751" s="2" t="s">
        <v>74</v>
      </c>
      <c r="X751" s="2" t="s">
        <v>74</v>
      </c>
      <c r="Y751" s="2" t="s">
        <v>74</v>
      </c>
      <c r="Z751" s="2" t="s">
        <v>74</v>
      </c>
      <c r="AA751" s="2" t="s">
        <v>379</v>
      </c>
      <c r="AB751" s="2" t="s">
        <v>3957</v>
      </c>
      <c r="AC751" s="2" t="s">
        <v>74</v>
      </c>
      <c r="AD751" s="2" t="s">
        <v>74</v>
      </c>
      <c r="AE751" s="2" t="s">
        <v>74</v>
      </c>
      <c r="AF751" s="2" t="s">
        <v>74</v>
      </c>
      <c r="AG751" s="2" t="s">
        <v>74</v>
      </c>
      <c r="AH751" s="2" t="s">
        <v>74</v>
      </c>
      <c r="AI751" s="2" t="s">
        <v>74</v>
      </c>
      <c r="AJ751" s="2" t="s">
        <v>74</v>
      </c>
      <c r="AK751" s="2" t="s">
        <v>74</v>
      </c>
      <c r="AL751" s="2" t="s">
        <v>74</v>
      </c>
      <c r="AM751" s="2" t="s">
        <v>74</v>
      </c>
      <c r="AN751" s="2" t="s">
        <v>74</v>
      </c>
      <c r="AO751" s="2" t="s">
        <v>173</v>
      </c>
      <c r="AP751" s="2" t="s">
        <v>174</v>
      </c>
      <c r="AQ751" s="2" t="s">
        <v>74</v>
      </c>
      <c r="AR751" s="2" t="s">
        <v>74</v>
      </c>
      <c r="AS751" s="2" t="s">
        <v>74</v>
      </c>
      <c r="AT751" s="2" t="s">
        <v>964</v>
      </c>
      <c r="AU751" s="2">
        <v>2018</v>
      </c>
      <c r="AV751" s="2">
        <v>72</v>
      </c>
      <c r="AW751" s="2">
        <v>2</v>
      </c>
      <c r="AX751" s="2" t="s">
        <v>74</v>
      </c>
      <c r="AY751" s="2" t="s">
        <v>74</v>
      </c>
      <c r="AZ751" s="2" t="s">
        <v>74</v>
      </c>
      <c r="BA751" s="2" t="s">
        <v>74</v>
      </c>
      <c r="BB751" s="2">
        <v>337</v>
      </c>
      <c r="BC751" s="2">
        <v>347</v>
      </c>
      <c r="BD751" s="2" t="s">
        <v>74</v>
      </c>
      <c r="BE751" s="2" t="s">
        <v>4781</v>
      </c>
      <c r="BF751" s="2" t="str">
        <f>HYPERLINK("http://dx.doi.org/10.1111/evo.13406","http://dx.doi.org/10.1111/evo.13406")</f>
        <v>http://dx.doi.org/10.1111/evo.13406</v>
      </c>
      <c r="BG751" s="2" t="s">
        <v>74</v>
      </c>
      <c r="BH751" s="2" t="s">
        <v>74</v>
      </c>
      <c r="BI751" s="2" t="s">
        <v>74</v>
      </c>
      <c r="BJ751" s="2" t="s">
        <v>74</v>
      </c>
      <c r="BK751" s="2" t="s">
        <v>74</v>
      </c>
      <c r="BL751" s="2" t="s">
        <v>74</v>
      </c>
      <c r="BM751" s="2" t="s">
        <v>74</v>
      </c>
      <c r="BN751" s="2">
        <v>29265367</v>
      </c>
      <c r="BO751" s="2" t="s">
        <v>74</v>
      </c>
      <c r="BP751" s="2" t="s">
        <v>74</v>
      </c>
      <c r="BQ751" s="2" t="s">
        <v>74</v>
      </c>
      <c r="BR751" s="2" t="s">
        <v>74</v>
      </c>
      <c r="BS751" s="2" t="s">
        <v>4782</v>
      </c>
      <c r="BT751" s="2" t="str">
        <f>HYPERLINK("https%3A%2F%2Fwww.webofscience.com%2Fwos%2Fwoscc%2Ffull-record%2FWOS:000424131100009","View Full Record in Web of Science")</f>
        <v>View Full Record in Web of Science</v>
      </c>
    </row>
    <row r="752" spans="1:72" s="2" customFormat="1" x14ac:dyDescent="0.4">
      <c r="A752" s="2" t="s">
        <v>72</v>
      </c>
      <c r="B752" s="2" t="s">
        <v>8682</v>
      </c>
      <c r="C752" s="2" t="s">
        <v>74</v>
      </c>
      <c r="D752" s="2" t="s">
        <v>74</v>
      </c>
      <c r="E752" s="2" t="s">
        <v>74</v>
      </c>
      <c r="F752" s="2" t="s">
        <v>8683</v>
      </c>
      <c r="G752" s="2" t="s">
        <v>74</v>
      </c>
      <c r="H752" s="2" t="s">
        <v>74</v>
      </c>
      <c r="I752" s="2" t="s">
        <v>8684</v>
      </c>
      <c r="J752" s="2" t="s">
        <v>8685</v>
      </c>
      <c r="K752" s="2" t="s">
        <v>74</v>
      </c>
      <c r="L752" s="2" t="s">
        <v>74</v>
      </c>
      <c r="M752" s="2" t="s">
        <v>74</v>
      </c>
      <c r="N752" s="2" t="s">
        <v>74</v>
      </c>
      <c r="O752" s="2" t="s">
        <v>74</v>
      </c>
      <c r="P752" s="2" t="s">
        <v>74</v>
      </c>
      <c r="Q752" s="2" t="s">
        <v>74</v>
      </c>
      <c r="R752" s="2" t="s">
        <v>74</v>
      </c>
      <c r="S752" s="2" t="s">
        <v>74</v>
      </c>
      <c r="T752" s="2" t="s">
        <v>74</v>
      </c>
      <c r="U752" s="2" t="s">
        <v>74</v>
      </c>
      <c r="V752" s="5" t="s">
        <v>8686</v>
      </c>
      <c r="W752" s="2" t="s">
        <v>74</v>
      </c>
      <c r="X752" s="2" t="s">
        <v>74</v>
      </c>
      <c r="Y752" s="2" t="s">
        <v>74</v>
      </c>
      <c r="Z752" s="2" t="s">
        <v>74</v>
      </c>
      <c r="AA752" s="2" t="s">
        <v>8687</v>
      </c>
      <c r="AB752" s="2" t="s">
        <v>8688</v>
      </c>
      <c r="AC752" s="2" t="s">
        <v>74</v>
      </c>
      <c r="AD752" s="2" t="s">
        <v>74</v>
      </c>
      <c r="AE752" s="2" t="s">
        <v>74</v>
      </c>
      <c r="AF752" s="2" t="s">
        <v>74</v>
      </c>
      <c r="AG752" s="2" t="s">
        <v>74</v>
      </c>
      <c r="AH752" s="2" t="s">
        <v>74</v>
      </c>
      <c r="AI752" s="2" t="s">
        <v>74</v>
      </c>
      <c r="AJ752" s="2" t="s">
        <v>74</v>
      </c>
      <c r="AK752" s="2" t="s">
        <v>74</v>
      </c>
      <c r="AL752" s="2" t="s">
        <v>74</v>
      </c>
      <c r="AM752" s="2" t="s">
        <v>74</v>
      </c>
      <c r="AN752" s="2" t="s">
        <v>74</v>
      </c>
      <c r="AO752" s="2" t="s">
        <v>8689</v>
      </c>
      <c r="AP752" s="2" t="s">
        <v>74</v>
      </c>
      <c r="AQ752" s="2" t="s">
        <v>74</v>
      </c>
      <c r="AR752" s="2" t="s">
        <v>74</v>
      </c>
      <c r="AS752" s="2" t="s">
        <v>74</v>
      </c>
      <c r="AT752" s="2" t="s">
        <v>352</v>
      </c>
      <c r="AU752" s="2">
        <v>2008</v>
      </c>
      <c r="AV752" s="2">
        <v>25</v>
      </c>
      <c r="AW752" s="2">
        <v>3</v>
      </c>
      <c r="AX752" s="2" t="s">
        <v>74</v>
      </c>
      <c r="AY752" s="2" t="s">
        <v>74</v>
      </c>
      <c r="AZ752" s="2" t="s">
        <v>74</v>
      </c>
      <c r="BA752" s="2" t="s">
        <v>74</v>
      </c>
      <c r="BB752" s="2">
        <v>413</v>
      </c>
      <c r="BC752" s="2">
        <v>418</v>
      </c>
      <c r="BD752" s="2" t="s">
        <v>74</v>
      </c>
      <c r="BE752" s="2" t="s">
        <v>8690</v>
      </c>
      <c r="BF752" s="2" t="str">
        <f>HYPERLINK("http://dx.doi.org/10.1590/S0101-81752008000300005","http://dx.doi.org/10.1590/S0101-81752008000300005")</f>
        <v>http://dx.doi.org/10.1590/S0101-81752008000300005</v>
      </c>
      <c r="BG752" s="2" t="s">
        <v>74</v>
      </c>
      <c r="BH752" s="2" t="s">
        <v>74</v>
      </c>
      <c r="BI752" s="2" t="s">
        <v>74</v>
      </c>
      <c r="BJ752" s="2" t="s">
        <v>74</v>
      </c>
      <c r="BK752" s="2" t="s">
        <v>74</v>
      </c>
      <c r="BL752" s="2" t="s">
        <v>74</v>
      </c>
      <c r="BM752" s="2" t="s">
        <v>74</v>
      </c>
      <c r="BN752" s="2" t="s">
        <v>74</v>
      </c>
      <c r="BO752" s="2" t="s">
        <v>74</v>
      </c>
      <c r="BP752" s="2" t="s">
        <v>74</v>
      </c>
      <c r="BQ752" s="2" t="s">
        <v>74</v>
      </c>
      <c r="BR752" s="2" t="s">
        <v>74</v>
      </c>
      <c r="BS752" s="2" t="s">
        <v>8691</v>
      </c>
      <c r="BT752" s="2" t="str">
        <f>HYPERLINK("https%3A%2F%2Fwww.webofscience.com%2Fwos%2Fwoscc%2Ffull-record%2FWOS:000260040800006","View Full Record in Web of Science")</f>
        <v>View Full Record in Web of Science</v>
      </c>
    </row>
    <row r="753" spans="1:72" s="2" customFormat="1" x14ac:dyDescent="0.4">
      <c r="A753" s="2" t="s">
        <v>72</v>
      </c>
      <c r="B753" s="2" t="s">
        <v>7592</v>
      </c>
      <c r="C753" s="2" t="s">
        <v>74</v>
      </c>
      <c r="D753" s="2" t="s">
        <v>74</v>
      </c>
      <c r="E753" s="2" t="s">
        <v>74</v>
      </c>
      <c r="F753" s="2" t="s">
        <v>7592</v>
      </c>
      <c r="G753" s="2" t="s">
        <v>74</v>
      </c>
      <c r="H753" s="2" t="s">
        <v>74</v>
      </c>
      <c r="I753" s="2" t="s">
        <v>7593</v>
      </c>
      <c r="J753" s="2" t="s">
        <v>2207</v>
      </c>
      <c r="K753" s="2" t="s">
        <v>74</v>
      </c>
      <c r="L753" s="2" t="s">
        <v>74</v>
      </c>
      <c r="M753" s="2" t="s">
        <v>74</v>
      </c>
      <c r="N753" s="2" t="s">
        <v>74</v>
      </c>
      <c r="O753" s="2" t="s">
        <v>74</v>
      </c>
      <c r="P753" s="2" t="s">
        <v>74</v>
      </c>
      <c r="Q753" s="2" t="s">
        <v>74</v>
      </c>
      <c r="R753" s="2" t="s">
        <v>74</v>
      </c>
      <c r="S753" s="2" t="s">
        <v>74</v>
      </c>
      <c r="T753" s="2" t="s">
        <v>74</v>
      </c>
      <c r="U753" s="2" t="s">
        <v>74</v>
      </c>
      <c r="V753" s="5" t="s">
        <v>7594</v>
      </c>
      <c r="W753" s="2" t="s">
        <v>74</v>
      </c>
      <c r="X753" s="2" t="s">
        <v>74</v>
      </c>
      <c r="Y753" s="2" t="s">
        <v>74</v>
      </c>
      <c r="Z753" s="2" t="s">
        <v>74</v>
      </c>
      <c r="AA753" s="2" t="s">
        <v>74</v>
      </c>
      <c r="AB753" s="2" t="s">
        <v>3387</v>
      </c>
      <c r="AC753" s="2" t="s">
        <v>74</v>
      </c>
      <c r="AD753" s="2" t="s">
        <v>74</v>
      </c>
      <c r="AE753" s="2" t="s">
        <v>74</v>
      </c>
      <c r="AF753" s="2" t="s">
        <v>74</v>
      </c>
      <c r="AG753" s="2" t="s">
        <v>74</v>
      </c>
      <c r="AH753" s="2" t="s">
        <v>74</v>
      </c>
      <c r="AI753" s="2" t="s">
        <v>74</v>
      </c>
      <c r="AJ753" s="2" t="s">
        <v>74</v>
      </c>
      <c r="AK753" s="2" t="s">
        <v>74</v>
      </c>
      <c r="AL753" s="2" t="s">
        <v>74</v>
      </c>
      <c r="AM753" s="2" t="s">
        <v>74</v>
      </c>
      <c r="AN753" s="2" t="s">
        <v>74</v>
      </c>
      <c r="AO753" s="2" t="s">
        <v>2211</v>
      </c>
      <c r="AP753" s="2" t="s">
        <v>2461</v>
      </c>
      <c r="AQ753" s="2" t="s">
        <v>74</v>
      </c>
      <c r="AR753" s="2" t="s">
        <v>74</v>
      </c>
      <c r="AS753" s="2" t="s">
        <v>74</v>
      </c>
      <c r="AT753" s="2" t="s">
        <v>213</v>
      </c>
      <c r="AU753" s="2">
        <v>2004</v>
      </c>
      <c r="AV753" s="2">
        <v>35</v>
      </c>
      <c r="AW753" s="2">
        <v>6</v>
      </c>
      <c r="AX753" s="2" t="s">
        <v>74</v>
      </c>
      <c r="AY753" s="2" t="s">
        <v>74</v>
      </c>
      <c r="AZ753" s="2" t="s">
        <v>74</v>
      </c>
      <c r="BA753" s="2" t="s">
        <v>74</v>
      </c>
      <c r="BB753" s="2">
        <v>477</v>
      </c>
      <c r="BC753" s="2">
        <v>482</v>
      </c>
      <c r="BD753" s="2" t="s">
        <v>74</v>
      </c>
      <c r="BE753" s="2" t="s">
        <v>7595</v>
      </c>
      <c r="BF753" s="2" t="str">
        <f>HYPERLINK("http://dx.doi.org/10.1111/j.0908-8857.2004.03351.x","http://dx.doi.org/10.1111/j.0908-8857.2004.03351.x")</f>
        <v>http://dx.doi.org/10.1111/j.0908-8857.2004.03351.x</v>
      </c>
      <c r="BG753" s="2" t="s">
        <v>74</v>
      </c>
      <c r="BH753" s="2" t="s">
        <v>74</v>
      </c>
      <c r="BI753" s="2" t="s">
        <v>74</v>
      </c>
      <c r="BJ753" s="2" t="s">
        <v>74</v>
      </c>
      <c r="BK753" s="2" t="s">
        <v>74</v>
      </c>
      <c r="BL753" s="2" t="s">
        <v>74</v>
      </c>
      <c r="BM753" s="2" t="s">
        <v>74</v>
      </c>
      <c r="BN753" s="2" t="s">
        <v>74</v>
      </c>
      <c r="BO753" s="2" t="s">
        <v>74</v>
      </c>
      <c r="BP753" s="2" t="s">
        <v>74</v>
      </c>
      <c r="BQ753" s="2" t="s">
        <v>74</v>
      </c>
      <c r="BR753" s="2" t="s">
        <v>74</v>
      </c>
      <c r="BS753" s="2" t="s">
        <v>7596</v>
      </c>
      <c r="BT753" s="2" t="str">
        <f>HYPERLINK("https%3A%2F%2Fwww.webofscience.com%2Fwos%2Fwoscc%2Ffull-record%2FWOS:000225224600004","View Full Record in Web of Science")</f>
        <v>View Full Record in Web of Science</v>
      </c>
    </row>
    <row r="754" spans="1:72" s="2" customFormat="1" x14ac:dyDescent="0.4">
      <c r="A754" s="2" t="s">
        <v>72</v>
      </c>
      <c r="B754" s="2" t="s">
        <v>3080</v>
      </c>
      <c r="C754" s="2" t="s">
        <v>74</v>
      </c>
      <c r="D754" s="2" t="s">
        <v>74</v>
      </c>
      <c r="E754" s="2" t="s">
        <v>74</v>
      </c>
      <c r="F754" s="2" t="s">
        <v>3081</v>
      </c>
      <c r="G754" s="2" t="s">
        <v>74</v>
      </c>
      <c r="H754" s="2" t="s">
        <v>74</v>
      </c>
      <c r="I754" s="2" t="s">
        <v>3082</v>
      </c>
      <c r="J754" s="2" t="s">
        <v>2017</v>
      </c>
      <c r="K754" s="2" t="s">
        <v>74</v>
      </c>
      <c r="L754" s="2" t="s">
        <v>74</v>
      </c>
      <c r="M754" s="2" t="s">
        <v>74</v>
      </c>
      <c r="N754" s="2" t="s">
        <v>74</v>
      </c>
      <c r="O754" s="2" t="s">
        <v>74</v>
      </c>
      <c r="P754" s="2" t="s">
        <v>74</v>
      </c>
      <c r="Q754" s="2" t="s">
        <v>74</v>
      </c>
      <c r="R754" s="2" t="s">
        <v>74</v>
      </c>
      <c r="S754" s="2" t="s">
        <v>74</v>
      </c>
      <c r="T754" s="2" t="s">
        <v>74</v>
      </c>
      <c r="U754" s="2" t="s">
        <v>74</v>
      </c>
      <c r="V754" s="5" t="s">
        <v>3083</v>
      </c>
      <c r="W754" s="2" t="s">
        <v>74</v>
      </c>
      <c r="X754" s="2" t="s">
        <v>74</v>
      </c>
      <c r="Y754" s="2" t="s">
        <v>74</v>
      </c>
      <c r="Z754" s="2" t="s">
        <v>74</v>
      </c>
      <c r="AA754" s="2" t="s">
        <v>74</v>
      </c>
      <c r="AB754" s="2" t="s">
        <v>74</v>
      </c>
      <c r="AC754" s="2" t="s">
        <v>74</v>
      </c>
      <c r="AD754" s="2" t="s">
        <v>74</v>
      </c>
      <c r="AE754" s="2" t="s">
        <v>74</v>
      </c>
      <c r="AF754" s="2" t="s">
        <v>74</v>
      </c>
      <c r="AG754" s="2" t="s">
        <v>74</v>
      </c>
      <c r="AH754" s="2" t="s">
        <v>74</v>
      </c>
      <c r="AI754" s="2" t="s">
        <v>74</v>
      </c>
      <c r="AJ754" s="2" t="s">
        <v>74</v>
      </c>
      <c r="AK754" s="2" t="s">
        <v>74</v>
      </c>
      <c r="AL754" s="2" t="s">
        <v>74</v>
      </c>
      <c r="AM754" s="2" t="s">
        <v>74</v>
      </c>
      <c r="AN754" s="2" t="s">
        <v>74</v>
      </c>
      <c r="AO754" s="2" t="s">
        <v>2021</v>
      </c>
      <c r="AP754" s="2" t="s">
        <v>74</v>
      </c>
      <c r="AQ754" s="2" t="s">
        <v>74</v>
      </c>
      <c r="AR754" s="2" t="s">
        <v>74</v>
      </c>
      <c r="AS754" s="2" t="s">
        <v>74</v>
      </c>
      <c r="AT754" s="2" t="s">
        <v>74</v>
      </c>
      <c r="AU754" s="2">
        <v>2014</v>
      </c>
      <c r="AV754" s="2">
        <v>2</v>
      </c>
      <c r="AW754" s="2" t="s">
        <v>74</v>
      </c>
      <c r="AX754" s="2" t="s">
        <v>74</v>
      </c>
      <c r="AY754" s="2" t="s">
        <v>74</v>
      </c>
      <c r="AZ754" s="2" t="s">
        <v>74</v>
      </c>
      <c r="BA754" s="2" t="s">
        <v>74</v>
      </c>
      <c r="BB754" s="2" t="s">
        <v>74</v>
      </c>
      <c r="BC754" s="2" t="s">
        <v>74</v>
      </c>
      <c r="BD754" s="2">
        <v>24</v>
      </c>
      <c r="BE754" s="2" t="s">
        <v>3084</v>
      </c>
      <c r="BF754" s="2" t="str">
        <f>HYPERLINK("http://dx.doi.org/10.3389/fevo.2014.00024","http://dx.doi.org/10.3389/fevo.2014.00024")</f>
        <v>http://dx.doi.org/10.3389/fevo.2014.00024</v>
      </c>
      <c r="BG754" s="2" t="s">
        <v>74</v>
      </c>
      <c r="BH754" s="2" t="s">
        <v>74</v>
      </c>
      <c r="BI754" s="2" t="s">
        <v>74</v>
      </c>
      <c r="BJ754" s="2" t="s">
        <v>74</v>
      </c>
      <c r="BK754" s="2" t="s">
        <v>74</v>
      </c>
      <c r="BL754" s="2" t="s">
        <v>74</v>
      </c>
      <c r="BM754" s="2" t="s">
        <v>74</v>
      </c>
      <c r="BN754" s="2" t="s">
        <v>74</v>
      </c>
      <c r="BO754" s="2" t="s">
        <v>74</v>
      </c>
      <c r="BP754" s="2" t="s">
        <v>74</v>
      </c>
      <c r="BQ754" s="2" t="s">
        <v>74</v>
      </c>
      <c r="BR754" s="2" t="s">
        <v>74</v>
      </c>
      <c r="BS754" s="2" t="s">
        <v>3085</v>
      </c>
      <c r="BT754" s="2" t="str">
        <f>HYPERLINK("https%3A%2F%2Fwww.webofscience.com%2Fwos%2Fwoscc%2Ffull-record%2FWOS:000517755700023","View Full Record in Web of Science")</f>
        <v>View Full Record in Web of Science</v>
      </c>
    </row>
    <row r="755" spans="1:72" s="2" customFormat="1" x14ac:dyDescent="0.4">
      <c r="A755" s="2" t="s">
        <v>72</v>
      </c>
      <c r="B755" s="2" t="s">
        <v>7522</v>
      </c>
      <c r="C755" s="2" t="s">
        <v>74</v>
      </c>
      <c r="D755" s="2" t="s">
        <v>74</v>
      </c>
      <c r="E755" s="2" t="s">
        <v>74</v>
      </c>
      <c r="F755" s="2" t="s">
        <v>7523</v>
      </c>
      <c r="G755" s="2" t="s">
        <v>74</v>
      </c>
      <c r="H755" s="2" t="s">
        <v>74</v>
      </c>
      <c r="I755" s="2" t="s">
        <v>7524</v>
      </c>
      <c r="J755" s="2" t="s">
        <v>1526</v>
      </c>
      <c r="K755" s="2" t="s">
        <v>74</v>
      </c>
      <c r="L755" s="2" t="s">
        <v>74</v>
      </c>
      <c r="M755" s="2" t="s">
        <v>74</v>
      </c>
      <c r="N755" s="2" t="s">
        <v>74</v>
      </c>
      <c r="O755" s="2" t="s">
        <v>74</v>
      </c>
      <c r="P755" s="2" t="s">
        <v>74</v>
      </c>
      <c r="Q755" s="2" t="s">
        <v>74</v>
      </c>
      <c r="R755" s="2" t="s">
        <v>74</v>
      </c>
      <c r="S755" s="2" t="s">
        <v>74</v>
      </c>
      <c r="T755" s="2" t="s">
        <v>74</v>
      </c>
      <c r="U755" s="2" t="s">
        <v>74</v>
      </c>
      <c r="V755" s="5" t="s">
        <v>7525</v>
      </c>
      <c r="W755" s="2" t="s">
        <v>74</v>
      </c>
      <c r="X755" s="2" t="s">
        <v>74</v>
      </c>
      <c r="Y755" s="2" t="s">
        <v>74</v>
      </c>
      <c r="Z755" s="2" t="s">
        <v>74</v>
      </c>
      <c r="AA755" s="2" t="s">
        <v>7526</v>
      </c>
      <c r="AB755" s="2" t="s">
        <v>74</v>
      </c>
      <c r="AC755" s="2" t="s">
        <v>74</v>
      </c>
      <c r="AD755" s="2" t="s">
        <v>74</v>
      </c>
      <c r="AE755" s="2" t="s">
        <v>74</v>
      </c>
      <c r="AF755" s="2" t="s">
        <v>74</v>
      </c>
      <c r="AG755" s="2" t="s">
        <v>74</v>
      </c>
      <c r="AH755" s="2" t="s">
        <v>74</v>
      </c>
      <c r="AI755" s="2" t="s">
        <v>74</v>
      </c>
      <c r="AJ755" s="2" t="s">
        <v>74</v>
      </c>
      <c r="AK755" s="2" t="s">
        <v>74</v>
      </c>
      <c r="AL755" s="2" t="s">
        <v>74</v>
      </c>
      <c r="AM755" s="2" t="s">
        <v>74</v>
      </c>
      <c r="AN755" s="2" t="s">
        <v>74</v>
      </c>
      <c r="AO755" s="2" t="s">
        <v>1528</v>
      </c>
      <c r="AP755" s="2" t="s">
        <v>2131</v>
      </c>
      <c r="AQ755" s="2" t="s">
        <v>74</v>
      </c>
      <c r="AR755" s="2" t="s">
        <v>74</v>
      </c>
      <c r="AS755" s="2" t="s">
        <v>74</v>
      </c>
      <c r="AT755" s="2" t="s">
        <v>213</v>
      </c>
      <c r="AU755" s="2">
        <v>2013</v>
      </c>
      <c r="AV755" s="2">
        <v>115</v>
      </c>
      <c r="AW755" s="2">
        <v>4</v>
      </c>
      <c r="AX755" s="2" t="s">
        <v>74</v>
      </c>
      <c r="AY755" s="2" t="s">
        <v>74</v>
      </c>
      <c r="AZ755" s="2" t="s">
        <v>74</v>
      </c>
      <c r="BA755" s="2" t="s">
        <v>74</v>
      </c>
      <c r="BB755" s="2">
        <v>910</v>
      </c>
      <c r="BC755" s="2">
        <v>920</v>
      </c>
      <c r="BD755" s="2" t="s">
        <v>74</v>
      </c>
      <c r="BE755" s="2" t="s">
        <v>7527</v>
      </c>
      <c r="BF755" s="2" t="str">
        <f>HYPERLINK("http://dx.doi.org/10.1525/cond.2013.120146","http://dx.doi.org/10.1525/cond.2013.120146")</f>
        <v>http://dx.doi.org/10.1525/cond.2013.120146</v>
      </c>
      <c r="BG755" s="2" t="s">
        <v>74</v>
      </c>
      <c r="BH755" s="2" t="s">
        <v>74</v>
      </c>
      <c r="BI755" s="2" t="s">
        <v>74</v>
      </c>
      <c r="BJ755" s="2" t="s">
        <v>74</v>
      </c>
      <c r="BK755" s="2" t="s">
        <v>74</v>
      </c>
      <c r="BL755" s="2" t="s">
        <v>74</v>
      </c>
      <c r="BM755" s="2" t="s">
        <v>74</v>
      </c>
      <c r="BN755" s="2" t="s">
        <v>74</v>
      </c>
      <c r="BO755" s="2" t="s">
        <v>74</v>
      </c>
      <c r="BP755" s="2" t="s">
        <v>74</v>
      </c>
      <c r="BQ755" s="2" t="s">
        <v>74</v>
      </c>
      <c r="BR755" s="2" t="s">
        <v>74</v>
      </c>
      <c r="BS755" s="2" t="s">
        <v>7528</v>
      </c>
      <c r="BT755" s="2" t="str">
        <f>HYPERLINK("https%3A%2F%2Fwww.webofscience.com%2Fwos%2Fwoscc%2Ffull-record%2FWOS:000328295800023","View Full Record in Web of Science")</f>
        <v>View Full Record in Web of Science</v>
      </c>
    </row>
    <row r="756" spans="1:72" s="2" customFormat="1" x14ac:dyDescent="0.4">
      <c r="A756" s="2" t="s">
        <v>72</v>
      </c>
      <c r="B756" s="2" t="s">
        <v>4609</v>
      </c>
      <c r="C756" s="2" t="s">
        <v>74</v>
      </c>
      <c r="D756" s="2" t="s">
        <v>74</v>
      </c>
      <c r="E756" s="2" t="s">
        <v>74</v>
      </c>
      <c r="F756" s="2" t="s">
        <v>4610</v>
      </c>
      <c r="G756" s="2" t="s">
        <v>74</v>
      </c>
      <c r="H756" s="2" t="s">
        <v>74</v>
      </c>
      <c r="I756" s="2" t="s">
        <v>4611</v>
      </c>
      <c r="J756" s="2" t="s">
        <v>654</v>
      </c>
      <c r="K756" s="2" t="s">
        <v>74</v>
      </c>
      <c r="L756" s="2" t="s">
        <v>74</v>
      </c>
      <c r="M756" s="2" t="s">
        <v>74</v>
      </c>
      <c r="N756" s="2" t="s">
        <v>74</v>
      </c>
      <c r="O756" s="2" t="s">
        <v>74</v>
      </c>
      <c r="P756" s="2" t="s">
        <v>74</v>
      </c>
      <c r="Q756" s="2" t="s">
        <v>74</v>
      </c>
      <c r="R756" s="2" t="s">
        <v>74</v>
      </c>
      <c r="S756" s="2" t="s">
        <v>74</v>
      </c>
      <c r="T756" s="2" t="s">
        <v>74</v>
      </c>
      <c r="U756" s="2" t="s">
        <v>74</v>
      </c>
      <c r="V756" s="5" t="s">
        <v>4612</v>
      </c>
      <c r="W756" s="2" t="s">
        <v>74</v>
      </c>
      <c r="X756" s="2" t="s">
        <v>74</v>
      </c>
      <c r="Y756" s="2" t="s">
        <v>74</v>
      </c>
      <c r="Z756" s="2" t="s">
        <v>74</v>
      </c>
      <c r="AA756" s="2" t="s">
        <v>4613</v>
      </c>
      <c r="AB756" s="2" t="s">
        <v>4614</v>
      </c>
      <c r="AC756" s="2" t="s">
        <v>74</v>
      </c>
      <c r="AD756" s="2" t="s">
        <v>74</v>
      </c>
      <c r="AE756" s="2" t="s">
        <v>74</v>
      </c>
      <c r="AF756" s="2" t="s">
        <v>74</v>
      </c>
      <c r="AG756" s="2" t="s">
        <v>74</v>
      </c>
      <c r="AH756" s="2" t="s">
        <v>74</v>
      </c>
      <c r="AI756" s="2" t="s">
        <v>74</v>
      </c>
      <c r="AJ756" s="2" t="s">
        <v>74</v>
      </c>
      <c r="AK756" s="2" t="s">
        <v>74</v>
      </c>
      <c r="AL756" s="2" t="s">
        <v>74</v>
      </c>
      <c r="AM756" s="2" t="s">
        <v>74</v>
      </c>
      <c r="AN756" s="2" t="s">
        <v>74</v>
      </c>
      <c r="AO756" s="2" t="s">
        <v>658</v>
      </c>
      <c r="AP756" s="2" t="s">
        <v>74</v>
      </c>
      <c r="AQ756" s="2" t="s">
        <v>74</v>
      </c>
      <c r="AR756" s="2" t="s">
        <v>74</v>
      </c>
      <c r="AS756" s="2" t="s">
        <v>74</v>
      </c>
      <c r="AT756" s="2" t="s">
        <v>633</v>
      </c>
      <c r="AU756" s="2">
        <v>2014</v>
      </c>
      <c r="AV756" s="2">
        <v>4</v>
      </c>
      <c r="AW756" s="2">
        <v>7</v>
      </c>
      <c r="AX756" s="2" t="s">
        <v>74</v>
      </c>
      <c r="AY756" s="2" t="s">
        <v>74</v>
      </c>
      <c r="AZ756" s="2" t="s">
        <v>74</v>
      </c>
      <c r="BA756" s="2" t="s">
        <v>74</v>
      </c>
      <c r="BB756" s="2">
        <v>911</v>
      </c>
      <c r="BC756" s="2">
        <v>917</v>
      </c>
      <c r="BD756" s="2" t="s">
        <v>74</v>
      </c>
      <c r="BE756" s="2" t="s">
        <v>4615</v>
      </c>
      <c r="BF756" s="2" t="str">
        <f>HYPERLINK("http://dx.doi.org/10.1002/ece3.996","http://dx.doi.org/10.1002/ece3.996")</f>
        <v>http://dx.doi.org/10.1002/ece3.996</v>
      </c>
      <c r="BG756" s="2" t="s">
        <v>74</v>
      </c>
      <c r="BH756" s="2" t="s">
        <v>74</v>
      </c>
      <c r="BI756" s="2" t="s">
        <v>74</v>
      </c>
      <c r="BJ756" s="2" t="s">
        <v>74</v>
      </c>
      <c r="BK756" s="2" t="s">
        <v>74</v>
      </c>
      <c r="BL756" s="2" t="s">
        <v>74</v>
      </c>
      <c r="BM756" s="2" t="s">
        <v>74</v>
      </c>
      <c r="BN756" s="2">
        <v>24772270</v>
      </c>
      <c r="BO756" s="2" t="s">
        <v>74</v>
      </c>
      <c r="BP756" s="2" t="s">
        <v>74</v>
      </c>
      <c r="BQ756" s="2" t="s">
        <v>74</v>
      </c>
      <c r="BR756" s="2" t="s">
        <v>74</v>
      </c>
      <c r="BS756" s="2" t="s">
        <v>4616</v>
      </c>
      <c r="BT756" s="2" t="str">
        <f>HYPERLINK("https%3A%2F%2Fwww.webofscience.com%2Fwos%2Fwoscc%2Ffull-record%2FWOS:000333809000004","View Full Record in Web of Science")</f>
        <v>View Full Record in Web of Science</v>
      </c>
    </row>
    <row r="757" spans="1:72" s="2" customFormat="1" x14ac:dyDescent="0.4">
      <c r="A757" s="2" t="s">
        <v>72</v>
      </c>
      <c r="B757" s="2" t="s">
        <v>1713</v>
      </c>
      <c r="C757" s="2" t="s">
        <v>74</v>
      </c>
      <c r="D757" s="2" t="s">
        <v>74</v>
      </c>
      <c r="E757" s="2" t="s">
        <v>74</v>
      </c>
      <c r="F757" s="2" t="s">
        <v>1714</v>
      </c>
      <c r="G757" s="2" t="s">
        <v>74</v>
      </c>
      <c r="H757" s="2" t="s">
        <v>74</v>
      </c>
      <c r="I757" s="2" t="s">
        <v>1715</v>
      </c>
      <c r="J757" s="2" t="s">
        <v>1112</v>
      </c>
      <c r="K757" s="2" t="s">
        <v>74</v>
      </c>
      <c r="L757" s="2" t="s">
        <v>74</v>
      </c>
      <c r="M757" s="2" t="s">
        <v>74</v>
      </c>
      <c r="N757" s="2" t="s">
        <v>74</v>
      </c>
      <c r="O757" s="2" t="s">
        <v>74</v>
      </c>
      <c r="P757" s="2" t="s">
        <v>74</v>
      </c>
      <c r="Q757" s="2" t="s">
        <v>74</v>
      </c>
      <c r="R757" s="2" t="s">
        <v>74</v>
      </c>
      <c r="S757" s="2" t="s">
        <v>74</v>
      </c>
      <c r="T757" s="2" t="s">
        <v>74</v>
      </c>
      <c r="U757" s="2" t="s">
        <v>74</v>
      </c>
      <c r="V757" s="5" t="s">
        <v>1716</v>
      </c>
      <c r="W757" s="2" t="s">
        <v>74</v>
      </c>
      <c r="X757" s="2" t="s">
        <v>74</v>
      </c>
      <c r="Y757" s="2" t="s">
        <v>74</v>
      </c>
      <c r="Z757" s="2" t="s">
        <v>74</v>
      </c>
      <c r="AA757" s="2" t="s">
        <v>1717</v>
      </c>
      <c r="AB757" s="2" t="s">
        <v>1718</v>
      </c>
      <c r="AC757" s="2" t="s">
        <v>74</v>
      </c>
      <c r="AD757" s="2" t="s">
        <v>74</v>
      </c>
      <c r="AE757" s="2" t="s">
        <v>74</v>
      </c>
      <c r="AF757" s="2" t="s">
        <v>74</v>
      </c>
      <c r="AG757" s="2" t="s">
        <v>74</v>
      </c>
      <c r="AH757" s="2" t="s">
        <v>74</v>
      </c>
      <c r="AI757" s="2" t="s">
        <v>74</v>
      </c>
      <c r="AJ757" s="2" t="s">
        <v>74</v>
      </c>
      <c r="AK757" s="2" t="s">
        <v>74</v>
      </c>
      <c r="AL757" s="2" t="s">
        <v>74</v>
      </c>
      <c r="AM757" s="2" t="s">
        <v>74</v>
      </c>
      <c r="AN757" s="2" t="s">
        <v>74</v>
      </c>
      <c r="AO757" s="2" t="s">
        <v>1114</v>
      </c>
      <c r="AP757" s="2" t="s">
        <v>1115</v>
      </c>
      <c r="AQ757" s="2" t="s">
        <v>74</v>
      </c>
      <c r="AR757" s="2" t="s">
        <v>74</v>
      </c>
      <c r="AS757" s="2" t="s">
        <v>74</v>
      </c>
      <c r="AT757" s="2" t="s">
        <v>123</v>
      </c>
      <c r="AU757" s="2">
        <v>2020</v>
      </c>
      <c r="AV757" s="2">
        <v>224</v>
      </c>
      <c r="AW757" s="2" t="s">
        <v>74</v>
      </c>
      <c r="AX757" s="2" t="s">
        <v>74</v>
      </c>
      <c r="AY757" s="2" t="s">
        <v>74</v>
      </c>
      <c r="AZ757" s="2" t="s">
        <v>74</v>
      </c>
      <c r="BA757" s="2" t="s">
        <v>74</v>
      </c>
      <c r="BB757" s="2" t="s">
        <v>74</v>
      </c>
      <c r="BC757" s="2" t="s">
        <v>74</v>
      </c>
      <c r="BD757" s="2">
        <v>104939</v>
      </c>
      <c r="BE757" s="2" t="s">
        <v>1719</v>
      </c>
      <c r="BF757" s="2" t="str">
        <f>HYPERLINK("http://dx.doi.org/10.1016/j.applanim.2020.104939","http://dx.doi.org/10.1016/j.applanim.2020.104939")</f>
        <v>http://dx.doi.org/10.1016/j.applanim.2020.104939</v>
      </c>
      <c r="BG757" s="2" t="s">
        <v>74</v>
      </c>
      <c r="BH757" s="2" t="s">
        <v>74</v>
      </c>
      <c r="BI757" s="2" t="s">
        <v>74</v>
      </c>
      <c r="BJ757" s="2" t="s">
        <v>74</v>
      </c>
      <c r="BK757" s="2" t="s">
        <v>74</v>
      </c>
      <c r="BL757" s="2" t="s">
        <v>74</v>
      </c>
      <c r="BM757" s="2" t="s">
        <v>74</v>
      </c>
      <c r="BN757" s="2" t="s">
        <v>74</v>
      </c>
      <c r="BO757" s="2" t="s">
        <v>74</v>
      </c>
      <c r="BP757" s="2" t="s">
        <v>74</v>
      </c>
      <c r="BQ757" s="2" t="s">
        <v>74</v>
      </c>
      <c r="BR757" s="2" t="s">
        <v>74</v>
      </c>
      <c r="BS757" s="2" t="s">
        <v>1720</v>
      </c>
      <c r="BT757" s="2" t="str">
        <f>HYPERLINK("https%3A%2F%2Fwww.webofscience.com%2Fwos%2Fwoscc%2Ffull-record%2FWOS:000524493000008","View Full Record in Web of Science")</f>
        <v>View Full Record in Web of Science</v>
      </c>
    </row>
    <row r="758" spans="1:72" s="7" customFormat="1" x14ac:dyDescent="0.4">
      <c r="A758" s="2" t="s">
        <v>72</v>
      </c>
      <c r="B758" s="2" t="s">
        <v>4811</v>
      </c>
      <c r="C758" s="2" t="s">
        <v>74</v>
      </c>
      <c r="D758" s="2" t="s">
        <v>74</v>
      </c>
      <c r="E758" s="2" t="s">
        <v>74</v>
      </c>
      <c r="F758" s="2" t="s">
        <v>4812</v>
      </c>
      <c r="G758" s="2" t="s">
        <v>74</v>
      </c>
      <c r="H758" s="2" t="s">
        <v>74</v>
      </c>
      <c r="I758" s="2" t="s">
        <v>4813</v>
      </c>
      <c r="J758" s="2" t="s">
        <v>2248</v>
      </c>
      <c r="K758" s="2" t="s">
        <v>74</v>
      </c>
      <c r="L758" s="2" t="s">
        <v>74</v>
      </c>
      <c r="M758" s="2" t="s">
        <v>74</v>
      </c>
      <c r="N758" s="2" t="s">
        <v>74</v>
      </c>
      <c r="O758" s="2" t="s">
        <v>74</v>
      </c>
      <c r="P758" s="2" t="s">
        <v>74</v>
      </c>
      <c r="Q758" s="2" t="s">
        <v>74</v>
      </c>
      <c r="R758" s="2" t="s">
        <v>74</v>
      </c>
      <c r="S758" s="2" t="s">
        <v>74</v>
      </c>
      <c r="T758" s="2" t="s">
        <v>74</v>
      </c>
      <c r="U758" s="2" t="s">
        <v>74</v>
      </c>
      <c r="V758" s="5" t="s">
        <v>4814</v>
      </c>
      <c r="W758" s="2" t="s">
        <v>74</v>
      </c>
      <c r="X758" s="2" t="s">
        <v>74</v>
      </c>
      <c r="Y758" s="2" t="s">
        <v>74</v>
      </c>
      <c r="Z758" s="2" t="s">
        <v>74</v>
      </c>
      <c r="AA758" s="2" t="s">
        <v>4815</v>
      </c>
      <c r="AB758" s="2" t="s">
        <v>4816</v>
      </c>
      <c r="AC758" s="2" t="s">
        <v>74</v>
      </c>
      <c r="AD758" s="2" t="s">
        <v>74</v>
      </c>
      <c r="AE758" s="2" t="s">
        <v>74</v>
      </c>
      <c r="AF758" s="2" t="s">
        <v>74</v>
      </c>
      <c r="AG758" s="2" t="s">
        <v>74</v>
      </c>
      <c r="AH758" s="2" t="s">
        <v>74</v>
      </c>
      <c r="AI758" s="2" t="s">
        <v>74</v>
      </c>
      <c r="AJ758" s="2" t="s">
        <v>74</v>
      </c>
      <c r="AK758" s="2" t="s">
        <v>74</v>
      </c>
      <c r="AL758" s="2" t="s">
        <v>74</v>
      </c>
      <c r="AM758" s="2" t="s">
        <v>74</v>
      </c>
      <c r="AN758" s="2" t="s">
        <v>74</v>
      </c>
      <c r="AO758" s="2" t="s">
        <v>2251</v>
      </c>
      <c r="AP758" s="2" t="s">
        <v>2252</v>
      </c>
      <c r="AQ758" s="2" t="s">
        <v>74</v>
      </c>
      <c r="AR758" s="2" t="s">
        <v>74</v>
      </c>
      <c r="AS758" s="2" t="s">
        <v>74</v>
      </c>
      <c r="AT758" s="2" t="s">
        <v>4817</v>
      </c>
      <c r="AU758" s="2">
        <v>2021</v>
      </c>
      <c r="AV758" s="2">
        <v>24</v>
      </c>
      <c r="AW758" s="2">
        <v>2</v>
      </c>
      <c r="AX758" s="2" t="s">
        <v>74</v>
      </c>
      <c r="AY758" s="2" t="s">
        <v>74</v>
      </c>
      <c r="AZ758" s="2" t="s">
        <v>74</v>
      </c>
      <c r="BA758" s="2" t="s">
        <v>74</v>
      </c>
      <c r="BB758" s="2">
        <v>107</v>
      </c>
      <c r="BC758" s="2">
        <v>116</v>
      </c>
      <c r="BD758" s="2" t="s">
        <v>74</v>
      </c>
      <c r="BE758" s="2" t="s">
        <v>4818</v>
      </c>
      <c r="BF758" s="2" t="str">
        <f>HYPERLINK("http://dx.doi.org/10.1080/10888705.2021.1872026","http://dx.doi.org/10.1080/10888705.2021.1872026")</f>
        <v>http://dx.doi.org/10.1080/10888705.2021.1872026</v>
      </c>
      <c r="BG758" s="2" t="s">
        <v>74</v>
      </c>
      <c r="BH758" s="2" t="s">
        <v>2962</v>
      </c>
      <c r="BI758" s="2" t="s">
        <v>74</v>
      </c>
      <c r="BJ758" s="2" t="s">
        <v>74</v>
      </c>
      <c r="BK758" s="2" t="s">
        <v>74</v>
      </c>
      <c r="BL758" s="2" t="s">
        <v>74</v>
      </c>
      <c r="BM758" s="2" t="s">
        <v>74</v>
      </c>
      <c r="BN758" s="2">
        <v>33508981</v>
      </c>
      <c r="BO758" s="2" t="s">
        <v>74</v>
      </c>
      <c r="BP758" s="2" t="s">
        <v>74</v>
      </c>
      <c r="BQ758" s="2" t="s">
        <v>74</v>
      </c>
      <c r="BR758" s="2" t="s">
        <v>74</v>
      </c>
      <c r="BS758" s="2" t="s">
        <v>4819</v>
      </c>
      <c r="BT758" s="2" t="str">
        <f>HYPERLINK("https%3A%2F%2Fwww.webofscience.com%2Fwos%2Fwoscc%2Ffull-record%2FWOS:000612753900001","View Full Record in Web of Science")</f>
        <v>View Full Record in Web of Science</v>
      </c>
    </row>
    <row r="759" spans="1:72" s="2" customFormat="1" x14ac:dyDescent="0.4">
      <c r="A759" s="2" t="s">
        <v>72</v>
      </c>
      <c r="B759" s="2" t="s">
        <v>2668</v>
      </c>
      <c r="C759" s="2" t="s">
        <v>74</v>
      </c>
      <c r="D759" s="2" t="s">
        <v>74</v>
      </c>
      <c r="E759" s="2" t="s">
        <v>74</v>
      </c>
      <c r="F759" s="2" t="s">
        <v>2669</v>
      </c>
      <c r="G759" s="2" t="s">
        <v>74</v>
      </c>
      <c r="H759" s="2" t="s">
        <v>74</v>
      </c>
      <c r="I759" s="2" t="s">
        <v>2670</v>
      </c>
      <c r="J759" s="2" t="s">
        <v>610</v>
      </c>
      <c r="K759" s="2" t="s">
        <v>74</v>
      </c>
      <c r="L759" s="2" t="s">
        <v>74</v>
      </c>
      <c r="M759" s="2" t="s">
        <v>74</v>
      </c>
      <c r="N759" s="2" t="s">
        <v>74</v>
      </c>
      <c r="O759" s="2" t="s">
        <v>74</v>
      </c>
      <c r="P759" s="2" t="s">
        <v>74</v>
      </c>
      <c r="Q759" s="2" t="s">
        <v>74</v>
      </c>
      <c r="R759" s="2" t="s">
        <v>74</v>
      </c>
      <c r="S759" s="2" t="s">
        <v>74</v>
      </c>
      <c r="T759" s="2" t="s">
        <v>74</v>
      </c>
      <c r="U759" s="2" t="s">
        <v>74</v>
      </c>
      <c r="V759" s="5" t="s">
        <v>2671</v>
      </c>
      <c r="W759" s="2" t="s">
        <v>74</v>
      </c>
      <c r="X759" s="2" t="s">
        <v>74</v>
      </c>
      <c r="Y759" s="2" t="s">
        <v>74</v>
      </c>
      <c r="Z759" s="2" t="s">
        <v>74</v>
      </c>
      <c r="AA759" s="2" t="s">
        <v>74</v>
      </c>
      <c r="AB759" s="2" t="s">
        <v>74</v>
      </c>
      <c r="AC759" s="2" t="s">
        <v>74</v>
      </c>
      <c r="AD759" s="2" t="s">
        <v>74</v>
      </c>
      <c r="AE759" s="2" t="s">
        <v>74</v>
      </c>
      <c r="AF759" s="2" t="s">
        <v>74</v>
      </c>
      <c r="AG759" s="2" t="s">
        <v>74</v>
      </c>
      <c r="AH759" s="2" t="s">
        <v>74</v>
      </c>
      <c r="AI759" s="2" t="s">
        <v>74</v>
      </c>
      <c r="AJ759" s="2" t="s">
        <v>74</v>
      </c>
      <c r="AK759" s="2" t="s">
        <v>74</v>
      </c>
      <c r="AL759" s="2" t="s">
        <v>74</v>
      </c>
      <c r="AM759" s="2" t="s">
        <v>74</v>
      </c>
      <c r="AN759" s="2" t="s">
        <v>74</v>
      </c>
      <c r="AO759" s="2" t="s">
        <v>614</v>
      </c>
      <c r="AP759" s="2" t="s">
        <v>615</v>
      </c>
      <c r="AQ759" s="2" t="s">
        <v>74</v>
      </c>
      <c r="AR759" s="2" t="s">
        <v>74</v>
      </c>
      <c r="AS759" s="2" t="s">
        <v>74</v>
      </c>
      <c r="AT759" s="2" t="s">
        <v>352</v>
      </c>
      <c r="AU759" s="2">
        <v>2012</v>
      </c>
      <c r="AV759" s="2">
        <v>118</v>
      </c>
      <c r="AW759" s="2">
        <v>9</v>
      </c>
      <c r="AX759" s="2" t="s">
        <v>74</v>
      </c>
      <c r="AY759" s="2" t="s">
        <v>74</v>
      </c>
      <c r="AZ759" s="2" t="s">
        <v>74</v>
      </c>
      <c r="BA759" s="2" t="s">
        <v>74</v>
      </c>
      <c r="BB759" s="2">
        <v>906</v>
      </c>
      <c r="BC759" s="2">
        <v>916</v>
      </c>
      <c r="BD759" s="2" t="s">
        <v>74</v>
      </c>
      <c r="BE759" s="2" t="s">
        <v>2672</v>
      </c>
      <c r="BF759" s="2" t="str">
        <f>HYPERLINK("http://dx.doi.org/10.1111/j.1439-0310.2012.02079.x","http://dx.doi.org/10.1111/j.1439-0310.2012.02079.x")</f>
        <v>http://dx.doi.org/10.1111/j.1439-0310.2012.02079.x</v>
      </c>
      <c r="BG759" s="2" t="s">
        <v>74</v>
      </c>
      <c r="BH759" s="2" t="s">
        <v>74</v>
      </c>
      <c r="BI759" s="2" t="s">
        <v>74</v>
      </c>
      <c r="BJ759" s="2" t="s">
        <v>74</v>
      </c>
      <c r="BK759" s="2" t="s">
        <v>74</v>
      </c>
      <c r="BL759" s="2" t="s">
        <v>74</v>
      </c>
      <c r="BM759" s="2" t="s">
        <v>74</v>
      </c>
      <c r="BN759" s="2" t="s">
        <v>74</v>
      </c>
      <c r="BO759" s="2" t="s">
        <v>74</v>
      </c>
      <c r="BP759" s="2" t="s">
        <v>74</v>
      </c>
      <c r="BQ759" s="2" t="s">
        <v>74</v>
      </c>
      <c r="BR759" s="2" t="s">
        <v>74</v>
      </c>
      <c r="BS759" s="2" t="s">
        <v>2673</v>
      </c>
      <c r="BT759" s="2" t="str">
        <f>HYPERLINK("https%3A%2F%2Fwww.webofscience.com%2Fwos%2Fwoscc%2Ffull-record%2FWOS:000306734400012","View Full Record in Web of Science")</f>
        <v>View Full Record in Web of Science</v>
      </c>
    </row>
    <row r="760" spans="1:72" s="2" customFormat="1" x14ac:dyDescent="0.4">
      <c r="A760" s="2" t="s">
        <v>72</v>
      </c>
      <c r="B760" s="2" t="s">
        <v>2668</v>
      </c>
      <c r="C760" s="2" t="s">
        <v>74</v>
      </c>
      <c r="D760" s="2" t="s">
        <v>74</v>
      </c>
      <c r="E760" s="2" t="s">
        <v>74</v>
      </c>
      <c r="F760" s="2" t="s">
        <v>2669</v>
      </c>
      <c r="G760" s="2" t="s">
        <v>74</v>
      </c>
      <c r="H760" s="2" t="s">
        <v>74</v>
      </c>
      <c r="I760" s="2" t="s">
        <v>4726</v>
      </c>
      <c r="J760" s="2" t="s">
        <v>4727</v>
      </c>
      <c r="K760" s="2" t="s">
        <v>74</v>
      </c>
      <c r="L760" s="2" t="s">
        <v>74</v>
      </c>
      <c r="M760" s="2" t="s">
        <v>74</v>
      </c>
      <c r="N760" s="2" t="s">
        <v>74</v>
      </c>
      <c r="O760" s="2" t="s">
        <v>74</v>
      </c>
      <c r="P760" s="2" t="s">
        <v>74</v>
      </c>
      <c r="Q760" s="2" t="s">
        <v>74</v>
      </c>
      <c r="R760" s="2" t="s">
        <v>74</v>
      </c>
      <c r="S760" s="2" t="s">
        <v>74</v>
      </c>
      <c r="T760" s="2" t="s">
        <v>74</v>
      </c>
      <c r="U760" s="2" t="s">
        <v>74</v>
      </c>
      <c r="V760" s="5" t="s">
        <v>4728</v>
      </c>
      <c r="W760" s="2" t="s">
        <v>74</v>
      </c>
      <c r="X760" s="2" t="s">
        <v>74</v>
      </c>
      <c r="Y760" s="2" t="s">
        <v>74</v>
      </c>
      <c r="Z760" s="2" t="s">
        <v>74</v>
      </c>
      <c r="AA760" s="2" t="s">
        <v>74</v>
      </c>
      <c r="AB760" s="2" t="s">
        <v>4729</v>
      </c>
      <c r="AC760" s="2" t="s">
        <v>74</v>
      </c>
      <c r="AD760" s="2" t="s">
        <v>74</v>
      </c>
      <c r="AE760" s="2" t="s">
        <v>74</v>
      </c>
      <c r="AF760" s="2" t="s">
        <v>74</v>
      </c>
      <c r="AG760" s="2" t="s">
        <v>74</v>
      </c>
      <c r="AH760" s="2" t="s">
        <v>74</v>
      </c>
      <c r="AI760" s="2" t="s">
        <v>74</v>
      </c>
      <c r="AJ760" s="2" t="s">
        <v>74</v>
      </c>
      <c r="AK760" s="2" t="s">
        <v>74</v>
      </c>
      <c r="AL760" s="2" t="s">
        <v>74</v>
      </c>
      <c r="AM760" s="2" t="s">
        <v>74</v>
      </c>
      <c r="AN760" s="2" t="s">
        <v>74</v>
      </c>
      <c r="AO760" s="2" t="s">
        <v>74</v>
      </c>
      <c r="AP760" s="2" t="s">
        <v>4730</v>
      </c>
      <c r="AQ760" s="2" t="s">
        <v>74</v>
      </c>
      <c r="AR760" s="2" t="s">
        <v>74</v>
      </c>
      <c r="AS760" s="2" t="s">
        <v>74</v>
      </c>
      <c r="AT760" s="2" t="s">
        <v>305</v>
      </c>
      <c r="AU760" s="2">
        <v>2021</v>
      </c>
      <c r="AV760" s="2">
        <v>2</v>
      </c>
      <c r="AW760" s="2">
        <v>4</v>
      </c>
      <c r="AX760" s="2" t="s">
        <v>74</v>
      </c>
      <c r="AY760" s="2" t="s">
        <v>74</v>
      </c>
      <c r="AZ760" s="2" t="s">
        <v>74</v>
      </c>
      <c r="BA760" s="2" t="s">
        <v>74</v>
      </c>
      <c r="BB760" s="2">
        <v>404</v>
      </c>
      <c r="BC760" s="2">
        <v>414</v>
      </c>
      <c r="BD760" s="2" t="s">
        <v>74</v>
      </c>
      <c r="BE760" s="2" t="s">
        <v>4731</v>
      </c>
      <c r="BF760" s="2" t="str">
        <f>HYPERLINK("http://dx.doi.org/10.3390/birds2040030","http://dx.doi.org/10.3390/birds2040030")</f>
        <v>http://dx.doi.org/10.3390/birds2040030</v>
      </c>
      <c r="BG760" s="2" t="s">
        <v>74</v>
      </c>
      <c r="BH760" s="2" t="s">
        <v>74</v>
      </c>
      <c r="BI760" s="2" t="s">
        <v>74</v>
      </c>
      <c r="BJ760" s="2" t="s">
        <v>74</v>
      </c>
      <c r="BK760" s="2" t="s">
        <v>74</v>
      </c>
      <c r="BL760" s="2" t="s">
        <v>74</v>
      </c>
      <c r="BM760" s="2" t="s">
        <v>74</v>
      </c>
      <c r="BN760" s="2" t="s">
        <v>74</v>
      </c>
      <c r="BO760" s="2" t="s">
        <v>74</v>
      </c>
      <c r="BP760" s="2" t="s">
        <v>74</v>
      </c>
      <c r="BQ760" s="2" t="s">
        <v>74</v>
      </c>
      <c r="BR760" s="2" t="s">
        <v>74</v>
      </c>
      <c r="BS760" s="2" t="s">
        <v>4732</v>
      </c>
      <c r="BT760" s="2" t="str">
        <f>HYPERLINK("https%3A%2F%2Fwww.webofscience.com%2Fwos%2Fwoscc%2Ffull-record%2FWOS:001123340900001","View Full Record in Web of Science")</f>
        <v>View Full Record in Web of Science</v>
      </c>
    </row>
    <row r="761" spans="1:72" s="2" customFormat="1" x14ac:dyDescent="0.4">
      <c r="A761" s="2" t="s">
        <v>72</v>
      </c>
      <c r="B761" s="2" t="s">
        <v>2547</v>
      </c>
      <c r="C761" s="2" t="s">
        <v>74</v>
      </c>
      <c r="D761" s="2" t="s">
        <v>74</v>
      </c>
      <c r="E761" s="2" t="s">
        <v>74</v>
      </c>
      <c r="F761" s="2" t="s">
        <v>2548</v>
      </c>
      <c r="G761" s="2" t="s">
        <v>74</v>
      </c>
      <c r="H761" s="2" t="s">
        <v>74</v>
      </c>
      <c r="I761" s="2" t="s">
        <v>2549</v>
      </c>
      <c r="J761" s="2" t="s">
        <v>2550</v>
      </c>
      <c r="K761" s="2" t="s">
        <v>74</v>
      </c>
      <c r="L761" s="2" t="s">
        <v>74</v>
      </c>
      <c r="M761" s="2" t="s">
        <v>74</v>
      </c>
      <c r="N761" s="2" t="s">
        <v>74</v>
      </c>
      <c r="O761" s="2" t="s">
        <v>74</v>
      </c>
      <c r="P761" s="2" t="s">
        <v>74</v>
      </c>
      <c r="Q761" s="2" t="s">
        <v>74</v>
      </c>
      <c r="R761" s="2" t="s">
        <v>74</v>
      </c>
      <c r="S761" s="2" t="s">
        <v>74</v>
      </c>
      <c r="T761" s="2" t="s">
        <v>74</v>
      </c>
      <c r="U761" s="2" t="s">
        <v>74</v>
      </c>
      <c r="V761" s="5" t="s">
        <v>2551</v>
      </c>
      <c r="W761" s="2" t="s">
        <v>74</v>
      </c>
      <c r="X761" s="2" t="s">
        <v>74</v>
      </c>
      <c r="Y761" s="2" t="s">
        <v>74</v>
      </c>
      <c r="Z761" s="2" t="s">
        <v>74</v>
      </c>
      <c r="AA761" s="2" t="s">
        <v>2552</v>
      </c>
      <c r="AB761" s="2" t="s">
        <v>2553</v>
      </c>
      <c r="AC761" s="2" t="s">
        <v>74</v>
      </c>
      <c r="AD761" s="2" t="s">
        <v>74</v>
      </c>
      <c r="AE761" s="2" t="s">
        <v>74</v>
      </c>
      <c r="AF761" s="2" t="s">
        <v>74</v>
      </c>
      <c r="AG761" s="2" t="s">
        <v>74</v>
      </c>
      <c r="AH761" s="2" t="s">
        <v>74</v>
      </c>
      <c r="AI761" s="2" t="s">
        <v>74</v>
      </c>
      <c r="AJ761" s="2" t="s">
        <v>74</v>
      </c>
      <c r="AK761" s="2" t="s">
        <v>74</v>
      </c>
      <c r="AL761" s="2" t="s">
        <v>74</v>
      </c>
      <c r="AM761" s="2" t="s">
        <v>74</v>
      </c>
      <c r="AN761" s="2" t="s">
        <v>74</v>
      </c>
      <c r="AO761" s="2" t="s">
        <v>2554</v>
      </c>
      <c r="AP761" s="2" t="s">
        <v>74</v>
      </c>
      <c r="AQ761" s="2" t="s">
        <v>74</v>
      </c>
      <c r="AR761" s="2" t="s">
        <v>74</v>
      </c>
      <c r="AS761" s="2" t="s">
        <v>74</v>
      </c>
      <c r="AT761" s="2" t="s">
        <v>633</v>
      </c>
      <c r="AU761" s="2">
        <v>2008</v>
      </c>
      <c r="AV761" s="2">
        <v>31</v>
      </c>
      <c r="AW761" s="2">
        <v>5</v>
      </c>
      <c r="AX761" s="2" t="s">
        <v>74</v>
      </c>
      <c r="AY761" s="2" t="s">
        <v>74</v>
      </c>
      <c r="AZ761" s="2" t="s">
        <v>74</v>
      </c>
      <c r="BA761" s="2" t="s">
        <v>74</v>
      </c>
      <c r="BB761" s="2">
        <v>557</v>
      </c>
      <c r="BC761" s="2">
        <v>560</v>
      </c>
      <c r="BD761" s="2" t="s">
        <v>74</v>
      </c>
      <c r="BE761" s="2" t="s">
        <v>2555</v>
      </c>
      <c r="BF761" s="2" t="str">
        <f>HYPERLINK("http://dx.doi.org/10.1007/s00300-007-0387-7","http://dx.doi.org/10.1007/s00300-007-0387-7")</f>
        <v>http://dx.doi.org/10.1007/s00300-007-0387-7</v>
      </c>
      <c r="BG761" s="2" t="s">
        <v>74</v>
      </c>
      <c r="BH761" s="2" t="s">
        <v>74</v>
      </c>
      <c r="BI761" s="2" t="s">
        <v>74</v>
      </c>
      <c r="BJ761" s="2" t="s">
        <v>74</v>
      </c>
      <c r="BK761" s="2" t="s">
        <v>74</v>
      </c>
      <c r="BL761" s="2" t="s">
        <v>74</v>
      </c>
      <c r="BM761" s="2" t="s">
        <v>74</v>
      </c>
      <c r="BN761" s="2" t="s">
        <v>74</v>
      </c>
      <c r="BO761" s="2" t="s">
        <v>74</v>
      </c>
      <c r="BP761" s="2" t="s">
        <v>74</v>
      </c>
      <c r="BQ761" s="2" t="s">
        <v>74</v>
      </c>
      <c r="BR761" s="2" t="s">
        <v>74</v>
      </c>
      <c r="BS761" s="2" t="s">
        <v>2556</v>
      </c>
      <c r="BT761" s="2" t="str">
        <f>HYPERLINK("https%3A%2F%2Fwww.webofscience.com%2Fwos%2Fwoscc%2Ffull-record%2FWOS:000254486900004","View Full Record in Web of Science")</f>
        <v>View Full Record in Web of Science</v>
      </c>
    </row>
    <row r="762" spans="1:72" s="2" customFormat="1" x14ac:dyDescent="0.4">
      <c r="A762" s="2" t="s">
        <v>72</v>
      </c>
      <c r="B762" s="2" t="s">
        <v>2812</v>
      </c>
      <c r="C762" s="2" t="s">
        <v>74</v>
      </c>
      <c r="D762" s="2" t="s">
        <v>74</v>
      </c>
      <c r="E762" s="2" t="s">
        <v>74</v>
      </c>
      <c r="F762" s="2" t="s">
        <v>2813</v>
      </c>
      <c r="G762" s="2" t="s">
        <v>74</v>
      </c>
      <c r="H762" s="2" t="s">
        <v>74</v>
      </c>
      <c r="I762" s="2" t="s">
        <v>2814</v>
      </c>
      <c r="J762" s="2" t="s">
        <v>1755</v>
      </c>
      <c r="K762" s="2" t="s">
        <v>74</v>
      </c>
      <c r="L762" s="2" t="s">
        <v>74</v>
      </c>
      <c r="M762" s="2" t="s">
        <v>74</v>
      </c>
      <c r="N762" s="2" t="s">
        <v>74</v>
      </c>
      <c r="O762" s="2" t="s">
        <v>74</v>
      </c>
      <c r="P762" s="2" t="s">
        <v>74</v>
      </c>
      <c r="Q762" s="2" t="s">
        <v>74</v>
      </c>
      <c r="R762" s="2" t="s">
        <v>74</v>
      </c>
      <c r="S762" s="2" t="s">
        <v>74</v>
      </c>
      <c r="T762" s="2" t="s">
        <v>74</v>
      </c>
      <c r="U762" s="2" t="s">
        <v>74</v>
      </c>
      <c r="V762" s="5" t="s">
        <v>2815</v>
      </c>
      <c r="W762" s="2" t="s">
        <v>74</v>
      </c>
      <c r="X762" s="2" t="s">
        <v>74</v>
      </c>
      <c r="Y762" s="2" t="s">
        <v>74</v>
      </c>
      <c r="Z762" s="2" t="s">
        <v>74</v>
      </c>
      <c r="AA762" s="2" t="s">
        <v>2816</v>
      </c>
      <c r="AB762" s="2" t="s">
        <v>2817</v>
      </c>
      <c r="AC762" s="2" t="s">
        <v>74</v>
      </c>
      <c r="AD762" s="2" t="s">
        <v>74</v>
      </c>
      <c r="AE762" s="2" t="s">
        <v>74</v>
      </c>
      <c r="AF762" s="2" t="s">
        <v>74</v>
      </c>
      <c r="AG762" s="2" t="s">
        <v>74</v>
      </c>
      <c r="AH762" s="2" t="s">
        <v>74</v>
      </c>
      <c r="AI762" s="2" t="s">
        <v>74</v>
      </c>
      <c r="AJ762" s="2" t="s">
        <v>74</v>
      </c>
      <c r="AK762" s="2" t="s">
        <v>74</v>
      </c>
      <c r="AL762" s="2" t="s">
        <v>74</v>
      </c>
      <c r="AM762" s="2" t="s">
        <v>74</v>
      </c>
      <c r="AN762" s="2" t="s">
        <v>74</v>
      </c>
      <c r="AO762" s="2" t="s">
        <v>1759</v>
      </c>
      <c r="AP762" s="2" t="s">
        <v>1760</v>
      </c>
      <c r="AQ762" s="2" t="s">
        <v>74</v>
      </c>
      <c r="AR762" s="2" t="s">
        <v>74</v>
      </c>
      <c r="AS762" s="2" t="s">
        <v>74</v>
      </c>
      <c r="AT762" s="2" t="s">
        <v>123</v>
      </c>
      <c r="AU762" s="2">
        <v>2015</v>
      </c>
      <c r="AV762" s="2">
        <v>28</v>
      </c>
      <c r="AW762" s="2">
        <v>2</v>
      </c>
      <c r="AX762" s="2" t="s">
        <v>74</v>
      </c>
      <c r="AY762" s="2" t="s">
        <v>74</v>
      </c>
      <c r="AZ762" s="2" t="s">
        <v>74</v>
      </c>
      <c r="BA762" s="2" t="s">
        <v>74</v>
      </c>
      <c r="BB762" s="2">
        <v>175</v>
      </c>
      <c r="BC762" s="2">
        <v>182</v>
      </c>
      <c r="BD762" s="2" t="s">
        <v>74</v>
      </c>
      <c r="BE762" s="2" t="s">
        <v>2818</v>
      </c>
      <c r="BF762" s="2" t="str">
        <f>HYPERLINK("http://dx.doi.org/10.1007/s10905-015-9487-3","http://dx.doi.org/10.1007/s10905-015-9487-3")</f>
        <v>http://dx.doi.org/10.1007/s10905-015-9487-3</v>
      </c>
      <c r="BG762" s="2" t="s">
        <v>74</v>
      </c>
      <c r="BH762" s="2" t="s">
        <v>74</v>
      </c>
      <c r="BI762" s="2" t="s">
        <v>74</v>
      </c>
      <c r="BJ762" s="2" t="s">
        <v>74</v>
      </c>
      <c r="BK762" s="2" t="s">
        <v>74</v>
      </c>
      <c r="BL762" s="2" t="s">
        <v>74</v>
      </c>
      <c r="BM762" s="2" t="s">
        <v>74</v>
      </c>
      <c r="BN762" s="2" t="s">
        <v>74</v>
      </c>
      <c r="BO762" s="2" t="s">
        <v>74</v>
      </c>
      <c r="BP762" s="2" t="s">
        <v>74</v>
      </c>
      <c r="BQ762" s="2" t="s">
        <v>74</v>
      </c>
      <c r="BR762" s="2" t="s">
        <v>74</v>
      </c>
      <c r="BS762" s="2" t="s">
        <v>2819</v>
      </c>
      <c r="BT762" s="2" t="str">
        <f>HYPERLINK("https%3A%2F%2Fwww.webofscience.com%2Fwos%2Fwoscc%2Ffull-record%2FWOS:000351525100009","View Full Record in Web of Science")</f>
        <v>View Full Record in Web of Science</v>
      </c>
    </row>
    <row r="763" spans="1:72" s="2" customFormat="1" x14ac:dyDescent="0.4">
      <c r="A763" s="2" t="s">
        <v>72</v>
      </c>
      <c r="B763" s="2" t="s">
        <v>5587</v>
      </c>
      <c r="C763" s="2" t="s">
        <v>74</v>
      </c>
      <c r="D763" s="2" t="s">
        <v>74</v>
      </c>
      <c r="E763" s="2" t="s">
        <v>74</v>
      </c>
      <c r="F763" s="2" t="s">
        <v>5588</v>
      </c>
      <c r="G763" s="2" t="s">
        <v>74</v>
      </c>
      <c r="H763" s="2" t="s">
        <v>74</v>
      </c>
      <c r="I763" s="2" t="s">
        <v>5589</v>
      </c>
      <c r="J763" s="2" t="s">
        <v>431</v>
      </c>
      <c r="K763" s="2" t="s">
        <v>74</v>
      </c>
      <c r="L763" s="2" t="s">
        <v>74</v>
      </c>
      <c r="M763" s="2" t="s">
        <v>74</v>
      </c>
      <c r="N763" s="2" t="s">
        <v>74</v>
      </c>
      <c r="O763" s="2" t="s">
        <v>74</v>
      </c>
      <c r="P763" s="2" t="s">
        <v>74</v>
      </c>
      <c r="Q763" s="2" t="s">
        <v>74</v>
      </c>
      <c r="R763" s="2" t="s">
        <v>74</v>
      </c>
      <c r="S763" s="2" t="s">
        <v>74</v>
      </c>
      <c r="T763" s="2" t="s">
        <v>74</v>
      </c>
      <c r="U763" s="2" t="s">
        <v>74</v>
      </c>
      <c r="V763" s="5" t="s">
        <v>5590</v>
      </c>
      <c r="W763" s="2" t="s">
        <v>74</v>
      </c>
      <c r="X763" s="2" t="s">
        <v>74</v>
      </c>
      <c r="Y763" s="2" t="s">
        <v>74</v>
      </c>
      <c r="Z763" s="2" t="s">
        <v>74</v>
      </c>
      <c r="AA763" s="2" t="s">
        <v>5591</v>
      </c>
      <c r="AB763" s="2" t="s">
        <v>5592</v>
      </c>
      <c r="AC763" s="2" t="s">
        <v>74</v>
      </c>
      <c r="AD763" s="2" t="s">
        <v>74</v>
      </c>
      <c r="AE763" s="2" t="s">
        <v>74</v>
      </c>
      <c r="AF763" s="2" t="s">
        <v>74</v>
      </c>
      <c r="AG763" s="2" t="s">
        <v>74</v>
      </c>
      <c r="AH763" s="2" t="s">
        <v>74</v>
      </c>
      <c r="AI763" s="2" t="s">
        <v>74</v>
      </c>
      <c r="AJ763" s="2" t="s">
        <v>74</v>
      </c>
      <c r="AK763" s="2" t="s">
        <v>74</v>
      </c>
      <c r="AL763" s="2" t="s">
        <v>74</v>
      </c>
      <c r="AM763" s="2" t="s">
        <v>74</v>
      </c>
      <c r="AN763" s="2" t="s">
        <v>74</v>
      </c>
      <c r="AO763" s="2" t="s">
        <v>1458</v>
      </c>
      <c r="AP763" s="2" t="s">
        <v>435</v>
      </c>
      <c r="AQ763" s="2" t="s">
        <v>74</v>
      </c>
      <c r="AR763" s="2" t="s">
        <v>74</v>
      </c>
      <c r="AS763" s="2" t="s">
        <v>74</v>
      </c>
      <c r="AT763" s="2" t="s">
        <v>175</v>
      </c>
      <c r="AU763" s="2">
        <v>2007</v>
      </c>
      <c r="AV763" s="2">
        <v>124</v>
      </c>
      <c r="AW763" s="2">
        <v>4</v>
      </c>
      <c r="AX763" s="2" t="s">
        <v>74</v>
      </c>
      <c r="AY763" s="2" t="s">
        <v>74</v>
      </c>
      <c r="AZ763" s="2" t="s">
        <v>74</v>
      </c>
      <c r="BA763" s="2" t="s">
        <v>74</v>
      </c>
      <c r="BB763" s="2">
        <v>1330</v>
      </c>
      <c r="BC763" s="2">
        <v>1335</v>
      </c>
      <c r="BD763" s="2" t="s">
        <v>74</v>
      </c>
      <c r="BE763" s="2" t="s">
        <v>5593</v>
      </c>
      <c r="BF763" s="2" t="str">
        <f>HYPERLINK("http://dx.doi.org/10.1642/0004-8038(2007)124[1330:AGATDP]2.0.CO;2","http://dx.doi.org/10.1642/0004-8038(2007)124[1330:AGATDP]2.0.CO;2")</f>
        <v>http://dx.doi.org/10.1642/0004-8038(2007)124[1330:AGATDP]2.0.CO;2</v>
      </c>
      <c r="BG763" s="2" t="s">
        <v>74</v>
      </c>
      <c r="BH763" s="2" t="s">
        <v>74</v>
      </c>
      <c r="BI763" s="2" t="s">
        <v>74</v>
      </c>
      <c r="BJ763" s="2" t="s">
        <v>74</v>
      </c>
      <c r="BK763" s="2" t="s">
        <v>74</v>
      </c>
      <c r="BL763" s="2" t="s">
        <v>74</v>
      </c>
      <c r="BM763" s="2" t="s">
        <v>74</v>
      </c>
      <c r="BN763" s="2" t="s">
        <v>74</v>
      </c>
      <c r="BO763" s="2" t="s">
        <v>74</v>
      </c>
      <c r="BP763" s="2" t="s">
        <v>74</v>
      </c>
      <c r="BQ763" s="2" t="s">
        <v>74</v>
      </c>
      <c r="BR763" s="2" t="s">
        <v>74</v>
      </c>
      <c r="BS763" s="2" t="s">
        <v>5594</v>
      </c>
      <c r="BT763" s="2" t="str">
        <f>HYPERLINK("https%3A%2F%2Fwww.webofscience.com%2Fwos%2Fwoscc%2Ffull-record%2FWOS:000251446100017","View Full Record in Web of Science")</f>
        <v>View Full Record in Web of Science</v>
      </c>
    </row>
    <row r="764" spans="1:72" s="2" customFormat="1" x14ac:dyDescent="0.4">
      <c r="A764" s="2" t="s">
        <v>72</v>
      </c>
      <c r="B764" s="2" t="s">
        <v>3368</v>
      </c>
      <c r="C764" s="2" t="s">
        <v>74</v>
      </c>
      <c r="D764" s="2" t="s">
        <v>74</v>
      </c>
      <c r="E764" s="2" t="s">
        <v>74</v>
      </c>
      <c r="F764" s="2" t="s">
        <v>3368</v>
      </c>
      <c r="G764" s="2" t="s">
        <v>74</v>
      </c>
      <c r="H764" s="2" t="s">
        <v>74</v>
      </c>
      <c r="I764" s="2" t="s">
        <v>3369</v>
      </c>
      <c r="J764" s="2" t="s">
        <v>201</v>
      </c>
      <c r="K764" s="2" t="s">
        <v>74</v>
      </c>
      <c r="L764" s="2" t="s">
        <v>74</v>
      </c>
      <c r="M764" s="2" t="s">
        <v>74</v>
      </c>
      <c r="N764" s="2" t="s">
        <v>74</v>
      </c>
      <c r="O764" s="2" t="s">
        <v>74</v>
      </c>
      <c r="P764" s="2" t="s">
        <v>74</v>
      </c>
      <c r="Q764" s="2" t="s">
        <v>74</v>
      </c>
      <c r="R764" s="2" t="s">
        <v>74</v>
      </c>
      <c r="S764" s="2" t="s">
        <v>74</v>
      </c>
      <c r="T764" s="2" t="s">
        <v>74</v>
      </c>
      <c r="U764" s="2" t="s">
        <v>74</v>
      </c>
      <c r="V764" s="5" t="s">
        <v>3370</v>
      </c>
      <c r="W764" s="2" t="s">
        <v>74</v>
      </c>
      <c r="X764" s="2" t="s">
        <v>74</v>
      </c>
      <c r="Y764" s="2" t="s">
        <v>74</v>
      </c>
      <c r="Z764" s="2" t="s">
        <v>74</v>
      </c>
      <c r="AA764" s="2" t="s">
        <v>74</v>
      </c>
      <c r="AB764" s="2" t="s">
        <v>74</v>
      </c>
      <c r="AC764" s="2" t="s">
        <v>74</v>
      </c>
      <c r="AD764" s="2" t="s">
        <v>74</v>
      </c>
      <c r="AE764" s="2" t="s">
        <v>74</v>
      </c>
      <c r="AF764" s="2" t="s">
        <v>74</v>
      </c>
      <c r="AG764" s="2" t="s">
        <v>74</v>
      </c>
      <c r="AH764" s="2" t="s">
        <v>74</v>
      </c>
      <c r="AI764" s="2" t="s">
        <v>74</v>
      </c>
      <c r="AJ764" s="2" t="s">
        <v>74</v>
      </c>
      <c r="AK764" s="2" t="s">
        <v>74</v>
      </c>
      <c r="AL764" s="2" t="s">
        <v>74</v>
      </c>
      <c r="AM764" s="2" t="s">
        <v>74</v>
      </c>
      <c r="AN764" s="2" t="s">
        <v>74</v>
      </c>
      <c r="AO764" s="2" t="s">
        <v>203</v>
      </c>
      <c r="AP764" s="2" t="s">
        <v>74</v>
      </c>
      <c r="AQ764" s="2" t="s">
        <v>74</v>
      </c>
      <c r="AR764" s="2" t="s">
        <v>74</v>
      </c>
      <c r="AS764" s="2" t="s">
        <v>74</v>
      </c>
      <c r="AT764" s="2" t="s">
        <v>352</v>
      </c>
      <c r="AU764" s="2">
        <v>1996</v>
      </c>
      <c r="AV764" s="2">
        <v>49</v>
      </c>
      <c r="AW764" s="2">
        <v>3</v>
      </c>
      <c r="AX764" s="2" t="s">
        <v>74</v>
      </c>
      <c r="AY764" s="2" t="s">
        <v>74</v>
      </c>
      <c r="AZ764" s="2" t="s">
        <v>74</v>
      </c>
      <c r="BA764" s="2" t="s">
        <v>74</v>
      </c>
      <c r="BB764" s="2">
        <v>494</v>
      </c>
      <c r="BC764" s="2">
        <v>500</v>
      </c>
      <c r="BD764" s="2" t="s">
        <v>74</v>
      </c>
      <c r="BE764" s="2" t="s">
        <v>74</v>
      </c>
      <c r="BF764" s="2" t="s">
        <v>74</v>
      </c>
      <c r="BG764" s="2" t="s">
        <v>74</v>
      </c>
      <c r="BH764" s="2" t="s">
        <v>74</v>
      </c>
      <c r="BI764" s="2" t="s">
        <v>74</v>
      </c>
      <c r="BJ764" s="2" t="s">
        <v>74</v>
      </c>
      <c r="BK764" s="2" t="s">
        <v>74</v>
      </c>
      <c r="BL764" s="2" t="s">
        <v>74</v>
      </c>
      <c r="BM764" s="2" t="s">
        <v>74</v>
      </c>
      <c r="BN764" s="2" t="s">
        <v>74</v>
      </c>
      <c r="BO764" s="2" t="s">
        <v>74</v>
      </c>
      <c r="BP764" s="2" t="s">
        <v>74</v>
      </c>
      <c r="BQ764" s="2" t="s">
        <v>74</v>
      </c>
      <c r="BR764" s="2" t="s">
        <v>74</v>
      </c>
      <c r="BS764" s="2" t="s">
        <v>3371</v>
      </c>
      <c r="BT764" s="2" t="str">
        <f>HYPERLINK("https%3A%2F%2Fwww.webofscience.com%2Fwos%2Fwoscc%2Ffull-record%2FWOS:A1996VQ32100010","View Full Record in Web of Science")</f>
        <v>View Full Record in Web of Science</v>
      </c>
    </row>
    <row r="765" spans="1:72" s="2" customFormat="1" x14ac:dyDescent="0.4">
      <c r="A765" s="2" t="s">
        <v>72</v>
      </c>
      <c r="B765" s="2" t="s">
        <v>3586</v>
      </c>
      <c r="C765" s="2" t="s">
        <v>74</v>
      </c>
      <c r="D765" s="2" t="s">
        <v>74</v>
      </c>
      <c r="E765" s="2" t="s">
        <v>74</v>
      </c>
      <c r="F765" s="2" t="s">
        <v>3587</v>
      </c>
      <c r="G765" s="2" t="s">
        <v>74</v>
      </c>
      <c r="H765" s="2" t="s">
        <v>74</v>
      </c>
      <c r="I765" s="2" t="s">
        <v>3588</v>
      </c>
      <c r="J765" s="2" t="s">
        <v>814</v>
      </c>
      <c r="K765" s="2" t="s">
        <v>74</v>
      </c>
      <c r="L765" s="2" t="s">
        <v>74</v>
      </c>
      <c r="M765" s="2" t="s">
        <v>74</v>
      </c>
      <c r="N765" s="2" t="s">
        <v>74</v>
      </c>
      <c r="O765" s="2" t="s">
        <v>74</v>
      </c>
      <c r="P765" s="2" t="s">
        <v>74</v>
      </c>
      <c r="Q765" s="2" t="s">
        <v>74</v>
      </c>
      <c r="R765" s="2" t="s">
        <v>74</v>
      </c>
      <c r="S765" s="2" t="s">
        <v>74</v>
      </c>
      <c r="T765" s="2" t="s">
        <v>74</v>
      </c>
      <c r="U765" s="2" t="s">
        <v>74</v>
      </c>
      <c r="V765" s="5" t="s">
        <v>3589</v>
      </c>
      <c r="W765" s="2" t="s">
        <v>74</v>
      </c>
      <c r="X765" s="2" t="s">
        <v>74</v>
      </c>
      <c r="Y765" s="2" t="s">
        <v>74</v>
      </c>
      <c r="Z765" s="2" t="s">
        <v>74</v>
      </c>
      <c r="AA765" s="2" t="s">
        <v>74</v>
      </c>
      <c r="AB765" s="2" t="s">
        <v>74</v>
      </c>
      <c r="AC765" s="2" t="s">
        <v>74</v>
      </c>
      <c r="AD765" s="2" t="s">
        <v>74</v>
      </c>
      <c r="AE765" s="2" t="s">
        <v>74</v>
      </c>
      <c r="AF765" s="2" t="s">
        <v>74</v>
      </c>
      <c r="AG765" s="2" t="s">
        <v>74</v>
      </c>
      <c r="AH765" s="2" t="s">
        <v>74</v>
      </c>
      <c r="AI765" s="2" t="s">
        <v>74</v>
      </c>
      <c r="AJ765" s="2" t="s">
        <v>74</v>
      </c>
      <c r="AK765" s="2" t="s">
        <v>74</v>
      </c>
      <c r="AL765" s="2" t="s">
        <v>74</v>
      </c>
      <c r="AM765" s="2" t="s">
        <v>74</v>
      </c>
      <c r="AN765" s="2" t="s">
        <v>74</v>
      </c>
      <c r="AO765" s="2" t="s">
        <v>818</v>
      </c>
      <c r="AP765" s="2" t="s">
        <v>1505</v>
      </c>
      <c r="AQ765" s="2" t="s">
        <v>74</v>
      </c>
      <c r="AR765" s="2" t="s">
        <v>74</v>
      </c>
      <c r="AS765" s="2" t="s">
        <v>74</v>
      </c>
      <c r="AT765" s="2" t="s">
        <v>305</v>
      </c>
      <c r="AU765" s="2">
        <v>2023</v>
      </c>
      <c r="AV765" s="2">
        <v>161</v>
      </c>
      <c r="AW765" s="2" t="s">
        <v>74</v>
      </c>
      <c r="AX765" s="2" t="s">
        <v>74</v>
      </c>
      <c r="AY765" s="2" t="s">
        <v>74</v>
      </c>
      <c r="AZ765" s="2" t="s">
        <v>74</v>
      </c>
      <c r="BA765" s="2" t="s">
        <v>74</v>
      </c>
      <c r="BB765" s="2" t="s">
        <v>74</v>
      </c>
      <c r="BC765" s="2" t="s">
        <v>74</v>
      </c>
      <c r="BD765" s="2">
        <v>126128</v>
      </c>
      <c r="BE765" s="2" t="s">
        <v>3590</v>
      </c>
      <c r="BF765" s="2" t="str">
        <f>HYPERLINK("http://dx.doi.org/10.1016/j.zool.2023.126128","http://dx.doi.org/10.1016/j.zool.2023.126128")</f>
        <v>http://dx.doi.org/10.1016/j.zool.2023.126128</v>
      </c>
      <c r="BG765" s="2" t="s">
        <v>74</v>
      </c>
      <c r="BH765" s="2" t="s">
        <v>902</v>
      </c>
      <c r="BI765" s="2" t="s">
        <v>74</v>
      </c>
      <c r="BJ765" s="2" t="s">
        <v>74</v>
      </c>
      <c r="BK765" s="2" t="s">
        <v>74</v>
      </c>
      <c r="BL765" s="2" t="s">
        <v>74</v>
      </c>
      <c r="BM765" s="2" t="s">
        <v>74</v>
      </c>
      <c r="BN765" s="2">
        <v>37839289</v>
      </c>
      <c r="BO765" s="2" t="s">
        <v>74</v>
      </c>
      <c r="BP765" s="2" t="s">
        <v>74</v>
      </c>
      <c r="BQ765" s="2" t="s">
        <v>74</v>
      </c>
      <c r="BR765" s="2" t="s">
        <v>74</v>
      </c>
      <c r="BS765" s="2" t="s">
        <v>3591</v>
      </c>
      <c r="BT765" s="2" t="str">
        <f>HYPERLINK("https%3A%2F%2Fwww.webofscience.com%2Fwos%2Fwoscc%2Ffull-record%2FWOS:001098666600001","View Full Record in Web of Science")</f>
        <v>View Full Record in Web of Science</v>
      </c>
    </row>
    <row r="766" spans="1:72" s="2" customFormat="1" x14ac:dyDescent="0.4">
      <c r="A766" s="2" t="s">
        <v>72</v>
      </c>
      <c r="B766" s="2" t="s">
        <v>4673</v>
      </c>
      <c r="C766" s="2" t="s">
        <v>74</v>
      </c>
      <c r="D766" s="2" t="s">
        <v>74</v>
      </c>
      <c r="E766" s="2" t="s">
        <v>74</v>
      </c>
      <c r="F766" s="2" t="s">
        <v>4673</v>
      </c>
      <c r="G766" s="2" t="s">
        <v>74</v>
      </c>
      <c r="H766" s="2" t="s">
        <v>74</v>
      </c>
      <c r="I766" s="2" t="s">
        <v>4674</v>
      </c>
      <c r="J766" s="2" t="s">
        <v>1755</v>
      </c>
      <c r="K766" s="2" t="s">
        <v>74</v>
      </c>
      <c r="L766" s="2" t="s">
        <v>74</v>
      </c>
      <c r="M766" s="2" t="s">
        <v>74</v>
      </c>
      <c r="N766" s="2" t="s">
        <v>74</v>
      </c>
      <c r="O766" s="2" t="s">
        <v>74</v>
      </c>
      <c r="P766" s="2" t="s">
        <v>74</v>
      </c>
      <c r="Q766" s="2" t="s">
        <v>74</v>
      </c>
      <c r="R766" s="2" t="s">
        <v>74</v>
      </c>
      <c r="S766" s="2" t="s">
        <v>74</v>
      </c>
      <c r="T766" s="2" t="s">
        <v>74</v>
      </c>
      <c r="U766" s="2" t="s">
        <v>74</v>
      </c>
      <c r="V766" s="5" t="s">
        <v>4675</v>
      </c>
      <c r="W766" s="2" t="s">
        <v>74</v>
      </c>
      <c r="X766" s="2" t="s">
        <v>74</v>
      </c>
      <c r="Y766" s="2" t="s">
        <v>74</v>
      </c>
      <c r="Z766" s="2" t="s">
        <v>74</v>
      </c>
      <c r="AA766" s="2" t="s">
        <v>2989</v>
      </c>
      <c r="AB766" s="2" t="s">
        <v>4093</v>
      </c>
      <c r="AC766" s="2" t="s">
        <v>74</v>
      </c>
      <c r="AD766" s="2" t="s">
        <v>74</v>
      </c>
      <c r="AE766" s="2" t="s">
        <v>74</v>
      </c>
      <c r="AF766" s="2" t="s">
        <v>74</v>
      </c>
      <c r="AG766" s="2" t="s">
        <v>74</v>
      </c>
      <c r="AH766" s="2" t="s">
        <v>74</v>
      </c>
      <c r="AI766" s="2" t="s">
        <v>74</v>
      </c>
      <c r="AJ766" s="2" t="s">
        <v>74</v>
      </c>
      <c r="AK766" s="2" t="s">
        <v>74</v>
      </c>
      <c r="AL766" s="2" t="s">
        <v>74</v>
      </c>
      <c r="AM766" s="2" t="s">
        <v>74</v>
      </c>
      <c r="AN766" s="2" t="s">
        <v>74</v>
      </c>
      <c r="AO766" s="2" t="s">
        <v>1759</v>
      </c>
      <c r="AP766" s="2" t="s">
        <v>1760</v>
      </c>
      <c r="AQ766" s="2" t="s">
        <v>74</v>
      </c>
      <c r="AR766" s="2" t="s">
        <v>74</v>
      </c>
      <c r="AS766" s="2" t="s">
        <v>74</v>
      </c>
      <c r="AT766" s="2" t="s">
        <v>213</v>
      </c>
      <c r="AU766" s="2">
        <v>1999</v>
      </c>
      <c r="AV766" s="2">
        <v>12</v>
      </c>
      <c r="AW766" s="2">
        <v>6</v>
      </c>
      <c r="AX766" s="2" t="s">
        <v>74</v>
      </c>
      <c r="AY766" s="2" t="s">
        <v>74</v>
      </c>
      <c r="AZ766" s="2" t="s">
        <v>74</v>
      </c>
      <c r="BA766" s="2" t="s">
        <v>74</v>
      </c>
      <c r="BB766" s="2">
        <v>801</v>
      </c>
      <c r="BC766" s="2">
        <v>814</v>
      </c>
      <c r="BD766" s="2" t="s">
        <v>74</v>
      </c>
      <c r="BE766" s="2" t="s">
        <v>4676</v>
      </c>
      <c r="BF766" s="2" t="str">
        <f>HYPERLINK("http://dx.doi.org/10.1023/A:1020957110842","http://dx.doi.org/10.1023/A:1020957110842")</f>
        <v>http://dx.doi.org/10.1023/A:1020957110842</v>
      </c>
      <c r="BG766" s="2" t="s">
        <v>74</v>
      </c>
      <c r="BH766" s="2" t="s">
        <v>74</v>
      </c>
      <c r="BI766" s="2" t="s">
        <v>74</v>
      </c>
      <c r="BJ766" s="2" t="s">
        <v>74</v>
      </c>
      <c r="BK766" s="2" t="s">
        <v>74</v>
      </c>
      <c r="BL766" s="2" t="s">
        <v>74</v>
      </c>
      <c r="BM766" s="2" t="s">
        <v>74</v>
      </c>
      <c r="BN766" s="2" t="s">
        <v>74</v>
      </c>
      <c r="BO766" s="2" t="s">
        <v>74</v>
      </c>
      <c r="BP766" s="2" t="s">
        <v>74</v>
      </c>
      <c r="BQ766" s="2" t="s">
        <v>74</v>
      </c>
      <c r="BR766" s="2" t="s">
        <v>74</v>
      </c>
      <c r="BS766" s="2" t="s">
        <v>4677</v>
      </c>
      <c r="BT766" s="2" t="str">
        <f>HYPERLINK("https%3A%2F%2Fwww.webofscience.com%2Fwos%2Fwoscc%2Ffull-record%2FWOS:000087352400006","View Full Record in Web of Science")</f>
        <v>View Full Record in Web of Science</v>
      </c>
    </row>
    <row r="767" spans="1:72" s="2" customFormat="1" x14ac:dyDescent="0.4">
      <c r="A767" s="2" t="s">
        <v>72</v>
      </c>
      <c r="B767" s="2" t="s">
        <v>4957</v>
      </c>
      <c r="C767" s="2" t="s">
        <v>74</v>
      </c>
      <c r="D767" s="2" t="s">
        <v>74</v>
      </c>
      <c r="E767" s="2" t="s">
        <v>74</v>
      </c>
      <c r="F767" s="2" t="s">
        <v>4958</v>
      </c>
      <c r="G767" s="2" t="s">
        <v>74</v>
      </c>
      <c r="H767" s="2" t="s">
        <v>74</v>
      </c>
      <c r="I767" s="2" t="s">
        <v>4959</v>
      </c>
      <c r="J767" s="2" t="s">
        <v>367</v>
      </c>
      <c r="K767" s="2" t="s">
        <v>74</v>
      </c>
      <c r="L767" s="2" t="s">
        <v>74</v>
      </c>
      <c r="M767" s="2" t="s">
        <v>74</v>
      </c>
      <c r="N767" s="2" t="s">
        <v>74</v>
      </c>
      <c r="O767" s="2" t="s">
        <v>74</v>
      </c>
      <c r="P767" s="2" t="s">
        <v>74</v>
      </c>
      <c r="Q767" s="2" t="s">
        <v>74</v>
      </c>
      <c r="R767" s="2" t="s">
        <v>74</v>
      </c>
      <c r="S767" s="2" t="s">
        <v>74</v>
      </c>
      <c r="T767" s="2" t="s">
        <v>74</v>
      </c>
      <c r="U767" s="2" t="s">
        <v>74</v>
      </c>
      <c r="V767" s="5" t="s">
        <v>4960</v>
      </c>
      <c r="W767" s="2" t="s">
        <v>74</v>
      </c>
      <c r="X767" s="2" t="s">
        <v>74</v>
      </c>
      <c r="Y767" s="2" t="s">
        <v>74</v>
      </c>
      <c r="Z767" s="2" t="s">
        <v>74</v>
      </c>
      <c r="AA767" s="2" t="s">
        <v>74</v>
      </c>
      <c r="AB767" s="2" t="s">
        <v>4961</v>
      </c>
      <c r="AC767" s="2" t="s">
        <v>74</v>
      </c>
      <c r="AD767" s="2" t="s">
        <v>74</v>
      </c>
      <c r="AE767" s="2" t="s">
        <v>74</v>
      </c>
      <c r="AF767" s="2" t="s">
        <v>74</v>
      </c>
      <c r="AG767" s="2" t="s">
        <v>74</v>
      </c>
      <c r="AH767" s="2" t="s">
        <v>74</v>
      </c>
      <c r="AI767" s="2" t="s">
        <v>74</v>
      </c>
      <c r="AJ767" s="2" t="s">
        <v>74</v>
      </c>
      <c r="AK767" s="2" t="s">
        <v>74</v>
      </c>
      <c r="AL767" s="2" t="s">
        <v>74</v>
      </c>
      <c r="AM767" s="2" t="s">
        <v>74</v>
      </c>
      <c r="AN767" s="2" t="s">
        <v>74</v>
      </c>
      <c r="AO767" s="2" t="s">
        <v>371</v>
      </c>
      <c r="AP767" s="2" t="s">
        <v>372</v>
      </c>
      <c r="AQ767" s="2" t="s">
        <v>74</v>
      </c>
      <c r="AR767" s="2" t="s">
        <v>74</v>
      </c>
      <c r="AS767" s="2" t="s">
        <v>74</v>
      </c>
      <c r="AT767" s="2" t="s">
        <v>213</v>
      </c>
      <c r="AU767" s="2">
        <v>2016</v>
      </c>
      <c r="AV767" s="2">
        <v>130</v>
      </c>
      <c r="AW767" s="2">
        <v>4</v>
      </c>
      <c r="AX767" s="2" t="s">
        <v>74</v>
      </c>
      <c r="AY767" s="2" t="s">
        <v>74</v>
      </c>
      <c r="AZ767" s="2" t="s">
        <v>74</v>
      </c>
      <c r="BA767" s="2" t="s">
        <v>74</v>
      </c>
      <c r="BB767" s="2">
        <v>328</v>
      </c>
      <c r="BC767" s="2">
        <v>340</v>
      </c>
      <c r="BD767" s="2" t="s">
        <v>74</v>
      </c>
      <c r="BE767" s="2" t="s">
        <v>4962</v>
      </c>
      <c r="BF767" s="2" t="str">
        <f>HYPERLINK("http://dx.doi.org/10.1037/com0000039","http://dx.doi.org/10.1037/com0000039")</f>
        <v>http://dx.doi.org/10.1037/com0000039</v>
      </c>
      <c r="BG767" s="2" t="s">
        <v>74</v>
      </c>
      <c r="BH767" s="2" t="s">
        <v>74</v>
      </c>
      <c r="BI767" s="2" t="s">
        <v>74</v>
      </c>
      <c r="BJ767" s="2" t="s">
        <v>74</v>
      </c>
      <c r="BK767" s="2" t="s">
        <v>74</v>
      </c>
      <c r="BL767" s="2" t="s">
        <v>74</v>
      </c>
      <c r="BM767" s="2" t="s">
        <v>74</v>
      </c>
      <c r="BN767" s="2">
        <v>27359074</v>
      </c>
      <c r="BO767" s="2" t="s">
        <v>74</v>
      </c>
      <c r="BP767" s="2" t="s">
        <v>74</v>
      </c>
      <c r="BQ767" s="2" t="s">
        <v>74</v>
      </c>
      <c r="BR767" s="2" t="s">
        <v>74</v>
      </c>
      <c r="BS767" s="2" t="s">
        <v>4963</v>
      </c>
      <c r="BT767" s="2" t="str">
        <f>HYPERLINK("https%3A%2F%2Fwww.webofscience.com%2Fwos%2Fwoscc%2Ffull-record%2FWOS:000388497000004","View Full Record in Web of Science")</f>
        <v>View Full Record in Web of Science</v>
      </c>
    </row>
    <row r="768" spans="1:72" s="2" customFormat="1" x14ac:dyDescent="0.4">
      <c r="A768" s="2" t="s">
        <v>72</v>
      </c>
      <c r="B768" s="2" t="s">
        <v>8568</v>
      </c>
      <c r="C768" s="2" t="s">
        <v>74</v>
      </c>
      <c r="D768" s="2" t="s">
        <v>74</v>
      </c>
      <c r="E768" s="2" t="s">
        <v>74</v>
      </c>
      <c r="F768" s="2" t="s">
        <v>8569</v>
      </c>
      <c r="G768" s="2" t="s">
        <v>74</v>
      </c>
      <c r="H768" s="2" t="s">
        <v>74</v>
      </c>
      <c r="I768" s="2" t="s">
        <v>8570</v>
      </c>
      <c r="J768" s="2" t="s">
        <v>2662</v>
      </c>
      <c r="K768" s="2" t="s">
        <v>74</v>
      </c>
      <c r="L768" s="2" t="s">
        <v>74</v>
      </c>
      <c r="M768" s="2" t="s">
        <v>74</v>
      </c>
      <c r="N768" s="2" t="s">
        <v>74</v>
      </c>
      <c r="O768" s="2" t="s">
        <v>74</v>
      </c>
      <c r="P768" s="2" t="s">
        <v>74</v>
      </c>
      <c r="Q768" s="2" t="s">
        <v>74</v>
      </c>
      <c r="R768" s="2" t="s">
        <v>74</v>
      </c>
      <c r="S768" s="2" t="s">
        <v>74</v>
      </c>
      <c r="T768" s="2" t="s">
        <v>74</v>
      </c>
      <c r="U768" s="2" t="s">
        <v>74</v>
      </c>
      <c r="V768" s="5" t="s">
        <v>8571</v>
      </c>
      <c r="W768" s="2" t="s">
        <v>74</v>
      </c>
      <c r="X768" s="2" t="s">
        <v>74</v>
      </c>
      <c r="Y768" s="2" t="s">
        <v>74</v>
      </c>
      <c r="Z768" s="2" t="s">
        <v>74</v>
      </c>
      <c r="AA768" s="2" t="s">
        <v>8572</v>
      </c>
      <c r="AB768" s="2" t="s">
        <v>8573</v>
      </c>
      <c r="AC768" s="2" t="s">
        <v>74</v>
      </c>
      <c r="AD768" s="2" t="s">
        <v>74</v>
      </c>
      <c r="AE768" s="2" t="s">
        <v>74</v>
      </c>
      <c r="AF768" s="2" t="s">
        <v>74</v>
      </c>
      <c r="AG768" s="2" t="s">
        <v>74</v>
      </c>
      <c r="AH768" s="2" t="s">
        <v>74</v>
      </c>
      <c r="AI768" s="2" t="s">
        <v>74</v>
      </c>
      <c r="AJ768" s="2" t="s">
        <v>74</v>
      </c>
      <c r="AK768" s="2" t="s">
        <v>74</v>
      </c>
      <c r="AL768" s="2" t="s">
        <v>74</v>
      </c>
      <c r="AM768" s="2" t="s">
        <v>74</v>
      </c>
      <c r="AN768" s="2" t="s">
        <v>74</v>
      </c>
      <c r="AO768" s="2" t="s">
        <v>2664</v>
      </c>
      <c r="AP768" s="2" t="s">
        <v>2665</v>
      </c>
      <c r="AQ768" s="2" t="s">
        <v>74</v>
      </c>
      <c r="AR768" s="2" t="s">
        <v>74</v>
      </c>
      <c r="AS768" s="2" t="s">
        <v>74</v>
      </c>
      <c r="AT768" s="2" t="s">
        <v>305</v>
      </c>
      <c r="AU768" s="2">
        <v>2020</v>
      </c>
      <c r="AV768" s="2">
        <v>54</v>
      </c>
      <c r="AW768" s="2">
        <v>4</v>
      </c>
      <c r="AX768" s="2" t="s">
        <v>74</v>
      </c>
      <c r="AY768" s="2" t="s">
        <v>74</v>
      </c>
      <c r="AZ768" s="2" t="s">
        <v>74</v>
      </c>
      <c r="BA768" s="2" t="s">
        <v>74</v>
      </c>
      <c r="BB768" s="2">
        <v>364</v>
      </c>
      <c r="BC768" s="2">
        <v>375</v>
      </c>
      <c r="BD768" s="2" t="s">
        <v>74</v>
      </c>
      <c r="BE768" s="2" t="s">
        <v>8574</v>
      </c>
      <c r="BF768" s="2" t="str">
        <f>HYPERLINK("http://dx.doi.org/10.3356/0892-1016-54.4.364","http://dx.doi.org/10.3356/0892-1016-54.4.364")</f>
        <v>http://dx.doi.org/10.3356/0892-1016-54.4.364</v>
      </c>
      <c r="BG768" s="2" t="s">
        <v>74</v>
      </c>
      <c r="BH768" s="2" t="s">
        <v>74</v>
      </c>
      <c r="BI768" s="2" t="s">
        <v>74</v>
      </c>
      <c r="BJ768" s="2" t="s">
        <v>74</v>
      </c>
      <c r="BK768" s="2" t="s">
        <v>74</v>
      </c>
      <c r="BL768" s="2" t="s">
        <v>74</v>
      </c>
      <c r="BM768" s="2" t="s">
        <v>74</v>
      </c>
      <c r="BN768" s="2" t="s">
        <v>74</v>
      </c>
      <c r="BO768" s="2" t="s">
        <v>74</v>
      </c>
      <c r="BP768" s="2" t="s">
        <v>74</v>
      </c>
      <c r="BQ768" s="2" t="s">
        <v>74</v>
      </c>
      <c r="BR768" s="2" t="s">
        <v>74</v>
      </c>
      <c r="BS768" s="2" t="s">
        <v>8575</v>
      </c>
      <c r="BT768" s="2" t="str">
        <f>HYPERLINK("https%3A%2F%2Fwww.webofscience.com%2Fwos%2Fwoscc%2Ffull-record%2FWOS:000604780200003","View Full Record in Web of Science")</f>
        <v>View Full Record in Web of Science</v>
      </c>
    </row>
    <row r="769" spans="1:72" s="7" customFormat="1" x14ac:dyDescent="0.4">
      <c r="A769" s="2" t="s">
        <v>72</v>
      </c>
      <c r="B769" s="2" t="s">
        <v>4426</v>
      </c>
      <c r="C769" s="2" t="s">
        <v>74</v>
      </c>
      <c r="D769" s="2" t="s">
        <v>74</v>
      </c>
      <c r="E769" s="2" t="s">
        <v>74</v>
      </c>
      <c r="F769" s="2" t="s">
        <v>4427</v>
      </c>
      <c r="G769" s="2" t="s">
        <v>74</v>
      </c>
      <c r="H769" s="2" t="s">
        <v>74</v>
      </c>
      <c r="I769" s="2" t="s">
        <v>4428</v>
      </c>
      <c r="J769" s="2" t="s">
        <v>1995</v>
      </c>
      <c r="K769" s="2" t="s">
        <v>74</v>
      </c>
      <c r="L769" s="2" t="s">
        <v>74</v>
      </c>
      <c r="M769" s="2" t="s">
        <v>74</v>
      </c>
      <c r="N769" s="2" t="s">
        <v>74</v>
      </c>
      <c r="O769" s="2" t="s">
        <v>74</v>
      </c>
      <c r="P769" s="2" t="s">
        <v>74</v>
      </c>
      <c r="Q769" s="2" t="s">
        <v>74</v>
      </c>
      <c r="R769" s="2" t="s">
        <v>74</v>
      </c>
      <c r="S769" s="2" t="s">
        <v>74</v>
      </c>
      <c r="T769" s="2" t="s">
        <v>74</v>
      </c>
      <c r="U769" s="2" t="s">
        <v>74</v>
      </c>
      <c r="V769" s="5" t="s">
        <v>4429</v>
      </c>
      <c r="W769" s="2" t="s">
        <v>74</v>
      </c>
      <c r="X769" s="2" t="s">
        <v>74</v>
      </c>
      <c r="Y769" s="2" t="s">
        <v>74</v>
      </c>
      <c r="Z769" s="2" t="s">
        <v>74</v>
      </c>
      <c r="AA769" s="2" t="s">
        <v>74</v>
      </c>
      <c r="AB769" s="2" t="s">
        <v>74</v>
      </c>
      <c r="AC769" s="2" t="s">
        <v>74</v>
      </c>
      <c r="AD769" s="2" t="s">
        <v>74</v>
      </c>
      <c r="AE769" s="2" t="s">
        <v>74</v>
      </c>
      <c r="AF769" s="2" t="s">
        <v>74</v>
      </c>
      <c r="AG769" s="2" t="s">
        <v>74</v>
      </c>
      <c r="AH769" s="2" t="s">
        <v>74</v>
      </c>
      <c r="AI769" s="2" t="s">
        <v>74</v>
      </c>
      <c r="AJ769" s="2" t="s">
        <v>74</v>
      </c>
      <c r="AK769" s="2" t="s">
        <v>74</v>
      </c>
      <c r="AL769" s="2" t="s">
        <v>74</v>
      </c>
      <c r="AM769" s="2" t="s">
        <v>74</v>
      </c>
      <c r="AN769" s="2" t="s">
        <v>74</v>
      </c>
      <c r="AO769" s="2" t="s">
        <v>1997</v>
      </c>
      <c r="AP769" s="2" t="s">
        <v>3917</v>
      </c>
      <c r="AQ769" s="2" t="s">
        <v>74</v>
      </c>
      <c r="AR769" s="2" t="s">
        <v>74</v>
      </c>
      <c r="AS769" s="2" t="s">
        <v>74</v>
      </c>
      <c r="AT769" s="2" t="s">
        <v>145</v>
      </c>
      <c r="AU769" s="2">
        <v>2023</v>
      </c>
      <c r="AV769" s="2">
        <v>94</v>
      </c>
      <c r="AW769" s="2">
        <v>3</v>
      </c>
      <c r="AX769" s="2" t="s">
        <v>74</v>
      </c>
      <c r="AY769" s="2" t="s">
        <v>74</v>
      </c>
      <c r="AZ769" s="2" t="s">
        <v>74</v>
      </c>
      <c r="BA769" s="2" t="s">
        <v>74</v>
      </c>
      <c r="BB769" s="2" t="s">
        <v>74</v>
      </c>
      <c r="BC769" s="2" t="s">
        <v>74</v>
      </c>
      <c r="BD769" s="2">
        <v>7</v>
      </c>
      <c r="BE769" s="2" t="s">
        <v>4430</v>
      </c>
      <c r="BF769" s="2" t="str">
        <f>HYPERLINK("http://dx.doi.org/10.5751/JFO-00288-940307","http://dx.doi.org/10.5751/JFO-00288-940307")</f>
        <v>http://dx.doi.org/10.5751/JFO-00288-940307</v>
      </c>
      <c r="BG769" s="2" t="s">
        <v>74</v>
      </c>
      <c r="BH769" s="2" t="s">
        <v>74</v>
      </c>
      <c r="BI769" s="2" t="s">
        <v>74</v>
      </c>
      <c r="BJ769" s="2" t="s">
        <v>74</v>
      </c>
      <c r="BK769" s="2" t="s">
        <v>74</v>
      </c>
      <c r="BL769" s="2" t="s">
        <v>74</v>
      </c>
      <c r="BM769" s="2" t="s">
        <v>74</v>
      </c>
      <c r="BN769" s="2" t="s">
        <v>74</v>
      </c>
      <c r="BO769" s="2" t="s">
        <v>74</v>
      </c>
      <c r="BP769" s="2" t="s">
        <v>74</v>
      </c>
      <c r="BQ769" s="2" t="s">
        <v>74</v>
      </c>
      <c r="BR769" s="2" t="s">
        <v>74</v>
      </c>
      <c r="BS769" s="2" t="s">
        <v>4431</v>
      </c>
      <c r="BT769" s="2" t="str">
        <f>HYPERLINK("https%3A%2F%2Fwww.webofscience.com%2Fwos%2Fwoscc%2Ffull-record%2FWOS:001041634300001","View Full Record in Web of Science")</f>
        <v>View Full Record in Web of Science</v>
      </c>
    </row>
    <row r="770" spans="1:72" s="2" customFormat="1" x14ac:dyDescent="0.4">
      <c r="A770" s="2" t="s">
        <v>72</v>
      </c>
      <c r="B770" s="2" t="s">
        <v>1291</v>
      </c>
      <c r="C770" s="2" t="s">
        <v>74</v>
      </c>
      <c r="D770" s="2" t="s">
        <v>74</v>
      </c>
      <c r="E770" s="2" t="s">
        <v>74</v>
      </c>
      <c r="F770" s="2" t="s">
        <v>1292</v>
      </c>
      <c r="G770" s="2" t="s">
        <v>74</v>
      </c>
      <c r="H770" s="2" t="s">
        <v>74</v>
      </c>
      <c r="I770" s="2" t="s">
        <v>1293</v>
      </c>
      <c r="J770" s="2" t="s">
        <v>108</v>
      </c>
      <c r="K770" s="2" t="s">
        <v>74</v>
      </c>
      <c r="L770" s="2" t="s">
        <v>74</v>
      </c>
      <c r="M770" s="2" t="s">
        <v>74</v>
      </c>
      <c r="N770" s="2" t="s">
        <v>74</v>
      </c>
      <c r="O770" s="2" t="s">
        <v>74</v>
      </c>
      <c r="P770" s="2" t="s">
        <v>74</v>
      </c>
      <c r="Q770" s="2" t="s">
        <v>74</v>
      </c>
      <c r="R770" s="2" t="s">
        <v>74</v>
      </c>
      <c r="S770" s="2" t="s">
        <v>74</v>
      </c>
      <c r="T770" s="2" t="s">
        <v>74</v>
      </c>
      <c r="U770" s="2" t="s">
        <v>74</v>
      </c>
      <c r="V770" s="5" t="s">
        <v>1294</v>
      </c>
      <c r="W770" s="2" t="s">
        <v>74</v>
      </c>
      <c r="X770" s="2" t="s">
        <v>74</v>
      </c>
      <c r="Y770" s="2" t="s">
        <v>74</v>
      </c>
      <c r="Z770" s="2" t="s">
        <v>74</v>
      </c>
      <c r="AA770" s="2" t="s">
        <v>1295</v>
      </c>
      <c r="AB770" s="2" t="s">
        <v>1296</v>
      </c>
      <c r="AC770" s="2" t="s">
        <v>74</v>
      </c>
      <c r="AD770" s="2" t="s">
        <v>74</v>
      </c>
      <c r="AE770" s="2" t="s">
        <v>74</v>
      </c>
      <c r="AF770" s="2" t="s">
        <v>74</v>
      </c>
      <c r="AG770" s="2" t="s">
        <v>74</v>
      </c>
      <c r="AH770" s="2" t="s">
        <v>74</v>
      </c>
      <c r="AI770" s="2" t="s">
        <v>74</v>
      </c>
      <c r="AJ770" s="2" t="s">
        <v>74</v>
      </c>
      <c r="AK770" s="2" t="s">
        <v>74</v>
      </c>
      <c r="AL770" s="2" t="s">
        <v>74</v>
      </c>
      <c r="AM770" s="2" t="s">
        <v>74</v>
      </c>
      <c r="AN770" s="2" t="s">
        <v>74</v>
      </c>
      <c r="AO770" s="2" t="s">
        <v>111</v>
      </c>
      <c r="AP770" s="2" t="s">
        <v>74</v>
      </c>
      <c r="AQ770" s="2" t="s">
        <v>74</v>
      </c>
      <c r="AR770" s="2" t="s">
        <v>74</v>
      </c>
      <c r="AS770" s="2" t="s">
        <v>74</v>
      </c>
      <c r="AT770" s="2" t="s">
        <v>924</v>
      </c>
      <c r="AU770" s="2">
        <v>2009</v>
      </c>
      <c r="AV770" s="2">
        <v>276</v>
      </c>
      <c r="AW770" s="2">
        <v>1675</v>
      </c>
      <c r="AX770" s="2" t="s">
        <v>74</v>
      </c>
      <c r="AY770" s="2" t="s">
        <v>74</v>
      </c>
      <c r="AZ770" s="2" t="s">
        <v>74</v>
      </c>
      <c r="BA770" s="2" t="s">
        <v>74</v>
      </c>
      <c r="BB770" s="2">
        <v>3989</v>
      </c>
      <c r="BC770" s="2">
        <v>3993</v>
      </c>
      <c r="BD770" s="2" t="s">
        <v>74</v>
      </c>
      <c r="BE770" s="2" t="s">
        <v>1297</v>
      </c>
      <c r="BF770" s="2" t="str">
        <f>HYPERLINK("http://dx.doi.org/10.1098/rspb.2009.1219","http://dx.doi.org/10.1098/rspb.2009.1219")</f>
        <v>http://dx.doi.org/10.1098/rspb.2009.1219</v>
      </c>
      <c r="BG770" s="2" t="s">
        <v>74</v>
      </c>
      <c r="BH770" s="2" t="s">
        <v>74</v>
      </c>
      <c r="BI770" s="2" t="s">
        <v>74</v>
      </c>
      <c r="BJ770" s="2" t="s">
        <v>74</v>
      </c>
      <c r="BK770" s="2" t="s">
        <v>74</v>
      </c>
      <c r="BL770" s="2" t="s">
        <v>74</v>
      </c>
      <c r="BM770" s="2" t="s">
        <v>74</v>
      </c>
      <c r="BN770" s="2">
        <v>19710067</v>
      </c>
      <c r="BO770" s="2" t="s">
        <v>74</v>
      </c>
      <c r="BP770" s="2" t="s">
        <v>74</v>
      </c>
      <c r="BQ770" s="2" t="s">
        <v>74</v>
      </c>
      <c r="BR770" s="2" t="s">
        <v>74</v>
      </c>
      <c r="BS770" s="2" t="s">
        <v>1298</v>
      </c>
      <c r="BT770" s="2" t="str">
        <f>HYPERLINK("https%3A%2F%2Fwww.webofscience.com%2Fwos%2Fwoscc%2Ffull-record%2FWOS:000270665100010","View Full Record in Web of Science")</f>
        <v>View Full Record in Web of Science</v>
      </c>
    </row>
    <row r="771" spans="1:72" s="2" customFormat="1" x14ac:dyDescent="0.4">
      <c r="A771" s="2" t="s">
        <v>72</v>
      </c>
      <c r="B771" s="2" t="s">
        <v>2627</v>
      </c>
      <c r="C771" s="2" t="s">
        <v>74</v>
      </c>
      <c r="D771" s="2" t="s">
        <v>74</v>
      </c>
      <c r="E771" s="2" t="s">
        <v>74</v>
      </c>
      <c r="F771" s="2" t="s">
        <v>2627</v>
      </c>
      <c r="G771" s="2" t="s">
        <v>74</v>
      </c>
      <c r="H771" s="2" t="s">
        <v>74</v>
      </c>
      <c r="I771" s="2" t="s">
        <v>2628</v>
      </c>
      <c r="J771" s="2" t="s">
        <v>2629</v>
      </c>
      <c r="K771" s="2" t="s">
        <v>74</v>
      </c>
      <c r="L771" s="2" t="s">
        <v>74</v>
      </c>
      <c r="M771" s="2" t="s">
        <v>74</v>
      </c>
      <c r="N771" s="2" t="s">
        <v>74</v>
      </c>
      <c r="O771" s="2" t="s">
        <v>74</v>
      </c>
      <c r="P771" s="2" t="s">
        <v>74</v>
      </c>
      <c r="Q771" s="2" t="s">
        <v>74</v>
      </c>
      <c r="R771" s="2" t="s">
        <v>74</v>
      </c>
      <c r="S771" s="2" t="s">
        <v>74</v>
      </c>
      <c r="T771" s="2" t="s">
        <v>74</v>
      </c>
      <c r="U771" s="2" t="s">
        <v>74</v>
      </c>
      <c r="V771" s="5" t="s">
        <v>2630</v>
      </c>
      <c r="W771" s="2" t="s">
        <v>74</v>
      </c>
      <c r="X771" s="2" t="s">
        <v>74</v>
      </c>
      <c r="Y771" s="2" t="s">
        <v>74</v>
      </c>
      <c r="Z771" s="2" t="s">
        <v>74</v>
      </c>
      <c r="AA771" s="2" t="s">
        <v>2631</v>
      </c>
      <c r="AB771" s="2" t="s">
        <v>74</v>
      </c>
      <c r="AC771" s="2" t="s">
        <v>74</v>
      </c>
      <c r="AD771" s="2" t="s">
        <v>74</v>
      </c>
      <c r="AE771" s="2" t="s">
        <v>74</v>
      </c>
      <c r="AF771" s="2" t="s">
        <v>74</v>
      </c>
      <c r="AG771" s="2" t="s">
        <v>74</v>
      </c>
      <c r="AH771" s="2" t="s">
        <v>74</v>
      </c>
      <c r="AI771" s="2" t="s">
        <v>74</v>
      </c>
      <c r="AJ771" s="2" t="s">
        <v>74</v>
      </c>
      <c r="AK771" s="2" t="s">
        <v>74</v>
      </c>
      <c r="AL771" s="2" t="s">
        <v>74</v>
      </c>
      <c r="AM771" s="2" t="s">
        <v>74</v>
      </c>
      <c r="AN771" s="2" t="s">
        <v>74</v>
      </c>
      <c r="AO771" s="2" t="s">
        <v>2632</v>
      </c>
      <c r="AP771" s="2" t="s">
        <v>2633</v>
      </c>
      <c r="AQ771" s="2" t="s">
        <v>74</v>
      </c>
      <c r="AR771" s="2" t="s">
        <v>74</v>
      </c>
      <c r="AS771" s="2" t="s">
        <v>74</v>
      </c>
      <c r="AT771" s="2" t="s">
        <v>74</v>
      </c>
      <c r="AU771" s="2">
        <v>1990</v>
      </c>
      <c r="AV771" s="2">
        <v>38</v>
      </c>
      <c r="AW771" s="2">
        <v>2</v>
      </c>
      <c r="AX771" s="2" t="s">
        <v>74</v>
      </c>
      <c r="AY771" s="2" t="s">
        <v>74</v>
      </c>
      <c r="AZ771" s="2" t="s">
        <v>74</v>
      </c>
      <c r="BA771" s="2" t="s">
        <v>74</v>
      </c>
      <c r="BB771" s="2">
        <v>117</v>
      </c>
      <c r="BC771" s="2">
        <v>130</v>
      </c>
      <c r="BD771" s="2" t="s">
        <v>74</v>
      </c>
      <c r="BE771" s="2" t="s">
        <v>2634</v>
      </c>
      <c r="BF771" s="2" t="str">
        <f>HYPERLINK("http://dx.doi.org/10.1071/ZO9900117","http://dx.doi.org/10.1071/ZO9900117")</f>
        <v>http://dx.doi.org/10.1071/ZO9900117</v>
      </c>
      <c r="BG771" s="2" t="s">
        <v>74</v>
      </c>
      <c r="BH771" s="2" t="s">
        <v>74</v>
      </c>
      <c r="BI771" s="2" t="s">
        <v>74</v>
      </c>
      <c r="BJ771" s="2" t="s">
        <v>74</v>
      </c>
      <c r="BK771" s="2" t="s">
        <v>74</v>
      </c>
      <c r="BL771" s="2" t="s">
        <v>74</v>
      </c>
      <c r="BM771" s="2" t="s">
        <v>74</v>
      </c>
      <c r="BN771" s="2" t="s">
        <v>74</v>
      </c>
      <c r="BO771" s="2" t="s">
        <v>74</v>
      </c>
      <c r="BP771" s="2" t="s">
        <v>74</v>
      </c>
      <c r="BQ771" s="2" t="s">
        <v>74</v>
      </c>
      <c r="BR771" s="2" t="s">
        <v>74</v>
      </c>
      <c r="BS771" s="2" t="s">
        <v>2635</v>
      </c>
      <c r="BT771" s="2" t="str">
        <f>HYPERLINK("https%3A%2F%2Fwww.webofscience.com%2Fwos%2Fwoscc%2Ffull-record%2FWOS:A1990ED59400002","View Full Record in Web of Science")</f>
        <v>View Full Record in Web of Science</v>
      </c>
    </row>
    <row r="772" spans="1:72" s="2" customFormat="1" x14ac:dyDescent="0.4">
      <c r="A772" s="2" t="s">
        <v>72</v>
      </c>
      <c r="B772" s="2" t="s">
        <v>5355</v>
      </c>
      <c r="C772" s="2" t="s">
        <v>74</v>
      </c>
      <c r="D772" s="2" t="s">
        <v>74</v>
      </c>
      <c r="E772" s="2" t="s">
        <v>74</v>
      </c>
      <c r="F772" s="2" t="s">
        <v>5355</v>
      </c>
      <c r="G772" s="2" t="s">
        <v>74</v>
      </c>
      <c r="H772" s="2" t="s">
        <v>74</v>
      </c>
      <c r="I772" s="2" t="s">
        <v>5356</v>
      </c>
      <c r="J772" s="2" t="s">
        <v>5357</v>
      </c>
      <c r="K772" s="2" t="s">
        <v>74</v>
      </c>
      <c r="L772" s="2" t="s">
        <v>74</v>
      </c>
      <c r="M772" s="2" t="s">
        <v>74</v>
      </c>
      <c r="N772" s="2" t="s">
        <v>74</v>
      </c>
      <c r="O772" s="2" t="s">
        <v>74</v>
      </c>
      <c r="P772" s="2" t="s">
        <v>74</v>
      </c>
      <c r="Q772" s="2" t="s">
        <v>74</v>
      </c>
      <c r="R772" s="2" t="s">
        <v>74</v>
      </c>
      <c r="S772" s="2" t="s">
        <v>74</v>
      </c>
      <c r="T772" s="2" t="s">
        <v>74</v>
      </c>
      <c r="U772" s="2" t="s">
        <v>74</v>
      </c>
      <c r="V772" s="5" t="s">
        <v>5358</v>
      </c>
      <c r="W772" s="2" t="s">
        <v>74</v>
      </c>
      <c r="X772" s="2" t="s">
        <v>74</v>
      </c>
      <c r="Y772" s="2" t="s">
        <v>74</v>
      </c>
      <c r="Z772" s="2" t="s">
        <v>74</v>
      </c>
      <c r="AA772" s="2" t="s">
        <v>74</v>
      </c>
      <c r="AB772" s="2" t="s">
        <v>74</v>
      </c>
      <c r="AC772" s="2" t="s">
        <v>74</v>
      </c>
      <c r="AD772" s="2" t="s">
        <v>74</v>
      </c>
      <c r="AE772" s="2" t="s">
        <v>74</v>
      </c>
      <c r="AF772" s="2" t="s">
        <v>74</v>
      </c>
      <c r="AG772" s="2" t="s">
        <v>74</v>
      </c>
      <c r="AH772" s="2" t="s">
        <v>74</v>
      </c>
      <c r="AI772" s="2" t="s">
        <v>74</v>
      </c>
      <c r="AJ772" s="2" t="s">
        <v>74</v>
      </c>
      <c r="AK772" s="2" t="s">
        <v>74</v>
      </c>
      <c r="AL772" s="2" t="s">
        <v>74</v>
      </c>
      <c r="AM772" s="2" t="s">
        <v>74</v>
      </c>
      <c r="AN772" s="2" t="s">
        <v>74</v>
      </c>
      <c r="AO772" s="2" t="s">
        <v>5359</v>
      </c>
      <c r="AP772" s="2" t="s">
        <v>5360</v>
      </c>
      <c r="AQ772" s="2" t="s">
        <v>74</v>
      </c>
      <c r="AR772" s="2" t="s">
        <v>74</v>
      </c>
      <c r="AS772" s="2" t="s">
        <v>74</v>
      </c>
      <c r="AT772" s="2" t="s">
        <v>74</v>
      </c>
      <c r="AU772" s="2">
        <v>2001</v>
      </c>
      <c r="AV772" s="2">
        <v>16</v>
      </c>
      <c r="AW772" s="2" t="s">
        <v>548</v>
      </c>
      <c r="AX772" s="2" t="s">
        <v>74</v>
      </c>
      <c r="AY772" s="2" t="s">
        <v>74</v>
      </c>
      <c r="AZ772" s="2" t="s">
        <v>74</v>
      </c>
      <c r="BA772" s="2" t="s">
        <v>74</v>
      </c>
      <c r="BB772" s="2">
        <v>13</v>
      </c>
      <c r="BC772" s="2">
        <v>20</v>
      </c>
      <c r="BD772" s="2" t="s">
        <v>74</v>
      </c>
      <c r="BE772" s="2" t="s">
        <v>74</v>
      </c>
      <c r="BF772" s="2" t="s">
        <v>74</v>
      </c>
      <c r="BG772" s="2" t="s">
        <v>74</v>
      </c>
      <c r="BH772" s="2" t="s">
        <v>74</v>
      </c>
      <c r="BI772" s="2" t="s">
        <v>74</v>
      </c>
      <c r="BJ772" s="2" t="s">
        <v>74</v>
      </c>
      <c r="BK772" s="2" t="s">
        <v>74</v>
      </c>
      <c r="BL772" s="2" t="s">
        <v>74</v>
      </c>
      <c r="BM772" s="2" t="s">
        <v>74</v>
      </c>
      <c r="BN772" s="2" t="s">
        <v>74</v>
      </c>
      <c r="BO772" s="2" t="s">
        <v>74</v>
      </c>
      <c r="BP772" s="2" t="s">
        <v>74</v>
      </c>
      <c r="BQ772" s="2" t="s">
        <v>74</v>
      </c>
      <c r="BR772" s="2" t="s">
        <v>74</v>
      </c>
      <c r="BS772" s="2" t="s">
        <v>5361</v>
      </c>
      <c r="BT772" s="2" t="str">
        <f>HYPERLINK("https%3A%2F%2Fwww.webofscience.com%2Fwos%2Fwoscc%2Ffull-record%2FWOS:000180542900002","View Full Record in Web of Science")</f>
        <v>View Full Record in Web of Science</v>
      </c>
    </row>
    <row r="773" spans="1:72" s="2" customFormat="1" x14ac:dyDescent="0.4">
      <c r="A773" s="2" t="s">
        <v>72</v>
      </c>
      <c r="B773" s="2" t="s">
        <v>5969</v>
      </c>
      <c r="C773" s="2" t="s">
        <v>74</v>
      </c>
      <c r="D773" s="2" t="s">
        <v>74</v>
      </c>
      <c r="E773" s="2" t="s">
        <v>74</v>
      </c>
      <c r="F773" s="2" t="s">
        <v>5970</v>
      </c>
      <c r="G773" s="2" t="s">
        <v>74</v>
      </c>
      <c r="H773" s="2" t="s">
        <v>74</v>
      </c>
      <c r="I773" s="2" t="s">
        <v>5971</v>
      </c>
      <c r="J773" s="2" t="s">
        <v>5972</v>
      </c>
      <c r="K773" s="2" t="s">
        <v>74</v>
      </c>
      <c r="L773" s="2" t="s">
        <v>74</v>
      </c>
      <c r="M773" s="2" t="s">
        <v>74</v>
      </c>
      <c r="N773" s="2" t="s">
        <v>74</v>
      </c>
      <c r="O773" s="2" t="s">
        <v>74</v>
      </c>
      <c r="P773" s="2" t="s">
        <v>74</v>
      </c>
      <c r="Q773" s="2" t="s">
        <v>74</v>
      </c>
      <c r="R773" s="2" t="s">
        <v>74</v>
      </c>
      <c r="S773" s="2" t="s">
        <v>74</v>
      </c>
      <c r="T773" s="2" t="s">
        <v>74</v>
      </c>
      <c r="U773" s="2" t="s">
        <v>74</v>
      </c>
      <c r="V773" s="5" t="s">
        <v>5973</v>
      </c>
      <c r="W773" s="2" t="s">
        <v>74</v>
      </c>
      <c r="X773" s="2" t="s">
        <v>74</v>
      </c>
      <c r="Y773" s="2" t="s">
        <v>74</v>
      </c>
      <c r="Z773" s="2" t="s">
        <v>74</v>
      </c>
      <c r="AA773" s="2" t="s">
        <v>74</v>
      </c>
      <c r="AB773" s="2" t="s">
        <v>5974</v>
      </c>
      <c r="AC773" s="2" t="s">
        <v>74</v>
      </c>
      <c r="AD773" s="2" t="s">
        <v>74</v>
      </c>
      <c r="AE773" s="2" t="s">
        <v>74</v>
      </c>
      <c r="AF773" s="2" t="s">
        <v>74</v>
      </c>
      <c r="AG773" s="2" t="s">
        <v>74</v>
      </c>
      <c r="AH773" s="2" t="s">
        <v>74</v>
      </c>
      <c r="AI773" s="2" t="s">
        <v>74</v>
      </c>
      <c r="AJ773" s="2" t="s">
        <v>74</v>
      </c>
      <c r="AK773" s="2" t="s">
        <v>74</v>
      </c>
      <c r="AL773" s="2" t="s">
        <v>74</v>
      </c>
      <c r="AM773" s="2" t="s">
        <v>74</v>
      </c>
      <c r="AN773" s="2" t="s">
        <v>74</v>
      </c>
      <c r="AO773" s="2" t="s">
        <v>5975</v>
      </c>
      <c r="AP773" s="2" t="s">
        <v>74</v>
      </c>
      <c r="AQ773" s="2" t="s">
        <v>74</v>
      </c>
      <c r="AR773" s="2" t="s">
        <v>74</v>
      </c>
      <c r="AS773" s="2" t="s">
        <v>74</v>
      </c>
      <c r="AT773" s="2" t="s">
        <v>74</v>
      </c>
      <c r="AU773" s="2">
        <v>2017</v>
      </c>
      <c r="AV773" s="2">
        <v>93</v>
      </c>
      <c r="AW773" s="2">
        <v>1</v>
      </c>
      <c r="AX773" s="2" t="s">
        <v>74</v>
      </c>
      <c r="AY773" s="2" t="s">
        <v>74</v>
      </c>
      <c r="AZ773" s="2" t="s">
        <v>74</v>
      </c>
      <c r="BA773" s="2" t="s">
        <v>74</v>
      </c>
      <c r="BB773" s="2">
        <v>95</v>
      </c>
      <c r="BC773" s="2">
        <v>104</v>
      </c>
      <c r="BD773" s="2" t="s">
        <v>74</v>
      </c>
      <c r="BE773" s="2" t="s">
        <v>5976</v>
      </c>
      <c r="BF773" s="2" t="str">
        <f>HYPERLINK("http://dx.doi.org/10.3897/zse.93.10794","http://dx.doi.org/10.3897/zse.93.10794")</f>
        <v>http://dx.doi.org/10.3897/zse.93.10794</v>
      </c>
      <c r="BG773" s="2" t="s">
        <v>74</v>
      </c>
      <c r="BH773" s="2" t="s">
        <v>74</v>
      </c>
      <c r="BI773" s="2" t="s">
        <v>74</v>
      </c>
      <c r="BJ773" s="2" t="s">
        <v>74</v>
      </c>
      <c r="BK773" s="2" t="s">
        <v>74</v>
      </c>
      <c r="BL773" s="2" t="s">
        <v>74</v>
      </c>
      <c r="BM773" s="2" t="s">
        <v>74</v>
      </c>
      <c r="BN773" s="2" t="s">
        <v>74</v>
      </c>
      <c r="BO773" s="2" t="s">
        <v>74</v>
      </c>
      <c r="BP773" s="2" t="s">
        <v>74</v>
      </c>
      <c r="BQ773" s="2" t="s">
        <v>74</v>
      </c>
      <c r="BR773" s="2" t="s">
        <v>74</v>
      </c>
      <c r="BS773" s="2" t="s">
        <v>5977</v>
      </c>
      <c r="BT773" s="2" t="str">
        <f>HYPERLINK("https%3A%2F%2Fwww.webofscience.com%2Fwos%2Fwoscc%2Ffull-record%2FWOS:000393302300005","View Full Record in Web of Science")</f>
        <v>View Full Record in Web of Science</v>
      </c>
    </row>
    <row r="774" spans="1:72" s="2" customFormat="1" x14ac:dyDescent="0.4">
      <c r="A774" s="2" t="s">
        <v>72</v>
      </c>
      <c r="B774" s="2" t="s">
        <v>4909</v>
      </c>
      <c r="C774" s="2" t="s">
        <v>74</v>
      </c>
      <c r="D774" s="2" t="s">
        <v>74</v>
      </c>
      <c r="E774" s="2" t="s">
        <v>74</v>
      </c>
      <c r="F774" s="2" t="s">
        <v>4910</v>
      </c>
      <c r="G774" s="2" t="s">
        <v>74</v>
      </c>
      <c r="H774" s="2" t="s">
        <v>74</v>
      </c>
      <c r="I774" s="2" t="s">
        <v>4911</v>
      </c>
      <c r="J774" s="2" t="s">
        <v>1656</v>
      </c>
      <c r="K774" s="2" t="s">
        <v>74</v>
      </c>
      <c r="L774" s="2" t="s">
        <v>74</v>
      </c>
      <c r="M774" s="2" t="s">
        <v>74</v>
      </c>
      <c r="N774" s="2" t="s">
        <v>74</v>
      </c>
      <c r="O774" s="2" t="s">
        <v>74</v>
      </c>
      <c r="P774" s="2" t="s">
        <v>74</v>
      </c>
      <c r="Q774" s="2" t="s">
        <v>74</v>
      </c>
      <c r="R774" s="2" t="s">
        <v>74</v>
      </c>
      <c r="S774" s="2" t="s">
        <v>74</v>
      </c>
      <c r="T774" s="2" t="s">
        <v>74</v>
      </c>
      <c r="U774" s="2" t="s">
        <v>74</v>
      </c>
      <c r="V774" s="5" t="s">
        <v>4912</v>
      </c>
      <c r="W774" s="2" t="s">
        <v>74</v>
      </c>
      <c r="X774" s="2" t="s">
        <v>74</v>
      </c>
      <c r="Y774" s="2" t="s">
        <v>74</v>
      </c>
      <c r="Z774" s="2" t="s">
        <v>74</v>
      </c>
      <c r="AA774" s="2" t="s">
        <v>74</v>
      </c>
      <c r="AB774" s="2" t="s">
        <v>74</v>
      </c>
      <c r="AC774" s="2" t="s">
        <v>74</v>
      </c>
      <c r="AD774" s="2" t="s">
        <v>74</v>
      </c>
      <c r="AE774" s="2" t="s">
        <v>74</v>
      </c>
      <c r="AF774" s="2" t="s">
        <v>74</v>
      </c>
      <c r="AG774" s="2" t="s">
        <v>74</v>
      </c>
      <c r="AH774" s="2" t="s">
        <v>74</v>
      </c>
      <c r="AI774" s="2" t="s">
        <v>74</v>
      </c>
      <c r="AJ774" s="2" t="s">
        <v>74</v>
      </c>
      <c r="AK774" s="2" t="s">
        <v>74</v>
      </c>
      <c r="AL774" s="2" t="s">
        <v>74</v>
      </c>
      <c r="AM774" s="2" t="s">
        <v>74</v>
      </c>
      <c r="AN774" s="2" t="s">
        <v>74</v>
      </c>
      <c r="AO774" s="2" t="s">
        <v>1658</v>
      </c>
      <c r="AP774" s="2" t="s">
        <v>1659</v>
      </c>
      <c r="AQ774" s="2" t="s">
        <v>74</v>
      </c>
      <c r="AR774" s="2" t="s">
        <v>74</v>
      </c>
      <c r="AS774" s="2" t="s">
        <v>74</v>
      </c>
      <c r="AT774" s="2" t="s">
        <v>4913</v>
      </c>
      <c r="AU774" s="2">
        <v>2008</v>
      </c>
      <c r="AV774" s="2" t="s">
        <v>74</v>
      </c>
      <c r="AW774" s="2">
        <v>1703</v>
      </c>
      <c r="AX774" s="2" t="s">
        <v>74</v>
      </c>
      <c r="AY774" s="2" t="s">
        <v>74</v>
      </c>
      <c r="AZ774" s="2" t="s">
        <v>74</v>
      </c>
      <c r="BA774" s="2" t="s">
        <v>74</v>
      </c>
      <c r="BB774" s="2">
        <v>1</v>
      </c>
      <c r="BC774" s="2">
        <v>24</v>
      </c>
      <c r="BD774" s="2" t="s">
        <v>74</v>
      </c>
      <c r="BE774" s="2" t="s">
        <v>74</v>
      </c>
      <c r="BF774" s="2" t="s">
        <v>74</v>
      </c>
      <c r="BG774" s="2" t="s">
        <v>74</v>
      </c>
      <c r="BH774" s="2" t="s">
        <v>74</v>
      </c>
      <c r="BI774" s="2" t="s">
        <v>74</v>
      </c>
      <c r="BJ774" s="2" t="s">
        <v>74</v>
      </c>
      <c r="BK774" s="2" t="s">
        <v>74</v>
      </c>
      <c r="BL774" s="2" t="s">
        <v>74</v>
      </c>
      <c r="BM774" s="2" t="s">
        <v>74</v>
      </c>
      <c r="BN774" s="2" t="s">
        <v>74</v>
      </c>
      <c r="BO774" s="2" t="s">
        <v>74</v>
      </c>
      <c r="BP774" s="2" t="s">
        <v>74</v>
      </c>
      <c r="BQ774" s="2" t="s">
        <v>74</v>
      </c>
      <c r="BR774" s="2" t="s">
        <v>74</v>
      </c>
      <c r="BS774" s="2" t="s">
        <v>4914</v>
      </c>
      <c r="BT774" s="2" t="str">
        <f>HYPERLINK("https%3A%2F%2Fwww.webofscience.com%2Fwos%2Fwoscc%2Ffull-record%2FWOS:000253163600001","View Full Record in Web of Science")</f>
        <v>View Full Record in Web of Science</v>
      </c>
    </row>
    <row r="775" spans="1:72" s="2" customFormat="1" x14ac:dyDescent="0.4">
      <c r="A775" s="2" t="s">
        <v>72</v>
      </c>
      <c r="B775" s="2" t="s">
        <v>811</v>
      </c>
      <c r="C775" s="2" t="s">
        <v>74</v>
      </c>
      <c r="D775" s="2" t="s">
        <v>74</v>
      </c>
      <c r="E775" s="2" t="s">
        <v>74</v>
      </c>
      <c r="F775" s="2" t="s">
        <v>812</v>
      </c>
      <c r="G775" s="2" t="s">
        <v>74</v>
      </c>
      <c r="H775" s="2" t="s">
        <v>74</v>
      </c>
      <c r="I775" s="2" t="s">
        <v>813</v>
      </c>
      <c r="J775" s="2" t="s">
        <v>814</v>
      </c>
      <c r="K775" s="2" t="s">
        <v>74</v>
      </c>
      <c r="L775" s="2" t="s">
        <v>74</v>
      </c>
      <c r="M775" s="2" t="s">
        <v>74</v>
      </c>
      <c r="N775" s="2" t="s">
        <v>74</v>
      </c>
      <c r="O775" s="2" t="s">
        <v>74</v>
      </c>
      <c r="P775" s="2" t="s">
        <v>74</v>
      </c>
      <c r="Q775" s="2" t="s">
        <v>74</v>
      </c>
      <c r="R775" s="2" t="s">
        <v>74</v>
      </c>
      <c r="S775" s="2" t="s">
        <v>74</v>
      </c>
      <c r="T775" s="2" t="s">
        <v>74</v>
      </c>
      <c r="U775" s="2" t="s">
        <v>74</v>
      </c>
      <c r="V775" s="5" t="s">
        <v>815</v>
      </c>
      <c r="W775" s="2" t="s">
        <v>74</v>
      </c>
      <c r="X775" s="2" t="s">
        <v>74</v>
      </c>
      <c r="Y775" s="2" t="s">
        <v>74</v>
      </c>
      <c r="Z775" s="2" t="s">
        <v>74</v>
      </c>
      <c r="AA775" s="2" t="s">
        <v>816</v>
      </c>
      <c r="AB775" s="2" t="s">
        <v>817</v>
      </c>
      <c r="AC775" s="2" t="s">
        <v>74</v>
      </c>
      <c r="AD775" s="2" t="s">
        <v>74</v>
      </c>
      <c r="AE775" s="2" t="s">
        <v>74</v>
      </c>
      <c r="AF775" s="2" t="s">
        <v>74</v>
      </c>
      <c r="AG775" s="2" t="s">
        <v>74</v>
      </c>
      <c r="AH775" s="2" t="s">
        <v>74</v>
      </c>
      <c r="AI775" s="2" t="s">
        <v>74</v>
      </c>
      <c r="AJ775" s="2" t="s">
        <v>74</v>
      </c>
      <c r="AK775" s="2" t="s">
        <v>74</v>
      </c>
      <c r="AL775" s="2" t="s">
        <v>74</v>
      </c>
      <c r="AM775" s="2" t="s">
        <v>74</v>
      </c>
      <c r="AN775" s="2" t="s">
        <v>74</v>
      </c>
      <c r="AO775" s="2" t="s">
        <v>818</v>
      </c>
      <c r="AP775" s="2" t="s">
        <v>74</v>
      </c>
      <c r="AQ775" s="2" t="s">
        <v>74</v>
      </c>
      <c r="AR775" s="2" t="s">
        <v>74</v>
      </c>
      <c r="AS775" s="2" t="s">
        <v>74</v>
      </c>
      <c r="AT775" s="2" t="s">
        <v>305</v>
      </c>
      <c r="AU775" s="2">
        <v>2011</v>
      </c>
      <c r="AV775" s="2">
        <v>114</v>
      </c>
      <c r="AW775" s="2">
        <v>6</v>
      </c>
      <c r="AX775" s="2" t="s">
        <v>74</v>
      </c>
      <c r="AY775" s="2" t="s">
        <v>74</v>
      </c>
      <c r="AZ775" s="2" t="s">
        <v>74</v>
      </c>
      <c r="BA775" s="2" t="s">
        <v>74</v>
      </c>
      <c r="BB775" s="2">
        <v>335</v>
      </c>
      <c r="BC775" s="2">
        <v>339</v>
      </c>
      <c r="BD775" s="2" t="s">
        <v>74</v>
      </c>
      <c r="BE775" s="2" t="s">
        <v>819</v>
      </c>
      <c r="BF775" s="2" t="str">
        <f>HYPERLINK("http://dx.doi.org/10.1016/j.zool.2011.07.001","http://dx.doi.org/10.1016/j.zool.2011.07.001")</f>
        <v>http://dx.doi.org/10.1016/j.zool.2011.07.001</v>
      </c>
      <c r="BG775" s="2" t="s">
        <v>74</v>
      </c>
      <c r="BH775" s="2" t="s">
        <v>74</v>
      </c>
      <c r="BI775" s="2" t="s">
        <v>74</v>
      </c>
      <c r="BJ775" s="2" t="s">
        <v>74</v>
      </c>
      <c r="BK775" s="2" t="s">
        <v>74</v>
      </c>
      <c r="BL775" s="2" t="s">
        <v>74</v>
      </c>
      <c r="BM775" s="2" t="s">
        <v>74</v>
      </c>
      <c r="BN775" s="2">
        <v>21975142</v>
      </c>
      <c r="BO775" s="2" t="s">
        <v>74</v>
      </c>
      <c r="BP775" s="2" t="s">
        <v>74</v>
      </c>
      <c r="BQ775" s="2" t="s">
        <v>74</v>
      </c>
      <c r="BR775" s="2" t="s">
        <v>74</v>
      </c>
      <c r="BS775" s="2" t="s">
        <v>820</v>
      </c>
      <c r="BT775" s="2" t="str">
        <f>HYPERLINK("https%3A%2F%2Fwww.webofscience.com%2Fwos%2Fwoscc%2Ffull-record%2FWOS:000297909600003","View Full Record in Web of Science")</f>
        <v>View Full Record in Web of Science</v>
      </c>
    </row>
    <row r="776" spans="1:72" s="2" customFormat="1" x14ac:dyDescent="0.4">
      <c r="A776" s="2" t="s">
        <v>72</v>
      </c>
      <c r="B776" s="2" t="s">
        <v>5878</v>
      </c>
      <c r="C776" s="2" t="s">
        <v>74</v>
      </c>
      <c r="D776" s="2" t="s">
        <v>74</v>
      </c>
      <c r="E776" s="2" t="s">
        <v>74</v>
      </c>
      <c r="F776" s="2" t="s">
        <v>5879</v>
      </c>
      <c r="G776" s="2" t="s">
        <v>74</v>
      </c>
      <c r="H776" s="2" t="s">
        <v>74</v>
      </c>
      <c r="I776" s="2" t="s">
        <v>5880</v>
      </c>
      <c r="J776" s="2" t="s">
        <v>5881</v>
      </c>
      <c r="K776" s="2" t="s">
        <v>74</v>
      </c>
      <c r="L776" s="2" t="s">
        <v>74</v>
      </c>
      <c r="M776" s="2" t="s">
        <v>74</v>
      </c>
      <c r="N776" s="2" t="s">
        <v>74</v>
      </c>
      <c r="O776" s="2" t="s">
        <v>74</v>
      </c>
      <c r="P776" s="2" t="s">
        <v>74</v>
      </c>
      <c r="Q776" s="2" t="s">
        <v>74</v>
      </c>
      <c r="R776" s="2" t="s">
        <v>74</v>
      </c>
      <c r="S776" s="2" t="s">
        <v>74</v>
      </c>
      <c r="T776" s="2" t="s">
        <v>74</v>
      </c>
      <c r="U776" s="2" t="s">
        <v>74</v>
      </c>
      <c r="V776" s="5" t="s">
        <v>5882</v>
      </c>
      <c r="W776" s="2" t="s">
        <v>74</v>
      </c>
      <c r="X776" s="2" t="s">
        <v>74</v>
      </c>
      <c r="Y776" s="2" t="s">
        <v>74</v>
      </c>
      <c r="Z776" s="2" t="s">
        <v>74</v>
      </c>
      <c r="AA776" s="2" t="s">
        <v>5883</v>
      </c>
      <c r="AB776" s="2" t="s">
        <v>5884</v>
      </c>
      <c r="AC776" s="2" t="s">
        <v>74</v>
      </c>
      <c r="AD776" s="2" t="s">
        <v>74</v>
      </c>
      <c r="AE776" s="2" t="s">
        <v>74</v>
      </c>
      <c r="AF776" s="2" t="s">
        <v>74</v>
      </c>
      <c r="AG776" s="2" t="s">
        <v>74</v>
      </c>
      <c r="AH776" s="2" t="s">
        <v>74</v>
      </c>
      <c r="AI776" s="2" t="s">
        <v>74</v>
      </c>
      <c r="AJ776" s="2" t="s">
        <v>74</v>
      </c>
      <c r="AK776" s="2" t="s">
        <v>74</v>
      </c>
      <c r="AL776" s="2" t="s">
        <v>74</v>
      </c>
      <c r="AM776" s="2" t="s">
        <v>74</v>
      </c>
      <c r="AN776" s="2" t="s">
        <v>74</v>
      </c>
      <c r="AO776" s="2" t="s">
        <v>5885</v>
      </c>
      <c r="AP776" s="2" t="s">
        <v>5886</v>
      </c>
      <c r="AQ776" s="2" t="s">
        <v>74</v>
      </c>
      <c r="AR776" s="2" t="s">
        <v>74</v>
      </c>
      <c r="AS776" s="2" t="s">
        <v>74</v>
      </c>
      <c r="AT776" s="2" t="s">
        <v>5887</v>
      </c>
      <c r="AU776" s="2">
        <v>2015</v>
      </c>
      <c r="AV776" s="2">
        <v>82</v>
      </c>
      <c r="AW776" s="2">
        <v>3</v>
      </c>
      <c r="AX776" s="2" t="s">
        <v>74</v>
      </c>
      <c r="AY776" s="2" t="s">
        <v>74</v>
      </c>
      <c r="AZ776" s="2" t="s">
        <v>74</v>
      </c>
      <c r="BA776" s="2" t="s">
        <v>74</v>
      </c>
      <c r="BB776" s="2">
        <v>398</v>
      </c>
      <c r="BC776" s="2">
        <v>403</v>
      </c>
      <c r="BD776" s="2" t="s">
        <v>74</v>
      </c>
      <c r="BE776" s="2" t="s">
        <v>5888</v>
      </c>
      <c r="BF776" s="2" t="str">
        <f>HYPERLINK("http://dx.doi.org/10.1080/11250003.2015.1021391","http://dx.doi.org/10.1080/11250003.2015.1021391")</f>
        <v>http://dx.doi.org/10.1080/11250003.2015.1021391</v>
      </c>
      <c r="BG776" s="2" t="s">
        <v>74</v>
      </c>
      <c r="BH776" s="2" t="s">
        <v>74</v>
      </c>
      <c r="BI776" s="2" t="s">
        <v>74</v>
      </c>
      <c r="BJ776" s="2" t="s">
        <v>74</v>
      </c>
      <c r="BK776" s="2" t="s">
        <v>74</v>
      </c>
      <c r="BL776" s="2" t="s">
        <v>74</v>
      </c>
      <c r="BM776" s="2" t="s">
        <v>74</v>
      </c>
      <c r="BN776" s="2" t="s">
        <v>74</v>
      </c>
      <c r="BO776" s="2" t="s">
        <v>74</v>
      </c>
      <c r="BP776" s="2" t="s">
        <v>74</v>
      </c>
      <c r="BQ776" s="2" t="s">
        <v>74</v>
      </c>
      <c r="BR776" s="2" t="s">
        <v>74</v>
      </c>
      <c r="BS776" s="2" t="s">
        <v>5889</v>
      </c>
      <c r="BT776" s="2" t="str">
        <f>HYPERLINK("https%3A%2F%2Fwww.webofscience.com%2Fwos%2Fwoscc%2Ffull-record%2FWOS:000359742100011","View Full Record in Web of Science")</f>
        <v>View Full Record in Web of Science</v>
      </c>
    </row>
    <row r="777" spans="1:72" s="2" customFormat="1" x14ac:dyDescent="0.4">
      <c r="A777" s="2" t="s">
        <v>72</v>
      </c>
      <c r="B777" s="2" t="s">
        <v>296</v>
      </c>
      <c r="C777" s="2" t="s">
        <v>74</v>
      </c>
      <c r="D777" s="2" t="s">
        <v>74</v>
      </c>
      <c r="E777" s="2" t="s">
        <v>74</v>
      </c>
      <c r="F777" s="2" t="s">
        <v>297</v>
      </c>
      <c r="G777" s="2" t="s">
        <v>74</v>
      </c>
      <c r="H777" s="2" t="s">
        <v>74</v>
      </c>
      <c r="I777" s="2" t="s">
        <v>298</v>
      </c>
      <c r="J777" s="2" t="s">
        <v>299</v>
      </c>
      <c r="K777" s="2" t="s">
        <v>74</v>
      </c>
      <c r="L777" s="2" t="s">
        <v>74</v>
      </c>
      <c r="M777" s="2" t="s">
        <v>74</v>
      </c>
      <c r="N777" s="2" t="s">
        <v>74</v>
      </c>
      <c r="O777" s="2" t="s">
        <v>74</v>
      </c>
      <c r="P777" s="2" t="s">
        <v>74</v>
      </c>
      <c r="Q777" s="2" t="s">
        <v>74</v>
      </c>
      <c r="R777" s="2" t="s">
        <v>74</v>
      </c>
      <c r="S777" s="2" t="s">
        <v>74</v>
      </c>
      <c r="T777" s="2" t="s">
        <v>74</v>
      </c>
      <c r="U777" s="2" t="s">
        <v>74</v>
      </c>
      <c r="V777" s="5" t="s">
        <v>300</v>
      </c>
      <c r="W777" s="2" t="s">
        <v>74</v>
      </c>
      <c r="X777" s="2" t="s">
        <v>74</v>
      </c>
      <c r="Y777" s="2" t="s">
        <v>74</v>
      </c>
      <c r="Z777" s="2" t="s">
        <v>74</v>
      </c>
      <c r="AA777" s="2" t="s">
        <v>301</v>
      </c>
      <c r="AB777" s="2" t="s">
        <v>302</v>
      </c>
      <c r="AC777" s="2" t="s">
        <v>74</v>
      </c>
      <c r="AD777" s="2" t="s">
        <v>74</v>
      </c>
      <c r="AE777" s="2" t="s">
        <v>74</v>
      </c>
      <c r="AF777" s="2" t="s">
        <v>74</v>
      </c>
      <c r="AG777" s="2" t="s">
        <v>74</v>
      </c>
      <c r="AH777" s="2" t="s">
        <v>74</v>
      </c>
      <c r="AI777" s="2" t="s">
        <v>74</v>
      </c>
      <c r="AJ777" s="2" t="s">
        <v>74</v>
      </c>
      <c r="AK777" s="2" t="s">
        <v>74</v>
      </c>
      <c r="AL777" s="2" t="s">
        <v>74</v>
      </c>
      <c r="AM777" s="2" t="s">
        <v>74</v>
      </c>
      <c r="AN777" s="2" t="s">
        <v>74</v>
      </c>
      <c r="AO777" s="2" t="s">
        <v>303</v>
      </c>
      <c r="AP777" s="2" t="s">
        <v>304</v>
      </c>
      <c r="AQ777" s="2" t="s">
        <v>74</v>
      </c>
      <c r="AR777" s="2" t="s">
        <v>74</v>
      </c>
      <c r="AS777" s="2" t="s">
        <v>74</v>
      </c>
      <c r="AT777" s="2" t="s">
        <v>305</v>
      </c>
      <c r="AU777" s="2">
        <v>2022</v>
      </c>
      <c r="AV777" s="2">
        <v>53</v>
      </c>
      <c r="AW777" s="2">
        <v>17</v>
      </c>
      <c r="AX777" s="2" t="s">
        <v>74</v>
      </c>
      <c r="AY777" s="2" t="s">
        <v>74</v>
      </c>
      <c r="AZ777" s="2" t="s">
        <v>74</v>
      </c>
      <c r="BA777" s="2" t="s">
        <v>74</v>
      </c>
      <c r="BB777" s="2">
        <v>6407</v>
      </c>
      <c r="BC777" s="2">
        <v>6413</v>
      </c>
      <c r="BD777" s="2" t="s">
        <v>74</v>
      </c>
      <c r="BE777" s="2" t="s">
        <v>306</v>
      </c>
      <c r="BF777" s="2" t="str">
        <f>HYPERLINK("http://dx.doi.org/10.1111/are.16083","http://dx.doi.org/10.1111/are.16083")</f>
        <v>http://dx.doi.org/10.1111/are.16083</v>
      </c>
      <c r="BG777" s="2" t="s">
        <v>74</v>
      </c>
      <c r="BH777" s="2" t="s">
        <v>307</v>
      </c>
      <c r="BI777" s="2" t="s">
        <v>74</v>
      </c>
      <c r="BJ777" s="2" t="s">
        <v>74</v>
      </c>
      <c r="BK777" s="2" t="s">
        <v>74</v>
      </c>
      <c r="BL777" s="2" t="s">
        <v>74</v>
      </c>
      <c r="BM777" s="2" t="s">
        <v>74</v>
      </c>
      <c r="BN777" s="2" t="s">
        <v>74</v>
      </c>
      <c r="BO777" s="2" t="s">
        <v>74</v>
      </c>
      <c r="BP777" s="2" t="s">
        <v>74</v>
      </c>
      <c r="BQ777" s="2" t="s">
        <v>74</v>
      </c>
      <c r="BR777" s="2" t="s">
        <v>74</v>
      </c>
      <c r="BS777" s="2" t="s">
        <v>308</v>
      </c>
      <c r="BT777" s="2" t="str">
        <f>HYPERLINK("https%3A%2F%2Fwww.webofscience.com%2Fwos%2Fwoscc%2Ffull-record%2FWOS:000847232100001","View Full Record in Web of Science")</f>
        <v>View Full Record in Web of Science</v>
      </c>
    </row>
    <row r="778" spans="1:72" s="1" customFormat="1" x14ac:dyDescent="0.4">
      <c r="A778" s="2" t="s">
        <v>72</v>
      </c>
      <c r="B778" s="2" t="s">
        <v>1606</v>
      </c>
      <c r="C778" s="2" t="s">
        <v>74</v>
      </c>
      <c r="D778" s="2" t="s">
        <v>74</v>
      </c>
      <c r="E778" s="2" t="s">
        <v>74</v>
      </c>
      <c r="F778" s="2" t="s">
        <v>1606</v>
      </c>
      <c r="G778" s="2" t="s">
        <v>74</v>
      </c>
      <c r="H778" s="2" t="s">
        <v>74</v>
      </c>
      <c r="I778" s="2" t="s">
        <v>1607</v>
      </c>
      <c r="J778" s="2" t="s">
        <v>1135</v>
      </c>
      <c r="K778" s="2" t="s">
        <v>74</v>
      </c>
      <c r="L778" s="2" t="s">
        <v>74</v>
      </c>
      <c r="M778" s="2" t="s">
        <v>74</v>
      </c>
      <c r="N778" s="2" t="s">
        <v>74</v>
      </c>
      <c r="O778" s="2" t="s">
        <v>74</v>
      </c>
      <c r="P778" s="2" t="s">
        <v>74</v>
      </c>
      <c r="Q778" s="2" t="s">
        <v>74</v>
      </c>
      <c r="R778" s="2" t="s">
        <v>74</v>
      </c>
      <c r="S778" s="2" t="s">
        <v>74</v>
      </c>
      <c r="T778" s="2" t="s">
        <v>74</v>
      </c>
      <c r="U778" s="2" t="s">
        <v>74</v>
      </c>
      <c r="V778" s="5" t="s">
        <v>1608</v>
      </c>
      <c r="W778" s="2" t="s">
        <v>74</v>
      </c>
      <c r="X778" s="2" t="s">
        <v>74</v>
      </c>
      <c r="Y778" s="2" t="s">
        <v>74</v>
      </c>
      <c r="Z778" s="2" t="s">
        <v>74</v>
      </c>
      <c r="AA778" s="2" t="s">
        <v>1609</v>
      </c>
      <c r="AB778" s="2" t="s">
        <v>1610</v>
      </c>
      <c r="AC778" s="2" t="s">
        <v>74</v>
      </c>
      <c r="AD778" s="2" t="s">
        <v>74</v>
      </c>
      <c r="AE778" s="2" t="s">
        <v>74</v>
      </c>
      <c r="AF778" s="2" t="s">
        <v>74</v>
      </c>
      <c r="AG778" s="2" t="s">
        <v>74</v>
      </c>
      <c r="AH778" s="2" t="s">
        <v>74</v>
      </c>
      <c r="AI778" s="2" t="s">
        <v>74</v>
      </c>
      <c r="AJ778" s="2" t="s">
        <v>74</v>
      </c>
      <c r="AK778" s="2" t="s">
        <v>74</v>
      </c>
      <c r="AL778" s="2" t="s">
        <v>74</v>
      </c>
      <c r="AM778" s="2" t="s">
        <v>74</v>
      </c>
      <c r="AN778" s="2" t="s">
        <v>74</v>
      </c>
      <c r="AO778" s="2" t="s">
        <v>1137</v>
      </c>
      <c r="AP778" s="2" t="s">
        <v>74</v>
      </c>
      <c r="AQ778" s="2" t="s">
        <v>74</v>
      </c>
      <c r="AR778" s="2" t="s">
        <v>74</v>
      </c>
      <c r="AS778" s="2" t="s">
        <v>74</v>
      </c>
      <c r="AT778" s="2" t="s">
        <v>1611</v>
      </c>
      <c r="AU778" s="2">
        <v>1992</v>
      </c>
      <c r="AV778" s="2">
        <v>23</v>
      </c>
      <c r="AW778" s="2">
        <v>1</v>
      </c>
      <c r="AX778" s="2" t="s">
        <v>74</v>
      </c>
      <c r="AY778" s="2" t="s">
        <v>74</v>
      </c>
      <c r="AZ778" s="2" t="s">
        <v>74</v>
      </c>
      <c r="BA778" s="2" t="s">
        <v>74</v>
      </c>
      <c r="BB778" s="2">
        <v>17</v>
      </c>
      <c r="BC778" s="2">
        <v>23</v>
      </c>
      <c r="BD778" s="2" t="s">
        <v>74</v>
      </c>
      <c r="BE778" s="2" t="s">
        <v>1612</v>
      </c>
      <c r="BF778" s="2" t="str">
        <f>HYPERLINK("http://dx.doi.org/10.2307/3676422","http://dx.doi.org/10.2307/3676422")</f>
        <v>http://dx.doi.org/10.2307/3676422</v>
      </c>
      <c r="BG778" s="2" t="s">
        <v>74</v>
      </c>
      <c r="BH778" s="2" t="s">
        <v>74</v>
      </c>
      <c r="BI778" s="2" t="s">
        <v>74</v>
      </c>
      <c r="BJ778" s="2" t="s">
        <v>74</v>
      </c>
      <c r="BK778" s="2" t="s">
        <v>74</v>
      </c>
      <c r="BL778" s="2" t="s">
        <v>74</v>
      </c>
      <c r="BM778" s="2" t="s">
        <v>74</v>
      </c>
      <c r="BN778" s="2" t="s">
        <v>74</v>
      </c>
      <c r="BO778" s="2" t="s">
        <v>74</v>
      </c>
      <c r="BP778" s="2" t="s">
        <v>74</v>
      </c>
      <c r="BQ778" s="2" t="s">
        <v>74</v>
      </c>
      <c r="BR778" s="2" t="s">
        <v>74</v>
      </c>
      <c r="BS778" s="2" t="s">
        <v>1613</v>
      </c>
      <c r="BT778" s="2" t="str">
        <f>HYPERLINK("https%3A%2F%2Fwww.webofscience.com%2Fwos%2Fwoscc%2Ffull-record%2FWOS:A1992HN98800004","View Full Record in Web of Science")</f>
        <v>View Full Record in Web of Science</v>
      </c>
    </row>
    <row r="779" spans="1:72" s="1" customFormat="1" x14ac:dyDescent="0.4">
      <c r="A779" s="2" t="s">
        <v>72</v>
      </c>
      <c r="B779" s="2" t="s">
        <v>8412</v>
      </c>
      <c r="C779" s="2" t="s">
        <v>74</v>
      </c>
      <c r="D779" s="2" t="s">
        <v>74</v>
      </c>
      <c r="E779" s="2" t="s">
        <v>74</v>
      </c>
      <c r="F779" s="2" t="s">
        <v>8413</v>
      </c>
      <c r="G779" s="2" t="s">
        <v>74</v>
      </c>
      <c r="H779" s="2" t="s">
        <v>74</v>
      </c>
      <c r="I779" s="2" t="s">
        <v>8414</v>
      </c>
      <c r="J779" s="2" t="s">
        <v>1656</v>
      </c>
      <c r="K779" s="2" t="s">
        <v>74</v>
      </c>
      <c r="L779" s="2" t="s">
        <v>74</v>
      </c>
      <c r="M779" s="2" t="s">
        <v>74</v>
      </c>
      <c r="N779" s="2" t="s">
        <v>74</v>
      </c>
      <c r="O779" s="2" t="s">
        <v>74</v>
      </c>
      <c r="P779" s="2" t="s">
        <v>74</v>
      </c>
      <c r="Q779" s="2" t="s">
        <v>74</v>
      </c>
      <c r="R779" s="2" t="s">
        <v>74</v>
      </c>
      <c r="S779" s="2" t="s">
        <v>74</v>
      </c>
      <c r="T779" s="2" t="s">
        <v>74</v>
      </c>
      <c r="U779" s="2" t="s">
        <v>74</v>
      </c>
      <c r="V779" s="5" t="s">
        <v>8415</v>
      </c>
      <c r="W779" s="2" t="s">
        <v>74</v>
      </c>
      <c r="X779" s="2" t="s">
        <v>74</v>
      </c>
      <c r="Y779" s="2" t="s">
        <v>74</v>
      </c>
      <c r="Z779" s="2" t="s">
        <v>74</v>
      </c>
      <c r="AA779" s="2" t="s">
        <v>8416</v>
      </c>
      <c r="AB779" s="2" t="s">
        <v>8417</v>
      </c>
      <c r="AC779" s="2" t="s">
        <v>74</v>
      </c>
      <c r="AD779" s="2" t="s">
        <v>74</v>
      </c>
      <c r="AE779" s="2" t="s">
        <v>74</v>
      </c>
      <c r="AF779" s="2" t="s">
        <v>74</v>
      </c>
      <c r="AG779" s="2" t="s">
        <v>74</v>
      </c>
      <c r="AH779" s="2" t="s">
        <v>74</v>
      </c>
      <c r="AI779" s="2" t="s">
        <v>74</v>
      </c>
      <c r="AJ779" s="2" t="s">
        <v>74</v>
      </c>
      <c r="AK779" s="2" t="s">
        <v>74</v>
      </c>
      <c r="AL779" s="2" t="s">
        <v>74</v>
      </c>
      <c r="AM779" s="2" t="s">
        <v>74</v>
      </c>
      <c r="AN779" s="2" t="s">
        <v>74</v>
      </c>
      <c r="AO779" s="2" t="s">
        <v>1658</v>
      </c>
      <c r="AP779" s="2" t="s">
        <v>1659</v>
      </c>
      <c r="AQ779" s="2" t="s">
        <v>74</v>
      </c>
      <c r="AR779" s="2" t="s">
        <v>74</v>
      </c>
      <c r="AS779" s="2" t="s">
        <v>74</v>
      </c>
      <c r="AT779" s="2" t="s">
        <v>8418</v>
      </c>
      <c r="AU779" s="2">
        <v>2023</v>
      </c>
      <c r="AV779" s="2">
        <v>5285</v>
      </c>
      <c r="AW779" s="2">
        <v>2</v>
      </c>
      <c r="AX779" s="2" t="s">
        <v>74</v>
      </c>
      <c r="AY779" s="2" t="s">
        <v>74</v>
      </c>
      <c r="AZ779" s="2" t="s">
        <v>74</v>
      </c>
      <c r="BA779" s="2" t="s">
        <v>74</v>
      </c>
      <c r="BB779" s="2">
        <v>201</v>
      </c>
      <c r="BC779" s="2">
        <v>251</v>
      </c>
      <c r="BD779" s="2" t="s">
        <v>74</v>
      </c>
      <c r="BE779" s="2" t="s">
        <v>8419</v>
      </c>
      <c r="BF779" s="2" t="str">
        <f>HYPERLINK("http://dx.doi.org/10.11646/zootaxa.5285.2.1","http://dx.doi.org/10.11646/zootaxa.5285.2.1")</f>
        <v>http://dx.doi.org/10.11646/zootaxa.5285.2.1</v>
      </c>
      <c r="BG779" s="2" t="s">
        <v>74</v>
      </c>
      <c r="BH779" s="2" t="s">
        <v>74</v>
      </c>
      <c r="BI779" s="2" t="s">
        <v>74</v>
      </c>
      <c r="BJ779" s="2" t="s">
        <v>74</v>
      </c>
      <c r="BK779" s="2" t="s">
        <v>74</v>
      </c>
      <c r="BL779" s="2" t="s">
        <v>74</v>
      </c>
      <c r="BM779" s="2" t="s">
        <v>74</v>
      </c>
      <c r="BN779" s="2">
        <v>37518708</v>
      </c>
      <c r="BO779" s="2" t="s">
        <v>74</v>
      </c>
      <c r="BP779" s="2" t="s">
        <v>74</v>
      </c>
      <c r="BQ779" s="2" t="s">
        <v>74</v>
      </c>
      <c r="BR779" s="2" t="s">
        <v>74</v>
      </c>
      <c r="BS779" s="2" t="s">
        <v>8420</v>
      </c>
      <c r="BT779" s="2" t="str">
        <f>HYPERLINK("https%3A%2F%2Fwww.webofscience.com%2Fwos%2Fwoscc%2Ffull-record%2FWOS:000996486900001","View Full Record in Web of Science")</f>
        <v>View Full Record in Web of Science</v>
      </c>
    </row>
    <row r="780" spans="1:72" s="2" customFormat="1" x14ac:dyDescent="0.4">
      <c r="A780" s="2" t="s">
        <v>72</v>
      </c>
      <c r="B780" s="2" t="s">
        <v>8716</v>
      </c>
      <c r="C780" s="2" t="s">
        <v>74</v>
      </c>
      <c r="D780" s="2" t="s">
        <v>74</v>
      </c>
      <c r="E780" s="2" t="s">
        <v>74</v>
      </c>
      <c r="F780" s="2" t="s">
        <v>8717</v>
      </c>
      <c r="G780" s="2" t="s">
        <v>74</v>
      </c>
      <c r="H780" s="2" t="s">
        <v>74</v>
      </c>
      <c r="I780" s="2" t="s">
        <v>8718</v>
      </c>
      <c r="J780" s="2" t="s">
        <v>1112</v>
      </c>
      <c r="K780" s="2" t="s">
        <v>74</v>
      </c>
      <c r="L780" s="2" t="s">
        <v>74</v>
      </c>
      <c r="M780" s="2" t="s">
        <v>74</v>
      </c>
      <c r="N780" s="2" t="s">
        <v>74</v>
      </c>
      <c r="O780" s="2" t="s">
        <v>74</v>
      </c>
      <c r="P780" s="2" t="s">
        <v>74</v>
      </c>
      <c r="Q780" s="2" t="s">
        <v>74</v>
      </c>
      <c r="R780" s="2" t="s">
        <v>74</v>
      </c>
      <c r="S780" s="2" t="s">
        <v>74</v>
      </c>
      <c r="T780" s="2" t="s">
        <v>74</v>
      </c>
      <c r="U780" s="2" t="s">
        <v>74</v>
      </c>
      <c r="V780" s="5" t="s">
        <v>8719</v>
      </c>
      <c r="W780" s="2" t="s">
        <v>74</v>
      </c>
      <c r="X780" s="2" t="s">
        <v>74</v>
      </c>
      <c r="Y780" s="2" t="s">
        <v>74</v>
      </c>
      <c r="Z780" s="2" t="s">
        <v>74</v>
      </c>
      <c r="AA780" s="2" t="s">
        <v>74</v>
      </c>
      <c r="AB780" s="2" t="s">
        <v>8720</v>
      </c>
      <c r="AC780" s="2" t="s">
        <v>74</v>
      </c>
      <c r="AD780" s="2" t="s">
        <v>74</v>
      </c>
      <c r="AE780" s="2" t="s">
        <v>74</v>
      </c>
      <c r="AF780" s="2" t="s">
        <v>74</v>
      </c>
      <c r="AG780" s="2" t="s">
        <v>74</v>
      </c>
      <c r="AH780" s="2" t="s">
        <v>74</v>
      </c>
      <c r="AI780" s="2" t="s">
        <v>74</v>
      </c>
      <c r="AJ780" s="2" t="s">
        <v>74</v>
      </c>
      <c r="AK780" s="2" t="s">
        <v>74</v>
      </c>
      <c r="AL780" s="2" t="s">
        <v>74</v>
      </c>
      <c r="AM780" s="2" t="s">
        <v>74</v>
      </c>
      <c r="AN780" s="2" t="s">
        <v>74</v>
      </c>
      <c r="AO780" s="2" t="s">
        <v>1114</v>
      </c>
      <c r="AP780" s="2" t="s">
        <v>1115</v>
      </c>
      <c r="AQ780" s="2" t="s">
        <v>74</v>
      </c>
      <c r="AR780" s="2" t="s">
        <v>74</v>
      </c>
      <c r="AS780" s="2" t="s">
        <v>74</v>
      </c>
      <c r="AT780" s="2" t="s">
        <v>255</v>
      </c>
      <c r="AU780" s="2">
        <v>2019</v>
      </c>
      <c r="AV780" s="2">
        <v>210</v>
      </c>
      <c r="AW780" s="2" t="s">
        <v>74</v>
      </c>
      <c r="AX780" s="2" t="s">
        <v>74</v>
      </c>
      <c r="AY780" s="2" t="s">
        <v>74</v>
      </c>
      <c r="AZ780" s="2" t="s">
        <v>74</v>
      </c>
      <c r="BA780" s="2" t="s">
        <v>74</v>
      </c>
      <c r="BB780" s="2">
        <v>73</v>
      </c>
      <c r="BC780" s="2">
        <v>80</v>
      </c>
      <c r="BD780" s="2" t="s">
        <v>74</v>
      </c>
      <c r="BE780" s="2" t="s">
        <v>8721</v>
      </c>
      <c r="BF780" s="2" t="str">
        <f>HYPERLINK("http://dx.doi.org/10.1016/j.applanim.2018.10.011","http://dx.doi.org/10.1016/j.applanim.2018.10.011")</f>
        <v>http://dx.doi.org/10.1016/j.applanim.2018.10.011</v>
      </c>
      <c r="BG780" s="2" t="s">
        <v>74</v>
      </c>
      <c r="BH780" s="2" t="s">
        <v>74</v>
      </c>
      <c r="BI780" s="2" t="s">
        <v>74</v>
      </c>
      <c r="BJ780" s="2" t="s">
        <v>74</v>
      </c>
      <c r="BK780" s="2" t="s">
        <v>74</v>
      </c>
      <c r="BL780" s="2" t="s">
        <v>74</v>
      </c>
      <c r="BM780" s="2" t="s">
        <v>74</v>
      </c>
      <c r="BN780" s="2" t="s">
        <v>74</v>
      </c>
      <c r="BO780" s="2" t="s">
        <v>74</v>
      </c>
      <c r="BP780" s="2" t="s">
        <v>74</v>
      </c>
      <c r="BQ780" s="2" t="s">
        <v>74</v>
      </c>
      <c r="BR780" s="2" t="s">
        <v>74</v>
      </c>
      <c r="BS780" s="2" t="s">
        <v>8722</v>
      </c>
      <c r="BT780" s="2" t="str">
        <f>HYPERLINK("https%3A%2F%2Fwww.webofscience.com%2Fwos%2Fwoscc%2Ffull-record%2FWOS:000457661700010","View Full Record in Web of Science")</f>
        <v>View Full Record in Web of Science</v>
      </c>
    </row>
    <row r="781" spans="1:72" s="2" customFormat="1" x14ac:dyDescent="0.4">
      <c r="A781" s="2" t="s">
        <v>72</v>
      </c>
      <c r="B781" s="2" t="s">
        <v>105</v>
      </c>
      <c r="C781" s="2" t="s">
        <v>74</v>
      </c>
      <c r="D781" s="2" t="s">
        <v>74</v>
      </c>
      <c r="E781" s="2" t="s">
        <v>74</v>
      </c>
      <c r="F781" s="2" t="s">
        <v>106</v>
      </c>
      <c r="G781" s="2" t="s">
        <v>74</v>
      </c>
      <c r="H781" s="2" t="s">
        <v>74</v>
      </c>
      <c r="I781" s="2" t="s">
        <v>107</v>
      </c>
      <c r="J781" s="2" t="s">
        <v>108</v>
      </c>
      <c r="K781" s="2" t="s">
        <v>74</v>
      </c>
      <c r="L781" s="2" t="s">
        <v>74</v>
      </c>
      <c r="M781" s="2" t="s">
        <v>74</v>
      </c>
      <c r="N781" s="2" t="s">
        <v>74</v>
      </c>
      <c r="O781" s="2" t="s">
        <v>74</v>
      </c>
      <c r="P781" s="2" t="s">
        <v>74</v>
      </c>
      <c r="Q781" s="2" t="s">
        <v>74</v>
      </c>
      <c r="R781" s="2" t="s">
        <v>74</v>
      </c>
      <c r="S781" s="2" t="s">
        <v>74</v>
      </c>
      <c r="T781" s="2" t="s">
        <v>74</v>
      </c>
      <c r="U781" s="2" t="s">
        <v>74</v>
      </c>
      <c r="V781" s="5" t="s">
        <v>109</v>
      </c>
      <c r="W781" s="2" t="s">
        <v>74</v>
      </c>
      <c r="X781" s="2" t="s">
        <v>74</v>
      </c>
      <c r="Y781" s="2" t="s">
        <v>74</v>
      </c>
      <c r="Z781" s="2" t="s">
        <v>74</v>
      </c>
      <c r="AA781" s="2" t="s">
        <v>74</v>
      </c>
      <c r="AB781" s="2" t="s">
        <v>110</v>
      </c>
      <c r="AC781" s="2" t="s">
        <v>74</v>
      </c>
      <c r="AD781" s="2" t="s">
        <v>74</v>
      </c>
      <c r="AE781" s="2" t="s">
        <v>74</v>
      </c>
      <c r="AF781" s="2" t="s">
        <v>74</v>
      </c>
      <c r="AG781" s="2" t="s">
        <v>74</v>
      </c>
      <c r="AH781" s="2" t="s">
        <v>74</v>
      </c>
      <c r="AI781" s="2" t="s">
        <v>74</v>
      </c>
      <c r="AJ781" s="2" t="s">
        <v>74</v>
      </c>
      <c r="AK781" s="2" t="s">
        <v>74</v>
      </c>
      <c r="AL781" s="2" t="s">
        <v>74</v>
      </c>
      <c r="AM781" s="2" t="s">
        <v>74</v>
      </c>
      <c r="AN781" s="2" t="s">
        <v>74</v>
      </c>
      <c r="AO781" s="2" t="s">
        <v>111</v>
      </c>
      <c r="AP781" s="2" t="s">
        <v>112</v>
      </c>
      <c r="AQ781" s="2" t="s">
        <v>74</v>
      </c>
      <c r="AR781" s="2" t="s">
        <v>74</v>
      </c>
      <c r="AS781" s="2" t="s">
        <v>74</v>
      </c>
      <c r="AT781" s="2" t="s">
        <v>113</v>
      </c>
      <c r="AU781" s="2">
        <v>2018</v>
      </c>
      <c r="AV781" s="2">
        <v>285</v>
      </c>
      <c r="AW781" s="2">
        <v>1884</v>
      </c>
      <c r="AX781" s="2" t="s">
        <v>74</v>
      </c>
      <c r="AY781" s="2" t="s">
        <v>74</v>
      </c>
      <c r="AZ781" s="2" t="s">
        <v>74</v>
      </c>
      <c r="BA781" s="2" t="s">
        <v>74</v>
      </c>
      <c r="BB781" s="2" t="s">
        <v>74</v>
      </c>
      <c r="BC781" s="2" t="s">
        <v>74</v>
      </c>
      <c r="BD781" s="2">
        <v>20181248</v>
      </c>
      <c r="BE781" s="2" t="s">
        <v>114</v>
      </c>
      <c r="BF781" s="2" t="str">
        <f>HYPERLINK("http://dx.doi.org/10.1098/rspb.2018.1248","http://dx.doi.org/10.1098/rspb.2018.1248")</f>
        <v>http://dx.doi.org/10.1098/rspb.2018.1248</v>
      </c>
      <c r="BG781" s="2" t="s">
        <v>74</v>
      </c>
      <c r="BH781" s="2" t="s">
        <v>74</v>
      </c>
      <c r="BI781" s="2" t="s">
        <v>74</v>
      </c>
      <c r="BJ781" s="2" t="s">
        <v>74</v>
      </c>
      <c r="BK781" s="2" t="s">
        <v>74</v>
      </c>
      <c r="BL781" s="2" t="s">
        <v>74</v>
      </c>
      <c r="BM781" s="2" t="s">
        <v>74</v>
      </c>
      <c r="BN781" s="2">
        <v>30068684</v>
      </c>
      <c r="BO781" s="2" t="s">
        <v>74</v>
      </c>
      <c r="BP781" s="2" t="s">
        <v>74</v>
      </c>
      <c r="BQ781" s="2" t="s">
        <v>74</v>
      </c>
      <c r="BR781" s="2" t="s">
        <v>74</v>
      </c>
      <c r="BS781" s="2" t="s">
        <v>115</v>
      </c>
      <c r="BT781" s="2" t="str">
        <f>HYPERLINK("https%3A%2F%2Fwww.webofscience.com%2Fwos%2Fwoscc%2Ffull-record%2FWOS:000441725900027","View Full Record in Web of Science")</f>
        <v>View Full Record in Web of Science</v>
      </c>
    </row>
    <row r="782" spans="1:72" s="2" customFormat="1" x14ac:dyDescent="0.4">
      <c r="A782" s="2" t="s">
        <v>72</v>
      </c>
      <c r="B782" s="2" t="s">
        <v>168</v>
      </c>
      <c r="C782" s="2" t="s">
        <v>74</v>
      </c>
      <c r="D782" s="2" t="s">
        <v>74</v>
      </c>
      <c r="E782" s="2" t="s">
        <v>74</v>
      </c>
      <c r="F782" s="2" t="s">
        <v>169</v>
      </c>
      <c r="G782" s="2" t="s">
        <v>74</v>
      </c>
      <c r="H782" s="2" t="s">
        <v>74</v>
      </c>
      <c r="I782" s="2" t="s">
        <v>170</v>
      </c>
      <c r="J782" s="2" t="s">
        <v>171</v>
      </c>
      <c r="K782" s="2" t="s">
        <v>74</v>
      </c>
      <c r="L782" s="2" t="s">
        <v>74</v>
      </c>
      <c r="M782" s="2" t="s">
        <v>74</v>
      </c>
      <c r="N782" s="2" t="s">
        <v>74</v>
      </c>
      <c r="O782" s="2" t="s">
        <v>74</v>
      </c>
      <c r="P782" s="2" t="s">
        <v>74</v>
      </c>
      <c r="Q782" s="2" t="s">
        <v>74</v>
      </c>
      <c r="R782" s="2" t="s">
        <v>74</v>
      </c>
      <c r="S782" s="2" t="s">
        <v>74</v>
      </c>
      <c r="T782" s="2" t="s">
        <v>74</v>
      </c>
      <c r="U782" s="2" t="s">
        <v>74</v>
      </c>
      <c r="V782" s="5" t="s">
        <v>172</v>
      </c>
      <c r="W782" s="2" t="s">
        <v>74</v>
      </c>
      <c r="X782" s="2" t="s">
        <v>74</v>
      </c>
      <c r="Y782" s="2" t="s">
        <v>74</v>
      </c>
      <c r="Z782" s="2" t="s">
        <v>74</v>
      </c>
      <c r="AA782" s="2" t="s">
        <v>74</v>
      </c>
      <c r="AB782" s="2" t="s">
        <v>110</v>
      </c>
      <c r="AC782" s="2" t="s">
        <v>74</v>
      </c>
      <c r="AD782" s="2" t="s">
        <v>74</v>
      </c>
      <c r="AE782" s="2" t="s">
        <v>74</v>
      </c>
      <c r="AF782" s="2" t="s">
        <v>74</v>
      </c>
      <c r="AG782" s="2" t="s">
        <v>74</v>
      </c>
      <c r="AH782" s="2" t="s">
        <v>74</v>
      </c>
      <c r="AI782" s="2" t="s">
        <v>74</v>
      </c>
      <c r="AJ782" s="2" t="s">
        <v>74</v>
      </c>
      <c r="AK782" s="2" t="s">
        <v>74</v>
      </c>
      <c r="AL782" s="2" t="s">
        <v>74</v>
      </c>
      <c r="AM782" s="2" t="s">
        <v>74</v>
      </c>
      <c r="AN782" s="2" t="s">
        <v>74</v>
      </c>
      <c r="AO782" s="2" t="s">
        <v>173</v>
      </c>
      <c r="AP782" s="2" t="s">
        <v>174</v>
      </c>
      <c r="AQ782" s="2" t="s">
        <v>74</v>
      </c>
      <c r="AR782" s="2" t="s">
        <v>74</v>
      </c>
      <c r="AS782" s="2" t="s">
        <v>74</v>
      </c>
      <c r="AT782" s="2" t="s">
        <v>175</v>
      </c>
      <c r="AU782" s="2">
        <v>2017</v>
      </c>
      <c r="AV782" s="2">
        <v>71</v>
      </c>
      <c r="AW782" s="2">
        <v>10</v>
      </c>
      <c r="AX782" s="2" t="s">
        <v>74</v>
      </c>
      <c r="AY782" s="2" t="s">
        <v>74</v>
      </c>
      <c r="AZ782" s="2" t="s">
        <v>74</v>
      </c>
      <c r="BA782" s="2" t="s">
        <v>74</v>
      </c>
      <c r="BB782" s="2">
        <v>2428</v>
      </c>
      <c r="BC782" s="2">
        <v>2444</v>
      </c>
      <c r="BD782" s="2" t="s">
        <v>74</v>
      </c>
      <c r="BE782" s="2" t="s">
        <v>176</v>
      </c>
      <c r="BF782" s="2" t="str">
        <f>HYPERLINK("http://dx.doi.org/10.1111/evo.13321","http://dx.doi.org/10.1111/evo.13321")</f>
        <v>http://dx.doi.org/10.1111/evo.13321</v>
      </c>
      <c r="BG782" s="2" t="s">
        <v>74</v>
      </c>
      <c r="BH782" s="2" t="s">
        <v>74</v>
      </c>
      <c r="BI782" s="2" t="s">
        <v>74</v>
      </c>
      <c r="BJ782" s="2" t="s">
        <v>74</v>
      </c>
      <c r="BK782" s="2" t="s">
        <v>74</v>
      </c>
      <c r="BL782" s="2" t="s">
        <v>74</v>
      </c>
      <c r="BM782" s="2" t="s">
        <v>74</v>
      </c>
      <c r="BN782" s="2">
        <v>28776645</v>
      </c>
      <c r="BO782" s="2" t="s">
        <v>74</v>
      </c>
      <c r="BP782" s="2" t="s">
        <v>74</v>
      </c>
      <c r="BQ782" s="2" t="s">
        <v>74</v>
      </c>
      <c r="BR782" s="2" t="s">
        <v>74</v>
      </c>
      <c r="BS782" s="2" t="s">
        <v>177</v>
      </c>
      <c r="BT782" s="2" t="str">
        <f>HYPERLINK("https%3A%2F%2Fwww.webofscience.com%2Fwos%2Fwoscc%2Ffull-record%2FWOS:000412834700011","View Full Record in Web of Science")</f>
        <v>View Full Record in Web of Science</v>
      </c>
    </row>
    <row r="783" spans="1:72" s="2" customFormat="1" x14ac:dyDescent="0.4">
      <c r="A783" s="2" t="s">
        <v>72</v>
      </c>
      <c r="B783" s="2" t="s">
        <v>6835</v>
      </c>
      <c r="C783" s="2" t="s">
        <v>74</v>
      </c>
      <c r="D783" s="2" t="s">
        <v>74</v>
      </c>
      <c r="E783" s="2" t="s">
        <v>74</v>
      </c>
      <c r="F783" s="2" t="s">
        <v>6836</v>
      </c>
      <c r="G783" s="2" t="s">
        <v>74</v>
      </c>
      <c r="H783" s="2" t="s">
        <v>74</v>
      </c>
      <c r="I783" s="2" t="s">
        <v>6837</v>
      </c>
      <c r="J783" s="2" t="s">
        <v>1656</v>
      </c>
      <c r="K783" s="2" t="s">
        <v>74</v>
      </c>
      <c r="L783" s="2" t="s">
        <v>74</v>
      </c>
      <c r="M783" s="2" t="s">
        <v>74</v>
      </c>
      <c r="N783" s="2" t="s">
        <v>74</v>
      </c>
      <c r="O783" s="2" t="s">
        <v>74</v>
      </c>
      <c r="P783" s="2" t="s">
        <v>74</v>
      </c>
      <c r="Q783" s="2" t="s">
        <v>74</v>
      </c>
      <c r="R783" s="2" t="s">
        <v>74</v>
      </c>
      <c r="S783" s="2" t="s">
        <v>74</v>
      </c>
      <c r="T783" s="2" t="s">
        <v>74</v>
      </c>
      <c r="U783" s="2" t="s">
        <v>74</v>
      </c>
      <c r="V783" s="5" t="s">
        <v>6838</v>
      </c>
      <c r="W783" s="2" t="s">
        <v>74</v>
      </c>
      <c r="X783" s="2" t="s">
        <v>74</v>
      </c>
      <c r="Y783" s="2" t="s">
        <v>74</v>
      </c>
      <c r="Z783" s="2" t="s">
        <v>74</v>
      </c>
      <c r="AA783" s="2" t="s">
        <v>74</v>
      </c>
      <c r="AB783" s="2" t="s">
        <v>6839</v>
      </c>
      <c r="AC783" s="2" t="s">
        <v>74</v>
      </c>
      <c r="AD783" s="2" t="s">
        <v>74</v>
      </c>
      <c r="AE783" s="2" t="s">
        <v>74</v>
      </c>
      <c r="AF783" s="2" t="s">
        <v>74</v>
      </c>
      <c r="AG783" s="2" t="s">
        <v>74</v>
      </c>
      <c r="AH783" s="2" t="s">
        <v>74</v>
      </c>
      <c r="AI783" s="2" t="s">
        <v>74</v>
      </c>
      <c r="AJ783" s="2" t="s">
        <v>74</v>
      </c>
      <c r="AK783" s="2" t="s">
        <v>74</v>
      </c>
      <c r="AL783" s="2" t="s">
        <v>74</v>
      </c>
      <c r="AM783" s="2" t="s">
        <v>74</v>
      </c>
      <c r="AN783" s="2" t="s">
        <v>74</v>
      </c>
      <c r="AO783" s="2" t="s">
        <v>1658</v>
      </c>
      <c r="AP783" s="2" t="s">
        <v>1659</v>
      </c>
      <c r="AQ783" s="2" t="s">
        <v>74</v>
      </c>
      <c r="AR783" s="2" t="s">
        <v>74</v>
      </c>
      <c r="AS783" s="2" t="s">
        <v>74</v>
      </c>
      <c r="AT783" s="2" t="s">
        <v>6840</v>
      </c>
      <c r="AU783" s="2">
        <v>2019</v>
      </c>
      <c r="AV783" s="2">
        <v>4700</v>
      </c>
      <c r="AW783" s="2">
        <v>4</v>
      </c>
      <c r="AX783" s="2" t="s">
        <v>74</v>
      </c>
      <c r="AY783" s="2" t="s">
        <v>74</v>
      </c>
      <c r="AZ783" s="2" t="s">
        <v>74</v>
      </c>
      <c r="BA783" s="2" t="s">
        <v>74</v>
      </c>
      <c r="BB783" s="2">
        <v>501</v>
      </c>
      <c r="BC783" s="2">
        <v>534</v>
      </c>
      <c r="BD783" s="2" t="s">
        <v>74</v>
      </c>
      <c r="BE783" s="2" t="s">
        <v>6841</v>
      </c>
      <c r="BF783" s="2" t="str">
        <f>HYPERLINK("http://dx.doi.org/10.11646/zootaxa.4700.4.9","http://dx.doi.org/10.11646/zootaxa.4700.4.9")</f>
        <v>http://dx.doi.org/10.11646/zootaxa.4700.4.9</v>
      </c>
      <c r="BG783" s="2" t="s">
        <v>74</v>
      </c>
      <c r="BH783" s="2" t="s">
        <v>74</v>
      </c>
      <c r="BI783" s="2" t="s">
        <v>74</v>
      </c>
      <c r="BJ783" s="2" t="s">
        <v>74</v>
      </c>
      <c r="BK783" s="2" t="s">
        <v>74</v>
      </c>
      <c r="BL783" s="2" t="s">
        <v>74</v>
      </c>
      <c r="BM783" s="2" t="s">
        <v>74</v>
      </c>
      <c r="BN783" s="2">
        <v>32229960</v>
      </c>
      <c r="BO783" s="2" t="s">
        <v>74</v>
      </c>
      <c r="BP783" s="2" t="s">
        <v>74</v>
      </c>
      <c r="BQ783" s="2" t="s">
        <v>74</v>
      </c>
      <c r="BR783" s="2" t="s">
        <v>74</v>
      </c>
      <c r="BS783" s="2" t="s">
        <v>6842</v>
      </c>
      <c r="BT783" s="2" t="str">
        <f>HYPERLINK("https%3A%2F%2Fwww.webofscience.com%2Fwos%2Fwoscc%2Ffull-record%2FWOS:000498944700009","View Full Record in Web of Science")</f>
        <v>View Full Record in Web of Science</v>
      </c>
    </row>
    <row r="784" spans="1:72" s="2" customFormat="1" x14ac:dyDescent="0.4">
      <c r="A784" s="2" t="s">
        <v>72</v>
      </c>
      <c r="B784" s="2" t="s">
        <v>559</v>
      </c>
      <c r="C784" s="2" t="s">
        <v>74</v>
      </c>
      <c r="D784" s="2" t="s">
        <v>74</v>
      </c>
      <c r="E784" s="2" t="s">
        <v>74</v>
      </c>
      <c r="F784" s="2" t="s">
        <v>559</v>
      </c>
      <c r="G784" s="2" t="s">
        <v>74</v>
      </c>
      <c r="H784" s="2" t="s">
        <v>74</v>
      </c>
      <c r="I784" s="2" t="s">
        <v>560</v>
      </c>
      <c r="J784" s="2" t="s">
        <v>129</v>
      </c>
      <c r="K784" s="2" t="s">
        <v>74</v>
      </c>
      <c r="L784" s="2" t="s">
        <v>74</v>
      </c>
      <c r="M784" s="2" t="s">
        <v>74</v>
      </c>
      <c r="N784" s="2" t="s">
        <v>74</v>
      </c>
      <c r="O784" s="2" t="s">
        <v>74</v>
      </c>
      <c r="P784" s="2" t="s">
        <v>74</v>
      </c>
      <c r="Q784" s="2" t="s">
        <v>74</v>
      </c>
      <c r="R784" s="2" t="s">
        <v>74</v>
      </c>
      <c r="S784" s="2" t="s">
        <v>74</v>
      </c>
      <c r="T784" s="2" t="s">
        <v>74</v>
      </c>
      <c r="U784" s="2" t="s">
        <v>74</v>
      </c>
      <c r="V784" s="5" t="s">
        <v>561</v>
      </c>
      <c r="W784" s="2" t="s">
        <v>74</v>
      </c>
      <c r="X784" s="2" t="s">
        <v>74</v>
      </c>
      <c r="Y784" s="2" t="s">
        <v>74</v>
      </c>
      <c r="Z784" s="2" t="s">
        <v>74</v>
      </c>
      <c r="AA784" s="2" t="s">
        <v>74</v>
      </c>
      <c r="AB784" s="2" t="s">
        <v>74</v>
      </c>
      <c r="AC784" s="2" t="s">
        <v>74</v>
      </c>
      <c r="AD784" s="2" t="s">
        <v>74</v>
      </c>
      <c r="AE784" s="2" t="s">
        <v>74</v>
      </c>
      <c r="AF784" s="2" t="s">
        <v>74</v>
      </c>
      <c r="AG784" s="2" t="s">
        <v>74</v>
      </c>
      <c r="AH784" s="2" t="s">
        <v>74</v>
      </c>
      <c r="AI784" s="2" t="s">
        <v>74</v>
      </c>
      <c r="AJ784" s="2" t="s">
        <v>74</v>
      </c>
      <c r="AK784" s="2" t="s">
        <v>74</v>
      </c>
      <c r="AL784" s="2" t="s">
        <v>74</v>
      </c>
      <c r="AM784" s="2" t="s">
        <v>74</v>
      </c>
      <c r="AN784" s="2" t="s">
        <v>74</v>
      </c>
      <c r="AO784" s="2" t="s">
        <v>132</v>
      </c>
      <c r="AP784" s="2" t="s">
        <v>133</v>
      </c>
      <c r="AQ784" s="2" t="s">
        <v>74</v>
      </c>
      <c r="AR784" s="2" t="s">
        <v>74</v>
      </c>
      <c r="AS784" s="2" t="s">
        <v>74</v>
      </c>
      <c r="AT784" s="2" t="s">
        <v>213</v>
      </c>
      <c r="AU784" s="2">
        <v>2005</v>
      </c>
      <c r="AV784" s="2">
        <v>59</v>
      </c>
      <c r="AW784" s="2">
        <v>1</v>
      </c>
      <c r="AX784" s="2" t="s">
        <v>74</v>
      </c>
      <c r="AY784" s="2" t="s">
        <v>74</v>
      </c>
      <c r="AZ784" s="2" t="s">
        <v>74</v>
      </c>
      <c r="BA784" s="2" t="s">
        <v>74</v>
      </c>
      <c r="BB784" s="2">
        <v>51</v>
      </c>
      <c r="BC784" s="2">
        <v>57</v>
      </c>
      <c r="BD784" s="2" t="s">
        <v>74</v>
      </c>
      <c r="BE784" s="2" t="s">
        <v>562</v>
      </c>
      <c r="BF784" s="2" t="str">
        <f>HYPERLINK("http://dx.doi.org/10.1007/s00265-005-0008-9","http://dx.doi.org/10.1007/s00265-005-0008-9")</f>
        <v>http://dx.doi.org/10.1007/s00265-005-0008-9</v>
      </c>
      <c r="BG784" s="2" t="s">
        <v>74</v>
      </c>
      <c r="BH784" s="2" t="s">
        <v>74</v>
      </c>
      <c r="BI784" s="2" t="s">
        <v>74</v>
      </c>
      <c r="BJ784" s="2" t="s">
        <v>74</v>
      </c>
      <c r="BK784" s="2" t="s">
        <v>74</v>
      </c>
      <c r="BL784" s="2" t="s">
        <v>74</v>
      </c>
      <c r="BM784" s="2" t="s">
        <v>74</v>
      </c>
      <c r="BN784" s="2" t="s">
        <v>74</v>
      </c>
      <c r="BO784" s="2" t="s">
        <v>74</v>
      </c>
      <c r="BP784" s="2" t="s">
        <v>74</v>
      </c>
      <c r="BQ784" s="2" t="s">
        <v>74</v>
      </c>
      <c r="BR784" s="2" t="s">
        <v>74</v>
      </c>
      <c r="BS784" s="2" t="s">
        <v>563</v>
      </c>
      <c r="BT784" s="2" t="str">
        <f>HYPERLINK("https%3A%2F%2Fwww.webofscience.com%2Fwos%2Fwoscc%2Ffull-record%2FWOS:000233242600008","View Full Record in Web of Science")</f>
        <v>View Full Record in Web of Science</v>
      </c>
    </row>
    <row r="785" spans="1:72" s="2" customFormat="1" x14ac:dyDescent="0.4">
      <c r="A785" s="2" t="s">
        <v>72</v>
      </c>
      <c r="B785" s="2" t="s">
        <v>3976</v>
      </c>
      <c r="C785" s="2" t="s">
        <v>74</v>
      </c>
      <c r="D785" s="2" t="s">
        <v>74</v>
      </c>
      <c r="E785" s="2" t="s">
        <v>74</v>
      </c>
      <c r="F785" s="2" t="s">
        <v>3976</v>
      </c>
      <c r="G785" s="2" t="s">
        <v>74</v>
      </c>
      <c r="H785" s="2" t="s">
        <v>74</v>
      </c>
      <c r="I785" s="2" t="s">
        <v>3977</v>
      </c>
      <c r="J785" s="2" t="s">
        <v>108</v>
      </c>
      <c r="K785" s="2" t="s">
        <v>74</v>
      </c>
      <c r="L785" s="2" t="s">
        <v>74</v>
      </c>
      <c r="M785" s="2" t="s">
        <v>74</v>
      </c>
      <c r="N785" s="2" t="s">
        <v>74</v>
      </c>
      <c r="O785" s="2" t="s">
        <v>74</v>
      </c>
      <c r="P785" s="2" t="s">
        <v>74</v>
      </c>
      <c r="Q785" s="2" t="s">
        <v>74</v>
      </c>
      <c r="R785" s="2" t="s">
        <v>74</v>
      </c>
      <c r="S785" s="2" t="s">
        <v>74</v>
      </c>
      <c r="T785" s="2" t="s">
        <v>74</v>
      </c>
      <c r="U785" s="2" t="s">
        <v>74</v>
      </c>
      <c r="V785" s="5" t="s">
        <v>3978</v>
      </c>
      <c r="W785" s="2" t="s">
        <v>74</v>
      </c>
      <c r="X785" s="2" t="s">
        <v>74</v>
      </c>
      <c r="Y785" s="2" t="s">
        <v>74</v>
      </c>
      <c r="Z785" s="2" t="s">
        <v>74</v>
      </c>
      <c r="AA785" s="2" t="s">
        <v>74</v>
      </c>
      <c r="AB785" s="2" t="s">
        <v>3979</v>
      </c>
      <c r="AC785" s="2" t="s">
        <v>74</v>
      </c>
      <c r="AD785" s="2" t="s">
        <v>74</v>
      </c>
      <c r="AE785" s="2" t="s">
        <v>74</v>
      </c>
      <c r="AF785" s="2" t="s">
        <v>74</v>
      </c>
      <c r="AG785" s="2" t="s">
        <v>74</v>
      </c>
      <c r="AH785" s="2" t="s">
        <v>74</v>
      </c>
      <c r="AI785" s="2" t="s">
        <v>74</v>
      </c>
      <c r="AJ785" s="2" t="s">
        <v>74</v>
      </c>
      <c r="AK785" s="2" t="s">
        <v>74</v>
      </c>
      <c r="AL785" s="2" t="s">
        <v>74</v>
      </c>
      <c r="AM785" s="2" t="s">
        <v>74</v>
      </c>
      <c r="AN785" s="2" t="s">
        <v>74</v>
      </c>
      <c r="AO785" s="2" t="s">
        <v>111</v>
      </c>
      <c r="AP785" s="2" t="s">
        <v>112</v>
      </c>
      <c r="AQ785" s="2" t="s">
        <v>74</v>
      </c>
      <c r="AR785" s="2" t="s">
        <v>74</v>
      </c>
      <c r="AS785" s="2" t="s">
        <v>74</v>
      </c>
      <c r="AT785" s="2" t="s">
        <v>3980</v>
      </c>
      <c r="AU785" s="2">
        <v>2003</v>
      </c>
      <c r="AV785" s="2">
        <v>270</v>
      </c>
      <c r="AW785" s="2">
        <v>1530</v>
      </c>
      <c r="AX785" s="2" t="s">
        <v>74</v>
      </c>
      <c r="AY785" s="2" t="s">
        <v>74</v>
      </c>
      <c r="AZ785" s="2" t="s">
        <v>74</v>
      </c>
      <c r="BA785" s="2" t="s">
        <v>74</v>
      </c>
      <c r="BB785" s="2">
        <v>2271</v>
      </c>
      <c r="BC785" s="2">
        <v>2277</v>
      </c>
      <c r="BD785" s="2" t="s">
        <v>74</v>
      </c>
      <c r="BE785" s="2" t="s">
        <v>3981</v>
      </c>
      <c r="BF785" s="2" t="str">
        <f>HYPERLINK("http://dx.doi.org/10.1098/rspb.2003.2510","http://dx.doi.org/10.1098/rspb.2003.2510")</f>
        <v>http://dx.doi.org/10.1098/rspb.2003.2510</v>
      </c>
      <c r="BG785" s="2" t="s">
        <v>74</v>
      </c>
      <c r="BH785" s="2" t="s">
        <v>74</v>
      </c>
      <c r="BI785" s="2" t="s">
        <v>74</v>
      </c>
      <c r="BJ785" s="2" t="s">
        <v>74</v>
      </c>
      <c r="BK785" s="2" t="s">
        <v>74</v>
      </c>
      <c r="BL785" s="2" t="s">
        <v>74</v>
      </c>
      <c r="BM785" s="2" t="s">
        <v>74</v>
      </c>
      <c r="BN785" s="2">
        <v>14613614</v>
      </c>
      <c r="BO785" s="2" t="s">
        <v>74</v>
      </c>
      <c r="BP785" s="2" t="s">
        <v>74</v>
      </c>
      <c r="BQ785" s="2" t="s">
        <v>74</v>
      </c>
      <c r="BR785" s="2" t="s">
        <v>74</v>
      </c>
      <c r="BS785" s="2" t="s">
        <v>3982</v>
      </c>
      <c r="BT785" s="2" t="str">
        <f>HYPERLINK("https%3A%2F%2Fwww.webofscience.com%2Fwos%2Fwoscc%2Ffull-record%2FWOS:000186630800010","View Full Record in Web of Science")</f>
        <v>View Full Record in Web of Science</v>
      </c>
    </row>
    <row r="786" spans="1:72" s="2" customFormat="1" x14ac:dyDescent="0.4">
      <c r="A786" s="2" t="s">
        <v>72</v>
      </c>
      <c r="B786" s="2" t="s">
        <v>3746</v>
      </c>
      <c r="C786" s="2" t="s">
        <v>74</v>
      </c>
      <c r="D786" s="2" t="s">
        <v>74</v>
      </c>
      <c r="E786" s="2" t="s">
        <v>74</v>
      </c>
      <c r="F786" s="2" t="s">
        <v>3747</v>
      </c>
      <c r="G786" s="2" t="s">
        <v>74</v>
      </c>
      <c r="H786" s="2" t="s">
        <v>74</v>
      </c>
      <c r="I786" s="2" t="s">
        <v>3748</v>
      </c>
      <c r="J786" s="2" t="s">
        <v>3089</v>
      </c>
      <c r="K786" s="2" t="s">
        <v>74</v>
      </c>
      <c r="L786" s="2" t="s">
        <v>74</v>
      </c>
      <c r="M786" s="2" t="s">
        <v>74</v>
      </c>
      <c r="N786" s="2" t="s">
        <v>74</v>
      </c>
      <c r="O786" s="2" t="s">
        <v>74</v>
      </c>
      <c r="P786" s="2" t="s">
        <v>74</v>
      </c>
      <c r="Q786" s="2" t="s">
        <v>74</v>
      </c>
      <c r="R786" s="2" t="s">
        <v>74</v>
      </c>
      <c r="S786" s="2" t="s">
        <v>74</v>
      </c>
      <c r="T786" s="2" t="s">
        <v>74</v>
      </c>
      <c r="U786" s="2" t="s">
        <v>74</v>
      </c>
      <c r="V786" s="5" t="s">
        <v>3749</v>
      </c>
      <c r="W786" s="2" t="s">
        <v>74</v>
      </c>
      <c r="X786" s="2" t="s">
        <v>74</v>
      </c>
      <c r="Y786" s="2" t="s">
        <v>74</v>
      </c>
      <c r="Z786" s="2" t="s">
        <v>74</v>
      </c>
      <c r="AA786" s="2" t="s">
        <v>3750</v>
      </c>
      <c r="AB786" s="2" t="s">
        <v>74</v>
      </c>
      <c r="AC786" s="2" t="s">
        <v>74</v>
      </c>
      <c r="AD786" s="2" t="s">
        <v>74</v>
      </c>
      <c r="AE786" s="2" t="s">
        <v>74</v>
      </c>
      <c r="AF786" s="2" t="s">
        <v>74</v>
      </c>
      <c r="AG786" s="2" t="s">
        <v>74</v>
      </c>
      <c r="AH786" s="2" t="s">
        <v>74</v>
      </c>
      <c r="AI786" s="2" t="s">
        <v>74</v>
      </c>
      <c r="AJ786" s="2" t="s">
        <v>74</v>
      </c>
      <c r="AK786" s="2" t="s">
        <v>74</v>
      </c>
      <c r="AL786" s="2" t="s">
        <v>74</v>
      </c>
      <c r="AM786" s="2" t="s">
        <v>74</v>
      </c>
      <c r="AN786" s="2" t="s">
        <v>74</v>
      </c>
      <c r="AO786" s="2" t="s">
        <v>3093</v>
      </c>
      <c r="AP786" s="2" t="s">
        <v>3094</v>
      </c>
      <c r="AQ786" s="2" t="s">
        <v>74</v>
      </c>
      <c r="AR786" s="2" t="s">
        <v>74</v>
      </c>
      <c r="AS786" s="2" t="s">
        <v>74</v>
      </c>
      <c r="AT786" s="2" t="s">
        <v>74</v>
      </c>
      <c r="AU786" s="2">
        <v>2006</v>
      </c>
      <c r="AV786" s="2">
        <v>24</v>
      </c>
      <c r="AW786" s="2">
        <v>3</v>
      </c>
      <c r="AX786" s="2" t="s">
        <v>74</v>
      </c>
      <c r="AY786" s="2" t="s">
        <v>74</v>
      </c>
      <c r="AZ786" s="2" t="s">
        <v>74</v>
      </c>
      <c r="BA786" s="2" t="s">
        <v>74</v>
      </c>
      <c r="BB786" s="2">
        <v>261</v>
      </c>
      <c r="BC786" s="2">
        <v>266</v>
      </c>
      <c r="BD786" s="2" t="s">
        <v>74</v>
      </c>
      <c r="BE786" s="2" t="s">
        <v>3751</v>
      </c>
      <c r="BF786" s="2" t="str">
        <f>HYPERLINK("http://dx.doi.org/10.1007/s10164-005-0187-x","http://dx.doi.org/10.1007/s10164-005-0187-x")</f>
        <v>http://dx.doi.org/10.1007/s10164-005-0187-x</v>
      </c>
      <c r="BG786" s="2" t="s">
        <v>74</v>
      </c>
      <c r="BH786" s="2" t="s">
        <v>74</v>
      </c>
      <c r="BI786" s="2" t="s">
        <v>74</v>
      </c>
      <c r="BJ786" s="2" t="s">
        <v>74</v>
      </c>
      <c r="BK786" s="2" t="s">
        <v>74</v>
      </c>
      <c r="BL786" s="2" t="s">
        <v>74</v>
      </c>
      <c r="BM786" s="2" t="s">
        <v>74</v>
      </c>
      <c r="BN786" s="2" t="s">
        <v>74</v>
      </c>
      <c r="BO786" s="2" t="s">
        <v>74</v>
      </c>
      <c r="BP786" s="2" t="s">
        <v>74</v>
      </c>
      <c r="BQ786" s="2" t="s">
        <v>74</v>
      </c>
      <c r="BR786" s="2" t="s">
        <v>74</v>
      </c>
      <c r="BS786" s="2" t="s">
        <v>3752</v>
      </c>
      <c r="BT786" s="2" t="str">
        <f>HYPERLINK("https%3A%2F%2Fwww.webofscience.com%2Fwos%2Fwoscc%2Ffull-record%2FWOS:000239427700009","View Full Record in Web of Science")</f>
        <v>View Full Record in Web of Science</v>
      </c>
    </row>
    <row r="787" spans="1:72" s="2" customFormat="1" x14ac:dyDescent="0.4">
      <c r="A787" s="2" t="s">
        <v>72</v>
      </c>
      <c r="B787" s="2" t="s">
        <v>7154</v>
      </c>
      <c r="C787" s="2" t="s">
        <v>74</v>
      </c>
      <c r="D787" s="2" t="s">
        <v>74</v>
      </c>
      <c r="E787" s="2" t="s">
        <v>74</v>
      </c>
      <c r="F787" s="2" t="s">
        <v>7155</v>
      </c>
      <c r="G787" s="2" t="s">
        <v>74</v>
      </c>
      <c r="H787" s="2" t="s">
        <v>74</v>
      </c>
      <c r="I787" s="2" t="s">
        <v>7156</v>
      </c>
      <c r="J787" s="2" t="s">
        <v>610</v>
      </c>
      <c r="K787" s="2" t="s">
        <v>74</v>
      </c>
      <c r="L787" s="2" t="s">
        <v>74</v>
      </c>
      <c r="M787" s="2" t="s">
        <v>74</v>
      </c>
      <c r="N787" s="2" t="s">
        <v>74</v>
      </c>
      <c r="O787" s="2" t="s">
        <v>74</v>
      </c>
      <c r="P787" s="2" t="s">
        <v>74</v>
      </c>
      <c r="Q787" s="2" t="s">
        <v>74</v>
      </c>
      <c r="R787" s="2" t="s">
        <v>74</v>
      </c>
      <c r="S787" s="2" t="s">
        <v>74</v>
      </c>
      <c r="T787" s="2" t="s">
        <v>74</v>
      </c>
      <c r="U787" s="2" t="s">
        <v>74</v>
      </c>
      <c r="V787" s="5" t="s">
        <v>7157</v>
      </c>
      <c r="W787" s="2" t="s">
        <v>74</v>
      </c>
      <c r="X787" s="2" t="s">
        <v>74</v>
      </c>
      <c r="Y787" s="2" t="s">
        <v>74</v>
      </c>
      <c r="Z787" s="2" t="s">
        <v>74</v>
      </c>
      <c r="AA787" s="2" t="s">
        <v>7158</v>
      </c>
      <c r="AB787" s="2" t="s">
        <v>7159</v>
      </c>
      <c r="AC787" s="2" t="s">
        <v>74</v>
      </c>
      <c r="AD787" s="2" t="s">
        <v>74</v>
      </c>
      <c r="AE787" s="2" t="s">
        <v>74</v>
      </c>
      <c r="AF787" s="2" t="s">
        <v>74</v>
      </c>
      <c r="AG787" s="2" t="s">
        <v>74</v>
      </c>
      <c r="AH787" s="2" t="s">
        <v>74</v>
      </c>
      <c r="AI787" s="2" t="s">
        <v>74</v>
      </c>
      <c r="AJ787" s="2" t="s">
        <v>74</v>
      </c>
      <c r="AK787" s="2" t="s">
        <v>74</v>
      </c>
      <c r="AL787" s="2" t="s">
        <v>74</v>
      </c>
      <c r="AM787" s="2" t="s">
        <v>74</v>
      </c>
      <c r="AN787" s="2" t="s">
        <v>74</v>
      </c>
      <c r="AO787" s="2" t="s">
        <v>614</v>
      </c>
      <c r="AP787" s="2" t="s">
        <v>615</v>
      </c>
      <c r="AQ787" s="2" t="s">
        <v>74</v>
      </c>
      <c r="AR787" s="2" t="s">
        <v>74</v>
      </c>
      <c r="AS787" s="2" t="s">
        <v>74</v>
      </c>
      <c r="AT787" s="2" t="s">
        <v>102</v>
      </c>
      <c r="AU787" s="2">
        <v>2014</v>
      </c>
      <c r="AV787" s="2">
        <v>120</v>
      </c>
      <c r="AW787" s="2">
        <v>6</v>
      </c>
      <c r="AX787" s="2" t="s">
        <v>74</v>
      </c>
      <c r="AY787" s="2" t="s">
        <v>74</v>
      </c>
      <c r="AZ787" s="2" t="s">
        <v>74</v>
      </c>
      <c r="BA787" s="2" t="s">
        <v>74</v>
      </c>
      <c r="BB787" s="2">
        <v>616</v>
      </c>
      <c r="BC787" s="2">
        <v>626</v>
      </c>
      <c r="BD787" s="2" t="s">
        <v>74</v>
      </c>
      <c r="BE787" s="2" t="s">
        <v>7160</v>
      </c>
      <c r="BF787" s="2" t="str">
        <f>HYPERLINK("http://dx.doi.org/10.1111/eth.12234","http://dx.doi.org/10.1111/eth.12234")</f>
        <v>http://dx.doi.org/10.1111/eth.12234</v>
      </c>
      <c r="BG787" s="2" t="s">
        <v>74</v>
      </c>
      <c r="BH787" s="2" t="s">
        <v>74</v>
      </c>
      <c r="BI787" s="2" t="s">
        <v>74</v>
      </c>
      <c r="BJ787" s="2" t="s">
        <v>74</v>
      </c>
      <c r="BK787" s="2" t="s">
        <v>74</v>
      </c>
      <c r="BL787" s="2" t="s">
        <v>74</v>
      </c>
      <c r="BM787" s="2" t="s">
        <v>74</v>
      </c>
      <c r="BN787" s="2" t="s">
        <v>74</v>
      </c>
      <c r="BO787" s="2" t="s">
        <v>74</v>
      </c>
      <c r="BP787" s="2" t="s">
        <v>74</v>
      </c>
      <c r="BQ787" s="2" t="s">
        <v>74</v>
      </c>
      <c r="BR787" s="2" t="s">
        <v>74</v>
      </c>
      <c r="BS787" s="2" t="s">
        <v>7161</v>
      </c>
      <c r="BT787" s="2" t="str">
        <f>HYPERLINK("https%3A%2F%2Fwww.webofscience.com%2Fwos%2Fwoscc%2Ffull-record%2FWOS:000334692600010","View Full Record in Web of Science")</f>
        <v>View Full Record in Web of Science</v>
      </c>
    </row>
    <row r="788" spans="1:72" s="2" customFormat="1" x14ac:dyDescent="0.4">
      <c r="A788" s="2" t="s">
        <v>72</v>
      </c>
      <c r="B788" s="2" t="s">
        <v>8357</v>
      </c>
      <c r="C788" s="2" t="s">
        <v>74</v>
      </c>
      <c r="D788" s="2" t="s">
        <v>74</v>
      </c>
      <c r="E788" s="2" t="s">
        <v>74</v>
      </c>
      <c r="F788" s="2" t="s">
        <v>8358</v>
      </c>
      <c r="G788" s="2" t="s">
        <v>74</v>
      </c>
      <c r="H788" s="2" t="s">
        <v>74</v>
      </c>
      <c r="I788" s="2" t="s">
        <v>8359</v>
      </c>
      <c r="J788" s="2" t="s">
        <v>1803</v>
      </c>
      <c r="K788" s="2" t="s">
        <v>74</v>
      </c>
      <c r="L788" s="2" t="s">
        <v>74</v>
      </c>
      <c r="M788" s="2" t="s">
        <v>74</v>
      </c>
      <c r="N788" s="2" t="s">
        <v>74</v>
      </c>
      <c r="O788" s="2" t="s">
        <v>74</v>
      </c>
      <c r="P788" s="2" t="s">
        <v>74</v>
      </c>
      <c r="Q788" s="2" t="s">
        <v>74</v>
      </c>
      <c r="R788" s="2" t="s">
        <v>74</v>
      </c>
      <c r="S788" s="2" t="s">
        <v>74</v>
      </c>
      <c r="T788" s="2" t="s">
        <v>74</v>
      </c>
      <c r="U788" s="2" t="s">
        <v>74</v>
      </c>
      <c r="V788" s="5" t="s">
        <v>8360</v>
      </c>
      <c r="W788" s="2" t="s">
        <v>74</v>
      </c>
      <c r="X788" s="2" t="s">
        <v>74</v>
      </c>
      <c r="Y788" s="2" t="s">
        <v>74</v>
      </c>
      <c r="Z788" s="2" t="s">
        <v>74</v>
      </c>
      <c r="AA788" s="2" t="s">
        <v>8361</v>
      </c>
      <c r="AB788" s="2" t="s">
        <v>8362</v>
      </c>
      <c r="AC788" s="2" t="s">
        <v>74</v>
      </c>
      <c r="AD788" s="2" t="s">
        <v>74</v>
      </c>
      <c r="AE788" s="2" t="s">
        <v>74</v>
      </c>
      <c r="AF788" s="2" t="s">
        <v>74</v>
      </c>
      <c r="AG788" s="2" t="s">
        <v>74</v>
      </c>
      <c r="AH788" s="2" t="s">
        <v>74</v>
      </c>
      <c r="AI788" s="2" t="s">
        <v>74</v>
      </c>
      <c r="AJ788" s="2" t="s">
        <v>74</v>
      </c>
      <c r="AK788" s="2" t="s">
        <v>74</v>
      </c>
      <c r="AL788" s="2" t="s">
        <v>74</v>
      </c>
      <c r="AM788" s="2" t="s">
        <v>74</v>
      </c>
      <c r="AN788" s="2" t="s">
        <v>74</v>
      </c>
      <c r="AO788" s="2" t="s">
        <v>1807</v>
      </c>
      <c r="AP788" s="2" t="s">
        <v>1808</v>
      </c>
      <c r="AQ788" s="2" t="s">
        <v>74</v>
      </c>
      <c r="AR788" s="2" t="s">
        <v>74</v>
      </c>
      <c r="AS788" s="2" t="s">
        <v>74</v>
      </c>
      <c r="AT788" s="2" t="s">
        <v>175</v>
      </c>
      <c r="AU788" s="2">
        <v>2007</v>
      </c>
      <c r="AV788" s="2">
        <v>21</v>
      </c>
      <c r="AW788" s="2">
        <v>5</v>
      </c>
      <c r="AX788" s="2" t="s">
        <v>74</v>
      </c>
      <c r="AY788" s="2" t="s">
        <v>74</v>
      </c>
      <c r="AZ788" s="2" t="s">
        <v>74</v>
      </c>
      <c r="BA788" s="2" t="s">
        <v>74</v>
      </c>
      <c r="BB788" s="2">
        <v>886</v>
      </c>
      <c r="BC788" s="2">
        <v>898</v>
      </c>
      <c r="BD788" s="2" t="s">
        <v>74</v>
      </c>
      <c r="BE788" s="2" t="s">
        <v>8363</v>
      </c>
      <c r="BF788" s="2" t="str">
        <f>HYPERLINK("http://dx.doi.org/10.1111/j.1365-2435.2007.01302.x","http://dx.doi.org/10.1111/j.1365-2435.2007.01302.x")</f>
        <v>http://dx.doi.org/10.1111/j.1365-2435.2007.01302.x</v>
      </c>
      <c r="BG788" s="2" t="s">
        <v>74</v>
      </c>
      <c r="BH788" s="2" t="s">
        <v>74</v>
      </c>
      <c r="BI788" s="2" t="s">
        <v>74</v>
      </c>
      <c r="BJ788" s="2" t="s">
        <v>74</v>
      </c>
      <c r="BK788" s="2" t="s">
        <v>74</v>
      </c>
      <c r="BL788" s="2" t="s">
        <v>74</v>
      </c>
      <c r="BM788" s="2" t="s">
        <v>74</v>
      </c>
      <c r="BN788" s="2" t="s">
        <v>74</v>
      </c>
      <c r="BO788" s="2" t="s">
        <v>74</v>
      </c>
      <c r="BP788" s="2" t="s">
        <v>74</v>
      </c>
      <c r="BQ788" s="2" t="s">
        <v>74</v>
      </c>
      <c r="BR788" s="2" t="s">
        <v>74</v>
      </c>
      <c r="BS788" s="2" t="s">
        <v>8364</v>
      </c>
      <c r="BT788" s="2" t="str">
        <f>HYPERLINK("https%3A%2F%2Fwww.webofscience.com%2Fwos%2Fwoscc%2Ffull-record%2FWOS:000249165000008","View Full Record in Web of Science")</f>
        <v>View Full Record in Web of Science</v>
      </c>
    </row>
    <row r="789" spans="1:72" s="2" customFormat="1" x14ac:dyDescent="0.4">
      <c r="A789" s="2" t="s">
        <v>72</v>
      </c>
      <c r="B789" s="2" t="s">
        <v>5362</v>
      </c>
      <c r="C789" s="2" t="s">
        <v>74</v>
      </c>
      <c r="D789" s="2" t="s">
        <v>74</v>
      </c>
      <c r="E789" s="2" t="s">
        <v>74</v>
      </c>
      <c r="F789" s="2" t="s">
        <v>5362</v>
      </c>
      <c r="G789" s="2" t="s">
        <v>74</v>
      </c>
      <c r="H789" s="2" t="s">
        <v>74</v>
      </c>
      <c r="I789" s="2" t="s">
        <v>5363</v>
      </c>
      <c r="J789" s="2" t="s">
        <v>140</v>
      </c>
      <c r="K789" s="2" t="s">
        <v>74</v>
      </c>
      <c r="L789" s="2" t="s">
        <v>74</v>
      </c>
      <c r="M789" s="2" t="s">
        <v>74</v>
      </c>
      <c r="N789" s="2" t="s">
        <v>74</v>
      </c>
      <c r="O789" s="2" t="s">
        <v>74</v>
      </c>
      <c r="P789" s="2" t="s">
        <v>74</v>
      </c>
      <c r="Q789" s="2" t="s">
        <v>74</v>
      </c>
      <c r="R789" s="2" t="s">
        <v>74</v>
      </c>
      <c r="S789" s="2" t="s">
        <v>74</v>
      </c>
      <c r="T789" s="2" t="s">
        <v>74</v>
      </c>
      <c r="U789" s="2" t="s">
        <v>74</v>
      </c>
      <c r="V789" s="5" t="s">
        <v>5364</v>
      </c>
      <c r="W789" s="2" t="s">
        <v>74</v>
      </c>
      <c r="X789" s="2" t="s">
        <v>74</v>
      </c>
      <c r="Y789" s="2" t="s">
        <v>74</v>
      </c>
      <c r="Z789" s="2" t="s">
        <v>74</v>
      </c>
      <c r="AA789" s="2" t="s">
        <v>5365</v>
      </c>
      <c r="AB789" s="2" t="s">
        <v>5366</v>
      </c>
      <c r="AC789" s="2" t="s">
        <v>74</v>
      </c>
      <c r="AD789" s="2" t="s">
        <v>74</v>
      </c>
      <c r="AE789" s="2" t="s">
        <v>74</v>
      </c>
      <c r="AF789" s="2" t="s">
        <v>74</v>
      </c>
      <c r="AG789" s="2" t="s">
        <v>74</v>
      </c>
      <c r="AH789" s="2" t="s">
        <v>74</v>
      </c>
      <c r="AI789" s="2" t="s">
        <v>74</v>
      </c>
      <c r="AJ789" s="2" t="s">
        <v>74</v>
      </c>
      <c r="AK789" s="2" t="s">
        <v>74</v>
      </c>
      <c r="AL789" s="2" t="s">
        <v>74</v>
      </c>
      <c r="AM789" s="2" t="s">
        <v>74</v>
      </c>
      <c r="AN789" s="2" t="s">
        <v>74</v>
      </c>
      <c r="AO789" s="2" t="s">
        <v>143</v>
      </c>
      <c r="AP789" s="2" t="s">
        <v>144</v>
      </c>
      <c r="AQ789" s="2" t="s">
        <v>74</v>
      </c>
      <c r="AR789" s="2" t="s">
        <v>74</v>
      </c>
      <c r="AS789" s="2" t="s">
        <v>74</v>
      </c>
      <c r="AT789" s="2" t="s">
        <v>255</v>
      </c>
      <c r="AU789" s="2">
        <v>2006</v>
      </c>
      <c r="AV789" s="2">
        <v>71</v>
      </c>
      <c r="AW789" s="2" t="s">
        <v>74</v>
      </c>
      <c r="AX789" s="2">
        <v>1</v>
      </c>
      <c r="AY789" s="2" t="s">
        <v>74</v>
      </c>
      <c r="AZ789" s="2" t="s">
        <v>74</v>
      </c>
      <c r="BA789" s="2" t="s">
        <v>74</v>
      </c>
      <c r="BB789" s="2">
        <v>101</v>
      </c>
      <c r="BC789" s="2">
        <v>108</v>
      </c>
      <c r="BD789" s="2" t="s">
        <v>74</v>
      </c>
      <c r="BE789" s="2" t="s">
        <v>5367</v>
      </c>
      <c r="BF789" s="2" t="str">
        <f>HYPERLINK("http://dx.doi.org/10.1016/j.anbehav.2005.03.036","http://dx.doi.org/10.1016/j.anbehav.2005.03.036")</f>
        <v>http://dx.doi.org/10.1016/j.anbehav.2005.03.036</v>
      </c>
      <c r="BG789" s="2" t="s">
        <v>74</v>
      </c>
      <c r="BH789" s="2" t="s">
        <v>74</v>
      </c>
      <c r="BI789" s="2" t="s">
        <v>74</v>
      </c>
      <c r="BJ789" s="2" t="s">
        <v>74</v>
      </c>
      <c r="BK789" s="2" t="s">
        <v>74</v>
      </c>
      <c r="BL789" s="2" t="s">
        <v>74</v>
      </c>
      <c r="BM789" s="2" t="s">
        <v>74</v>
      </c>
      <c r="BN789" s="2" t="s">
        <v>74</v>
      </c>
      <c r="BO789" s="2" t="s">
        <v>74</v>
      </c>
      <c r="BP789" s="2" t="s">
        <v>74</v>
      </c>
      <c r="BQ789" s="2" t="s">
        <v>74</v>
      </c>
      <c r="BR789" s="2" t="s">
        <v>74</v>
      </c>
      <c r="BS789" s="2" t="s">
        <v>5368</v>
      </c>
      <c r="BT789" s="2" t="str">
        <f>HYPERLINK("https%3A%2F%2Fwww.webofscience.com%2Fwos%2Fwoscc%2Ffull-record%2FWOS:000234764500010","View Full Record in Web of Science")</f>
        <v>View Full Record in Web of Science</v>
      </c>
    </row>
    <row r="790" spans="1:72" s="2" customFormat="1" x14ac:dyDescent="0.4">
      <c r="A790" s="2" t="s">
        <v>72</v>
      </c>
      <c r="B790" s="2" t="s">
        <v>5666</v>
      </c>
      <c r="C790" s="2" t="s">
        <v>74</v>
      </c>
      <c r="D790" s="2" t="s">
        <v>74</v>
      </c>
      <c r="E790" s="2" t="s">
        <v>74</v>
      </c>
      <c r="F790" s="2" t="s">
        <v>5667</v>
      </c>
      <c r="G790" s="2" t="s">
        <v>74</v>
      </c>
      <c r="H790" s="2" t="s">
        <v>74</v>
      </c>
      <c r="I790" s="2" t="s">
        <v>5668</v>
      </c>
      <c r="J790" s="2" t="s">
        <v>88</v>
      </c>
      <c r="K790" s="2" t="s">
        <v>74</v>
      </c>
      <c r="L790" s="2" t="s">
        <v>74</v>
      </c>
      <c r="M790" s="2" t="s">
        <v>74</v>
      </c>
      <c r="N790" s="2" t="s">
        <v>74</v>
      </c>
      <c r="O790" s="2" t="s">
        <v>74</v>
      </c>
      <c r="P790" s="2" t="s">
        <v>74</v>
      </c>
      <c r="Q790" s="2" t="s">
        <v>74</v>
      </c>
      <c r="R790" s="2" t="s">
        <v>74</v>
      </c>
      <c r="S790" s="2" t="s">
        <v>74</v>
      </c>
      <c r="T790" s="2" t="s">
        <v>74</v>
      </c>
      <c r="U790" s="2" t="s">
        <v>74</v>
      </c>
      <c r="V790" s="5" t="s">
        <v>5669</v>
      </c>
      <c r="W790" s="2" t="s">
        <v>74</v>
      </c>
      <c r="X790" s="2" t="s">
        <v>74</v>
      </c>
      <c r="Y790" s="2" t="s">
        <v>74</v>
      </c>
      <c r="Z790" s="2" t="s">
        <v>74</v>
      </c>
      <c r="AA790" s="2" t="s">
        <v>74</v>
      </c>
      <c r="AB790" s="2" t="s">
        <v>5670</v>
      </c>
      <c r="AC790" s="2" t="s">
        <v>74</v>
      </c>
      <c r="AD790" s="2" t="s">
        <v>74</v>
      </c>
      <c r="AE790" s="2" t="s">
        <v>74</v>
      </c>
      <c r="AF790" s="2" t="s">
        <v>74</v>
      </c>
      <c r="AG790" s="2" t="s">
        <v>74</v>
      </c>
      <c r="AH790" s="2" t="s">
        <v>74</v>
      </c>
      <c r="AI790" s="2" t="s">
        <v>74</v>
      </c>
      <c r="AJ790" s="2" t="s">
        <v>74</v>
      </c>
      <c r="AK790" s="2" t="s">
        <v>74</v>
      </c>
      <c r="AL790" s="2" t="s">
        <v>74</v>
      </c>
      <c r="AM790" s="2" t="s">
        <v>74</v>
      </c>
      <c r="AN790" s="2" t="s">
        <v>74</v>
      </c>
      <c r="AO790" s="2" t="s">
        <v>91</v>
      </c>
      <c r="AP790" s="2" t="s">
        <v>92</v>
      </c>
      <c r="AQ790" s="2" t="s">
        <v>74</v>
      </c>
      <c r="AR790" s="2" t="s">
        <v>74</v>
      </c>
      <c r="AS790" s="2" t="s">
        <v>74</v>
      </c>
      <c r="AT790" s="2" t="s">
        <v>5044</v>
      </c>
      <c r="AU790" s="2">
        <v>2023</v>
      </c>
      <c r="AV790" s="2">
        <v>19</v>
      </c>
      <c r="AW790" s="2">
        <v>5</v>
      </c>
      <c r="AX790" s="2" t="s">
        <v>74</v>
      </c>
      <c r="AY790" s="2" t="s">
        <v>74</v>
      </c>
      <c r="AZ790" s="2" t="s">
        <v>74</v>
      </c>
      <c r="BA790" s="2" t="s">
        <v>74</v>
      </c>
      <c r="BB790" s="2" t="s">
        <v>74</v>
      </c>
      <c r="BC790" s="2" t="s">
        <v>74</v>
      </c>
      <c r="BD790" s="2">
        <v>20220490</v>
      </c>
      <c r="BE790" s="2" t="s">
        <v>5671</v>
      </c>
      <c r="BF790" s="2" t="str">
        <f>HYPERLINK("http://dx.doi.org/10.1098/rsbl.2022.0490","http://dx.doi.org/10.1098/rsbl.2022.0490")</f>
        <v>http://dx.doi.org/10.1098/rsbl.2022.0490</v>
      </c>
      <c r="BG790" s="2" t="s">
        <v>74</v>
      </c>
      <c r="BH790" s="2" t="s">
        <v>74</v>
      </c>
      <c r="BI790" s="2" t="s">
        <v>74</v>
      </c>
      <c r="BJ790" s="2" t="s">
        <v>74</v>
      </c>
      <c r="BK790" s="2" t="s">
        <v>74</v>
      </c>
      <c r="BL790" s="2" t="s">
        <v>74</v>
      </c>
      <c r="BM790" s="2" t="s">
        <v>74</v>
      </c>
      <c r="BN790" s="2">
        <v>37194257</v>
      </c>
      <c r="BO790" s="2" t="s">
        <v>74</v>
      </c>
      <c r="BP790" s="2" t="s">
        <v>74</v>
      </c>
      <c r="BQ790" s="2" t="s">
        <v>74</v>
      </c>
      <c r="BR790" s="2" t="s">
        <v>74</v>
      </c>
      <c r="BS790" s="2" t="s">
        <v>5672</v>
      </c>
      <c r="BT790" s="2" t="str">
        <f>HYPERLINK("https%3A%2F%2Fwww.webofscience.com%2Fwos%2Fwoscc%2Ffull-record%2FWOS:000988392000001","View Full Record in Web of Science")</f>
        <v>View Full Record in Web of Science</v>
      </c>
    </row>
    <row r="791" spans="1:72" s="7" customFormat="1" x14ac:dyDescent="0.4">
      <c r="A791" s="2" t="s">
        <v>72</v>
      </c>
      <c r="B791" s="2" t="s">
        <v>5614</v>
      </c>
      <c r="C791" s="2" t="s">
        <v>74</v>
      </c>
      <c r="D791" s="2" t="s">
        <v>74</v>
      </c>
      <c r="E791" s="2" t="s">
        <v>74</v>
      </c>
      <c r="F791" s="2" t="s">
        <v>5614</v>
      </c>
      <c r="G791" s="2" t="s">
        <v>74</v>
      </c>
      <c r="H791" s="2" t="s">
        <v>74</v>
      </c>
      <c r="I791" s="2" t="s">
        <v>5615</v>
      </c>
      <c r="J791" s="2" t="s">
        <v>344</v>
      </c>
      <c r="K791" s="2" t="s">
        <v>74</v>
      </c>
      <c r="L791" s="2" t="s">
        <v>74</v>
      </c>
      <c r="M791" s="2" t="s">
        <v>74</v>
      </c>
      <c r="N791" s="2" t="s">
        <v>74</v>
      </c>
      <c r="O791" s="2" t="s">
        <v>74</v>
      </c>
      <c r="P791" s="2" t="s">
        <v>74</v>
      </c>
      <c r="Q791" s="2" t="s">
        <v>74</v>
      </c>
      <c r="R791" s="2" t="s">
        <v>74</v>
      </c>
      <c r="S791" s="2" t="s">
        <v>74</v>
      </c>
      <c r="T791" s="2" t="s">
        <v>74</v>
      </c>
      <c r="U791" s="2" t="s">
        <v>74</v>
      </c>
      <c r="V791" s="5" t="s">
        <v>5616</v>
      </c>
      <c r="W791" s="2" t="s">
        <v>74</v>
      </c>
      <c r="X791" s="2" t="s">
        <v>74</v>
      </c>
      <c r="Y791" s="2" t="s">
        <v>74</v>
      </c>
      <c r="Z791" s="2" t="s">
        <v>74</v>
      </c>
      <c r="AA791" s="2" t="s">
        <v>74</v>
      </c>
      <c r="AB791" s="2" t="s">
        <v>74</v>
      </c>
      <c r="AC791" s="2" t="s">
        <v>74</v>
      </c>
      <c r="AD791" s="2" t="s">
        <v>74</v>
      </c>
      <c r="AE791" s="2" t="s">
        <v>74</v>
      </c>
      <c r="AF791" s="2" t="s">
        <v>74</v>
      </c>
      <c r="AG791" s="2" t="s">
        <v>74</v>
      </c>
      <c r="AH791" s="2" t="s">
        <v>74</v>
      </c>
      <c r="AI791" s="2" t="s">
        <v>74</v>
      </c>
      <c r="AJ791" s="2" t="s">
        <v>74</v>
      </c>
      <c r="AK791" s="2" t="s">
        <v>74</v>
      </c>
      <c r="AL791" s="2" t="s">
        <v>74</v>
      </c>
      <c r="AM791" s="2" t="s">
        <v>74</v>
      </c>
      <c r="AN791" s="2" t="s">
        <v>74</v>
      </c>
      <c r="AO791" s="2" t="s">
        <v>346</v>
      </c>
      <c r="AP791" s="2" t="s">
        <v>74</v>
      </c>
      <c r="AQ791" s="2" t="s">
        <v>74</v>
      </c>
      <c r="AR791" s="2" t="s">
        <v>74</v>
      </c>
      <c r="AS791" s="2" t="s">
        <v>74</v>
      </c>
      <c r="AT791" s="2" t="s">
        <v>102</v>
      </c>
      <c r="AU791" s="2">
        <v>1994</v>
      </c>
      <c r="AV791" s="2">
        <v>40</v>
      </c>
      <c r="AW791" s="2">
        <v>2</v>
      </c>
      <c r="AX791" s="2" t="s">
        <v>74</v>
      </c>
      <c r="AY791" s="2" t="s">
        <v>74</v>
      </c>
      <c r="AZ791" s="2" t="s">
        <v>74</v>
      </c>
      <c r="BA791" s="2" t="s">
        <v>74</v>
      </c>
      <c r="BB791" s="2">
        <v>175</v>
      </c>
      <c r="BC791" s="2">
        <v>188</v>
      </c>
      <c r="BD791" s="2" t="s">
        <v>74</v>
      </c>
      <c r="BE791" s="2" t="s">
        <v>5617</v>
      </c>
      <c r="BF791" s="2" t="str">
        <f>HYPERLINK("http://dx.doi.org/10.1007/BF00002544","http://dx.doi.org/10.1007/BF00002544")</f>
        <v>http://dx.doi.org/10.1007/BF00002544</v>
      </c>
      <c r="BG791" s="2" t="s">
        <v>74</v>
      </c>
      <c r="BH791" s="2" t="s">
        <v>74</v>
      </c>
      <c r="BI791" s="2" t="s">
        <v>74</v>
      </c>
      <c r="BJ791" s="2" t="s">
        <v>74</v>
      </c>
      <c r="BK791" s="2" t="s">
        <v>74</v>
      </c>
      <c r="BL791" s="2" t="s">
        <v>74</v>
      </c>
      <c r="BM791" s="2" t="s">
        <v>74</v>
      </c>
      <c r="BN791" s="2" t="s">
        <v>74</v>
      </c>
      <c r="BO791" s="2" t="s">
        <v>74</v>
      </c>
      <c r="BP791" s="2" t="s">
        <v>74</v>
      </c>
      <c r="BQ791" s="2" t="s">
        <v>74</v>
      </c>
      <c r="BR791" s="2" t="s">
        <v>74</v>
      </c>
      <c r="BS791" s="2" t="s">
        <v>5618</v>
      </c>
      <c r="BT791" s="2" t="str">
        <f>HYPERLINK("https%3A%2F%2Fwww.webofscience.com%2Fwos%2Fwoscc%2Ffull-record%2FWOS:A1994NN69200007","View Full Record in Web of Science")</f>
        <v>View Full Record in Web of Science</v>
      </c>
    </row>
    <row r="792" spans="1:72" s="2" customFormat="1" x14ac:dyDescent="0.4">
      <c r="A792" s="2" t="s">
        <v>72</v>
      </c>
      <c r="B792" s="2" t="s">
        <v>6231</v>
      </c>
      <c r="C792" s="2" t="s">
        <v>74</v>
      </c>
      <c r="D792" s="2" t="s">
        <v>74</v>
      </c>
      <c r="E792" s="2" t="s">
        <v>74</v>
      </c>
      <c r="F792" s="2" t="s">
        <v>6232</v>
      </c>
      <c r="G792" s="2" t="s">
        <v>74</v>
      </c>
      <c r="H792" s="2" t="s">
        <v>74</v>
      </c>
      <c r="I792" s="2" t="s">
        <v>6233</v>
      </c>
      <c r="J792" s="2" t="s">
        <v>218</v>
      </c>
      <c r="K792" s="2" t="s">
        <v>74</v>
      </c>
      <c r="L792" s="2" t="s">
        <v>74</v>
      </c>
      <c r="M792" s="2" t="s">
        <v>74</v>
      </c>
      <c r="N792" s="2" t="s">
        <v>74</v>
      </c>
      <c r="O792" s="2" t="s">
        <v>74</v>
      </c>
      <c r="P792" s="2" t="s">
        <v>74</v>
      </c>
      <c r="Q792" s="2" t="s">
        <v>74</v>
      </c>
      <c r="R792" s="2" t="s">
        <v>74</v>
      </c>
      <c r="S792" s="2" t="s">
        <v>74</v>
      </c>
      <c r="T792" s="2" t="s">
        <v>74</v>
      </c>
      <c r="U792" s="2" t="s">
        <v>74</v>
      </c>
      <c r="V792" s="5" t="s">
        <v>6234</v>
      </c>
      <c r="W792" s="2" t="s">
        <v>74</v>
      </c>
      <c r="X792" s="2" t="s">
        <v>74</v>
      </c>
      <c r="Y792" s="2" t="s">
        <v>74</v>
      </c>
      <c r="Z792" s="2" t="s">
        <v>74</v>
      </c>
      <c r="AA792" s="2" t="s">
        <v>6235</v>
      </c>
      <c r="AB792" s="2" t="s">
        <v>74</v>
      </c>
      <c r="AC792" s="2" t="s">
        <v>74</v>
      </c>
      <c r="AD792" s="2" t="s">
        <v>74</v>
      </c>
      <c r="AE792" s="2" t="s">
        <v>74</v>
      </c>
      <c r="AF792" s="2" t="s">
        <v>74</v>
      </c>
      <c r="AG792" s="2" t="s">
        <v>74</v>
      </c>
      <c r="AH792" s="2" t="s">
        <v>74</v>
      </c>
      <c r="AI792" s="2" t="s">
        <v>74</v>
      </c>
      <c r="AJ792" s="2" t="s">
        <v>74</v>
      </c>
      <c r="AK792" s="2" t="s">
        <v>74</v>
      </c>
      <c r="AL792" s="2" t="s">
        <v>74</v>
      </c>
      <c r="AM792" s="2" t="s">
        <v>74</v>
      </c>
      <c r="AN792" s="2" t="s">
        <v>74</v>
      </c>
      <c r="AO792" s="2" t="s">
        <v>221</v>
      </c>
      <c r="AP792" s="2" t="s">
        <v>222</v>
      </c>
      <c r="AQ792" s="2" t="s">
        <v>74</v>
      </c>
      <c r="AR792" s="2" t="s">
        <v>74</v>
      </c>
      <c r="AS792" s="2" t="s">
        <v>74</v>
      </c>
      <c r="AT792" s="2" t="s">
        <v>204</v>
      </c>
      <c r="AU792" s="2">
        <v>2007</v>
      </c>
      <c r="AV792" s="2">
        <v>20</v>
      </c>
      <c r="AW792" s="2">
        <v>4</v>
      </c>
      <c r="AX792" s="2" t="s">
        <v>74</v>
      </c>
      <c r="AY792" s="2" t="s">
        <v>74</v>
      </c>
      <c r="AZ792" s="2" t="s">
        <v>74</v>
      </c>
      <c r="BA792" s="2" t="s">
        <v>74</v>
      </c>
      <c r="BB792" s="2">
        <v>1637</v>
      </c>
      <c r="BC792" s="2">
        <v>1648</v>
      </c>
      <c r="BD792" s="2" t="s">
        <v>74</v>
      </c>
      <c r="BE792" s="2" t="s">
        <v>6236</v>
      </c>
      <c r="BF792" s="2" t="str">
        <f>HYPERLINK("http://dx.doi.org/10.1111/j.1420-9101.2007.01297.x","http://dx.doi.org/10.1111/j.1420-9101.2007.01297.x")</f>
        <v>http://dx.doi.org/10.1111/j.1420-9101.2007.01297.x</v>
      </c>
      <c r="BG792" s="2" t="s">
        <v>74</v>
      </c>
      <c r="BH792" s="2" t="s">
        <v>74</v>
      </c>
      <c r="BI792" s="2" t="s">
        <v>74</v>
      </c>
      <c r="BJ792" s="2" t="s">
        <v>74</v>
      </c>
      <c r="BK792" s="2" t="s">
        <v>74</v>
      </c>
      <c r="BL792" s="2" t="s">
        <v>74</v>
      </c>
      <c r="BM792" s="2" t="s">
        <v>74</v>
      </c>
      <c r="BN792" s="2">
        <v>17584256</v>
      </c>
      <c r="BO792" s="2" t="s">
        <v>74</v>
      </c>
      <c r="BP792" s="2" t="s">
        <v>74</v>
      </c>
      <c r="BQ792" s="2" t="s">
        <v>74</v>
      </c>
      <c r="BR792" s="2" t="s">
        <v>74</v>
      </c>
      <c r="BS792" s="2" t="s">
        <v>6237</v>
      </c>
      <c r="BT792" s="2" t="str">
        <f>HYPERLINK("https%3A%2F%2Fwww.webofscience.com%2Fwos%2Fwoscc%2Ffull-record%2FWOS:000248177600037","View Full Record in Web of Science")</f>
        <v>View Full Record in Web of Science</v>
      </c>
    </row>
    <row r="793" spans="1:72" s="2" customFormat="1" x14ac:dyDescent="0.4">
      <c r="A793" s="2" t="s">
        <v>72</v>
      </c>
      <c r="B793" s="2" t="s">
        <v>3783</v>
      </c>
      <c r="C793" s="2" t="s">
        <v>74</v>
      </c>
      <c r="D793" s="2" t="s">
        <v>74</v>
      </c>
      <c r="E793" s="2" t="s">
        <v>74</v>
      </c>
      <c r="F793" s="2" t="s">
        <v>3783</v>
      </c>
      <c r="G793" s="2" t="s">
        <v>74</v>
      </c>
      <c r="H793" s="2" t="s">
        <v>74</v>
      </c>
      <c r="I793" s="2" t="s">
        <v>3784</v>
      </c>
      <c r="J793" s="2" t="s">
        <v>3785</v>
      </c>
      <c r="K793" s="2" t="s">
        <v>74</v>
      </c>
      <c r="L793" s="2" t="s">
        <v>74</v>
      </c>
      <c r="M793" s="2" t="s">
        <v>74</v>
      </c>
      <c r="N793" s="2" t="s">
        <v>74</v>
      </c>
      <c r="O793" s="2" t="s">
        <v>74</v>
      </c>
      <c r="P793" s="2" t="s">
        <v>74</v>
      </c>
      <c r="Q793" s="2" t="s">
        <v>74</v>
      </c>
      <c r="R793" s="2" t="s">
        <v>74</v>
      </c>
      <c r="S793" s="2" t="s">
        <v>74</v>
      </c>
      <c r="T793" s="2" t="s">
        <v>74</v>
      </c>
      <c r="U793" s="2" t="s">
        <v>74</v>
      </c>
      <c r="V793" s="5" t="s">
        <v>3786</v>
      </c>
      <c r="W793" s="2" t="s">
        <v>74</v>
      </c>
      <c r="X793" s="2" t="s">
        <v>74</v>
      </c>
      <c r="Y793" s="2" t="s">
        <v>74</v>
      </c>
      <c r="Z793" s="2" t="s">
        <v>74</v>
      </c>
      <c r="AA793" s="2" t="s">
        <v>74</v>
      </c>
      <c r="AB793" s="2" t="s">
        <v>74</v>
      </c>
      <c r="AC793" s="2" t="s">
        <v>74</v>
      </c>
      <c r="AD793" s="2" t="s">
        <v>74</v>
      </c>
      <c r="AE793" s="2" t="s">
        <v>74</v>
      </c>
      <c r="AF793" s="2" t="s">
        <v>74</v>
      </c>
      <c r="AG793" s="2" t="s">
        <v>74</v>
      </c>
      <c r="AH793" s="2" t="s">
        <v>74</v>
      </c>
      <c r="AI793" s="2" t="s">
        <v>74</v>
      </c>
      <c r="AJ793" s="2" t="s">
        <v>74</v>
      </c>
      <c r="AK793" s="2" t="s">
        <v>74</v>
      </c>
      <c r="AL793" s="2" t="s">
        <v>74</v>
      </c>
      <c r="AM793" s="2" t="s">
        <v>74</v>
      </c>
      <c r="AN793" s="2" t="s">
        <v>74</v>
      </c>
      <c r="AO793" s="2" t="s">
        <v>3787</v>
      </c>
      <c r="AP793" s="2" t="s">
        <v>3788</v>
      </c>
      <c r="AQ793" s="2" t="s">
        <v>74</v>
      </c>
      <c r="AR793" s="2" t="s">
        <v>74</v>
      </c>
      <c r="AS793" s="2" t="s">
        <v>74</v>
      </c>
      <c r="AT793" s="2" t="s">
        <v>213</v>
      </c>
      <c r="AU793" s="2">
        <v>2002</v>
      </c>
      <c r="AV793" s="2">
        <v>47</v>
      </c>
      <c r="AW793" s="2">
        <v>11</v>
      </c>
      <c r="AX793" s="2" t="s">
        <v>74</v>
      </c>
      <c r="AY793" s="2" t="s">
        <v>74</v>
      </c>
      <c r="AZ793" s="2" t="s">
        <v>74</v>
      </c>
      <c r="BA793" s="2" t="s">
        <v>74</v>
      </c>
      <c r="BB793" s="2">
        <v>2039</v>
      </c>
      <c r="BC793" s="2">
        <v>2048</v>
      </c>
      <c r="BD793" s="2" t="s">
        <v>74</v>
      </c>
      <c r="BE793" s="2" t="s">
        <v>3789</v>
      </c>
      <c r="BF793" s="2" t="str">
        <f>HYPERLINK("http://dx.doi.org/10.1046/j.1365-2427.2002.00944.x","http://dx.doi.org/10.1046/j.1365-2427.2002.00944.x")</f>
        <v>http://dx.doi.org/10.1046/j.1365-2427.2002.00944.x</v>
      </c>
      <c r="BG793" s="2" t="s">
        <v>74</v>
      </c>
      <c r="BH793" s="2" t="s">
        <v>74</v>
      </c>
      <c r="BI793" s="2" t="s">
        <v>74</v>
      </c>
      <c r="BJ793" s="2" t="s">
        <v>74</v>
      </c>
      <c r="BK793" s="2" t="s">
        <v>74</v>
      </c>
      <c r="BL793" s="2" t="s">
        <v>74</v>
      </c>
      <c r="BM793" s="2" t="s">
        <v>74</v>
      </c>
      <c r="BN793" s="2" t="s">
        <v>74</v>
      </c>
      <c r="BO793" s="2" t="s">
        <v>74</v>
      </c>
      <c r="BP793" s="2" t="s">
        <v>74</v>
      </c>
      <c r="BQ793" s="2" t="s">
        <v>74</v>
      </c>
      <c r="BR793" s="2" t="s">
        <v>74</v>
      </c>
      <c r="BS793" s="2" t="s">
        <v>3790</v>
      </c>
      <c r="BT793" s="2" t="str">
        <f>HYPERLINK("https%3A%2F%2Fwww.webofscience.com%2Fwos%2Fwoscc%2Ffull-record%2FWOS:000178848300001","View Full Record in Web of Science")</f>
        <v>View Full Record in Web of Science</v>
      </c>
    </row>
    <row r="794" spans="1:72" s="2" customFormat="1" x14ac:dyDescent="0.4">
      <c r="A794" s="2" t="s">
        <v>72</v>
      </c>
      <c r="B794" s="2" t="s">
        <v>8452</v>
      </c>
      <c r="C794" s="2" t="s">
        <v>74</v>
      </c>
      <c r="D794" s="2" t="s">
        <v>74</v>
      </c>
      <c r="E794" s="2" t="s">
        <v>74</v>
      </c>
      <c r="F794" s="2" t="s">
        <v>8452</v>
      </c>
      <c r="G794" s="2" t="s">
        <v>74</v>
      </c>
      <c r="H794" s="2" t="s">
        <v>74</v>
      </c>
      <c r="I794" s="2" t="s">
        <v>8453</v>
      </c>
      <c r="J794" s="2" t="s">
        <v>4655</v>
      </c>
      <c r="K794" s="2" t="s">
        <v>74</v>
      </c>
      <c r="L794" s="2" t="s">
        <v>74</v>
      </c>
      <c r="M794" s="2" t="s">
        <v>74</v>
      </c>
      <c r="N794" s="2" t="s">
        <v>74</v>
      </c>
      <c r="O794" s="2" t="s">
        <v>74</v>
      </c>
      <c r="P794" s="2" t="s">
        <v>74</v>
      </c>
      <c r="Q794" s="2" t="s">
        <v>74</v>
      </c>
      <c r="R794" s="2" t="s">
        <v>74</v>
      </c>
      <c r="S794" s="2" t="s">
        <v>74</v>
      </c>
      <c r="T794" s="2" t="s">
        <v>74</v>
      </c>
      <c r="U794" s="2" t="s">
        <v>74</v>
      </c>
      <c r="V794" s="5" t="s">
        <v>8454</v>
      </c>
      <c r="W794" s="2" t="s">
        <v>74</v>
      </c>
      <c r="X794" s="2" t="s">
        <v>74</v>
      </c>
      <c r="Y794" s="2" t="s">
        <v>74</v>
      </c>
      <c r="Z794" s="2" t="s">
        <v>74</v>
      </c>
      <c r="AA794" s="2" t="s">
        <v>8455</v>
      </c>
      <c r="AB794" s="2" t="s">
        <v>8456</v>
      </c>
      <c r="AC794" s="2" t="s">
        <v>74</v>
      </c>
      <c r="AD794" s="2" t="s">
        <v>74</v>
      </c>
      <c r="AE794" s="2" t="s">
        <v>74</v>
      </c>
      <c r="AF794" s="2" t="s">
        <v>74</v>
      </c>
      <c r="AG794" s="2" t="s">
        <v>74</v>
      </c>
      <c r="AH794" s="2" t="s">
        <v>74</v>
      </c>
      <c r="AI794" s="2" t="s">
        <v>74</v>
      </c>
      <c r="AJ794" s="2" t="s">
        <v>74</v>
      </c>
      <c r="AK794" s="2" t="s">
        <v>74</v>
      </c>
      <c r="AL794" s="2" t="s">
        <v>74</v>
      </c>
      <c r="AM794" s="2" t="s">
        <v>74</v>
      </c>
      <c r="AN794" s="2" t="s">
        <v>74</v>
      </c>
      <c r="AO794" s="2" t="s">
        <v>4657</v>
      </c>
      <c r="AP794" s="2" t="s">
        <v>74</v>
      </c>
      <c r="AQ794" s="2" t="s">
        <v>74</v>
      </c>
      <c r="AR794" s="2" t="s">
        <v>74</v>
      </c>
      <c r="AS794" s="2" t="s">
        <v>74</v>
      </c>
      <c r="AT794" s="2" t="s">
        <v>123</v>
      </c>
      <c r="AU794" s="2">
        <v>2002</v>
      </c>
      <c r="AV794" s="2">
        <v>114</v>
      </c>
      <c r="AW794" s="2">
        <v>1</v>
      </c>
      <c r="AX794" s="2" t="s">
        <v>74</v>
      </c>
      <c r="AY794" s="2" t="s">
        <v>74</v>
      </c>
      <c r="AZ794" s="2" t="s">
        <v>74</v>
      </c>
      <c r="BA794" s="2" t="s">
        <v>74</v>
      </c>
      <c r="BB794" s="2">
        <v>106</v>
      </c>
      <c r="BC794" s="2">
        <v>113</v>
      </c>
      <c r="BD794" s="2" t="s">
        <v>74</v>
      </c>
      <c r="BE794" s="2" t="s">
        <v>8457</v>
      </c>
      <c r="BF794" s="2" t="str">
        <f>HYPERLINK("http://dx.doi.org/10.1676/0043-5643(2002)114[0106:OPITLW]2.0.CO;2","http://dx.doi.org/10.1676/0043-5643(2002)114[0106:OPITLW]2.0.CO;2")</f>
        <v>http://dx.doi.org/10.1676/0043-5643(2002)114[0106:OPITLW]2.0.CO;2</v>
      </c>
      <c r="BG794" s="2" t="s">
        <v>74</v>
      </c>
      <c r="BH794" s="2" t="s">
        <v>74</v>
      </c>
      <c r="BI794" s="2" t="s">
        <v>74</v>
      </c>
      <c r="BJ794" s="2" t="s">
        <v>74</v>
      </c>
      <c r="BK794" s="2" t="s">
        <v>74</v>
      </c>
      <c r="BL794" s="2" t="s">
        <v>74</v>
      </c>
      <c r="BM794" s="2" t="s">
        <v>74</v>
      </c>
      <c r="BN794" s="2" t="s">
        <v>74</v>
      </c>
      <c r="BO794" s="2" t="s">
        <v>74</v>
      </c>
      <c r="BP794" s="2" t="s">
        <v>74</v>
      </c>
      <c r="BQ794" s="2" t="s">
        <v>74</v>
      </c>
      <c r="BR794" s="2" t="s">
        <v>74</v>
      </c>
      <c r="BS794" s="2" t="s">
        <v>8458</v>
      </c>
      <c r="BT794" s="2" t="str">
        <f>HYPERLINK("https%3A%2F%2Fwww.webofscience.com%2Fwos%2Fwoscc%2Ffull-record%2FWOS:000178580800010","View Full Record in Web of Science")</f>
        <v>View Full Record in Web of Science</v>
      </c>
    </row>
    <row r="795" spans="1:72" s="2" customFormat="1" x14ac:dyDescent="0.4">
      <c r="A795" s="2" t="s">
        <v>72</v>
      </c>
      <c r="B795" s="2" t="s">
        <v>6940</v>
      </c>
      <c r="C795" s="2" t="s">
        <v>74</v>
      </c>
      <c r="D795" s="2" t="s">
        <v>74</v>
      </c>
      <c r="E795" s="2" t="s">
        <v>74</v>
      </c>
      <c r="F795" s="2" t="s">
        <v>6940</v>
      </c>
      <c r="G795" s="2" t="s">
        <v>74</v>
      </c>
      <c r="H795" s="2" t="s">
        <v>74</v>
      </c>
      <c r="I795" s="2" t="s">
        <v>6941</v>
      </c>
      <c r="J795" s="2" t="s">
        <v>129</v>
      </c>
      <c r="K795" s="2" t="s">
        <v>74</v>
      </c>
      <c r="L795" s="2" t="s">
        <v>74</v>
      </c>
      <c r="M795" s="2" t="s">
        <v>74</v>
      </c>
      <c r="N795" s="2" t="s">
        <v>74</v>
      </c>
      <c r="O795" s="2" t="s">
        <v>74</v>
      </c>
      <c r="P795" s="2" t="s">
        <v>74</v>
      </c>
      <c r="Q795" s="2" t="s">
        <v>74</v>
      </c>
      <c r="R795" s="2" t="s">
        <v>74</v>
      </c>
      <c r="S795" s="2" t="s">
        <v>74</v>
      </c>
      <c r="T795" s="2" t="s">
        <v>74</v>
      </c>
      <c r="U795" s="2" t="s">
        <v>74</v>
      </c>
      <c r="V795" s="5" t="s">
        <v>6942</v>
      </c>
      <c r="W795" s="2" t="s">
        <v>74</v>
      </c>
      <c r="X795" s="2" t="s">
        <v>74</v>
      </c>
      <c r="Y795" s="2" t="s">
        <v>74</v>
      </c>
      <c r="Z795" s="2" t="s">
        <v>74</v>
      </c>
      <c r="AA795" s="2" t="s">
        <v>74</v>
      </c>
      <c r="AB795" s="2" t="s">
        <v>74</v>
      </c>
      <c r="AC795" s="2" t="s">
        <v>74</v>
      </c>
      <c r="AD795" s="2" t="s">
        <v>74</v>
      </c>
      <c r="AE795" s="2" t="s">
        <v>74</v>
      </c>
      <c r="AF795" s="2" t="s">
        <v>74</v>
      </c>
      <c r="AG795" s="2" t="s">
        <v>74</v>
      </c>
      <c r="AH795" s="2" t="s">
        <v>74</v>
      </c>
      <c r="AI795" s="2" t="s">
        <v>74</v>
      </c>
      <c r="AJ795" s="2" t="s">
        <v>74</v>
      </c>
      <c r="AK795" s="2" t="s">
        <v>74</v>
      </c>
      <c r="AL795" s="2" t="s">
        <v>74</v>
      </c>
      <c r="AM795" s="2" t="s">
        <v>74</v>
      </c>
      <c r="AN795" s="2" t="s">
        <v>74</v>
      </c>
      <c r="AO795" s="2" t="s">
        <v>132</v>
      </c>
      <c r="AP795" s="2" t="s">
        <v>133</v>
      </c>
      <c r="AQ795" s="2" t="s">
        <v>74</v>
      </c>
      <c r="AR795" s="2" t="s">
        <v>74</v>
      </c>
      <c r="AS795" s="2" t="s">
        <v>74</v>
      </c>
      <c r="AT795" s="2" t="s">
        <v>74</v>
      </c>
      <c r="AU795" s="2">
        <v>1989</v>
      </c>
      <c r="AV795" s="2">
        <v>25</v>
      </c>
      <c r="AW795" s="2">
        <v>1</v>
      </c>
      <c r="AX795" s="2" t="s">
        <v>74</v>
      </c>
      <c r="AY795" s="2" t="s">
        <v>74</v>
      </c>
      <c r="AZ795" s="2" t="s">
        <v>74</v>
      </c>
      <c r="BA795" s="2" t="s">
        <v>74</v>
      </c>
      <c r="BB795" s="2">
        <v>23</v>
      </c>
      <c r="BC795" s="2">
        <v>31</v>
      </c>
      <c r="BD795" s="2" t="s">
        <v>74</v>
      </c>
      <c r="BE795" s="2" t="s">
        <v>6943</v>
      </c>
      <c r="BF795" s="2" t="str">
        <f>HYPERLINK("http://dx.doi.org/10.1007/BF00299707","http://dx.doi.org/10.1007/BF00299707")</f>
        <v>http://dx.doi.org/10.1007/BF00299707</v>
      </c>
      <c r="BG795" s="2" t="s">
        <v>74</v>
      </c>
      <c r="BH795" s="2" t="s">
        <v>74</v>
      </c>
      <c r="BI795" s="2" t="s">
        <v>74</v>
      </c>
      <c r="BJ795" s="2" t="s">
        <v>74</v>
      </c>
      <c r="BK795" s="2" t="s">
        <v>74</v>
      </c>
      <c r="BL795" s="2" t="s">
        <v>74</v>
      </c>
      <c r="BM795" s="2" t="s">
        <v>74</v>
      </c>
      <c r="BN795" s="2" t="s">
        <v>74</v>
      </c>
      <c r="BO795" s="2" t="s">
        <v>74</v>
      </c>
      <c r="BP795" s="2" t="s">
        <v>74</v>
      </c>
      <c r="BQ795" s="2" t="s">
        <v>74</v>
      </c>
      <c r="BR795" s="2" t="s">
        <v>74</v>
      </c>
      <c r="BS795" s="2" t="s">
        <v>6944</v>
      </c>
      <c r="BT795" s="2" t="str">
        <f>HYPERLINK("https%3A%2F%2Fwww.webofscience.com%2Fwos%2Fwoscc%2Ffull-record%2FWOS:A1989AJ00400003","View Full Record in Web of Science")</f>
        <v>View Full Record in Web of Science</v>
      </c>
    </row>
    <row r="796" spans="1:72" s="2" customFormat="1" x14ac:dyDescent="0.4">
      <c r="A796" s="2" t="s">
        <v>72</v>
      </c>
      <c r="B796" s="2" t="s">
        <v>8050</v>
      </c>
      <c r="C796" s="2" t="s">
        <v>74</v>
      </c>
      <c r="D796" s="2" t="s">
        <v>74</v>
      </c>
      <c r="E796" s="2" t="s">
        <v>74</v>
      </c>
      <c r="F796" s="2" t="s">
        <v>8051</v>
      </c>
      <c r="G796" s="2" t="s">
        <v>74</v>
      </c>
      <c r="H796" s="2" t="s">
        <v>74</v>
      </c>
      <c r="I796" s="2" t="s">
        <v>8052</v>
      </c>
      <c r="J796" s="2" t="s">
        <v>431</v>
      </c>
      <c r="K796" s="2" t="s">
        <v>74</v>
      </c>
      <c r="L796" s="2" t="s">
        <v>74</v>
      </c>
      <c r="M796" s="2" t="s">
        <v>74</v>
      </c>
      <c r="N796" s="2" t="s">
        <v>74</v>
      </c>
      <c r="O796" s="2" t="s">
        <v>74</v>
      </c>
      <c r="P796" s="2" t="s">
        <v>74</v>
      </c>
      <c r="Q796" s="2" t="s">
        <v>74</v>
      </c>
      <c r="R796" s="2" t="s">
        <v>74</v>
      </c>
      <c r="S796" s="2" t="s">
        <v>74</v>
      </c>
      <c r="T796" s="2" t="s">
        <v>74</v>
      </c>
      <c r="U796" s="2" t="s">
        <v>74</v>
      </c>
      <c r="V796" s="5" t="s">
        <v>8053</v>
      </c>
      <c r="W796" s="2" t="s">
        <v>74</v>
      </c>
      <c r="X796" s="2" t="s">
        <v>74</v>
      </c>
      <c r="Y796" s="2" t="s">
        <v>74</v>
      </c>
      <c r="Z796" s="2" t="s">
        <v>74</v>
      </c>
      <c r="AA796" s="2" t="s">
        <v>8054</v>
      </c>
      <c r="AB796" s="2" t="s">
        <v>8055</v>
      </c>
      <c r="AC796" s="2" t="s">
        <v>74</v>
      </c>
      <c r="AD796" s="2" t="s">
        <v>74</v>
      </c>
      <c r="AE796" s="2" t="s">
        <v>74</v>
      </c>
      <c r="AF796" s="2" t="s">
        <v>74</v>
      </c>
      <c r="AG796" s="2" t="s">
        <v>74</v>
      </c>
      <c r="AH796" s="2" t="s">
        <v>74</v>
      </c>
      <c r="AI796" s="2" t="s">
        <v>74</v>
      </c>
      <c r="AJ796" s="2" t="s">
        <v>74</v>
      </c>
      <c r="AK796" s="2" t="s">
        <v>74</v>
      </c>
      <c r="AL796" s="2" t="s">
        <v>74</v>
      </c>
      <c r="AM796" s="2" t="s">
        <v>74</v>
      </c>
      <c r="AN796" s="2" t="s">
        <v>74</v>
      </c>
      <c r="AO796" s="2" t="s">
        <v>1458</v>
      </c>
      <c r="AP796" s="2" t="s">
        <v>435</v>
      </c>
      <c r="AQ796" s="2" t="s">
        <v>74</v>
      </c>
      <c r="AR796" s="2" t="s">
        <v>74</v>
      </c>
      <c r="AS796" s="2" t="s">
        <v>74</v>
      </c>
      <c r="AT796" s="2" t="s">
        <v>633</v>
      </c>
      <c r="AU796" s="2">
        <v>2007</v>
      </c>
      <c r="AV796" s="2">
        <v>124</v>
      </c>
      <c r="AW796" s="2">
        <v>2</v>
      </c>
      <c r="AX796" s="2" t="s">
        <v>74</v>
      </c>
      <c r="AY796" s="2" t="s">
        <v>74</v>
      </c>
      <c r="AZ796" s="2" t="s">
        <v>74</v>
      </c>
      <c r="BA796" s="2" t="s">
        <v>74</v>
      </c>
      <c r="BB796" s="2">
        <v>619</v>
      </c>
      <c r="BC796" s="2">
        <v>627</v>
      </c>
      <c r="BD796" s="2" t="s">
        <v>74</v>
      </c>
      <c r="BE796" s="2" t="s">
        <v>8056</v>
      </c>
      <c r="BF796" s="2" t="str">
        <f>HYPERLINK("http://dx.doi.org/10.1093/auk/124.2.619","http://dx.doi.org/10.1093/auk/124.2.619")</f>
        <v>http://dx.doi.org/10.1093/auk/124.2.619</v>
      </c>
      <c r="BG796" s="2" t="s">
        <v>74</v>
      </c>
      <c r="BH796" s="2" t="s">
        <v>74</v>
      </c>
      <c r="BI796" s="2" t="s">
        <v>74</v>
      </c>
      <c r="BJ796" s="2" t="s">
        <v>74</v>
      </c>
      <c r="BK796" s="2" t="s">
        <v>74</v>
      </c>
      <c r="BL796" s="2" t="s">
        <v>74</v>
      </c>
      <c r="BM796" s="2" t="s">
        <v>74</v>
      </c>
      <c r="BN796" s="2" t="s">
        <v>74</v>
      </c>
      <c r="BO796" s="2" t="s">
        <v>74</v>
      </c>
      <c r="BP796" s="2" t="s">
        <v>74</v>
      </c>
      <c r="BQ796" s="2" t="s">
        <v>74</v>
      </c>
      <c r="BR796" s="2" t="s">
        <v>74</v>
      </c>
      <c r="BS796" s="2" t="s">
        <v>8057</v>
      </c>
      <c r="BT796" s="2" t="str">
        <f>HYPERLINK("https%3A%2F%2Fwww.webofscience.com%2Fwos%2Fwoscc%2Ffull-record%2FWOS:000246596400020","View Full Record in Web of Science")</f>
        <v>View Full Record in Web of Science</v>
      </c>
    </row>
    <row r="797" spans="1:72" s="2" customFormat="1" x14ac:dyDescent="0.4">
      <c r="A797" s="2" t="s">
        <v>72</v>
      </c>
      <c r="B797" s="2" t="s">
        <v>7175</v>
      </c>
      <c r="C797" s="2" t="s">
        <v>74</v>
      </c>
      <c r="D797" s="2" t="s">
        <v>74</v>
      </c>
      <c r="E797" s="2" t="s">
        <v>74</v>
      </c>
      <c r="F797" s="2" t="s">
        <v>7176</v>
      </c>
      <c r="G797" s="2" t="s">
        <v>74</v>
      </c>
      <c r="H797" s="2" t="s">
        <v>74</v>
      </c>
      <c r="I797" s="2" t="s">
        <v>7177</v>
      </c>
      <c r="J797" s="2" t="s">
        <v>763</v>
      </c>
      <c r="K797" s="2" t="s">
        <v>74</v>
      </c>
      <c r="L797" s="2" t="s">
        <v>74</v>
      </c>
      <c r="M797" s="2" t="s">
        <v>74</v>
      </c>
      <c r="N797" s="2" t="s">
        <v>74</v>
      </c>
      <c r="O797" s="2" t="s">
        <v>74</v>
      </c>
      <c r="P797" s="2" t="s">
        <v>74</v>
      </c>
      <c r="Q797" s="2" t="s">
        <v>74</v>
      </c>
      <c r="R797" s="2" t="s">
        <v>74</v>
      </c>
      <c r="S797" s="2" t="s">
        <v>74</v>
      </c>
      <c r="T797" s="2" t="s">
        <v>74</v>
      </c>
      <c r="U797" s="2" t="s">
        <v>74</v>
      </c>
      <c r="V797" s="5" t="s">
        <v>7178</v>
      </c>
      <c r="W797" s="2" t="s">
        <v>74</v>
      </c>
      <c r="X797" s="2" t="s">
        <v>74</v>
      </c>
      <c r="Y797" s="2" t="s">
        <v>74</v>
      </c>
      <c r="Z797" s="2" t="s">
        <v>74</v>
      </c>
      <c r="AA797" s="2" t="s">
        <v>7179</v>
      </c>
      <c r="AB797" s="2" t="s">
        <v>7180</v>
      </c>
      <c r="AC797" s="2" t="s">
        <v>74</v>
      </c>
      <c r="AD797" s="2" t="s">
        <v>74</v>
      </c>
      <c r="AE797" s="2" t="s">
        <v>74</v>
      </c>
      <c r="AF797" s="2" t="s">
        <v>74</v>
      </c>
      <c r="AG797" s="2" t="s">
        <v>74</v>
      </c>
      <c r="AH797" s="2" t="s">
        <v>74</v>
      </c>
      <c r="AI797" s="2" t="s">
        <v>74</v>
      </c>
      <c r="AJ797" s="2" t="s">
        <v>74</v>
      </c>
      <c r="AK797" s="2" t="s">
        <v>74</v>
      </c>
      <c r="AL797" s="2" t="s">
        <v>74</v>
      </c>
      <c r="AM797" s="2" t="s">
        <v>74</v>
      </c>
      <c r="AN797" s="2" t="s">
        <v>74</v>
      </c>
      <c r="AO797" s="2" t="s">
        <v>767</v>
      </c>
      <c r="AP797" s="2" t="s">
        <v>768</v>
      </c>
      <c r="AQ797" s="2" t="s">
        <v>74</v>
      </c>
      <c r="AR797" s="2" t="s">
        <v>74</v>
      </c>
      <c r="AS797" s="2" t="s">
        <v>74</v>
      </c>
      <c r="AT797" s="2" t="s">
        <v>102</v>
      </c>
      <c r="AU797" s="2">
        <v>2022</v>
      </c>
      <c r="AV797" s="2">
        <v>225</v>
      </c>
      <c r="AW797" s="2">
        <v>11</v>
      </c>
      <c r="AX797" s="2" t="s">
        <v>74</v>
      </c>
      <c r="AY797" s="2" t="s">
        <v>74</v>
      </c>
      <c r="AZ797" s="2" t="s">
        <v>74</v>
      </c>
      <c r="BA797" s="2" t="s">
        <v>74</v>
      </c>
      <c r="BB797" s="2" t="s">
        <v>74</v>
      </c>
      <c r="BC797" s="2" t="s">
        <v>74</v>
      </c>
      <c r="BD797" s="2" t="s">
        <v>7181</v>
      </c>
      <c r="BE797" s="2" t="s">
        <v>7182</v>
      </c>
      <c r="BF797" s="2" t="str">
        <f>HYPERLINK("http://dx.doi.org/10.1242/jeb.244317","http://dx.doi.org/10.1242/jeb.244317")</f>
        <v>http://dx.doi.org/10.1242/jeb.244317</v>
      </c>
      <c r="BG797" s="2" t="s">
        <v>74</v>
      </c>
      <c r="BH797" s="2" t="s">
        <v>74</v>
      </c>
      <c r="BI797" s="2" t="s">
        <v>74</v>
      </c>
      <c r="BJ797" s="2" t="s">
        <v>74</v>
      </c>
      <c r="BK797" s="2" t="s">
        <v>74</v>
      </c>
      <c r="BL797" s="2" t="s">
        <v>74</v>
      </c>
      <c r="BM797" s="2" t="s">
        <v>74</v>
      </c>
      <c r="BN797" s="2">
        <v>35582824</v>
      </c>
      <c r="BO797" s="2" t="s">
        <v>74</v>
      </c>
      <c r="BP797" s="2" t="s">
        <v>74</v>
      </c>
      <c r="BQ797" s="2" t="s">
        <v>74</v>
      </c>
      <c r="BR797" s="2" t="s">
        <v>74</v>
      </c>
      <c r="BS797" s="2" t="s">
        <v>7183</v>
      </c>
      <c r="BT797" s="2" t="str">
        <f>HYPERLINK("https%3A%2F%2Fwww.webofscience.com%2Fwos%2Fwoscc%2Ffull-record%2FWOS:000811278900021","View Full Record in Web of Science")</f>
        <v>View Full Record in Web of Science</v>
      </c>
    </row>
    <row r="798" spans="1:72" s="2" customFormat="1" x14ac:dyDescent="0.4">
      <c r="A798" s="2" t="s">
        <v>72</v>
      </c>
      <c r="B798" s="2" t="s">
        <v>7039</v>
      </c>
      <c r="C798" s="2" t="s">
        <v>74</v>
      </c>
      <c r="D798" s="2" t="s">
        <v>74</v>
      </c>
      <c r="E798" s="2" t="s">
        <v>74</v>
      </c>
      <c r="F798" s="2" t="s">
        <v>7040</v>
      </c>
      <c r="G798" s="2" t="s">
        <v>74</v>
      </c>
      <c r="H798" s="2" t="s">
        <v>74</v>
      </c>
      <c r="I798" s="2" t="s">
        <v>7041</v>
      </c>
      <c r="J798" s="2" t="s">
        <v>129</v>
      </c>
      <c r="K798" s="2" t="s">
        <v>74</v>
      </c>
      <c r="L798" s="2" t="s">
        <v>74</v>
      </c>
      <c r="M798" s="2" t="s">
        <v>74</v>
      </c>
      <c r="N798" s="2" t="s">
        <v>74</v>
      </c>
      <c r="O798" s="2" t="s">
        <v>74</v>
      </c>
      <c r="P798" s="2" t="s">
        <v>74</v>
      </c>
      <c r="Q798" s="2" t="s">
        <v>74</v>
      </c>
      <c r="R798" s="2" t="s">
        <v>74</v>
      </c>
      <c r="S798" s="2" t="s">
        <v>74</v>
      </c>
      <c r="T798" s="2" t="s">
        <v>74</v>
      </c>
      <c r="U798" s="2" t="s">
        <v>74</v>
      </c>
      <c r="V798" s="5" t="s">
        <v>7042</v>
      </c>
      <c r="W798" s="2" t="s">
        <v>74</v>
      </c>
      <c r="X798" s="2" t="s">
        <v>74</v>
      </c>
      <c r="Y798" s="2" t="s">
        <v>74</v>
      </c>
      <c r="Z798" s="2" t="s">
        <v>74</v>
      </c>
      <c r="AA798" s="2" t="s">
        <v>7043</v>
      </c>
      <c r="AB798" s="2" t="s">
        <v>7044</v>
      </c>
      <c r="AC798" s="2" t="s">
        <v>74</v>
      </c>
      <c r="AD798" s="2" t="s">
        <v>74</v>
      </c>
      <c r="AE798" s="2" t="s">
        <v>74</v>
      </c>
      <c r="AF798" s="2" t="s">
        <v>74</v>
      </c>
      <c r="AG798" s="2" t="s">
        <v>74</v>
      </c>
      <c r="AH798" s="2" t="s">
        <v>74</v>
      </c>
      <c r="AI798" s="2" t="s">
        <v>74</v>
      </c>
      <c r="AJ798" s="2" t="s">
        <v>74</v>
      </c>
      <c r="AK798" s="2" t="s">
        <v>74</v>
      </c>
      <c r="AL798" s="2" t="s">
        <v>74</v>
      </c>
      <c r="AM798" s="2" t="s">
        <v>74</v>
      </c>
      <c r="AN798" s="2" t="s">
        <v>74</v>
      </c>
      <c r="AO798" s="2" t="s">
        <v>132</v>
      </c>
      <c r="AP798" s="2" t="s">
        <v>133</v>
      </c>
      <c r="AQ798" s="2" t="s">
        <v>74</v>
      </c>
      <c r="AR798" s="2" t="s">
        <v>74</v>
      </c>
      <c r="AS798" s="2" t="s">
        <v>74</v>
      </c>
      <c r="AT798" s="2" t="s">
        <v>204</v>
      </c>
      <c r="AU798" s="2">
        <v>2019</v>
      </c>
      <c r="AV798" s="2">
        <v>73</v>
      </c>
      <c r="AW798" s="2">
        <v>7</v>
      </c>
      <c r="AX798" s="2" t="s">
        <v>74</v>
      </c>
      <c r="AY798" s="2" t="s">
        <v>74</v>
      </c>
      <c r="AZ798" s="2" t="s">
        <v>74</v>
      </c>
      <c r="BA798" s="2" t="s">
        <v>74</v>
      </c>
      <c r="BB798" s="2" t="s">
        <v>74</v>
      </c>
      <c r="BC798" s="2" t="s">
        <v>74</v>
      </c>
      <c r="BD798" s="2">
        <v>98</v>
      </c>
      <c r="BE798" s="2" t="s">
        <v>7045</v>
      </c>
      <c r="BF798" s="2" t="str">
        <f>HYPERLINK("http://dx.doi.org/10.1007/s00265-019-2710-z","http://dx.doi.org/10.1007/s00265-019-2710-z")</f>
        <v>http://dx.doi.org/10.1007/s00265-019-2710-z</v>
      </c>
      <c r="BG798" s="2" t="s">
        <v>74</v>
      </c>
      <c r="BH798" s="2" t="s">
        <v>74</v>
      </c>
      <c r="BI798" s="2" t="s">
        <v>74</v>
      </c>
      <c r="BJ798" s="2" t="s">
        <v>74</v>
      </c>
      <c r="BK798" s="2" t="s">
        <v>74</v>
      </c>
      <c r="BL798" s="2" t="s">
        <v>74</v>
      </c>
      <c r="BM798" s="2" t="s">
        <v>74</v>
      </c>
      <c r="BN798" s="2" t="s">
        <v>74</v>
      </c>
      <c r="BO798" s="2" t="s">
        <v>74</v>
      </c>
      <c r="BP798" s="2" t="s">
        <v>74</v>
      </c>
      <c r="BQ798" s="2" t="s">
        <v>74</v>
      </c>
      <c r="BR798" s="2" t="s">
        <v>74</v>
      </c>
      <c r="BS798" s="2" t="s">
        <v>7046</v>
      </c>
      <c r="BT798" s="2" t="str">
        <f>HYPERLINK("https%3A%2F%2Fwww.webofscience.com%2Fwos%2Fwoscc%2Ffull-record%2FWOS:000473131000001","View Full Record in Web of Science")</f>
        <v>View Full Record in Web of Science</v>
      </c>
    </row>
    <row r="799" spans="1:72" s="2" customFormat="1" x14ac:dyDescent="0.4">
      <c r="A799" s="2" t="s">
        <v>72</v>
      </c>
      <c r="B799" s="2" t="s">
        <v>4833</v>
      </c>
      <c r="C799" s="2" t="s">
        <v>74</v>
      </c>
      <c r="D799" s="2" t="s">
        <v>74</v>
      </c>
      <c r="E799" s="2" t="s">
        <v>74</v>
      </c>
      <c r="F799" s="2" t="s">
        <v>4834</v>
      </c>
      <c r="G799" s="2" t="s">
        <v>74</v>
      </c>
      <c r="H799" s="2" t="s">
        <v>74</v>
      </c>
      <c r="I799" s="2" t="s">
        <v>4835</v>
      </c>
      <c r="J799" s="2" t="s">
        <v>4836</v>
      </c>
      <c r="K799" s="2" t="s">
        <v>74</v>
      </c>
      <c r="L799" s="2" t="s">
        <v>74</v>
      </c>
      <c r="M799" s="2" t="s">
        <v>74</v>
      </c>
      <c r="N799" s="2" t="s">
        <v>74</v>
      </c>
      <c r="O799" s="2" t="s">
        <v>74</v>
      </c>
      <c r="P799" s="2" t="s">
        <v>74</v>
      </c>
      <c r="Q799" s="2" t="s">
        <v>74</v>
      </c>
      <c r="R799" s="2" t="s">
        <v>74</v>
      </c>
      <c r="S799" s="2" t="s">
        <v>74</v>
      </c>
      <c r="T799" s="2" t="s">
        <v>74</v>
      </c>
      <c r="U799" s="2" t="s">
        <v>74</v>
      </c>
      <c r="V799" s="5" t="s">
        <v>4837</v>
      </c>
      <c r="W799" s="2" t="s">
        <v>74</v>
      </c>
      <c r="X799" s="2" t="s">
        <v>74</v>
      </c>
      <c r="Y799" s="2" t="s">
        <v>74</v>
      </c>
      <c r="Z799" s="2" t="s">
        <v>74</v>
      </c>
      <c r="AA799" s="2" t="s">
        <v>4838</v>
      </c>
      <c r="AB799" s="2" t="s">
        <v>4839</v>
      </c>
      <c r="AC799" s="2" t="s">
        <v>74</v>
      </c>
      <c r="AD799" s="2" t="s">
        <v>74</v>
      </c>
      <c r="AE799" s="2" t="s">
        <v>74</v>
      </c>
      <c r="AF799" s="2" t="s">
        <v>74</v>
      </c>
      <c r="AG799" s="2" t="s">
        <v>74</v>
      </c>
      <c r="AH799" s="2" t="s">
        <v>74</v>
      </c>
      <c r="AI799" s="2" t="s">
        <v>74</v>
      </c>
      <c r="AJ799" s="2" t="s">
        <v>74</v>
      </c>
      <c r="AK799" s="2" t="s">
        <v>74</v>
      </c>
      <c r="AL799" s="2" t="s">
        <v>74</v>
      </c>
      <c r="AM799" s="2" t="s">
        <v>74</v>
      </c>
      <c r="AN799" s="2" t="s">
        <v>74</v>
      </c>
      <c r="AO799" s="2" t="s">
        <v>4840</v>
      </c>
      <c r="AP799" s="2" t="s">
        <v>74</v>
      </c>
      <c r="AQ799" s="2" t="s">
        <v>74</v>
      </c>
      <c r="AR799" s="2" t="s">
        <v>74</v>
      </c>
      <c r="AS799" s="2" t="s">
        <v>74</v>
      </c>
      <c r="AT799" s="2" t="s">
        <v>4841</v>
      </c>
      <c r="AU799" s="2">
        <v>2023</v>
      </c>
      <c r="AV799" s="2">
        <v>73</v>
      </c>
      <c r="AW799" s="2" t="s">
        <v>74</v>
      </c>
      <c r="AX799" s="2" t="s">
        <v>74</v>
      </c>
      <c r="AY799" s="2" t="s">
        <v>74</v>
      </c>
      <c r="AZ799" s="2" t="s">
        <v>74</v>
      </c>
      <c r="BA799" s="2" t="s">
        <v>74</v>
      </c>
      <c r="BB799" s="2">
        <v>1</v>
      </c>
      <c r="BC799" s="2">
        <v>21</v>
      </c>
      <c r="BD799" s="2" t="s">
        <v>74</v>
      </c>
      <c r="BE799" s="2" t="s">
        <v>4842</v>
      </c>
      <c r="BF799" s="2" t="str">
        <f>HYPERLINK("http://dx.doi.org/10.3897/vz.73.e97002","http://dx.doi.org/10.3897/vz.73.e97002")</f>
        <v>http://dx.doi.org/10.3897/vz.73.e97002</v>
      </c>
      <c r="BG799" s="2" t="s">
        <v>74</v>
      </c>
      <c r="BH799" s="2" t="s">
        <v>74</v>
      </c>
      <c r="BI799" s="2" t="s">
        <v>74</v>
      </c>
      <c r="BJ799" s="2" t="s">
        <v>74</v>
      </c>
      <c r="BK799" s="2" t="s">
        <v>74</v>
      </c>
      <c r="BL799" s="2" t="s">
        <v>74</v>
      </c>
      <c r="BM799" s="2" t="s">
        <v>74</v>
      </c>
      <c r="BN799" s="2" t="s">
        <v>74</v>
      </c>
      <c r="BO799" s="2" t="s">
        <v>74</v>
      </c>
      <c r="BP799" s="2" t="s">
        <v>74</v>
      </c>
      <c r="BQ799" s="2" t="s">
        <v>74</v>
      </c>
      <c r="BR799" s="2" t="s">
        <v>74</v>
      </c>
      <c r="BS799" s="2" t="s">
        <v>4843</v>
      </c>
      <c r="BT799" s="2" t="str">
        <f>HYPERLINK("https%3A%2F%2Fwww.webofscience.com%2Fwos%2Fwoscc%2Ffull-record%2FWOS:000960500300001","View Full Record in Web of Science")</f>
        <v>View Full Record in Web of Science</v>
      </c>
    </row>
    <row r="800" spans="1:72" s="2" customFormat="1" x14ac:dyDescent="0.4">
      <c r="A800" s="2" t="s">
        <v>72</v>
      </c>
      <c r="B800" s="2" t="s">
        <v>4480</v>
      </c>
      <c r="C800" s="2" t="s">
        <v>74</v>
      </c>
      <c r="D800" s="2" t="s">
        <v>74</v>
      </c>
      <c r="E800" s="2" t="s">
        <v>74</v>
      </c>
      <c r="F800" s="2" t="s">
        <v>4481</v>
      </c>
      <c r="G800" s="2" t="s">
        <v>74</v>
      </c>
      <c r="H800" s="2" t="s">
        <v>74</v>
      </c>
      <c r="I800" s="2" t="s">
        <v>4482</v>
      </c>
      <c r="J800" s="2" t="s">
        <v>2901</v>
      </c>
      <c r="K800" s="2" t="s">
        <v>74</v>
      </c>
      <c r="L800" s="2" t="s">
        <v>74</v>
      </c>
      <c r="M800" s="2" t="s">
        <v>74</v>
      </c>
      <c r="N800" s="2" t="s">
        <v>74</v>
      </c>
      <c r="O800" s="2" t="s">
        <v>74</v>
      </c>
      <c r="P800" s="2" t="s">
        <v>74</v>
      </c>
      <c r="Q800" s="2" t="s">
        <v>74</v>
      </c>
      <c r="R800" s="2" t="s">
        <v>74</v>
      </c>
      <c r="S800" s="2" t="s">
        <v>74</v>
      </c>
      <c r="T800" s="2" t="s">
        <v>74</v>
      </c>
      <c r="U800" s="2" t="s">
        <v>74</v>
      </c>
      <c r="V800" s="5" t="s">
        <v>4483</v>
      </c>
      <c r="W800" s="2" t="s">
        <v>74</v>
      </c>
      <c r="X800" s="2" t="s">
        <v>74</v>
      </c>
      <c r="Y800" s="2" t="s">
        <v>74</v>
      </c>
      <c r="Z800" s="2" t="s">
        <v>74</v>
      </c>
      <c r="AA800" s="2" t="s">
        <v>4484</v>
      </c>
      <c r="AB800" s="2" t="s">
        <v>4485</v>
      </c>
      <c r="AC800" s="2" t="s">
        <v>74</v>
      </c>
      <c r="AD800" s="2" t="s">
        <v>74</v>
      </c>
      <c r="AE800" s="2" t="s">
        <v>74</v>
      </c>
      <c r="AF800" s="2" t="s">
        <v>74</v>
      </c>
      <c r="AG800" s="2" t="s">
        <v>74</v>
      </c>
      <c r="AH800" s="2" t="s">
        <v>74</v>
      </c>
      <c r="AI800" s="2" t="s">
        <v>74</v>
      </c>
      <c r="AJ800" s="2" t="s">
        <v>74</v>
      </c>
      <c r="AK800" s="2" t="s">
        <v>74</v>
      </c>
      <c r="AL800" s="2" t="s">
        <v>74</v>
      </c>
      <c r="AM800" s="2" t="s">
        <v>74</v>
      </c>
      <c r="AN800" s="2" t="s">
        <v>74</v>
      </c>
      <c r="AO800" s="2" t="s">
        <v>2903</v>
      </c>
      <c r="AP800" s="2" t="s">
        <v>2904</v>
      </c>
      <c r="AQ800" s="2" t="s">
        <v>74</v>
      </c>
      <c r="AR800" s="2" t="s">
        <v>74</v>
      </c>
      <c r="AS800" s="2" t="s">
        <v>74</v>
      </c>
      <c r="AT800" s="2" t="s">
        <v>74</v>
      </c>
      <c r="AU800" s="2">
        <v>2018</v>
      </c>
      <c r="AV800" s="2">
        <v>30</v>
      </c>
      <c r="AW800" s="2">
        <v>4</v>
      </c>
      <c r="AX800" s="2" t="s">
        <v>74</v>
      </c>
      <c r="AY800" s="2" t="s">
        <v>74</v>
      </c>
      <c r="AZ800" s="2" t="s">
        <v>74</v>
      </c>
      <c r="BA800" s="2" t="s">
        <v>74</v>
      </c>
      <c r="BB800" s="2">
        <v>319</v>
      </c>
      <c r="BC800" s="2">
        <v>330</v>
      </c>
      <c r="BD800" s="2" t="s">
        <v>74</v>
      </c>
      <c r="BE800" s="2" t="s">
        <v>4486</v>
      </c>
      <c r="BF800" s="2" t="str">
        <f>HYPERLINK("http://dx.doi.org/10.1080/03949370.2017.1402091","http://dx.doi.org/10.1080/03949370.2017.1402091")</f>
        <v>http://dx.doi.org/10.1080/03949370.2017.1402091</v>
      </c>
      <c r="BG800" s="2" t="s">
        <v>74</v>
      </c>
      <c r="BH800" s="2" t="s">
        <v>74</v>
      </c>
      <c r="BI800" s="2" t="s">
        <v>74</v>
      </c>
      <c r="BJ800" s="2" t="s">
        <v>74</v>
      </c>
      <c r="BK800" s="2" t="s">
        <v>74</v>
      </c>
      <c r="BL800" s="2" t="s">
        <v>74</v>
      </c>
      <c r="BM800" s="2" t="s">
        <v>74</v>
      </c>
      <c r="BN800" s="2" t="s">
        <v>74</v>
      </c>
      <c r="BO800" s="2" t="s">
        <v>74</v>
      </c>
      <c r="BP800" s="2" t="s">
        <v>74</v>
      </c>
      <c r="BQ800" s="2" t="s">
        <v>74</v>
      </c>
      <c r="BR800" s="2" t="s">
        <v>74</v>
      </c>
      <c r="BS800" s="2" t="s">
        <v>4487</v>
      </c>
      <c r="BT800" s="2" t="str">
        <f>HYPERLINK("https%3A%2F%2Fwww.webofscience.com%2Fwos%2Fwoscc%2Ffull-record%2FWOS:000435677500003","View Full Record in Web of Science")</f>
        <v>View Full Record in Web of Science</v>
      </c>
    </row>
    <row r="801" spans="1:72" s="2" customFormat="1" x14ac:dyDescent="0.4">
      <c r="A801" s="2" t="s">
        <v>72</v>
      </c>
      <c r="B801" s="2" t="s">
        <v>4349</v>
      </c>
      <c r="C801" s="2" t="s">
        <v>74</v>
      </c>
      <c r="D801" s="2" t="s">
        <v>74</v>
      </c>
      <c r="E801" s="2" t="s">
        <v>74</v>
      </c>
      <c r="F801" s="2" t="s">
        <v>4349</v>
      </c>
      <c r="G801" s="2" t="s">
        <v>74</v>
      </c>
      <c r="H801" s="2" t="s">
        <v>74</v>
      </c>
      <c r="I801" s="2" t="s">
        <v>4350</v>
      </c>
      <c r="J801" s="2" t="s">
        <v>4351</v>
      </c>
      <c r="K801" s="2" t="s">
        <v>74</v>
      </c>
      <c r="L801" s="2" t="s">
        <v>74</v>
      </c>
      <c r="M801" s="2" t="s">
        <v>74</v>
      </c>
      <c r="N801" s="2" t="s">
        <v>74</v>
      </c>
      <c r="O801" s="2" t="s">
        <v>74</v>
      </c>
      <c r="P801" s="2" t="s">
        <v>74</v>
      </c>
      <c r="Q801" s="2" t="s">
        <v>74</v>
      </c>
      <c r="R801" s="2" t="s">
        <v>74</v>
      </c>
      <c r="S801" s="2" t="s">
        <v>74</v>
      </c>
      <c r="T801" s="2" t="s">
        <v>74</v>
      </c>
      <c r="U801" s="2" t="s">
        <v>74</v>
      </c>
      <c r="V801" s="5" t="s">
        <v>4352</v>
      </c>
      <c r="W801" s="2" t="s">
        <v>74</v>
      </c>
      <c r="X801" s="2" t="s">
        <v>74</v>
      </c>
      <c r="Y801" s="2" t="s">
        <v>74</v>
      </c>
      <c r="Z801" s="2" t="s">
        <v>74</v>
      </c>
      <c r="AA801" s="2" t="s">
        <v>4353</v>
      </c>
      <c r="AB801" s="2" t="s">
        <v>74</v>
      </c>
      <c r="AC801" s="2" t="s">
        <v>74</v>
      </c>
      <c r="AD801" s="2" t="s">
        <v>74</v>
      </c>
      <c r="AE801" s="2" t="s">
        <v>74</v>
      </c>
      <c r="AF801" s="2" t="s">
        <v>74</v>
      </c>
      <c r="AG801" s="2" t="s">
        <v>74</v>
      </c>
      <c r="AH801" s="2" t="s">
        <v>74</v>
      </c>
      <c r="AI801" s="2" t="s">
        <v>74</v>
      </c>
      <c r="AJ801" s="2" t="s">
        <v>74</v>
      </c>
      <c r="AK801" s="2" t="s">
        <v>74</v>
      </c>
      <c r="AL801" s="2" t="s">
        <v>74</v>
      </c>
      <c r="AM801" s="2" t="s">
        <v>74</v>
      </c>
      <c r="AN801" s="2" t="s">
        <v>74</v>
      </c>
      <c r="AO801" s="2" t="s">
        <v>4354</v>
      </c>
      <c r="AP801" s="2" t="s">
        <v>74</v>
      </c>
      <c r="AQ801" s="2" t="s">
        <v>74</v>
      </c>
      <c r="AR801" s="2" t="s">
        <v>74</v>
      </c>
      <c r="AS801" s="2" t="s">
        <v>74</v>
      </c>
      <c r="AT801" s="2" t="s">
        <v>255</v>
      </c>
      <c r="AU801" s="2">
        <v>1992</v>
      </c>
      <c r="AV801" s="2">
        <v>100</v>
      </c>
      <c r="AW801" s="2">
        <v>1</v>
      </c>
      <c r="AX801" s="2" t="s">
        <v>74</v>
      </c>
      <c r="AY801" s="2" t="s">
        <v>74</v>
      </c>
      <c r="AZ801" s="2" t="s">
        <v>74</v>
      </c>
      <c r="BA801" s="2" t="s">
        <v>74</v>
      </c>
      <c r="BB801" s="2">
        <v>137</v>
      </c>
      <c r="BC801" s="2">
        <v>141</v>
      </c>
      <c r="BD801" s="2" t="s">
        <v>74</v>
      </c>
      <c r="BE801" s="2" t="s">
        <v>74</v>
      </c>
      <c r="BF801" s="2" t="s">
        <v>74</v>
      </c>
      <c r="BG801" s="2" t="s">
        <v>74</v>
      </c>
      <c r="BH801" s="2" t="s">
        <v>74</v>
      </c>
      <c r="BI801" s="2" t="s">
        <v>74</v>
      </c>
      <c r="BJ801" s="2" t="s">
        <v>74</v>
      </c>
      <c r="BK801" s="2" t="s">
        <v>74</v>
      </c>
      <c r="BL801" s="2" t="s">
        <v>74</v>
      </c>
      <c r="BM801" s="2" t="s">
        <v>74</v>
      </c>
      <c r="BN801" s="2" t="s">
        <v>74</v>
      </c>
      <c r="BO801" s="2" t="s">
        <v>74</v>
      </c>
      <c r="BP801" s="2" t="s">
        <v>74</v>
      </c>
      <c r="BQ801" s="2" t="s">
        <v>74</v>
      </c>
      <c r="BR801" s="2" t="s">
        <v>74</v>
      </c>
      <c r="BS801" s="2" t="s">
        <v>4355</v>
      </c>
      <c r="BT801" s="2" t="str">
        <f>HYPERLINK("https%3A%2F%2Fwww.webofscience.com%2Fwos%2Fwoscc%2Ffull-record%2FWOS:A1992HD98800004","View Full Record in Web of Science")</f>
        <v>View Full Record in Web of Science</v>
      </c>
    </row>
    <row r="802" spans="1:72" s="2" customFormat="1" x14ac:dyDescent="0.4">
      <c r="A802" s="2" t="s">
        <v>72</v>
      </c>
      <c r="B802" s="2" t="s">
        <v>3000</v>
      </c>
      <c r="C802" s="2" t="s">
        <v>74</v>
      </c>
      <c r="D802" s="2" t="s">
        <v>74</v>
      </c>
      <c r="E802" s="2" t="s">
        <v>74</v>
      </c>
      <c r="F802" s="2" t="s">
        <v>3001</v>
      </c>
      <c r="G802" s="2" t="s">
        <v>74</v>
      </c>
      <c r="H802" s="2" t="s">
        <v>74</v>
      </c>
      <c r="I802" s="2" t="s">
        <v>3002</v>
      </c>
      <c r="J802" s="2" t="s">
        <v>3003</v>
      </c>
      <c r="K802" s="2" t="s">
        <v>74</v>
      </c>
      <c r="L802" s="2" t="s">
        <v>74</v>
      </c>
      <c r="M802" s="2" t="s">
        <v>74</v>
      </c>
      <c r="N802" s="2" t="s">
        <v>74</v>
      </c>
      <c r="O802" s="2" t="s">
        <v>74</v>
      </c>
      <c r="P802" s="2" t="s">
        <v>74</v>
      </c>
      <c r="Q802" s="2" t="s">
        <v>74</v>
      </c>
      <c r="R802" s="2" t="s">
        <v>74</v>
      </c>
      <c r="S802" s="2" t="s">
        <v>74</v>
      </c>
      <c r="T802" s="2" t="s">
        <v>74</v>
      </c>
      <c r="U802" s="2" t="s">
        <v>74</v>
      </c>
      <c r="V802" s="5" t="s">
        <v>3004</v>
      </c>
      <c r="W802" s="2" t="s">
        <v>74</v>
      </c>
      <c r="X802" s="2" t="s">
        <v>74</v>
      </c>
      <c r="Y802" s="2" t="s">
        <v>74</v>
      </c>
      <c r="Z802" s="2" t="s">
        <v>74</v>
      </c>
      <c r="AA802" s="2" t="s">
        <v>74</v>
      </c>
      <c r="AB802" s="2" t="s">
        <v>74</v>
      </c>
      <c r="AC802" s="2" t="s">
        <v>74</v>
      </c>
      <c r="AD802" s="2" t="s">
        <v>74</v>
      </c>
      <c r="AE802" s="2" t="s">
        <v>74</v>
      </c>
      <c r="AF802" s="2" t="s">
        <v>74</v>
      </c>
      <c r="AG802" s="2" t="s">
        <v>74</v>
      </c>
      <c r="AH802" s="2" t="s">
        <v>74</v>
      </c>
      <c r="AI802" s="2" t="s">
        <v>74</v>
      </c>
      <c r="AJ802" s="2" t="s">
        <v>74</v>
      </c>
      <c r="AK802" s="2" t="s">
        <v>74</v>
      </c>
      <c r="AL802" s="2" t="s">
        <v>74</v>
      </c>
      <c r="AM802" s="2" t="s">
        <v>74</v>
      </c>
      <c r="AN802" s="2" t="s">
        <v>74</v>
      </c>
      <c r="AO802" s="2" t="s">
        <v>3005</v>
      </c>
      <c r="AP802" s="2" t="s">
        <v>74</v>
      </c>
      <c r="AQ802" s="2" t="s">
        <v>74</v>
      </c>
      <c r="AR802" s="2" t="s">
        <v>74</v>
      </c>
      <c r="AS802" s="2" t="s">
        <v>74</v>
      </c>
      <c r="AT802" s="2" t="s">
        <v>3006</v>
      </c>
      <c r="AU802" s="2">
        <v>2010</v>
      </c>
      <c r="AV802" s="2">
        <v>64</v>
      </c>
      <c r="AW802" s="2">
        <v>2</v>
      </c>
      <c r="AX802" s="2" t="s">
        <v>74</v>
      </c>
      <c r="AY802" s="2" t="s">
        <v>74</v>
      </c>
      <c r="AZ802" s="2" t="s">
        <v>74</v>
      </c>
      <c r="BA802" s="2" t="s">
        <v>74</v>
      </c>
      <c r="BB802" s="2">
        <v>57</v>
      </c>
      <c r="BC802" s="2">
        <v>68</v>
      </c>
      <c r="BD802" s="2" t="s">
        <v>74</v>
      </c>
      <c r="BE802" s="2" t="s">
        <v>74</v>
      </c>
      <c r="BF802" s="2" t="s">
        <v>74</v>
      </c>
      <c r="BG802" s="2" t="s">
        <v>74</v>
      </c>
      <c r="BH802" s="2" t="s">
        <v>74</v>
      </c>
      <c r="BI802" s="2" t="s">
        <v>74</v>
      </c>
      <c r="BJ802" s="2" t="s">
        <v>74</v>
      </c>
      <c r="BK802" s="2" t="s">
        <v>74</v>
      </c>
      <c r="BL802" s="2" t="s">
        <v>74</v>
      </c>
      <c r="BM802" s="2" t="s">
        <v>74</v>
      </c>
      <c r="BN802" s="2" t="s">
        <v>74</v>
      </c>
      <c r="BO802" s="2" t="s">
        <v>74</v>
      </c>
      <c r="BP802" s="2" t="s">
        <v>74</v>
      </c>
      <c r="BQ802" s="2" t="s">
        <v>74</v>
      </c>
      <c r="BR802" s="2" t="s">
        <v>74</v>
      </c>
      <c r="BS802" s="2" t="s">
        <v>3007</v>
      </c>
      <c r="BT802" s="2" t="str">
        <f>HYPERLINK("https%3A%2F%2Fwww.webofscience.com%2Fwos%2Fwoscc%2Ffull-record%2FWOS:000280497600001","View Full Record in Web of Science")</f>
        <v>View Full Record in Web of Science</v>
      </c>
    </row>
    <row r="803" spans="1:72" s="2" customFormat="1" x14ac:dyDescent="0.4">
      <c r="A803" s="2" t="s">
        <v>72</v>
      </c>
      <c r="B803" s="2" t="s">
        <v>8088</v>
      </c>
      <c r="C803" s="2" t="s">
        <v>74</v>
      </c>
      <c r="D803" s="2" t="s">
        <v>74</v>
      </c>
      <c r="E803" s="2" t="s">
        <v>74</v>
      </c>
      <c r="F803" s="2" t="s">
        <v>8088</v>
      </c>
      <c r="G803" s="2" t="s">
        <v>74</v>
      </c>
      <c r="H803" s="2" t="s">
        <v>74</v>
      </c>
      <c r="I803" s="2" t="s">
        <v>8089</v>
      </c>
      <c r="J803" s="2" t="s">
        <v>344</v>
      </c>
      <c r="K803" s="2" t="s">
        <v>74</v>
      </c>
      <c r="L803" s="2" t="s">
        <v>74</v>
      </c>
      <c r="M803" s="2" t="s">
        <v>74</v>
      </c>
      <c r="N803" s="2" t="s">
        <v>74</v>
      </c>
      <c r="O803" s="2" t="s">
        <v>74</v>
      </c>
      <c r="P803" s="2" t="s">
        <v>74</v>
      </c>
      <c r="Q803" s="2" t="s">
        <v>74</v>
      </c>
      <c r="R803" s="2" t="s">
        <v>74</v>
      </c>
      <c r="S803" s="2" t="s">
        <v>74</v>
      </c>
      <c r="T803" s="2" t="s">
        <v>74</v>
      </c>
      <c r="U803" s="2" t="s">
        <v>74</v>
      </c>
      <c r="V803" s="5" t="s">
        <v>8090</v>
      </c>
      <c r="W803" s="2" t="s">
        <v>74</v>
      </c>
      <c r="X803" s="2" t="s">
        <v>74</v>
      </c>
      <c r="Y803" s="2" t="s">
        <v>74</v>
      </c>
      <c r="Z803" s="2" t="s">
        <v>74</v>
      </c>
      <c r="AA803" s="2" t="s">
        <v>74</v>
      </c>
      <c r="AB803" s="2" t="s">
        <v>74</v>
      </c>
      <c r="AC803" s="2" t="s">
        <v>74</v>
      </c>
      <c r="AD803" s="2" t="s">
        <v>74</v>
      </c>
      <c r="AE803" s="2" t="s">
        <v>74</v>
      </c>
      <c r="AF803" s="2" t="s">
        <v>74</v>
      </c>
      <c r="AG803" s="2" t="s">
        <v>74</v>
      </c>
      <c r="AH803" s="2" t="s">
        <v>74</v>
      </c>
      <c r="AI803" s="2" t="s">
        <v>74</v>
      </c>
      <c r="AJ803" s="2" t="s">
        <v>74</v>
      </c>
      <c r="AK803" s="2" t="s">
        <v>74</v>
      </c>
      <c r="AL803" s="2" t="s">
        <v>74</v>
      </c>
      <c r="AM803" s="2" t="s">
        <v>74</v>
      </c>
      <c r="AN803" s="2" t="s">
        <v>74</v>
      </c>
      <c r="AO803" s="2" t="s">
        <v>346</v>
      </c>
      <c r="AP803" s="2" t="s">
        <v>74</v>
      </c>
      <c r="AQ803" s="2" t="s">
        <v>74</v>
      </c>
      <c r="AR803" s="2" t="s">
        <v>74</v>
      </c>
      <c r="AS803" s="2" t="s">
        <v>74</v>
      </c>
      <c r="AT803" s="2" t="s">
        <v>213</v>
      </c>
      <c r="AU803" s="2">
        <v>1994</v>
      </c>
      <c r="AV803" s="2">
        <v>41</v>
      </c>
      <c r="AW803" s="2" t="s">
        <v>3743</v>
      </c>
      <c r="AX803" s="2" t="s">
        <v>74</v>
      </c>
      <c r="AY803" s="2" t="s">
        <v>74</v>
      </c>
      <c r="AZ803" s="2" t="s">
        <v>74</v>
      </c>
      <c r="BA803" s="2" t="s">
        <v>74</v>
      </c>
      <c r="BB803" s="2">
        <v>403</v>
      </c>
      <c r="BC803" s="2">
        <v>414</v>
      </c>
      <c r="BD803" s="2" t="s">
        <v>74</v>
      </c>
      <c r="BE803" s="2" t="s">
        <v>74</v>
      </c>
      <c r="BF803" s="2" t="s">
        <v>74</v>
      </c>
      <c r="BG803" s="2" t="s">
        <v>74</v>
      </c>
      <c r="BH803" s="2" t="s">
        <v>74</v>
      </c>
      <c r="BI803" s="2" t="s">
        <v>74</v>
      </c>
      <c r="BJ803" s="2" t="s">
        <v>74</v>
      </c>
      <c r="BK803" s="2" t="s">
        <v>74</v>
      </c>
      <c r="BL803" s="2" t="s">
        <v>74</v>
      </c>
      <c r="BM803" s="2" t="s">
        <v>74</v>
      </c>
      <c r="BN803" s="2" t="s">
        <v>74</v>
      </c>
      <c r="BO803" s="2" t="s">
        <v>74</v>
      </c>
      <c r="BP803" s="2" t="s">
        <v>74</v>
      </c>
      <c r="BQ803" s="2" t="s">
        <v>74</v>
      </c>
      <c r="BR803" s="2" t="s">
        <v>74</v>
      </c>
      <c r="BS803" s="2" t="s">
        <v>8091</v>
      </c>
      <c r="BT803" s="2" t="str">
        <f>HYPERLINK("https%3A%2F%2Fwww.webofscience.com%2Fwos%2Fwoscc%2Ffull-record%2FWOS:A1994QE85200028","View Full Record in Web of Science")</f>
        <v>View Full Record in Web of Science</v>
      </c>
    </row>
    <row r="804" spans="1:72" s="2" customFormat="1" x14ac:dyDescent="0.4">
      <c r="A804" s="2" t="s">
        <v>72</v>
      </c>
      <c r="B804" s="2" t="s">
        <v>8518</v>
      </c>
      <c r="C804" s="2" t="s">
        <v>74</v>
      </c>
      <c r="D804" s="2" t="s">
        <v>74</v>
      </c>
      <c r="E804" s="2" t="s">
        <v>74</v>
      </c>
      <c r="F804" s="2" t="s">
        <v>8519</v>
      </c>
      <c r="G804" s="2" t="s">
        <v>74</v>
      </c>
      <c r="H804" s="2" t="s">
        <v>74</v>
      </c>
      <c r="I804" s="2" t="s">
        <v>8520</v>
      </c>
      <c r="J804" s="2" t="s">
        <v>281</v>
      </c>
      <c r="K804" s="2" t="s">
        <v>74</v>
      </c>
      <c r="L804" s="2" t="s">
        <v>74</v>
      </c>
      <c r="M804" s="2" t="s">
        <v>74</v>
      </c>
      <c r="N804" s="2" t="s">
        <v>74</v>
      </c>
      <c r="O804" s="2" t="s">
        <v>74</v>
      </c>
      <c r="P804" s="2" t="s">
        <v>74</v>
      </c>
      <c r="Q804" s="2" t="s">
        <v>74</v>
      </c>
      <c r="R804" s="2" t="s">
        <v>74</v>
      </c>
      <c r="S804" s="2" t="s">
        <v>74</v>
      </c>
      <c r="T804" s="2" t="s">
        <v>74</v>
      </c>
      <c r="U804" s="2" t="s">
        <v>74</v>
      </c>
      <c r="V804" s="5" t="s">
        <v>8521</v>
      </c>
      <c r="W804" s="2" t="s">
        <v>74</v>
      </c>
      <c r="X804" s="2" t="s">
        <v>74</v>
      </c>
      <c r="Y804" s="2" t="s">
        <v>74</v>
      </c>
      <c r="Z804" s="2" t="s">
        <v>74</v>
      </c>
      <c r="AA804" s="2" t="s">
        <v>8522</v>
      </c>
      <c r="AB804" s="2" t="s">
        <v>8523</v>
      </c>
      <c r="AC804" s="2" t="s">
        <v>74</v>
      </c>
      <c r="AD804" s="2" t="s">
        <v>74</v>
      </c>
      <c r="AE804" s="2" t="s">
        <v>74</v>
      </c>
      <c r="AF804" s="2" t="s">
        <v>74</v>
      </c>
      <c r="AG804" s="2" t="s">
        <v>74</v>
      </c>
      <c r="AH804" s="2" t="s">
        <v>74</v>
      </c>
      <c r="AI804" s="2" t="s">
        <v>74</v>
      </c>
      <c r="AJ804" s="2" t="s">
        <v>74</v>
      </c>
      <c r="AK804" s="2" t="s">
        <v>74</v>
      </c>
      <c r="AL804" s="2" t="s">
        <v>74</v>
      </c>
      <c r="AM804" s="2" t="s">
        <v>74</v>
      </c>
      <c r="AN804" s="2" t="s">
        <v>74</v>
      </c>
      <c r="AO804" s="2" t="s">
        <v>285</v>
      </c>
      <c r="AP804" s="2" t="s">
        <v>286</v>
      </c>
      <c r="AQ804" s="2" t="s">
        <v>74</v>
      </c>
      <c r="AR804" s="2" t="s">
        <v>74</v>
      </c>
      <c r="AS804" s="2" t="s">
        <v>74</v>
      </c>
      <c r="AT804" s="2" t="s">
        <v>255</v>
      </c>
      <c r="AU804" s="2">
        <v>2020</v>
      </c>
      <c r="AV804" s="2">
        <v>23</v>
      </c>
      <c r="AW804" s="2">
        <v>1</v>
      </c>
      <c r="AX804" s="2" t="s">
        <v>74</v>
      </c>
      <c r="AY804" s="2" t="s">
        <v>74</v>
      </c>
      <c r="AZ804" s="2" t="s">
        <v>74</v>
      </c>
      <c r="BA804" s="2" t="s">
        <v>74</v>
      </c>
      <c r="BB804" s="2">
        <v>41</v>
      </c>
      <c r="BC804" s="2">
        <v>53</v>
      </c>
      <c r="BD804" s="2" t="s">
        <v>74</v>
      </c>
      <c r="BE804" s="2" t="s">
        <v>8524</v>
      </c>
      <c r="BF804" s="2" t="str">
        <f>HYPERLINK("http://dx.doi.org/10.1007/s10071-019-01313-x","http://dx.doi.org/10.1007/s10071-019-01313-x")</f>
        <v>http://dx.doi.org/10.1007/s10071-019-01313-x</v>
      </c>
      <c r="BG804" s="2" t="s">
        <v>74</v>
      </c>
      <c r="BH804" s="2" t="s">
        <v>6757</v>
      </c>
      <c r="BI804" s="2" t="s">
        <v>74</v>
      </c>
      <c r="BJ804" s="2" t="s">
        <v>74</v>
      </c>
      <c r="BK804" s="2" t="s">
        <v>74</v>
      </c>
      <c r="BL804" s="2" t="s">
        <v>74</v>
      </c>
      <c r="BM804" s="2" t="s">
        <v>74</v>
      </c>
      <c r="BN804" s="2">
        <v>31586279</v>
      </c>
      <c r="BO804" s="2" t="s">
        <v>74</v>
      </c>
      <c r="BP804" s="2" t="s">
        <v>74</v>
      </c>
      <c r="BQ804" s="2" t="s">
        <v>74</v>
      </c>
      <c r="BR804" s="2" t="s">
        <v>74</v>
      </c>
      <c r="BS804" s="2" t="s">
        <v>8525</v>
      </c>
      <c r="BT804" s="2" t="str">
        <f>HYPERLINK("https%3A%2F%2Fwww.webofscience.com%2Fwos%2Fwoscc%2Ffull-record%2FWOS:000488937600001","View Full Record in Web of Science")</f>
        <v>View Full Record in Web of Science</v>
      </c>
    </row>
    <row r="805" spans="1:72" s="2" customFormat="1" x14ac:dyDescent="0.4">
      <c r="A805" s="2" t="s">
        <v>72</v>
      </c>
      <c r="B805" s="2" t="s">
        <v>752</v>
      </c>
      <c r="C805" s="2" t="s">
        <v>74</v>
      </c>
      <c r="D805" s="2" t="s">
        <v>74</v>
      </c>
      <c r="E805" s="2" t="s">
        <v>74</v>
      </c>
      <c r="F805" s="2" t="s">
        <v>753</v>
      </c>
      <c r="G805" s="2" t="s">
        <v>74</v>
      </c>
      <c r="H805" s="2" t="s">
        <v>74</v>
      </c>
      <c r="I805" s="2" t="s">
        <v>754</v>
      </c>
      <c r="J805" s="2" t="s">
        <v>140</v>
      </c>
      <c r="K805" s="2" t="s">
        <v>74</v>
      </c>
      <c r="L805" s="2" t="s">
        <v>74</v>
      </c>
      <c r="M805" s="2" t="s">
        <v>74</v>
      </c>
      <c r="N805" s="2" t="s">
        <v>74</v>
      </c>
      <c r="O805" s="2" t="s">
        <v>74</v>
      </c>
      <c r="P805" s="2" t="s">
        <v>74</v>
      </c>
      <c r="Q805" s="2" t="s">
        <v>74</v>
      </c>
      <c r="R805" s="2" t="s">
        <v>74</v>
      </c>
      <c r="S805" s="2" t="s">
        <v>74</v>
      </c>
      <c r="T805" s="2" t="s">
        <v>74</v>
      </c>
      <c r="U805" s="2" t="s">
        <v>74</v>
      </c>
      <c r="V805" s="5" t="s">
        <v>755</v>
      </c>
      <c r="W805" s="2" t="s">
        <v>74</v>
      </c>
      <c r="X805" s="2" t="s">
        <v>74</v>
      </c>
      <c r="Y805" s="2" t="s">
        <v>74</v>
      </c>
      <c r="Z805" s="2" t="s">
        <v>74</v>
      </c>
      <c r="AA805" s="2" t="s">
        <v>756</v>
      </c>
      <c r="AB805" s="2" t="s">
        <v>757</v>
      </c>
      <c r="AC805" s="2" t="s">
        <v>74</v>
      </c>
      <c r="AD805" s="2" t="s">
        <v>74</v>
      </c>
      <c r="AE805" s="2" t="s">
        <v>74</v>
      </c>
      <c r="AF805" s="2" t="s">
        <v>74</v>
      </c>
      <c r="AG805" s="2" t="s">
        <v>74</v>
      </c>
      <c r="AH805" s="2" t="s">
        <v>74</v>
      </c>
      <c r="AI805" s="2" t="s">
        <v>74</v>
      </c>
      <c r="AJ805" s="2" t="s">
        <v>74</v>
      </c>
      <c r="AK805" s="2" t="s">
        <v>74</v>
      </c>
      <c r="AL805" s="2" t="s">
        <v>74</v>
      </c>
      <c r="AM805" s="2" t="s">
        <v>74</v>
      </c>
      <c r="AN805" s="2" t="s">
        <v>74</v>
      </c>
      <c r="AO805" s="2" t="s">
        <v>143</v>
      </c>
      <c r="AP805" s="2" t="s">
        <v>144</v>
      </c>
      <c r="AQ805" s="2" t="s">
        <v>74</v>
      </c>
      <c r="AR805" s="2" t="s">
        <v>74</v>
      </c>
      <c r="AS805" s="2" t="s">
        <v>74</v>
      </c>
      <c r="AT805" s="2" t="s">
        <v>352</v>
      </c>
      <c r="AU805" s="2">
        <v>2013</v>
      </c>
      <c r="AV805" s="2">
        <v>86</v>
      </c>
      <c r="AW805" s="2">
        <v>3</v>
      </c>
      <c r="AX805" s="2" t="s">
        <v>74</v>
      </c>
      <c r="AY805" s="2" t="s">
        <v>74</v>
      </c>
      <c r="AZ805" s="2" t="s">
        <v>74</v>
      </c>
      <c r="BA805" s="2" t="s">
        <v>74</v>
      </c>
      <c r="BB805" s="2">
        <v>595</v>
      </c>
      <c r="BC805" s="2">
        <v>602</v>
      </c>
      <c r="BD805" s="2" t="s">
        <v>74</v>
      </c>
      <c r="BE805" s="2" t="s">
        <v>758</v>
      </c>
      <c r="BF805" s="2" t="str">
        <f>HYPERLINK("http://dx.doi.org/10.1016/j.anbehav.2013.06.015","http://dx.doi.org/10.1016/j.anbehav.2013.06.015")</f>
        <v>http://dx.doi.org/10.1016/j.anbehav.2013.06.015</v>
      </c>
      <c r="BG805" s="2" t="s">
        <v>74</v>
      </c>
      <c r="BH805" s="2" t="s">
        <v>74</v>
      </c>
      <c r="BI805" s="2" t="s">
        <v>74</v>
      </c>
      <c r="BJ805" s="2" t="s">
        <v>74</v>
      </c>
      <c r="BK805" s="2" t="s">
        <v>74</v>
      </c>
      <c r="BL805" s="2" t="s">
        <v>74</v>
      </c>
      <c r="BM805" s="2" t="s">
        <v>74</v>
      </c>
      <c r="BN805" s="2">
        <v>24027343</v>
      </c>
      <c r="BO805" s="2" t="s">
        <v>74</v>
      </c>
      <c r="BP805" s="2" t="s">
        <v>74</v>
      </c>
      <c r="BQ805" s="2" t="s">
        <v>74</v>
      </c>
      <c r="BR805" s="2" t="s">
        <v>74</v>
      </c>
      <c r="BS805" s="2" t="s">
        <v>759</v>
      </c>
      <c r="BT805" s="2" t="str">
        <f>HYPERLINK("https%3A%2F%2Fwww.webofscience.com%2Fwos%2Fwoscc%2Ffull-record%2FWOS:000323944200016","View Full Record in Web of Science")</f>
        <v>View Full Record in Web of Science</v>
      </c>
    </row>
    <row r="806" spans="1:72" s="2" customFormat="1" x14ac:dyDescent="0.4">
      <c r="A806" s="2" t="s">
        <v>72</v>
      </c>
      <c r="B806" s="2" t="s">
        <v>4761</v>
      </c>
      <c r="C806" s="2" t="s">
        <v>74</v>
      </c>
      <c r="D806" s="2" t="s">
        <v>74</v>
      </c>
      <c r="E806" s="2" t="s">
        <v>74</v>
      </c>
      <c r="F806" s="2" t="s">
        <v>4762</v>
      </c>
      <c r="G806" s="2" t="s">
        <v>74</v>
      </c>
      <c r="H806" s="2" t="s">
        <v>74</v>
      </c>
      <c r="I806" s="2" t="s">
        <v>4763</v>
      </c>
      <c r="J806" s="2" t="s">
        <v>1656</v>
      </c>
      <c r="K806" s="2" t="s">
        <v>74</v>
      </c>
      <c r="L806" s="2" t="s">
        <v>74</v>
      </c>
      <c r="M806" s="2" t="s">
        <v>74</v>
      </c>
      <c r="N806" s="2" t="s">
        <v>74</v>
      </c>
      <c r="O806" s="2" t="s">
        <v>74</v>
      </c>
      <c r="P806" s="2" t="s">
        <v>74</v>
      </c>
      <c r="Q806" s="2" t="s">
        <v>74</v>
      </c>
      <c r="R806" s="2" t="s">
        <v>74</v>
      </c>
      <c r="S806" s="2" t="s">
        <v>74</v>
      </c>
      <c r="T806" s="2" t="s">
        <v>74</v>
      </c>
      <c r="U806" s="2" t="s">
        <v>74</v>
      </c>
      <c r="V806" s="5" t="s">
        <v>4764</v>
      </c>
      <c r="W806" s="2" t="s">
        <v>74</v>
      </c>
      <c r="X806" s="2" t="s">
        <v>74</v>
      </c>
      <c r="Y806" s="2" t="s">
        <v>74</v>
      </c>
      <c r="Z806" s="2" t="s">
        <v>74</v>
      </c>
      <c r="AA806" s="2" t="s">
        <v>4765</v>
      </c>
      <c r="AB806" s="2" t="s">
        <v>4766</v>
      </c>
      <c r="AC806" s="2" t="s">
        <v>74</v>
      </c>
      <c r="AD806" s="2" t="s">
        <v>74</v>
      </c>
      <c r="AE806" s="2" t="s">
        <v>74</v>
      </c>
      <c r="AF806" s="2" t="s">
        <v>74</v>
      </c>
      <c r="AG806" s="2" t="s">
        <v>74</v>
      </c>
      <c r="AH806" s="2" t="s">
        <v>74</v>
      </c>
      <c r="AI806" s="2" t="s">
        <v>74</v>
      </c>
      <c r="AJ806" s="2" t="s">
        <v>74</v>
      </c>
      <c r="AK806" s="2" t="s">
        <v>74</v>
      </c>
      <c r="AL806" s="2" t="s">
        <v>74</v>
      </c>
      <c r="AM806" s="2" t="s">
        <v>74</v>
      </c>
      <c r="AN806" s="2" t="s">
        <v>74</v>
      </c>
      <c r="AO806" s="2" t="s">
        <v>1658</v>
      </c>
      <c r="AP806" s="2" t="s">
        <v>1659</v>
      </c>
      <c r="AQ806" s="2" t="s">
        <v>74</v>
      </c>
      <c r="AR806" s="2" t="s">
        <v>74</v>
      </c>
      <c r="AS806" s="2" t="s">
        <v>74</v>
      </c>
      <c r="AT806" s="2" t="s">
        <v>3105</v>
      </c>
      <c r="AU806" s="2">
        <v>2009</v>
      </c>
      <c r="AV806" s="2" t="s">
        <v>74</v>
      </c>
      <c r="AW806" s="2">
        <v>2283</v>
      </c>
      <c r="AX806" s="2" t="s">
        <v>74</v>
      </c>
      <c r="AY806" s="2" t="s">
        <v>74</v>
      </c>
      <c r="AZ806" s="2" t="s">
        <v>74</v>
      </c>
      <c r="BA806" s="2" t="s">
        <v>74</v>
      </c>
      <c r="BB806" s="2">
        <v>16</v>
      </c>
      <c r="BC806" s="2">
        <v>28</v>
      </c>
      <c r="BD806" s="2" t="s">
        <v>74</v>
      </c>
      <c r="BE806" s="2" t="s">
        <v>4767</v>
      </c>
      <c r="BF806" s="2" t="str">
        <f>HYPERLINK("http://dx.doi.org/10.11646/zootaxa.2283.1.2","http://dx.doi.org/10.11646/zootaxa.2283.1.2")</f>
        <v>http://dx.doi.org/10.11646/zootaxa.2283.1.2</v>
      </c>
      <c r="BG806" s="2" t="s">
        <v>74</v>
      </c>
      <c r="BH806" s="2" t="s">
        <v>74</v>
      </c>
      <c r="BI806" s="2" t="s">
        <v>74</v>
      </c>
      <c r="BJ806" s="2" t="s">
        <v>74</v>
      </c>
      <c r="BK806" s="2" t="s">
        <v>74</v>
      </c>
      <c r="BL806" s="2" t="s">
        <v>74</v>
      </c>
      <c r="BM806" s="2" t="s">
        <v>74</v>
      </c>
      <c r="BN806" s="2" t="s">
        <v>74</v>
      </c>
      <c r="BO806" s="2" t="s">
        <v>74</v>
      </c>
      <c r="BP806" s="2" t="s">
        <v>74</v>
      </c>
      <c r="BQ806" s="2" t="s">
        <v>74</v>
      </c>
      <c r="BR806" s="2" t="s">
        <v>74</v>
      </c>
      <c r="BS806" s="2" t="s">
        <v>4768</v>
      </c>
      <c r="BT806" s="2" t="str">
        <f>HYPERLINK("https%3A%2F%2Fwww.webofscience.com%2Fwos%2Fwoscc%2Ffull-record%2FWOS:000271469200002","View Full Record in Web of Science")</f>
        <v>View Full Record in Web of Science</v>
      </c>
    </row>
    <row r="807" spans="1:72" s="2" customFormat="1" x14ac:dyDescent="0.4">
      <c r="A807" s="2" t="s">
        <v>72</v>
      </c>
      <c r="B807" s="2" t="s">
        <v>5246</v>
      </c>
      <c r="C807" s="2" t="s">
        <v>74</v>
      </c>
      <c r="D807" s="2" t="s">
        <v>74</v>
      </c>
      <c r="E807" s="2" t="s">
        <v>74</v>
      </c>
      <c r="F807" s="2" t="s">
        <v>5246</v>
      </c>
      <c r="G807" s="2" t="s">
        <v>74</v>
      </c>
      <c r="H807" s="2" t="s">
        <v>74</v>
      </c>
      <c r="I807" s="2" t="s">
        <v>5247</v>
      </c>
      <c r="J807" s="2" t="s">
        <v>218</v>
      </c>
      <c r="K807" s="2" t="s">
        <v>74</v>
      </c>
      <c r="L807" s="2" t="s">
        <v>74</v>
      </c>
      <c r="M807" s="2" t="s">
        <v>74</v>
      </c>
      <c r="N807" s="2" t="s">
        <v>74</v>
      </c>
      <c r="O807" s="2" t="s">
        <v>74</v>
      </c>
      <c r="P807" s="2" t="s">
        <v>74</v>
      </c>
      <c r="Q807" s="2" t="s">
        <v>74</v>
      </c>
      <c r="R807" s="2" t="s">
        <v>74</v>
      </c>
      <c r="S807" s="2" t="s">
        <v>74</v>
      </c>
      <c r="T807" s="2" t="s">
        <v>74</v>
      </c>
      <c r="U807" s="2" t="s">
        <v>74</v>
      </c>
      <c r="V807" s="5" t="s">
        <v>5248</v>
      </c>
      <c r="W807" s="2" t="s">
        <v>74</v>
      </c>
      <c r="X807" s="2" t="s">
        <v>74</v>
      </c>
      <c r="Y807" s="2" t="s">
        <v>74</v>
      </c>
      <c r="Z807" s="2" t="s">
        <v>74</v>
      </c>
      <c r="AA807" s="2" t="s">
        <v>74</v>
      </c>
      <c r="AB807" s="2" t="s">
        <v>74</v>
      </c>
      <c r="AC807" s="2" t="s">
        <v>74</v>
      </c>
      <c r="AD807" s="2" t="s">
        <v>74</v>
      </c>
      <c r="AE807" s="2" t="s">
        <v>74</v>
      </c>
      <c r="AF807" s="2" t="s">
        <v>74</v>
      </c>
      <c r="AG807" s="2" t="s">
        <v>74</v>
      </c>
      <c r="AH807" s="2" t="s">
        <v>74</v>
      </c>
      <c r="AI807" s="2" t="s">
        <v>74</v>
      </c>
      <c r="AJ807" s="2" t="s">
        <v>74</v>
      </c>
      <c r="AK807" s="2" t="s">
        <v>74</v>
      </c>
      <c r="AL807" s="2" t="s">
        <v>74</v>
      </c>
      <c r="AM807" s="2" t="s">
        <v>74</v>
      </c>
      <c r="AN807" s="2" t="s">
        <v>74</v>
      </c>
      <c r="AO807" s="2" t="s">
        <v>221</v>
      </c>
      <c r="AP807" s="2" t="s">
        <v>74</v>
      </c>
      <c r="AQ807" s="2" t="s">
        <v>74</v>
      </c>
      <c r="AR807" s="2" t="s">
        <v>74</v>
      </c>
      <c r="AS807" s="2" t="s">
        <v>74</v>
      </c>
      <c r="AT807" s="2" t="s">
        <v>352</v>
      </c>
      <c r="AU807" s="2">
        <v>1999</v>
      </c>
      <c r="AV807" s="2">
        <v>12</v>
      </c>
      <c r="AW807" s="2">
        <v>5</v>
      </c>
      <c r="AX807" s="2" t="s">
        <v>74</v>
      </c>
      <c r="AY807" s="2" t="s">
        <v>74</v>
      </c>
      <c r="AZ807" s="2" t="s">
        <v>74</v>
      </c>
      <c r="BA807" s="2" t="s">
        <v>74</v>
      </c>
      <c r="BB807" s="2">
        <v>936</v>
      </c>
      <c r="BC807" s="2">
        <v>950</v>
      </c>
      <c r="BD807" s="2" t="s">
        <v>74</v>
      </c>
      <c r="BE807" s="2" t="s">
        <v>5249</v>
      </c>
      <c r="BF807" s="2" t="str">
        <f>HYPERLINK("http://dx.doi.org/10.1046/j.1420-9101.1999.00111.x","http://dx.doi.org/10.1046/j.1420-9101.1999.00111.x")</f>
        <v>http://dx.doi.org/10.1046/j.1420-9101.1999.00111.x</v>
      </c>
      <c r="BG807" s="2" t="s">
        <v>74</v>
      </c>
      <c r="BH807" s="2" t="s">
        <v>74</v>
      </c>
      <c r="BI807" s="2" t="s">
        <v>74</v>
      </c>
      <c r="BJ807" s="2" t="s">
        <v>74</v>
      </c>
      <c r="BK807" s="2" t="s">
        <v>74</v>
      </c>
      <c r="BL807" s="2" t="s">
        <v>74</v>
      </c>
      <c r="BM807" s="2" t="s">
        <v>74</v>
      </c>
      <c r="BN807" s="2" t="s">
        <v>74</v>
      </c>
      <c r="BO807" s="2" t="s">
        <v>74</v>
      </c>
      <c r="BP807" s="2" t="s">
        <v>74</v>
      </c>
      <c r="BQ807" s="2" t="s">
        <v>74</v>
      </c>
      <c r="BR807" s="2" t="s">
        <v>74</v>
      </c>
      <c r="BS807" s="2" t="s">
        <v>5250</v>
      </c>
      <c r="BT807" s="2" t="str">
        <f>HYPERLINK("https%3A%2F%2Fwww.webofscience.com%2Fwos%2Fwoscc%2Ffull-record%2FWOS:000082609500011","View Full Record in Web of Science")</f>
        <v>View Full Record in Web of Science</v>
      </c>
    </row>
    <row r="808" spans="1:72" s="2" customFormat="1" x14ac:dyDescent="0.4">
      <c r="A808" s="2" t="s">
        <v>72</v>
      </c>
      <c r="B808" s="2" t="s">
        <v>1041</v>
      </c>
      <c r="C808" s="2" t="s">
        <v>74</v>
      </c>
      <c r="D808" s="2" t="s">
        <v>74</v>
      </c>
      <c r="E808" s="2" t="s">
        <v>74</v>
      </c>
      <c r="F808" s="2" t="s">
        <v>1042</v>
      </c>
      <c r="G808" s="2" t="s">
        <v>74</v>
      </c>
      <c r="H808" s="2" t="s">
        <v>74</v>
      </c>
      <c r="I808" s="2" t="s">
        <v>1043</v>
      </c>
      <c r="J808" s="2" t="s">
        <v>1044</v>
      </c>
      <c r="K808" s="2" t="s">
        <v>74</v>
      </c>
      <c r="L808" s="2" t="s">
        <v>74</v>
      </c>
      <c r="M808" s="2" t="s">
        <v>74</v>
      </c>
      <c r="N808" s="2" t="s">
        <v>74</v>
      </c>
      <c r="O808" s="2" t="s">
        <v>74</v>
      </c>
      <c r="P808" s="2" t="s">
        <v>74</v>
      </c>
      <c r="Q808" s="2" t="s">
        <v>74</v>
      </c>
      <c r="R808" s="2" t="s">
        <v>74</v>
      </c>
      <c r="S808" s="2" t="s">
        <v>74</v>
      </c>
      <c r="T808" s="2" t="s">
        <v>74</v>
      </c>
      <c r="U808" s="2" t="s">
        <v>74</v>
      </c>
      <c r="V808" s="5" t="s">
        <v>1045</v>
      </c>
      <c r="W808" s="2" t="s">
        <v>74</v>
      </c>
      <c r="X808" s="2" t="s">
        <v>74</v>
      </c>
      <c r="Y808" s="2" t="s">
        <v>74</v>
      </c>
      <c r="Z808" s="2" t="s">
        <v>74</v>
      </c>
      <c r="AA808" s="2" t="s">
        <v>1046</v>
      </c>
      <c r="AB808" s="2" t="s">
        <v>1047</v>
      </c>
      <c r="AC808" s="2" t="s">
        <v>74</v>
      </c>
      <c r="AD808" s="2" t="s">
        <v>74</v>
      </c>
      <c r="AE808" s="2" t="s">
        <v>74</v>
      </c>
      <c r="AF808" s="2" t="s">
        <v>74</v>
      </c>
      <c r="AG808" s="2" t="s">
        <v>74</v>
      </c>
      <c r="AH808" s="2" t="s">
        <v>74</v>
      </c>
      <c r="AI808" s="2" t="s">
        <v>74</v>
      </c>
      <c r="AJ808" s="2" t="s">
        <v>74</v>
      </c>
      <c r="AK808" s="2" t="s">
        <v>74</v>
      </c>
      <c r="AL808" s="2" t="s">
        <v>74</v>
      </c>
      <c r="AM808" s="2" t="s">
        <v>74</v>
      </c>
      <c r="AN808" s="2" t="s">
        <v>74</v>
      </c>
      <c r="AO808" s="2" t="s">
        <v>1048</v>
      </c>
      <c r="AP808" s="2" t="s">
        <v>1049</v>
      </c>
      <c r="AQ808" s="2" t="s">
        <v>74</v>
      </c>
      <c r="AR808" s="2" t="s">
        <v>74</v>
      </c>
      <c r="AS808" s="2" t="s">
        <v>74</v>
      </c>
      <c r="AT808" s="2" t="s">
        <v>134</v>
      </c>
      <c r="AU808" s="2">
        <v>2021</v>
      </c>
      <c r="AV808" s="2">
        <v>30</v>
      </c>
      <c r="AW808" s="2">
        <v>10</v>
      </c>
      <c r="AX808" s="2" t="s">
        <v>74</v>
      </c>
      <c r="AY808" s="2" t="s">
        <v>74</v>
      </c>
      <c r="AZ808" s="2" t="s">
        <v>74</v>
      </c>
      <c r="BA808" s="2" t="s">
        <v>74</v>
      </c>
      <c r="BB808" s="2">
        <v>2262</v>
      </c>
      <c r="BC808" s="2">
        <v>2284</v>
      </c>
      <c r="BD808" s="2" t="s">
        <v>74</v>
      </c>
      <c r="BE808" s="2" t="s">
        <v>1050</v>
      </c>
      <c r="BF808" s="2" t="str">
        <f>HYPERLINK("http://dx.doi.org/10.1111/mec.15901","http://dx.doi.org/10.1111/mec.15901")</f>
        <v>http://dx.doi.org/10.1111/mec.15901</v>
      </c>
      <c r="BG808" s="2" t="s">
        <v>74</v>
      </c>
      <c r="BH808" s="2" t="s">
        <v>1051</v>
      </c>
      <c r="BI808" s="2" t="s">
        <v>74</v>
      </c>
      <c r="BJ808" s="2" t="s">
        <v>74</v>
      </c>
      <c r="BK808" s="2" t="s">
        <v>74</v>
      </c>
      <c r="BL808" s="2" t="s">
        <v>74</v>
      </c>
      <c r="BM808" s="2" t="s">
        <v>74</v>
      </c>
      <c r="BN808" s="2">
        <v>33772941</v>
      </c>
      <c r="BO808" s="2" t="s">
        <v>74</v>
      </c>
      <c r="BP808" s="2" t="s">
        <v>74</v>
      </c>
      <c r="BQ808" s="2" t="s">
        <v>74</v>
      </c>
      <c r="BR808" s="2" t="s">
        <v>74</v>
      </c>
      <c r="BS808" s="2" t="s">
        <v>1052</v>
      </c>
      <c r="BT808" s="2" t="str">
        <f>HYPERLINK("https%3A%2F%2Fwww.webofscience.com%2Fwos%2Fwoscc%2Ffull-record%2FWOS:000639399300001","View Full Record in Web of Science")</f>
        <v>View Full Record in Web of Science</v>
      </c>
    </row>
    <row r="809" spans="1:72" s="2" customFormat="1" x14ac:dyDescent="0.4">
      <c r="A809" s="2" t="s">
        <v>72</v>
      </c>
      <c r="B809" s="2" t="s">
        <v>3717</v>
      </c>
      <c r="C809" s="2" t="s">
        <v>74</v>
      </c>
      <c r="D809" s="2" t="s">
        <v>74</v>
      </c>
      <c r="E809" s="2" t="s">
        <v>74</v>
      </c>
      <c r="F809" s="2" t="s">
        <v>3718</v>
      </c>
      <c r="G809" s="2" t="s">
        <v>74</v>
      </c>
      <c r="H809" s="2" t="s">
        <v>74</v>
      </c>
      <c r="I809" s="2" t="s">
        <v>3719</v>
      </c>
      <c r="J809" s="2" t="s">
        <v>333</v>
      </c>
      <c r="K809" s="2" t="s">
        <v>74</v>
      </c>
      <c r="L809" s="2" t="s">
        <v>74</v>
      </c>
      <c r="M809" s="2" t="s">
        <v>74</v>
      </c>
      <c r="N809" s="2" t="s">
        <v>74</v>
      </c>
      <c r="O809" s="2" t="s">
        <v>74</v>
      </c>
      <c r="P809" s="2" t="s">
        <v>74</v>
      </c>
      <c r="Q809" s="2" t="s">
        <v>74</v>
      </c>
      <c r="R809" s="2" t="s">
        <v>74</v>
      </c>
      <c r="S809" s="2" t="s">
        <v>74</v>
      </c>
      <c r="T809" s="2" t="s">
        <v>74</v>
      </c>
      <c r="U809" s="2" t="s">
        <v>74</v>
      </c>
      <c r="V809" s="5" t="s">
        <v>3720</v>
      </c>
      <c r="W809" s="2" t="s">
        <v>74</v>
      </c>
      <c r="X809" s="2" t="s">
        <v>74</v>
      </c>
      <c r="Y809" s="2" t="s">
        <v>74</v>
      </c>
      <c r="Z809" s="2" t="s">
        <v>74</v>
      </c>
      <c r="AA809" s="2" t="s">
        <v>3721</v>
      </c>
      <c r="AB809" s="2" t="s">
        <v>3722</v>
      </c>
      <c r="AC809" s="2" t="s">
        <v>74</v>
      </c>
      <c r="AD809" s="2" t="s">
        <v>74</v>
      </c>
      <c r="AE809" s="2" t="s">
        <v>74</v>
      </c>
      <c r="AF809" s="2" t="s">
        <v>74</v>
      </c>
      <c r="AG809" s="2" t="s">
        <v>74</v>
      </c>
      <c r="AH809" s="2" t="s">
        <v>74</v>
      </c>
      <c r="AI809" s="2" t="s">
        <v>74</v>
      </c>
      <c r="AJ809" s="2" t="s">
        <v>74</v>
      </c>
      <c r="AK809" s="2" t="s">
        <v>74</v>
      </c>
      <c r="AL809" s="2" t="s">
        <v>74</v>
      </c>
      <c r="AM809" s="2" t="s">
        <v>74</v>
      </c>
      <c r="AN809" s="2" t="s">
        <v>74</v>
      </c>
      <c r="AO809" s="2" t="s">
        <v>337</v>
      </c>
      <c r="AP809" s="2" t="s">
        <v>338</v>
      </c>
      <c r="AQ809" s="2" t="s">
        <v>74</v>
      </c>
      <c r="AR809" s="2" t="s">
        <v>74</v>
      </c>
      <c r="AS809" s="2" t="s">
        <v>74</v>
      </c>
      <c r="AT809" s="2" t="s">
        <v>339</v>
      </c>
      <c r="AU809" s="2">
        <v>2015</v>
      </c>
      <c r="AV809" s="2">
        <v>26</v>
      </c>
      <c r="AW809" s="2">
        <v>4</v>
      </c>
      <c r="AX809" s="2" t="s">
        <v>74</v>
      </c>
      <c r="AY809" s="2" t="s">
        <v>74</v>
      </c>
      <c r="AZ809" s="2" t="s">
        <v>74</v>
      </c>
      <c r="BA809" s="2" t="s">
        <v>74</v>
      </c>
      <c r="BB809" s="2">
        <v>1212</v>
      </c>
      <c r="BC809" s="2">
        <v>1218</v>
      </c>
      <c r="BD809" s="2" t="s">
        <v>74</v>
      </c>
      <c r="BE809" s="2" t="s">
        <v>3723</v>
      </c>
      <c r="BF809" s="2" t="str">
        <f>HYPERLINK("http://dx.doi.org/10.1093/beheco/arv068","http://dx.doi.org/10.1093/beheco/arv068")</f>
        <v>http://dx.doi.org/10.1093/beheco/arv068</v>
      </c>
      <c r="BG809" s="2" t="s">
        <v>74</v>
      </c>
      <c r="BH809" s="2" t="s">
        <v>74</v>
      </c>
      <c r="BI809" s="2" t="s">
        <v>74</v>
      </c>
      <c r="BJ809" s="2" t="s">
        <v>74</v>
      </c>
      <c r="BK809" s="2" t="s">
        <v>74</v>
      </c>
      <c r="BL809" s="2" t="s">
        <v>74</v>
      </c>
      <c r="BM809" s="2" t="s">
        <v>74</v>
      </c>
      <c r="BN809" s="2" t="s">
        <v>74</v>
      </c>
      <c r="BO809" s="2" t="s">
        <v>74</v>
      </c>
      <c r="BP809" s="2" t="s">
        <v>74</v>
      </c>
      <c r="BQ809" s="2" t="s">
        <v>74</v>
      </c>
      <c r="BR809" s="2" t="s">
        <v>74</v>
      </c>
      <c r="BS809" s="2" t="s">
        <v>3724</v>
      </c>
      <c r="BT809" s="2" t="str">
        <f>HYPERLINK("https%3A%2F%2Fwww.webofscience.com%2Fwos%2Fwoscc%2Ffull-record%2FWOS:000358171600034","View Full Record in Web of Science")</f>
        <v>View Full Record in Web of Science</v>
      </c>
    </row>
    <row r="810" spans="1:72" s="2" customFormat="1" x14ac:dyDescent="0.4">
      <c r="A810" s="2" t="s">
        <v>72</v>
      </c>
      <c r="B810" s="2" t="s">
        <v>2381</v>
      </c>
      <c r="C810" s="2" t="s">
        <v>74</v>
      </c>
      <c r="D810" s="2" t="s">
        <v>74</v>
      </c>
      <c r="E810" s="2" t="s">
        <v>74</v>
      </c>
      <c r="F810" s="2" t="s">
        <v>2381</v>
      </c>
      <c r="G810" s="2" t="s">
        <v>74</v>
      </c>
      <c r="H810" s="2" t="s">
        <v>74</v>
      </c>
      <c r="I810" s="2" t="s">
        <v>2382</v>
      </c>
      <c r="J810" s="2" t="s">
        <v>77</v>
      </c>
      <c r="K810" s="2" t="s">
        <v>74</v>
      </c>
      <c r="L810" s="2" t="s">
        <v>74</v>
      </c>
      <c r="M810" s="2" t="s">
        <v>74</v>
      </c>
      <c r="N810" s="2" t="s">
        <v>74</v>
      </c>
      <c r="O810" s="2" t="s">
        <v>74</v>
      </c>
      <c r="P810" s="2" t="s">
        <v>74</v>
      </c>
      <c r="Q810" s="2" t="s">
        <v>74</v>
      </c>
      <c r="R810" s="2" t="s">
        <v>74</v>
      </c>
      <c r="S810" s="2" t="s">
        <v>74</v>
      </c>
      <c r="T810" s="2" t="s">
        <v>74</v>
      </c>
      <c r="U810" s="2" t="s">
        <v>74</v>
      </c>
      <c r="V810" s="5" t="s">
        <v>2383</v>
      </c>
      <c r="W810" s="2" t="s">
        <v>74</v>
      </c>
      <c r="X810" s="2" t="s">
        <v>74</v>
      </c>
      <c r="Y810" s="2" t="s">
        <v>74</v>
      </c>
      <c r="Z810" s="2" t="s">
        <v>74</v>
      </c>
      <c r="AA810" s="2" t="s">
        <v>74</v>
      </c>
      <c r="AB810" s="2" t="s">
        <v>74</v>
      </c>
      <c r="AC810" s="2" t="s">
        <v>74</v>
      </c>
      <c r="AD810" s="2" t="s">
        <v>74</v>
      </c>
      <c r="AE810" s="2" t="s">
        <v>74</v>
      </c>
      <c r="AF810" s="2" t="s">
        <v>74</v>
      </c>
      <c r="AG810" s="2" t="s">
        <v>74</v>
      </c>
      <c r="AH810" s="2" t="s">
        <v>74</v>
      </c>
      <c r="AI810" s="2" t="s">
        <v>74</v>
      </c>
      <c r="AJ810" s="2" t="s">
        <v>74</v>
      </c>
      <c r="AK810" s="2" t="s">
        <v>74</v>
      </c>
      <c r="AL810" s="2" t="s">
        <v>74</v>
      </c>
      <c r="AM810" s="2" t="s">
        <v>74</v>
      </c>
      <c r="AN810" s="2" t="s">
        <v>74</v>
      </c>
      <c r="AO810" s="2" t="s">
        <v>81</v>
      </c>
      <c r="AP810" s="2" t="s">
        <v>82</v>
      </c>
      <c r="AQ810" s="2" t="s">
        <v>74</v>
      </c>
      <c r="AR810" s="2" t="s">
        <v>74</v>
      </c>
      <c r="AS810" s="2" t="s">
        <v>74</v>
      </c>
      <c r="AT810" s="2" t="s">
        <v>74</v>
      </c>
      <c r="AU810" s="2">
        <v>1977</v>
      </c>
      <c r="AV810" s="2">
        <v>62</v>
      </c>
      <c r="AW810" s="2" t="s">
        <v>74</v>
      </c>
      <c r="AX810" s="2" t="s">
        <v>1276</v>
      </c>
      <c r="AY810" s="2" t="s">
        <v>74</v>
      </c>
      <c r="AZ810" s="2" t="s">
        <v>74</v>
      </c>
      <c r="BA810" s="2" t="s">
        <v>74</v>
      </c>
      <c r="BB810" s="2">
        <v>314</v>
      </c>
      <c r="BC810" s="2">
        <v>321</v>
      </c>
      <c r="BD810" s="2" t="s">
        <v>74</v>
      </c>
      <c r="BE810" s="2" t="s">
        <v>2384</v>
      </c>
      <c r="BF810" s="2" t="str">
        <f>HYPERLINK("http://dx.doi.org/10.1163/156853977X00162","http://dx.doi.org/10.1163/156853977X00162")</f>
        <v>http://dx.doi.org/10.1163/156853977X00162</v>
      </c>
      <c r="BG810" s="2" t="s">
        <v>74</v>
      </c>
      <c r="BH810" s="2" t="s">
        <v>74</v>
      </c>
      <c r="BI810" s="2" t="s">
        <v>74</v>
      </c>
      <c r="BJ810" s="2" t="s">
        <v>74</v>
      </c>
      <c r="BK810" s="2" t="s">
        <v>74</v>
      </c>
      <c r="BL810" s="2" t="s">
        <v>74</v>
      </c>
      <c r="BM810" s="2" t="s">
        <v>74</v>
      </c>
      <c r="BN810" s="2" t="s">
        <v>74</v>
      </c>
      <c r="BO810" s="2" t="s">
        <v>74</v>
      </c>
      <c r="BP810" s="2" t="s">
        <v>74</v>
      </c>
      <c r="BQ810" s="2" t="s">
        <v>74</v>
      </c>
      <c r="BR810" s="2" t="s">
        <v>74</v>
      </c>
      <c r="BS810" s="2" t="s">
        <v>2385</v>
      </c>
      <c r="BT810" s="2" t="str">
        <f>HYPERLINK("https%3A%2F%2Fwww.webofscience.com%2Fwos%2Fwoscc%2Ffull-record%2FWOS:A1977EA46300006","View Full Record in Web of Science")</f>
        <v>View Full Record in Web of Science</v>
      </c>
    </row>
    <row r="811" spans="1:72" s="2" customFormat="1" x14ac:dyDescent="0.4">
      <c r="A811" s="2" t="s">
        <v>72</v>
      </c>
      <c r="B811" s="2" t="s">
        <v>7635</v>
      </c>
      <c r="C811" s="2" t="s">
        <v>74</v>
      </c>
      <c r="D811" s="2" t="s">
        <v>74</v>
      </c>
      <c r="E811" s="2" t="s">
        <v>74</v>
      </c>
      <c r="F811" s="2" t="s">
        <v>7636</v>
      </c>
      <c r="G811" s="2" t="s">
        <v>74</v>
      </c>
      <c r="H811" s="2" t="s">
        <v>74</v>
      </c>
      <c r="I811" s="2" t="s">
        <v>7637</v>
      </c>
      <c r="J811" s="2" t="s">
        <v>3100</v>
      </c>
      <c r="K811" s="2" t="s">
        <v>74</v>
      </c>
      <c r="L811" s="2" t="s">
        <v>74</v>
      </c>
      <c r="M811" s="2" t="s">
        <v>74</v>
      </c>
      <c r="N811" s="2" t="s">
        <v>74</v>
      </c>
      <c r="O811" s="2" t="s">
        <v>74</v>
      </c>
      <c r="P811" s="2" t="s">
        <v>74</v>
      </c>
      <c r="Q811" s="2" t="s">
        <v>74</v>
      </c>
      <c r="R811" s="2" t="s">
        <v>74</v>
      </c>
      <c r="S811" s="2" t="s">
        <v>74</v>
      </c>
      <c r="T811" s="2" t="s">
        <v>74</v>
      </c>
      <c r="U811" s="2" t="s">
        <v>74</v>
      </c>
      <c r="V811" s="5" t="s">
        <v>7638</v>
      </c>
      <c r="W811" s="2" t="s">
        <v>74</v>
      </c>
      <c r="X811" s="2" t="s">
        <v>74</v>
      </c>
      <c r="Y811" s="2" t="s">
        <v>74</v>
      </c>
      <c r="Z811" s="2" t="s">
        <v>74</v>
      </c>
      <c r="AA811" s="2" t="s">
        <v>74</v>
      </c>
      <c r="AB811" s="2" t="s">
        <v>7639</v>
      </c>
      <c r="AC811" s="2" t="s">
        <v>74</v>
      </c>
      <c r="AD811" s="2" t="s">
        <v>74</v>
      </c>
      <c r="AE811" s="2" t="s">
        <v>74</v>
      </c>
      <c r="AF811" s="2" t="s">
        <v>74</v>
      </c>
      <c r="AG811" s="2" t="s">
        <v>74</v>
      </c>
      <c r="AH811" s="2" t="s">
        <v>74</v>
      </c>
      <c r="AI811" s="2" t="s">
        <v>74</v>
      </c>
      <c r="AJ811" s="2" t="s">
        <v>74</v>
      </c>
      <c r="AK811" s="2" t="s">
        <v>74</v>
      </c>
      <c r="AL811" s="2" t="s">
        <v>74</v>
      </c>
      <c r="AM811" s="2" t="s">
        <v>74</v>
      </c>
      <c r="AN811" s="2" t="s">
        <v>74</v>
      </c>
      <c r="AO811" s="2" t="s">
        <v>74</v>
      </c>
      <c r="AP811" s="2" t="s">
        <v>3104</v>
      </c>
      <c r="AQ811" s="2" t="s">
        <v>74</v>
      </c>
      <c r="AR811" s="2" t="s">
        <v>74</v>
      </c>
      <c r="AS811" s="2" t="s">
        <v>74</v>
      </c>
      <c r="AT811" s="2" t="s">
        <v>7640</v>
      </c>
      <c r="AU811" s="2">
        <v>2023</v>
      </c>
      <c r="AV811" s="2">
        <v>9</v>
      </c>
      <c r="AW811" s="2" t="s">
        <v>74</v>
      </c>
      <c r="AX811" s="2" t="s">
        <v>74</v>
      </c>
      <c r="AY811" s="2" t="s">
        <v>74</v>
      </c>
      <c r="AZ811" s="2" t="s">
        <v>74</v>
      </c>
      <c r="BA811" s="2" t="s">
        <v>74</v>
      </c>
      <c r="BB811" s="2" t="s">
        <v>74</v>
      </c>
      <c r="BC811" s="2" t="s">
        <v>74</v>
      </c>
      <c r="BD811" s="2">
        <v>1070206</v>
      </c>
      <c r="BE811" s="2" t="s">
        <v>7641</v>
      </c>
      <c r="BF811" s="2" t="str">
        <f>HYPERLINK("http://dx.doi.org/10.3389/fvets.2022.1070206","http://dx.doi.org/10.3389/fvets.2022.1070206")</f>
        <v>http://dx.doi.org/10.3389/fvets.2022.1070206</v>
      </c>
      <c r="BG811" s="2" t="s">
        <v>74</v>
      </c>
      <c r="BH811" s="2" t="s">
        <v>74</v>
      </c>
      <c r="BI811" s="2" t="s">
        <v>74</v>
      </c>
      <c r="BJ811" s="2" t="s">
        <v>74</v>
      </c>
      <c r="BK811" s="2" t="s">
        <v>74</v>
      </c>
      <c r="BL811" s="2" t="s">
        <v>74</v>
      </c>
      <c r="BM811" s="2" t="s">
        <v>74</v>
      </c>
      <c r="BN811" s="2">
        <v>36713853</v>
      </c>
      <c r="BO811" s="2" t="s">
        <v>74</v>
      </c>
      <c r="BP811" s="2" t="s">
        <v>74</v>
      </c>
      <c r="BQ811" s="2" t="s">
        <v>74</v>
      </c>
      <c r="BR811" s="2" t="s">
        <v>74</v>
      </c>
      <c r="BS811" s="2" t="s">
        <v>7642</v>
      </c>
      <c r="BT811" s="2" t="str">
        <f>HYPERLINK("https%3A%2F%2Fwww.webofscience.com%2Fwos%2Fwoscc%2Ffull-record%2FWOS:000920676700001","View Full Record in Web of Science")</f>
        <v>View Full Record in Web of Science</v>
      </c>
    </row>
    <row r="812" spans="1:72" s="2" customFormat="1" x14ac:dyDescent="0.4">
      <c r="A812" s="2" t="s">
        <v>72</v>
      </c>
      <c r="B812" s="2" t="s">
        <v>3578</v>
      </c>
      <c r="C812" s="2" t="s">
        <v>74</v>
      </c>
      <c r="D812" s="2" t="s">
        <v>74</v>
      </c>
      <c r="E812" s="2" t="s">
        <v>74</v>
      </c>
      <c r="F812" s="2" t="s">
        <v>3579</v>
      </c>
      <c r="G812" s="2" t="s">
        <v>74</v>
      </c>
      <c r="H812" s="2" t="s">
        <v>74</v>
      </c>
      <c r="I812" s="2" t="s">
        <v>3580</v>
      </c>
      <c r="J812" s="2" t="s">
        <v>201</v>
      </c>
      <c r="K812" s="2" t="s">
        <v>74</v>
      </c>
      <c r="L812" s="2" t="s">
        <v>74</v>
      </c>
      <c r="M812" s="2" t="s">
        <v>74</v>
      </c>
      <c r="N812" s="2" t="s">
        <v>74</v>
      </c>
      <c r="O812" s="2" t="s">
        <v>74</v>
      </c>
      <c r="P812" s="2" t="s">
        <v>74</v>
      </c>
      <c r="Q812" s="2" t="s">
        <v>74</v>
      </c>
      <c r="R812" s="2" t="s">
        <v>74</v>
      </c>
      <c r="S812" s="2" t="s">
        <v>74</v>
      </c>
      <c r="T812" s="2" t="s">
        <v>74</v>
      </c>
      <c r="U812" s="2" t="s">
        <v>74</v>
      </c>
      <c r="V812" s="5" t="s">
        <v>3581</v>
      </c>
      <c r="W812" s="2" t="s">
        <v>74</v>
      </c>
      <c r="X812" s="2" t="s">
        <v>74</v>
      </c>
      <c r="Y812" s="2" t="s">
        <v>74</v>
      </c>
      <c r="Z812" s="2" t="s">
        <v>74</v>
      </c>
      <c r="AA812" s="2" t="s">
        <v>74</v>
      </c>
      <c r="AB812" s="2" t="s">
        <v>3582</v>
      </c>
      <c r="AC812" s="2" t="s">
        <v>74</v>
      </c>
      <c r="AD812" s="2" t="s">
        <v>74</v>
      </c>
      <c r="AE812" s="2" t="s">
        <v>74</v>
      </c>
      <c r="AF812" s="2" t="s">
        <v>74</v>
      </c>
      <c r="AG812" s="2" t="s">
        <v>74</v>
      </c>
      <c r="AH812" s="2" t="s">
        <v>74</v>
      </c>
      <c r="AI812" s="2" t="s">
        <v>74</v>
      </c>
      <c r="AJ812" s="2" t="s">
        <v>74</v>
      </c>
      <c r="AK812" s="2" t="s">
        <v>74</v>
      </c>
      <c r="AL812" s="2" t="s">
        <v>74</v>
      </c>
      <c r="AM812" s="2" t="s">
        <v>74</v>
      </c>
      <c r="AN812" s="2" t="s">
        <v>74</v>
      </c>
      <c r="AO812" s="2" t="s">
        <v>203</v>
      </c>
      <c r="AP812" s="2" t="s">
        <v>1192</v>
      </c>
      <c r="AQ812" s="2" t="s">
        <v>74</v>
      </c>
      <c r="AR812" s="2" t="s">
        <v>74</v>
      </c>
      <c r="AS812" s="2" t="s">
        <v>74</v>
      </c>
      <c r="AT812" s="2" t="s">
        <v>204</v>
      </c>
      <c r="AU812" s="2">
        <v>2020</v>
      </c>
      <c r="AV812" s="2">
        <v>97</v>
      </c>
      <c r="AW812" s="2">
        <v>1</v>
      </c>
      <c r="AX812" s="2" t="s">
        <v>74</v>
      </c>
      <c r="AY812" s="2" t="s">
        <v>74</v>
      </c>
      <c r="AZ812" s="2" t="s">
        <v>74</v>
      </c>
      <c r="BA812" s="2" t="s">
        <v>74</v>
      </c>
      <c r="BB812" s="2">
        <v>75</v>
      </c>
      <c r="BC812" s="2">
        <v>82</v>
      </c>
      <c r="BD812" s="2" t="s">
        <v>74</v>
      </c>
      <c r="BE812" s="2" t="s">
        <v>3583</v>
      </c>
      <c r="BF812" s="2" t="str">
        <f>HYPERLINK("http://dx.doi.org/10.1111/jfb.14327","http://dx.doi.org/10.1111/jfb.14327")</f>
        <v>http://dx.doi.org/10.1111/jfb.14327</v>
      </c>
      <c r="BG812" s="2" t="s">
        <v>74</v>
      </c>
      <c r="BH812" s="2" t="s">
        <v>3584</v>
      </c>
      <c r="BI812" s="2" t="s">
        <v>74</v>
      </c>
      <c r="BJ812" s="2" t="s">
        <v>74</v>
      </c>
      <c r="BK812" s="2" t="s">
        <v>74</v>
      </c>
      <c r="BL812" s="2" t="s">
        <v>74</v>
      </c>
      <c r="BM812" s="2" t="s">
        <v>74</v>
      </c>
      <c r="BN812" s="2">
        <v>32291745</v>
      </c>
      <c r="BO812" s="2" t="s">
        <v>74</v>
      </c>
      <c r="BP812" s="2" t="s">
        <v>74</v>
      </c>
      <c r="BQ812" s="2" t="s">
        <v>74</v>
      </c>
      <c r="BR812" s="2" t="s">
        <v>74</v>
      </c>
      <c r="BS812" s="2" t="s">
        <v>3585</v>
      </c>
      <c r="BT812" s="2" t="str">
        <f>HYPERLINK("https%3A%2F%2Fwww.webofscience.com%2Fwos%2Fwoscc%2Ffull-record%2FWOS:000550050100001","View Full Record in Web of Science")</f>
        <v>View Full Record in Web of Science</v>
      </c>
    </row>
    <row r="813" spans="1:72" s="2" customFormat="1" x14ac:dyDescent="0.4">
      <c r="A813" s="2" t="s">
        <v>72</v>
      </c>
      <c r="B813" s="2" t="s">
        <v>6559</v>
      </c>
      <c r="C813" s="2" t="s">
        <v>74</v>
      </c>
      <c r="D813" s="2" t="s">
        <v>74</v>
      </c>
      <c r="E813" s="2" t="s">
        <v>74</v>
      </c>
      <c r="F813" s="2" t="s">
        <v>6559</v>
      </c>
      <c r="G813" s="2" t="s">
        <v>74</v>
      </c>
      <c r="H813" s="2" t="s">
        <v>74</v>
      </c>
      <c r="I813" s="2" t="s">
        <v>6560</v>
      </c>
      <c r="J813" s="2" t="s">
        <v>1673</v>
      </c>
      <c r="K813" s="2" t="s">
        <v>74</v>
      </c>
      <c r="L813" s="2" t="s">
        <v>74</v>
      </c>
      <c r="M813" s="2" t="s">
        <v>74</v>
      </c>
      <c r="N813" s="2" t="s">
        <v>74</v>
      </c>
      <c r="O813" s="2" t="s">
        <v>74</v>
      </c>
      <c r="P813" s="2" t="s">
        <v>74</v>
      </c>
      <c r="Q813" s="2" t="s">
        <v>74</v>
      </c>
      <c r="R813" s="2" t="s">
        <v>74</v>
      </c>
      <c r="S813" s="2" t="s">
        <v>74</v>
      </c>
      <c r="T813" s="2" t="s">
        <v>74</v>
      </c>
      <c r="U813" s="2" t="s">
        <v>74</v>
      </c>
      <c r="V813" s="5" t="s">
        <v>6561</v>
      </c>
      <c r="W813" s="2" t="s">
        <v>74</v>
      </c>
      <c r="X813" s="2" t="s">
        <v>74</v>
      </c>
      <c r="Y813" s="2" t="s">
        <v>74</v>
      </c>
      <c r="Z813" s="2" t="s">
        <v>74</v>
      </c>
      <c r="AA813" s="2" t="s">
        <v>74</v>
      </c>
      <c r="AB813" s="2" t="s">
        <v>74</v>
      </c>
      <c r="AC813" s="2" t="s">
        <v>74</v>
      </c>
      <c r="AD813" s="2" t="s">
        <v>74</v>
      </c>
      <c r="AE813" s="2" t="s">
        <v>74</v>
      </c>
      <c r="AF813" s="2" t="s">
        <v>74</v>
      </c>
      <c r="AG813" s="2" t="s">
        <v>74</v>
      </c>
      <c r="AH813" s="2" t="s">
        <v>74</v>
      </c>
      <c r="AI813" s="2" t="s">
        <v>74</v>
      </c>
      <c r="AJ813" s="2" t="s">
        <v>74</v>
      </c>
      <c r="AK813" s="2" t="s">
        <v>74</v>
      </c>
      <c r="AL813" s="2" t="s">
        <v>74</v>
      </c>
      <c r="AM813" s="2" t="s">
        <v>74</v>
      </c>
      <c r="AN813" s="2" t="s">
        <v>74</v>
      </c>
      <c r="AO813" s="2" t="s">
        <v>1239</v>
      </c>
      <c r="AP813" s="2" t="s">
        <v>1675</v>
      </c>
      <c r="AQ813" s="2" t="s">
        <v>74</v>
      </c>
      <c r="AR813" s="2" t="s">
        <v>74</v>
      </c>
      <c r="AS813" s="2" t="s">
        <v>74</v>
      </c>
      <c r="AT813" s="2" t="s">
        <v>633</v>
      </c>
      <c r="AU813" s="2">
        <v>1986</v>
      </c>
      <c r="AV813" s="2">
        <v>64</v>
      </c>
      <c r="AW813" s="2">
        <v>4</v>
      </c>
      <c r="AX813" s="2" t="s">
        <v>74</v>
      </c>
      <c r="AY813" s="2" t="s">
        <v>74</v>
      </c>
      <c r="AZ813" s="2" t="s">
        <v>74</v>
      </c>
      <c r="BA813" s="2" t="s">
        <v>74</v>
      </c>
      <c r="BB813" s="2">
        <v>867</v>
      </c>
      <c r="BC813" s="2">
        <v>874</v>
      </c>
      <c r="BD813" s="2" t="s">
        <v>74</v>
      </c>
      <c r="BE813" s="2" t="s">
        <v>6562</v>
      </c>
      <c r="BF813" s="2" t="str">
        <f>HYPERLINK("http://dx.doi.org/10.1139/z86-130","http://dx.doi.org/10.1139/z86-130")</f>
        <v>http://dx.doi.org/10.1139/z86-130</v>
      </c>
      <c r="BG813" s="2" t="s">
        <v>74</v>
      </c>
      <c r="BH813" s="2" t="s">
        <v>74</v>
      </c>
      <c r="BI813" s="2" t="s">
        <v>74</v>
      </c>
      <c r="BJ813" s="2" t="s">
        <v>74</v>
      </c>
      <c r="BK813" s="2" t="s">
        <v>74</v>
      </c>
      <c r="BL813" s="2" t="s">
        <v>74</v>
      </c>
      <c r="BM813" s="2" t="s">
        <v>74</v>
      </c>
      <c r="BN813" s="2" t="s">
        <v>74</v>
      </c>
      <c r="BO813" s="2" t="s">
        <v>74</v>
      </c>
      <c r="BP813" s="2" t="s">
        <v>74</v>
      </c>
      <c r="BQ813" s="2" t="s">
        <v>74</v>
      </c>
      <c r="BR813" s="2" t="s">
        <v>74</v>
      </c>
      <c r="BS813" s="2" t="s">
        <v>6563</v>
      </c>
      <c r="BT813" s="2" t="str">
        <f>HYPERLINK("https%3A%2F%2Fwww.webofscience.com%2Fwos%2Fwoscc%2Ffull-record%2FWOS:A1986C507200011","View Full Record in Web of Science")</f>
        <v>View Full Record in Web of Science</v>
      </c>
    </row>
    <row r="814" spans="1:72" s="2" customFormat="1" x14ac:dyDescent="0.4">
      <c r="A814" s="2" t="s">
        <v>72</v>
      </c>
      <c r="B814" s="2" t="s">
        <v>1740</v>
      </c>
      <c r="C814" s="2" t="s">
        <v>74</v>
      </c>
      <c r="D814" s="2" t="s">
        <v>74</v>
      </c>
      <c r="E814" s="2" t="s">
        <v>74</v>
      </c>
      <c r="F814" s="2" t="s">
        <v>1741</v>
      </c>
      <c r="G814" s="2" t="s">
        <v>74</v>
      </c>
      <c r="H814" s="2" t="s">
        <v>74</v>
      </c>
      <c r="I814" s="2" t="s">
        <v>1742</v>
      </c>
      <c r="J814" s="2" t="s">
        <v>1743</v>
      </c>
      <c r="K814" s="2" t="s">
        <v>74</v>
      </c>
      <c r="L814" s="2" t="s">
        <v>74</v>
      </c>
      <c r="M814" s="2" t="s">
        <v>74</v>
      </c>
      <c r="N814" s="2" t="s">
        <v>74</v>
      </c>
      <c r="O814" s="2" t="s">
        <v>74</v>
      </c>
      <c r="P814" s="2" t="s">
        <v>74</v>
      </c>
      <c r="Q814" s="2" t="s">
        <v>74</v>
      </c>
      <c r="R814" s="2" t="s">
        <v>74</v>
      </c>
      <c r="S814" s="2" t="s">
        <v>74</v>
      </c>
      <c r="T814" s="2" t="s">
        <v>74</v>
      </c>
      <c r="U814" s="2" t="s">
        <v>74</v>
      </c>
      <c r="V814" s="5" t="s">
        <v>1744</v>
      </c>
      <c r="W814" s="2" t="s">
        <v>74</v>
      </c>
      <c r="X814" s="2" t="s">
        <v>74</v>
      </c>
      <c r="Y814" s="2" t="s">
        <v>74</v>
      </c>
      <c r="Z814" s="2" t="s">
        <v>74</v>
      </c>
      <c r="AA814" s="2" t="s">
        <v>1745</v>
      </c>
      <c r="AB814" s="2" t="s">
        <v>74</v>
      </c>
      <c r="AC814" s="2" t="s">
        <v>74</v>
      </c>
      <c r="AD814" s="2" t="s">
        <v>74</v>
      </c>
      <c r="AE814" s="2" t="s">
        <v>74</v>
      </c>
      <c r="AF814" s="2" t="s">
        <v>74</v>
      </c>
      <c r="AG814" s="2" t="s">
        <v>74</v>
      </c>
      <c r="AH814" s="2" t="s">
        <v>74</v>
      </c>
      <c r="AI814" s="2" t="s">
        <v>74</v>
      </c>
      <c r="AJ814" s="2" t="s">
        <v>74</v>
      </c>
      <c r="AK814" s="2" t="s">
        <v>74</v>
      </c>
      <c r="AL814" s="2" t="s">
        <v>74</v>
      </c>
      <c r="AM814" s="2" t="s">
        <v>74</v>
      </c>
      <c r="AN814" s="2" t="s">
        <v>74</v>
      </c>
      <c r="AO814" s="2" t="s">
        <v>1746</v>
      </c>
      <c r="AP814" s="2" t="s">
        <v>74</v>
      </c>
      <c r="AQ814" s="2" t="s">
        <v>74</v>
      </c>
      <c r="AR814" s="2" t="s">
        <v>74</v>
      </c>
      <c r="AS814" s="2" t="s">
        <v>74</v>
      </c>
      <c r="AT814" s="2" t="s">
        <v>255</v>
      </c>
      <c r="AU814" s="2">
        <v>2008</v>
      </c>
      <c r="AV814" s="2">
        <v>25</v>
      </c>
      <c r="AW814" s="2">
        <v>1</v>
      </c>
      <c r="AX814" s="2" t="s">
        <v>74</v>
      </c>
      <c r="AY814" s="2" t="s">
        <v>74</v>
      </c>
      <c r="AZ814" s="2" t="s">
        <v>74</v>
      </c>
      <c r="BA814" s="2" t="s">
        <v>74</v>
      </c>
      <c r="BB814" s="2">
        <v>1</v>
      </c>
      <c r="BC814" s="2">
        <v>5</v>
      </c>
      <c r="BD814" s="2" t="s">
        <v>74</v>
      </c>
      <c r="BE814" s="2" t="s">
        <v>1747</v>
      </c>
      <c r="BF814" s="2" t="str">
        <f>HYPERLINK("http://dx.doi.org/10.2108/zsj.25.1","http://dx.doi.org/10.2108/zsj.25.1")</f>
        <v>http://dx.doi.org/10.2108/zsj.25.1</v>
      </c>
      <c r="BG814" s="2" t="s">
        <v>74</v>
      </c>
      <c r="BH814" s="2" t="s">
        <v>74</v>
      </c>
      <c r="BI814" s="2" t="s">
        <v>74</v>
      </c>
      <c r="BJ814" s="2" t="s">
        <v>74</v>
      </c>
      <c r="BK814" s="2" t="s">
        <v>74</v>
      </c>
      <c r="BL814" s="2" t="s">
        <v>74</v>
      </c>
      <c r="BM814" s="2" t="s">
        <v>74</v>
      </c>
      <c r="BN814" s="2">
        <v>18275238</v>
      </c>
      <c r="BO814" s="2" t="s">
        <v>74</v>
      </c>
      <c r="BP814" s="2" t="s">
        <v>74</v>
      </c>
      <c r="BQ814" s="2" t="s">
        <v>74</v>
      </c>
      <c r="BR814" s="2" t="s">
        <v>74</v>
      </c>
      <c r="BS814" s="2" t="s">
        <v>1748</v>
      </c>
      <c r="BT814" s="2" t="str">
        <f>HYPERLINK("https%3A%2F%2Fwww.webofscience.com%2Fwos%2Fwoscc%2Ffull-record%2FWOS:000256943500001","View Full Record in Web of Science")</f>
        <v>View Full Record in Web of Science</v>
      </c>
    </row>
    <row r="815" spans="1:72" s="2" customFormat="1" x14ac:dyDescent="0.4">
      <c r="A815" s="2" t="s">
        <v>72</v>
      </c>
      <c r="B815" s="2" t="s">
        <v>6175</v>
      </c>
      <c r="C815" s="2" t="s">
        <v>74</v>
      </c>
      <c r="D815" s="2" t="s">
        <v>74</v>
      </c>
      <c r="E815" s="2" t="s">
        <v>74</v>
      </c>
      <c r="F815" s="2" t="s">
        <v>6176</v>
      </c>
      <c r="G815" s="2" t="s">
        <v>74</v>
      </c>
      <c r="H815" s="2" t="s">
        <v>74</v>
      </c>
      <c r="I815" s="2" t="s">
        <v>6177</v>
      </c>
      <c r="J815" s="2" t="s">
        <v>5577</v>
      </c>
      <c r="K815" s="2" t="s">
        <v>74</v>
      </c>
      <c r="L815" s="2" t="s">
        <v>74</v>
      </c>
      <c r="M815" s="2" t="s">
        <v>74</v>
      </c>
      <c r="N815" s="2" t="s">
        <v>74</v>
      </c>
      <c r="O815" s="2" t="s">
        <v>74</v>
      </c>
      <c r="P815" s="2" t="s">
        <v>74</v>
      </c>
      <c r="Q815" s="2" t="s">
        <v>74</v>
      </c>
      <c r="R815" s="2" t="s">
        <v>74</v>
      </c>
      <c r="S815" s="2" t="s">
        <v>74</v>
      </c>
      <c r="T815" s="2" t="s">
        <v>74</v>
      </c>
      <c r="U815" s="2" t="s">
        <v>74</v>
      </c>
      <c r="V815" s="5" t="s">
        <v>6178</v>
      </c>
      <c r="W815" s="2" t="s">
        <v>74</v>
      </c>
      <c r="X815" s="2" t="s">
        <v>74</v>
      </c>
      <c r="Y815" s="2" t="s">
        <v>74</v>
      </c>
      <c r="Z815" s="2" t="s">
        <v>74</v>
      </c>
      <c r="AA815" s="2" t="s">
        <v>6179</v>
      </c>
      <c r="AB815" s="2" t="s">
        <v>6180</v>
      </c>
      <c r="AC815" s="2" t="s">
        <v>74</v>
      </c>
      <c r="AD815" s="2" t="s">
        <v>74</v>
      </c>
      <c r="AE815" s="2" t="s">
        <v>74</v>
      </c>
      <c r="AF815" s="2" t="s">
        <v>74</v>
      </c>
      <c r="AG815" s="2" t="s">
        <v>74</v>
      </c>
      <c r="AH815" s="2" t="s">
        <v>74</v>
      </c>
      <c r="AI815" s="2" t="s">
        <v>74</v>
      </c>
      <c r="AJ815" s="2" t="s">
        <v>74</v>
      </c>
      <c r="AK815" s="2" t="s">
        <v>74</v>
      </c>
      <c r="AL815" s="2" t="s">
        <v>74</v>
      </c>
      <c r="AM815" s="2" t="s">
        <v>74</v>
      </c>
      <c r="AN815" s="2" t="s">
        <v>74</v>
      </c>
      <c r="AO815" s="2" t="s">
        <v>5579</v>
      </c>
      <c r="AP815" s="2" t="s">
        <v>74</v>
      </c>
      <c r="AQ815" s="2" t="s">
        <v>74</v>
      </c>
      <c r="AR815" s="2" t="s">
        <v>74</v>
      </c>
      <c r="AS815" s="2" t="s">
        <v>74</v>
      </c>
      <c r="AT815" s="2" t="s">
        <v>255</v>
      </c>
      <c r="AU815" s="2">
        <v>2018</v>
      </c>
      <c r="AV815" s="2">
        <v>97</v>
      </c>
      <c r="AW815" s="2">
        <v>1</v>
      </c>
      <c r="AX815" s="2" t="s">
        <v>74</v>
      </c>
      <c r="AY815" s="2" t="s">
        <v>74</v>
      </c>
      <c r="AZ815" s="2" t="s">
        <v>74</v>
      </c>
      <c r="BA815" s="2" t="s">
        <v>74</v>
      </c>
      <c r="BB815" s="2">
        <v>56</v>
      </c>
      <c r="BC815" s="2">
        <v>66</v>
      </c>
      <c r="BD815" s="2" t="s">
        <v>74</v>
      </c>
      <c r="BE815" s="2" t="s">
        <v>6181</v>
      </c>
      <c r="BF815" s="2" t="str">
        <f>HYPERLINK("http://dx.doi.org/10.7868/S0044513418010051","http://dx.doi.org/10.7868/S0044513418010051")</f>
        <v>http://dx.doi.org/10.7868/S0044513418010051</v>
      </c>
      <c r="BG815" s="2" t="s">
        <v>74</v>
      </c>
      <c r="BH815" s="2" t="s">
        <v>74</v>
      </c>
      <c r="BI815" s="2" t="s">
        <v>74</v>
      </c>
      <c r="BJ815" s="2" t="s">
        <v>74</v>
      </c>
      <c r="BK815" s="2" t="s">
        <v>74</v>
      </c>
      <c r="BL815" s="2" t="s">
        <v>74</v>
      </c>
      <c r="BM815" s="2" t="s">
        <v>74</v>
      </c>
      <c r="BN815" s="2" t="s">
        <v>74</v>
      </c>
      <c r="BO815" s="2" t="s">
        <v>74</v>
      </c>
      <c r="BP815" s="2" t="s">
        <v>74</v>
      </c>
      <c r="BQ815" s="2" t="s">
        <v>74</v>
      </c>
      <c r="BR815" s="2" t="s">
        <v>74</v>
      </c>
      <c r="BS815" s="2" t="s">
        <v>6182</v>
      </c>
      <c r="BT815" s="2" t="str">
        <f>HYPERLINK("https%3A%2F%2Fwww.webofscience.com%2Fwos%2Fwoscc%2Ffull-record%2FWOS:000429884500005","View Full Record in Web of Science")</f>
        <v>View Full Record in Web of Science</v>
      </c>
    </row>
    <row r="816" spans="1:72" s="2" customFormat="1" x14ac:dyDescent="0.4">
      <c r="A816" s="2" t="s">
        <v>72</v>
      </c>
      <c r="B816" s="2" t="s">
        <v>3039</v>
      </c>
      <c r="C816" s="2" t="s">
        <v>74</v>
      </c>
      <c r="D816" s="2" t="s">
        <v>74</v>
      </c>
      <c r="E816" s="2" t="s">
        <v>74</v>
      </c>
      <c r="F816" s="2" t="s">
        <v>3040</v>
      </c>
      <c r="G816" s="2" t="s">
        <v>74</v>
      </c>
      <c r="H816" s="2" t="s">
        <v>74</v>
      </c>
      <c r="I816" s="2" t="s">
        <v>3041</v>
      </c>
      <c r="J816" s="2" t="s">
        <v>3042</v>
      </c>
      <c r="K816" s="2" t="s">
        <v>74</v>
      </c>
      <c r="L816" s="2" t="s">
        <v>74</v>
      </c>
      <c r="M816" s="2" t="s">
        <v>74</v>
      </c>
      <c r="N816" s="2" t="s">
        <v>74</v>
      </c>
      <c r="O816" s="2" t="s">
        <v>74</v>
      </c>
      <c r="P816" s="2" t="s">
        <v>74</v>
      </c>
      <c r="Q816" s="2" t="s">
        <v>74</v>
      </c>
      <c r="R816" s="2" t="s">
        <v>74</v>
      </c>
      <c r="S816" s="2" t="s">
        <v>74</v>
      </c>
      <c r="T816" s="2" t="s">
        <v>74</v>
      </c>
      <c r="U816" s="2" t="s">
        <v>74</v>
      </c>
      <c r="V816" s="5" t="s">
        <v>3043</v>
      </c>
      <c r="W816" s="2" t="s">
        <v>74</v>
      </c>
      <c r="X816" s="2" t="s">
        <v>74</v>
      </c>
      <c r="Y816" s="2" t="s">
        <v>74</v>
      </c>
      <c r="Z816" s="2" t="s">
        <v>74</v>
      </c>
      <c r="AA816" s="2" t="s">
        <v>74</v>
      </c>
      <c r="AB816" s="2" t="s">
        <v>3044</v>
      </c>
      <c r="AC816" s="2" t="s">
        <v>74</v>
      </c>
      <c r="AD816" s="2" t="s">
        <v>74</v>
      </c>
      <c r="AE816" s="2" t="s">
        <v>74</v>
      </c>
      <c r="AF816" s="2" t="s">
        <v>74</v>
      </c>
      <c r="AG816" s="2" t="s">
        <v>74</v>
      </c>
      <c r="AH816" s="2" t="s">
        <v>74</v>
      </c>
      <c r="AI816" s="2" t="s">
        <v>74</v>
      </c>
      <c r="AJ816" s="2" t="s">
        <v>74</v>
      </c>
      <c r="AK816" s="2" t="s">
        <v>74</v>
      </c>
      <c r="AL816" s="2" t="s">
        <v>74</v>
      </c>
      <c r="AM816" s="2" t="s">
        <v>74</v>
      </c>
      <c r="AN816" s="2" t="s">
        <v>74</v>
      </c>
      <c r="AO816" s="2" t="s">
        <v>1458</v>
      </c>
      <c r="AP816" s="2" t="s">
        <v>3045</v>
      </c>
      <c r="AQ816" s="2" t="s">
        <v>74</v>
      </c>
      <c r="AR816" s="2" t="s">
        <v>74</v>
      </c>
      <c r="AS816" s="2" t="s">
        <v>74</v>
      </c>
      <c r="AT816" s="2" t="s">
        <v>3046</v>
      </c>
      <c r="AU816" s="2">
        <v>2023</v>
      </c>
      <c r="AV816" s="2">
        <v>140</v>
      </c>
      <c r="AW816" s="2">
        <v>2</v>
      </c>
      <c r="AX816" s="2" t="s">
        <v>74</v>
      </c>
      <c r="AY816" s="2" t="s">
        <v>74</v>
      </c>
      <c r="AZ816" s="2" t="s">
        <v>74</v>
      </c>
      <c r="BA816" s="2" t="s">
        <v>74</v>
      </c>
      <c r="BB816" s="2" t="s">
        <v>74</v>
      </c>
      <c r="BC816" s="2" t="s">
        <v>74</v>
      </c>
      <c r="BD816" s="2" t="s">
        <v>74</v>
      </c>
      <c r="BE816" s="2" t="s">
        <v>3047</v>
      </c>
      <c r="BF816" s="2" t="str">
        <f>HYPERLINK("http://dx.doi.org/10.1093/ornithology/ukad002","http://dx.doi.org/10.1093/ornithology/ukad002")</f>
        <v>http://dx.doi.org/10.1093/ornithology/ukad002</v>
      </c>
      <c r="BG816" s="2" t="s">
        <v>74</v>
      </c>
      <c r="BH816" s="2" t="s">
        <v>3048</v>
      </c>
      <c r="BI816" s="2" t="s">
        <v>74</v>
      </c>
      <c r="BJ816" s="2" t="s">
        <v>74</v>
      </c>
      <c r="BK816" s="2" t="s">
        <v>74</v>
      </c>
      <c r="BL816" s="2" t="s">
        <v>74</v>
      </c>
      <c r="BM816" s="2" t="s">
        <v>74</v>
      </c>
      <c r="BN816" s="2" t="s">
        <v>74</v>
      </c>
      <c r="BO816" s="2" t="s">
        <v>74</v>
      </c>
      <c r="BP816" s="2" t="s">
        <v>74</v>
      </c>
      <c r="BQ816" s="2" t="s">
        <v>74</v>
      </c>
      <c r="BR816" s="2" t="s">
        <v>74</v>
      </c>
      <c r="BS816" s="2" t="s">
        <v>3049</v>
      </c>
      <c r="BT816" s="2" t="str">
        <f>HYPERLINK("https%3A%2F%2Fwww.webofscience.com%2Fwos%2Fwoscc%2Ffull-record%2FWOS:000959502700001","View Full Record in Web of Science")</f>
        <v>View Full Record in Web of Science</v>
      </c>
    </row>
    <row r="817" spans="1:72" s="2" customFormat="1" x14ac:dyDescent="0.4">
      <c r="A817" s="2" t="s">
        <v>72</v>
      </c>
      <c r="B817" s="2" t="s">
        <v>73</v>
      </c>
      <c r="C817" s="2" t="s">
        <v>74</v>
      </c>
      <c r="D817" s="2" t="s">
        <v>74</v>
      </c>
      <c r="E817" s="2" t="s">
        <v>74</v>
      </c>
      <c r="F817" s="2" t="s">
        <v>75</v>
      </c>
      <c r="G817" s="2" t="s">
        <v>74</v>
      </c>
      <c r="H817" s="2" t="s">
        <v>74</v>
      </c>
      <c r="I817" s="2" t="s">
        <v>76</v>
      </c>
      <c r="J817" s="2" t="s">
        <v>77</v>
      </c>
      <c r="K817" s="2" t="s">
        <v>74</v>
      </c>
      <c r="L817" s="2" t="s">
        <v>74</v>
      </c>
      <c r="M817" s="2" t="s">
        <v>74</v>
      </c>
      <c r="N817" s="2" t="s">
        <v>74</v>
      </c>
      <c r="O817" s="2" t="s">
        <v>74</v>
      </c>
      <c r="P817" s="2" t="s">
        <v>74</v>
      </c>
      <c r="Q817" s="2" t="s">
        <v>74</v>
      </c>
      <c r="R817" s="2" t="s">
        <v>74</v>
      </c>
      <c r="S817" s="2" t="s">
        <v>74</v>
      </c>
      <c r="T817" s="2" t="s">
        <v>74</v>
      </c>
      <c r="U817" s="2" t="s">
        <v>74</v>
      </c>
      <c r="V817" s="5" t="s">
        <v>78</v>
      </c>
      <c r="W817" s="2" t="s">
        <v>74</v>
      </c>
      <c r="X817" s="2" t="s">
        <v>74</v>
      </c>
      <c r="Y817" s="2" t="s">
        <v>74</v>
      </c>
      <c r="Z817" s="2" t="s">
        <v>74</v>
      </c>
      <c r="AA817" s="2" t="s">
        <v>79</v>
      </c>
      <c r="AB817" s="2" t="s">
        <v>80</v>
      </c>
      <c r="AC817" s="2" t="s">
        <v>74</v>
      </c>
      <c r="AD817" s="2" t="s">
        <v>74</v>
      </c>
      <c r="AE817" s="2" t="s">
        <v>74</v>
      </c>
      <c r="AF817" s="2" t="s">
        <v>74</v>
      </c>
      <c r="AG817" s="2" t="s">
        <v>74</v>
      </c>
      <c r="AH817" s="2" t="s">
        <v>74</v>
      </c>
      <c r="AI817" s="2" t="s">
        <v>74</v>
      </c>
      <c r="AJ817" s="2" t="s">
        <v>74</v>
      </c>
      <c r="AK817" s="2" t="s">
        <v>74</v>
      </c>
      <c r="AL817" s="2" t="s">
        <v>74</v>
      </c>
      <c r="AM817" s="2" t="s">
        <v>74</v>
      </c>
      <c r="AN817" s="2" t="s">
        <v>74</v>
      </c>
      <c r="AO817" s="2" t="s">
        <v>81</v>
      </c>
      <c r="AP817" s="2" t="s">
        <v>82</v>
      </c>
      <c r="AQ817" s="2" t="s">
        <v>74</v>
      </c>
      <c r="AR817" s="2" t="s">
        <v>74</v>
      </c>
      <c r="AS817" s="2" t="s">
        <v>74</v>
      </c>
      <c r="AT817" s="2" t="s">
        <v>74</v>
      </c>
      <c r="AU817" s="2">
        <v>2009</v>
      </c>
      <c r="AV817" s="2">
        <v>146</v>
      </c>
      <c r="AW817" s="2" t="s">
        <v>74</v>
      </c>
      <c r="AX817" s="2">
        <v>6</v>
      </c>
      <c r="AY817" s="2" t="s">
        <v>74</v>
      </c>
      <c r="AZ817" s="2" t="s">
        <v>74</v>
      </c>
      <c r="BA817" s="2" t="s">
        <v>74</v>
      </c>
      <c r="BB817" s="2">
        <v>741</v>
      </c>
      <c r="BC817" s="2">
        <v>756</v>
      </c>
      <c r="BD817" s="2" t="s">
        <v>74</v>
      </c>
      <c r="BE817" s="2" t="s">
        <v>83</v>
      </c>
      <c r="BF817" s="2" t="str">
        <f>HYPERLINK("http://dx.doi.org/10.1163/156853909X446181","http://dx.doi.org/10.1163/156853909X446181")</f>
        <v>http://dx.doi.org/10.1163/156853909X446181</v>
      </c>
      <c r="BG817" s="2" t="s">
        <v>74</v>
      </c>
      <c r="BH817" s="2" t="s">
        <v>74</v>
      </c>
      <c r="BI817" s="2" t="s">
        <v>74</v>
      </c>
      <c r="BJ817" s="2" t="s">
        <v>74</v>
      </c>
      <c r="BK817" s="2" t="s">
        <v>74</v>
      </c>
      <c r="BL817" s="2" t="s">
        <v>74</v>
      </c>
      <c r="BM817" s="2" t="s">
        <v>74</v>
      </c>
      <c r="BN817" s="2" t="s">
        <v>74</v>
      </c>
      <c r="BO817" s="2" t="s">
        <v>74</v>
      </c>
      <c r="BP817" s="2" t="s">
        <v>74</v>
      </c>
      <c r="BQ817" s="2" t="s">
        <v>74</v>
      </c>
      <c r="BR817" s="2" t="s">
        <v>74</v>
      </c>
      <c r="BS817" s="2" t="s">
        <v>84</v>
      </c>
      <c r="BT817" s="2" t="str">
        <f>HYPERLINK("https%3A%2F%2Fwww.webofscience.com%2Fwos%2Fwoscc%2Ffull-record%2FWOS:000267018400002","View Full Record in Web of Science")</f>
        <v>View Full Record in Web of Science</v>
      </c>
    </row>
    <row r="818" spans="1:72" s="2" customFormat="1" x14ac:dyDescent="0.4">
      <c r="A818" s="2" t="s">
        <v>72</v>
      </c>
      <c r="B818" s="2" t="s">
        <v>6919</v>
      </c>
      <c r="C818" s="2" t="s">
        <v>74</v>
      </c>
      <c r="D818" s="2" t="s">
        <v>74</v>
      </c>
      <c r="E818" s="2" t="s">
        <v>74</v>
      </c>
      <c r="F818" s="2" t="s">
        <v>6919</v>
      </c>
      <c r="G818" s="2" t="s">
        <v>74</v>
      </c>
      <c r="H818" s="2" t="s">
        <v>74</v>
      </c>
      <c r="I818" s="2" t="s">
        <v>7268</v>
      </c>
      <c r="J818" s="2" t="s">
        <v>140</v>
      </c>
      <c r="K818" s="2" t="s">
        <v>74</v>
      </c>
      <c r="L818" s="2" t="s">
        <v>74</v>
      </c>
      <c r="M818" s="2" t="s">
        <v>74</v>
      </c>
      <c r="N818" s="2" t="s">
        <v>74</v>
      </c>
      <c r="O818" s="2" t="s">
        <v>74</v>
      </c>
      <c r="P818" s="2" t="s">
        <v>74</v>
      </c>
      <c r="Q818" s="2" t="s">
        <v>74</v>
      </c>
      <c r="R818" s="2" t="s">
        <v>74</v>
      </c>
      <c r="S818" s="2" t="s">
        <v>74</v>
      </c>
      <c r="T818" s="2" t="s">
        <v>74</v>
      </c>
      <c r="U818" s="2" t="s">
        <v>74</v>
      </c>
      <c r="V818" s="5" t="s">
        <v>7269</v>
      </c>
      <c r="W818" s="2" t="s">
        <v>74</v>
      </c>
      <c r="X818" s="2" t="s">
        <v>74</v>
      </c>
      <c r="Y818" s="2" t="s">
        <v>74</v>
      </c>
      <c r="Z818" s="2" t="s">
        <v>74</v>
      </c>
      <c r="AA818" s="2" t="s">
        <v>1295</v>
      </c>
      <c r="AB818" s="2" t="s">
        <v>6922</v>
      </c>
      <c r="AC818" s="2" t="s">
        <v>74</v>
      </c>
      <c r="AD818" s="2" t="s">
        <v>74</v>
      </c>
      <c r="AE818" s="2" t="s">
        <v>74</v>
      </c>
      <c r="AF818" s="2" t="s">
        <v>74</v>
      </c>
      <c r="AG818" s="2" t="s">
        <v>74</v>
      </c>
      <c r="AH818" s="2" t="s">
        <v>74</v>
      </c>
      <c r="AI818" s="2" t="s">
        <v>74</v>
      </c>
      <c r="AJ818" s="2" t="s">
        <v>74</v>
      </c>
      <c r="AK818" s="2" t="s">
        <v>74</v>
      </c>
      <c r="AL818" s="2" t="s">
        <v>74</v>
      </c>
      <c r="AM818" s="2" t="s">
        <v>74</v>
      </c>
      <c r="AN818" s="2" t="s">
        <v>74</v>
      </c>
      <c r="AO818" s="2" t="s">
        <v>143</v>
      </c>
      <c r="AP818" s="2" t="s">
        <v>74</v>
      </c>
      <c r="AQ818" s="2" t="s">
        <v>74</v>
      </c>
      <c r="AR818" s="2" t="s">
        <v>74</v>
      </c>
      <c r="AS818" s="2" t="s">
        <v>74</v>
      </c>
      <c r="AT818" s="2" t="s">
        <v>102</v>
      </c>
      <c r="AU818" s="2">
        <v>2000</v>
      </c>
      <c r="AV818" s="2">
        <v>59</v>
      </c>
      <c r="AW818" s="2" t="s">
        <v>74</v>
      </c>
      <c r="AX818" s="2">
        <v>6</v>
      </c>
      <c r="AY818" s="2" t="s">
        <v>74</v>
      </c>
      <c r="AZ818" s="2" t="s">
        <v>74</v>
      </c>
      <c r="BA818" s="2" t="s">
        <v>74</v>
      </c>
      <c r="BB818" s="2">
        <v>1095</v>
      </c>
      <c r="BC818" s="2">
        <v>1101</v>
      </c>
      <c r="BD818" s="2" t="s">
        <v>74</v>
      </c>
      <c r="BE818" s="2" t="s">
        <v>7270</v>
      </c>
      <c r="BF818" s="2" t="str">
        <f>HYPERLINK("http://dx.doi.org/10.1006/anbe.2000.1401","http://dx.doi.org/10.1006/anbe.2000.1401")</f>
        <v>http://dx.doi.org/10.1006/anbe.2000.1401</v>
      </c>
      <c r="BG818" s="2" t="s">
        <v>74</v>
      </c>
      <c r="BH818" s="2" t="s">
        <v>74</v>
      </c>
      <c r="BI818" s="2" t="s">
        <v>74</v>
      </c>
      <c r="BJ818" s="2" t="s">
        <v>74</v>
      </c>
      <c r="BK818" s="2" t="s">
        <v>74</v>
      </c>
      <c r="BL818" s="2" t="s">
        <v>74</v>
      </c>
      <c r="BM818" s="2" t="s">
        <v>74</v>
      </c>
      <c r="BN818" s="2">
        <v>10877887</v>
      </c>
      <c r="BO818" s="2" t="s">
        <v>74</v>
      </c>
      <c r="BP818" s="2" t="s">
        <v>74</v>
      </c>
      <c r="BQ818" s="2" t="s">
        <v>74</v>
      </c>
      <c r="BR818" s="2" t="s">
        <v>74</v>
      </c>
      <c r="BS818" s="2" t="s">
        <v>7271</v>
      </c>
      <c r="BT818" s="2" t="str">
        <f>HYPERLINK("https%3A%2F%2Fwww.webofscience.com%2Fwos%2Fwoscc%2Ffull-record%2FWOS:000088220000003","View Full Record in Web of Science")</f>
        <v>View Full Record in Web of Science</v>
      </c>
    </row>
    <row r="819" spans="1:72" s="2" customFormat="1" x14ac:dyDescent="0.4">
      <c r="A819" s="2" t="s">
        <v>72</v>
      </c>
      <c r="B819" s="2" t="s">
        <v>8584</v>
      </c>
      <c r="C819" s="2" t="s">
        <v>74</v>
      </c>
      <c r="D819" s="2" t="s">
        <v>74</v>
      </c>
      <c r="E819" s="2" t="s">
        <v>74</v>
      </c>
      <c r="F819" s="2" t="s">
        <v>8584</v>
      </c>
      <c r="G819" s="2" t="s">
        <v>74</v>
      </c>
      <c r="H819" s="2" t="s">
        <v>74</v>
      </c>
      <c r="I819" s="2" t="s">
        <v>8585</v>
      </c>
      <c r="J819" s="2" t="s">
        <v>1112</v>
      </c>
      <c r="K819" s="2" t="s">
        <v>74</v>
      </c>
      <c r="L819" s="2" t="s">
        <v>74</v>
      </c>
      <c r="M819" s="2" t="s">
        <v>74</v>
      </c>
      <c r="N819" s="2" t="s">
        <v>74</v>
      </c>
      <c r="O819" s="2" t="s">
        <v>74</v>
      </c>
      <c r="P819" s="2" t="s">
        <v>74</v>
      </c>
      <c r="Q819" s="2" t="s">
        <v>74</v>
      </c>
      <c r="R819" s="2" t="s">
        <v>74</v>
      </c>
      <c r="S819" s="2" t="s">
        <v>74</v>
      </c>
      <c r="T819" s="2" t="s">
        <v>74</v>
      </c>
      <c r="U819" s="2" t="s">
        <v>74</v>
      </c>
      <c r="V819" s="5" t="s">
        <v>8586</v>
      </c>
      <c r="W819" s="2" t="s">
        <v>74</v>
      </c>
      <c r="X819" s="2" t="s">
        <v>74</v>
      </c>
      <c r="Y819" s="2" t="s">
        <v>74</v>
      </c>
      <c r="Z819" s="2" t="s">
        <v>74</v>
      </c>
      <c r="AA819" s="2" t="s">
        <v>74</v>
      </c>
      <c r="AB819" s="2" t="s">
        <v>8587</v>
      </c>
      <c r="AC819" s="2" t="s">
        <v>74</v>
      </c>
      <c r="AD819" s="2" t="s">
        <v>74</v>
      </c>
      <c r="AE819" s="2" t="s">
        <v>74</v>
      </c>
      <c r="AF819" s="2" t="s">
        <v>74</v>
      </c>
      <c r="AG819" s="2" t="s">
        <v>74</v>
      </c>
      <c r="AH819" s="2" t="s">
        <v>74</v>
      </c>
      <c r="AI819" s="2" t="s">
        <v>74</v>
      </c>
      <c r="AJ819" s="2" t="s">
        <v>74</v>
      </c>
      <c r="AK819" s="2" t="s">
        <v>74</v>
      </c>
      <c r="AL819" s="2" t="s">
        <v>74</v>
      </c>
      <c r="AM819" s="2" t="s">
        <v>74</v>
      </c>
      <c r="AN819" s="2" t="s">
        <v>74</v>
      </c>
      <c r="AO819" s="2" t="s">
        <v>1114</v>
      </c>
      <c r="AP819" s="2" t="s">
        <v>74</v>
      </c>
      <c r="AQ819" s="2" t="s">
        <v>74</v>
      </c>
      <c r="AR819" s="2" t="s">
        <v>74</v>
      </c>
      <c r="AS819" s="2" t="s">
        <v>74</v>
      </c>
      <c r="AT819" s="2" t="s">
        <v>8588</v>
      </c>
      <c r="AU819" s="2">
        <v>2000</v>
      </c>
      <c r="AV819" s="2">
        <v>67</v>
      </c>
      <c r="AW819" s="2">
        <v>4</v>
      </c>
      <c r="AX819" s="2" t="s">
        <v>74</v>
      </c>
      <c r="AY819" s="2" t="s">
        <v>74</v>
      </c>
      <c r="AZ819" s="2" t="s">
        <v>74</v>
      </c>
      <c r="BA819" s="2" t="s">
        <v>74</v>
      </c>
      <c r="BB819" s="2">
        <v>307</v>
      </c>
      <c r="BC819" s="2">
        <v>320</v>
      </c>
      <c r="BD819" s="2" t="s">
        <v>74</v>
      </c>
      <c r="BE819" s="2" t="s">
        <v>8589</v>
      </c>
      <c r="BF819" s="2" t="str">
        <f>HYPERLINK("http://dx.doi.org/10.1016/S0168-1591(99)00123-9","http://dx.doi.org/10.1016/S0168-1591(99)00123-9")</f>
        <v>http://dx.doi.org/10.1016/S0168-1591(99)00123-9</v>
      </c>
      <c r="BG819" s="2" t="s">
        <v>74</v>
      </c>
      <c r="BH819" s="2" t="s">
        <v>74</v>
      </c>
      <c r="BI819" s="2" t="s">
        <v>74</v>
      </c>
      <c r="BJ819" s="2" t="s">
        <v>74</v>
      </c>
      <c r="BK819" s="2" t="s">
        <v>74</v>
      </c>
      <c r="BL819" s="2" t="s">
        <v>74</v>
      </c>
      <c r="BM819" s="2" t="s">
        <v>74</v>
      </c>
      <c r="BN819" s="2">
        <v>10760610</v>
      </c>
      <c r="BO819" s="2" t="s">
        <v>74</v>
      </c>
      <c r="BP819" s="2" t="s">
        <v>74</v>
      </c>
      <c r="BQ819" s="2" t="s">
        <v>74</v>
      </c>
      <c r="BR819" s="2" t="s">
        <v>74</v>
      </c>
      <c r="BS819" s="2" t="s">
        <v>8590</v>
      </c>
      <c r="BT819" s="2" t="str">
        <f>HYPERLINK("https%3A%2F%2Fwww.webofscience.com%2Fwos%2Fwoscc%2Ffull-record%2FWOS:000086528100004","View Full Record in Web of Science")</f>
        <v>View Full Record in Web of Science</v>
      </c>
    </row>
    <row r="820" spans="1:72" s="2" customFormat="1" x14ac:dyDescent="0.4">
      <c r="A820" s="2" t="s">
        <v>72</v>
      </c>
      <c r="B820" s="2" t="s">
        <v>7784</v>
      </c>
      <c r="C820" s="2" t="s">
        <v>74</v>
      </c>
      <c r="D820" s="2" t="s">
        <v>74</v>
      </c>
      <c r="E820" s="2" t="s">
        <v>74</v>
      </c>
      <c r="F820" s="2" t="s">
        <v>7785</v>
      </c>
      <c r="G820" s="2" t="s">
        <v>74</v>
      </c>
      <c r="H820" s="2" t="s">
        <v>74</v>
      </c>
      <c r="I820" s="2" t="s">
        <v>7786</v>
      </c>
      <c r="J820" s="2" t="s">
        <v>5937</v>
      </c>
      <c r="K820" s="2" t="s">
        <v>74</v>
      </c>
      <c r="L820" s="2" t="s">
        <v>74</v>
      </c>
      <c r="M820" s="2" t="s">
        <v>74</v>
      </c>
      <c r="N820" s="2" t="s">
        <v>74</v>
      </c>
      <c r="O820" s="2" t="s">
        <v>74</v>
      </c>
      <c r="P820" s="2" t="s">
        <v>74</v>
      </c>
      <c r="Q820" s="2" t="s">
        <v>74</v>
      </c>
      <c r="R820" s="2" t="s">
        <v>74</v>
      </c>
      <c r="S820" s="2" t="s">
        <v>74</v>
      </c>
      <c r="T820" s="2" t="s">
        <v>74</v>
      </c>
      <c r="U820" s="2" t="s">
        <v>74</v>
      </c>
      <c r="V820" s="5" t="s">
        <v>7787</v>
      </c>
      <c r="W820" s="2" t="s">
        <v>74</v>
      </c>
      <c r="X820" s="2" t="s">
        <v>74</v>
      </c>
      <c r="Y820" s="2" t="s">
        <v>74</v>
      </c>
      <c r="Z820" s="2" t="s">
        <v>74</v>
      </c>
      <c r="AA820" s="2" t="s">
        <v>7788</v>
      </c>
      <c r="AB820" s="2" t="s">
        <v>7789</v>
      </c>
      <c r="AC820" s="2" t="s">
        <v>74</v>
      </c>
      <c r="AD820" s="2" t="s">
        <v>74</v>
      </c>
      <c r="AE820" s="2" t="s">
        <v>74</v>
      </c>
      <c r="AF820" s="2" t="s">
        <v>74</v>
      </c>
      <c r="AG820" s="2" t="s">
        <v>74</v>
      </c>
      <c r="AH820" s="2" t="s">
        <v>74</v>
      </c>
      <c r="AI820" s="2" t="s">
        <v>74</v>
      </c>
      <c r="AJ820" s="2" t="s">
        <v>74</v>
      </c>
      <c r="AK820" s="2" t="s">
        <v>74</v>
      </c>
      <c r="AL820" s="2" t="s">
        <v>74</v>
      </c>
      <c r="AM820" s="2" t="s">
        <v>74</v>
      </c>
      <c r="AN820" s="2" t="s">
        <v>74</v>
      </c>
      <c r="AO820" s="2" t="s">
        <v>5941</v>
      </c>
      <c r="AP820" s="2" t="s">
        <v>74</v>
      </c>
      <c r="AQ820" s="2" t="s">
        <v>74</v>
      </c>
      <c r="AR820" s="2" t="s">
        <v>74</v>
      </c>
      <c r="AS820" s="2" t="s">
        <v>74</v>
      </c>
      <c r="AT820" s="2" t="s">
        <v>134</v>
      </c>
      <c r="AU820" s="2">
        <v>2020</v>
      </c>
      <c r="AV820" s="2">
        <v>10</v>
      </c>
      <c r="AW820" s="2">
        <v>5</v>
      </c>
      <c r="AX820" s="2" t="s">
        <v>74</v>
      </c>
      <c r="AY820" s="2" t="s">
        <v>74</v>
      </c>
      <c r="AZ820" s="2" t="s">
        <v>74</v>
      </c>
      <c r="BA820" s="2" t="s">
        <v>74</v>
      </c>
      <c r="BB820" s="2" t="s">
        <v>74</v>
      </c>
      <c r="BC820" s="2" t="s">
        <v>74</v>
      </c>
      <c r="BD820" s="2">
        <v>755</v>
      </c>
      <c r="BE820" s="2" t="s">
        <v>7790</v>
      </c>
      <c r="BF820" s="2" t="str">
        <f>HYPERLINK("http://dx.doi.org/10.3390/ani10050755","http://dx.doi.org/10.3390/ani10050755")</f>
        <v>http://dx.doi.org/10.3390/ani10050755</v>
      </c>
      <c r="BG820" s="2" t="s">
        <v>74</v>
      </c>
      <c r="BH820" s="2" t="s">
        <v>74</v>
      </c>
      <c r="BI820" s="2" t="s">
        <v>74</v>
      </c>
      <c r="BJ820" s="2" t="s">
        <v>74</v>
      </c>
      <c r="BK820" s="2" t="s">
        <v>74</v>
      </c>
      <c r="BL820" s="2" t="s">
        <v>74</v>
      </c>
      <c r="BM820" s="2" t="s">
        <v>74</v>
      </c>
      <c r="BN820" s="2">
        <v>32357412</v>
      </c>
      <c r="BO820" s="2" t="s">
        <v>74</v>
      </c>
      <c r="BP820" s="2" t="s">
        <v>74</v>
      </c>
      <c r="BQ820" s="2" t="s">
        <v>74</v>
      </c>
      <c r="BR820" s="2" t="s">
        <v>74</v>
      </c>
      <c r="BS820" s="2" t="s">
        <v>7791</v>
      </c>
      <c r="BT820" s="2" t="str">
        <f>HYPERLINK("https%3A%2F%2Fwww.webofscience.com%2Fwos%2Fwoscc%2Ffull-record%2FWOS:000540228300006","View Full Record in Web of Science")</f>
        <v>View Full Record in Web of Science</v>
      </c>
    </row>
    <row r="821" spans="1:72" s="2" customFormat="1" x14ac:dyDescent="0.4">
      <c r="A821" s="2" t="s">
        <v>72</v>
      </c>
      <c r="B821" s="2" t="s">
        <v>5177</v>
      </c>
      <c r="C821" s="2" t="s">
        <v>74</v>
      </c>
      <c r="D821" s="2" t="s">
        <v>74</v>
      </c>
      <c r="E821" s="2" t="s">
        <v>74</v>
      </c>
      <c r="F821" s="2" t="s">
        <v>5178</v>
      </c>
      <c r="G821" s="2" t="s">
        <v>74</v>
      </c>
      <c r="H821" s="2" t="s">
        <v>74</v>
      </c>
      <c r="I821" s="2" t="s">
        <v>5179</v>
      </c>
      <c r="J821" s="2" t="s">
        <v>5180</v>
      </c>
      <c r="K821" s="2" t="s">
        <v>74</v>
      </c>
      <c r="L821" s="2" t="s">
        <v>74</v>
      </c>
      <c r="M821" s="2" t="s">
        <v>74</v>
      </c>
      <c r="N821" s="2" t="s">
        <v>74</v>
      </c>
      <c r="O821" s="2" t="s">
        <v>74</v>
      </c>
      <c r="P821" s="2" t="s">
        <v>74</v>
      </c>
      <c r="Q821" s="2" t="s">
        <v>74</v>
      </c>
      <c r="R821" s="2" t="s">
        <v>74</v>
      </c>
      <c r="S821" s="2" t="s">
        <v>74</v>
      </c>
      <c r="T821" s="2" t="s">
        <v>74</v>
      </c>
      <c r="U821" s="2" t="s">
        <v>74</v>
      </c>
      <c r="V821" s="5" t="s">
        <v>5181</v>
      </c>
      <c r="W821" s="2" t="s">
        <v>74</v>
      </c>
      <c r="X821" s="2" t="s">
        <v>74</v>
      </c>
      <c r="Y821" s="2" t="s">
        <v>74</v>
      </c>
      <c r="Z821" s="2" t="s">
        <v>74</v>
      </c>
      <c r="AA821" s="2" t="s">
        <v>5182</v>
      </c>
      <c r="AB821" s="2" t="s">
        <v>5183</v>
      </c>
      <c r="AC821" s="2" t="s">
        <v>74</v>
      </c>
      <c r="AD821" s="2" t="s">
        <v>74</v>
      </c>
      <c r="AE821" s="2" t="s">
        <v>74</v>
      </c>
      <c r="AF821" s="2" t="s">
        <v>74</v>
      </c>
      <c r="AG821" s="2" t="s">
        <v>74</v>
      </c>
      <c r="AH821" s="2" t="s">
        <v>74</v>
      </c>
      <c r="AI821" s="2" t="s">
        <v>74</v>
      </c>
      <c r="AJ821" s="2" t="s">
        <v>74</v>
      </c>
      <c r="AK821" s="2" t="s">
        <v>74</v>
      </c>
      <c r="AL821" s="2" t="s">
        <v>74</v>
      </c>
      <c r="AM821" s="2" t="s">
        <v>74</v>
      </c>
      <c r="AN821" s="2" t="s">
        <v>74</v>
      </c>
      <c r="AO821" s="2" t="s">
        <v>5184</v>
      </c>
      <c r="AP821" s="2" t="s">
        <v>5185</v>
      </c>
      <c r="AQ821" s="2" t="s">
        <v>74</v>
      </c>
      <c r="AR821" s="2" t="s">
        <v>74</v>
      </c>
      <c r="AS821" s="2" t="s">
        <v>74</v>
      </c>
      <c r="AT821" s="2" t="s">
        <v>145</v>
      </c>
      <c r="AU821" s="2">
        <v>2021</v>
      </c>
      <c r="AV821" s="2">
        <v>40</v>
      </c>
      <c r="AW821" s="2">
        <v>2</v>
      </c>
      <c r="AX821" s="2" t="s">
        <v>74</v>
      </c>
      <c r="AY821" s="2" t="s">
        <v>74</v>
      </c>
      <c r="AZ821" s="2" t="s">
        <v>74</v>
      </c>
      <c r="BA821" s="2" t="s">
        <v>74</v>
      </c>
      <c r="BB821" s="2">
        <v>182</v>
      </c>
      <c r="BC821" s="2">
        <v>189</v>
      </c>
      <c r="BD821" s="2" t="s">
        <v>74</v>
      </c>
      <c r="BE821" s="2" t="s">
        <v>5186</v>
      </c>
      <c r="BF821" s="2" t="str">
        <f>HYPERLINK("http://dx.doi.org/10.5358/hsj.40.182","http://dx.doi.org/10.5358/hsj.40.182")</f>
        <v>http://dx.doi.org/10.5358/hsj.40.182</v>
      </c>
      <c r="BG821" s="2" t="s">
        <v>74</v>
      </c>
      <c r="BH821" s="2" t="s">
        <v>74</v>
      </c>
      <c r="BI821" s="2" t="s">
        <v>74</v>
      </c>
      <c r="BJ821" s="2" t="s">
        <v>74</v>
      </c>
      <c r="BK821" s="2" t="s">
        <v>74</v>
      </c>
      <c r="BL821" s="2" t="s">
        <v>74</v>
      </c>
      <c r="BM821" s="2" t="s">
        <v>74</v>
      </c>
      <c r="BN821" s="2" t="s">
        <v>74</v>
      </c>
      <c r="BO821" s="2" t="s">
        <v>74</v>
      </c>
      <c r="BP821" s="2" t="s">
        <v>74</v>
      </c>
      <c r="BQ821" s="2" t="s">
        <v>74</v>
      </c>
      <c r="BR821" s="2" t="s">
        <v>74</v>
      </c>
      <c r="BS821" s="2" t="s">
        <v>5187</v>
      </c>
      <c r="BT821" s="2" t="str">
        <f>HYPERLINK("https%3A%2F%2Fwww.webofscience.com%2Fwos%2Fwoscc%2Ffull-record%2FWOS:000697316900008","View Full Record in Web of Science")</f>
        <v>View Full Record in Web of Science</v>
      </c>
    </row>
    <row r="822" spans="1:72" s="2" customFormat="1" x14ac:dyDescent="0.4">
      <c r="A822" s="2" t="s">
        <v>72</v>
      </c>
      <c r="B822" s="2" t="s">
        <v>2245</v>
      </c>
      <c r="C822" s="2" t="s">
        <v>74</v>
      </c>
      <c r="D822" s="2" t="s">
        <v>74</v>
      </c>
      <c r="E822" s="2" t="s">
        <v>74</v>
      </c>
      <c r="F822" s="2" t="s">
        <v>2246</v>
      </c>
      <c r="G822" s="2" t="s">
        <v>74</v>
      </c>
      <c r="H822" s="2" t="s">
        <v>74</v>
      </c>
      <c r="I822" s="2" t="s">
        <v>2247</v>
      </c>
      <c r="J822" s="2" t="s">
        <v>2248</v>
      </c>
      <c r="K822" s="2" t="s">
        <v>74</v>
      </c>
      <c r="L822" s="2" t="s">
        <v>74</v>
      </c>
      <c r="M822" s="2" t="s">
        <v>74</v>
      </c>
      <c r="N822" s="2" t="s">
        <v>74</v>
      </c>
      <c r="O822" s="2" t="s">
        <v>74</v>
      </c>
      <c r="P822" s="2" t="s">
        <v>74</v>
      </c>
      <c r="Q822" s="2" t="s">
        <v>74</v>
      </c>
      <c r="R822" s="2" t="s">
        <v>74</v>
      </c>
      <c r="S822" s="2" t="s">
        <v>74</v>
      </c>
      <c r="T822" s="2" t="s">
        <v>74</v>
      </c>
      <c r="U822" s="2" t="s">
        <v>74</v>
      </c>
      <c r="V822" s="5" t="s">
        <v>2249</v>
      </c>
      <c r="W822" s="2" t="s">
        <v>74</v>
      </c>
      <c r="X822" s="2" t="s">
        <v>74</v>
      </c>
      <c r="Y822" s="2" t="s">
        <v>74</v>
      </c>
      <c r="Z822" s="2" t="s">
        <v>74</v>
      </c>
      <c r="AA822" s="2" t="s">
        <v>74</v>
      </c>
      <c r="AB822" s="2" t="s">
        <v>2250</v>
      </c>
      <c r="AC822" s="2" t="s">
        <v>74</v>
      </c>
      <c r="AD822" s="2" t="s">
        <v>74</v>
      </c>
      <c r="AE822" s="2" t="s">
        <v>74</v>
      </c>
      <c r="AF822" s="2" t="s">
        <v>74</v>
      </c>
      <c r="AG822" s="2" t="s">
        <v>74</v>
      </c>
      <c r="AH822" s="2" t="s">
        <v>74</v>
      </c>
      <c r="AI822" s="2" t="s">
        <v>74</v>
      </c>
      <c r="AJ822" s="2" t="s">
        <v>74</v>
      </c>
      <c r="AK822" s="2" t="s">
        <v>74</v>
      </c>
      <c r="AL822" s="2" t="s">
        <v>74</v>
      </c>
      <c r="AM822" s="2" t="s">
        <v>74</v>
      </c>
      <c r="AN822" s="2" t="s">
        <v>74</v>
      </c>
      <c r="AO822" s="2" t="s">
        <v>2251</v>
      </c>
      <c r="AP822" s="2" t="s">
        <v>2252</v>
      </c>
      <c r="AQ822" s="2" t="s">
        <v>74</v>
      </c>
      <c r="AR822" s="2" t="s">
        <v>74</v>
      </c>
      <c r="AS822" s="2" t="s">
        <v>74</v>
      </c>
      <c r="AT822" s="2" t="s">
        <v>74</v>
      </c>
      <c r="AU822" s="2">
        <v>2011</v>
      </c>
      <c r="AV822" s="2">
        <v>14</v>
      </c>
      <c r="AW822" s="2">
        <v>4</v>
      </c>
      <c r="AX822" s="2" t="s">
        <v>74</v>
      </c>
      <c r="AY822" s="2" t="s">
        <v>74</v>
      </c>
      <c r="AZ822" s="2" t="s">
        <v>74</v>
      </c>
      <c r="BA822" s="2" t="s">
        <v>74</v>
      </c>
      <c r="BB822" s="2">
        <v>340</v>
      </c>
      <c r="BC822" s="2">
        <v>360</v>
      </c>
      <c r="BD822" s="2" t="s">
        <v>74</v>
      </c>
      <c r="BE822" s="2" t="s">
        <v>2253</v>
      </c>
      <c r="BF822" s="2" t="str">
        <f>HYPERLINK("http://dx.doi.org/10.1080/10888705.2011.600664","http://dx.doi.org/10.1080/10888705.2011.600664")</f>
        <v>http://dx.doi.org/10.1080/10888705.2011.600664</v>
      </c>
      <c r="BG822" s="2" t="s">
        <v>74</v>
      </c>
      <c r="BH822" s="2" t="s">
        <v>74</v>
      </c>
      <c r="BI822" s="2" t="s">
        <v>74</v>
      </c>
      <c r="BJ822" s="2" t="s">
        <v>74</v>
      </c>
      <c r="BK822" s="2" t="s">
        <v>74</v>
      </c>
      <c r="BL822" s="2" t="s">
        <v>74</v>
      </c>
      <c r="BM822" s="2" t="s">
        <v>74</v>
      </c>
      <c r="BN822" s="2">
        <v>21932947</v>
      </c>
      <c r="BO822" s="2" t="s">
        <v>74</v>
      </c>
      <c r="BP822" s="2" t="s">
        <v>74</v>
      </c>
      <c r="BQ822" s="2" t="s">
        <v>74</v>
      </c>
      <c r="BR822" s="2" t="s">
        <v>74</v>
      </c>
      <c r="BS822" s="2" t="s">
        <v>2254</v>
      </c>
      <c r="BT822" s="2" t="str">
        <f>HYPERLINK("https%3A%2F%2Fwww.webofscience.com%2Fwos%2Fwoscc%2Ffull-record%2FWOS:000296232000005","View Full Record in Web of Science")</f>
        <v>View Full Record in Web of Science</v>
      </c>
    </row>
    <row r="823" spans="1:72" s="1" customFormat="1" x14ac:dyDescent="0.4">
      <c r="A823" s="2" t="s">
        <v>72</v>
      </c>
      <c r="B823" s="2" t="s">
        <v>5752</v>
      </c>
      <c r="C823" s="2" t="s">
        <v>74</v>
      </c>
      <c r="D823" s="2" t="s">
        <v>74</v>
      </c>
      <c r="E823" s="2" t="s">
        <v>74</v>
      </c>
      <c r="F823" s="2" t="s">
        <v>5753</v>
      </c>
      <c r="G823" s="2" t="s">
        <v>74</v>
      </c>
      <c r="H823" s="2" t="s">
        <v>74</v>
      </c>
      <c r="I823" s="2" t="s">
        <v>5754</v>
      </c>
      <c r="J823" s="2" t="s">
        <v>192</v>
      </c>
      <c r="K823" s="2" t="s">
        <v>74</v>
      </c>
      <c r="L823" s="2" t="s">
        <v>74</v>
      </c>
      <c r="M823" s="2" t="s">
        <v>74</v>
      </c>
      <c r="N823" s="2" t="s">
        <v>74</v>
      </c>
      <c r="O823" s="2" t="s">
        <v>74</v>
      </c>
      <c r="P823" s="2" t="s">
        <v>74</v>
      </c>
      <c r="Q823" s="2" t="s">
        <v>74</v>
      </c>
      <c r="R823" s="2" t="s">
        <v>74</v>
      </c>
      <c r="S823" s="2" t="s">
        <v>74</v>
      </c>
      <c r="T823" s="2" t="s">
        <v>74</v>
      </c>
      <c r="U823" s="2" t="s">
        <v>74</v>
      </c>
      <c r="V823" s="5" t="s">
        <v>5755</v>
      </c>
      <c r="W823" s="2" t="s">
        <v>74</v>
      </c>
      <c r="X823" s="2" t="s">
        <v>74</v>
      </c>
      <c r="Y823" s="2" t="s">
        <v>74</v>
      </c>
      <c r="Z823" s="2" t="s">
        <v>74</v>
      </c>
      <c r="AA823" s="2" t="s">
        <v>5756</v>
      </c>
      <c r="AB823" s="2" t="s">
        <v>5757</v>
      </c>
      <c r="AC823" s="2" t="s">
        <v>74</v>
      </c>
      <c r="AD823" s="2" t="s">
        <v>74</v>
      </c>
      <c r="AE823" s="2" t="s">
        <v>74</v>
      </c>
      <c r="AF823" s="2" t="s">
        <v>74</v>
      </c>
      <c r="AG823" s="2" t="s">
        <v>74</v>
      </c>
      <c r="AH823" s="2" t="s">
        <v>74</v>
      </c>
      <c r="AI823" s="2" t="s">
        <v>74</v>
      </c>
      <c r="AJ823" s="2" t="s">
        <v>74</v>
      </c>
      <c r="AK823" s="2" t="s">
        <v>74</v>
      </c>
      <c r="AL823" s="2" t="s">
        <v>74</v>
      </c>
      <c r="AM823" s="2" t="s">
        <v>74</v>
      </c>
      <c r="AN823" s="2" t="s">
        <v>74</v>
      </c>
      <c r="AO823" s="2" t="s">
        <v>195</v>
      </c>
      <c r="AP823" s="2" t="s">
        <v>196</v>
      </c>
      <c r="AQ823" s="2" t="s">
        <v>74</v>
      </c>
      <c r="AR823" s="2" t="s">
        <v>74</v>
      </c>
      <c r="AS823" s="2" t="s">
        <v>74</v>
      </c>
      <c r="AT823" s="2" t="s">
        <v>633</v>
      </c>
      <c r="AU823" s="2">
        <v>2015</v>
      </c>
      <c r="AV823" s="2">
        <v>748</v>
      </c>
      <c r="AW823" s="2">
        <v>1</v>
      </c>
      <c r="AX823" s="2" t="s">
        <v>74</v>
      </c>
      <c r="AY823" s="2" t="s">
        <v>74</v>
      </c>
      <c r="AZ823" s="2" t="s">
        <v>74</v>
      </c>
      <c r="BA823" s="2" t="s">
        <v>74</v>
      </c>
      <c r="BB823" s="2">
        <v>233</v>
      </c>
      <c r="BC823" s="2">
        <v>257</v>
      </c>
      <c r="BD823" s="2" t="s">
        <v>74</v>
      </c>
      <c r="BE823" s="2" t="s">
        <v>5758</v>
      </c>
      <c r="BF823" s="2" t="str">
        <f>HYPERLINK("http://dx.doi.org/10.1007/s10750-014-2081-4","http://dx.doi.org/10.1007/s10750-014-2081-4")</f>
        <v>http://dx.doi.org/10.1007/s10750-014-2081-4</v>
      </c>
      <c r="BG823" s="2" t="s">
        <v>74</v>
      </c>
      <c r="BH823" s="2" t="s">
        <v>74</v>
      </c>
      <c r="BI823" s="2" t="s">
        <v>74</v>
      </c>
      <c r="BJ823" s="2" t="s">
        <v>74</v>
      </c>
      <c r="BK823" s="2" t="s">
        <v>74</v>
      </c>
      <c r="BL823" s="2" t="s">
        <v>74</v>
      </c>
      <c r="BM823" s="2" t="s">
        <v>74</v>
      </c>
      <c r="BN823" s="2" t="s">
        <v>74</v>
      </c>
      <c r="BO823" s="2" t="s">
        <v>74</v>
      </c>
      <c r="BP823" s="2" t="s">
        <v>74</v>
      </c>
      <c r="BQ823" s="2" t="s">
        <v>74</v>
      </c>
      <c r="BR823" s="2" t="s">
        <v>74</v>
      </c>
      <c r="BS823" s="2" t="s">
        <v>5759</v>
      </c>
      <c r="BT823" s="2" t="str">
        <f>HYPERLINK("https%3A%2F%2Fwww.webofscience.com%2Fwos%2Fwoscc%2Ffull-record%2FWOS:000349968000016","View Full Record in Web of Science")</f>
        <v>View Full Record in Web of Science</v>
      </c>
    </row>
    <row r="824" spans="1:72" s="2" customFormat="1" x14ac:dyDescent="0.4">
      <c r="A824" s="2" t="s">
        <v>72</v>
      </c>
      <c r="B824" s="2" t="s">
        <v>4686</v>
      </c>
      <c r="C824" s="2" t="s">
        <v>74</v>
      </c>
      <c r="D824" s="2" t="s">
        <v>74</v>
      </c>
      <c r="E824" s="2" t="s">
        <v>74</v>
      </c>
      <c r="F824" s="2" t="s">
        <v>4687</v>
      </c>
      <c r="G824" s="2" t="s">
        <v>74</v>
      </c>
      <c r="H824" s="2" t="s">
        <v>74</v>
      </c>
      <c r="I824" s="2" t="s">
        <v>4688</v>
      </c>
      <c r="J824" s="2" t="s">
        <v>576</v>
      </c>
      <c r="K824" s="2" t="s">
        <v>74</v>
      </c>
      <c r="L824" s="2" t="s">
        <v>74</v>
      </c>
      <c r="M824" s="2" t="s">
        <v>74</v>
      </c>
      <c r="N824" s="2" t="s">
        <v>74</v>
      </c>
      <c r="O824" s="2" t="s">
        <v>74</v>
      </c>
      <c r="P824" s="2" t="s">
        <v>74</v>
      </c>
      <c r="Q824" s="2" t="s">
        <v>74</v>
      </c>
      <c r="R824" s="2" t="s">
        <v>74</v>
      </c>
      <c r="S824" s="2" t="s">
        <v>74</v>
      </c>
      <c r="T824" s="2" t="s">
        <v>74</v>
      </c>
      <c r="U824" s="2" t="s">
        <v>74</v>
      </c>
      <c r="V824" s="5" t="s">
        <v>4689</v>
      </c>
      <c r="W824" s="2" t="s">
        <v>74</v>
      </c>
      <c r="X824" s="2" t="s">
        <v>74</v>
      </c>
      <c r="Y824" s="2" t="s">
        <v>74</v>
      </c>
      <c r="Z824" s="2" t="s">
        <v>74</v>
      </c>
      <c r="AA824" s="2" t="s">
        <v>74</v>
      </c>
      <c r="AB824" s="2" t="s">
        <v>4690</v>
      </c>
      <c r="AC824" s="2" t="s">
        <v>74</v>
      </c>
      <c r="AD824" s="2" t="s">
        <v>74</v>
      </c>
      <c r="AE824" s="2" t="s">
        <v>74</v>
      </c>
      <c r="AF824" s="2" t="s">
        <v>74</v>
      </c>
      <c r="AG824" s="2" t="s">
        <v>74</v>
      </c>
      <c r="AH824" s="2" t="s">
        <v>74</v>
      </c>
      <c r="AI824" s="2" t="s">
        <v>74</v>
      </c>
      <c r="AJ824" s="2" t="s">
        <v>74</v>
      </c>
      <c r="AK824" s="2" t="s">
        <v>74</v>
      </c>
      <c r="AL824" s="2" t="s">
        <v>74</v>
      </c>
      <c r="AM824" s="2" t="s">
        <v>74</v>
      </c>
      <c r="AN824" s="2" t="s">
        <v>74</v>
      </c>
      <c r="AO824" s="2" t="s">
        <v>579</v>
      </c>
      <c r="AP824" s="2" t="s">
        <v>580</v>
      </c>
      <c r="AQ824" s="2" t="s">
        <v>74</v>
      </c>
      <c r="AR824" s="2" t="s">
        <v>74</v>
      </c>
      <c r="AS824" s="2" t="s">
        <v>74</v>
      </c>
      <c r="AT824" s="2" t="s">
        <v>204</v>
      </c>
      <c r="AU824" s="2">
        <v>2010</v>
      </c>
      <c r="AV824" s="2">
        <v>24</v>
      </c>
      <c r="AW824" s="2">
        <v>4</v>
      </c>
      <c r="AX824" s="2" t="s">
        <v>74</v>
      </c>
      <c r="AY824" s="2" t="s">
        <v>74</v>
      </c>
      <c r="AZ824" s="2" t="s">
        <v>74</v>
      </c>
      <c r="BA824" s="2" t="s">
        <v>74</v>
      </c>
      <c r="BB824" s="2">
        <v>731</v>
      </c>
      <c r="BC824" s="2">
        <v>748</v>
      </c>
      <c r="BD824" s="2" t="s">
        <v>74</v>
      </c>
      <c r="BE824" s="2" t="s">
        <v>4691</v>
      </c>
      <c r="BF824" s="2" t="str">
        <f>HYPERLINK("http://dx.doi.org/10.1007/s10682-009-9330-4","http://dx.doi.org/10.1007/s10682-009-9330-4")</f>
        <v>http://dx.doi.org/10.1007/s10682-009-9330-4</v>
      </c>
      <c r="BG824" s="2" t="s">
        <v>74</v>
      </c>
      <c r="BH824" s="2" t="s">
        <v>74</v>
      </c>
      <c r="BI824" s="2" t="s">
        <v>74</v>
      </c>
      <c r="BJ824" s="2" t="s">
        <v>74</v>
      </c>
      <c r="BK824" s="2" t="s">
        <v>74</v>
      </c>
      <c r="BL824" s="2" t="s">
        <v>74</v>
      </c>
      <c r="BM824" s="2" t="s">
        <v>74</v>
      </c>
      <c r="BN824" s="2" t="s">
        <v>74</v>
      </c>
      <c r="BO824" s="2" t="s">
        <v>74</v>
      </c>
      <c r="BP824" s="2" t="s">
        <v>74</v>
      </c>
      <c r="BQ824" s="2" t="s">
        <v>74</v>
      </c>
      <c r="BR824" s="2" t="s">
        <v>74</v>
      </c>
      <c r="BS824" s="2" t="s">
        <v>4692</v>
      </c>
      <c r="BT824" s="2" t="str">
        <f>HYPERLINK("https%3A%2F%2Fwww.webofscience.com%2Fwos%2Fwoscc%2Ffull-record%2FWOS:000278833400007","View Full Record in Web of Science")</f>
        <v>View Full Record in Web of Science</v>
      </c>
    </row>
    <row r="825" spans="1:72" s="2" customFormat="1" x14ac:dyDescent="0.4">
      <c r="A825" s="2" t="s">
        <v>72</v>
      </c>
      <c r="B825" s="2" t="s">
        <v>5490</v>
      </c>
      <c r="C825" s="2" t="s">
        <v>74</v>
      </c>
      <c r="D825" s="2" t="s">
        <v>74</v>
      </c>
      <c r="E825" s="2" t="s">
        <v>74</v>
      </c>
      <c r="F825" s="2" t="s">
        <v>5491</v>
      </c>
      <c r="G825" s="2" t="s">
        <v>74</v>
      </c>
      <c r="H825" s="2" t="s">
        <v>74</v>
      </c>
      <c r="I825" s="2" t="s">
        <v>5492</v>
      </c>
      <c r="J825" s="2" t="s">
        <v>408</v>
      </c>
      <c r="K825" s="2" t="s">
        <v>74</v>
      </c>
      <c r="L825" s="2" t="s">
        <v>74</v>
      </c>
      <c r="M825" s="2" t="s">
        <v>74</v>
      </c>
      <c r="N825" s="2" t="s">
        <v>74</v>
      </c>
      <c r="O825" s="2" t="s">
        <v>74</v>
      </c>
      <c r="P825" s="2" t="s">
        <v>74</v>
      </c>
      <c r="Q825" s="2" t="s">
        <v>74</v>
      </c>
      <c r="R825" s="2" t="s">
        <v>74</v>
      </c>
      <c r="S825" s="2" t="s">
        <v>74</v>
      </c>
      <c r="T825" s="2" t="s">
        <v>74</v>
      </c>
      <c r="U825" s="2" t="s">
        <v>74</v>
      </c>
      <c r="V825" s="5" t="s">
        <v>5493</v>
      </c>
      <c r="W825" s="2" t="s">
        <v>74</v>
      </c>
      <c r="X825" s="2" t="s">
        <v>74</v>
      </c>
      <c r="Y825" s="2" t="s">
        <v>74</v>
      </c>
      <c r="Z825" s="2" t="s">
        <v>74</v>
      </c>
      <c r="AA825" s="2" t="s">
        <v>74</v>
      </c>
      <c r="AB825" s="2" t="s">
        <v>5494</v>
      </c>
      <c r="AC825" s="2" t="s">
        <v>74</v>
      </c>
      <c r="AD825" s="2" t="s">
        <v>74</v>
      </c>
      <c r="AE825" s="2" t="s">
        <v>74</v>
      </c>
      <c r="AF825" s="2" t="s">
        <v>74</v>
      </c>
      <c r="AG825" s="2" t="s">
        <v>74</v>
      </c>
      <c r="AH825" s="2" t="s">
        <v>74</v>
      </c>
      <c r="AI825" s="2" t="s">
        <v>74</v>
      </c>
      <c r="AJ825" s="2" t="s">
        <v>74</v>
      </c>
      <c r="AK825" s="2" t="s">
        <v>74</v>
      </c>
      <c r="AL825" s="2" t="s">
        <v>74</v>
      </c>
      <c r="AM825" s="2" t="s">
        <v>74</v>
      </c>
      <c r="AN825" s="2" t="s">
        <v>74</v>
      </c>
      <c r="AO825" s="2" t="s">
        <v>412</v>
      </c>
      <c r="AP825" s="2" t="s">
        <v>413</v>
      </c>
      <c r="AQ825" s="2" t="s">
        <v>74</v>
      </c>
      <c r="AR825" s="2" t="s">
        <v>74</v>
      </c>
      <c r="AS825" s="2" t="s">
        <v>74</v>
      </c>
      <c r="AT825" s="2" t="s">
        <v>5495</v>
      </c>
      <c r="AU825" s="2">
        <v>2022</v>
      </c>
      <c r="AV825" s="2">
        <v>135</v>
      </c>
      <c r="AW825" s="2">
        <v>3</v>
      </c>
      <c r="AX825" s="2" t="s">
        <v>74</v>
      </c>
      <c r="AY825" s="2" t="s">
        <v>74</v>
      </c>
      <c r="AZ825" s="2" t="s">
        <v>74</v>
      </c>
      <c r="BA825" s="2" t="s">
        <v>74</v>
      </c>
      <c r="BB825" s="2">
        <v>447</v>
      </c>
      <c r="BC825" s="2">
        <v>461</v>
      </c>
      <c r="BD825" s="2" t="s">
        <v>74</v>
      </c>
      <c r="BE825" s="2" t="s">
        <v>5496</v>
      </c>
      <c r="BF825" s="2" t="str">
        <f>HYPERLINK("http://dx.doi.org/10.1093/biolinnean/blab166","http://dx.doi.org/10.1093/biolinnean/blab166")</f>
        <v>http://dx.doi.org/10.1093/biolinnean/blab166</v>
      </c>
      <c r="BG825" s="2" t="s">
        <v>74</v>
      </c>
      <c r="BH825" s="2" t="s">
        <v>5497</v>
      </c>
      <c r="BI825" s="2" t="s">
        <v>74</v>
      </c>
      <c r="BJ825" s="2" t="s">
        <v>74</v>
      </c>
      <c r="BK825" s="2" t="s">
        <v>74</v>
      </c>
      <c r="BL825" s="2" t="s">
        <v>74</v>
      </c>
      <c r="BM825" s="2" t="s">
        <v>74</v>
      </c>
      <c r="BN825" s="2" t="s">
        <v>74</v>
      </c>
      <c r="BO825" s="2" t="s">
        <v>74</v>
      </c>
      <c r="BP825" s="2" t="s">
        <v>74</v>
      </c>
      <c r="BQ825" s="2" t="s">
        <v>74</v>
      </c>
      <c r="BR825" s="2" t="s">
        <v>74</v>
      </c>
      <c r="BS825" s="2" t="s">
        <v>5498</v>
      </c>
      <c r="BT825" s="2" t="str">
        <f>HYPERLINK("https%3A%2F%2Fwww.webofscience.com%2Fwos%2Fwoscc%2Ffull-record%2FWOS:000754842400003","View Full Record in Web of Science")</f>
        <v>View Full Record in Web of Science</v>
      </c>
    </row>
    <row r="826" spans="1:72" s="2" customFormat="1" x14ac:dyDescent="0.4">
      <c r="A826" s="2" t="s">
        <v>72</v>
      </c>
      <c r="B826" s="2" t="s">
        <v>8082</v>
      </c>
      <c r="C826" s="2" t="s">
        <v>74</v>
      </c>
      <c r="D826" s="2" t="s">
        <v>74</v>
      </c>
      <c r="E826" s="2" t="s">
        <v>74</v>
      </c>
      <c r="F826" s="2" t="s">
        <v>8083</v>
      </c>
      <c r="G826" s="2" t="s">
        <v>74</v>
      </c>
      <c r="H826" s="2" t="s">
        <v>74</v>
      </c>
      <c r="I826" s="2" t="s">
        <v>8084</v>
      </c>
      <c r="J826" s="2" t="s">
        <v>691</v>
      </c>
      <c r="K826" s="2" t="s">
        <v>74</v>
      </c>
      <c r="L826" s="2" t="s">
        <v>74</v>
      </c>
      <c r="M826" s="2" t="s">
        <v>74</v>
      </c>
      <c r="N826" s="2" t="s">
        <v>74</v>
      </c>
      <c r="O826" s="2" t="s">
        <v>74</v>
      </c>
      <c r="P826" s="2" t="s">
        <v>74</v>
      </c>
      <c r="Q826" s="2" t="s">
        <v>74</v>
      </c>
      <c r="R826" s="2" t="s">
        <v>74</v>
      </c>
      <c r="S826" s="2" t="s">
        <v>74</v>
      </c>
      <c r="T826" s="2" t="s">
        <v>74</v>
      </c>
      <c r="U826" s="2" t="s">
        <v>74</v>
      </c>
      <c r="V826" s="5" t="s">
        <v>8085</v>
      </c>
      <c r="W826" s="2" t="s">
        <v>74</v>
      </c>
      <c r="X826" s="2" t="s">
        <v>74</v>
      </c>
      <c r="Y826" s="2" t="s">
        <v>74</v>
      </c>
      <c r="Z826" s="2" t="s">
        <v>74</v>
      </c>
      <c r="AA826" s="2" t="s">
        <v>3355</v>
      </c>
      <c r="AB826" s="2" t="s">
        <v>3356</v>
      </c>
      <c r="AC826" s="2" t="s">
        <v>74</v>
      </c>
      <c r="AD826" s="2" t="s">
        <v>74</v>
      </c>
      <c r="AE826" s="2" t="s">
        <v>74</v>
      </c>
      <c r="AF826" s="2" t="s">
        <v>74</v>
      </c>
      <c r="AG826" s="2" t="s">
        <v>74</v>
      </c>
      <c r="AH826" s="2" t="s">
        <v>74</v>
      </c>
      <c r="AI826" s="2" t="s">
        <v>74</v>
      </c>
      <c r="AJ826" s="2" t="s">
        <v>74</v>
      </c>
      <c r="AK826" s="2" t="s">
        <v>74</v>
      </c>
      <c r="AL826" s="2" t="s">
        <v>74</v>
      </c>
      <c r="AM826" s="2" t="s">
        <v>74</v>
      </c>
      <c r="AN826" s="2" t="s">
        <v>74</v>
      </c>
      <c r="AO826" s="2" t="s">
        <v>695</v>
      </c>
      <c r="AP826" s="2" t="s">
        <v>74</v>
      </c>
      <c r="AQ826" s="2" t="s">
        <v>74</v>
      </c>
      <c r="AR826" s="2" t="s">
        <v>74</v>
      </c>
      <c r="AS826" s="2" t="s">
        <v>74</v>
      </c>
      <c r="AT826" s="2" t="s">
        <v>113</v>
      </c>
      <c r="AU826" s="2">
        <v>2007</v>
      </c>
      <c r="AV826" s="2">
        <v>91</v>
      </c>
      <c r="AW826" s="2">
        <v>5</v>
      </c>
      <c r="AX826" s="2" t="s">
        <v>74</v>
      </c>
      <c r="AY826" s="2" t="s">
        <v>74</v>
      </c>
      <c r="AZ826" s="2" t="s">
        <v>74</v>
      </c>
      <c r="BA826" s="2" t="s">
        <v>74</v>
      </c>
      <c r="BB826" s="2">
        <v>531</v>
      </c>
      <c r="BC826" s="2">
        <v>534</v>
      </c>
      <c r="BD826" s="2" t="s">
        <v>74</v>
      </c>
      <c r="BE826" s="2" t="s">
        <v>8086</v>
      </c>
      <c r="BF826" s="2" t="str">
        <f>HYPERLINK("http://dx.doi.org/10.1016/j.physbeh.2007.04.025","http://dx.doi.org/10.1016/j.physbeh.2007.04.025")</f>
        <v>http://dx.doi.org/10.1016/j.physbeh.2007.04.025</v>
      </c>
      <c r="BG826" s="2" t="s">
        <v>74</v>
      </c>
      <c r="BH826" s="2" t="s">
        <v>74</v>
      </c>
      <c r="BI826" s="2" t="s">
        <v>74</v>
      </c>
      <c r="BJ826" s="2" t="s">
        <v>74</v>
      </c>
      <c r="BK826" s="2" t="s">
        <v>74</v>
      </c>
      <c r="BL826" s="2" t="s">
        <v>74</v>
      </c>
      <c r="BM826" s="2" t="s">
        <v>74</v>
      </c>
      <c r="BN826" s="2">
        <v>17521685</v>
      </c>
      <c r="BO826" s="2" t="s">
        <v>74</v>
      </c>
      <c r="BP826" s="2" t="s">
        <v>74</v>
      </c>
      <c r="BQ826" s="2" t="s">
        <v>74</v>
      </c>
      <c r="BR826" s="2" t="s">
        <v>74</v>
      </c>
      <c r="BS826" s="2" t="s">
        <v>8087</v>
      </c>
      <c r="BT826" s="2" t="str">
        <f>HYPERLINK("https%3A%2F%2Fwww.webofscience.com%2Fwos%2Fwoscc%2Ffull-record%2FWOS:000249944700009","View Full Record in Web of Science")</f>
        <v>View Full Record in Web of Science</v>
      </c>
    </row>
    <row r="827" spans="1:72" s="2" customFormat="1" x14ac:dyDescent="0.4">
      <c r="A827" s="2" t="s">
        <v>72</v>
      </c>
      <c r="B827" s="2" t="s">
        <v>1516</v>
      </c>
      <c r="C827" s="2" t="s">
        <v>74</v>
      </c>
      <c r="D827" s="2" t="s">
        <v>74</v>
      </c>
      <c r="E827" s="2" t="s">
        <v>74</v>
      </c>
      <c r="F827" s="2" t="s">
        <v>1517</v>
      </c>
      <c r="G827" s="2" t="s">
        <v>74</v>
      </c>
      <c r="H827" s="2" t="s">
        <v>74</v>
      </c>
      <c r="I827" s="2" t="s">
        <v>1518</v>
      </c>
      <c r="J827" s="2" t="s">
        <v>763</v>
      </c>
      <c r="K827" s="2" t="s">
        <v>74</v>
      </c>
      <c r="L827" s="2" t="s">
        <v>74</v>
      </c>
      <c r="M827" s="2" t="s">
        <v>74</v>
      </c>
      <c r="N827" s="2" t="s">
        <v>74</v>
      </c>
      <c r="O827" s="2" t="s">
        <v>74</v>
      </c>
      <c r="P827" s="2" t="s">
        <v>74</v>
      </c>
      <c r="Q827" s="2" t="s">
        <v>74</v>
      </c>
      <c r="R827" s="2" t="s">
        <v>74</v>
      </c>
      <c r="S827" s="2" t="s">
        <v>74</v>
      </c>
      <c r="T827" s="2" t="s">
        <v>74</v>
      </c>
      <c r="U827" s="2" t="s">
        <v>74</v>
      </c>
      <c r="V827" s="5" t="s">
        <v>1519</v>
      </c>
      <c r="W827" s="2" t="s">
        <v>74</v>
      </c>
      <c r="X827" s="2" t="s">
        <v>74</v>
      </c>
      <c r="Y827" s="2" t="s">
        <v>74</v>
      </c>
      <c r="Z827" s="2" t="s">
        <v>74</v>
      </c>
      <c r="AA827" s="2" t="s">
        <v>1520</v>
      </c>
      <c r="AB827" s="2" t="s">
        <v>1521</v>
      </c>
      <c r="AC827" s="2" t="s">
        <v>74</v>
      </c>
      <c r="AD827" s="2" t="s">
        <v>74</v>
      </c>
      <c r="AE827" s="2" t="s">
        <v>74</v>
      </c>
      <c r="AF827" s="2" t="s">
        <v>74</v>
      </c>
      <c r="AG827" s="2" t="s">
        <v>74</v>
      </c>
      <c r="AH827" s="2" t="s">
        <v>74</v>
      </c>
      <c r="AI827" s="2" t="s">
        <v>74</v>
      </c>
      <c r="AJ827" s="2" t="s">
        <v>74</v>
      </c>
      <c r="AK827" s="2" t="s">
        <v>74</v>
      </c>
      <c r="AL827" s="2" t="s">
        <v>74</v>
      </c>
      <c r="AM827" s="2" t="s">
        <v>74</v>
      </c>
      <c r="AN827" s="2" t="s">
        <v>74</v>
      </c>
      <c r="AO827" s="2" t="s">
        <v>767</v>
      </c>
      <c r="AP827" s="2" t="s">
        <v>74</v>
      </c>
      <c r="AQ827" s="2" t="s">
        <v>74</v>
      </c>
      <c r="AR827" s="2" t="s">
        <v>74</v>
      </c>
      <c r="AS827" s="2" t="s">
        <v>74</v>
      </c>
      <c r="AT827" s="2" t="s">
        <v>964</v>
      </c>
      <c r="AU827" s="2">
        <v>2012</v>
      </c>
      <c r="AV827" s="2">
        <v>215</v>
      </c>
      <c r="AW827" s="2">
        <v>4</v>
      </c>
      <c r="AX827" s="2" t="s">
        <v>74</v>
      </c>
      <c r="AY827" s="2" t="s">
        <v>74</v>
      </c>
      <c r="AZ827" s="2" t="s">
        <v>74</v>
      </c>
      <c r="BA827" s="2" t="s">
        <v>74</v>
      </c>
      <c r="BB827" s="2">
        <v>575</v>
      </c>
      <c r="BC827" s="2">
        <v>577</v>
      </c>
      <c r="BD827" s="2" t="s">
        <v>74</v>
      </c>
      <c r="BE827" s="2" t="s">
        <v>1522</v>
      </c>
      <c r="BF827" s="2" t="str">
        <f>HYPERLINK("http://dx.doi.org/10.1242/jeb.059352","http://dx.doi.org/10.1242/jeb.059352")</f>
        <v>http://dx.doi.org/10.1242/jeb.059352</v>
      </c>
      <c r="BG827" s="2" t="s">
        <v>74</v>
      </c>
      <c r="BH827" s="2" t="s">
        <v>74</v>
      </c>
      <c r="BI827" s="2" t="s">
        <v>74</v>
      </c>
      <c r="BJ827" s="2" t="s">
        <v>74</v>
      </c>
      <c r="BK827" s="2" t="s">
        <v>74</v>
      </c>
      <c r="BL827" s="2" t="s">
        <v>74</v>
      </c>
      <c r="BM827" s="2" t="s">
        <v>74</v>
      </c>
      <c r="BN827" s="2">
        <v>22279063</v>
      </c>
      <c r="BO827" s="2" t="s">
        <v>74</v>
      </c>
      <c r="BP827" s="2" t="s">
        <v>74</v>
      </c>
      <c r="BQ827" s="2" t="s">
        <v>74</v>
      </c>
      <c r="BR827" s="2" t="s">
        <v>74</v>
      </c>
      <c r="BS827" s="2" t="s">
        <v>1523</v>
      </c>
      <c r="BT827" s="2" t="str">
        <f>HYPERLINK("https%3A%2F%2Fwww.webofscience.com%2Fwos%2Fwoscc%2Ffull-record%2FWOS:000300185900006","View Full Record in Web of Science")</f>
        <v>View Full Record in Web of Science</v>
      </c>
    </row>
    <row r="828" spans="1:72" s="2" customFormat="1" x14ac:dyDescent="0.4">
      <c r="A828" s="2" t="s">
        <v>72</v>
      </c>
      <c r="B828" s="2" t="s">
        <v>4121</v>
      </c>
      <c r="C828" s="2" t="s">
        <v>74</v>
      </c>
      <c r="D828" s="2" t="s">
        <v>74</v>
      </c>
      <c r="E828" s="2" t="s">
        <v>74</v>
      </c>
      <c r="F828" s="2" t="s">
        <v>4122</v>
      </c>
      <c r="G828" s="2" t="s">
        <v>74</v>
      </c>
      <c r="H828" s="2" t="s">
        <v>74</v>
      </c>
      <c r="I828" s="2" t="s">
        <v>4123</v>
      </c>
      <c r="J828" s="2" t="s">
        <v>140</v>
      </c>
      <c r="K828" s="2" t="s">
        <v>74</v>
      </c>
      <c r="L828" s="2" t="s">
        <v>74</v>
      </c>
      <c r="M828" s="2" t="s">
        <v>74</v>
      </c>
      <c r="N828" s="2" t="s">
        <v>74</v>
      </c>
      <c r="O828" s="2" t="s">
        <v>74</v>
      </c>
      <c r="P828" s="2" t="s">
        <v>74</v>
      </c>
      <c r="Q828" s="2" t="s">
        <v>74</v>
      </c>
      <c r="R828" s="2" t="s">
        <v>74</v>
      </c>
      <c r="S828" s="2" t="s">
        <v>74</v>
      </c>
      <c r="T828" s="2" t="s">
        <v>74</v>
      </c>
      <c r="U828" s="2" t="s">
        <v>74</v>
      </c>
      <c r="V828" s="5" t="s">
        <v>4124</v>
      </c>
      <c r="W828" s="2" t="s">
        <v>74</v>
      </c>
      <c r="X828" s="2" t="s">
        <v>74</v>
      </c>
      <c r="Y828" s="2" t="s">
        <v>74</v>
      </c>
      <c r="Z828" s="2" t="s">
        <v>74</v>
      </c>
      <c r="AA828" s="2" t="s">
        <v>4125</v>
      </c>
      <c r="AB828" s="2" t="s">
        <v>4126</v>
      </c>
      <c r="AC828" s="2" t="s">
        <v>74</v>
      </c>
      <c r="AD828" s="2" t="s">
        <v>74</v>
      </c>
      <c r="AE828" s="2" t="s">
        <v>74</v>
      </c>
      <c r="AF828" s="2" t="s">
        <v>74</v>
      </c>
      <c r="AG828" s="2" t="s">
        <v>74</v>
      </c>
      <c r="AH828" s="2" t="s">
        <v>74</v>
      </c>
      <c r="AI828" s="2" t="s">
        <v>74</v>
      </c>
      <c r="AJ828" s="2" t="s">
        <v>74</v>
      </c>
      <c r="AK828" s="2" t="s">
        <v>74</v>
      </c>
      <c r="AL828" s="2" t="s">
        <v>74</v>
      </c>
      <c r="AM828" s="2" t="s">
        <v>74</v>
      </c>
      <c r="AN828" s="2" t="s">
        <v>74</v>
      </c>
      <c r="AO828" s="2" t="s">
        <v>143</v>
      </c>
      <c r="AP828" s="2" t="s">
        <v>144</v>
      </c>
      <c r="AQ828" s="2" t="s">
        <v>74</v>
      </c>
      <c r="AR828" s="2" t="s">
        <v>74</v>
      </c>
      <c r="AS828" s="2" t="s">
        <v>74</v>
      </c>
      <c r="AT828" s="2" t="s">
        <v>964</v>
      </c>
      <c r="AU828" s="2">
        <v>2009</v>
      </c>
      <c r="AV828" s="2">
        <v>77</v>
      </c>
      <c r="AW828" s="2">
        <v>2</v>
      </c>
      <c r="AX828" s="2" t="s">
        <v>74</v>
      </c>
      <c r="AY828" s="2" t="s">
        <v>74</v>
      </c>
      <c r="AZ828" s="2" t="s">
        <v>74</v>
      </c>
      <c r="BA828" s="2" t="s">
        <v>74</v>
      </c>
      <c r="BB828" s="2">
        <v>419</v>
      </c>
      <c r="BC828" s="2">
        <v>424</v>
      </c>
      <c r="BD828" s="2" t="s">
        <v>74</v>
      </c>
      <c r="BE828" s="2" t="s">
        <v>4127</v>
      </c>
      <c r="BF828" s="2" t="str">
        <f>HYPERLINK("http://dx.doi.org/10.1016/j.anbehav.2008.10.017","http://dx.doi.org/10.1016/j.anbehav.2008.10.017")</f>
        <v>http://dx.doi.org/10.1016/j.anbehav.2008.10.017</v>
      </c>
      <c r="BG828" s="2" t="s">
        <v>74</v>
      </c>
      <c r="BH828" s="2" t="s">
        <v>74</v>
      </c>
      <c r="BI828" s="2" t="s">
        <v>74</v>
      </c>
      <c r="BJ828" s="2" t="s">
        <v>74</v>
      </c>
      <c r="BK828" s="2" t="s">
        <v>74</v>
      </c>
      <c r="BL828" s="2" t="s">
        <v>74</v>
      </c>
      <c r="BM828" s="2" t="s">
        <v>74</v>
      </c>
      <c r="BN828" s="2" t="s">
        <v>74</v>
      </c>
      <c r="BO828" s="2" t="s">
        <v>74</v>
      </c>
      <c r="BP828" s="2" t="s">
        <v>74</v>
      </c>
      <c r="BQ828" s="2" t="s">
        <v>74</v>
      </c>
      <c r="BR828" s="2" t="s">
        <v>74</v>
      </c>
      <c r="BS828" s="2" t="s">
        <v>4128</v>
      </c>
      <c r="BT828" s="2" t="str">
        <f>HYPERLINK("https%3A%2F%2Fwww.webofscience.com%2Fwos%2Fwoscc%2Ffull-record%2FWOS:000262709400018","View Full Record in Web of Science")</f>
        <v>View Full Record in Web of Science</v>
      </c>
    </row>
    <row r="829" spans="1:72" s="2" customFormat="1" x14ac:dyDescent="0.4">
      <c r="A829" s="2" t="s">
        <v>72</v>
      </c>
      <c r="B829" s="2" t="s">
        <v>7412</v>
      </c>
      <c r="C829" s="2" t="s">
        <v>74</v>
      </c>
      <c r="D829" s="2" t="s">
        <v>74</v>
      </c>
      <c r="E829" s="2" t="s">
        <v>74</v>
      </c>
      <c r="F829" s="2" t="s">
        <v>7413</v>
      </c>
      <c r="G829" s="2" t="s">
        <v>74</v>
      </c>
      <c r="H829" s="2" t="s">
        <v>74</v>
      </c>
      <c r="I829" s="2" t="s">
        <v>7414</v>
      </c>
      <c r="J829" s="2" t="s">
        <v>5454</v>
      </c>
      <c r="K829" s="2" t="s">
        <v>74</v>
      </c>
      <c r="L829" s="2" t="s">
        <v>74</v>
      </c>
      <c r="M829" s="2" t="s">
        <v>74</v>
      </c>
      <c r="N829" s="2" t="s">
        <v>74</v>
      </c>
      <c r="O829" s="2" t="s">
        <v>74</v>
      </c>
      <c r="P829" s="2" t="s">
        <v>74</v>
      </c>
      <c r="Q829" s="2" t="s">
        <v>74</v>
      </c>
      <c r="R829" s="2" t="s">
        <v>74</v>
      </c>
      <c r="S829" s="2" t="s">
        <v>74</v>
      </c>
      <c r="T829" s="2" t="s">
        <v>74</v>
      </c>
      <c r="U829" s="2" t="s">
        <v>74</v>
      </c>
      <c r="V829" s="5" t="s">
        <v>7415</v>
      </c>
      <c r="W829" s="2" t="s">
        <v>74</v>
      </c>
      <c r="X829" s="2" t="s">
        <v>74</v>
      </c>
      <c r="Y829" s="2" t="s">
        <v>74</v>
      </c>
      <c r="Z829" s="2" t="s">
        <v>74</v>
      </c>
      <c r="AA829" s="2" t="s">
        <v>74</v>
      </c>
      <c r="AB829" s="2" t="s">
        <v>74</v>
      </c>
      <c r="AC829" s="2" t="s">
        <v>74</v>
      </c>
      <c r="AD829" s="2" t="s">
        <v>74</v>
      </c>
      <c r="AE829" s="2" t="s">
        <v>74</v>
      </c>
      <c r="AF829" s="2" t="s">
        <v>74</v>
      </c>
      <c r="AG829" s="2" t="s">
        <v>74</v>
      </c>
      <c r="AH829" s="2" t="s">
        <v>74</v>
      </c>
      <c r="AI829" s="2" t="s">
        <v>74</v>
      </c>
      <c r="AJ829" s="2" t="s">
        <v>74</v>
      </c>
      <c r="AK829" s="2" t="s">
        <v>74</v>
      </c>
      <c r="AL829" s="2" t="s">
        <v>74</v>
      </c>
      <c r="AM829" s="2" t="s">
        <v>74</v>
      </c>
      <c r="AN829" s="2" t="s">
        <v>74</v>
      </c>
      <c r="AO829" s="2" t="s">
        <v>5458</v>
      </c>
      <c r="AP829" s="2" t="s">
        <v>7416</v>
      </c>
      <c r="AQ829" s="2" t="s">
        <v>74</v>
      </c>
      <c r="AR829" s="2" t="s">
        <v>74</v>
      </c>
      <c r="AS829" s="2" t="s">
        <v>74</v>
      </c>
      <c r="AT829" s="2" t="s">
        <v>102</v>
      </c>
      <c r="AU829" s="2">
        <v>2021</v>
      </c>
      <c r="AV829" s="2">
        <v>96</v>
      </c>
      <c r="AW829" s="2" t="s">
        <v>74</v>
      </c>
      <c r="AX829" s="2" t="s">
        <v>74</v>
      </c>
      <c r="AY829" s="2" t="s">
        <v>74</v>
      </c>
      <c r="AZ829" s="2" t="s">
        <v>74</v>
      </c>
      <c r="BA829" s="2" t="s">
        <v>74</v>
      </c>
      <c r="BB829" s="2" t="s">
        <v>74</v>
      </c>
      <c r="BC829" s="2" t="s">
        <v>74</v>
      </c>
      <c r="BD829" s="2">
        <v>104265</v>
      </c>
      <c r="BE829" s="2" t="s">
        <v>7417</v>
      </c>
      <c r="BF829" s="2" t="str">
        <f>HYPERLINK("http://dx.doi.org/10.1016/j.bse.2021.104265","http://dx.doi.org/10.1016/j.bse.2021.104265")</f>
        <v>http://dx.doi.org/10.1016/j.bse.2021.104265</v>
      </c>
      <c r="BG829" s="2" t="s">
        <v>74</v>
      </c>
      <c r="BH829" s="2" t="s">
        <v>236</v>
      </c>
      <c r="BI829" s="2" t="s">
        <v>74</v>
      </c>
      <c r="BJ829" s="2" t="s">
        <v>74</v>
      </c>
      <c r="BK829" s="2" t="s">
        <v>74</v>
      </c>
      <c r="BL829" s="2" t="s">
        <v>74</v>
      </c>
      <c r="BM829" s="2" t="s">
        <v>74</v>
      </c>
      <c r="BN829" s="2" t="s">
        <v>74</v>
      </c>
      <c r="BO829" s="2" t="s">
        <v>74</v>
      </c>
      <c r="BP829" s="2" t="s">
        <v>74</v>
      </c>
      <c r="BQ829" s="2" t="s">
        <v>74</v>
      </c>
      <c r="BR829" s="2" t="s">
        <v>74</v>
      </c>
      <c r="BS829" s="2" t="s">
        <v>7418</v>
      </c>
      <c r="BT829" s="2" t="str">
        <f>HYPERLINK("https%3A%2F%2Fwww.webofscience.com%2Fwos%2Fwoscc%2Ffull-record%2FWOS:000653443100011","View Full Record in Web of Science")</f>
        <v>View Full Record in Web of Science</v>
      </c>
    </row>
    <row r="830" spans="1:72" s="2" customFormat="1" x14ac:dyDescent="0.4">
      <c r="A830" s="2" t="s">
        <v>72</v>
      </c>
      <c r="B830" s="2" t="s">
        <v>4014</v>
      </c>
      <c r="C830" s="2" t="s">
        <v>74</v>
      </c>
      <c r="D830" s="2" t="s">
        <v>74</v>
      </c>
      <c r="E830" s="2" t="s">
        <v>74</v>
      </c>
      <c r="F830" s="2" t="s">
        <v>4015</v>
      </c>
      <c r="G830" s="2" t="s">
        <v>74</v>
      </c>
      <c r="H830" s="2" t="s">
        <v>74</v>
      </c>
      <c r="I830" s="2" t="s">
        <v>4016</v>
      </c>
      <c r="J830" s="2" t="s">
        <v>610</v>
      </c>
      <c r="K830" s="2" t="s">
        <v>74</v>
      </c>
      <c r="L830" s="2" t="s">
        <v>74</v>
      </c>
      <c r="M830" s="2" t="s">
        <v>74</v>
      </c>
      <c r="N830" s="2" t="s">
        <v>74</v>
      </c>
      <c r="O830" s="2" t="s">
        <v>74</v>
      </c>
      <c r="P830" s="2" t="s">
        <v>74</v>
      </c>
      <c r="Q830" s="2" t="s">
        <v>74</v>
      </c>
      <c r="R830" s="2" t="s">
        <v>74</v>
      </c>
      <c r="S830" s="2" t="s">
        <v>74</v>
      </c>
      <c r="T830" s="2" t="s">
        <v>74</v>
      </c>
      <c r="U830" s="2" t="s">
        <v>74</v>
      </c>
      <c r="V830" s="5" t="s">
        <v>4017</v>
      </c>
      <c r="W830" s="2" t="s">
        <v>74</v>
      </c>
      <c r="X830" s="2" t="s">
        <v>74</v>
      </c>
      <c r="Y830" s="2" t="s">
        <v>74</v>
      </c>
      <c r="Z830" s="2" t="s">
        <v>74</v>
      </c>
      <c r="AA830" s="2" t="s">
        <v>74</v>
      </c>
      <c r="AB830" s="2" t="s">
        <v>4018</v>
      </c>
      <c r="AC830" s="2" t="s">
        <v>74</v>
      </c>
      <c r="AD830" s="2" t="s">
        <v>74</v>
      </c>
      <c r="AE830" s="2" t="s">
        <v>74</v>
      </c>
      <c r="AF830" s="2" t="s">
        <v>74</v>
      </c>
      <c r="AG830" s="2" t="s">
        <v>74</v>
      </c>
      <c r="AH830" s="2" t="s">
        <v>74</v>
      </c>
      <c r="AI830" s="2" t="s">
        <v>74</v>
      </c>
      <c r="AJ830" s="2" t="s">
        <v>74</v>
      </c>
      <c r="AK830" s="2" t="s">
        <v>74</v>
      </c>
      <c r="AL830" s="2" t="s">
        <v>74</v>
      </c>
      <c r="AM830" s="2" t="s">
        <v>74</v>
      </c>
      <c r="AN830" s="2" t="s">
        <v>74</v>
      </c>
      <c r="AO830" s="2" t="s">
        <v>614</v>
      </c>
      <c r="AP830" s="2" t="s">
        <v>615</v>
      </c>
      <c r="AQ830" s="2" t="s">
        <v>74</v>
      </c>
      <c r="AR830" s="2" t="s">
        <v>74</v>
      </c>
      <c r="AS830" s="2" t="s">
        <v>74</v>
      </c>
      <c r="AT830" s="2" t="s">
        <v>352</v>
      </c>
      <c r="AU830" s="2">
        <v>2018</v>
      </c>
      <c r="AV830" s="2">
        <v>124</v>
      </c>
      <c r="AW830" s="2">
        <v>9</v>
      </c>
      <c r="AX830" s="2" t="s">
        <v>74</v>
      </c>
      <c r="AY830" s="2" t="s">
        <v>74</v>
      </c>
      <c r="AZ830" s="2" t="s">
        <v>74</v>
      </c>
      <c r="BA830" s="2" t="s">
        <v>74</v>
      </c>
      <c r="BB830" s="2">
        <v>684</v>
      </c>
      <c r="BC830" s="2">
        <v>690</v>
      </c>
      <c r="BD830" s="2" t="s">
        <v>74</v>
      </c>
      <c r="BE830" s="2" t="s">
        <v>4019</v>
      </c>
      <c r="BF830" s="2" t="str">
        <f>HYPERLINK("http://dx.doi.org/10.1111/eth.12801","http://dx.doi.org/10.1111/eth.12801")</f>
        <v>http://dx.doi.org/10.1111/eth.12801</v>
      </c>
      <c r="BG830" s="2" t="s">
        <v>74</v>
      </c>
      <c r="BH830" s="2" t="s">
        <v>74</v>
      </c>
      <c r="BI830" s="2" t="s">
        <v>74</v>
      </c>
      <c r="BJ830" s="2" t="s">
        <v>74</v>
      </c>
      <c r="BK830" s="2" t="s">
        <v>74</v>
      </c>
      <c r="BL830" s="2" t="s">
        <v>74</v>
      </c>
      <c r="BM830" s="2" t="s">
        <v>74</v>
      </c>
      <c r="BN830" s="2" t="s">
        <v>74</v>
      </c>
      <c r="BO830" s="2" t="s">
        <v>74</v>
      </c>
      <c r="BP830" s="2" t="s">
        <v>74</v>
      </c>
      <c r="BQ830" s="2" t="s">
        <v>74</v>
      </c>
      <c r="BR830" s="2" t="s">
        <v>74</v>
      </c>
      <c r="BS830" s="2" t="s">
        <v>4020</v>
      </c>
      <c r="BT830" s="2" t="str">
        <f>HYPERLINK("https%3A%2F%2Fwww.webofscience.com%2Fwos%2Fwoscc%2Ffull-record%2FWOS:000440649700008","View Full Record in Web of Science")</f>
        <v>View Full Record in Web of Science</v>
      </c>
    </row>
    <row r="831" spans="1:72" s="1" customFormat="1" x14ac:dyDescent="0.4">
      <c r="A831" s="2" t="s">
        <v>72</v>
      </c>
      <c r="B831" s="2" t="s">
        <v>4445</v>
      </c>
      <c r="C831" s="2" t="s">
        <v>74</v>
      </c>
      <c r="D831" s="2" t="s">
        <v>74</v>
      </c>
      <c r="E831" s="2" t="s">
        <v>74</v>
      </c>
      <c r="F831" s="2" t="s">
        <v>4446</v>
      </c>
      <c r="G831" s="2" t="s">
        <v>74</v>
      </c>
      <c r="H831" s="2" t="s">
        <v>74</v>
      </c>
      <c r="I831" s="2" t="s">
        <v>4447</v>
      </c>
      <c r="J831" s="2" t="s">
        <v>129</v>
      </c>
      <c r="K831" s="2" t="s">
        <v>74</v>
      </c>
      <c r="L831" s="2" t="s">
        <v>74</v>
      </c>
      <c r="M831" s="2" t="s">
        <v>74</v>
      </c>
      <c r="N831" s="2" t="s">
        <v>74</v>
      </c>
      <c r="O831" s="2" t="s">
        <v>74</v>
      </c>
      <c r="P831" s="2" t="s">
        <v>74</v>
      </c>
      <c r="Q831" s="2" t="s">
        <v>74</v>
      </c>
      <c r="R831" s="2" t="s">
        <v>74</v>
      </c>
      <c r="S831" s="2" t="s">
        <v>74</v>
      </c>
      <c r="T831" s="2" t="s">
        <v>74</v>
      </c>
      <c r="U831" s="2" t="s">
        <v>74</v>
      </c>
      <c r="V831" s="5" t="s">
        <v>4448</v>
      </c>
      <c r="W831" s="2" t="s">
        <v>74</v>
      </c>
      <c r="X831" s="2" t="s">
        <v>74</v>
      </c>
      <c r="Y831" s="2" t="s">
        <v>74</v>
      </c>
      <c r="Z831" s="2" t="s">
        <v>74</v>
      </c>
      <c r="AA831" s="2" t="s">
        <v>4449</v>
      </c>
      <c r="AB831" s="2" t="s">
        <v>4450</v>
      </c>
      <c r="AC831" s="2" t="s">
        <v>74</v>
      </c>
      <c r="AD831" s="2" t="s">
        <v>74</v>
      </c>
      <c r="AE831" s="2" t="s">
        <v>74</v>
      </c>
      <c r="AF831" s="2" t="s">
        <v>74</v>
      </c>
      <c r="AG831" s="2" t="s">
        <v>74</v>
      </c>
      <c r="AH831" s="2" t="s">
        <v>74</v>
      </c>
      <c r="AI831" s="2" t="s">
        <v>74</v>
      </c>
      <c r="AJ831" s="2" t="s">
        <v>74</v>
      </c>
      <c r="AK831" s="2" t="s">
        <v>74</v>
      </c>
      <c r="AL831" s="2" t="s">
        <v>74</v>
      </c>
      <c r="AM831" s="2" t="s">
        <v>74</v>
      </c>
      <c r="AN831" s="2" t="s">
        <v>74</v>
      </c>
      <c r="AO831" s="2" t="s">
        <v>132</v>
      </c>
      <c r="AP831" s="2" t="s">
        <v>133</v>
      </c>
      <c r="AQ831" s="2" t="s">
        <v>74</v>
      </c>
      <c r="AR831" s="2" t="s">
        <v>74</v>
      </c>
      <c r="AS831" s="2" t="s">
        <v>74</v>
      </c>
      <c r="AT831" s="2" t="s">
        <v>352</v>
      </c>
      <c r="AU831" s="2">
        <v>2013</v>
      </c>
      <c r="AV831" s="2">
        <v>67</v>
      </c>
      <c r="AW831" s="2">
        <v>9</v>
      </c>
      <c r="AX831" s="2" t="s">
        <v>74</v>
      </c>
      <c r="AY831" s="2" t="s">
        <v>74</v>
      </c>
      <c r="AZ831" s="2" t="s">
        <v>848</v>
      </c>
      <c r="BA831" s="2" t="s">
        <v>74</v>
      </c>
      <c r="BB831" s="2">
        <v>1513</v>
      </c>
      <c r="BC831" s="2">
        <v>1522</v>
      </c>
      <c r="BD831" s="2" t="s">
        <v>74</v>
      </c>
      <c r="BE831" s="2" t="s">
        <v>4451</v>
      </c>
      <c r="BF831" s="2" t="str">
        <f>HYPERLINK("http://dx.doi.org/10.1007/s00265-013-1535-4","http://dx.doi.org/10.1007/s00265-013-1535-4")</f>
        <v>http://dx.doi.org/10.1007/s00265-013-1535-4</v>
      </c>
      <c r="BG831" s="2" t="s">
        <v>74</v>
      </c>
      <c r="BH831" s="2" t="s">
        <v>74</v>
      </c>
      <c r="BI831" s="2" t="s">
        <v>74</v>
      </c>
      <c r="BJ831" s="2" t="s">
        <v>74</v>
      </c>
      <c r="BK831" s="2" t="s">
        <v>74</v>
      </c>
      <c r="BL831" s="2" t="s">
        <v>74</v>
      </c>
      <c r="BM831" s="2" t="s">
        <v>74</v>
      </c>
      <c r="BN831" s="2" t="s">
        <v>74</v>
      </c>
      <c r="BO831" s="2" t="s">
        <v>74</v>
      </c>
      <c r="BP831" s="2" t="s">
        <v>74</v>
      </c>
      <c r="BQ831" s="2" t="s">
        <v>74</v>
      </c>
      <c r="BR831" s="2" t="s">
        <v>74</v>
      </c>
      <c r="BS831" s="2" t="s">
        <v>4452</v>
      </c>
      <c r="BT831" s="2" t="str">
        <f>HYPERLINK("https%3A%2F%2Fwww.webofscience.com%2Fwos%2Fwoscc%2Ffull-record%2FWOS:000323103400013","View Full Record in Web of Science")</f>
        <v>View Full Record in Web of Science</v>
      </c>
    </row>
    <row r="832" spans="1:72" s="2" customFormat="1" x14ac:dyDescent="0.4">
      <c r="A832" s="2" t="s">
        <v>72</v>
      </c>
      <c r="B832" s="2" t="s">
        <v>8459</v>
      </c>
      <c r="C832" s="2" t="s">
        <v>74</v>
      </c>
      <c r="D832" s="2" t="s">
        <v>74</v>
      </c>
      <c r="E832" s="2" t="s">
        <v>74</v>
      </c>
      <c r="F832" s="2" t="s">
        <v>8459</v>
      </c>
      <c r="G832" s="2" t="s">
        <v>74</v>
      </c>
      <c r="H832" s="2" t="s">
        <v>74</v>
      </c>
      <c r="I832" s="2" t="s">
        <v>8460</v>
      </c>
      <c r="J832" s="2" t="s">
        <v>8461</v>
      </c>
      <c r="K832" s="2" t="s">
        <v>74</v>
      </c>
      <c r="L832" s="2" t="s">
        <v>74</v>
      </c>
      <c r="M832" s="2" t="s">
        <v>74</v>
      </c>
      <c r="N832" s="2" t="s">
        <v>74</v>
      </c>
      <c r="O832" s="2" t="s">
        <v>74</v>
      </c>
      <c r="P832" s="2" t="s">
        <v>74</v>
      </c>
      <c r="Q832" s="2" t="s">
        <v>74</v>
      </c>
      <c r="R832" s="2" t="s">
        <v>74</v>
      </c>
      <c r="S832" s="2" t="s">
        <v>74</v>
      </c>
      <c r="T832" s="2" t="s">
        <v>74</v>
      </c>
      <c r="U832" s="2" t="s">
        <v>74</v>
      </c>
      <c r="V832" s="5" t="s">
        <v>8462</v>
      </c>
      <c r="W832" s="2" t="s">
        <v>74</v>
      </c>
      <c r="X832" s="2" t="s">
        <v>74</v>
      </c>
      <c r="Y832" s="2" t="s">
        <v>74</v>
      </c>
      <c r="Z832" s="2" t="s">
        <v>74</v>
      </c>
      <c r="AA832" s="2" t="s">
        <v>74</v>
      </c>
      <c r="AB832" s="2" t="s">
        <v>74</v>
      </c>
      <c r="AC832" s="2" t="s">
        <v>74</v>
      </c>
      <c r="AD832" s="2" t="s">
        <v>74</v>
      </c>
      <c r="AE832" s="2" t="s">
        <v>74</v>
      </c>
      <c r="AF832" s="2" t="s">
        <v>74</v>
      </c>
      <c r="AG832" s="2" t="s">
        <v>74</v>
      </c>
      <c r="AH832" s="2" t="s">
        <v>74</v>
      </c>
      <c r="AI832" s="2" t="s">
        <v>74</v>
      </c>
      <c r="AJ832" s="2" t="s">
        <v>74</v>
      </c>
      <c r="AK832" s="2" t="s">
        <v>74</v>
      </c>
      <c r="AL832" s="2" t="s">
        <v>74</v>
      </c>
      <c r="AM832" s="2" t="s">
        <v>74</v>
      </c>
      <c r="AN832" s="2" t="s">
        <v>74</v>
      </c>
      <c r="AO832" s="2" t="s">
        <v>8463</v>
      </c>
      <c r="AP832" s="2" t="s">
        <v>74</v>
      </c>
      <c r="AQ832" s="2" t="s">
        <v>74</v>
      </c>
      <c r="AR832" s="2" t="s">
        <v>74</v>
      </c>
      <c r="AS832" s="2" t="s">
        <v>74</v>
      </c>
      <c r="AT832" s="2" t="s">
        <v>74</v>
      </c>
      <c r="AU832" s="2">
        <v>1988</v>
      </c>
      <c r="AV832" s="2">
        <v>15</v>
      </c>
      <c r="AW832" s="2">
        <v>5</v>
      </c>
      <c r="AX832" s="2" t="s">
        <v>74</v>
      </c>
      <c r="AY832" s="2" t="s">
        <v>74</v>
      </c>
      <c r="AZ832" s="2" t="s">
        <v>74</v>
      </c>
      <c r="BA832" s="2" t="s">
        <v>74</v>
      </c>
      <c r="BB832" s="2">
        <v>541</v>
      </c>
      <c r="BC832" s="2">
        <v>560</v>
      </c>
      <c r="BD832" s="2" t="s">
        <v>74</v>
      </c>
      <c r="BE832" s="2" t="s">
        <v>74</v>
      </c>
      <c r="BF832" s="2" t="s">
        <v>74</v>
      </c>
      <c r="BG832" s="2" t="s">
        <v>74</v>
      </c>
      <c r="BH832" s="2" t="s">
        <v>74</v>
      </c>
      <c r="BI832" s="2" t="s">
        <v>74</v>
      </c>
      <c r="BJ832" s="2" t="s">
        <v>74</v>
      </c>
      <c r="BK832" s="2" t="s">
        <v>74</v>
      </c>
      <c r="BL832" s="2" t="s">
        <v>74</v>
      </c>
      <c r="BM832" s="2" t="s">
        <v>74</v>
      </c>
      <c r="BN832" s="2" t="s">
        <v>74</v>
      </c>
      <c r="BO832" s="2" t="s">
        <v>74</v>
      </c>
      <c r="BP832" s="2" t="s">
        <v>74</v>
      </c>
      <c r="BQ832" s="2" t="s">
        <v>74</v>
      </c>
      <c r="BR832" s="2" t="s">
        <v>74</v>
      </c>
      <c r="BS832" s="2" t="s">
        <v>8464</v>
      </c>
      <c r="BT832" s="2" t="str">
        <f>HYPERLINK("https%3A%2F%2Fwww.webofscience.com%2Fwos%2Fwoscc%2Ffull-record%2FWOS:A1988U589900008","View Full Record in Web of Science")</f>
        <v>View Full Record in Web of Science</v>
      </c>
    </row>
    <row r="833" spans="1:72" s="2" customFormat="1" x14ac:dyDescent="0.4">
      <c r="A833" s="2" t="s">
        <v>72</v>
      </c>
      <c r="B833" s="2" t="s">
        <v>3050</v>
      </c>
      <c r="C833" s="2" t="s">
        <v>74</v>
      </c>
      <c r="D833" s="2" t="s">
        <v>74</v>
      </c>
      <c r="E833" s="2" t="s">
        <v>74</v>
      </c>
      <c r="F833" s="2" t="s">
        <v>3051</v>
      </c>
      <c r="G833" s="2" t="s">
        <v>74</v>
      </c>
      <c r="H833" s="2" t="s">
        <v>74</v>
      </c>
      <c r="I833" s="2" t="s">
        <v>3052</v>
      </c>
      <c r="J833" s="2" t="s">
        <v>775</v>
      </c>
      <c r="K833" s="2" t="s">
        <v>74</v>
      </c>
      <c r="L833" s="2" t="s">
        <v>74</v>
      </c>
      <c r="M833" s="2" t="s">
        <v>74</v>
      </c>
      <c r="N833" s="2" t="s">
        <v>74</v>
      </c>
      <c r="O833" s="2" t="s">
        <v>74</v>
      </c>
      <c r="P833" s="2" t="s">
        <v>74</v>
      </c>
      <c r="Q833" s="2" t="s">
        <v>74</v>
      </c>
      <c r="R833" s="2" t="s">
        <v>74</v>
      </c>
      <c r="S833" s="2" t="s">
        <v>74</v>
      </c>
      <c r="T833" s="2" t="s">
        <v>74</v>
      </c>
      <c r="U833" s="2" t="s">
        <v>74</v>
      </c>
      <c r="V833" s="5" t="s">
        <v>3053</v>
      </c>
      <c r="W833" s="2" t="s">
        <v>74</v>
      </c>
      <c r="X833" s="2" t="s">
        <v>74</v>
      </c>
      <c r="Y833" s="2" t="s">
        <v>74</v>
      </c>
      <c r="Z833" s="2" t="s">
        <v>74</v>
      </c>
      <c r="AA833" s="2" t="s">
        <v>74</v>
      </c>
      <c r="AB833" s="2" t="s">
        <v>3054</v>
      </c>
      <c r="AC833" s="2" t="s">
        <v>74</v>
      </c>
      <c r="AD833" s="2" t="s">
        <v>74</v>
      </c>
      <c r="AE833" s="2" t="s">
        <v>74</v>
      </c>
      <c r="AF833" s="2" t="s">
        <v>74</v>
      </c>
      <c r="AG833" s="2" t="s">
        <v>74</v>
      </c>
      <c r="AH833" s="2" t="s">
        <v>74</v>
      </c>
      <c r="AI833" s="2" t="s">
        <v>74</v>
      </c>
      <c r="AJ833" s="2" t="s">
        <v>74</v>
      </c>
      <c r="AK833" s="2" t="s">
        <v>74</v>
      </c>
      <c r="AL833" s="2" t="s">
        <v>74</v>
      </c>
      <c r="AM833" s="2" t="s">
        <v>74</v>
      </c>
      <c r="AN833" s="2" t="s">
        <v>74</v>
      </c>
      <c r="AO833" s="2" t="s">
        <v>778</v>
      </c>
      <c r="AP833" s="2" t="s">
        <v>779</v>
      </c>
      <c r="AQ833" s="2" t="s">
        <v>74</v>
      </c>
      <c r="AR833" s="2" t="s">
        <v>74</v>
      </c>
      <c r="AS833" s="2" t="s">
        <v>74</v>
      </c>
      <c r="AT833" s="2" t="s">
        <v>2296</v>
      </c>
      <c r="AU833" s="2">
        <v>2024</v>
      </c>
      <c r="AV833" s="2">
        <v>70</v>
      </c>
      <c r="AW833" s="2">
        <v>1</v>
      </c>
      <c r="AX833" s="2" t="s">
        <v>74</v>
      </c>
      <c r="AY833" s="2" t="s">
        <v>74</v>
      </c>
      <c r="AZ833" s="2" t="s">
        <v>74</v>
      </c>
      <c r="BA833" s="2" t="s">
        <v>74</v>
      </c>
      <c r="BB833" s="2">
        <v>79</v>
      </c>
      <c r="BC833" s="2">
        <v>86</v>
      </c>
      <c r="BD833" s="2" t="s">
        <v>74</v>
      </c>
      <c r="BE833" s="2" t="s">
        <v>3055</v>
      </c>
      <c r="BF833" s="2" t="str">
        <f>HYPERLINK("http://dx.doi.org/10.1093/cz/zoac099","http://dx.doi.org/10.1093/cz/zoac099")</f>
        <v>http://dx.doi.org/10.1093/cz/zoac099</v>
      </c>
      <c r="BG833" s="2" t="s">
        <v>74</v>
      </c>
      <c r="BH833" s="2" t="s">
        <v>3048</v>
      </c>
      <c r="BI833" s="2" t="s">
        <v>74</v>
      </c>
      <c r="BJ833" s="2" t="s">
        <v>74</v>
      </c>
      <c r="BK833" s="2" t="s">
        <v>74</v>
      </c>
      <c r="BL833" s="2" t="s">
        <v>74</v>
      </c>
      <c r="BM833" s="2" t="s">
        <v>74</v>
      </c>
      <c r="BN833" s="2">
        <v>38476140</v>
      </c>
      <c r="BO833" s="2" t="s">
        <v>74</v>
      </c>
      <c r="BP833" s="2" t="s">
        <v>74</v>
      </c>
      <c r="BQ833" s="2" t="s">
        <v>74</v>
      </c>
      <c r="BR833" s="2" t="s">
        <v>74</v>
      </c>
      <c r="BS833" s="2" t="s">
        <v>3056</v>
      </c>
      <c r="BT833" s="2" t="str">
        <f>HYPERLINK("https%3A%2F%2Fwww.webofscience.com%2Fwos%2Fwoscc%2Ffull-record%2FWOS:000941847900001","View Full Record in Web of Science")</f>
        <v>View Full Record in Web of Science</v>
      </c>
    </row>
    <row r="834" spans="1:72" s="2" customFormat="1" x14ac:dyDescent="0.4">
      <c r="A834" s="2" t="s">
        <v>72</v>
      </c>
      <c r="B834" s="2" t="s">
        <v>1653</v>
      </c>
      <c r="C834" s="2" t="s">
        <v>74</v>
      </c>
      <c r="D834" s="2" t="s">
        <v>74</v>
      </c>
      <c r="E834" s="2" t="s">
        <v>74</v>
      </c>
      <c r="F834" s="2" t="s">
        <v>1654</v>
      </c>
      <c r="G834" s="2" t="s">
        <v>74</v>
      </c>
      <c r="H834" s="2" t="s">
        <v>74</v>
      </c>
      <c r="I834" s="2" t="s">
        <v>1655</v>
      </c>
      <c r="J834" s="2" t="s">
        <v>1656</v>
      </c>
      <c r="K834" s="2" t="s">
        <v>74</v>
      </c>
      <c r="L834" s="2" t="s">
        <v>74</v>
      </c>
      <c r="M834" s="2" t="s">
        <v>74</v>
      </c>
      <c r="N834" s="2" t="s">
        <v>74</v>
      </c>
      <c r="O834" s="2" t="s">
        <v>74</v>
      </c>
      <c r="P834" s="2" t="s">
        <v>74</v>
      </c>
      <c r="Q834" s="2" t="s">
        <v>74</v>
      </c>
      <c r="R834" s="2" t="s">
        <v>74</v>
      </c>
      <c r="S834" s="2" t="s">
        <v>74</v>
      </c>
      <c r="T834" s="2" t="s">
        <v>74</v>
      </c>
      <c r="U834" s="2" t="s">
        <v>74</v>
      </c>
      <c r="V834" s="5" t="s">
        <v>1657</v>
      </c>
      <c r="W834" s="2" t="s">
        <v>74</v>
      </c>
      <c r="X834" s="2" t="s">
        <v>74</v>
      </c>
      <c r="Y834" s="2" t="s">
        <v>74</v>
      </c>
      <c r="Z834" s="2" t="s">
        <v>74</v>
      </c>
      <c r="AA834" s="2" t="s">
        <v>74</v>
      </c>
      <c r="AB834" s="2" t="s">
        <v>74</v>
      </c>
      <c r="AC834" s="2" t="s">
        <v>74</v>
      </c>
      <c r="AD834" s="2" t="s">
        <v>74</v>
      </c>
      <c r="AE834" s="2" t="s">
        <v>74</v>
      </c>
      <c r="AF834" s="2" t="s">
        <v>74</v>
      </c>
      <c r="AG834" s="2" t="s">
        <v>74</v>
      </c>
      <c r="AH834" s="2" t="s">
        <v>74</v>
      </c>
      <c r="AI834" s="2" t="s">
        <v>74</v>
      </c>
      <c r="AJ834" s="2" t="s">
        <v>74</v>
      </c>
      <c r="AK834" s="2" t="s">
        <v>74</v>
      </c>
      <c r="AL834" s="2" t="s">
        <v>74</v>
      </c>
      <c r="AM834" s="2" t="s">
        <v>74</v>
      </c>
      <c r="AN834" s="2" t="s">
        <v>74</v>
      </c>
      <c r="AO834" s="2" t="s">
        <v>1658</v>
      </c>
      <c r="AP834" s="2" t="s">
        <v>1659</v>
      </c>
      <c r="AQ834" s="2" t="s">
        <v>74</v>
      </c>
      <c r="AR834" s="2" t="s">
        <v>74</v>
      </c>
      <c r="AS834" s="2" t="s">
        <v>74</v>
      </c>
      <c r="AT834" s="2" t="s">
        <v>1660</v>
      </c>
      <c r="AU834" s="2">
        <v>2013</v>
      </c>
      <c r="AV834" s="2">
        <v>3608</v>
      </c>
      <c r="AW834" s="2">
        <v>5</v>
      </c>
      <c r="AX834" s="2" t="s">
        <v>74</v>
      </c>
      <c r="AY834" s="2" t="s">
        <v>74</v>
      </c>
      <c r="AZ834" s="2" t="s">
        <v>74</v>
      </c>
      <c r="BA834" s="2" t="s">
        <v>74</v>
      </c>
      <c r="BB834" s="2">
        <v>328</v>
      </c>
      <c r="BC834" s="2">
        <v>344</v>
      </c>
      <c r="BD834" s="2" t="s">
        <v>74</v>
      </c>
      <c r="BE834" s="2" t="s">
        <v>1661</v>
      </c>
      <c r="BF834" s="2" t="str">
        <f>HYPERLINK("http://dx.doi.org/10.11646/zootaxa.3608.5.2","http://dx.doi.org/10.11646/zootaxa.3608.5.2")</f>
        <v>http://dx.doi.org/10.11646/zootaxa.3608.5.2</v>
      </c>
      <c r="BG834" s="2" t="s">
        <v>74</v>
      </c>
      <c r="BH834" s="2" t="s">
        <v>74</v>
      </c>
      <c r="BI834" s="2" t="s">
        <v>74</v>
      </c>
      <c r="BJ834" s="2" t="s">
        <v>74</v>
      </c>
      <c r="BK834" s="2" t="s">
        <v>74</v>
      </c>
      <c r="BL834" s="2" t="s">
        <v>74</v>
      </c>
      <c r="BM834" s="2" t="s">
        <v>74</v>
      </c>
      <c r="BN834" s="2">
        <v>24614474</v>
      </c>
      <c r="BO834" s="2" t="s">
        <v>74</v>
      </c>
      <c r="BP834" s="2" t="s">
        <v>74</v>
      </c>
      <c r="BQ834" s="2" t="s">
        <v>74</v>
      </c>
      <c r="BR834" s="2" t="s">
        <v>74</v>
      </c>
      <c r="BS834" s="2" t="s">
        <v>1662</v>
      </c>
      <c r="BT834" s="2" t="str">
        <f>HYPERLINK("https%3A%2F%2Fwww.webofscience.com%2Fwos%2Fwoscc%2Ffull-record%2FWOS:000313804500002","View Full Record in Web of Science")</f>
        <v>View Full Record in Web of Science</v>
      </c>
    </row>
    <row r="835" spans="1:72" s="2" customFormat="1" x14ac:dyDescent="0.4">
      <c r="A835" s="2" t="s">
        <v>72</v>
      </c>
      <c r="B835" s="2" t="s">
        <v>782</v>
      </c>
      <c r="C835" s="2" t="s">
        <v>74</v>
      </c>
      <c r="D835" s="2" t="s">
        <v>74</v>
      </c>
      <c r="E835" s="2" t="s">
        <v>74</v>
      </c>
      <c r="F835" s="2" t="s">
        <v>783</v>
      </c>
      <c r="G835" s="2" t="s">
        <v>74</v>
      </c>
      <c r="H835" s="2" t="s">
        <v>74</v>
      </c>
      <c r="I835" s="2" t="s">
        <v>784</v>
      </c>
      <c r="J835" s="2" t="s">
        <v>785</v>
      </c>
      <c r="K835" s="2" t="s">
        <v>74</v>
      </c>
      <c r="L835" s="2" t="s">
        <v>74</v>
      </c>
      <c r="M835" s="2" t="s">
        <v>74</v>
      </c>
      <c r="N835" s="2" t="s">
        <v>74</v>
      </c>
      <c r="O835" s="2" t="s">
        <v>74</v>
      </c>
      <c r="P835" s="2" t="s">
        <v>74</v>
      </c>
      <c r="Q835" s="2" t="s">
        <v>74</v>
      </c>
      <c r="R835" s="2" t="s">
        <v>74</v>
      </c>
      <c r="S835" s="2" t="s">
        <v>74</v>
      </c>
      <c r="T835" s="2" t="s">
        <v>74</v>
      </c>
      <c r="U835" s="2" t="s">
        <v>74</v>
      </c>
      <c r="V835" s="5" t="s">
        <v>786</v>
      </c>
      <c r="W835" s="2" t="s">
        <v>74</v>
      </c>
      <c r="X835" s="2" t="s">
        <v>74</v>
      </c>
      <c r="Y835" s="2" t="s">
        <v>74</v>
      </c>
      <c r="Z835" s="2" t="s">
        <v>74</v>
      </c>
      <c r="AA835" s="2" t="s">
        <v>74</v>
      </c>
      <c r="AB835" s="2" t="s">
        <v>74</v>
      </c>
      <c r="AC835" s="2" t="s">
        <v>74</v>
      </c>
      <c r="AD835" s="2" t="s">
        <v>74</v>
      </c>
      <c r="AE835" s="2" t="s">
        <v>74</v>
      </c>
      <c r="AF835" s="2" t="s">
        <v>74</v>
      </c>
      <c r="AG835" s="2" t="s">
        <v>74</v>
      </c>
      <c r="AH835" s="2" t="s">
        <v>74</v>
      </c>
      <c r="AI835" s="2" t="s">
        <v>74</v>
      </c>
      <c r="AJ835" s="2" t="s">
        <v>74</v>
      </c>
      <c r="AK835" s="2" t="s">
        <v>74</v>
      </c>
      <c r="AL835" s="2" t="s">
        <v>74</v>
      </c>
      <c r="AM835" s="2" t="s">
        <v>74</v>
      </c>
      <c r="AN835" s="2" t="s">
        <v>74</v>
      </c>
      <c r="AO835" s="2" t="s">
        <v>74</v>
      </c>
      <c r="AP835" s="2" t="s">
        <v>787</v>
      </c>
      <c r="AQ835" s="2" t="s">
        <v>74</v>
      </c>
      <c r="AR835" s="2" t="s">
        <v>74</v>
      </c>
      <c r="AS835" s="2" t="s">
        <v>74</v>
      </c>
      <c r="AT835" s="2" t="s">
        <v>788</v>
      </c>
      <c r="AU835" s="2">
        <v>2010</v>
      </c>
      <c r="AV835" s="2">
        <v>10</v>
      </c>
      <c r="AW835" s="2" t="s">
        <v>74</v>
      </c>
      <c r="AX835" s="2" t="s">
        <v>74</v>
      </c>
      <c r="AY835" s="2" t="s">
        <v>74</v>
      </c>
      <c r="AZ835" s="2" t="s">
        <v>74</v>
      </c>
      <c r="BA835" s="2" t="s">
        <v>74</v>
      </c>
      <c r="BB835" s="2" t="s">
        <v>74</v>
      </c>
      <c r="BC835" s="2" t="s">
        <v>74</v>
      </c>
      <c r="BD835" s="2">
        <v>109</v>
      </c>
      <c r="BE835" s="2" t="s">
        <v>789</v>
      </c>
      <c r="BF835" s="2" t="str">
        <f>HYPERLINK("http://dx.doi.org/10.1673/031.010.10901","http://dx.doi.org/10.1673/031.010.10901")</f>
        <v>http://dx.doi.org/10.1673/031.010.10901</v>
      </c>
      <c r="BG835" s="2" t="s">
        <v>74</v>
      </c>
      <c r="BH835" s="2" t="s">
        <v>74</v>
      </c>
      <c r="BI835" s="2" t="s">
        <v>74</v>
      </c>
      <c r="BJ835" s="2" t="s">
        <v>74</v>
      </c>
      <c r="BK835" s="2" t="s">
        <v>74</v>
      </c>
      <c r="BL835" s="2" t="s">
        <v>74</v>
      </c>
      <c r="BM835" s="2" t="s">
        <v>74</v>
      </c>
      <c r="BN835" s="2">
        <v>20874396</v>
      </c>
      <c r="BO835" s="2" t="s">
        <v>74</v>
      </c>
      <c r="BP835" s="2" t="s">
        <v>74</v>
      </c>
      <c r="BQ835" s="2" t="s">
        <v>74</v>
      </c>
      <c r="BR835" s="2" t="s">
        <v>74</v>
      </c>
      <c r="BS835" s="2" t="s">
        <v>790</v>
      </c>
      <c r="BT835" s="2" t="str">
        <f>HYPERLINK("https%3A%2F%2Fwww.webofscience.com%2Fwos%2Fwoscc%2Ffull-record%2FWOS:000280095500007","View Full Record in Web of Science")</f>
        <v>View Full Record in Web of Science</v>
      </c>
    </row>
    <row r="836" spans="1:72" s="2" customFormat="1" x14ac:dyDescent="0.4">
      <c r="A836" s="2" t="s">
        <v>72</v>
      </c>
      <c r="B836" s="2" t="s">
        <v>6032</v>
      </c>
      <c r="C836" s="2" t="s">
        <v>74</v>
      </c>
      <c r="D836" s="2" t="s">
        <v>74</v>
      </c>
      <c r="E836" s="2" t="s">
        <v>74</v>
      </c>
      <c r="F836" s="2" t="s">
        <v>6032</v>
      </c>
      <c r="G836" s="2" t="s">
        <v>74</v>
      </c>
      <c r="H836" s="2" t="s">
        <v>74</v>
      </c>
      <c r="I836" s="2" t="s">
        <v>6033</v>
      </c>
      <c r="J836" s="2" t="s">
        <v>3238</v>
      </c>
      <c r="K836" s="2" t="s">
        <v>74</v>
      </c>
      <c r="L836" s="2" t="s">
        <v>74</v>
      </c>
      <c r="M836" s="2" t="s">
        <v>74</v>
      </c>
      <c r="N836" s="2" t="s">
        <v>74</v>
      </c>
      <c r="O836" s="2" t="s">
        <v>74</v>
      </c>
      <c r="P836" s="2" t="s">
        <v>74</v>
      </c>
      <c r="Q836" s="2" t="s">
        <v>74</v>
      </c>
      <c r="R836" s="2" t="s">
        <v>74</v>
      </c>
      <c r="S836" s="2" t="s">
        <v>74</v>
      </c>
      <c r="T836" s="2" t="s">
        <v>74</v>
      </c>
      <c r="U836" s="2" t="s">
        <v>74</v>
      </c>
      <c r="V836" s="5" t="s">
        <v>6034</v>
      </c>
      <c r="W836" s="2" t="s">
        <v>74</v>
      </c>
      <c r="X836" s="2" t="s">
        <v>74</v>
      </c>
      <c r="Y836" s="2" t="s">
        <v>74</v>
      </c>
      <c r="Z836" s="2" t="s">
        <v>74</v>
      </c>
      <c r="AA836" s="2" t="s">
        <v>6035</v>
      </c>
      <c r="AB836" s="2" t="s">
        <v>6036</v>
      </c>
      <c r="AC836" s="2" t="s">
        <v>74</v>
      </c>
      <c r="AD836" s="2" t="s">
        <v>74</v>
      </c>
      <c r="AE836" s="2" t="s">
        <v>74</v>
      </c>
      <c r="AF836" s="2" t="s">
        <v>74</v>
      </c>
      <c r="AG836" s="2" t="s">
        <v>74</v>
      </c>
      <c r="AH836" s="2" t="s">
        <v>74</v>
      </c>
      <c r="AI836" s="2" t="s">
        <v>74</v>
      </c>
      <c r="AJ836" s="2" t="s">
        <v>74</v>
      </c>
      <c r="AK836" s="2" t="s">
        <v>74</v>
      </c>
      <c r="AL836" s="2" t="s">
        <v>74</v>
      </c>
      <c r="AM836" s="2" t="s">
        <v>74</v>
      </c>
      <c r="AN836" s="2" t="s">
        <v>74</v>
      </c>
      <c r="AO836" s="2" t="s">
        <v>3240</v>
      </c>
      <c r="AP836" s="2" t="s">
        <v>3241</v>
      </c>
      <c r="AQ836" s="2" t="s">
        <v>74</v>
      </c>
      <c r="AR836" s="2" t="s">
        <v>74</v>
      </c>
      <c r="AS836" s="2" t="s">
        <v>74</v>
      </c>
      <c r="AT836" s="2" t="s">
        <v>123</v>
      </c>
      <c r="AU836" s="2">
        <v>1990</v>
      </c>
      <c r="AV836" s="2">
        <v>83</v>
      </c>
      <c r="AW836" s="2">
        <v>2</v>
      </c>
      <c r="AX836" s="2" t="s">
        <v>74</v>
      </c>
      <c r="AY836" s="2" t="s">
        <v>74</v>
      </c>
      <c r="AZ836" s="2" t="s">
        <v>74</v>
      </c>
      <c r="BA836" s="2" t="s">
        <v>74</v>
      </c>
      <c r="BB836" s="2">
        <v>171</v>
      </c>
      <c r="BC836" s="2">
        <v>188</v>
      </c>
      <c r="BD836" s="2" t="s">
        <v>74</v>
      </c>
      <c r="BE836" s="2" t="s">
        <v>6037</v>
      </c>
      <c r="BF836" s="2" t="str">
        <f>HYPERLINK("http://dx.doi.org/10.1093/aesa/83.2.171","http://dx.doi.org/10.1093/aesa/83.2.171")</f>
        <v>http://dx.doi.org/10.1093/aesa/83.2.171</v>
      </c>
      <c r="BG836" s="2" t="s">
        <v>74</v>
      </c>
      <c r="BH836" s="2" t="s">
        <v>74</v>
      </c>
      <c r="BI836" s="2" t="s">
        <v>74</v>
      </c>
      <c r="BJ836" s="2" t="s">
        <v>74</v>
      </c>
      <c r="BK836" s="2" t="s">
        <v>74</v>
      </c>
      <c r="BL836" s="2" t="s">
        <v>74</v>
      </c>
      <c r="BM836" s="2" t="s">
        <v>74</v>
      </c>
      <c r="BN836" s="2" t="s">
        <v>74</v>
      </c>
      <c r="BO836" s="2" t="s">
        <v>74</v>
      </c>
      <c r="BP836" s="2" t="s">
        <v>74</v>
      </c>
      <c r="BQ836" s="2" t="s">
        <v>74</v>
      </c>
      <c r="BR836" s="2" t="s">
        <v>74</v>
      </c>
      <c r="BS836" s="2" t="s">
        <v>6038</v>
      </c>
      <c r="BT836" s="2" t="str">
        <f>HYPERLINK("https%3A%2F%2Fwww.webofscience.com%2Fwos%2Fwoscc%2Ffull-record%2FWOS:A1990CQ89800007","View Full Record in Web of Science")</f>
        <v>View Full Record in Web of Science</v>
      </c>
    </row>
    <row r="837" spans="1:72" s="2" customFormat="1" x14ac:dyDescent="0.4">
      <c r="A837" s="2" t="s">
        <v>72</v>
      </c>
      <c r="B837" s="2" t="s">
        <v>4854</v>
      </c>
      <c r="C837" s="2" t="s">
        <v>74</v>
      </c>
      <c r="D837" s="2" t="s">
        <v>74</v>
      </c>
      <c r="E837" s="2" t="s">
        <v>74</v>
      </c>
      <c r="F837" s="2" t="s">
        <v>4855</v>
      </c>
      <c r="G837" s="2" t="s">
        <v>74</v>
      </c>
      <c r="H837" s="2" t="s">
        <v>74</v>
      </c>
      <c r="I837" s="2" t="s">
        <v>4856</v>
      </c>
      <c r="J837" s="2" t="s">
        <v>299</v>
      </c>
      <c r="K837" s="2" t="s">
        <v>74</v>
      </c>
      <c r="L837" s="2" t="s">
        <v>74</v>
      </c>
      <c r="M837" s="2" t="s">
        <v>74</v>
      </c>
      <c r="N837" s="2" t="s">
        <v>74</v>
      </c>
      <c r="O837" s="2" t="s">
        <v>74</v>
      </c>
      <c r="P837" s="2" t="s">
        <v>74</v>
      </c>
      <c r="Q837" s="2" t="s">
        <v>74</v>
      </c>
      <c r="R837" s="2" t="s">
        <v>74</v>
      </c>
      <c r="S837" s="2" t="s">
        <v>74</v>
      </c>
      <c r="T837" s="2" t="s">
        <v>74</v>
      </c>
      <c r="U837" s="2" t="s">
        <v>74</v>
      </c>
      <c r="V837" s="5" t="s">
        <v>4857</v>
      </c>
      <c r="W837" s="2" t="s">
        <v>74</v>
      </c>
      <c r="X837" s="2" t="s">
        <v>74</v>
      </c>
      <c r="Y837" s="2" t="s">
        <v>74</v>
      </c>
      <c r="Z837" s="2" t="s">
        <v>74</v>
      </c>
      <c r="AA837" s="2" t="s">
        <v>4858</v>
      </c>
      <c r="AB837" s="2" t="s">
        <v>4859</v>
      </c>
      <c r="AC837" s="2" t="s">
        <v>74</v>
      </c>
      <c r="AD837" s="2" t="s">
        <v>74</v>
      </c>
      <c r="AE837" s="2" t="s">
        <v>74</v>
      </c>
      <c r="AF837" s="2" t="s">
        <v>74</v>
      </c>
      <c r="AG837" s="2" t="s">
        <v>74</v>
      </c>
      <c r="AH837" s="2" t="s">
        <v>74</v>
      </c>
      <c r="AI837" s="2" t="s">
        <v>74</v>
      </c>
      <c r="AJ837" s="2" t="s">
        <v>74</v>
      </c>
      <c r="AK837" s="2" t="s">
        <v>74</v>
      </c>
      <c r="AL837" s="2" t="s">
        <v>74</v>
      </c>
      <c r="AM837" s="2" t="s">
        <v>74</v>
      </c>
      <c r="AN837" s="2" t="s">
        <v>74</v>
      </c>
      <c r="AO837" s="2" t="s">
        <v>303</v>
      </c>
      <c r="AP837" s="2" t="s">
        <v>304</v>
      </c>
      <c r="AQ837" s="2" t="s">
        <v>74</v>
      </c>
      <c r="AR837" s="2" t="s">
        <v>74</v>
      </c>
      <c r="AS837" s="2" t="s">
        <v>74</v>
      </c>
      <c r="AT837" s="2" t="s">
        <v>305</v>
      </c>
      <c r="AU837" s="2">
        <v>2016</v>
      </c>
      <c r="AV837" s="2">
        <v>47</v>
      </c>
      <c r="AW837" s="2">
        <v>12</v>
      </c>
      <c r="AX837" s="2" t="s">
        <v>74</v>
      </c>
      <c r="AY837" s="2" t="s">
        <v>74</v>
      </c>
      <c r="AZ837" s="2" t="s">
        <v>74</v>
      </c>
      <c r="BA837" s="2" t="s">
        <v>74</v>
      </c>
      <c r="BB837" s="2">
        <v>4015</v>
      </c>
      <c r="BC837" s="2">
        <v>4023</v>
      </c>
      <c r="BD837" s="2" t="s">
        <v>74</v>
      </c>
      <c r="BE837" s="2" t="s">
        <v>4860</v>
      </c>
      <c r="BF837" s="2" t="str">
        <f>HYPERLINK("http://dx.doi.org/10.1111/are.12854","http://dx.doi.org/10.1111/are.12854")</f>
        <v>http://dx.doi.org/10.1111/are.12854</v>
      </c>
      <c r="BG837" s="2" t="s">
        <v>74</v>
      </c>
      <c r="BH837" s="2" t="s">
        <v>74</v>
      </c>
      <c r="BI837" s="2" t="s">
        <v>74</v>
      </c>
      <c r="BJ837" s="2" t="s">
        <v>74</v>
      </c>
      <c r="BK837" s="2" t="s">
        <v>74</v>
      </c>
      <c r="BL837" s="2" t="s">
        <v>74</v>
      </c>
      <c r="BM837" s="2" t="s">
        <v>74</v>
      </c>
      <c r="BN837" s="2" t="s">
        <v>74</v>
      </c>
      <c r="BO837" s="2" t="s">
        <v>74</v>
      </c>
      <c r="BP837" s="2" t="s">
        <v>74</v>
      </c>
      <c r="BQ837" s="2" t="s">
        <v>74</v>
      </c>
      <c r="BR837" s="2" t="s">
        <v>74</v>
      </c>
      <c r="BS837" s="2" t="s">
        <v>4861</v>
      </c>
      <c r="BT837" s="2" t="str">
        <f>HYPERLINK("https%3A%2F%2Fwww.webofscience.com%2Fwos%2Fwoscc%2Ffull-record%2FWOS:000387663000031","View Full Record in Web of Science")</f>
        <v>View Full Record in Web of Science</v>
      </c>
    </row>
    <row r="838" spans="1:72" s="2" customFormat="1" x14ac:dyDescent="0.4">
      <c r="A838" s="2" t="s">
        <v>72</v>
      </c>
      <c r="B838" s="2" t="s">
        <v>3900</v>
      </c>
      <c r="C838" s="2" t="s">
        <v>74</v>
      </c>
      <c r="D838" s="2" t="s">
        <v>74</v>
      </c>
      <c r="E838" s="2" t="s">
        <v>74</v>
      </c>
      <c r="F838" s="2" t="s">
        <v>3900</v>
      </c>
      <c r="G838" s="2" t="s">
        <v>74</v>
      </c>
      <c r="H838" s="2" t="s">
        <v>74</v>
      </c>
      <c r="I838" s="2" t="s">
        <v>3901</v>
      </c>
      <c r="J838" s="2" t="s">
        <v>108</v>
      </c>
      <c r="K838" s="2" t="s">
        <v>74</v>
      </c>
      <c r="L838" s="2" t="s">
        <v>74</v>
      </c>
      <c r="M838" s="2" t="s">
        <v>74</v>
      </c>
      <c r="N838" s="2" t="s">
        <v>74</v>
      </c>
      <c r="O838" s="2" t="s">
        <v>74</v>
      </c>
      <c r="P838" s="2" t="s">
        <v>74</v>
      </c>
      <c r="Q838" s="2" t="s">
        <v>74</v>
      </c>
      <c r="R838" s="2" t="s">
        <v>74</v>
      </c>
      <c r="S838" s="2" t="s">
        <v>74</v>
      </c>
      <c r="T838" s="2" t="s">
        <v>74</v>
      </c>
      <c r="U838" s="2" t="s">
        <v>74</v>
      </c>
      <c r="V838" s="5" t="s">
        <v>3902</v>
      </c>
      <c r="W838" s="2" t="s">
        <v>74</v>
      </c>
      <c r="X838" s="2" t="s">
        <v>74</v>
      </c>
      <c r="Y838" s="2" t="s">
        <v>74</v>
      </c>
      <c r="Z838" s="2" t="s">
        <v>74</v>
      </c>
      <c r="AA838" s="2" t="s">
        <v>74</v>
      </c>
      <c r="AB838" s="2" t="s">
        <v>74</v>
      </c>
      <c r="AC838" s="2" t="s">
        <v>74</v>
      </c>
      <c r="AD838" s="2" t="s">
        <v>74</v>
      </c>
      <c r="AE838" s="2" t="s">
        <v>74</v>
      </c>
      <c r="AF838" s="2" t="s">
        <v>74</v>
      </c>
      <c r="AG838" s="2" t="s">
        <v>74</v>
      </c>
      <c r="AH838" s="2" t="s">
        <v>74</v>
      </c>
      <c r="AI838" s="2" t="s">
        <v>74</v>
      </c>
      <c r="AJ838" s="2" t="s">
        <v>74</v>
      </c>
      <c r="AK838" s="2" t="s">
        <v>74</v>
      </c>
      <c r="AL838" s="2" t="s">
        <v>74</v>
      </c>
      <c r="AM838" s="2" t="s">
        <v>74</v>
      </c>
      <c r="AN838" s="2" t="s">
        <v>74</v>
      </c>
      <c r="AO838" s="2" t="s">
        <v>111</v>
      </c>
      <c r="AP838" s="2" t="s">
        <v>74</v>
      </c>
      <c r="AQ838" s="2" t="s">
        <v>74</v>
      </c>
      <c r="AR838" s="2" t="s">
        <v>74</v>
      </c>
      <c r="AS838" s="2" t="s">
        <v>74</v>
      </c>
      <c r="AT838" s="2" t="s">
        <v>939</v>
      </c>
      <c r="AU838" s="2">
        <v>2005</v>
      </c>
      <c r="AV838" s="2">
        <v>272</v>
      </c>
      <c r="AW838" s="2">
        <v>1580</v>
      </c>
      <c r="AX838" s="2" t="s">
        <v>74</v>
      </c>
      <c r="AY838" s="2" t="s">
        <v>74</v>
      </c>
      <c r="AZ838" s="2" t="s">
        <v>74</v>
      </c>
      <c r="BA838" s="2" t="s">
        <v>74</v>
      </c>
      <c r="BB838" s="2">
        <v>2519</v>
      </c>
      <c r="BC838" s="2">
        <v>2523</v>
      </c>
      <c r="BD838" s="2" t="s">
        <v>74</v>
      </c>
      <c r="BE838" s="2" t="s">
        <v>3903</v>
      </c>
      <c r="BF838" s="2" t="str">
        <f>HYPERLINK("http://dx.doi.org/10.1098/rspb.2005.3186","http://dx.doi.org/10.1098/rspb.2005.3186")</f>
        <v>http://dx.doi.org/10.1098/rspb.2005.3186</v>
      </c>
      <c r="BG838" s="2" t="s">
        <v>74</v>
      </c>
      <c r="BH838" s="2" t="s">
        <v>74</v>
      </c>
      <c r="BI838" s="2" t="s">
        <v>74</v>
      </c>
      <c r="BJ838" s="2" t="s">
        <v>74</v>
      </c>
      <c r="BK838" s="2" t="s">
        <v>74</v>
      </c>
      <c r="BL838" s="2" t="s">
        <v>74</v>
      </c>
      <c r="BM838" s="2" t="s">
        <v>74</v>
      </c>
      <c r="BN838" s="2">
        <v>16271978</v>
      </c>
      <c r="BO838" s="2" t="s">
        <v>74</v>
      </c>
      <c r="BP838" s="2" t="s">
        <v>74</v>
      </c>
      <c r="BQ838" s="2" t="s">
        <v>74</v>
      </c>
      <c r="BR838" s="2" t="s">
        <v>74</v>
      </c>
      <c r="BS838" s="2" t="s">
        <v>3904</v>
      </c>
      <c r="BT838" s="2" t="str">
        <f>HYPERLINK("https%3A%2F%2Fwww.webofscience.com%2Fwos%2Fwoscc%2Ffull-record%2FWOS:000233751700011","View Full Record in Web of Science")</f>
        <v>View Full Record in Web of Science</v>
      </c>
    </row>
    <row r="839" spans="1:72" s="2" customFormat="1" x14ac:dyDescent="0.4">
      <c r="A839" s="2" t="s">
        <v>72</v>
      </c>
      <c r="B839" s="2" t="s">
        <v>2935</v>
      </c>
      <c r="C839" s="2" t="s">
        <v>74</v>
      </c>
      <c r="D839" s="2" t="s">
        <v>74</v>
      </c>
      <c r="E839" s="2" t="s">
        <v>74</v>
      </c>
      <c r="F839" s="2" t="s">
        <v>2935</v>
      </c>
      <c r="G839" s="2" t="s">
        <v>74</v>
      </c>
      <c r="H839" s="2" t="s">
        <v>74</v>
      </c>
      <c r="I839" s="2" t="s">
        <v>2936</v>
      </c>
      <c r="J839" s="2" t="s">
        <v>2191</v>
      </c>
      <c r="K839" s="2" t="s">
        <v>74</v>
      </c>
      <c r="L839" s="2" t="s">
        <v>74</v>
      </c>
      <c r="M839" s="2" t="s">
        <v>74</v>
      </c>
      <c r="N839" s="2" t="s">
        <v>74</v>
      </c>
      <c r="O839" s="2" t="s">
        <v>74</v>
      </c>
      <c r="P839" s="2" t="s">
        <v>74</v>
      </c>
      <c r="Q839" s="2" t="s">
        <v>74</v>
      </c>
      <c r="R839" s="2" t="s">
        <v>74</v>
      </c>
      <c r="S839" s="2" t="s">
        <v>74</v>
      </c>
      <c r="T839" s="2" t="s">
        <v>74</v>
      </c>
      <c r="U839" s="2" t="s">
        <v>74</v>
      </c>
      <c r="V839" s="5" t="s">
        <v>2937</v>
      </c>
      <c r="W839" s="2" t="s">
        <v>74</v>
      </c>
      <c r="X839" s="2" t="s">
        <v>74</v>
      </c>
      <c r="Y839" s="2" t="s">
        <v>74</v>
      </c>
      <c r="Z839" s="2" t="s">
        <v>74</v>
      </c>
      <c r="AA839" s="2" t="s">
        <v>74</v>
      </c>
      <c r="AB839" s="2" t="s">
        <v>74</v>
      </c>
      <c r="AC839" s="2" t="s">
        <v>74</v>
      </c>
      <c r="AD839" s="2" t="s">
        <v>74</v>
      </c>
      <c r="AE839" s="2" t="s">
        <v>74</v>
      </c>
      <c r="AF839" s="2" t="s">
        <v>74</v>
      </c>
      <c r="AG839" s="2" t="s">
        <v>74</v>
      </c>
      <c r="AH839" s="2" t="s">
        <v>74</v>
      </c>
      <c r="AI839" s="2" t="s">
        <v>74</v>
      </c>
      <c r="AJ839" s="2" t="s">
        <v>74</v>
      </c>
      <c r="AK839" s="2" t="s">
        <v>74</v>
      </c>
      <c r="AL839" s="2" t="s">
        <v>74</v>
      </c>
      <c r="AM839" s="2" t="s">
        <v>74</v>
      </c>
      <c r="AN839" s="2" t="s">
        <v>74</v>
      </c>
      <c r="AO839" s="2" t="s">
        <v>2193</v>
      </c>
      <c r="AP839" s="2" t="s">
        <v>2194</v>
      </c>
      <c r="AQ839" s="2" t="s">
        <v>74</v>
      </c>
      <c r="AR839" s="2" t="s">
        <v>74</v>
      </c>
      <c r="AS839" s="2" t="s">
        <v>74</v>
      </c>
      <c r="AT839" s="2" t="s">
        <v>255</v>
      </c>
      <c r="AU839" s="2">
        <v>2005</v>
      </c>
      <c r="AV839" s="2">
        <v>32</v>
      </c>
      <c r="AW839" s="2">
        <v>2</v>
      </c>
      <c r="AX839" s="2" t="s">
        <v>74</v>
      </c>
      <c r="AY839" s="2" t="s">
        <v>74</v>
      </c>
      <c r="AZ839" s="2" t="s">
        <v>74</v>
      </c>
      <c r="BA839" s="2" t="s">
        <v>74</v>
      </c>
      <c r="BB839" s="2">
        <v>277</v>
      </c>
      <c r="BC839" s="2">
        <v>284</v>
      </c>
      <c r="BD839" s="2" t="s">
        <v>74</v>
      </c>
      <c r="BE839" s="2" t="s">
        <v>2938</v>
      </c>
      <c r="BF839" s="2" t="str">
        <f>HYPERLINK("http://dx.doi.org/10.1016/j.aquaeng.2004.04.004","http://dx.doi.org/10.1016/j.aquaeng.2004.04.004")</f>
        <v>http://dx.doi.org/10.1016/j.aquaeng.2004.04.004</v>
      </c>
      <c r="BG839" s="2" t="s">
        <v>74</v>
      </c>
      <c r="BH839" s="2" t="s">
        <v>74</v>
      </c>
      <c r="BI839" s="2" t="s">
        <v>74</v>
      </c>
      <c r="BJ839" s="2" t="s">
        <v>74</v>
      </c>
      <c r="BK839" s="2" t="s">
        <v>74</v>
      </c>
      <c r="BL839" s="2" t="s">
        <v>74</v>
      </c>
      <c r="BM839" s="2" t="s">
        <v>74</v>
      </c>
      <c r="BN839" s="2" t="s">
        <v>74</v>
      </c>
      <c r="BO839" s="2" t="s">
        <v>74</v>
      </c>
      <c r="BP839" s="2" t="s">
        <v>74</v>
      </c>
      <c r="BQ839" s="2" t="s">
        <v>74</v>
      </c>
      <c r="BR839" s="2" t="s">
        <v>74</v>
      </c>
      <c r="BS839" s="2" t="s">
        <v>2939</v>
      </c>
      <c r="BT839" s="2" t="str">
        <f>HYPERLINK("https%3A%2F%2Fwww.webofscience.com%2Fwos%2Fwoscc%2Ffull-record%2FWOS:000226462600001","View Full Record in Web of Science")</f>
        <v>View Full Record in Web of Science</v>
      </c>
    </row>
    <row r="840" spans="1:72" s="2" customFormat="1" x14ac:dyDescent="0.4">
      <c r="A840" s="2" t="s">
        <v>72</v>
      </c>
      <c r="B840" s="2" t="s">
        <v>7701</v>
      </c>
      <c r="C840" s="2" t="s">
        <v>74</v>
      </c>
      <c r="D840" s="2" t="s">
        <v>74</v>
      </c>
      <c r="E840" s="2" t="s">
        <v>74</v>
      </c>
      <c r="F840" s="2" t="s">
        <v>7701</v>
      </c>
      <c r="G840" s="2" t="s">
        <v>74</v>
      </c>
      <c r="H840" s="2" t="s">
        <v>74</v>
      </c>
      <c r="I840" s="2" t="s">
        <v>7702</v>
      </c>
      <c r="J840" s="2" t="s">
        <v>108</v>
      </c>
      <c r="K840" s="2" t="s">
        <v>74</v>
      </c>
      <c r="L840" s="2" t="s">
        <v>74</v>
      </c>
      <c r="M840" s="2" t="s">
        <v>74</v>
      </c>
      <c r="N840" s="2" t="s">
        <v>74</v>
      </c>
      <c r="O840" s="2" t="s">
        <v>74</v>
      </c>
      <c r="P840" s="2" t="s">
        <v>74</v>
      </c>
      <c r="Q840" s="2" t="s">
        <v>74</v>
      </c>
      <c r="R840" s="2" t="s">
        <v>74</v>
      </c>
      <c r="S840" s="2" t="s">
        <v>74</v>
      </c>
      <c r="T840" s="2" t="s">
        <v>74</v>
      </c>
      <c r="U840" s="2" t="s">
        <v>74</v>
      </c>
      <c r="V840" s="5" t="s">
        <v>7703</v>
      </c>
      <c r="W840" s="2" t="s">
        <v>74</v>
      </c>
      <c r="X840" s="2" t="s">
        <v>74</v>
      </c>
      <c r="Y840" s="2" t="s">
        <v>74</v>
      </c>
      <c r="Z840" s="2" t="s">
        <v>74</v>
      </c>
      <c r="AA840" s="2" t="s">
        <v>74</v>
      </c>
      <c r="AB840" s="2" t="s">
        <v>74</v>
      </c>
      <c r="AC840" s="2" t="s">
        <v>74</v>
      </c>
      <c r="AD840" s="2" t="s">
        <v>74</v>
      </c>
      <c r="AE840" s="2" t="s">
        <v>74</v>
      </c>
      <c r="AF840" s="2" t="s">
        <v>74</v>
      </c>
      <c r="AG840" s="2" t="s">
        <v>74</v>
      </c>
      <c r="AH840" s="2" t="s">
        <v>74</v>
      </c>
      <c r="AI840" s="2" t="s">
        <v>74</v>
      </c>
      <c r="AJ840" s="2" t="s">
        <v>74</v>
      </c>
      <c r="AK840" s="2" t="s">
        <v>74</v>
      </c>
      <c r="AL840" s="2" t="s">
        <v>74</v>
      </c>
      <c r="AM840" s="2" t="s">
        <v>74</v>
      </c>
      <c r="AN840" s="2" t="s">
        <v>74</v>
      </c>
      <c r="AO840" s="2" t="s">
        <v>111</v>
      </c>
      <c r="AP840" s="2" t="s">
        <v>74</v>
      </c>
      <c r="AQ840" s="2" t="s">
        <v>74</v>
      </c>
      <c r="AR840" s="2" t="s">
        <v>74</v>
      </c>
      <c r="AS840" s="2" t="s">
        <v>74</v>
      </c>
      <c r="AT840" s="2" t="s">
        <v>2345</v>
      </c>
      <c r="AU840" s="2">
        <v>1998</v>
      </c>
      <c r="AV840" s="2">
        <v>265</v>
      </c>
      <c r="AW840" s="2">
        <v>1399</v>
      </c>
      <c r="AX840" s="2" t="s">
        <v>74</v>
      </c>
      <c r="AY840" s="2" t="s">
        <v>74</v>
      </c>
      <c r="AZ840" s="2" t="s">
        <v>74</v>
      </c>
      <c r="BA840" s="2" t="s">
        <v>74</v>
      </c>
      <c r="BB840" s="2">
        <v>861</v>
      </c>
      <c r="BC840" s="2">
        <v>867</v>
      </c>
      <c r="BD840" s="2" t="s">
        <v>74</v>
      </c>
      <c r="BE840" s="2" t="s">
        <v>7704</v>
      </c>
      <c r="BF840" s="2" t="str">
        <f>HYPERLINK("http://dx.doi.org/10.1098/rspb.1998.0371","http://dx.doi.org/10.1098/rspb.1998.0371")</f>
        <v>http://dx.doi.org/10.1098/rspb.1998.0371</v>
      </c>
      <c r="BG840" s="2" t="s">
        <v>74</v>
      </c>
      <c r="BH840" s="2" t="s">
        <v>74</v>
      </c>
      <c r="BI840" s="2" t="s">
        <v>74</v>
      </c>
      <c r="BJ840" s="2" t="s">
        <v>74</v>
      </c>
      <c r="BK840" s="2" t="s">
        <v>74</v>
      </c>
      <c r="BL840" s="2" t="s">
        <v>74</v>
      </c>
      <c r="BM840" s="2" t="s">
        <v>74</v>
      </c>
      <c r="BN840" s="2" t="s">
        <v>74</v>
      </c>
      <c r="BO840" s="2" t="s">
        <v>74</v>
      </c>
      <c r="BP840" s="2" t="s">
        <v>74</v>
      </c>
      <c r="BQ840" s="2" t="s">
        <v>74</v>
      </c>
      <c r="BR840" s="2" t="s">
        <v>74</v>
      </c>
      <c r="BS840" s="2" t="s">
        <v>7705</v>
      </c>
      <c r="BT840" s="2" t="str">
        <f>HYPERLINK("https%3A%2F%2Fwww.webofscience.com%2Fwos%2Fwoscc%2Ffull-record%2FWOS:000073948500004","View Full Record in Web of Science")</f>
        <v>View Full Record in Web of Science</v>
      </c>
    </row>
    <row r="841" spans="1:72" s="2" customFormat="1" x14ac:dyDescent="0.4">
      <c r="A841" s="2" t="s">
        <v>72</v>
      </c>
      <c r="B841" s="2" t="s">
        <v>960</v>
      </c>
      <c r="C841" s="2" t="s">
        <v>74</v>
      </c>
      <c r="D841" s="2" t="s">
        <v>74</v>
      </c>
      <c r="E841" s="2" t="s">
        <v>74</v>
      </c>
      <c r="F841" s="2" t="s">
        <v>961</v>
      </c>
      <c r="G841" s="2" t="s">
        <v>74</v>
      </c>
      <c r="H841" s="2" t="s">
        <v>74</v>
      </c>
      <c r="I841" s="2" t="s">
        <v>962</v>
      </c>
      <c r="J841" s="2" t="s">
        <v>171</v>
      </c>
      <c r="K841" s="2" t="s">
        <v>74</v>
      </c>
      <c r="L841" s="2" t="s">
        <v>74</v>
      </c>
      <c r="M841" s="2" t="s">
        <v>74</v>
      </c>
      <c r="N841" s="2" t="s">
        <v>74</v>
      </c>
      <c r="O841" s="2" t="s">
        <v>74</v>
      </c>
      <c r="P841" s="2" t="s">
        <v>74</v>
      </c>
      <c r="Q841" s="2" t="s">
        <v>74</v>
      </c>
      <c r="R841" s="2" t="s">
        <v>74</v>
      </c>
      <c r="S841" s="2" t="s">
        <v>74</v>
      </c>
      <c r="T841" s="2" t="s">
        <v>74</v>
      </c>
      <c r="U841" s="2" t="s">
        <v>74</v>
      </c>
      <c r="V841" s="5" t="s">
        <v>963</v>
      </c>
      <c r="W841" s="2" t="s">
        <v>74</v>
      </c>
      <c r="X841" s="2" t="s">
        <v>74</v>
      </c>
      <c r="Y841" s="2" t="s">
        <v>74</v>
      </c>
      <c r="Z841" s="2" t="s">
        <v>74</v>
      </c>
      <c r="AA841" s="2" t="s">
        <v>74</v>
      </c>
      <c r="AB841" s="2" t="s">
        <v>74</v>
      </c>
      <c r="AC841" s="2" t="s">
        <v>74</v>
      </c>
      <c r="AD841" s="2" t="s">
        <v>74</v>
      </c>
      <c r="AE841" s="2" t="s">
        <v>74</v>
      </c>
      <c r="AF841" s="2" t="s">
        <v>74</v>
      </c>
      <c r="AG841" s="2" t="s">
        <v>74</v>
      </c>
      <c r="AH841" s="2" t="s">
        <v>74</v>
      </c>
      <c r="AI841" s="2" t="s">
        <v>74</v>
      </c>
      <c r="AJ841" s="2" t="s">
        <v>74</v>
      </c>
      <c r="AK841" s="2" t="s">
        <v>74</v>
      </c>
      <c r="AL841" s="2" t="s">
        <v>74</v>
      </c>
      <c r="AM841" s="2" t="s">
        <v>74</v>
      </c>
      <c r="AN841" s="2" t="s">
        <v>74</v>
      </c>
      <c r="AO841" s="2" t="s">
        <v>173</v>
      </c>
      <c r="AP841" s="2" t="s">
        <v>174</v>
      </c>
      <c r="AQ841" s="2" t="s">
        <v>74</v>
      </c>
      <c r="AR841" s="2" t="s">
        <v>74</v>
      </c>
      <c r="AS841" s="2" t="s">
        <v>74</v>
      </c>
      <c r="AT841" s="2" t="s">
        <v>964</v>
      </c>
      <c r="AU841" s="2">
        <v>2010</v>
      </c>
      <c r="AV841" s="2">
        <v>64</v>
      </c>
      <c r="AW841" s="2">
        <v>2</v>
      </c>
      <c r="AX841" s="2" t="s">
        <v>74</v>
      </c>
      <c r="AY841" s="2" t="s">
        <v>74</v>
      </c>
      <c r="AZ841" s="2" t="s">
        <v>74</v>
      </c>
      <c r="BA841" s="2" t="s">
        <v>74</v>
      </c>
      <c r="BB841" s="2">
        <v>324</v>
      </c>
      <c r="BC841" s="2">
        <v>335</v>
      </c>
      <c r="BD841" s="2" t="s">
        <v>74</v>
      </c>
      <c r="BE841" s="2" t="s">
        <v>965</v>
      </c>
      <c r="BF841" s="2" t="str">
        <f>HYPERLINK("http://dx.doi.org/10.1111/j.1558-5646.2009.00827.x","http://dx.doi.org/10.1111/j.1558-5646.2009.00827.x")</f>
        <v>http://dx.doi.org/10.1111/j.1558-5646.2009.00827.x</v>
      </c>
      <c r="BG841" s="2" t="s">
        <v>74</v>
      </c>
      <c r="BH841" s="2" t="s">
        <v>74</v>
      </c>
      <c r="BI841" s="2" t="s">
        <v>74</v>
      </c>
      <c r="BJ841" s="2" t="s">
        <v>74</v>
      </c>
      <c r="BK841" s="2" t="s">
        <v>74</v>
      </c>
      <c r="BL841" s="2" t="s">
        <v>74</v>
      </c>
      <c r="BM841" s="2" t="s">
        <v>74</v>
      </c>
      <c r="BN841" s="2">
        <v>19703221</v>
      </c>
      <c r="BO841" s="2" t="s">
        <v>74</v>
      </c>
      <c r="BP841" s="2" t="s">
        <v>74</v>
      </c>
      <c r="BQ841" s="2" t="s">
        <v>74</v>
      </c>
      <c r="BR841" s="2" t="s">
        <v>74</v>
      </c>
      <c r="BS841" s="2" t="s">
        <v>966</v>
      </c>
      <c r="BT841" s="2" t="str">
        <f>HYPERLINK("https%3A%2F%2Fwww.webofscience.com%2Fwos%2Fwoscc%2Ffull-record%2FWOS:000273821700003","View Full Record in Web of Science")</f>
        <v>View Full Record in Web of Science</v>
      </c>
    </row>
    <row r="842" spans="1:72" s="2" customFormat="1" x14ac:dyDescent="0.4">
      <c r="A842" s="2" t="s">
        <v>72</v>
      </c>
      <c r="B842" s="2" t="s">
        <v>8297</v>
      </c>
      <c r="C842" s="2" t="s">
        <v>74</v>
      </c>
      <c r="D842" s="2" t="s">
        <v>74</v>
      </c>
      <c r="E842" s="2" t="s">
        <v>74</v>
      </c>
      <c r="F842" s="2" t="s">
        <v>8298</v>
      </c>
      <c r="G842" s="2" t="s">
        <v>74</v>
      </c>
      <c r="H842" s="2" t="s">
        <v>74</v>
      </c>
      <c r="I842" s="2" t="s">
        <v>8299</v>
      </c>
      <c r="J842" s="2" t="s">
        <v>7393</v>
      </c>
      <c r="K842" s="2" t="s">
        <v>74</v>
      </c>
      <c r="L842" s="2" t="s">
        <v>74</v>
      </c>
      <c r="M842" s="2" t="s">
        <v>74</v>
      </c>
      <c r="N842" s="2" t="s">
        <v>74</v>
      </c>
      <c r="O842" s="2" t="s">
        <v>74</v>
      </c>
      <c r="P842" s="2" t="s">
        <v>74</v>
      </c>
      <c r="Q842" s="2" t="s">
        <v>74</v>
      </c>
      <c r="R842" s="2" t="s">
        <v>74</v>
      </c>
      <c r="S842" s="2" t="s">
        <v>74</v>
      </c>
      <c r="T842" s="2" t="s">
        <v>74</v>
      </c>
      <c r="U842" s="2" t="s">
        <v>74</v>
      </c>
      <c r="V842" s="5" t="s">
        <v>8300</v>
      </c>
      <c r="W842" s="2" t="s">
        <v>74</v>
      </c>
      <c r="X842" s="2" t="s">
        <v>74</v>
      </c>
      <c r="Y842" s="2" t="s">
        <v>74</v>
      </c>
      <c r="Z842" s="2" t="s">
        <v>74</v>
      </c>
      <c r="AA842" s="2" t="s">
        <v>8301</v>
      </c>
      <c r="AB842" s="2" t="s">
        <v>8302</v>
      </c>
      <c r="AC842" s="2" t="s">
        <v>74</v>
      </c>
      <c r="AD842" s="2" t="s">
        <v>74</v>
      </c>
      <c r="AE842" s="2" t="s">
        <v>74</v>
      </c>
      <c r="AF842" s="2" t="s">
        <v>74</v>
      </c>
      <c r="AG842" s="2" t="s">
        <v>74</v>
      </c>
      <c r="AH842" s="2" t="s">
        <v>74</v>
      </c>
      <c r="AI842" s="2" t="s">
        <v>74</v>
      </c>
      <c r="AJ842" s="2" t="s">
        <v>74</v>
      </c>
      <c r="AK842" s="2" t="s">
        <v>74</v>
      </c>
      <c r="AL842" s="2" t="s">
        <v>74</v>
      </c>
      <c r="AM842" s="2" t="s">
        <v>74</v>
      </c>
      <c r="AN842" s="2" t="s">
        <v>74</v>
      </c>
      <c r="AO842" s="2" t="s">
        <v>7397</v>
      </c>
      <c r="AP842" s="2" t="s">
        <v>7398</v>
      </c>
      <c r="AQ842" s="2" t="s">
        <v>74</v>
      </c>
      <c r="AR842" s="2" t="s">
        <v>74</v>
      </c>
      <c r="AS842" s="2" t="s">
        <v>74</v>
      </c>
      <c r="AT842" s="2" t="s">
        <v>964</v>
      </c>
      <c r="AU842" s="2">
        <v>2021</v>
      </c>
      <c r="AV842" s="2">
        <v>109</v>
      </c>
      <c r="AW842" s="2">
        <v>2</v>
      </c>
      <c r="AX842" s="2" t="s">
        <v>74</v>
      </c>
      <c r="AY842" s="2" t="s">
        <v>74</v>
      </c>
      <c r="AZ842" s="2" t="s">
        <v>74</v>
      </c>
      <c r="BA842" s="2" t="s">
        <v>74</v>
      </c>
      <c r="BB842" s="2">
        <v>939</v>
      </c>
      <c r="BC842" s="2">
        <v>951</v>
      </c>
      <c r="BD842" s="2" t="s">
        <v>74</v>
      </c>
      <c r="BE842" s="2" t="s">
        <v>8303</v>
      </c>
      <c r="BF842" s="2" t="str">
        <f>HYPERLINK("http://dx.doi.org/10.1111/1365-2745.13520","http://dx.doi.org/10.1111/1365-2745.13520")</f>
        <v>http://dx.doi.org/10.1111/1365-2745.13520</v>
      </c>
      <c r="BG842" s="2" t="s">
        <v>74</v>
      </c>
      <c r="BH842" s="2" t="s">
        <v>8304</v>
      </c>
      <c r="BI842" s="2" t="s">
        <v>74</v>
      </c>
      <c r="BJ842" s="2" t="s">
        <v>74</v>
      </c>
      <c r="BK842" s="2" t="s">
        <v>74</v>
      </c>
      <c r="BL842" s="2" t="s">
        <v>74</v>
      </c>
      <c r="BM842" s="2" t="s">
        <v>74</v>
      </c>
      <c r="BN842" s="2" t="s">
        <v>74</v>
      </c>
      <c r="BO842" s="2" t="s">
        <v>74</v>
      </c>
      <c r="BP842" s="2" t="s">
        <v>74</v>
      </c>
      <c r="BQ842" s="2" t="s">
        <v>74</v>
      </c>
      <c r="BR842" s="2" t="s">
        <v>74</v>
      </c>
      <c r="BS842" s="2" t="s">
        <v>8305</v>
      </c>
      <c r="BT842" s="2" t="str">
        <f>HYPERLINK("https%3A%2F%2Fwww.webofscience.com%2Fwos%2Fwoscc%2Ffull-record%2FWOS:000583496000001","View Full Record in Web of Science")</f>
        <v>View Full Record in Web of Science</v>
      </c>
    </row>
    <row r="843" spans="1:72" s="2" customFormat="1" x14ac:dyDescent="0.4">
      <c r="A843" s="2" t="s">
        <v>72</v>
      </c>
      <c r="B843" s="2" t="s">
        <v>8512</v>
      </c>
      <c r="C843" s="2" t="s">
        <v>74</v>
      </c>
      <c r="D843" s="2" t="s">
        <v>74</v>
      </c>
      <c r="E843" s="2" t="s">
        <v>74</v>
      </c>
      <c r="F843" s="2" t="s">
        <v>8512</v>
      </c>
      <c r="G843" s="2" t="s">
        <v>74</v>
      </c>
      <c r="H843" s="2" t="s">
        <v>74</v>
      </c>
      <c r="I843" s="2" t="s">
        <v>8513</v>
      </c>
      <c r="J843" s="2" t="s">
        <v>140</v>
      </c>
      <c r="K843" s="2" t="s">
        <v>74</v>
      </c>
      <c r="L843" s="2" t="s">
        <v>74</v>
      </c>
      <c r="M843" s="2" t="s">
        <v>74</v>
      </c>
      <c r="N843" s="2" t="s">
        <v>74</v>
      </c>
      <c r="O843" s="2" t="s">
        <v>74</v>
      </c>
      <c r="P843" s="2" t="s">
        <v>74</v>
      </c>
      <c r="Q843" s="2" t="s">
        <v>74</v>
      </c>
      <c r="R843" s="2" t="s">
        <v>74</v>
      </c>
      <c r="S843" s="2" t="s">
        <v>74</v>
      </c>
      <c r="T843" s="2" t="s">
        <v>74</v>
      </c>
      <c r="U843" s="2" t="s">
        <v>74</v>
      </c>
      <c r="V843" s="5" t="s">
        <v>8514</v>
      </c>
      <c r="W843" s="2" t="s">
        <v>74</v>
      </c>
      <c r="X843" s="2" t="s">
        <v>74</v>
      </c>
      <c r="Y843" s="2" t="s">
        <v>74</v>
      </c>
      <c r="Z843" s="2" t="s">
        <v>74</v>
      </c>
      <c r="AA843" s="2" t="s">
        <v>74</v>
      </c>
      <c r="AB843" s="2" t="s">
        <v>8515</v>
      </c>
      <c r="AC843" s="2" t="s">
        <v>74</v>
      </c>
      <c r="AD843" s="2" t="s">
        <v>74</v>
      </c>
      <c r="AE843" s="2" t="s">
        <v>74</v>
      </c>
      <c r="AF843" s="2" t="s">
        <v>74</v>
      </c>
      <c r="AG843" s="2" t="s">
        <v>74</v>
      </c>
      <c r="AH843" s="2" t="s">
        <v>74</v>
      </c>
      <c r="AI843" s="2" t="s">
        <v>74</v>
      </c>
      <c r="AJ843" s="2" t="s">
        <v>74</v>
      </c>
      <c r="AK843" s="2" t="s">
        <v>74</v>
      </c>
      <c r="AL843" s="2" t="s">
        <v>74</v>
      </c>
      <c r="AM843" s="2" t="s">
        <v>74</v>
      </c>
      <c r="AN843" s="2" t="s">
        <v>74</v>
      </c>
      <c r="AO843" s="2" t="s">
        <v>143</v>
      </c>
      <c r="AP843" s="2" t="s">
        <v>144</v>
      </c>
      <c r="AQ843" s="2" t="s">
        <v>74</v>
      </c>
      <c r="AR843" s="2" t="s">
        <v>74</v>
      </c>
      <c r="AS843" s="2" t="s">
        <v>74</v>
      </c>
      <c r="AT843" s="2" t="s">
        <v>175</v>
      </c>
      <c r="AU843" s="2">
        <v>1997</v>
      </c>
      <c r="AV843" s="2">
        <v>54</v>
      </c>
      <c r="AW843" s="2" t="s">
        <v>74</v>
      </c>
      <c r="AX843" s="2">
        <v>4</v>
      </c>
      <c r="AY843" s="2" t="s">
        <v>74</v>
      </c>
      <c r="AZ843" s="2" t="s">
        <v>74</v>
      </c>
      <c r="BA843" s="2" t="s">
        <v>74</v>
      </c>
      <c r="BB843" s="2">
        <v>893</v>
      </c>
      <c r="BC843" s="2">
        <v>899</v>
      </c>
      <c r="BD843" s="2" t="s">
        <v>74</v>
      </c>
      <c r="BE843" s="2" t="s">
        <v>8516</v>
      </c>
      <c r="BF843" s="2" t="str">
        <f>HYPERLINK("http://dx.doi.org/10.1006/anbe.1997.0514","http://dx.doi.org/10.1006/anbe.1997.0514")</f>
        <v>http://dx.doi.org/10.1006/anbe.1997.0514</v>
      </c>
      <c r="BG843" s="2" t="s">
        <v>74</v>
      </c>
      <c r="BH843" s="2" t="s">
        <v>74</v>
      </c>
      <c r="BI843" s="2" t="s">
        <v>74</v>
      </c>
      <c r="BJ843" s="2" t="s">
        <v>74</v>
      </c>
      <c r="BK843" s="2" t="s">
        <v>74</v>
      </c>
      <c r="BL843" s="2" t="s">
        <v>74</v>
      </c>
      <c r="BM843" s="2" t="s">
        <v>74</v>
      </c>
      <c r="BN843" s="2">
        <v>9344442</v>
      </c>
      <c r="BO843" s="2" t="s">
        <v>74</v>
      </c>
      <c r="BP843" s="2" t="s">
        <v>74</v>
      </c>
      <c r="BQ843" s="2" t="s">
        <v>74</v>
      </c>
      <c r="BR843" s="2" t="s">
        <v>74</v>
      </c>
      <c r="BS843" s="2" t="s">
        <v>8517</v>
      </c>
      <c r="BT843" s="2" t="str">
        <f>HYPERLINK("https%3A%2F%2Fwww.webofscience.com%2Fwos%2Fwoscc%2Ffull-record%2FWOS:A1997YE30600013","View Full Record in Web of Science")</f>
        <v>View Full Record in Web of Science</v>
      </c>
    </row>
    <row r="844" spans="1:72" s="2" customFormat="1" x14ac:dyDescent="0.4">
      <c r="A844" s="2" t="s">
        <v>72</v>
      </c>
      <c r="B844" s="2" t="s">
        <v>4053</v>
      </c>
      <c r="C844" s="2" t="s">
        <v>74</v>
      </c>
      <c r="D844" s="2" t="s">
        <v>74</v>
      </c>
      <c r="E844" s="2" t="s">
        <v>74</v>
      </c>
      <c r="F844" s="2" t="s">
        <v>4054</v>
      </c>
      <c r="G844" s="2" t="s">
        <v>74</v>
      </c>
      <c r="H844" s="2" t="s">
        <v>74</v>
      </c>
      <c r="I844" s="2" t="s">
        <v>4055</v>
      </c>
      <c r="J844" s="2" t="s">
        <v>3190</v>
      </c>
      <c r="K844" s="2" t="s">
        <v>74</v>
      </c>
      <c r="L844" s="2" t="s">
        <v>74</v>
      </c>
      <c r="M844" s="2" t="s">
        <v>74</v>
      </c>
      <c r="N844" s="2" t="s">
        <v>74</v>
      </c>
      <c r="O844" s="2" t="s">
        <v>74</v>
      </c>
      <c r="P844" s="2" t="s">
        <v>74</v>
      </c>
      <c r="Q844" s="2" t="s">
        <v>74</v>
      </c>
      <c r="R844" s="2" t="s">
        <v>74</v>
      </c>
      <c r="S844" s="2" t="s">
        <v>74</v>
      </c>
      <c r="T844" s="2" t="s">
        <v>74</v>
      </c>
      <c r="U844" s="2" t="s">
        <v>74</v>
      </c>
      <c r="V844" s="5" t="s">
        <v>4056</v>
      </c>
      <c r="W844" s="2" t="s">
        <v>74</v>
      </c>
      <c r="X844" s="2" t="s">
        <v>74</v>
      </c>
      <c r="Y844" s="2" t="s">
        <v>74</v>
      </c>
      <c r="Z844" s="2" t="s">
        <v>74</v>
      </c>
      <c r="AA844" s="2" t="s">
        <v>4057</v>
      </c>
      <c r="AB844" s="2" t="s">
        <v>4058</v>
      </c>
      <c r="AC844" s="2" t="s">
        <v>74</v>
      </c>
      <c r="AD844" s="2" t="s">
        <v>74</v>
      </c>
      <c r="AE844" s="2" t="s">
        <v>74</v>
      </c>
      <c r="AF844" s="2" t="s">
        <v>74</v>
      </c>
      <c r="AG844" s="2" t="s">
        <v>74</v>
      </c>
      <c r="AH844" s="2" t="s">
        <v>74</v>
      </c>
      <c r="AI844" s="2" t="s">
        <v>74</v>
      </c>
      <c r="AJ844" s="2" t="s">
        <v>74</v>
      </c>
      <c r="AK844" s="2" t="s">
        <v>74</v>
      </c>
      <c r="AL844" s="2" t="s">
        <v>74</v>
      </c>
      <c r="AM844" s="2" t="s">
        <v>74</v>
      </c>
      <c r="AN844" s="2" t="s">
        <v>74</v>
      </c>
      <c r="AO844" s="2" t="s">
        <v>3193</v>
      </c>
      <c r="AP844" s="2" t="s">
        <v>3194</v>
      </c>
      <c r="AQ844" s="2" t="s">
        <v>74</v>
      </c>
      <c r="AR844" s="2" t="s">
        <v>74</v>
      </c>
      <c r="AS844" s="2" t="s">
        <v>74</v>
      </c>
      <c r="AT844" s="2" t="s">
        <v>213</v>
      </c>
      <c r="AU844" s="2">
        <v>2016</v>
      </c>
      <c r="AV844" s="2">
        <v>45</v>
      </c>
      <c r="AW844" s="2">
        <v>6</v>
      </c>
      <c r="AX844" s="2" t="s">
        <v>74</v>
      </c>
      <c r="AY844" s="2" t="s">
        <v>74</v>
      </c>
      <c r="AZ844" s="2" t="s">
        <v>74</v>
      </c>
      <c r="BA844" s="2" t="s">
        <v>74</v>
      </c>
      <c r="BB844" s="2">
        <v>509</v>
      </c>
      <c r="BC844" s="2">
        <v>518</v>
      </c>
      <c r="BD844" s="2" t="s">
        <v>74</v>
      </c>
      <c r="BE844" s="2" t="s">
        <v>4059</v>
      </c>
      <c r="BF844" s="2" t="str">
        <f>HYPERLINK("http://dx.doi.org/10.1016/j.asd.2016.10.008","http://dx.doi.org/10.1016/j.asd.2016.10.008")</f>
        <v>http://dx.doi.org/10.1016/j.asd.2016.10.008</v>
      </c>
      <c r="BG844" s="2" t="s">
        <v>74</v>
      </c>
      <c r="BH844" s="2" t="s">
        <v>74</v>
      </c>
      <c r="BI844" s="2" t="s">
        <v>74</v>
      </c>
      <c r="BJ844" s="2" t="s">
        <v>74</v>
      </c>
      <c r="BK844" s="2" t="s">
        <v>74</v>
      </c>
      <c r="BL844" s="2" t="s">
        <v>74</v>
      </c>
      <c r="BM844" s="2" t="s">
        <v>74</v>
      </c>
      <c r="BN844" s="2">
        <v>27725254</v>
      </c>
      <c r="BO844" s="2" t="s">
        <v>74</v>
      </c>
      <c r="BP844" s="2" t="s">
        <v>74</v>
      </c>
      <c r="BQ844" s="2" t="s">
        <v>74</v>
      </c>
      <c r="BR844" s="2" t="s">
        <v>74</v>
      </c>
      <c r="BS844" s="2" t="s">
        <v>4060</v>
      </c>
      <c r="BT844" s="2" t="str">
        <f>HYPERLINK("https%3A%2F%2Fwww.webofscience.com%2Fwos%2Fwoscc%2Ffull-record%2FWOS:000389092000001","View Full Record in Web of Science")</f>
        <v>View Full Record in Web of Science</v>
      </c>
    </row>
    <row r="845" spans="1:72" s="2" customFormat="1" x14ac:dyDescent="0.4">
      <c r="A845" s="2" t="s">
        <v>72</v>
      </c>
      <c r="B845" s="2" t="s">
        <v>2001</v>
      </c>
      <c r="C845" s="2" t="s">
        <v>74</v>
      </c>
      <c r="D845" s="2" t="s">
        <v>74</v>
      </c>
      <c r="E845" s="2" t="s">
        <v>74</v>
      </c>
      <c r="F845" s="2" t="s">
        <v>2002</v>
      </c>
      <c r="G845" s="2" t="s">
        <v>74</v>
      </c>
      <c r="H845" s="2" t="s">
        <v>74</v>
      </c>
      <c r="I845" s="2" t="s">
        <v>2003</v>
      </c>
      <c r="J845" s="2" t="s">
        <v>610</v>
      </c>
      <c r="K845" s="2" t="s">
        <v>74</v>
      </c>
      <c r="L845" s="2" t="s">
        <v>74</v>
      </c>
      <c r="M845" s="2" t="s">
        <v>74</v>
      </c>
      <c r="N845" s="2" t="s">
        <v>74</v>
      </c>
      <c r="O845" s="2" t="s">
        <v>74</v>
      </c>
      <c r="P845" s="2" t="s">
        <v>74</v>
      </c>
      <c r="Q845" s="2" t="s">
        <v>74</v>
      </c>
      <c r="R845" s="2" t="s">
        <v>74</v>
      </c>
      <c r="S845" s="2" t="s">
        <v>74</v>
      </c>
      <c r="T845" s="2" t="s">
        <v>74</v>
      </c>
      <c r="U845" s="2" t="s">
        <v>74</v>
      </c>
      <c r="V845" s="5" t="s">
        <v>2004</v>
      </c>
      <c r="W845" s="2" t="s">
        <v>74</v>
      </c>
      <c r="X845" s="2" t="s">
        <v>74</v>
      </c>
      <c r="Y845" s="2" t="s">
        <v>74</v>
      </c>
      <c r="Z845" s="2" t="s">
        <v>74</v>
      </c>
      <c r="AA845" s="2" t="s">
        <v>74</v>
      </c>
      <c r="AB845" s="2" t="s">
        <v>90</v>
      </c>
      <c r="AC845" s="2" t="s">
        <v>74</v>
      </c>
      <c r="AD845" s="2" t="s">
        <v>74</v>
      </c>
      <c r="AE845" s="2" t="s">
        <v>74</v>
      </c>
      <c r="AF845" s="2" t="s">
        <v>74</v>
      </c>
      <c r="AG845" s="2" t="s">
        <v>74</v>
      </c>
      <c r="AH845" s="2" t="s">
        <v>74</v>
      </c>
      <c r="AI845" s="2" t="s">
        <v>74</v>
      </c>
      <c r="AJ845" s="2" t="s">
        <v>74</v>
      </c>
      <c r="AK845" s="2" t="s">
        <v>74</v>
      </c>
      <c r="AL845" s="2" t="s">
        <v>74</v>
      </c>
      <c r="AM845" s="2" t="s">
        <v>74</v>
      </c>
      <c r="AN845" s="2" t="s">
        <v>74</v>
      </c>
      <c r="AO845" s="2" t="s">
        <v>614</v>
      </c>
      <c r="AP845" s="2" t="s">
        <v>615</v>
      </c>
      <c r="AQ845" s="2" t="s">
        <v>74</v>
      </c>
      <c r="AR845" s="2" t="s">
        <v>74</v>
      </c>
      <c r="AS845" s="2" t="s">
        <v>74</v>
      </c>
      <c r="AT845" s="2" t="s">
        <v>102</v>
      </c>
      <c r="AU845" s="2">
        <v>2022</v>
      </c>
      <c r="AV845" s="2">
        <v>128</v>
      </c>
      <c r="AW845" s="2">
        <v>6</v>
      </c>
      <c r="AX845" s="2" t="s">
        <v>74</v>
      </c>
      <c r="AY845" s="2" t="s">
        <v>74</v>
      </c>
      <c r="AZ845" s="2" t="s">
        <v>74</v>
      </c>
      <c r="BA845" s="2" t="s">
        <v>74</v>
      </c>
      <c r="BB845" s="2">
        <v>482</v>
      </c>
      <c r="BC845" s="2">
        <v>488</v>
      </c>
      <c r="BD845" s="2" t="s">
        <v>74</v>
      </c>
      <c r="BE845" s="2" t="s">
        <v>2005</v>
      </c>
      <c r="BF845" s="2" t="str">
        <f>HYPERLINK("http://dx.doi.org/10.1111/eth.13282","http://dx.doi.org/10.1111/eth.13282")</f>
        <v>http://dx.doi.org/10.1111/eth.13282</v>
      </c>
      <c r="BG845" s="2" t="s">
        <v>74</v>
      </c>
      <c r="BH845" s="2" t="s">
        <v>2006</v>
      </c>
      <c r="BI845" s="2" t="s">
        <v>74</v>
      </c>
      <c r="BJ845" s="2" t="s">
        <v>74</v>
      </c>
      <c r="BK845" s="2" t="s">
        <v>74</v>
      </c>
      <c r="BL845" s="2" t="s">
        <v>74</v>
      </c>
      <c r="BM845" s="2" t="s">
        <v>74</v>
      </c>
      <c r="BN845" s="2" t="s">
        <v>74</v>
      </c>
      <c r="BO845" s="2" t="s">
        <v>74</v>
      </c>
      <c r="BP845" s="2" t="s">
        <v>74</v>
      </c>
      <c r="BQ845" s="2" t="s">
        <v>74</v>
      </c>
      <c r="BR845" s="2" t="s">
        <v>74</v>
      </c>
      <c r="BS845" s="2" t="s">
        <v>2007</v>
      </c>
      <c r="BT845" s="2" t="str">
        <f>HYPERLINK("https%3A%2F%2Fwww.webofscience.com%2Fwos%2Fwoscc%2Ffull-record%2FWOS:000781080500001","View Full Record in Web of Science")</f>
        <v>View Full Record in Web of Science</v>
      </c>
    </row>
    <row r="846" spans="1:72" s="2" customFormat="1" x14ac:dyDescent="0.4">
      <c r="A846" s="2" t="s">
        <v>72</v>
      </c>
      <c r="B846" s="2" t="s">
        <v>1093</v>
      </c>
      <c r="C846" s="2" t="s">
        <v>74</v>
      </c>
      <c r="D846" s="2" t="s">
        <v>74</v>
      </c>
      <c r="E846" s="2" t="s">
        <v>74</v>
      </c>
      <c r="F846" s="2" t="s">
        <v>1094</v>
      </c>
      <c r="G846" s="2" t="s">
        <v>74</v>
      </c>
      <c r="H846" s="2" t="s">
        <v>74</v>
      </c>
      <c r="I846" s="2" t="s">
        <v>1095</v>
      </c>
      <c r="J846" s="2" t="s">
        <v>1096</v>
      </c>
      <c r="K846" s="2" t="s">
        <v>74</v>
      </c>
      <c r="L846" s="2" t="s">
        <v>74</v>
      </c>
      <c r="M846" s="2" t="s">
        <v>74</v>
      </c>
      <c r="N846" s="2" t="s">
        <v>74</v>
      </c>
      <c r="O846" s="2" t="s">
        <v>74</v>
      </c>
      <c r="P846" s="2" t="s">
        <v>74</v>
      </c>
      <c r="Q846" s="2" t="s">
        <v>74</v>
      </c>
      <c r="R846" s="2" t="s">
        <v>74</v>
      </c>
      <c r="S846" s="2" t="s">
        <v>74</v>
      </c>
      <c r="T846" s="2" t="s">
        <v>74</v>
      </c>
      <c r="U846" s="2" t="s">
        <v>74</v>
      </c>
      <c r="V846" s="5" t="s">
        <v>1097</v>
      </c>
      <c r="W846" s="2" t="s">
        <v>74</v>
      </c>
      <c r="X846" s="2" t="s">
        <v>74</v>
      </c>
      <c r="Y846" s="2" t="s">
        <v>74</v>
      </c>
      <c r="Z846" s="2" t="s">
        <v>74</v>
      </c>
      <c r="AA846" s="2" t="s">
        <v>74</v>
      </c>
      <c r="AB846" s="2" t="s">
        <v>90</v>
      </c>
      <c r="AC846" s="2" t="s">
        <v>74</v>
      </c>
      <c r="AD846" s="2" t="s">
        <v>74</v>
      </c>
      <c r="AE846" s="2" t="s">
        <v>74</v>
      </c>
      <c r="AF846" s="2" t="s">
        <v>74</v>
      </c>
      <c r="AG846" s="2" t="s">
        <v>74</v>
      </c>
      <c r="AH846" s="2" t="s">
        <v>74</v>
      </c>
      <c r="AI846" s="2" t="s">
        <v>74</v>
      </c>
      <c r="AJ846" s="2" t="s">
        <v>74</v>
      </c>
      <c r="AK846" s="2" t="s">
        <v>74</v>
      </c>
      <c r="AL846" s="2" t="s">
        <v>74</v>
      </c>
      <c r="AM846" s="2" t="s">
        <v>74</v>
      </c>
      <c r="AN846" s="2" t="s">
        <v>74</v>
      </c>
      <c r="AO846" s="2" t="s">
        <v>1098</v>
      </c>
      <c r="AP846" s="2" t="s">
        <v>1099</v>
      </c>
      <c r="AQ846" s="2" t="s">
        <v>74</v>
      </c>
      <c r="AR846" s="2" t="s">
        <v>74</v>
      </c>
      <c r="AS846" s="2" t="s">
        <v>74</v>
      </c>
      <c r="AT846" s="2" t="s">
        <v>255</v>
      </c>
      <c r="AU846" s="2">
        <v>2012</v>
      </c>
      <c r="AV846" s="2">
        <v>21</v>
      </c>
      <c r="AW846" s="2">
        <v>1</v>
      </c>
      <c r="AX846" s="2" t="s">
        <v>74</v>
      </c>
      <c r="AY846" s="2" t="s">
        <v>74</v>
      </c>
      <c r="AZ846" s="2" t="s">
        <v>74</v>
      </c>
      <c r="BA846" s="2" t="s">
        <v>74</v>
      </c>
      <c r="BB846" s="2">
        <v>34</v>
      </c>
      <c r="BC846" s="2">
        <v>41</v>
      </c>
      <c r="BD846" s="2" t="s">
        <v>74</v>
      </c>
      <c r="BE846" s="2" t="s">
        <v>1100</v>
      </c>
      <c r="BF846" s="2" t="str">
        <f>HYPERLINK("http://dx.doi.org/10.1111/j.1600-0633.2011.00520.x","http://dx.doi.org/10.1111/j.1600-0633.2011.00520.x")</f>
        <v>http://dx.doi.org/10.1111/j.1600-0633.2011.00520.x</v>
      </c>
      <c r="BG846" s="2" t="s">
        <v>74</v>
      </c>
      <c r="BH846" s="2" t="s">
        <v>74</v>
      </c>
      <c r="BI846" s="2" t="s">
        <v>74</v>
      </c>
      <c r="BJ846" s="2" t="s">
        <v>74</v>
      </c>
      <c r="BK846" s="2" t="s">
        <v>74</v>
      </c>
      <c r="BL846" s="2" t="s">
        <v>74</v>
      </c>
      <c r="BM846" s="2" t="s">
        <v>74</v>
      </c>
      <c r="BN846" s="2" t="s">
        <v>74</v>
      </c>
      <c r="BO846" s="2" t="s">
        <v>74</v>
      </c>
      <c r="BP846" s="2" t="s">
        <v>74</v>
      </c>
      <c r="BQ846" s="2" t="s">
        <v>74</v>
      </c>
      <c r="BR846" s="2" t="s">
        <v>74</v>
      </c>
      <c r="BS846" s="2" t="s">
        <v>1101</v>
      </c>
      <c r="BT846" s="2" t="str">
        <f>HYPERLINK("https%3A%2F%2Fwww.webofscience.com%2Fwos%2Fwoscc%2Ffull-record%2FWOS:000297634700004","View Full Record in Web of Science")</f>
        <v>View Full Record in Web of Science</v>
      </c>
    </row>
    <row r="847" spans="1:72" s="2" customFormat="1" x14ac:dyDescent="0.4">
      <c r="A847" s="2" t="s">
        <v>72</v>
      </c>
      <c r="B847" s="2" t="s">
        <v>85</v>
      </c>
      <c r="C847" s="2" t="s">
        <v>74</v>
      </c>
      <c r="D847" s="2" t="s">
        <v>74</v>
      </c>
      <c r="E847" s="2" t="s">
        <v>74</v>
      </c>
      <c r="F847" s="2" t="s">
        <v>86</v>
      </c>
      <c r="G847" s="2" t="s">
        <v>74</v>
      </c>
      <c r="H847" s="2" t="s">
        <v>74</v>
      </c>
      <c r="I847" s="2" t="s">
        <v>87</v>
      </c>
      <c r="J847" s="2" t="s">
        <v>88</v>
      </c>
      <c r="K847" s="2" t="s">
        <v>74</v>
      </c>
      <c r="L847" s="2" t="s">
        <v>74</v>
      </c>
      <c r="M847" s="2" t="s">
        <v>74</v>
      </c>
      <c r="N847" s="2" t="s">
        <v>74</v>
      </c>
      <c r="O847" s="2" t="s">
        <v>74</v>
      </c>
      <c r="P847" s="2" t="s">
        <v>74</v>
      </c>
      <c r="Q847" s="2" t="s">
        <v>74</v>
      </c>
      <c r="R847" s="2" t="s">
        <v>74</v>
      </c>
      <c r="S847" s="2" t="s">
        <v>74</v>
      </c>
      <c r="T847" s="2" t="s">
        <v>74</v>
      </c>
      <c r="U847" s="2" t="s">
        <v>74</v>
      </c>
      <c r="V847" s="5" t="s">
        <v>89</v>
      </c>
      <c r="W847" s="2" t="s">
        <v>74</v>
      </c>
      <c r="X847" s="2" t="s">
        <v>74</v>
      </c>
      <c r="Y847" s="2" t="s">
        <v>74</v>
      </c>
      <c r="Z847" s="2" t="s">
        <v>74</v>
      </c>
      <c r="AA847" s="2" t="s">
        <v>74</v>
      </c>
      <c r="AB847" s="2" t="s">
        <v>90</v>
      </c>
      <c r="AC847" s="2" t="s">
        <v>74</v>
      </c>
      <c r="AD847" s="2" t="s">
        <v>74</v>
      </c>
      <c r="AE847" s="2" t="s">
        <v>74</v>
      </c>
      <c r="AF847" s="2" t="s">
        <v>74</v>
      </c>
      <c r="AG847" s="2" t="s">
        <v>74</v>
      </c>
      <c r="AH847" s="2" t="s">
        <v>74</v>
      </c>
      <c r="AI847" s="2" t="s">
        <v>74</v>
      </c>
      <c r="AJ847" s="2" t="s">
        <v>74</v>
      </c>
      <c r="AK847" s="2" t="s">
        <v>74</v>
      </c>
      <c r="AL847" s="2" t="s">
        <v>74</v>
      </c>
      <c r="AM847" s="2" t="s">
        <v>74</v>
      </c>
      <c r="AN847" s="2" t="s">
        <v>74</v>
      </c>
      <c r="AO847" s="2" t="s">
        <v>91</v>
      </c>
      <c r="AP847" s="2" t="s">
        <v>92</v>
      </c>
      <c r="AQ847" s="2" t="s">
        <v>74</v>
      </c>
      <c r="AR847" s="2" t="s">
        <v>74</v>
      </c>
      <c r="AS847" s="2" t="s">
        <v>74</v>
      </c>
      <c r="AT847" s="2" t="s">
        <v>93</v>
      </c>
      <c r="AU847" s="2">
        <v>2008</v>
      </c>
      <c r="AV847" s="2">
        <v>4</v>
      </c>
      <c r="AW847" s="2">
        <v>2</v>
      </c>
      <c r="AX847" s="2" t="s">
        <v>74</v>
      </c>
      <c r="AY847" s="2" t="s">
        <v>74</v>
      </c>
      <c r="AZ847" s="2" t="s">
        <v>74</v>
      </c>
      <c r="BA847" s="2" t="s">
        <v>74</v>
      </c>
      <c r="BB847" s="2">
        <v>156</v>
      </c>
      <c r="BC847" s="2">
        <v>159</v>
      </c>
      <c r="BD847" s="2" t="s">
        <v>74</v>
      </c>
      <c r="BE847" s="2" t="s">
        <v>94</v>
      </c>
      <c r="BF847" s="2" t="str">
        <f>HYPERLINK("http://dx.doi.org/10.1098/rsbl.2007.0581","http://dx.doi.org/10.1098/rsbl.2007.0581")</f>
        <v>http://dx.doi.org/10.1098/rsbl.2007.0581</v>
      </c>
      <c r="BG847" s="2" t="s">
        <v>74</v>
      </c>
      <c r="BH847" s="2" t="s">
        <v>74</v>
      </c>
      <c r="BI847" s="2" t="s">
        <v>74</v>
      </c>
      <c r="BJ847" s="2" t="s">
        <v>74</v>
      </c>
      <c r="BK847" s="2" t="s">
        <v>74</v>
      </c>
      <c r="BL847" s="2" t="s">
        <v>74</v>
      </c>
      <c r="BM847" s="2" t="s">
        <v>74</v>
      </c>
      <c r="BN847" s="2">
        <v>18230585</v>
      </c>
      <c r="BO847" s="2" t="s">
        <v>74</v>
      </c>
      <c r="BP847" s="2" t="s">
        <v>74</v>
      </c>
      <c r="BQ847" s="2" t="s">
        <v>74</v>
      </c>
      <c r="BR847" s="2" t="s">
        <v>74</v>
      </c>
      <c r="BS847" s="2" t="s">
        <v>95</v>
      </c>
      <c r="BT847" s="2" t="str">
        <f>HYPERLINK("https%3A%2F%2Fwww.webofscience.com%2Fwos%2Fwoscc%2Ffull-record%2FWOS:000254353200005","View Full Record in Web of Science")</f>
        <v>View Full Record in Web of Science</v>
      </c>
    </row>
    <row r="848" spans="1:72" s="2" customFormat="1" x14ac:dyDescent="0.4">
      <c r="A848" s="2" t="s">
        <v>72</v>
      </c>
      <c r="B848" s="2" t="s">
        <v>428</v>
      </c>
      <c r="C848" s="2" t="s">
        <v>74</v>
      </c>
      <c r="D848" s="2" t="s">
        <v>74</v>
      </c>
      <c r="E848" s="2" t="s">
        <v>74</v>
      </c>
      <c r="F848" s="2" t="s">
        <v>429</v>
      </c>
      <c r="G848" s="2" t="s">
        <v>74</v>
      </c>
      <c r="H848" s="2" t="s">
        <v>74</v>
      </c>
      <c r="I848" s="2" t="s">
        <v>430</v>
      </c>
      <c r="J848" s="2" t="s">
        <v>431</v>
      </c>
      <c r="K848" s="2" t="s">
        <v>74</v>
      </c>
      <c r="L848" s="2" t="s">
        <v>74</v>
      </c>
      <c r="M848" s="2" t="s">
        <v>74</v>
      </c>
      <c r="N848" s="2" t="s">
        <v>74</v>
      </c>
      <c r="O848" s="2" t="s">
        <v>74</v>
      </c>
      <c r="P848" s="2" t="s">
        <v>74</v>
      </c>
      <c r="Q848" s="2" t="s">
        <v>74</v>
      </c>
      <c r="R848" s="2" t="s">
        <v>74</v>
      </c>
      <c r="S848" s="2" t="s">
        <v>74</v>
      </c>
      <c r="T848" s="2" t="s">
        <v>74</v>
      </c>
      <c r="U848" s="2" t="s">
        <v>74</v>
      </c>
      <c r="V848" s="5" t="s">
        <v>432</v>
      </c>
      <c r="W848" s="2" t="s">
        <v>74</v>
      </c>
      <c r="X848" s="2" t="s">
        <v>74</v>
      </c>
      <c r="Y848" s="2" t="s">
        <v>74</v>
      </c>
      <c r="Z848" s="2" t="s">
        <v>74</v>
      </c>
      <c r="AA848" s="2" t="s">
        <v>433</v>
      </c>
      <c r="AB848" s="2" t="s">
        <v>434</v>
      </c>
      <c r="AC848" s="2" t="s">
        <v>74</v>
      </c>
      <c r="AD848" s="2" t="s">
        <v>74</v>
      </c>
      <c r="AE848" s="2" t="s">
        <v>74</v>
      </c>
      <c r="AF848" s="2" t="s">
        <v>74</v>
      </c>
      <c r="AG848" s="2" t="s">
        <v>74</v>
      </c>
      <c r="AH848" s="2" t="s">
        <v>74</v>
      </c>
      <c r="AI848" s="2" t="s">
        <v>74</v>
      </c>
      <c r="AJ848" s="2" t="s">
        <v>74</v>
      </c>
      <c r="AK848" s="2" t="s">
        <v>74</v>
      </c>
      <c r="AL848" s="2" t="s">
        <v>74</v>
      </c>
      <c r="AM848" s="2" t="s">
        <v>74</v>
      </c>
      <c r="AN848" s="2" t="s">
        <v>74</v>
      </c>
      <c r="AO848" s="2" t="s">
        <v>74</v>
      </c>
      <c r="AP848" s="2" t="s">
        <v>435</v>
      </c>
      <c r="AQ848" s="2" t="s">
        <v>74</v>
      </c>
      <c r="AR848" s="2" t="s">
        <v>74</v>
      </c>
      <c r="AS848" s="2" t="s">
        <v>74</v>
      </c>
      <c r="AT848" s="2" t="s">
        <v>204</v>
      </c>
      <c r="AU848" s="2">
        <v>2011</v>
      </c>
      <c r="AV848" s="2">
        <v>128</v>
      </c>
      <c r="AW848" s="2">
        <v>3</v>
      </c>
      <c r="AX848" s="2" t="s">
        <v>74</v>
      </c>
      <c r="AY848" s="2" t="s">
        <v>74</v>
      </c>
      <c r="AZ848" s="2" t="s">
        <v>74</v>
      </c>
      <c r="BA848" s="2" t="s">
        <v>74</v>
      </c>
      <c r="BB848" s="2">
        <v>497</v>
      </c>
      <c r="BC848" s="2">
        <v>505</v>
      </c>
      <c r="BD848" s="2" t="s">
        <v>74</v>
      </c>
      <c r="BE848" s="2" t="s">
        <v>436</v>
      </c>
      <c r="BF848" s="2" t="str">
        <f>HYPERLINK("http://dx.doi.org/10.1525/auk.2011.11085","http://dx.doi.org/10.1525/auk.2011.11085")</f>
        <v>http://dx.doi.org/10.1525/auk.2011.11085</v>
      </c>
      <c r="BG848" s="2" t="s">
        <v>74</v>
      </c>
      <c r="BH848" s="2" t="s">
        <v>74</v>
      </c>
      <c r="BI848" s="2" t="s">
        <v>74</v>
      </c>
      <c r="BJ848" s="2" t="s">
        <v>74</v>
      </c>
      <c r="BK848" s="2" t="s">
        <v>74</v>
      </c>
      <c r="BL848" s="2" t="s">
        <v>74</v>
      </c>
      <c r="BM848" s="2" t="s">
        <v>74</v>
      </c>
      <c r="BN848" s="2" t="s">
        <v>74</v>
      </c>
      <c r="BO848" s="2" t="s">
        <v>74</v>
      </c>
      <c r="BP848" s="2" t="s">
        <v>74</v>
      </c>
      <c r="BQ848" s="2" t="s">
        <v>74</v>
      </c>
      <c r="BR848" s="2" t="s">
        <v>74</v>
      </c>
      <c r="BS848" s="2" t="s">
        <v>437</v>
      </c>
      <c r="BT848" s="2" t="str">
        <f>HYPERLINK("https%3A%2F%2Fwww.webofscience.com%2Fwos%2Fwoscc%2Ffull-record%2FWOS:000293307300007","View Full Record in Web of Science")</f>
        <v>View Full Record in Web of Science</v>
      </c>
    </row>
    <row r="849" spans="1:72" s="2" customFormat="1" x14ac:dyDescent="0.4">
      <c r="A849" s="2" t="s">
        <v>72</v>
      </c>
      <c r="B849" s="2" t="s">
        <v>7093</v>
      </c>
      <c r="C849" s="2" t="s">
        <v>74</v>
      </c>
      <c r="D849" s="2" t="s">
        <v>74</v>
      </c>
      <c r="E849" s="2" t="s">
        <v>74</v>
      </c>
      <c r="F849" s="2" t="s">
        <v>7093</v>
      </c>
      <c r="G849" s="2" t="s">
        <v>74</v>
      </c>
      <c r="H849" s="2" t="s">
        <v>74</v>
      </c>
      <c r="I849" s="2" t="s">
        <v>7094</v>
      </c>
      <c r="J849" s="2" t="s">
        <v>1526</v>
      </c>
      <c r="K849" s="2" t="s">
        <v>74</v>
      </c>
      <c r="L849" s="2" t="s">
        <v>74</v>
      </c>
      <c r="M849" s="2" t="s">
        <v>74</v>
      </c>
      <c r="N849" s="2" t="s">
        <v>74</v>
      </c>
      <c r="O849" s="2" t="s">
        <v>74</v>
      </c>
      <c r="P849" s="2" t="s">
        <v>74</v>
      </c>
      <c r="Q849" s="2" t="s">
        <v>74</v>
      </c>
      <c r="R849" s="2" t="s">
        <v>74</v>
      </c>
      <c r="S849" s="2" t="s">
        <v>74</v>
      </c>
      <c r="T849" s="2" t="s">
        <v>74</v>
      </c>
      <c r="U849" s="2" t="s">
        <v>74</v>
      </c>
      <c r="V849" s="5" t="s">
        <v>7095</v>
      </c>
      <c r="W849" s="2" t="s">
        <v>74</v>
      </c>
      <c r="X849" s="2" t="s">
        <v>74</v>
      </c>
      <c r="Y849" s="2" t="s">
        <v>74</v>
      </c>
      <c r="Z849" s="2" t="s">
        <v>74</v>
      </c>
      <c r="AA849" s="2" t="s">
        <v>74</v>
      </c>
      <c r="AB849" s="2" t="s">
        <v>74</v>
      </c>
      <c r="AC849" s="2" t="s">
        <v>74</v>
      </c>
      <c r="AD849" s="2" t="s">
        <v>74</v>
      </c>
      <c r="AE849" s="2" t="s">
        <v>74</v>
      </c>
      <c r="AF849" s="2" t="s">
        <v>74</v>
      </c>
      <c r="AG849" s="2" t="s">
        <v>74</v>
      </c>
      <c r="AH849" s="2" t="s">
        <v>74</v>
      </c>
      <c r="AI849" s="2" t="s">
        <v>74</v>
      </c>
      <c r="AJ849" s="2" t="s">
        <v>74</v>
      </c>
      <c r="AK849" s="2" t="s">
        <v>74</v>
      </c>
      <c r="AL849" s="2" t="s">
        <v>74</v>
      </c>
      <c r="AM849" s="2" t="s">
        <v>74</v>
      </c>
      <c r="AN849" s="2" t="s">
        <v>74</v>
      </c>
      <c r="AO849" s="2" t="s">
        <v>74</v>
      </c>
      <c r="AP849" s="2" t="s">
        <v>2131</v>
      </c>
      <c r="AQ849" s="2" t="s">
        <v>74</v>
      </c>
      <c r="AR849" s="2" t="s">
        <v>74</v>
      </c>
      <c r="AS849" s="2" t="s">
        <v>74</v>
      </c>
      <c r="AT849" s="2" t="s">
        <v>74</v>
      </c>
      <c r="AU849" s="2">
        <v>1979</v>
      </c>
      <c r="AV849" s="2">
        <v>81</v>
      </c>
      <c r="AW849" s="2">
        <v>3</v>
      </c>
      <c r="AX849" s="2" t="s">
        <v>74</v>
      </c>
      <c r="AY849" s="2" t="s">
        <v>74</v>
      </c>
      <c r="AZ849" s="2" t="s">
        <v>74</v>
      </c>
      <c r="BA849" s="2" t="s">
        <v>74</v>
      </c>
      <c r="BB849" s="2">
        <v>278</v>
      </c>
      <c r="BC849" s="2">
        <v>285</v>
      </c>
      <c r="BD849" s="2" t="s">
        <v>74</v>
      </c>
      <c r="BE849" s="2" t="s">
        <v>7096</v>
      </c>
      <c r="BF849" s="2" t="str">
        <f>HYPERLINK("http://dx.doi.org/10.2307/1367633","http://dx.doi.org/10.2307/1367633")</f>
        <v>http://dx.doi.org/10.2307/1367633</v>
      </c>
      <c r="BG849" s="2" t="s">
        <v>74</v>
      </c>
      <c r="BH849" s="2" t="s">
        <v>74</v>
      </c>
      <c r="BI849" s="2" t="s">
        <v>74</v>
      </c>
      <c r="BJ849" s="2" t="s">
        <v>74</v>
      </c>
      <c r="BK849" s="2" t="s">
        <v>74</v>
      </c>
      <c r="BL849" s="2" t="s">
        <v>74</v>
      </c>
      <c r="BM849" s="2" t="s">
        <v>74</v>
      </c>
      <c r="BN849" s="2" t="s">
        <v>74</v>
      </c>
      <c r="BO849" s="2" t="s">
        <v>74</v>
      </c>
      <c r="BP849" s="2" t="s">
        <v>74</v>
      </c>
      <c r="BQ849" s="2" t="s">
        <v>74</v>
      </c>
      <c r="BR849" s="2" t="s">
        <v>74</v>
      </c>
      <c r="BS849" s="2" t="s">
        <v>7097</v>
      </c>
      <c r="BT849" s="2" t="str">
        <f>HYPERLINK("https%3A%2F%2Fwww.webofscience.com%2Fwos%2Fwoscc%2Ffull-record%2FWOS:A1979HS58400009","View Full Record in Web of Science")</f>
        <v>View Full Record in Web of Science</v>
      </c>
    </row>
    <row r="850" spans="1:72" s="2" customFormat="1" x14ac:dyDescent="0.4">
      <c r="A850" s="2" t="s">
        <v>72</v>
      </c>
      <c r="B850" s="2" t="s">
        <v>7353</v>
      </c>
      <c r="C850" s="2" t="s">
        <v>74</v>
      </c>
      <c r="D850" s="2" t="s">
        <v>74</v>
      </c>
      <c r="E850" s="2" t="s">
        <v>74</v>
      </c>
      <c r="F850" s="2" t="s">
        <v>7354</v>
      </c>
      <c r="G850" s="2" t="s">
        <v>74</v>
      </c>
      <c r="H850" s="2" t="s">
        <v>74</v>
      </c>
      <c r="I850" s="2" t="s">
        <v>7355</v>
      </c>
      <c r="J850" s="2" t="s">
        <v>140</v>
      </c>
      <c r="K850" s="2" t="s">
        <v>74</v>
      </c>
      <c r="L850" s="2" t="s">
        <v>74</v>
      </c>
      <c r="M850" s="2" t="s">
        <v>74</v>
      </c>
      <c r="N850" s="2" t="s">
        <v>74</v>
      </c>
      <c r="O850" s="2" t="s">
        <v>74</v>
      </c>
      <c r="P850" s="2" t="s">
        <v>74</v>
      </c>
      <c r="Q850" s="2" t="s">
        <v>74</v>
      </c>
      <c r="R850" s="2" t="s">
        <v>74</v>
      </c>
      <c r="S850" s="2" t="s">
        <v>74</v>
      </c>
      <c r="T850" s="2" t="s">
        <v>74</v>
      </c>
      <c r="U850" s="2" t="s">
        <v>74</v>
      </c>
      <c r="V850" s="5" t="s">
        <v>7356</v>
      </c>
      <c r="W850" s="2" t="s">
        <v>74</v>
      </c>
      <c r="X850" s="2" t="s">
        <v>74</v>
      </c>
      <c r="Y850" s="2" t="s">
        <v>74</v>
      </c>
      <c r="Z850" s="2" t="s">
        <v>74</v>
      </c>
      <c r="AA850" s="2" t="s">
        <v>74</v>
      </c>
      <c r="AB850" s="2" t="s">
        <v>74</v>
      </c>
      <c r="AC850" s="2" t="s">
        <v>74</v>
      </c>
      <c r="AD850" s="2" t="s">
        <v>74</v>
      </c>
      <c r="AE850" s="2" t="s">
        <v>74</v>
      </c>
      <c r="AF850" s="2" t="s">
        <v>74</v>
      </c>
      <c r="AG850" s="2" t="s">
        <v>74</v>
      </c>
      <c r="AH850" s="2" t="s">
        <v>74</v>
      </c>
      <c r="AI850" s="2" t="s">
        <v>74</v>
      </c>
      <c r="AJ850" s="2" t="s">
        <v>74</v>
      </c>
      <c r="AK850" s="2" t="s">
        <v>74</v>
      </c>
      <c r="AL850" s="2" t="s">
        <v>74</v>
      </c>
      <c r="AM850" s="2" t="s">
        <v>74</v>
      </c>
      <c r="AN850" s="2" t="s">
        <v>74</v>
      </c>
      <c r="AO850" s="2" t="s">
        <v>143</v>
      </c>
      <c r="AP850" s="2" t="s">
        <v>144</v>
      </c>
      <c r="AQ850" s="2" t="s">
        <v>74</v>
      </c>
      <c r="AR850" s="2" t="s">
        <v>74</v>
      </c>
      <c r="AS850" s="2" t="s">
        <v>74</v>
      </c>
      <c r="AT850" s="2" t="s">
        <v>255</v>
      </c>
      <c r="AU850" s="2">
        <v>2007</v>
      </c>
      <c r="AV850" s="2">
        <v>73</v>
      </c>
      <c r="AW850" s="2" t="s">
        <v>74</v>
      </c>
      <c r="AX850" s="2">
        <v>1</v>
      </c>
      <c r="AY850" s="2" t="s">
        <v>74</v>
      </c>
      <c r="AZ850" s="2" t="s">
        <v>74</v>
      </c>
      <c r="BA850" s="2" t="s">
        <v>74</v>
      </c>
      <c r="BB850" s="2">
        <v>55</v>
      </c>
      <c r="BC850" s="2">
        <v>63</v>
      </c>
      <c r="BD850" s="2" t="s">
        <v>74</v>
      </c>
      <c r="BE850" s="2" t="s">
        <v>7357</v>
      </c>
      <c r="BF850" s="2" t="str">
        <f>HYPERLINK("http://dx.doi.org/10.1016/j.anbehav.2006.06.005","http://dx.doi.org/10.1016/j.anbehav.2006.06.005")</f>
        <v>http://dx.doi.org/10.1016/j.anbehav.2006.06.005</v>
      </c>
      <c r="BG850" s="2" t="s">
        <v>74</v>
      </c>
      <c r="BH850" s="2" t="s">
        <v>74</v>
      </c>
      <c r="BI850" s="2" t="s">
        <v>74</v>
      </c>
      <c r="BJ850" s="2" t="s">
        <v>74</v>
      </c>
      <c r="BK850" s="2" t="s">
        <v>74</v>
      </c>
      <c r="BL850" s="2" t="s">
        <v>74</v>
      </c>
      <c r="BM850" s="2" t="s">
        <v>74</v>
      </c>
      <c r="BN850" s="2" t="s">
        <v>74</v>
      </c>
      <c r="BO850" s="2" t="s">
        <v>74</v>
      </c>
      <c r="BP850" s="2" t="s">
        <v>74</v>
      </c>
      <c r="BQ850" s="2" t="s">
        <v>74</v>
      </c>
      <c r="BR850" s="2" t="s">
        <v>74</v>
      </c>
      <c r="BS850" s="2" t="s">
        <v>7358</v>
      </c>
      <c r="BT850" s="2" t="str">
        <f>HYPERLINK("https%3A%2F%2Fwww.webofscience.com%2Fwos%2Fwoscc%2Ffull-record%2FWOS:000243735000006","View Full Record in Web of Science")</f>
        <v>View Full Record in Web of Science</v>
      </c>
    </row>
    <row r="851" spans="1:72" s="1" customFormat="1" x14ac:dyDescent="0.4">
      <c r="A851" s="2" t="s">
        <v>72</v>
      </c>
      <c r="B851" s="2" t="s">
        <v>7367</v>
      </c>
      <c r="C851" s="2" t="s">
        <v>74</v>
      </c>
      <c r="D851" s="2" t="s">
        <v>74</v>
      </c>
      <c r="E851" s="2" t="s">
        <v>74</v>
      </c>
      <c r="F851" s="2" t="s">
        <v>7368</v>
      </c>
      <c r="G851" s="2" t="s">
        <v>74</v>
      </c>
      <c r="H851" s="2" t="s">
        <v>74</v>
      </c>
      <c r="I851" s="2" t="s">
        <v>7369</v>
      </c>
      <c r="J851" s="2" t="s">
        <v>344</v>
      </c>
      <c r="K851" s="2" t="s">
        <v>74</v>
      </c>
      <c r="L851" s="2" t="s">
        <v>74</v>
      </c>
      <c r="M851" s="2" t="s">
        <v>74</v>
      </c>
      <c r="N851" s="2" t="s">
        <v>74</v>
      </c>
      <c r="O851" s="2" t="s">
        <v>74</v>
      </c>
      <c r="P851" s="2" t="s">
        <v>74</v>
      </c>
      <c r="Q851" s="2" t="s">
        <v>74</v>
      </c>
      <c r="R851" s="2" t="s">
        <v>74</v>
      </c>
      <c r="S851" s="2" t="s">
        <v>74</v>
      </c>
      <c r="T851" s="2" t="s">
        <v>74</v>
      </c>
      <c r="U851" s="2" t="s">
        <v>74</v>
      </c>
      <c r="V851" s="5" t="s">
        <v>7370</v>
      </c>
      <c r="W851" s="2" t="s">
        <v>74</v>
      </c>
      <c r="X851" s="2" t="s">
        <v>74</v>
      </c>
      <c r="Y851" s="2" t="s">
        <v>74</v>
      </c>
      <c r="Z851" s="2" t="s">
        <v>74</v>
      </c>
      <c r="AA851" s="2" t="s">
        <v>74</v>
      </c>
      <c r="AB851" s="2" t="s">
        <v>74</v>
      </c>
      <c r="AC851" s="2" t="s">
        <v>74</v>
      </c>
      <c r="AD851" s="2" t="s">
        <v>74</v>
      </c>
      <c r="AE851" s="2" t="s">
        <v>74</v>
      </c>
      <c r="AF851" s="2" t="s">
        <v>74</v>
      </c>
      <c r="AG851" s="2" t="s">
        <v>74</v>
      </c>
      <c r="AH851" s="2" t="s">
        <v>74</v>
      </c>
      <c r="AI851" s="2" t="s">
        <v>74</v>
      </c>
      <c r="AJ851" s="2" t="s">
        <v>74</v>
      </c>
      <c r="AK851" s="2" t="s">
        <v>74</v>
      </c>
      <c r="AL851" s="2" t="s">
        <v>74</v>
      </c>
      <c r="AM851" s="2" t="s">
        <v>74</v>
      </c>
      <c r="AN851" s="2" t="s">
        <v>74</v>
      </c>
      <c r="AO851" s="2" t="s">
        <v>346</v>
      </c>
      <c r="AP851" s="2" t="s">
        <v>6569</v>
      </c>
      <c r="AQ851" s="2" t="s">
        <v>74</v>
      </c>
      <c r="AR851" s="2" t="s">
        <v>74</v>
      </c>
      <c r="AS851" s="2" t="s">
        <v>74</v>
      </c>
      <c r="AT851" s="2" t="s">
        <v>145</v>
      </c>
      <c r="AU851" s="2">
        <v>2022</v>
      </c>
      <c r="AV851" s="2">
        <v>105</v>
      </c>
      <c r="AW851" s="2">
        <v>8</v>
      </c>
      <c r="AX851" s="2" t="s">
        <v>74</v>
      </c>
      <c r="AY851" s="2" t="s">
        <v>74</v>
      </c>
      <c r="AZ851" s="2" t="s">
        <v>74</v>
      </c>
      <c r="BA851" s="2" t="s">
        <v>74</v>
      </c>
      <c r="BB851" s="2">
        <v>1129</v>
      </c>
      <c r="BC851" s="2">
        <v>1137</v>
      </c>
      <c r="BD851" s="2" t="s">
        <v>74</v>
      </c>
      <c r="BE851" s="2" t="s">
        <v>7371</v>
      </c>
      <c r="BF851" s="2" t="str">
        <f>HYPERLINK("http://dx.doi.org/10.1007/s10641-022-01313-w","http://dx.doi.org/10.1007/s10641-022-01313-w")</f>
        <v>http://dx.doi.org/10.1007/s10641-022-01313-w</v>
      </c>
      <c r="BG851" s="2" t="s">
        <v>74</v>
      </c>
      <c r="BH851" s="2" t="s">
        <v>307</v>
      </c>
      <c r="BI851" s="2" t="s">
        <v>74</v>
      </c>
      <c r="BJ851" s="2" t="s">
        <v>74</v>
      </c>
      <c r="BK851" s="2" t="s">
        <v>74</v>
      </c>
      <c r="BL851" s="2" t="s">
        <v>74</v>
      </c>
      <c r="BM851" s="2" t="s">
        <v>74</v>
      </c>
      <c r="BN851" s="2" t="s">
        <v>74</v>
      </c>
      <c r="BO851" s="2" t="s">
        <v>74</v>
      </c>
      <c r="BP851" s="2" t="s">
        <v>74</v>
      </c>
      <c r="BQ851" s="2" t="s">
        <v>74</v>
      </c>
      <c r="BR851" s="2" t="s">
        <v>74</v>
      </c>
      <c r="BS851" s="2" t="s">
        <v>7372</v>
      </c>
      <c r="BT851" s="2" t="str">
        <f>HYPERLINK("https%3A%2F%2Fwww.webofscience.com%2Fwos%2Fwoscc%2Ffull-record%2FWOS:000836521600001","View Full Record in Web of Science")</f>
        <v>View Full Record in Web of Science</v>
      </c>
    </row>
    <row r="852" spans="1:72" s="1" customFormat="1" x14ac:dyDescent="0.4">
      <c r="A852" s="2" t="s">
        <v>72</v>
      </c>
      <c r="B852" s="2" t="s">
        <v>8674</v>
      </c>
      <c r="C852" s="2" t="s">
        <v>74</v>
      </c>
      <c r="D852" s="2" t="s">
        <v>74</v>
      </c>
      <c r="E852" s="2" t="s">
        <v>74</v>
      </c>
      <c r="F852" s="2" t="s">
        <v>8675</v>
      </c>
      <c r="G852" s="2" t="s">
        <v>74</v>
      </c>
      <c r="H852" s="2" t="s">
        <v>74</v>
      </c>
      <c r="I852" s="2" t="s">
        <v>8676</v>
      </c>
      <c r="J852" s="2" t="s">
        <v>5881</v>
      </c>
      <c r="K852" s="2" t="s">
        <v>74</v>
      </c>
      <c r="L852" s="2" t="s">
        <v>74</v>
      </c>
      <c r="M852" s="2" t="s">
        <v>74</v>
      </c>
      <c r="N852" s="2" t="s">
        <v>74</v>
      </c>
      <c r="O852" s="2" t="s">
        <v>74</v>
      </c>
      <c r="P852" s="2" t="s">
        <v>74</v>
      </c>
      <c r="Q852" s="2" t="s">
        <v>74</v>
      </c>
      <c r="R852" s="2" t="s">
        <v>74</v>
      </c>
      <c r="S852" s="2" t="s">
        <v>74</v>
      </c>
      <c r="T852" s="2" t="s">
        <v>74</v>
      </c>
      <c r="U852" s="2" t="s">
        <v>74</v>
      </c>
      <c r="V852" s="5" t="s">
        <v>8677</v>
      </c>
      <c r="W852" s="2" t="s">
        <v>74</v>
      </c>
      <c r="X852" s="2" t="s">
        <v>74</v>
      </c>
      <c r="Y852" s="2" t="s">
        <v>74</v>
      </c>
      <c r="Z852" s="2" t="s">
        <v>74</v>
      </c>
      <c r="AA852" s="2" t="s">
        <v>8678</v>
      </c>
      <c r="AB852" s="2" t="s">
        <v>8679</v>
      </c>
      <c r="AC852" s="2" t="s">
        <v>74</v>
      </c>
      <c r="AD852" s="2" t="s">
        <v>74</v>
      </c>
      <c r="AE852" s="2" t="s">
        <v>74</v>
      </c>
      <c r="AF852" s="2" t="s">
        <v>74</v>
      </c>
      <c r="AG852" s="2" t="s">
        <v>74</v>
      </c>
      <c r="AH852" s="2" t="s">
        <v>74</v>
      </c>
      <c r="AI852" s="2" t="s">
        <v>74</v>
      </c>
      <c r="AJ852" s="2" t="s">
        <v>74</v>
      </c>
      <c r="AK852" s="2" t="s">
        <v>74</v>
      </c>
      <c r="AL852" s="2" t="s">
        <v>74</v>
      </c>
      <c r="AM852" s="2" t="s">
        <v>74</v>
      </c>
      <c r="AN852" s="2" t="s">
        <v>74</v>
      </c>
      <c r="AO852" s="2" t="s">
        <v>5885</v>
      </c>
      <c r="AP852" s="2" t="s">
        <v>5886</v>
      </c>
      <c r="AQ852" s="2" t="s">
        <v>74</v>
      </c>
      <c r="AR852" s="2" t="s">
        <v>74</v>
      </c>
      <c r="AS852" s="2" t="s">
        <v>74</v>
      </c>
      <c r="AT852" s="2" t="s">
        <v>4817</v>
      </c>
      <c r="AU852" s="2">
        <v>2015</v>
      </c>
      <c r="AV852" s="2">
        <v>82</v>
      </c>
      <c r="AW852" s="2">
        <v>2</v>
      </c>
      <c r="AX852" s="2" t="s">
        <v>74</v>
      </c>
      <c r="AY852" s="2" t="s">
        <v>74</v>
      </c>
      <c r="AZ852" s="2" t="s">
        <v>74</v>
      </c>
      <c r="BA852" s="2" t="s">
        <v>74</v>
      </c>
      <c r="BB852" s="2">
        <v>202</v>
      </c>
      <c r="BC852" s="2">
        <v>211</v>
      </c>
      <c r="BD852" s="2" t="s">
        <v>74</v>
      </c>
      <c r="BE852" s="2" t="s">
        <v>8680</v>
      </c>
      <c r="BF852" s="2" t="str">
        <f>HYPERLINK("http://dx.doi.org/10.1080/11250003.2015.1018852","http://dx.doi.org/10.1080/11250003.2015.1018852")</f>
        <v>http://dx.doi.org/10.1080/11250003.2015.1018852</v>
      </c>
      <c r="BG852" s="2" t="s">
        <v>74</v>
      </c>
      <c r="BH852" s="2" t="s">
        <v>74</v>
      </c>
      <c r="BI852" s="2" t="s">
        <v>74</v>
      </c>
      <c r="BJ852" s="2" t="s">
        <v>74</v>
      </c>
      <c r="BK852" s="2" t="s">
        <v>74</v>
      </c>
      <c r="BL852" s="2" t="s">
        <v>74</v>
      </c>
      <c r="BM852" s="2" t="s">
        <v>74</v>
      </c>
      <c r="BN852" s="2" t="s">
        <v>74</v>
      </c>
      <c r="BO852" s="2" t="s">
        <v>74</v>
      </c>
      <c r="BP852" s="2" t="s">
        <v>74</v>
      </c>
      <c r="BQ852" s="2" t="s">
        <v>74</v>
      </c>
      <c r="BR852" s="2" t="s">
        <v>74</v>
      </c>
      <c r="BS852" s="2" t="s">
        <v>8681</v>
      </c>
      <c r="BT852" s="2" t="str">
        <f>HYPERLINK("https%3A%2F%2Fwww.webofscience.com%2Fwos%2Fwoscc%2Ffull-record%2FWOS:000353501900009","View Full Record in Web of Science")</f>
        <v>View Full Record in Web of Science</v>
      </c>
    </row>
    <row r="853" spans="1:72" s="2" customFormat="1" x14ac:dyDescent="0.4">
      <c r="A853" s="2" t="s">
        <v>72</v>
      </c>
      <c r="B853" s="2" t="s">
        <v>7419</v>
      </c>
      <c r="C853" s="2" t="s">
        <v>74</v>
      </c>
      <c r="D853" s="2" t="s">
        <v>74</v>
      </c>
      <c r="E853" s="2" t="s">
        <v>74</v>
      </c>
      <c r="F853" s="2" t="s">
        <v>7420</v>
      </c>
      <c r="G853" s="2" t="s">
        <v>74</v>
      </c>
      <c r="H853" s="2" t="s">
        <v>74</v>
      </c>
      <c r="I853" s="2" t="s">
        <v>7421</v>
      </c>
      <c r="J853" s="2" t="s">
        <v>7422</v>
      </c>
      <c r="K853" s="2" t="s">
        <v>74</v>
      </c>
      <c r="L853" s="2" t="s">
        <v>74</v>
      </c>
      <c r="M853" s="2" t="s">
        <v>74</v>
      </c>
      <c r="N853" s="2" t="s">
        <v>74</v>
      </c>
      <c r="O853" s="2" t="s">
        <v>74</v>
      </c>
      <c r="P853" s="2" t="s">
        <v>74</v>
      </c>
      <c r="Q853" s="2" t="s">
        <v>74</v>
      </c>
      <c r="R853" s="2" t="s">
        <v>74</v>
      </c>
      <c r="S853" s="2" t="s">
        <v>74</v>
      </c>
      <c r="T853" s="2" t="s">
        <v>74</v>
      </c>
      <c r="U853" s="2" t="s">
        <v>74</v>
      </c>
      <c r="V853" s="5" t="s">
        <v>7423</v>
      </c>
      <c r="W853" s="2" t="s">
        <v>74</v>
      </c>
      <c r="X853" s="2" t="s">
        <v>74</v>
      </c>
      <c r="Y853" s="2" t="s">
        <v>74</v>
      </c>
      <c r="Z853" s="2" t="s">
        <v>74</v>
      </c>
      <c r="AA853" s="2" t="s">
        <v>7424</v>
      </c>
      <c r="AB853" s="2" t="s">
        <v>7425</v>
      </c>
      <c r="AC853" s="2" t="s">
        <v>74</v>
      </c>
      <c r="AD853" s="2" t="s">
        <v>74</v>
      </c>
      <c r="AE853" s="2" t="s">
        <v>74</v>
      </c>
      <c r="AF853" s="2" t="s">
        <v>74</v>
      </c>
      <c r="AG853" s="2" t="s">
        <v>74</v>
      </c>
      <c r="AH853" s="2" t="s">
        <v>74</v>
      </c>
      <c r="AI853" s="2" t="s">
        <v>74</v>
      </c>
      <c r="AJ853" s="2" t="s">
        <v>74</v>
      </c>
      <c r="AK853" s="2" t="s">
        <v>74</v>
      </c>
      <c r="AL853" s="2" t="s">
        <v>74</v>
      </c>
      <c r="AM853" s="2" t="s">
        <v>74</v>
      </c>
      <c r="AN853" s="2" t="s">
        <v>74</v>
      </c>
      <c r="AO853" s="2" t="s">
        <v>7426</v>
      </c>
      <c r="AP853" s="2" t="s">
        <v>7427</v>
      </c>
      <c r="AQ853" s="2" t="s">
        <v>74</v>
      </c>
      <c r="AR853" s="2" t="s">
        <v>74</v>
      </c>
      <c r="AS853" s="2" t="s">
        <v>74</v>
      </c>
      <c r="AT853" s="2" t="s">
        <v>255</v>
      </c>
      <c r="AU853" s="2">
        <v>2020</v>
      </c>
      <c r="AV853" s="2">
        <v>31</v>
      </c>
      <c r="AW853" s="2" t="s">
        <v>7428</v>
      </c>
      <c r="AX853" s="2" t="s">
        <v>74</v>
      </c>
      <c r="AY853" s="2" t="s">
        <v>74</v>
      </c>
      <c r="AZ853" s="2" t="s">
        <v>74</v>
      </c>
      <c r="BA853" s="2" t="s">
        <v>74</v>
      </c>
      <c r="BB853" s="2" t="s">
        <v>74</v>
      </c>
      <c r="BC853" s="2" t="s">
        <v>74</v>
      </c>
      <c r="BD853" s="2" t="s">
        <v>7429</v>
      </c>
      <c r="BE853" s="2" t="s">
        <v>7430</v>
      </c>
      <c r="BF853" s="2" t="str">
        <f>HYPERLINK("http://dx.doi.org/10.2192/URSUS-D-19-00027.1","http://dx.doi.org/10.2192/URSUS-D-19-00027.1")</f>
        <v>http://dx.doi.org/10.2192/URSUS-D-19-00027.1</v>
      </c>
      <c r="BG853" s="2" t="s">
        <v>74</v>
      </c>
      <c r="BH853" s="2" t="s">
        <v>74</v>
      </c>
      <c r="BI853" s="2" t="s">
        <v>74</v>
      </c>
      <c r="BJ853" s="2" t="s">
        <v>74</v>
      </c>
      <c r="BK853" s="2" t="s">
        <v>74</v>
      </c>
      <c r="BL853" s="2" t="s">
        <v>74</v>
      </c>
      <c r="BM853" s="2" t="s">
        <v>74</v>
      </c>
      <c r="BN853" s="2" t="s">
        <v>74</v>
      </c>
      <c r="BO853" s="2" t="s">
        <v>74</v>
      </c>
      <c r="BP853" s="2" t="s">
        <v>74</v>
      </c>
      <c r="BQ853" s="2" t="s">
        <v>74</v>
      </c>
      <c r="BR853" s="2" t="s">
        <v>74</v>
      </c>
      <c r="BS853" s="2" t="s">
        <v>7431</v>
      </c>
      <c r="BT853" s="2" t="str">
        <f>HYPERLINK("https%3A%2F%2Fwww.webofscience.com%2Fwos%2Fwoscc%2Ffull-record%2FWOS:000610555300001","View Full Record in Web of Science")</f>
        <v>View Full Record in Web of Science</v>
      </c>
    </row>
    <row r="854" spans="1:72" s="2" customFormat="1" x14ac:dyDescent="0.4">
      <c r="A854" s="2" t="s">
        <v>72</v>
      </c>
      <c r="B854" s="2" t="s">
        <v>8285</v>
      </c>
      <c r="C854" s="2" t="s">
        <v>74</v>
      </c>
      <c r="D854" s="2" t="s">
        <v>74</v>
      </c>
      <c r="E854" s="2" t="s">
        <v>74</v>
      </c>
      <c r="F854" s="2" t="s">
        <v>8286</v>
      </c>
      <c r="G854" s="2" t="s">
        <v>74</v>
      </c>
      <c r="H854" s="2" t="s">
        <v>74</v>
      </c>
      <c r="I854" s="2" t="s">
        <v>8287</v>
      </c>
      <c r="J854" s="2" t="s">
        <v>129</v>
      </c>
      <c r="K854" s="2" t="s">
        <v>74</v>
      </c>
      <c r="L854" s="2" t="s">
        <v>74</v>
      </c>
      <c r="M854" s="2" t="s">
        <v>74</v>
      </c>
      <c r="N854" s="2" t="s">
        <v>74</v>
      </c>
      <c r="O854" s="2" t="s">
        <v>74</v>
      </c>
      <c r="P854" s="2" t="s">
        <v>74</v>
      </c>
      <c r="Q854" s="2" t="s">
        <v>74</v>
      </c>
      <c r="R854" s="2" t="s">
        <v>74</v>
      </c>
      <c r="S854" s="2" t="s">
        <v>74</v>
      </c>
      <c r="T854" s="2" t="s">
        <v>74</v>
      </c>
      <c r="U854" s="2" t="s">
        <v>74</v>
      </c>
      <c r="V854" s="5" t="s">
        <v>8288</v>
      </c>
      <c r="W854" s="2" t="s">
        <v>74</v>
      </c>
      <c r="X854" s="2" t="s">
        <v>74</v>
      </c>
      <c r="Y854" s="2" t="s">
        <v>74</v>
      </c>
      <c r="Z854" s="2" t="s">
        <v>74</v>
      </c>
      <c r="AA854" s="2" t="s">
        <v>74</v>
      </c>
      <c r="AB854" s="2" t="s">
        <v>8289</v>
      </c>
      <c r="AC854" s="2" t="s">
        <v>74</v>
      </c>
      <c r="AD854" s="2" t="s">
        <v>74</v>
      </c>
      <c r="AE854" s="2" t="s">
        <v>74</v>
      </c>
      <c r="AF854" s="2" t="s">
        <v>74</v>
      </c>
      <c r="AG854" s="2" t="s">
        <v>74</v>
      </c>
      <c r="AH854" s="2" t="s">
        <v>74</v>
      </c>
      <c r="AI854" s="2" t="s">
        <v>74</v>
      </c>
      <c r="AJ854" s="2" t="s">
        <v>74</v>
      </c>
      <c r="AK854" s="2" t="s">
        <v>74</v>
      </c>
      <c r="AL854" s="2" t="s">
        <v>74</v>
      </c>
      <c r="AM854" s="2" t="s">
        <v>74</v>
      </c>
      <c r="AN854" s="2" t="s">
        <v>74</v>
      </c>
      <c r="AO854" s="2" t="s">
        <v>132</v>
      </c>
      <c r="AP854" s="2" t="s">
        <v>133</v>
      </c>
      <c r="AQ854" s="2" t="s">
        <v>74</v>
      </c>
      <c r="AR854" s="2" t="s">
        <v>74</v>
      </c>
      <c r="AS854" s="2" t="s">
        <v>74</v>
      </c>
      <c r="AT854" s="2" t="s">
        <v>134</v>
      </c>
      <c r="AU854" s="2">
        <v>2019</v>
      </c>
      <c r="AV854" s="2">
        <v>73</v>
      </c>
      <c r="AW854" s="2">
        <v>5</v>
      </c>
      <c r="AX854" s="2" t="s">
        <v>74</v>
      </c>
      <c r="AY854" s="2" t="s">
        <v>74</v>
      </c>
      <c r="AZ854" s="2" t="s">
        <v>74</v>
      </c>
      <c r="BA854" s="2" t="s">
        <v>74</v>
      </c>
      <c r="BB854" s="2" t="s">
        <v>74</v>
      </c>
      <c r="BC854" s="2" t="s">
        <v>74</v>
      </c>
      <c r="BD854" s="2">
        <v>61</v>
      </c>
      <c r="BE854" s="2" t="s">
        <v>8290</v>
      </c>
      <c r="BF854" s="2" t="str">
        <f>HYPERLINK("http://dx.doi.org/10.1007/s00265-019-2670-3","http://dx.doi.org/10.1007/s00265-019-2670-3")</f>
        <v>http://dx.doi.org/10.1007/s00265-019-2670-3</v>
      </c>
      <c r="BG854" s="2" t="s">
        <v>74</v>
      </c>
      <c r="BH854" s="2" t="s">
        <v>74</v>
      </c>
      <c r="BI854" s="2" t="s">
        <v>74</v>
      </c>
      <c r="BJ854" s="2" t="s">
        <v>74</v>
      </c>
      <c r="BK854" s="2" t="s">
        <v>74</v>
      </c>
      <c r="BL854" s="2" t="s">
        <v>74</v>
      </c>
      <c r="BM854" s="2" t="s">
        <v>74</v>
      </c>
      <c r="BN854" s="2" t="s">
        <v>74</v>
      </c>
      <c r="BO854" s="2" t="s">
        <v>74</v>
      </c>
      <c r="BP854" s="2" t="s">
        <v>74</v>
      </c>
      <c r="BQ854" s="2" t="s">
        <v>74</v>
      </c>
      <c r="BR854" s="2" t="s">
        <v>74</v>
      </c>
      <c r="BS854" s="2" t="s">
        <v>8291</v>
      </c>
      <c r="BT854" s="2" t="str">
        <f>HYPERLINK("https%3A%2F%2Fwww.webofscience.com%2Fwos%2Fwoscc%2Ffull-record%2FWOS:000465553400001","View Full Record in Web of Science")</f>
        <v>View Full Record in Web of Science</v>
      </c>
    </row>
    <row r="855" spans="1:72" s="2" customFormat="1" x14ac:dyDescent="0.4">
      <c r="A855" s="2" t="s">
        <v>72</v>
      </c>
      <c r="B855" s="2" t="s">
        <v>536</v>
      </c>
      <c r="C855" s="2" t="s">
        <v>74</v>
      </c>
      <c r="D855" s="2" t="s">
        <v>74</v>
      </c>
      <c r="E855" s="2" t="s">
        <v>74</v>
      </c>
      <c r="F855" s="2" t="s">
        <v>537</v>
      </c>
      <c r="G855" s="2" t="s">
        <v>74</v>
      </c>
      <c r="H855" s="2" t="s">
        <v>74</v>
      </c>
      <c r="I855" s="2" t="s">
        <v>538</v>
      </c>
      <c r="J855" s="2" t="s">
        <v>539</v>
      </c>
      <c r="K855" s="2" t="s">
        <v>74</v>
      </c>
      <c r="L855" s="2" t="s">
        <v>74</v>
      </c>
      <c r="M855" s="2" t="s">
        <v>74</v>
      </c>
      <c r="N855" s="2" t="s">
        <v>74</v>
      </c>
      <c r="O855" s="2" t="s">
        <v>74</v>
      </c>
      <c r="P855" s="2" t="s">
        <v>74</v>
      </c>
      <c r="Q855" s="2" t="s">
        <v>74</v>
      </c>
      <c r="R855" s="2" t="s">
        <v>74</v>
      </c>
      <c r="S855" s="2" t="s">
        <v>74</v>
      </c>
      <c r="T855" s="2" t="s">
        <v>74</v>
      </c>
      <c r="U855" s="2" t="s">
        <v>74</v>
      </c>
      <c r="V855" s="5" t="s">
        <v>540</v>
      </c>
      <c r="W855" s="2" t="s">
        <v>74</v>
      </c>
      <c r="X855" s="2" t="s">
        <v>74</v>
      </c>
      <c r="Y855" s="2" t="s">
        <v>74</v>
      </c>
      <c r="Z855" s="2" t="s">
        <v>74</v>
      </c>
      <c r="AA855" s="2" t="s">
        <v>74</v>
      </c>
      <c r="AB855" s="2" t="s">
        <v>74</v>
      </c>
      <c r="AC855" s="2" t="s">
        <v>74</v>
      </c>
      <c r="AD855" s="2" t="s">
        <v>74</v>
      </c>
      <c r="AE855" s="2" t="s">
        <v>74</v>
      </c>
      <c r="AF855" s="2" t="s">
        <v>74</v>
      </c>
      <c r="AG855" s="2" t="s">
        <v>74</v>
      </c>
      <c r="AH855" s="2" t="s">
        <v>74</v>
      </c>
      <c r="AI855" s="2" t="s">
        <v>74</v>
      </c>
      <c r="AJ855" s="2" t="s">
        <v>74</v>
      </c>
      <c r="AK855" s="2" t="s">
        <v>74</v>
      </c>
      <c r="AL855" s="2" t="s">
        <v>74</v>
      </c>
      <c r="AM855" s="2" t="s">
        <v>74</v>
      </c>
      <c r="AN855" s="2" t="s">
        <v>74</v>
      </c>
      <c r="AO855" s="2" t="s">
        <v>541</v>
      </c>
      <c r="AP855" s="2" t="s">
        <v>74</v>
      </c>
      <c r="AQ855" s="2" t="s">
        <v>74</v>
      </c>
      <c r="AR855" s="2" t="s">
        <v>74</v>
      </c>
      <c r="AS855" s="2" t="s">
        <v>74</v>
      </c>
      <c r="AT855" s="2" t="s">
        <v>74</v>
      </c>
      <c r="AU855" s="2">
        <v>2009</v>
      </c>
      <c r="AV855" s="2">
        <v>8</v>
      </c>
      <c r="AW855" s="2">
        <v>2</v>
      </c>
      <c r="AX855" s="2" t="s">
        <v>74</v>
      </c>
      <c r="AY855" s="2" t="s">
        <v>74</v>
      </c>
      <c r="AZ855" s="2" t="s">
        <v>74</v>
      </c>
      <c r="BA855" s="2" t="s">
        <v>74</v>
      </c>
      <c r="BB855" s="2">
        <v>336</v>
      </c>
      <c r="BC855" s="2">
        <v>342</v>
      </c>
      <c r="BD855" s="2" t="s">
        <v>74</v>
      </c>
      <c r="BE855" s="2" t="s">
        <v>74</v>
      </c>
      <c r="BF855" s="2" t="s">
        <v>74</v>
      </c>
      <c r="BG855" s="2" t="s">
        <v>74</v>
      </c>
      <c r="BH855" s="2" t="s">
        <v>74</v>
      </c>
      <c r="BI855" s="2" t="s">
        <v>74</v>
      </c>
      <c r="BJ855" s="2" t="s">
        <v>74</v>
      </c>
      <c r="BK855" s="2" t="s">
        <v>74</v>
      </c>
      <c r="BL855" s="2" t="s">
        <v>74</v>
      </c>
      <c r="BM855" s="2" t="s">
        <v>74</v>
      </c>
      <c r="BN855" s="2" t="s">
        <v>74</v>
      </c>
      <c r="BO855" s="2" t="s">
        <v>74</v>
      </c>
      <c r="BP855" s="2" t="s">
        <v>74</v>
      </c>
      <c r="BQ855" s="2" t="s">
        <v>74</v>
      </c>
      <c r="BR855" s="2" t="s">
        <v>74</v>
      </c>
      <c r="BS855" s="2" t="s">
        <v>542</v>
      </c>
      <c r="BT855" s="2" t="str">
        <f>HYPERLINK("https%3A%2F%2Fwww.webofscience.com%2Fwos%2Fwoscc%2Ffull-record%2FWOS:000264104700027","View Full Record in Web of Science")</f>
        <v>View Full Record in Web of Science</v>
      </c>
    </row>
    <row r="856" spans="1:72" s="2" customFormat="1" x14ac:dyDescent="0.4">
      <c r="A856" s="2" t="s">
        <v>72</v>
      </c>
      <c r="B856" s="2" t="s">
        <v>7162</v>
      </c>
      <c r="C856" s="2" t="s">
        <v>74</v>
      </c>
      <c r="D856" s="2" t="s">
        <v>74</v>
      </c>
      <c r="E856" s="2" t="s">
        <v>74</v>
      </c>
      <c r="F856" s="2" t="s">
        <v>7163</v>
      </c>
      <c r="G856" s="2" t="s">
        <v>74</v>
      </c>
      <c r="H856" s="2" t="s">
        <v>74</v>
      </c>
      <c r="I856" s="2" t="s">
        <v>7164</v>
      </c>
      <c r="J856" s="2" t="s">
        <v>281</v>
      </c>
      <c r="K856" s="2" t="s">
        <v>74</v>
      </c>
      <c r="L856" s="2" t="s">
        <v>74</v>
      </c>
      <c r="M856" s="2" t="s">
        <v>74</v>
      </c>
      <c r="N856" s="2" t="s">
        <v>74</v>
      </c>
      <c r="O856" s="2" t="s">
        <v>74</v>
      </c>
      <c r="P856" s="2" t="s">
        <v>74</v>
      </c>
      <c r="Q856" s="2" t="s">
        <v>74</v>
      </c>
      <c r="R856" s="2" t="s">
        <v>74</v>
      </c>
      <c r="S856" s="2" t="s">
        <v>74</v>
      </c>
      <c r="T856" s="2" t="s">
        <v>74</v>
      </c>
      <c r="U856" s="2" t="s">
        <v>74</v>
      </c>
      <c r="V856" s="5" t="s">
        <v>7165</v>
      </c>
      <c r="W856" s="2" t="s">
        <v>74</v>
      </c>
      <c r="X856" s="2" t="s">
        <v>74</v>
      </c>
      <c r="Y856" s="2" t="s">
        <v>74</v>
      </c>
      <c r="Z856" s="2" t="s">
        <v>74</v>
      </c>
      <c r="AA856" s="2" t="s">
        <v>74</v>
      </c>
      <c r="AB856" s="2" t="s">
        <v>7166</v>
      </c>
      <c r="AC856" s="2" t="s">
        <v>74</v>
      </c>
      <c r="AD856" s="2" t="s">
        <v>74</v>
      </c>
      <c r="AE856" s="2" t="s">
        <v>74</v>
      </c>
      <c r="AF856" s="2" t="s">
        <v>74</v>
      </c>
      <c r="AG856" s="2" t="s">
        <v>74</v>
      </c>
      <c r="AH856" s="2" t="s">
        <v>74</v>
      </c>
      <c r="AI856" s="2" t="s">
        <v>74</v>
      </c>
      <c r="AJ856" s="2" t="s">
        <v>74</v>
      </c>
      <c r="AK856" s="2" t="s">
        <v>74</v>
      </c>
      <c r="AL856" s="2" t="s">
        <v>74</v>
      </c>
      <c r="AM856" s="2" t="s">
        <v>74</v>
      </c>
      <c r="AN856" s="2" t="s">
        <v>74</v>
      </c>
      <c r="AO856" s="2" t="s">
        <v>285</v>
      </c>
      <c r="AP856" s="2" t="s">
        <v>286</v>
      </c>
      <c r="AQ856" s="2" t="s">
        <v>74</v>
      </c>
      <c r="AR856" s="2" t="s">
        <v>74</v>
      </c>
      <c r="AS856" s="2" t="s">
        <v>74</v>
      </c>
      <c r="AT856" s="2" t="s">
        <v>123</v>
      </c>
      <c r="AU856" s="2">
        <v>2013</v>
      </c>
      <c r="AV856" s="2">
        <v>16</v>
      </c>
      <c r="AW856" s="2">
        <v>2</v>
      </c>
      <c r="AX856" s="2" t="s">
        <v>74</v>
      </c>
      <c r="AY856" s="2" t="s">
        <v>74</v>
      </c>
      <c r="AZ856" s="2" t="s">
        <v>74</v>
      </c>
      <c r="BA856" s="2" t="s">
        <v>74</v>
      </c>
      <c r="BB856" s="2">
        <v>197</v>
      </c>
      <c r="BC856" s="2">
        <v>210</v>
      </c>
      <c r="BD856" s="2" t="s">
        <v>74</v>
      </c>
      <c r="BE856" s="2" t="s">
        <v>7167</v>
      </c>
      <c r="BF856" s="2" t="str">
        <f>HYPERLINK("http://dx.doi.org/10.1007/s10071-012-0564-0","http://dx.doi.org/10.1007/s10071-012-0564-0")</f>
        <v>http://dx.doi.org/10.1007/s10071-012-0564-0</v>
      </c>
      <c r="BG856" s="2" t="s">
        <v>74</v>
      </c>
      <c r="BH856" s="2" t="s">
        <v>74</v>
      </c>
      <c r="BI856" s="2" t="s">
        <v>74</v>
      </c>
      <c r="BJ856" s="2" t="s">
        <v>74</v>
      </c>
      <c r="BK856" s="2" t="s">
        <v>74</v>
      </c>
      <c r="BL856" s="2" t="s">
        <v>74</v>
      </c>
      <c r="BM856" s="2" t="s">
        <v>74</v>
      </c>
      <c r="BN856" s="2">
        <v>23065183</v>
      </c>
      <c r="BO856" s="2" t="s">
        <v>74</v>
      </c>
      <c r="BP856" s="2" t="s">
        <v>74</v>
      </c>
      <c r="BQ856" s="2" t="s">
        <v>74</v>
      </c>
      <c r="BR856" s="2" t="s">
        <v>74</v>
      </c>
      <c r="BS856" s="2" t="s">
        <v>7168</v>
      </c>
      <c r="BT856" s="2" t="str">
        <f>HYPERLINK("https%3A%2F%2Fwww.webofscience.com%2Fwos%2Fwoscc%2Ffull-record%2FWOS:000315035100005","View Full Record in Web of Science")</f>
        <v>View Full Record in Web of Science</v>
      </c>
    </row>
    <row r="857" spans="1:72" s="2" customFormat="1" x14ac:dyDescent="0.4">
      <c r="A857" s="2" t="s">
        <v>6684</v>
      </c>
      <c r="B857" s="2" t="s">
        <v>8237</v>
      </c>
      <c r="C857" s="2" t="s">
        <v>74</v>
      </c>
      <c r="D857" s="2" t="s">
        <v>8238</v>
      </c>
      <c r="E857" s="2" t="s">
        <v>74</v>
      </c>
      <c r="F857" s="2" t="s">
        <v>8237</v>
      </c>
      <c r="G857" s="2" t="s">
        <v>74</v>
      </c>
      <c r="H857" s="2" t="s">
        <v>74</v>
      </c>
      <c r="I857" s="2" t="s">
        <v>8239</v>
      </c>
      <c r="J857" s="2" t="s">
        <v>8240</v>
      </c>
      <c r="K857" s="2" t="s">
        <v>8241</v>
      </c>
      <c r="L857" s="2" t="s">
        <v>74</v>
      </c>
      <c r="M857" s="2" t="s">
        <v>74</v>
      </c>
      <c r="N857" s="2" t="s">
        <v>74</v>
      </c>
      <c r="O857" s="2" t="s">
        <v>74</v>
      </c>
      <c r="P857" s="2" t="s">
        <v>74</v>
      </c>
      <c r="Q857" s="2" t="s">
        <v>74</v>
      </c>
      <c r="R857" s="2" t="s">
        <v>74</v>
      </c>
      <c r="S857" s="2" t="s">
        <v>74</v>
      </c>
      <c r="T857" s="2" t="s">
        <v>74</v>
      </c>
      <c r="U857" s="2" t="s">
        <v>74</v>
      </c>
      <c r="V857" s="5" t="s">
        <v>8242</v>
      </c>
      <c r="W857" s="2" t="s">
        <v>74</v>
      </c>
      <c r="X857" s="2" t="s">
        <v>74</v>
      </c>
      <c r="Y857" s="2" t="s">
        <v>74</v>
      </c>
      <c r="Z857" s="2" t="s">
        <v>74</v>
      </c>
      <c r="AA857" s="2" t="s">
        <v>8243</v>
      </c>
      <c r="AB857" s="2" t="s">
        <v>74</v>
      </c>
      <c r="AC857" s="2" t="s">
        <v>74</v>
      </c>
      <c r="AD857" s="2" t="s">
        <v>74</v>
      </c>
      <c r="AE857" s="2" t="s">
        <v>74</v>
      </c>
      <c r="AF857" s="2" t="s">
        <v>74</v>
      </c>
      <c r="AG857" s="2" t="s">
        <v>74</v>
      </c>
      <c r="AH857" s="2" t="s">
        <v>74</v>
      </c>
      <c r="AI857" s="2" t="s">
        <v>74</v>
      </c>
      <c r="AJ857" s="2" t="s">
        <v>74</v>
      </c>
      <c r="AK857" s="2" t="s">
        <v>74</v>
      </c>
      <c r="AL857" s="2" t="s">
        <v>74</v>
      </c>
      <c r="AM857" s="2" t="s">
        <v>74</v>
      </c>
      <c r="AN857" s="2" t="s">
        <v>74</v>
      </c>
      <c r="AO857" s="2" t="s">
        <v>8244</v>
      </c>
      <c r="AP857" s="2" t="s">
        <v>74</v>
      </c>
      <c r="AQ857" s="2" t="s">
        <v>8245</v>
      </c>
      <c r="AR857" s="2" t="s">
        <v>74</v>
      </c>
      <c r="AS857" s="2" t="s">
        <v>74</v>
      </c>
      <c r="AT857" s="2" t="s">
        <v>74</v>
      </c>
      <c r="AU857" s="2">
        <v>1999</v>
      </c>
      <c r="AV857" s="2">
        <v>37</v>
      </c>
      <c r="AW857" s="2" t="s">
        <v>74</v>
      </c>
      <c r="AX857" s="2" t="s">
        <v>74</v>
      </c>
      <c r="AY857" s="2" t="s">
        <v>74</v>
      </c>
      <c r="AZ857" s="2" t="s">
        <v>74</v>
      </c>
      <c r="BA857" s="2" t="s">
        <v>74</v>
      </c>
      <c r="BB857" s="2">
        <v>129</v>
      </c>
      <c r="BC857" s="2">
        <v>152</v>
      </c>
      <c r="BD857" s="2" t="s">
        <v>74</v>
      </c>
      <c r="BE857" s="2" t="s">
        <v>74</v>
      </c>
      <c r="BF857" s="2" t="s">
        <v>74</v>
      </c>
      <c r="BG857" s="2" t="s">
        <v>74</v>
      </c>
      <c r="BH857" s="2" t="s">
        <v>74</v>
      </c>
      <c r="BI857" s="2" t="s">
        <v>74</v>
      </c>
      <c r="BJ857" s="2" t="s">
        <v>74</v>
      </c>
      <c r="BK857" s="2" t="s">
        <v>74</v>
      </c>
      <c r="BL857" s="2" t="s">
        <v>74</v>
      </c>
      <c r="BM857" s="2" t="s">
        <v>74</v>
      </c>
      <c r="BN857" s="2" t="s">
        <v>74</v>
      </c>
      <c r="BO857" s="2" t="s">
        <v>74</v>
      </c>
      <c r="BP857" s="2" t="s">
        <v>74</v>
      </c>
      <c r="BQ857" s="2" t="s">
        <v>74</v>
      </c>
      <c r="BR857" s="2" t="s">
        <v>74</v>
      </c>
      <c r="BS857" s="2" t="s">
        <v>8246</v>
      </c>
      <c r="BT857" s="2" t="str">
        <f>HYPERLINK("https%3A%2F%2Fwww.webofscience.com%2Fwos%2Fwoscc%2Ffull-record%2FWOS:000089737800004","View Full Record in Web of Science")</f>
        <v>View Full Record in Web of Science</v>
      </c>
    </row>
    <row r="858" spans="1:72" s="2" customFormat="1" x14ac:dyDescent="0.4">
      <c r="A858" s="2" t="s">
        <v>72</v>
      </c>
      <c r="B858" s="2" t="s">
        <v>8332</v>
      </c>
      <c r="C858" s="2" t="s">
        <v>74</v>
      </c>
      <c r="D858" s="2" t="s">
        <v>74</v>
      </c>
      <c r="E858" s="2" t="s">
        <v>74</v>
      </c>
      <c r="F858" s="2" t="s">
        <v>8333</v>
      </c>
      <c r="G858" s="2" t="s">
        <v>74</v>
      </c>
      <c r="H858" s="2" t="s">
        <v>74</v>
      </c>
      <c r="I858" s="2" t="s">
        <v>8334</v>
      </c>
      <c r="J858" s="2" t="s">
        <v>129</v>
      </c>
      <c r="K858" s="2" t="s">
        <v>74</v>
      </c>
      <c r="L858" s="2" t="s">
        <v>74</v>
      </c>
      <c r="M858" s="2" t="s">
        <v>74</v>
      </c>
      <c r="N858" s="2" t="s">
        <v>74</v>
      </c>
      <c r="O858" s="2" t="s">
        <v>74</v>
      </c>
      <c r="P858" s="2" t="s">
        <v>74</v>
      </c>
      <c r="Q858" s="2" t="s">
        <v>74</v>
      </c>
      <c r="R858" s="2" t="s">
        <v>74</v>
      </c>
      <c r="S858" s="2" t="s">
        <v>74</v>
      </c>
      <c r="T858" s="2" t="s">
        <v>74</v>
      </c>
      <c r="U858" s="2" t="s">
        <v>74</v>
      </c>
      <c r="V858" s="5" t="s">
        <v>8335</v>
      </c>
      <c r="W858" s="2" t="s">
        <v>74</v>
      </c>
      <c r="X858" s="2" t="s">
        <v>74</v>
      </c>
      <c r="Y858" s="2" t="s">
        <v>74</v>
      </c>
      <c r="Z858" s="2" t="s">
        <v>74</v>
      </c>
      <c r="AA858" s="2" t="s">
        <v>8336</v>
      </c>
      <c r="AB858" s="2" t="s">
        <v>8337</v>
      </c>
      <c r="AC858" s="2" t="s">
        <v>74</v>
      </c>
      <c r="AD858" s="2" t="s">
        <v>74</v>
      </c>
      <c r="AE858" s="2" t="s">
        <v>74</v>
      </c>
      <c r="AF858" s="2" t="s">
        <v>74</v>
      </c>
      <c r="AG858" s="2" t="s">
        <v>74</v>
      </c>
      <c r="AH858" s="2" t="s">
        <v>74</v>
      </c>
      <c r="AI858" s="2" t="s">
        <v>74</v>
      </c>
      <c r="AJ858" s="2" t="s">
        <v>74</v>
      </c>
      <c r="AK858" s="2" t="s">
        <v>74</v>
      </c>
      <c r="AL858" s="2" t="s">
        <v>74</v>
      </c>
      <c r="AM858" s="2" t="s">
        <v>74</v>
      </c>
      <c r="AN858" s="2" t="s">
        <v>74</v>
      </c>
      <c r="AO858" s="2" t="s">
        <v>132</v>
      </c>
      <c r="AP858" s="2" t="s">
        <v>133</v>
      </c>
      <c r="AQ858" s="2" t="s">
        <v>74</v>
      </c>
      <c r="AR858" s="2" t="s">
        <v>74</v>
      </c>
      <c r="AS858" s="2" t="s">
        <v>74</v>
      </c>
      <c r="AT858" s="2" t="s">
        <v>4913</v>
      </c>
      <c r="AU858" s="2">
        <v>2021</v>
      </c>
      <c r="AV858" s="2">
        <v>75</v>
      </c>
      <c r="AW858" s="2">
        <v>3</v>
      </c>
      <c r="AX858" s="2" t="s">
        <v>74</v>
      </c>
      <c r="AY858" s="2" t="s">
        <v>74</v>
      </c>
      <c r="AZ858" s="2" t="s">
        <v>74</v>
      </c>
      <c r="BA858" s="2" t="s">
        <v>74</v>
      </c>
      <c r="BB858" s="2" t="s">
        <v>74</v>
      </c>
      <c r="BC858" s="2" t="s">
        <v>74</v>
      </c>
      <c r="BD858" s="2">
        <v>51</v>
      </c>
      <c r="BE858" s="2" t="s">
        <v>8338</v>
      </c>
      <c r="BF858" s="2" t="str">
        <f>HYPERLINK("http://dx.doi.org/10.1007/s00265-021-02973-x","http://dx.doi.org/10.1007/s00265-021-02973-x")</f>
        <v>http://dx.doi.org/10.1007/s00265-021-02973-x</v>
      </c>
      <c r="BG858" s="2" t="s">
        <v>74</v>
      </c>
      <c r="BH858" s="2" t="s">
        <v>74</v>
      </c>
      <c r="BI858" s="2" t="s">
        <v>74</v>
      </c>
      <c r="BJ858" s="2" t="s">
        <v>74</v>
      </c>
      <c r="BK858" s="2" t="s">
        <v>74</v>
      </c>
      <c r="BL858" s="2" t="s">
        <v>74</v>
      </c>
      <c r="BM858" s="2" t="s">
        <v>74</v>
      </c>
      <c r="BN858" s="2" t="s">
        <v>74</v>
      </c>
      <c r="BO858" s="2" t="s">
        <v>74</v>
      </c>
      <c r="BP858" s="2" t="s">
        <v>74</v>
      </c>
      <c r="BQ858" s="2" t="s">
        <v>74</v>
      </c>
      <c r="BR858" s="2" t="s">
        <v>74</v>
      </c>
      <c r="BS858" s="2" t="s">
        <v>8339</v>
      </c>
      <c r="BT858" s="2" t="str">
        <f>HYPERLINK("https%3A%2F%2Fwww.webofscience.com%2Fwos%2Fwoscc%2Ffull-record%2FWOS:000620172500001","View Full Record in Web of Science")</f>
        <v>View Full Record in Web of Science</v>
      </c>
    </row>
    <row r="859" spans="1:72" s="2" customFormat="1" x14ac:dyDescent="0.4">
      <c r="A859" s="2" t="s">
        <v>72</v>
      </c>
      <c r="B859" s="2" t="s">
        <v>6699</v>
      </c>
      <c r="C859" s="2" t="s">
        <v>74</v>
      </c>
      <c r="D859" s="2" t="s">
        <v>74</v>
      </c>
      <c r="E859" s="2" t="s">
        <v>74</v>
      </c>
      <c r="F859" s="2" t="s">
        <v>6700</v>
      </c>
      <c r="G859" s="2" t="s">
        <v>74</v>
      </c>
      <c r="H859" s="2" t="s">
        <v>74</v>
      </c>
      <c r="I859" s="2" t="s">
        <v>6701</v>
      </c>
      <c r="J859" s="2" t="s">
        <v>824</v>
      </c>
      <c r="K859" s="2" t="s">
        <v>74</v>
      </c>
      <c r="L859" s="2" t="s">
        <v>74</v>
      </c>
      <c r="M859" s="2" t="s">
        <v>74</v>
      </c>
      <c r="N859" s="2" t="s">
        <v>74</v>
      </c>
      <c r="O859" s="2" t="s">
        <v>74</v>
      </c>
      <c r="P859" s="2" t="s">
        <v>74</v>
      </c>
      <c r="Q859" s="2" t="s">
        <v>74</v>
      </c>
      <c r="R859" s="2" t="s">
        <v>74</v>
      </c>
      <c r="S859" s="2" t="s">
        <v>74</v>
      </c>
      <c r="T859" s="2" t="s">
        <v>74</v>
      </c>
      <c r="U859" s="2" t="s">
        <v>74</v>
      </c>
      <c r="V859" s="5" t="s">
        <v>6702</v>
      </c>
      <c r="W859" s="2" t="s">
        <v>74</v>
      </c>
      <c r="X859" s="2" t="s">
        <v>74</v>
      </c>
      <c r="Y859" s="2" t="s">
        <v>74</v>
      </c>
      <c r="Z859" s="2" t="s">
        <v>74</v>
      </c>
      <c r="AA859" s="2" t="s">
        <v>6703</v>
      </c>
      <c r="AB859" s="2" t="s">
        <v>6704</v>
      </c>
      <c r="AC859" s="2" t="s">
        <v>74</v>
      </c>
      <c r="AD859" s="2" t="s">
        <v>74</v>
      </c>
      <c r="AE859" s="2" t="s">
        <v>74</v>
      </c>
      <c r="AF859" s="2" t="s">
        <v>74</v>
      </c>
      <c r="AG859" s="2" t="s">
        <v>74</v>
      </c>
      <c r="AH859" s="2" t="s">
        <v>74</v>
      </c>
      <c r="AI859" s="2" t="s">
        <v>74</v>
      </c>
      <c r="AJ859" s="2" t="s">
        <v>74</v>
      </c>
      <c r="AK859" s="2" t="s">
        <v>74</v>
      </c>
      <c r="AL859" s="2" t="s">
        <v>74</v>
      </c>
      <c r="AM859" s="2" t="s">
        <v>74</v>
      </c>
      <c r="AN859" s="2" t="s">
        <v>74</v>
      </c>
      <c r="AO859" s="2" t="s">
        <v>828</v>
      </c>
      <c r="AP859" s="2" t="s">
        <v>829</v>
      </c>
      <c r="AQ859" s="2" t="s">
        <v>74</v>
      </c>
      <c r="AR859" s="2" t="s">
        <v>74</v>
      </c>
      <c r="AS859" s="2" t="s">
        <v>74</v>
      </c>
      <c r="AT859" s="2" t="s">
        <v>134</v>
      </c>
      <c r="AU859" s="2">
        <v>2016</v>
      </c>
      <c r="AV859" s="2">
        <v>85</v>
      </c>
      <c r="AW859" s="2">
        <v>3</v>
      </c>
      <c r="AX859" s="2" t="s">
        <v>74</v>
      </c>
      <c r="AY859" s="2" t="s">
        <v>74</v>
      </c>
      <c r="AZ859" s="2" t="s">
        <v>74</v>
      </c>
      <c r="BA859" s="2" t="s">
        <v>74</v>
      </c>
      <c r="BB859" s="2">
        <v>798</v>
      </c>
      <c r="BC859" s="2">
        <v>805</v>
      </c>
      <c r="BD859" s="2" t="s">
        <v>74</v>
      </c>
      <c r="BE859" s="2" t="s">
        <v>6705</v>
      </c>
      <c r="BF859" s="2" t="str">
        <f>HYPERLINK("http://dx.doi.org/10.1111/1365-2656.12501","http://dx.doi.org/10.1111/1365-2656.12501")</f>
        <v>http://dx.doi.org/10.1111/1365-2656.12501</v>
      </c>
      <c r="BG859" s="2" t="s">
        <v>74</v>
      </c>
      <c r="BH859" s="2" t="s">
        <v>74</v>
      </c>
      <c r="BI859" s="2" t="s">
        <v>74</v>
      </c>
      <c r="BJ859" s="2" t="s">
        <v>74</v>
      </c>
      <c r="BK859" s="2" t="s">
        <v>74</v>
      </c>
      <c r="BL859" s="2" t="s">
        <v>74</v>
      </c>
      <c r="BM859" s="2" t="s">
        <v>74</v>
      </c>
      <c r="BN859" s="2">
        <v>26876417</v>
      </c>
      <c r="BO859" s="2" t="s">
        <v>74</v>
      </c>
      <c r="BP859" s="2" t="s">
        <v>74</v>
      </c>
      <c r="BQ859" s="2" t="s">
        <v>74</v>
      </c>
      <c r="BR859" s="2" t="s">
        <v>74</v>
      </c>
      <c r="BS859" s="2" t="s">
        <v>6706</v>
      </c>
      <c r="BT859" s="2" t="str">
        <f>HYPERLINK("https%3A%2F%2Fwww.webofscience.com%2Fwos%2Fwoscc%2Ffull-record%2FWOS:000375121400020","View Full Record in Web of Science")</f>
        <v>View Full Record in Web of Science</v>
      </c>
    </row>
    <row r="860" spans="1:72" s="2" customFormat="1" x14ac:dyDescent="0.4">
      <c r="A860" s="2" t="s">
        <v>72</v>
      </c>
      <c r="B860" s="2" t="s">
        <v>2455</v>
      </c>
      <c r="C860" s="2" t="s">
        <v>74</v>
      </c>
      <c r="D860" s="2" t="s">
        <v>74</v>
      </c>
      <c r="E860" s="2" t="s">
        <v>74</v>
      </c>
      <c r="F860" s="2" t="s">
        <v>2456</v>
      </c>
      <c r="G860" s="2" t="s">
        <v>74</v>
      </c>
      <c r="H860" s="2" t="s">
        <v>74</v>
      </c>
      <c r="I860" s="2" t="s">
        <v>2457</v>
      </c>
      <c r="J860" s="2" t="s">
        <v>2207</v>
      </c>
      <c r="K860" s="2" t="s">
        <v>74</v>
      </c>
      <c r="L860" s="2" t="s">
        <v>74</v>
      </c>
      <c r="M860" s="2" t="s">
        <v>74</v>
      </c>
      <c r="N860" s="2" t="s">
        <v>74</v>
      </c>
      <c r="O860" s="2" t="s">
        <v>74</v>
      </c>
      <c r="P860" s="2" t="s">
        <v>74</v>
      </c>
      <c r="Q860" s="2" t="s">
        <v>74</v>
      </c>
      <c r="R860" s="2" t="s">
        <v>74</v>
      </c>
      <c r="S860" s="2" t="s">
        <v>74</v>
      </c>
      <c r="T860" s="2" t="s">
        <v>74</v>
      </c>
      <c r="U860" s="2" t="s">
        <v>74</v>
      </c>
      <c r="V860" s="5" t="s">
        <v>2458</v>
      </c>
      <c r="W860" s="2" t="s">
        <v>74</v>
      </c>
      <c r="X860" s="2" t="s">
        <v>74</v>
      </c>
      <c r="Y860" s="2" t="s">
        <v>74</v>
      </c>
      <c r="Z860" s="2" t="s">
        <v>74</v>
      </c>
      <c r="AA860" s="2" t="s">
        <v>2459</v>
      </c>
      <c r="AB860" s="2" t="s">
        <v>2460</v>
      </c>
      <c r="AC860" s="2" t="s">
        <v>74</v>
      </c>
      <c r="AD860" s="2" t="s">
        <v>74</v>
      </c>
      <c r="AE860" s="2" t="s">
        <v>74</v>
      </c>
      <c r="AF860" s="2" t="s">
        <v>74</v>
      </c>
      <c r="AG860" s="2" t="s">
        <v>74</v>
      </c>
      <c r="AH860" s="2" t="s">
        <v>74</v>
      </c>
      <c r="AI860" s="2" t="s">
        <v>74</v>
      </c>
      <c r="AJ860" s="2" t="s">
        <v>74</v>
      </c>
      <c r="AK860" s="2" t="s">
        <v>74</v>
      </c>
      <c r="AL860" s="2" t="s">
        <v>74</v>
      </c>
      <c r="AM860" s="2" t="s">
        <v>74</v>
      </c>
      <c r="AN860" s="2" t="s">
        <v>74</v>
      </c>
      <c r="AO860" s="2" t="s">
        <v>2211</v>
      </c>
      <c r="AP860" s="2" t="s">
        <v>2461</v>
      </c>
      <c r="AQ860" s="2" t="s">
        <v>74</v>
      </c>
      <c r="AR860" s="2" t="s">
        <v>74</v>
      </c>
      <c r="AS860" s="2" t="s">
        <v>74</v>
      </c>
      <c r="AT860" s="2" t="s">
        <v>255</v>
      </c>
      <c r="AU860" s="2">
        <v>2014</v>
      </c>
      <c r="AV860" s="2">
        <v>45</v>
      </c>
      <c r="AW860" s="2">
        <v>1</v>
      </c>
      <c r="AX860" s="2" t="s">
        <v>74</v>
      </c>
      <c r="AY860" s="2" t="s">
        <v>74</v>
      </c>
      <c r="AZ860" s="2" t="s">
        <v>74</v>
      </c>
      <c r="BA860" s="2" t="s">
        <v>74</v>
      </c>
      <c r="BB860" s="2">
        <v>22</v>
      </c>
      <c r="BC860" s="2">
        <v>28</v>
      </c>
      <c r="BD860" s="2" t="s">
        <v>74</v>
      </c>
      <c r="BE860" s="2" t="s">
        <v>2462</v>
      </c>
      <c r="BF860" s="2" t="str">
        <f>HYPERLINK("http://dx.doi.org/10.1111/j.1600-048X.2013.00286.x","http://dx.doi.org/10.1111/j.1600-048X.2013.00286.x")</f>
        <v>http://dx.doi.org/10.1111/j.1600-048X.2013.00286.x</v>
      </c>
      <c r="BG860" s="2" t="s">
        <v>74</v>
      </c>
      <c r="BH860" s="2" t="s">
        <v>74</v>
      </c>
      <c r="BI860" s="2" t="s">
        <v>74</v>
      </c>
      <c r="BJ860" s="2" t="s">
        <v>74</v>
      </c>
      <c r="BK860" s="2" t="s">
        <v>74</v>
      </c>
      <c r="BL860" s="2" t="s">
        <v>74</v>
      </c>
      <c r="BM860" s="2" t="s">
        <v>74</v>
      </c>
      <c r="BN860" s="2" t="s">
        <v>74</v>
      </c>
      <c r="BO860" s="2" t="s">
        <v>74</v>
      </c>
      <c r="BP860" s="2" t="s">
        <v>74</v>
      </c>
      <c r="BQ860" s="2" t="s">
        <v>74</v>
      </c>
      <c r="BR860" s="2" t="s">
        <v>74</v>
      </c>
      <c r="BS860" s="2" t="s">
        <v>2463</v>
      </c>
      <c r="BT860" s="2" t="str">
        <f>HYPERLINK("https%3A%2F%2Fwww.webofscience.com%2Fwos%2Fwoscc%2Ffull-record%2FWOS:000329866900004","View Full Record in Web of Science")</f>
        <v>View Full Record in Web of Science</v>
      </c>
    </row>
    <row r="861" spans="1:72" s="2" customFormat="1" x14ac:dyDescent="0.4">
      <c r="A861" s="2" t="s">
        <v>72</v>
      </c>
      <c r="B861" s="2" t="s">
        <v>6304</v>
      </c>
      <c r="C861" s="2" t="s">
        <v>74</v>
      </c>
      <c r="D861" s="2" t="s">
        <v>74</v>
      </c>
      <c r="E861" s="2" t="s">
        <v>74</v>
      </c>
      <c r="F861" s="2" t="s">
        <v>6305</v>
      </c>
      <c r="G861" s="2" t="s">
        <v>74</v>
      </c>
      <c r="H861" s="2" t="s">
        <v>74</v>
      </c>
      <c r="I861" s="2" t="s">
        <v>6306</v>
      </c>
      <c r="J861" s="2" t="s">
        <v>654</v>
      </c>
      <c r="K861" s="2" t="s">
        <v>74</v>
      </c>
      <c r="L861" s="2" t="s">
        <v>74</v>
      </c>
      <c r="M861" s="2" t="s">
        <v>74</v>
      </c>
      <c r="N861" s="2" t="s">
        <v>74</v>
      </c>
      <c r="O861" s="2" t="s">
        <v>74</v>
      </c>
      <c r="P861" s="2" t="s">
        <v>74</v>
      </c>
      <c r="Q861" s="2" t="s">
        <v>74</v>
      </c>
      <c r="R861" s="2" t="s">
        <v>74</v>
      </c>
      <c r="S861" s="2" t="s">
        <v>74</v>
      </c>
      <c r="T861" s="2" t="s">
        <v>74</v>
      </c>
      <c r="U861" s="2" t="s">
        <v>74</v>
      </c>
      <c r="V861" s="5" t="s">
        <v>6307</v>
      </c>
      <c r="W861" s="2" t="s">
        <v>74</v>
      </c>
      <c r="X861" s="2" t="s">
        <v>74</v>
      </c>
      <c r="Y861" s="2" t="s">
        <v>74</v>
      </c>
      <c r="Z861" s="2" t="s">
        <v>74</v>
      </c>
      <c r="AA861" s="2" t="s">
        <v>6308</v>
      </c>
      <c r="AB861" s="2" t="s">
        <v>6309</v>
      </c>
      <c r="AC861" s="2" t="s">
        <v>74</v>
      </c>
      <c r="AD861" s="2" t="s">
        <v>74</v>
      </c>
      <c r="AE861" s="2" t="s">
        <v>74</v>
      </c>
      <c r="AF861" s="2" t="s">
        <v>74</v>
      </c>
      <c r="AG861" s="2" t="s">
        <v>74</v>
      </c>
      <c r="AH861" s="2" t="s">
        <v>74</v>
      </c>
      <c r="AI861" s="2" t="s">
        <v>74</v>
      </c>
      <c r="AJ861" s="2" t="s">
        <v>74</v>
      </c>
      <c r="AK861" s="2" t="s">
        <v>74</v>
      </c>
      <c r="AL861" s="2" t="s">
        <v>74</v>
      </c>
      <c r="AM861" s="2" t="s">
        <v>74</v>
      </c>
      <c r="AN861" s="2" t="s">
        <v>74</v>
      </c>
      <c r="AO861" s="2" t="s">
        <v>658</v>
      </c>
      <c r="AP861" s="2" t="s">
        <v>74</v>
      </c>
      <c r="AQ861" s="2" t="s">
        <v>74</v>
      </c>
      <c r="AR861" s="2" t="s">
        <v>74</v>
      </c>
      <c r="AS861" s="2" t="s">
        <v>74</v>
      </c>
      <c r="AT861" s="2" t="s">
        <v>134</v>
      </c>
      <c r="AU861" s="2">
        <v>2021</v>
      </c>
      <c r="AV861" s="2">
        <v>11</v>
      </c>
      <c r="AW861" s="2">
        <v>9</v>
      </c>
      <c r="AX861" s="2" t="s">
        <v>74</v>
      </c>
      <c r="AY861" s="2" t="s">
        <v>74</v>
      </c>
      <c r="AZ861" s="2" t="s">
        <v>74</v>
      </c>
      <c r="BA861" s="2" t="s">
        <v>74</v>
      </c>
      <c r="BB861" s="2">
        <v>4399</v>
      </c>
      <c r="BC861" s="2">
        <v>4412</v>
      </c>
      <c r="BD861" s="2" t="s">
        <v>74</v>
      </c>
      <c r="BE861" s="2" t="s">
        <v>6310</v>
      </c>
      <c r="BF861" s="2" t="str">
        <f>HYPERLINK("http://dx.doi.org/10.1002/ece3.7335","http://dx.doi.org/10.1002/ece3.7335")</f>
        <v>http://dx.doi.org/10.1002/ece3.7335</v>
      </c>
      <c r="BG861" s="2" t="s">
        <v>74</v>
      </c>
      <c r="BH861" s="2" t="s">
        <v>236</v>
      </c>
      <c r="BI861" s="2" t="s">
        <v>74</v>
      </c>
      <c r="BJ861" s="2" t="s">
        <v>74</v>
      </c>
      <c r="BK861" s="2" t="s">
        <v>74</v>
      </c>
      <c r="BL861" s="2" t="s">
        <v>74</v>
      </c>
      <c r="BM861" s="2" t="s">
        <v>74</v>
      </c>
      <c r="BN861" s="2">
        <v>33976818</v>
      </c>
      <c r="BO861" s="2" t="s">
        <v>74</v>
      </c>
      <c r="BP861" s="2" t="s">
        <v>74</v>
      </c>
      <c r="BQ861" s="2" t="s">
        <v>74</v>
      </c>
      <c r="BR861" s="2" t="s">
        <v>74</v>
      </c>
      <c r="BS861" s="2" t="s">
        <v>6311</v>
      </c>
      <c r="BT861" s="2" t="str">
        <f>HYPERLINK("https%3A%2F%2Fwww.webofscience.com%2Fwos%2Fwoscc%2Ffull-record%2FWOS:000629779400001","View Full Record in Web of Science")</f>
        <v>View Full Record in Web of Science</v>
      </c>
    </row>
    <row r="862" spans="1:72" s="2" customFormat="1" x14ac:dyDescent="0.4">
      <c r="A862" s="2" t="s">
        <v>72</v>
      </c>
      <c r="B862" s="2" t="s">
        <v>5581</v>
      </c>
      <c r="C862" s="2" t="s">
        <v>74</v>
      </c>
      <c r="D862" s="2" t="s">
        <v>74</v>
      </c>
      <c r="E862" s="2" t="s">
        <v>74</v>
      </c>
      <c r="F862" s="2" t="s">
        <v>5582</v>
      </c>
      <c r="G862" s="2" t="s">
        <v>74</v>
      </c>
      <c r="H862" s="2" t="s">
        <v>74</v>
      </c>
      <c r="I862" s="2" t="s">
        <v>5583</v>
      </c>
      <c r="J862" s="2" t="s">
        <v>2677</v>
      </c>
      <c r="K862" s="2" t="s">
        <v>74</v>
      </c>
      <c r="L862" s="2" t="s">
        <v>74</v>
      </c>
      <c r="M862" s="2" t="s">
        <v>74</v>
      </c>
      <c r="N862" s="2" t="s">
        <v>74</v>
      </c>
      <c r="O862" s="2" t="s">
        <v>74</v>
      </c>
      <c r="P862" s="2" t="s">
        <v>74</v>
      </c>
      <c r="Q862" s="2" t="s">
        <v>74</v>
      </c>
      <c r="R862" s="2" t="s">
        <v>74</v>
      </c>
      <c r="S862" s="2" t="s">
        <v>74</v>
      </c>
      <c r="T862" s="2" t="s">
        <v>74</v>
      </c>
      <c r="U862" s="2" t="s">
        <v>74</v>
      </c>
      <c r="V862" s="5" t="s">
        <v>5584</v>
      </c>
      <c r="W862" s="2" t="s">
        <v>74</v>
      </c>
      <c r="X862" s="2" t="s">
        <v>74</v>
      </c>
      <c r="Y862" s="2" t="s">
        <v>74</v>
      </c>
      <c r="Z862" s="2" t="s">
        <v>74</v>
      </c>
      <c r="AA862" s="2" t="s">
        <v>74</v>
      </c>
      <c r="AB862" s="2" t="s">
        <v>74</v>
      </c>
      <c r="AC862" s="2" t="s">
        <v>74</v>
      </c>
      <c r="AD862" s="2" t="s">
        <v>74</v>
      </c>
      <c r="AE862" s="2" t="s">
        <v>74</v>
      </c>
      <c r="AF862" s="2" t="s">
        <v>74</v>
      </c>
      <c r="AG862" s="2" t="s">
        <v>74</v>
      </c>
      <c r="AH862" s="2" t="s">
        <v>74</v>
      </c>
      <c r="AI862" s="2" t="s">
        <v>74</v>
      </c>
      <c r="AJ862" s="2" t="s">
        <v>74</v>
      </c>
      <c r="AK862" s="2" t="s">
        <v>74</v>
      </c>
      <c r="AL862" s="2" t="s">
        <v>74</v>
      </c>
      <c r="AM862" s="2" t="s">
        <v>74</v>
      </c>
      <c r="AN862" s="2" t="s">
        <v>74</v>
      </c>
      <c r="AO862" s="2" t="s">
        <v>2681</v>
      </c>
      <c r="AP862" s="2" t="s">
        <v>2682</v>
      </c>
      <c r="AQ862" s="2" t="s">
        <v>74</v>
      </c>
      <c r="AR862" s="2" t="s">
        <v>74</v>
      </c>
      <c r="AS862" s="2" t="s">
        <v>74</v>
      </c>
      <c r="AT862" s="2" t="s">
        <v>74</v>
      </c>
      <c r="AU862" s="2">
        <v>2011</v>
      </c>
      <c r="AV862" s="2">
        <v>4</v>
      </c>
      <c r="AW862" s="2">
        <v>4</v>
      </c>
      <c r="AX862" s="2" t="s">
        <v>74</v>
      </c>
      <c r="AY862" s="2" t="s">
        <v>74</v>
      </c>
      <c r="AZ862" s="2" t="s">
        <v>74</v>
      </c>
      <c r="BA862" s="2" t="s">
        <v>74</v>
      </c>
      <c r="BB862" s="2">
        <v>231</v>
      </c>
      <c r="BC862" s="2">
        <v>236</v>
      </c>
      <c r="BD862" s="2" t="s">
        <v>74</v>
      </c>
      <c r="BE862" s="2" t="s">
        <v>5585</v>
      </c>
      <c r="BF862" s="2" t="str">
        <f>HYPERLINK("http://dx.doi.org/10.3184/175815511X13228268534598","http://dx.doi.org/10.3184/175815511X13228268534598")</f>
        <v>http://dx.doi.org/10.3184/175815511X13228268534598</v>
      </c>
      <c r="BG862" s="2" t="s">
        <v>74</v>
      </c>
      <c r="BH862" s="2" t="s">
        <v>74</v>
      </c>
      <c r="BI862" s="2" t="s">
        <v>74</v>
      </c>
      <c r="BJ862" s="2" t="s">
        <v>74</v>
      </c>
      <c r="BK862" s="2" t="s">
        <v>74</v>
      </c>
      <c r="BL862" s="2" t="s">
        <v>74</v>
      </c>
      <c r="BM862" s="2" t="s">
        <v>74</v>
      </c>
      <c r="BN862" s="2" t="s">
        <v>74</v>
      </c>
      <c r="BO862" s="2" t="s">
        <v>74</v>
      </c>
      <c r="BP862" s="2" t="s">
        <v>74</v>
      </c>
      <c r="BQ862" s="2" t="s">
        <v>74</v>
      </c>
      <c r="BR862" s="2" t="s">
        <v>74</v>
      </c>
      <c r="BS862" s="2" t="s">
        <v>5586</v>
      </c>
      <c r="BT862" s="2" t="str">
        <f>HYPERLINK("https%3A%2F%2Fwww.webofscience.com%2Fwos%2Fwoscc%2Ffull-record%2FWOS:000299488300008","View Full Record in Web of Science")</f>
        <v>View Full Record in Web of Science</v>
      </c>
    </row>
    <row r="863" spans="1:72" s="2" customFormat="1" x14ac:dyDescent="0.4">
      <c r="A863" s="2" t="s">
        <v>72</v>
      </c>
      <c r="B863" s="2" t="s">
        <v>904</v>
      </c>
      <c r="C863" s="2" t="s">
        <v>74</v>
      </c>
      <c r="D863" s="2" t="s">
        <v>74</v>
      </c>
      <c r="E863" s="2" t="s">
        <v>74</v>
      </c>
      <c r="F863" s="2" t="s">
        <v>905</v>
      </c>
      <c r="G863" s="2" t="s">
        <v>74</v>
      </c>
      <c r="H863" s="2" t="s">
        <v>74</v>
      </c>
      <c r="I863" s="2" t="s">
        <v>906</v>
      </c>
      <c r="J863" s="2" t="s">
        <v>119</v>
      </c>
      <c r="K863" s="2" t="s">
        <v>74</v>
      </c>
      <c r="L863" s="2" t="s">
        <v>74</v>
      </c>
      <c r="M863" s="2" t="s">
        <v>74</v>
      </c>
      <c r="N863" s="2" t="s">
        <v>74</v>
      </c>
      <c r="O863" s="2" t="s">
        <v>74</v>
      </c>
      <c r="P863" s="2" t="s">
        <v>74</v>
      </c>
      <c r="Q863" s="2" t="s">
        <v>74</v>
      </c>
      <c r="R863" s="2" t="s">
        <v>74</v>
      </c>
      <c r="S863" s="2" t="s">
        <v>74</v>
      </c>
      <c r="T863" s="2" t="s">
        <v>74</v>
      </c>
      <c r="U863" s="2" t="s">
        <v>74</v>
      </c>
      <c r="V863" s="5" t="s">
        <v>907</v>
      </c>
      <c r="W863" s="2" t="s">
        <v>74</v>
      </c>
      <c r="X863" s="2" t="s">
        <v>74</v>
      </c>
      <c r="Y863" s="2" t="s">
        <v>74</v>
      </c>
      <c r="Z863" s="2" t="s">
        <v>74</v>
      </c>
      <c r="AA863" s="2" t="s">
        <v>908</v>
      </c>
      <c r="AB863" s="2" t="s">
        <v>909</v>
      </c>
      <c r="AC863" s="2" t="s">
        <v>74</v>
      </c>
      <c r="AD863" s="2" t="s">
        <v>74</v>
      </c>
      <c r="AE863" s="2" t="s">
        <v>74</v>
      </c>
      <c r="AF863" s="2" t="s">
        <v>74</v>
      </c>
      <c r="AG863" s="2" t="s">
        <v>74</v>
      </c>
      <c r="AH863" s="2" t="s">
        <v>74</v>
      </c>
      <c r="AI863" s="2" t="s">
        <v>74</v>
      </c>
      <c r="AJ863" s="2" t="s">
        <v>74</v>
      </c>
      <c r="AK863" s="2" t="s">
        <v>74</v>
      </c>
      <c r="AL863" s="2" t="s">
        <v>74</v>
      </c>
      <c r="AM863" s="2" t="s">
        <v>74</v>
      </c>
      <c r="AN863" s="2" t="s">
        <v>74</v>
      </c>
      <c r="AO863" s="2" t="s">
        <v>121</v>
      </c>
      <c r="AP863" s="2" t="s">
        <v>122</v>
      </c>
      <c r="AQ863" s="2" t="s">
        <v>74</v>
      </c>
      <c r="AR863" s="2" t="s">
        <v>74</v>
      </c>
      <c r="AS863" s="2" t="s">
        <v>74</v>
      </c>
      <c r="AT863" s="2" t="s">
        <v>102</v>
      </c>
      <c r="AU863" s="2">
        <v>2014</v>
      </c>
      <c r="AV863" s="2">
        <v>105</v>
      </c>
      <c r="AW863" s="2" t="s">
        <v>74</v>
      </c>
      <c r="AX863" s="2" t="s">
        <v>74</v>
      </c>
      <c r="AY863" s="2" t="s">
        <v>74</v>
      </c>
      <c r="AZ863" s="2" t="s">
        <v>74</v>
      </c>
      <c r="BA863" s="2" t="s">
        <v>74</v>
      </c>
      <c r="BB863" s="2">
        <v>15</v>
      </c>
      <c r="BC863" s="2">
        <v>18</v>
      </c>
      <c r="BD863" s="2" t="s">
        <v>74</v>
      </c>
      <c r="BE863" s="2" t="s">
        <v>910</v>
      </c>
      <c r="BF863" s="2" t="str">
        <f>HYPERLINK("http://dx.doi.org/10.1016/j.beproc.2014.02.003","http://dx.doi.org/10.1016/j.beproc.2014.02.003")</f>
        <v>http://dx.doi.org/10.1016/j.beproc.2014.02.003</v>
      </c>
      <c r="BG863" s="2" t="s">
        <v>74</v>
      </c>
      <c r="BH863" s="2" t="s">
        <v>74</v>
      </c>
      <c r="BI863" s="2" t="s">
        <v>74</v>
      </c>
      <c r="BJ863" s="2" t="s">
        <v>74</v>
      </c>
      <c r="BK863" s="2" t="s">
        <v>74</v>
      </c>
      <c r="BL863" s="2" t="s">
        <v>74</v>
      </c>
      <c r="BM863" s="2" t="s">
        <v>74</v>
      </c>
      <c r="BN863" s="2">
        <v>24525358</v>
      </c>
      <c r="BO863" s="2" t="s">
        <v>74</v>
      </c>
      <c r="BP863" s="2" t="s">
        <v>74</v>
      </c>
      <c r="BQ863" s="2" t="s">
        <v>74</v>
      </c>
      <c r="BR863" s="2" t="s">
        <v>74</v>
      </c>
      <c r="BS863" s="2" t="s">
        <v>911</v>
      </c>
      <c r="BT863" s="2" t="str">
        <f>HYPERLINK("https%3A%2F%2Fwww.webofscience.com%2Fwos%2Fwoscc%2Ffull-record%2FWOS:000336827500003","View Full Record in Web of Science")</f>
        <v>View Full Record in Web of Science</v>
      </c>
    </row>
    <row r="864" spans="1:72" s="2" customFormat="1" x14ac:dyDescent="0.4">
      <c r="A864" s="2" t="s">
        <v>72</v>
      </c>
      <c r="B864" s="2" t="s">
        <v>7054</v>
      </c>
      <c r="C864" s="2" t="s">
        <v>74</v>
      </c>
      <c r="D864" s="2" t="s">
        <v>74</v>
      </c>
      <c r="E864" s="2" t="s">
        <v>74</v>
      </c>
      <c r="F864" s="2" t="s">
        <v>7055</v>
      </c>
      <c r="G864" s="2" t="s">
        <v>74</v>
      </c>
      <c r="H864" s="2" t="s">
        <v>74</v>
      </c>
      <c r="I864" s="2" t="s">
        <v>7056</v>
      </c>
      <c r="J864" s="2" t="s">
        <v>1656</v>
      </c>
      <c r="K864" s="2" t="s">
        <v>74</v>
      </c>
      <c r="L864" s="2" t="s">
        <v>74</v>
      </c>
      <c r="M864" s="2" t="s">
        <v>74</v>
      </c>
      <c r="N864" s="2" t="s">
        <v>74</v>
      </c>
      <c r="O864" s="2" t="s">
        <v>74</v>
      </c>
      <c r="P864" s="2" t="s">
        <v>74</v>
      </c>
      <c r="Q864" s="2" t="s">
        <v>74</v>
      </c>
      <c r="R864" s="2" t="s">
        <v>74</v>
      </c>
      <c r="S864" s="2" t="s">
        <v>74</v>
      </c>
      <c r="T864" s="2" t="s">
        <v>74</v>
      </c>
      <c r="U864" s="2" t="s">
        <v>74</v>
      </c>
      <c r="V864" s="5" t="s">
        <v>7057</v>
      </c>
      <c r="W864" s="2" t="s">
        <v>74</v>
      </c>
      <c r="X864" s="2" t="s">
        <v>74</v>
      </c>
      <c r="Y864" s="2" t="s">
        <v>74</v>
      </c>
      <c r="Z864" s="2" t="s">
        <v>74</v>
      </c>
      <c r="AA864" s="2" t="s">
        <v>74</v>
      </c>
      <c r="AB864" s="2" t="s">
        <v>74</v>
      </c>
      <c r="AC864" s="2" t="s">
        <v>74</v>
      </c>
      <c r="AD864" s="2" t="s">
        <v>74</v>
      </c>
      <c r="AE864" s="2" t="s">
        <v>74</v>
      </c>
      <c r="AF864" s="2" t="s">
        <v>74</v>
      </c>
      <c r="AG864" s="2" t="s">
        <v>74</v>
      </c>
      <c r="AH864" s="2" t="s">
        <v>74</v>
      </c>
      <c r="AI864" s="2" t="s">
        <v>74</v>
      </c>
      <c r="AJ864" s="2" t="s">
        <v>74</v>
      </c>
      <c r="AK864" s="2" t="s">
        <v>74</v>
      </c>
      <c r="AL864" s="2" t="s">
        <v>74</v>
      </c>
      <c r="AM864" s="2" t="s">
        <v>74</v>
      </c>
      <c r="AN864" s="2" t="s">
        <v>74</v>
      </c>
      <c r="AO864" s="2" t="s">
        <v>1658</v>
      </c>
      <c r="AP864" s="2" t="s">
        <v>1659</v>
      </c>
      <c r="AQ864" s="2" t="s">
        <v>74</v>
      </c>
      <c r="AR864" s="2" t="s">
        <v>74</v>
      </c>
      <c r="AS864" s="2" t="s">
        <v>74</v>
      </c>
      <c r="AT864" s="2" t="s">
        <v>7058</v>
      </c>
      <c r="AU864" s="2">
        <v>2019</v>
      </c>
      <c r="AV864" s="2">
        <v>4695</v>
      </c>
      <c r="AW864" s="2">
        <v>6</v>
      </c>
      <c r="AX864" s="2" t="s">
        <v>74</v>
      </c>
      <c r="AY864" s="2" t="s">
        <v>74</v>
      </c>
      <c r="AZ864" s="2" t="s">
        <v>74</v>
      </c>
      <c r="BA864" s="2" t="s">
        <v>74</v>
      </c>
      <c r="BB864" s="2">
        <v>501</v>
      </c>
      <c r="BC864" s="2">
        <v>515</v>
      </c>
      <c r="BD864" s="2" t="s">
        <v>74</v>
      </c>
      <c r="BE864" s="2" t="s">
        <v>7059</v>
      </c>
      <c r="BF864" s="2" t="str">
        <f>HYPERLINK("http://dx.doi.org/10.11646/zootaxa.4695.6.1","http://dx.doi.org/10.11646/zootaxa.4695.6.1")</f>
        <v>http://dx.doi.org/10.11646/zootaxa.4695.6.1</v>
      </c>
      <c r="BG864" s="2" t="s">
        <v>74</v>
      </c>
      <c r="BH864" s="2" t="s">
        <v>74</v>
      </c>
      <c r="BI864" s="2" t="s">
        <v>74</v>
      </c>
      <c r="BJ864" s="2" t="s">
        <v>74</v>
      </c>
      <c r="BK864" s="2" t="s">
        <v>74</v>
      </c>
      <c r="BL864" s="2" t="s">
        <v>74</v>
      </c>
      <c r="BM864" s="2" t="s">
        <v>74</v>
      </c>
      <c r="BN864" s="2">
        <v>31719322</v>
      </c>
      <c r="BO864" s="2" t="s">
        <v>74</v>
      </c>
      <c r="BP864" s="2" t="s">
        <v>74</v>
      </c>
      <c r="BQ864" s="2" t="s">
        <v>74</v>
      </c>
      <c r="BR864" s="2" t="s">
        <v>74</v>
      </c>
      <c r="BS864" s="2" t="s">
        <v>7060</v>
      </c>
      <c r="BT864" s="2" t="str">
        <f>HYPERLINK("https%3A%2F%2Fwww.webofscience.com%2Fwos%2Fwoscc%2Ffull-record%2FWOS:000497817600001","View Full Record in Web of Science")</f>
        <v>View Full Record in Web of Science</v>
      </c>
    </row>
    <row r="865" spans="1:72" s="2" customFormat="1" x14ac:dyDescent="0.4">
      <c r="A865" s="2" t="s">
        <v>72</v>
      </c>
      <c r="B865" s="2" t="s">
        <v>1205</v>
      </c>
      <c r="C865" s="2" t="s">
        <v>74</v>
      </c>
      <c r="D865" s="2" t="s">
        <v>74</v>
      </c>
      <c r="E865" s="2" t="s">
        <v>74</v>
      </c>
      <c r="F865" s="2" t="s">
        <v>1205</v>
      </c>
      <c r="G865" s="2" t="s">
        <v>74</v>
      </c>
      <c r="H865" s="2" t="s">
        <v>74</v>
      </c>
      <c r="I865" s="2" t="s">
        <v>1206</v>
      </c>
      <c r="J865" s="2" t="s">
        <v>88</v>
      </c>
      <c r="K865" s="2" t="s">
        <v>74</v>
      </c>
      <c r="L865" s="2" t="s">
        <v>74</v>
      </c>
      <c r="M865" s="2" t="s">
        <v>74</v>
      </c>
      <c r="N865" s="2" t="s">
        <v>74</v>
      </c>
      <c r="O865" s="2" t="s">
        <v>74</v>
      </c>
      <c r="P865" s="2" t="s">
        <v>74</v>
      </c>
      <c r="Q865" s="2" t="s">
        <v>74</v>
      </c>
      <c r="R865" s="2" t="s">
        <v>74</v>
      </c>
      <c r="S865" s="2" t="s">
        <v>74</v>
      </c>
      <c r="T865" s="2" t="s">
        <v>74</v>
      </c>
      <c r="U865" s="2" t="s">
        <v>74</v>
      </c>
      <c r="V865" s="5" t="s">
        <v>1207</v>
      </c>
      <c r="W865" s="2" t="s">
        <v>74</v>
      </c>
      <c r="X865" s="2" t="s">
        <v>74</v>
      </c>
      <c r="Y865" s="2" t="s">
        <v>74</v>
      </c>
      <c r="Z865" s="2" t="s">
        <v>74</v>
      </c>
      <c r="AA865" s="2" t="s">
        <v>1208</v>
      </c>
      <c r="AB865" s="2" t="s">
        <v>1209</v>
      </c>
      <c r="AC865" s="2" t="s">
        <v>74</v>
      </c>
      <c r="AD865" s="2" t="s">
        <v>74</v>
      </c>
      <c r="AE865" s="2" t="s">
        <v>74</v>
      </c>
      <c r="AF865" s="2" t="s">
        <v>74</v>
      </c>
      <c r="AG865" s="2" t="s">
        <v>74</v>
      </c>
      <c r="AH865" s="2" t="s">
        <v>74</v>
      </c>
      <c r="AI865" s="2" t="s">
        <v>74</v>
      </c>
      <c r="AJ865" s="2" t="s">
        <v>74</v>
      </c>
      <c r="AK865" s="2" t="s">
        <v>74</v>
      </c>
      <c r="AL865" s="2" t="s">
        <v>74</v>
      </c>
      <c r="AM865" s="2" t="s">
        <v>74</v>
      </c>
      <c r="AN865" s="2" t="s">
        <v>74</v>
      </c>
      <c r="AO865" s="2" t="s">
        <v>91</v>
      </c>
      <c r="AP865" s="2" t="s">
        <v>74</v>
      </c>
      <c r="AQ865" s="2" t="s">
        <v>74</v>
      </c>
      <c r="AR865" s="2" t="s">
        <v>74</v>
      </c>
      <c r="AS865" s="2" t="s">
        <v>74</v>
      </c>
      <c r="AT865" s="2" t="s">
        <v>1210</v>
      </c>
      <c r="AU865" s="2">
        <v>2005</v>
      </c>
      <c r="AV865" s="2">
        <v>1</v>
      </c>
      <c r="AW865" s="2">
        <v>4</v>
      </c>
      <c r="AX865" s="2" t="s">
        <v>74</v>
      </c>
      <c r="AY865" s="2" t="s">
        <v>74</v>
      </c>
      <c r="AZ865" s="2" t="s">
        <v>74</v>
      </c>
      <c r="BA865" s="2" t="s">
        <v>74</v>
      </c>
      <c r="BB865" s="2">
        <v>411</v>
      </c>
      <c r="BC865" s="2">
        <v>414</v>
      </c>
      <c r="BD865" s="2" t="s">
        <v>74</v>
      </c>
      <c r="BE865" s="2" t="s">
        <v>1211</v>
      </c>
      <c r="BF865" s="2" t="str">
        <f>HYPERLINK("http://dx.doi.org/10.1098/rsbl.2005.0355","http://dx.doi.org/10.1098/rsbl.2005.0355")</f>
        <v>http://dx.doi.org/10.1098/rsbl.2005.0355</v>
      </c>
      <c r="BG865" s="2" t="s">
        <v>74</v>
      </c>
      <c r="BH865" s="2" t="s">
        <v>74</v>
      </c>
      <c r="BI865" s="2" t="s">
        <v>74</v>
      </c>
      <c r="BJ865" s="2" t="s">
        <v>74</v>
      </c>
      <c r="BK865" s="2" t="s">
        <v>74</v>
      </c>
      <c r="BL865" s="2" t="s">
        <v>74</v>
      </c>
      <c r="BM865" s="2" t="s">
        <v>74</v>
      </c>
      <c r="BN865" s="2">
        <v>17148220</v>
      </c>
      <c r="BO865" s="2" t="s">
        <v>74</v>
      </c>
      <c r="BP865" s="2" t="s">
        <v>74</v>
      </c>
      <c r="BQ865" s="2" t="s">
        <v>74</v>
      </c>
      <c r="BR865" s="2" t="s">
        <v>74</v>
      </c>
      <c r="BS865" s="2" t="s">
        <v>1212</v>
      </c>
      <c r="BT865" s="2" t="str">
        <f>HYPERLINK("https%3A%2F%2Fwww.webofscience.com%2Fwos%2Fwoscc%2Ffull-record%2FWOS:000233911600009","View Full Record in Web of Science")</f>
        <v>View Full Record in Web of Science</v>
      </c>
    </row>
    <row r="866" spans="1:72" s="2" customFormat="1" x14ac:dyDescent="0.4">
      <c r="A866" s="2" t="s">
        <v>72</v>
      </c>
      <c r="B866" s="2" t="s">
        <v>2429</v>
      </c>
      <c r="C866" s="2" t="s">
        <v>74</v>
      </c>
      <c r="D866" s="2" t="s">
        <v>74</v>
      </c>
      <c r="E866" s="2" t="s">
        <v>74</v>
      </c>
      <c r="F866" s="2" t="s">
        <v>2429</v>
      </c>
      <c r="G866" s="2" t="s">
        <v>74</v>
      </c>
      <c r="H866" s="2" t="s">
        <v>74</v>
      </c>
      <c r="I866" s="2" t="s">
        <v>2430</v>
      </c>
      <c r="J866" s="2" t="s">
        <v>1112</v>
      </c>
      <c r="K866" s="2" t="s">
        <v>74</v>
      </c>
      <c r="L866" s="2" t="s">
        <v>74</v>
      </c>
      <c r="M866" s="2" t="s">
        <v>74</v>
      </c>
      <c r="N866" s="2" t="s">
        <v>74</v>
      </c>
      <c r="O866" s="2" t="s">
        <v>74</v>
      </c>
      <c r="P866" s="2" t="s">
        <v>74</v>
      </c>
      <c r="Q866" s="2" t="s">
        <v>74</v>
      </c>
      <c r="R866" s="2" t="s">
        <v>74</v>
      </c>
      <c r="S866" s="2" t="s">
        <v>74</v>
      </c>
      <c r="T866" s="2" t="s">
        <v>74</v>
      </c>
      <c r="U866" s="2" t="s">
        <v>74</v>
      </c>
      <c r="V866" s="5" t="s">
        <v>2431</v>
      </c>
      <c r="W866" s="2" t="s">
        <v>74</v>
      </c>
      <c r="X866" s="2" t="s">
        <v>74</v>
      </c>
      <c r="Y866" s="2" t="s">
        <v>74</v>
      </c>
      <c r="Z866" s="2" t="s">
        <v>74</v>
      </c>
      <c r="AA866" s="2" t="s">
        <v>805</v>
      </c>
      <c r="AB866" s="2" t="s">
        <v>2432</v>
      </c>
      <c r="AC866" s="2" t="s">
        <v>74</v>
      </c>
      <c r="AD866" s="2" t="s">
        <v>74</v>
      </c>
      <c r="AE866" s="2" t="s">
        <v>74</v>
      </c>
      <c r="AF866" s="2" t="s">
        <v>74</v>
      </c>
      <c r="AG866" s="2" t="s">
        <v>74</v>
      </c>
      <c r="AH866" s="2" t="s">
        <v>74</v>
      </c>
      <c r="AI866" s="2" t="s">
        <v>74</v>
      </c>
      <c r="AJ866" s="2" t="s">
        <v>74</v>
      </c>
      <c r="AK866" s="2" t="s">
        <v>74</v>
      </c>
      <c r="AL866" s="2" t="s">
        <v>74</v>
      </c>
      <c r="AM866" s="2" t="s">
        <v>74</v>
      </c>
      <c r="AN866" s="2" t="s">
        <v>74</v>
      </c>
      <c r="AO866" s="2" t="s">
        <v>1114</v>
      </c>
      <c r="AP866" s="2" t="s">
        <v>74</v>
      </c>
      <c r="AQ866" s="2" t="s">
        <v>74</v>
      </c>
      <c r="AR866" s="2" t="s">
        <v>74</v>
      </c>
      <c r="AS866" s="2" t="s">
        <v>74</v>
      </c>
      <c r="AT866" s="2" t="s">
        <v>633</v>
      </c>
      <c r="AU866" s="2">
        <v>1997</v>
      </c>
      <c r="AV866" s="2">
        <v>52</v>
      </c>
      <c r="AW866" s="2" t="s">
        <v>1276</v>
      </c>
      <c r="AX866" s="2" t="s">
        <v>74</v>
      </c>
      <c r="AY866" s="2" t="s">
        <v>74</v>
      </c>
      <c r="AZ866" s="2" t="s">
        <v>74</v>
      </c>
      <c r="BA866" s="2" t="s">
        <v>74</v>
      </c>
      <c r="BB866" s="2">
        <v>215</v>
      </c>
      <c r="BC866" s="2">
        <v>227</v>
      </c>
      <c r="BD866" s="2" t="s">
        <v>74</v>
      </c>
      <c r="BE866" s="2" t="s">
        <v>2433</v>
      </c>
      <c r="BF866" s="2" t="str">
        <f>HYPERLINK("http://dx.doi.org/10.1016/S0168-1591(96)01124-0","http://dx.doi.org/10.1016/S0168-1591(96)01124-0")</f>
        <v>http://dx.doi.org/10.1016/S0168-1591(96)01124-0</v>
      </c>
      <c r="BG866" s="2" t="s">
        <v>74</v>
      </c>
      <c r="BH866" s="2" t="s">
        <v>74</v>
      </c>
      <c r="BI866" s="2" t="s">
        <v>74</v>
      </c>
      <c r="BJ866" s="2" t="s">
        <v>74</v>
      </c>
      <c r="BK866" s="2" t="s">
        <v>74</v>
      </c>
      <c r="BL866" s="2" t="s">
        <v>74</v>
      </c>
      <c r="BM866" s="2" t="s">
        <v>74</v>
      </c>
      <c r="BN866" s="2" t="s">
        <v>74</v>
      </c>
      <c r="BO866" s="2" t="s">
        <v>74</v>
      </c>
      <c r="BP866" s="2" t="s">
        <v>74</v>
      </c>
      <c r="BQ866" s="2" t="s">
        <v>74</v>
      </c>
      <c r="BR866" s="2" t="s">
        <v>74</v>
      </c>
      <c r="BS866" s="2" t="s">
        <v>2434</v>
      </c>
      <c r="BT866" s="2" t="str">
        <f>HYPERLINK("https%3A%2F%2Fwww.webofscience.com%2Fwos%2Fwoscc%2Ffull-record%2FWOS:A1997XA61600004","View Full Record in Web of Science")</f>
        <v>View Full Record in Web of Science</v>
      </c>
    </row>
    <row r="867" spans="1:72" s="2" customFormat="1" x14ac:dyDescent="0.4">
      <c r="A867" s="2" t="s">
        <v>72</v>
      </c>
      <c r="B867" s="2" t="s">
        <v>3733</v>
      </c>
      <c r="C867" s="2" t="s">
        <v>74</v>
      </c>
      <c r="D867" s="2" t="s">
        <v>74</v>
      </c>
      <c r="E867" s="2" t="s">
        <v>74</v>
      </c>
      <c r="F867" s="2" t="s">
        <v>3734</v>
      </c>
      <c r="G867" s="2" t="s">
        <v>74</v>
      </c>
      <c r="H867" s="2" t="s">
        <v>74</v>
      </c>
      <c r="I867" s="2" t="s">
        <v>3735</v>
      </c>
      <c r="J867" s="2" t="s">
        <v>140</v>
      </c>
      <c r="K867" s="2" t="s">
        <v>74</v>
      </c>
      <c r="L867" s="2" t="s">
        <v>74</v>
      </c>
      <c r="M867" s="2" t="s">
        <v>74</v>
      </c>
      <c r="N867" s="2" t="s">
        <v>74</v>
      </c>
      <c r="O867" s="2" t="s">
        <v>74</v>
      </c>
      <c r="P867" s="2" t="s">
        <v>74</v>
      </c>
      <c r="Q867" s="2" t="s">
        <v>74</v>
      </c>
      <c r="R867" s="2" t="s">
        <v>74</v>
      </c>
      <c r="S867" s="2" t="s">
        <v>74</v>
      </c>
      <c r="T867" s="2" t="s">
        <v>74</v>
      </c>
      <c r="U867" s="2" t="s">
        <v>74</v>
      </c>
      <c r="V867" s="5" t="s">
        <v>3736</v>
      </c>
      <c r="W867" s="2" t="s">
        <v>74</v>
      </c>
      <c r="X867" s="2" t="s">
        <v>74</v>
      </c>
      <c r="Y867" s="2" t="s">
        <v>74</v>
      </c>
      <c r="Z867" s="2" t="s">
        <v>74</v>
      </c>
      <c r="AA867" s="2" t="s">
        <v>3737</v>
      </c>
      <c r="AB867" s="2" t="s">
        <v>1976</v>
      </c>
      <c r="AC867" s="2" t="s">
        <v>74</v>
      </c>
      <c r="AD867" s="2" t="s">
        <v>74</v>
      </c>
      <c r="AE867" s="2" t="s">
        <v>74</v>
      </c>
      <c r="AF867" s="2" t="s">
        <v>74</v>
      </c>
      <c r="AG867" s="2" t="s">
        <v>74</v>
      </c>
      <c r="AH867" s="2" t="s">
        <v>74</v>
      </c>
      <c r="AI867" s="2" t="s">
        <v>74</v>
      </c>
      <c r="AJ867" s="2" t="s">
        <v>74</v>
      </c>
      <c r="AK867" s="2" t="s">
        <v>74</v>
      </c>
      <c r="AL867" s="2" t="s">
        <v>74</v>
      </c>
      <c r="AM867" s="2" t="s">
        <v>74</v>
      </c>
      <c r="AN867" s="2" t="s">
        <v>74</v>
      </c>
      <c r="AO867" s="2" t="s">
        <v>143</v>
      </c>
      <c r="AP867" s="2" t="s">
        <v>144</v>
      </c>
      <c r="AQ867" s="2" t="s">
        <v>74</v>
      </c>
      <c r="AR867" s="2" t="s">
        <v>74</v>
      </c>
      <c r="AS867" s="2" t="s">
        <v>74</v>
      </c>
      <c r="AT867" s="2" t="s">
        <v>352</v>
      </c>
      <c r="AU867" s="2">
        <v>2007</v>
      </c>
      <c r="AV867" s="2">
        <v>74</v>
      </c>
      <c r="AW867" s="2" t="s">
        <v>74</v>
      </c>
      <c r="AX867" s="2">
        <v>3</v>
      </c>
      <c r="AY867" s="2" t="s">
        <v>74</v>
      </c>
      <c r="AZ867" s="2" t="s">
        <v>74</v>
      </c>
      <c r="BA867" s="2" t="s">
        <v>74</v>
      </c>
      <c r="BB867" s="2">
        <v>419</v>
      </c>
      <c r="BC867" s="2">
        <v>427</v>
      </c>
      <c r="BD867" s="2" t="s">
        <v>74</v>
      </c>
      <c r="BE867" s="2" t="s">
        <v>3738</v>
      </c>
      <c r="BF867" s="2" t="str">
        <f>HYPERLINK("http://dx.doi.org/10.1016/j.anbehav.2006.10.023","http://dx.doi.org/10.1016/j.anbehav.2006.10.023")</f>
        <v>http://dx.doi.org/10.1016/j.anbehav.2006.10.023</v>
      </c>
      <c r="BG867" s="2" t="s">
        <v>74</v>
      </c>
      <c r="BH867" s="2" t="s">
        <v>74</v>
      </c>
      <c r="BI867" s="2" t="s">
        <v>74</v>
      </c>
      <c r="BJ867" s="2" t="s">
        <v>74</v>
      </c>
      <c r="BK867" s="2" t="s">
        <v>74</v>
      </c>
      <c r="BL867" s="2" t="s">
        <v>74</v>
      </c>
      <c r="BM867" s="2" t="s">
        <v>74</v>
      </c>
      <c r="BN867" s="2" t="s">
        <v>74</v>
      </c>
      <c r="BO867" s="2" t="s">
        <v>74</v>
      </c>
      <c r="BP867" s="2" t="s">
        <v>74</v>
      </c>
      <c r="BQ867" s="2" t="s">
        <v>74</v>
      </c>
      <c r="BR867" s="2" t="s">
        <v>74</v>
      </c>
      <c r="BS867" s="2" t="s">
        <v>3739</v>
      </c>
      <c r="BT867" s="2" t="str">
        <f>HYPERLINK("https%3A%2F%2Fwww.webofscience.com%2Fwos%2Fwoscc%2Ffull-record%2FWOS:000250180700008","View Full Record in Web of Science")</f>
        <v>View Full Record in Web of Science</v>
      </c>
    </row>
    <row r="868" spans="1:72" s="2" customFormat="1" x14ac:dyDescent="0.4">
      <c r="A868" s="2" t="s">
        <v>72</v>
      </c>
      <c r="B868" s="2" t="s">
        <v>4150</v>
      </c>
      <c r="C868" s="2" t="s">
        <v>74</v>
      </c>
      <c r="D868" s="2" t="s">
        <v>74</v>
      </c>
      <c r="E868" s="2" t="s">
        <v>74</v>
      </c>
      <c r="F868" s="2" t="s">
        <v>4151</v>
      </c>
      <c r="G868" s="2" t="s">
        <v>74</v>
      </c>
      <c r="H868" s="2" t="s">
        <v>74</v>
      </c>
      <c r="I868" s="2" t="s">
        <v>4152</v>
      </c>
      <c r="J868" s="2" t="s">
        <v>77</v>
      </c>
      <c r="K868" s="2" t="s">
        <v>74</v>
      </c>
      <c r="L868" s="2" t="s">
        <v>74</v>
      </c>
      <c r="M868" s="2" t="s">
        <v>74</v>
      </c>
      <c r="N868" s="2" t="s">
        <v>74</v>
      </c>
      <c r="O868" s="2" t="s">
        <v>74</v>
      </c>
      <c r="P868" s="2" t="s">
        <v>74</v>
      </c>
      <c r="Q868" s="2" t="s">
        <v>74</v>
      </c>
      <c r="R868" s="2" t="s">
        <v>74</v>
      </c>
      <c r="S868" s="2" t="s">
        <v>74</v>
      </c>
      <c r="T868" s="2" t="s">
        <v>74</v>
      </c>
      <c r="U868" s="2" t="s">
        <v>74</v>
      </c>
      <c r="V868" s="5" t="s">
        <v>4153</v>
      </c>
      <c r="W868" s="2" t="s">
        <v>74</v>
      </c>
      <c r="X868" s="2" t="s">
        <v>74</v>
      </c>
      <c r="Y868" s="2" t="s">
        <v>74</v>
      </c>
      <c r="Z868" s="2" t="s">
        <v>74</v>
      </c>
      <c r="AA868" s="2" t="s">
        <v>4154</v>
      </c>
      <c r="AB868" s="2" t="s">
        <v>4155</v>
      </c>
      <c r="AC868" s="2" t="s">
        <v>74</v>
      </c>
      <c r="AD868" s="2" t="s">
        <v>74</v>
      </c>
      <c r="AE868" s="2" t="s">
        <v>74</v>
      </c>
      <c r="AF868" s="2" t="s">
        <v>74</v>
      </c>
      <c r="AG868" s="2" t="s">
        <v>74</v>
      </c>
      <c r="AH868" s="2" t="s">
        <v>74</v>
      </c>
      <c r="AI868" s="2" t="s">
        <v>74</v>
      </c>
      <c r="AJ868" s="2" t="s">
        <v>74</v>
      </c>
      <c r="AK868" s="2" t="s">
        <v>74</v>
      </c>
      <c r="AL868" s="2" t="s">
        <v>74</v>
      </c>
      <c r="AM868" s="2" t="s">
        <v>74</v>
      </c>
      <c r="AN868" s="2" t="s">
        <v>74</v>
      </c>
      <c r="AO868" s="2" t="s">
        <v>81</v>
      </c>
      <c r="AP868" s="2" t="s">
        <v>82</v>
      </c>
      <c r="AQ868" s="2" t="s">
        <v>74</v>
      </c>
      <c r="AR868" s="2" t="s">
        <v>74</v>
      </c>
      <c r="AS868" s="2" t="s">
        <v>74</v>
      </c>
      <c r="AT868" s="2" t="s">
        <v>74</v>
      </c>
      <c r="AU868" s="2">
        <v>2010</v>
      </c>
      <c r="AV868" s="2">
        <v>147</v>
      </c>
      <c r="AW868" s="2">
        <v>4</v>
      </c>
      <c r="AX868" s="2" t="s">
        <v>74</v>
      </c>
      <c r="AY868" s="2" t="s">
        <v>74</v>
      </c>
      <c r="AZ868" s="2" t="s">
        <v>74</v>
      </c>
      <c r="BA868" s="2" t="s">
        <v>74</v>
      </c>
      <c r="BB868" s="2">
        <v>465</v>
      </c>
      <c r="BC868" s="2">
        <v>478</v>
      </c>
      <c r="BD868" s="2" t="s">
        <v>74</v>
      </c>
      <c r="BE868" s="2" t="s">
        <v>4156</v>
      </c>
      <c r="BF868" s="2" t="str">
        <f>HYPERLINK("http://dx.doi.org/10.1163/000579509X12584427339575","http://dx.doi.org/10.1163/000579509X12584427339575")</f>
        <v>http://dx.doi.org/10.1163/000579509X12584427339575</v>
      </c>
      <c r="BG868" s="2" t="s">
        <v>74</v>
      </c>
      <c r="BH868" s="2" t="s">
        <v>74</v>
      </c>
      <c r="BI868" s="2" t="s">
        <v>74</v>
      </c>
      <c r="BJ868" s="2" t="s">
        <v>74</v>
      </c>
      <c r="BK868" s="2" t="s">
        <v>74</v>
      </c>
      <c r="BL868" s="2" t="s">
        <v>74</v>
      </c>
      <c r="BM868" s="2" t="s">
        <v>74</v>
      </c>
      <c r="BN868" s="2" t="s">
        <v>74</v>
      </c>
      <c r="BO868" s="2" t="s">
        <v>74</v>
      </c>
      <c r="BP868" s="2" t="s">
        <v>74</v>
      </c>
      <c r="BQ868" s="2" t="s">
        <v>74</v>
      </c>
      <c r="BR868" s="2" t="s">
        <v>74</v>
      </c>
      <c r="BS868" s="2" t="s">
        <v>4157</v>
      </c>
      <c r="BT868" s="2" t="str">
        <f>HYPERLINK("https%3A%2F%2Fwww.webofscience.com%2Fwos%2Fwoscc%2Ffull-record%2FWOS:000277127600003","View Full Record in Web of Science")</f>
        <v>View Full Record in Web of Science</v>
      </c>
    </row>
    <row r="869" spans="1:72" s="2" customFormat="1" x14ac:dyDescent="0.4">
      <c r="A869" s="2" t="s">
        <v>72</v>
      </c>
      <c r="B869" s="2" t="s">
        <v>5934</v>
      </c>
      <c r="C869" s="2" t="s">
        <v>74</v>
      </c>
      <c r="D869" s="2" t="s">
        <v>74</v>
      </c>
      <c r="E869" s="2" t="s">
        <v>74</v>
      </c>
      <c r="F869" s="2" t="s">
        <v>5935</v>
      </c>
      <c r="G869" s="2" t="s">
        <v>74</v>
      </c>
      <c r="H869" s="2" t="s">
        <v>74</v>
      </c>
      <c r="I869" s="2" t="s">
        <v>5936</v>
      </c>
      <c r="J869" s="2" t="s">
        <v>5937</v>
      </c>
      <c r="K869" s="2" t="s">
        <v>74</v>
      </c>
      <c r="L869" s="2" t="s">
        <v>74</v>
      </c>
      <c r="M869" s="2" t="s">
        <v>74</v>
      </c>
      <c r="N869" s="2" t="s">
        <v>74</v>
      </c>
      <c r="O869" s="2" t="s">
        <v>74</v>
      </c>
      <c r="P869" s="2" t="s">
        <v>74</v>
      </c>
      <c r="Q869" s="2" t="s">
        <v>74</v>
      </c>
      <c r="R869" s="2" t="s">
        <v>74</v>
      </c>
      <c r="S869" s="2" t="s">
        <v>74</v>
      </c>
      <c r="T869" s="2" t="s">
        <v>74</v>
      </c>
      <c r="U869" s="2" t="s">
        <v>74</v>
      </c>
      <c r="V869" s="5" t="s">
        <v>5938</v>
      </c>
      <c r="W869" s="2" t="s">
        <v>74</v>
      </c>
      <c r="X869" s="2" t="s">
        <v>74</v>
      </c>
      <c r="Y869" s="2" t="s">
        <v>74</v>
      </c>
      <c r="Z869" s="2" t="s">
        <v>74</v>
      </c>
      <c r="AA869" s="2" t="s">
        <v>5939</v>
      </c>
      <c r="AB869" s="2" t="s">
        <v>5940</v>
      </c>
      <c r="AC869" s="2" t="s">
        <v>74</v>
      </c>
      <c r="AD869" s="2" t="s">
        <v>74</v>
      </c>
      <c r="AE869" s="2" t="s">
        <v>74</v>
      </c>
      <c r="AF869" s="2" t="s">
        <v>74</v>
      </c>
      <c r="AG869" s="2" t="s">
        <v>74</v>
      </c>
      <c r="AH869" s="2" t="s">
        <v>74</v>
      </c>
      <c r="AI869" s="2" t="s">
        <v>74</v>
      </c>
      <c r="AJ869" s="2" t="s">
        <v>74</v>
      </c>
      <c r="AK869" s="2" t="s">
        <v>74</v>
      </c>
      <c r="AL869" s="2" t="s">
        <v>74</v>
      </c>
      <c r="AM869" s="2" t="s">
        <v>74</v>
      </c>
      <c r="AN869" s="2" t="s">
        <v>74</v>
      </c>
      <c r="AO869" s="2" t="s">
        <v>5941</v>
      </c>
      <c r="AP869" s="2" t="s">
        <v>74</v>
      </c>
      <c r="AQ869" s="2" t="s">
        <v>74</v>
      </c>
      <c r="AR869" s="2" t="s">
        <v>74</v>
      </c>
      <c r="AS869" s="2" t="s">
        <v>74</v>
      </c>
      <c r="AT869" s="2" t="s">
        <v>213</v>
      </c>
      <c r="AU869" s="2">
        <v>2021</v>
      </c>
      <c r="AV869" s="2">
        <v>11</v>
      </c>
      <c r="AW869" s="2">
        <v>11</v>
      </c>
      <c r="AX869" s="2" t="s">
        <v>74</v>
      </c>
      <c r="AY869" s="2" t="s">
        <v>74</v>
      </c>
      <c r="AZ869" s="2" t="s">
        <v>74</v>
      </c>
      <c r="BA869" s="2" t="s">
        <v>74</v>
      </c>
      <c r="BB869" s="2" t="s">
        <v>74</v>
      </c>
      <c r="BC869" s="2" t="s">
        <v>74</v>
      </c>
      <c r="BD869" s="2">
        <v>3022</v>
      </c>
      <c r="BE869" s="2" t="s">
        <v>5942</v>
      </c>
      <c r="BF869" s="2" t="str">
        <f>HYPERLINK("http://dx.doi.org/10.3390/ani11113022","http://dx.doi.org/10.3390/ani11113022")</f>
        <v>http://dx.doi.org/10.3390/ani11113022</v>
      </c>
      <c r="BG869" s="2" t="s">
        <v>74</v>
      </c>
      <c r="BH869" s="2" t="s">
        <v>74</v>
      </c>
      <c r="BI869" s="2" t="s">
        <v>74</v>
      </c>
      <c r="BJ869" s="2" t="s">
        <v>74</v>
      </c>
      <c r="BK869" s="2" t="s">
        <v>74</v>
      </c>
      <c r="BL869" s="2" t="s">
        <v>74</v>
      </c>
      <c r="BM869" s="2" t="s">
        <v>74</v>
      </c>
      <c r="BN869" s="2">
        <v>34827756</v>
      </c>
      <c r="BO869" s="2" t="s">
        <v>74</v>
      </c>
      <c r="BP869" s="2" t="s">
        <v>74</v>
      </c>
      <c r="BQ869" s="2" t="s">
        <v>74</v>
      </c>
      <c r="BR869" s="2" t="s">
        <v>74</v>
      </c>
      <c r="BS869" s="2" t="s">
        <v>5943</v>
      </c>
      <c r="BT869" s="2" t="str">
        <f>HYPERLINK("https%3A%2F%2Fwww.webofscience.com%2Fwos%2Fwoscc%2Ffull-record%2FWOS:000758187200001","View Full Record in Web of Science")</f>
        <v>View Full Record in Web of Science</v>
      </c>
    </row>
    <row r="870" spans="1:72" s="2" customFormat="1" x14ac:dyDescent="0.4">
      <c r="A870" s="2" t="s">
        <v>72</v>
      </c>
      <c r="B870" s="2" t="s">
        <v>4232</v>
      </c>
      <c r="C870" s="2" t="s">
        <v>74</v>
      </c>
      <c r="D870" s="2" t="s">
        <v>74</v>
      </c>
      <c r="E870" s="2" t="s">
        <v>74</v>
      </c>
      <c r="F870" s="2" t="s">
        <v>4233</v>
      </c>
      <c r="G870" s="2" t="s">
        <v>74</v>
      </c>
      <c r="H870" s="2" t="s">
        <v>74</v>
      </c>
      <c r="I870" s="2" t="s">
        <v>4234</v>
      </c>
      <c r="J870" s="2" t="s">
        <v>4235</v>
      </c>
      <c r="K870" s="2" t="s">
        <v>74</v>
      </c>
      <c r="L870" s="2" t="s">
        <v>74</v>
      </c>
      <c r="M870" s="2" t="s">
        <v>74</v>
      </c>
      <c r="N870" s="2" t="s">
        <v>74</v>
      </c>
      <c r="O870" s="2" t="s">
        <v>74</v>
      </c>
      <c r="P870" s="2" t="s">
        <v>74</v>
      </c>
      <c r="Q870" s="2" t="s">
        <v>74</v>
      </c>
      <c r="R870" s="2" t="s">
        <v>74</v>
      </c>
      <c r="S870" s="2" t="s">
        <v>74</v>
      </c>
      <c r="T870" s="2" t="s">
        <v>74</v>
      </c>
      <c r="U870" s="2" t="s">
        <v>74</v>
      </c>
      <c r="V870" s="5" t="s">
        <v>4236</v>
      </c>
      <c r="W870" s="2" t="s">
        <v>74</v>
      </c>
      <c r="X870" s="2" t="s">
        <v>74</v>
      </c>
      <c r="Y870" s="2" t="s">
        <v>74</v>
      </c>
      <c r="Z870" s="2" t="s">
        <v>74</v>
      </c>
      <c r="AA870" s="2" t="s">
        <v>4237</v>
      </c>
      <c r="AB870" s="2" t="s">
        <v>4238</v>
      </c>
      <c r="AC870" s="2" t="s">
        <v>74</v>
      </c>
      <c r="AD870" s="2" t="s">
        <v>74</v>
      </c>
      <c r="AE870" s="2" t="s">
        <v>74</v>
      </c>
      <c r="AF870" s="2" t="s">
        <v>74</v>
      </c>
      <c r="AG870" s="2" t="s">
        <v>74</v>
      </c>
      <c r="AH870" s="2" t="s">
        <v>74</v>
      </c>
      <c r="AI870" s="2" t="s">
        <v>74</v>
      </c>
      <c r="AJ870" s="2" t="s">
        <v>74</v>
      </c>
      <c r="AK870" s="2" t="s">
        <v>74</v>
      </c>
      <c r="AL870" s="2" t="s">
        <v>74</v>
      </c>
      <c r="AM870" s="2" t="s">
        <v>74</v>
      </c>
      <c r="AN870" s="2" t="s">
        <v>74</v>
      </c>
      <c r="AO870" s="2" t="s">
        <v>4239</v>
      </c>
      <c r="AP870" s="2" t="s">
        <v>4240</v>
      </c>
      <c r="AQ870" s="2" t="s">
        <v>74</v>
      </c>
      <c r="AR870" s="2" t="s">
        <v>74</v>
      </c>
      <c r="AS870" s="2" t="s">
        <v>74</v>
      </c>
      <c r="AT870" s="2" t="s">
        <v>175</v>
      </c>
      <c r="AU870" s="2">
        <v>2014</v>
      </c>
      <c r="AV870" s="2">
        <v>79</v>
      </c>
      <c r="AW870" s="2" t="s">
        <v>74</v>
      </c>
      <c r="AX870" s="2" t="s">
        <v>74</v>
      </c>
      <c r="AY870" s="2" t="s">
        <v>74</v>
      </c>
      <c r="AZ870" s="2" t="s">
        <v>74</v>
      </c>
      <c r="BA870" s="2" t="s">
        <v>74</v>
      </c>
      <c r="BB870" s="2">
        <v>404</v>
      </c>
      <c r="BC870" s="2">
        <v>414</v>
      </c>
      <c r="BD870" s="2" t="s">
        <v>74</v>
      </c>
      <c r="BE870" s="2" t="s">
        <v>4241</v>
      </c>
      <c r="BF870" s="2" t="str">
        <f>HYPERLINK("http://dx.doi.org/10.1016/j.ympev.2014.07.007","http://dx.doi.org/10.1016/j.ympev.2014.07.007")</f>
        <v>http://dx.doi.org/10.1016/j.ympev.2014.07.007</v>
      </c>
      <c r="BG870" s="2" t="s">
        <v>74</v>
      </c>
      <c r="BH870" s="2" t="s">
        <v>74</v>
      </c>
      <c r="BI870" s="2" t="s">
        <v>74</v>
      </c>
      <c r="BJ870" s="2" t="s">
        <v>74</v>
      </c>
      <c r="BK870" s="2" t="s">
        <v>74</v>
      </c>
      <c r="BL870" s="2" t="s">
        <v>74</v>
      </c>
      <c r="BM870" s="2" t="s">
        <v>74</v>
      </c>
      <c r="BN870" s="2">
        <v>25050928</v>
      </c>
      <c r="BO870" s="2" t="s">
        <v>74</v>
      </c>
      <c r="BP870" s="2" t="s">
        <v>74</v>
      </c>
      <c r="BQ870" s="2" t="s">
        <v>74</v>
      </c>
      <c r="BR870" s="2" t="s">
        <v>74</v>
      </c>
      <c r="BS870" s="2" t="s">
        <v>4242</v>
      </c>
      <c r="BT870" s="2" t="str">
        <f>HYPERLINK("https%3A%2F%2Fwww.webofscience.com%2Fwos%2Fwoscc%2Ffull-record%2FWOS:000342884800034","View Full Record in Web of Science")</f>
        <v>View Full Record in Web of Science</v>
      </c>
    </row>
    <row r="871" spans="1:72" s="2" customFormat="1" x14ac:dyDescent="0.4">
      <c r="A871" s="2" t="s">
        <v>72</v>
      </c>
      <c r="B871" s="2" t="s">
        <v>6974</v>
      </c>
      <c r="C871" s="2" t="s">
        <v>74</v>
      </c>
      <c r="D871" s="2" t="s">
        <v>74</v>
      </c>
      <c r="E871" s="2" t="s">
        <v>74</v>
      </c>
      <c r="F871" s="2" t="s">
        <v>6975</v>
      </c>
      <c r="G871" s="2" t="s">
        <v>74</v>
      </c>
      <c r="H871" s="2" t="s">
        <v>74</v>
      </c>
      <c r="I871" s="2" t="s">
        <v>6976</v>
      </c>
      <c r="J871" s="2" t="s">
        <v>1949</v>
      </c>
      <c r="K871" s="2" t="s">
        <v>74</v>
      </c>
      <c r="L871" s="2" t="s">
        <v>74</v>
      </c>
      <c r="M871" s="2" t="s">
        <v>74</v>
      </c>
      <c r="N871" s="2" t="s">
        <v>74</v>
      </c>
      <c r="O871" s="2" t="s">
        <v>74</v>
      </c>
      <c r="P871" s="2" t="s">
        <v>74</v>
      </c>
      <c r="Q871" s="2" t="s">
        <v>74</v>
      </c>
      <c r="R871" s="2" t="s">
        <v>74</v>
      </c>
      <c r="S871" s="2" t="s">
        <v>74</v>
      </c>
      <c r="T871" s="2" t="s">
        <v>74</v>
      </c>
      <c r="U871" s="2" t="s">
        <v>74</v>
      </c>
      <c r="V871" s="5" t="s">
        <v>6977</v>
      </c>
      <c r="W871" s="2" t="s">
        <v>74</v>
      </c>
      <c r="X871" s="2" t="s">
        <v>74</v>
      </c>
      <c r="Y871" s="2" t="s">
        <v>74</v>
      </c>
      <c r="Z871" s="2" t="s">
        <v>74</v>
      </c>
      <c r="AA871" s="2" t="s">
        <v>6978</v>
      </c>
      <c r="AB871" s="2" t="s">
        <v>6979</v>
      </c>
      <c r="AC871" s="2" t="s">
        <v>74</v>
      </c>
      <c r="AD871" s="2" t="s">
        <v>74</v>
      </c>
      <c r="AE871" s="2" t="s">
        <v>74</v>
      </c>
      <c r="AF871" s="2" t="s">
        <v>74</v>
      </c>
      <c r="AG871" s="2" t="s">
        <v>74</v>
      </c>
      <c r="AH871" s="2" t="s">
        <v>74</v>
      </c>
      <c r="AI871" s="2" t="s">
        <v>74</v>
      </c>
      <c r="AJ871" s="2" t="s">
        <v>74</v>
      </c>
      <c r="AK871" s="2" t="s">
        <v>74</v>
      </c>
      <c r="AL871" s="2" t="s">
        <v>74</v>
      </c>
      <c r="AM871" s="2" t="s">
        <v>74</v>
      </c>
      <c r="AN871" s="2" t="s">
        <v>74</v>
      </c>
      <c r="AO871" s="2" t="s">
        <v>74</v>
      </c>
      <c r="AP871" s="2" t="s">
        <v>1953</v>
      </c>
      <c r="AQ871" s="2" t="s">
        <v>74</v>
      </c>
      <c r="AR871" s="2" t="s">
        <v>74</v>
      </c>
      <c r="AS871" s="2" t="s">
        <v>74</v>
      </c>
      <c r="AT871" s="2" t="s">
        <v>123</v>
      </c>
      <c r="AU871" s="2">
        <v>2022</v>
      </c>
      <c r="AV871" s="2">
        <v>13</v>
      </c>
      <c r="AW871" s="2">
        <v>3</v>
      </c>
      <c r="AX871" s="2" t="s">
        <v>74</v>
      </c>
      <c r="AY871" s="2" t="s">
        <v>74</v>
      </c>
      <c r="AZ871" s="2" t="s">
        <v>74</v>
      </c>
      <c r="BA871" s="2" t="s">
        <v>74</v>
      </c>
      <c r="BB871" s="2" t="s">
        <v>74</v>
      </c>
      <c r="BC871" s="2" t="s">
        <v>74</v>
      </c>
      <c r="BD871" s="2">
        <v>262</v>
      </c>
      <c r="BE871" s="2" t="s">
        <v>6980</v>
      </c>
      <c r="BF871" s="2" t="str">
        <f>HYPERLINK("http://dx.doi.org/10.3390/insects13030262","http://dx.doi.org/10.3390/insects13030262")</f>
        <v>http://dx.doi.org/10.3390/insects13030262</v>
      </c>
      <c r="BG871" s="2" t="s">
        <v>74</v>
      </c>
      <c r="BH871" s="2" t="s">
        <v>74</v>
      </c>
      <c r="BI871" s="2" t="s">
        <v>74</v>
      </c>
      <c r="BJ871" s="2" t="s">
        <v>74</v>
      </c>
      <c r="BK871" s="2" t="s">
        <v>74</v>
      </c>
      <c r="BL871" s="2" t="s">
        <v>74</v>
      </c>
      <c r="BM871" s="2" t="s">
        <v>74</v>
      </c>
      <c r="BN871" s="2">
        <v>35323560</v>
      </c>
      <c r="BO871" s="2" t="s">
        <v>74</v>
      </c>
      <c r="BP871" s="2" t="s">
        <v>74</v>
      </c>
      <c r="BQ871" s="2" t="s">
        <v>74</v>
      </c>
      <c r="BR871" s="2" t="s">
        <v>74</v>
      </c>
      <c r="BS871" s="2" t="s">
        <v>6981</v>
      </c>
      <c r="BT871" s="2" t="str">
        <f>HYPERLINK("https%3A%2F%2Fwww.webofscience.com%2Fwos%2Fwoscc%2Ffull-record%2FWOS:000775202600001","View Full Record in Web of Science")</f>
        <v>View Full Record in Web of Science</v>
      </c>
    </row>
    <row r="872" spans="1:72" s="2" customFormat="1" x14ac:dyDescent="0.4">
      <c r="A872" s="2" t="s">
        <v>72</v>
      </c>
      <c r="B872" s="2" t="s">
        <v>7537</v>
      </c>
      <c r="C872" s="2" t="s">
        <v>74</v>
      </c>
      <c r="D872" s="2" t="s">
        <v>74</v>
      </c>
      <c r="E872" s="2" t="s">
        <v>74</v>
      </c>
      <c r="F872" s="2" t="s">
        <v>7537</v>
      </c>
      <c r="G872" s="2" t="s">
        <v>74</v>
      </c>
      <c r="H872" s="2" t="s">
        <v>74</v>
      </c>
      <c r="I872" s="2" t="s">
        <v>7538</v>
      </c>
      <c r="J872" s="2" t="s">
        <v>7539</v>
      </c>
      <c r="K872" s="2" t="s">
        <v>74</v>
      </c>
      <c r="L872" s="2" t="s">
        <v>74</v>
      </c>
      <c r="M872" s="2" t="s">
        <v>74</v>
      </c>
      <c r="N872" s="2" t="s">
        <v>74</v>
      </c>
      <c r="O872" s="2" t="s">
        <v>74</v>
      </c>
      <c r="P872" s="2" t="s">
        <v>74</v>
      </c>
      <c r="Q872" s="2" t="s">
        <v>74</v>
      </c>
      <c r="R872" s="2" t="s">
        <v>74</v>
      </c>
      <c r="S872" s="2" t="s">
        <v>74</v>
      </c>
      <c r="T872" s="2" t="s">
        <v>74</v>
      </c>
      <c r="U872" s="2" t="s">
        <v>74</v>
      </c>
      <c r="V872" s="5" t="s">
        <v>7540</v>
      </c>
      <c r="W872" s="2" t="s">
        <v>74</v>
      </c>
      <c r="X872" s="2" t="s">
        <v>74</v>
      </c>
      <c r="Y872" s="2" t="s">
        <v>74</v>
      </c>
      <c r="Z872" s="2" t="s">
        <v>74</v>
      </c>
      <c r="AA872" s="2" t="s">
        <v>7541</v>
      </c>
      <c r="AB872" s="2" t="s">
        <v>7542</v>
      </c>
      <c r="AC872" s="2" t="s">
        <v>74</v>
      </c>
      <c r="AD872" s="2" t="s">
        <v>74</v>
      </c>
      <c r="AE872" s="2" t="s">
        <v>74</v>
      </c>
      <c r="AF872" s="2" t="s">
        <v>74</v>
      </c>
      <c r="AG872" s="2" t="s">
        <v>74</v>
      </c>
      <c r="AH872" s="2" t="s">
        <v>74</v>
      </c>
      <c r="AI872" s="2" t="s">
        <v>74</v>
      </c>
      <c r="AJ872" s="2" t="s">
        <v>74</v>
      </c>
      <c r="AK872" s="2" t="s">
        <v>74</v>
      </c>
      <c r="AL872" s="2" t="s">
        <v>74</v>
      </c>
      <c r="AM872" s="2" t="s">
        <v>74</v>
      </c>
      <c r="AN872" s="2" t="s">
        <v>74</v>
      </c>
      <c r="AO872" s="2" t="s">
        <v>7543</v>
      </c>
      <c r="AP872" s="2" t="s">
        <v>7544</v>
      </c>
      <c r="AQ872" s="2" t="s">
        <v>74</v>
      </c>
      <c r="AR872" s="2" t="s">
        <v>74</v>
      </c>
      <c r="AS872" s="2" t="s">
        <v>74</v>
      </c>
      <c r="AT872" s="2" t="s">
        <v>123</v>
      </c>
      <c r="AU872" s="2">
        <v>1993</v>
      </c>
      <c r="AV872" s="2">
        <v>40</v>
      </c>
      <c r="AW872" s="2" t="s">
        <v>74</v>
      </c>
      <c r="AX872" s="2">
        <v>1</v>
      </c>
      <c r="AY872" s="2" t="s">
        <v>74</v>
      </c>
      <c r="AZ872" s="2" t="s">
        <v>74</v>
      </c>
      <c r="BA872" s="2" t="s">
        <v>74</v>
      </c>
      <c r="BB872" s="2">
        <v>31</v>
      </c>
      <c r="BC872" s="2">
        <v>37</v>
      </c>
      <c r="BD872" s="2" t="s">
        <v>74</v>
      </c>
      <c r="BE872" s="2" t="s">
        <v>7545</v>
      </c>
      <c r="BF872" s="2" t="str">
        <f>HYPERLINK("http://dx.doi.org/10.1080/00063659309477126","http://dx.doi.org/10.1080/00063659309477126")</f>
        <v>http://dx.doi.org/10.1080/00063659309477126</v>
      </c>
      <c r="BG872" s="2" t="s">
        <v>74</v>
      </c>
      <c r="BH872" s="2" t="s">
        <v>74</v>
      </c>
      <c r="BI872" s="2" t="s">
        <v>74</v>
      </c>
      <c r="BJ872" s="2" t="s">
        <v>74</v>
      </c>
      <c r="BK872" s="2" t="s">
        <v>74</v>
      </c>
      <c r="BL872" s="2" t="s">
        <v>74</v>
      </c>
      <c r="BM872" s="2" t="s">
        <v>74</v>
      </c>
      <c r="BN872" s="2" t="s">
        <v>74</v>
      </c>
      <c r="BO872" s="2" t="s">
        <v>74</v>
      </c>
      <c r="BP872" s="2" t="s">
        <v>74</v>
      </c>
      <c r="BQ872" s="2" t="s">
        <v>74</v>
      </c>
      <c r="BR872" s="2" t="s">
        <v>74</v>
      </c>
      <c r="BS872" s="2" t="s">
        <v>7546</v>
      </c>
      <c r="BT872" s="2" t="str">
        <f>HYPERLINK("https%3A%2F%2Fwww.webofscience.com%2Fwos%2Fwoscc%2Ffull-record%2FWOS:A1993KU44300004","View Full Record in Web of Science")</f>
        <v>View Full Record in Web of Science</v>
      </c>
    </row>
    <row r="873" spans="1:72" s="2" customFormat="1" x14ac:dyDescent="0.4">
      <c r="A873" s="2" t="s">
        <v>72</v>
      </c>
      <c r="B873" s="2" t="s">
        <v>318</v>
      </c>
      <c r="C873" s="2" t="s">
        <v>74</v>
      </c>
      <c r="D873" s="2" t="s">
        <v>74</v>
      </c>
      <c r="E873" s="2" t="s">
        <v>74</v>
      </c>
      <c r="F873" s="2" t="s">
        <v>319</v>
      </c>
      <c r="G873" s="2" t="s">
        <v>74</v>
      </c>
      <c r="H873" s="2" t="s">
        <v>74</v>
      </c>
      <c r="I873" s="2" t="s">
        <v>320</v>
      </c>
      <c r="J873" s="2" t="s">
        <v>129</v>
      </c>
      <c r="K873" s="2" t="s">
        <v>74</v>
      </c>
      <c r="L873" s="2" t="s">
        <v>74</v>
      </c>
      <c r="M873" s="2" t="s">
        <v>74</v>
      </c>
      <c r="N873" s="2" t="s">
        <v>74</v>
      </c>
      <c r="O873" s="2" t="s">
        <v>74</v>
      </c>
      <c r="P873" s="2" t="s">
        <v>74</v>
      </c>
      <c r="Q873" s="2" t="s">
        <v>74</v>
      </c>
      <c r="R873" s="2" t="s">
        <v>74</v>
      </c>
      <c r="S873" s="2" t="s">
        <v>74</v>
      </c>
      <c r="T873" s="2" t="s">
        <v>74</v>
      </c>
      <c r="U873" s="2" t="s">
        <v>74</v>
      </c>
      <c r="V873" s="5" t="s">
        <v>321</v>
      </c>
      <c r="W873" s="2" t="s">
        <v>74</v>
      </c>
      <c r="X873" s="2" t="s">
        <v>74</v>
      </c>
      <c r="Y873" s="2" t="s">
        <v>74</v>
      </c>
      <c r="Z873" s="2" t="s">
        <v>74</v>
      </c>
      <c r="AA873" s="2" t="s">
        <v>74</v>
      </c>
      <c r="AB873" s="2" t="s">
        <v>322</v>
      </c>
      <c r="AC873" s="2" t="s">
        <v>74</v>
      </c>
      <c r="AD873" s="2" t="s">
        <v>74</v>
      </c>
      <c r="AE873" s="2" t="s">
        <v>74</v>
      </c>
      <c r="AF873" s="2" t="s">
        <v>74</v>
      </c>
      <c r="AG873" s="2" t="s">
        <v>74</v>
      </c>
      <c r="AH873" s="2" t="s">
        <v>74</v>
      </c>
      <c r="AI873" s="2" t="s">
        <v>74</v>
      </c>
      <c r="AJ873" s="2" t="s">
        <v>74</v>
      </c>
      <c r="AK873" s="2" t="s">
        <v>74</v>
      </c>
      <c r="AL873" s="2" t="s">
        <v>74</v>
      </c>
      <c r="AM873" s="2" t="s">
        <v>74</v>
      </c>
      <c r="AN873" s="2" t="s">
        <v>74</v>
      </c>
      <c r="AO873" s="2" t="s">
        <v>132</v>
      </c>
      <c r="AP873" s="2" t="s">
        <v>133</v>
      </c>
      <c r="AQ873" s="2" t="s">
        <v>74</v>
      </c>
      <c r="AR873" s="2" t="s">
        <v>74</v>
      </c>
      <c r="AS873" s="2" t="s">
        <v>74</v>
      </c>
      <c r="AT873" s="2" t="s">
        <v>255</v>
      </c>
      <c r="AU873" s="2">
        <v>2023</v>
      </c>
      <c r="AV873" s="2">
        <v>77</v>
      </c>
      <c r="AW873" s="2">
        <v>1</v>
      </c>
      <c r="AX873" s="2" t="s">
        <v>74</v>
      </c>
      <c r="AY873" s="2" t="s">
        <v>74</v>
      </c>
      <c r="AZ873" s="2" t="s">
        <v>74</v>
      </c>
      <c r="BA873" s="2" t="s">
        <v>74</v>
      </c>
      <c r="BB873" s="2" t="s">
        <v>74</v>
      </c>
      <c r="BC873" s="2" t="s">
        <v>74</v>
      </c>
      <c r="BD873" s="2">
        <v>2</v>
      </c>
      <c r="BE873" s="2" t="s">
        <v>323</v>
      </c>
      <c r="BF873" s="2" t="str">
        <f>HYPERLINK("http://dx.doi.org/10.1007/s00265-022-03272-9","http://dx.doi.org/10.1007/s00265-022-03272-9")</f>
        <v>http://dx.doi.org/10.1007/s00265-022-03272-9</v>
      </c>
      <c r="BG873" s="2" t="s">
        <v>74</v>
      </c>
      <c r="BH873" s="2" t="s">
        <v>74</v>
      </c>
      <c r="BI873" s="2" t="s">
        <v>74</v>
      </c>
      <c r="BJ873" s="2" t="s">
        <v>74</v>
      </c>
      <c r="BK873" s="2" t="s">
        <v>74</v>
      </c>
      <c r="BL873" s="2" t="s">
        <v>74</v>
      </c>
      <c r="BM873" s="2" t="s">
        <v>74</v>
      </c>
      <c r="BN873" s="2" t="s">
        <v>74</v>
      </c>
      <c r="BO873" s="2" t="s">
        <v>74</v>
      </c>
      <c r="BP873" s="2" t="s">
        <v>74</v>
      </c>
      <c r="BQ873" s="2" t="s">
        <v>74</v>
      </c>
      <c r="BR873" s="2" t="s">
        <v>74</v>
      </c>
      <c r="BS873" s="2" t="s">
        <v>324</v>
      </c>
      <c r="BT873" s="2" t="str">
        <f>HYPERLINK("https%3A%2F%2Fwww.webofscience.com%2Fwos%2Fwoscc%2Ffull-record%2FWOS:000914603000002","View Full Record in Web of Science")</f>
        <v>View Full Record in Web of Science</v>
      </c>
    </row>
    <row r="874" spans="1:72" s="1" customFormat="1" x14ac:dyDescent="0.4">
      <c r="A874" s="2" t="s">
        <v>72</v>
      </c>
      <c r="B874" s="2" t="s">
        <v>4964</v>
      </c>
      <c r="C874" s="2" t="s">
        <v>74</v>
      </c>
      <c r="D874" s="2" t="s">
        <v>74</v>
      </c>
      <c r="E874" s="2" t="s">
        <v>74</v>
      </c>
      <c r="F874" s="2" t="s">
        <v>4964</v>
      </c>
      <c r="G874" s="2" t="s">
        <v>74</v>
      </c>
      <c r="H874" s="2" t="s">
        <v>74</v>
      </c>
      <c r="I874" s="2" t="s">
        <v>4965</v>
      </c>
      <c r="J874" s="2" t="s">
        <v>1673</v>
      </c>
      <c r="K874" s="2" t="s">
        <v>74</v>
      </c>
      <c r="L874" s="2" t="s">
        <v>74</v>
      </c>
      <c r="M874" s="2" t="s">
        <v>74</v>
      </c>
      <c r="N874" s="2" t="s">
        <v>74</v>
      </c>
      <c r="O874" s="2" t="s">
        <v>74</v>
      </c>
      <c r="P874" s="2" t="s">
        <v>74</v>
      </c>
      <c r="Q874" s="2" t="s">
        <v>74</v>
      </c>
      <c r="R874" s="2" t="s">
        <v>74</v>
      </c>
      <c r="S874" s="2" t="s">
        <v>74</v>
      </c>
      <c r="T874" s="2" t="s">
        <v>74</v>
      </c>
      <c r="U874" s="2" t="s">
        <v>74</v>
      </c>
      <c r="V874" s="5" t="s">
        <v>4966</v>
      </c>
      <c r="W874" s="2" t="s">
        <v>74</v>
      </c>
      <c r="X874" s="2" t="s">
        <v>74</v>
      </c>
      <c r="Y874" s="2" t="s">
        <v>74</v>
      </c>
      <c r="Z874" s="2" t="s">
        <v>74</v>
      </c>
      <c r="AA874" s="2" t="s">
        <v>4967</v>
      </c>
      <c r="AB874" s="2" t="s">
        <v>74</v>
      </c>
      <c r="AC874" s="2" t="s">
        <v>74</v>
      </c>
      <c r="AD874" s="2" t="s">
        <v>74</v>
      </c>
      <c r="AE874" s="2" t="s">
        <v>74</v>
      </c>
      <c r="AF874" s="2" t="s">
        <v>74</v>
      </c>
      <c r="AG874" s="2" t="s">
        <v>74</v>
      </c>
      <c r="AH874" s="2" t="s">
        <v>74</v>
      </c>
      <c r="AI874" s="2" t="s">
        <v>74</v>
      </c>
      <c r="AJ874" s="2" t="s">
        <v>74</v>
      </c>
      <c r="AK874" s="2" t="s">
        <v>74</v>
      </c>
      <c r="AL874" s="2" t="s">
        <v>74</v>
      </c>
      <c r="AM874" s="2" t="s">
        <v>74</v>
      </c>
      <c r="AN874" s="2" t="s">
        <v>74</v>
      </c>
      <c r="AO874" s="2" t="s">
        <v>1239</v>
      </c>
      <c r="AP874" s="2" t="s">
        <v>1675</v>
      </c>
      <c r="AQ874" s="2" t="s">
        <v>74</v>
      </c>
      <c r="AR874" s="2" t="s">
        <v>74</v>
      </c>
      <c r="AS874" s="2" t="s">
        <v>74</v>
      </c>
      <c r="AT874" s="2" t="s">
        <v>352</v>
      </c>
      <c r="AU874" s="2">
        <v>2003</v>
      </c>
      <c r="AV874" s="2">
        <v>81</v>
      </c>
      <c r="AW874" s="2">
        <v>9</v>
      </c>
      <c r="AX874" s="2" t="s">
        <v>74</v>
      </c>
      <c r="AY874" s="2" t="s">
        <v>74</v>
      </c>
      <c r="AZ874" s="2" t="s">
        <v>74</v>
      </c>
      <c r="BA874" s="2" t="s">
        <v>74</v>
      </c>
      <c r="BB874" s="2">
        <v>1561</v>
      </c>
      <c r="BC874" s="2">
        <v>1565</v>
      </c>
      <c r="BD874" s="2" t="s">
        <v>74</v>
      </c>
      <c r="BE874" s="2" t="s">
        <v>4968</v>
      </c>
      <c r="BF874" s="2" t="str">
        <f>HYPERLINK("http://dx.doi.org/10.1139/Z03-147","http://dx.doi.org/10.1139/Z03-147")</f>
        <v>http://dx.doi.org/10.1139/Z03-147</v>
      </c>
      <c r="BG874" s="2" t="s">
        <v>74</v>
      </c>
      <c r="BH874" s="2" t="s">
        <v>74</v>
      </c>
      <c r="BI874" s="2" t="s">
        <v>74</v>
      </c>
      <c r="BJ874" s="2" t="s">
        <v>74</v>
      </c>
      <c r="BK874" s="2" t="s">
        <v>74</v>
      </c>
      <c r="BL874" s="2" t="s">
        <v>74</v>
      </c>
      <c r="BM874" s="2" t="s">
        <v>74</v>
      </c>
      <c r="BN874" s="2" t="s">
        <v>74</v>
      </c>
      <c r="BO874" s="2" t="s">
        <v>74</v>
      </c>
      <c r="BP874" s="2" t="s">
        <v>74</v>
      </c>
      <c r="BQ874" s="2" t="s">
        <v>74</v>
      </c>
      <c r="BR874" s="2" t="s">
        <v>74</v>
      </c>
      <c r="BS874" s="2" t="s">
        <v>4969</v>
      </c>
      <c r="BT874" s="2" t="str">
        <f>HYPERLINK("https%3A%2F%2Fwww.webofscience.com%2Fwos%2Fwoscc%2Ffull-record%2FWOS:000186325200009","View Full Record in Web of Science")</f>
        <v>View Full Record in Web of Science</v>
      </c>
    </row>
    <row r="875" spans="1:72" s="2" customFormat="1" x14ac:dyDescent="0.4">
      <c r="A875" s="2" t="s">
        <v>72</v>
      </c>
      <c r="B875" s="2" t="s">
        <v>1478</v>
      </c>
      <c r="C875" s="2" t="s">
        <v>74</v>
      </c>
      <c r="D875" s="2" t="s">
        <v>74</v>
      </c>
      <c r="E875" s="2" t="s">
        <v>74</v>
      </c>
      <c r="F875" s="2" t="s">
        <v>1478</v>
      </c>
      <c r="G875" s="2" t="s">
        <v>74</v>
      </c>
      <c r="H875" s="2" t="s">
        <v>74</v>
      </c>
      <c r="I875" s="2" t="s">
        <v>1479</v>
      </c>
      <c r="J875" s="2" t="s">
        <v>1480</v>
      </c>
      <c r="K875" s="2" t="s">
        <v>74</v>
      </c>
      <c r="L875" s="2" t="s">
        <v>74</v>
      </c>
      <c r="M875" s="2" t="s">
        <v>74</v>
      </c>
      <c r="N875" s="2" t="s">
        <v>74</v>
      </c>
      <c r="O875" s="2" t="s">
        <v>74</v>
      </c>
      <c r="P875" s="2" t="s">
        <v>74</v>
      </c>
      <c r="Q875" s="2" t="s">
        <v>74</v>
      </c>
      <c r="R875" s="2" t="s">
        <v>74</v>
      </c>
      <c r="S875" s="2" t="s">
        <v>74</v>
      </c>
      <c r="T875" s="2" t="s">
        <v>74</v>
      </c>
      <c r="U875" s="2" t="s">
        <v>74</v>
      </c>
      <c r="V875" s="5" t="s">
        <v>1481</v>
      </c>
      <c r="W875" s="2" t="s">
        <v>74</v>
      </c>
      <c r="X875" s="2" t="s">
        <v>74</v>
      </c>
      <c r="Y875" s="2" t="s">
        <v>74</v>
      </c>
      <c r="Z875" s="2" t="s">
        <v>74</v>
      </c>
      <c r="AA875" s="2" t="s">
        <v>74</v>
      </c>
      <c r="AB875" s="2" t="s">
        <v>74</v>
      </c>
      <c r="AC875" s="2" t="s">
        <v>74</v>
      </c>
      <c r="AD875" s="2" t="s">
        <v>74</v>
      </c>
      <c r="AE875" s="2" t="s">
        <v>74</v>
      </c>
      <c r="AF875" s="2" t="s">
        <v>74</v>
      </c>
      <c r="AG875" s="2" t="s">
        <v>74</v>
      </c>
      <c r="AH875" s="2" t="s">
        <v>74</v>
      </c>
      <c r="AI875" s="2" t="s">
        <v>74</v>
      </c>
      <c r="AJ875" s="2" t="s">
        <v>74</v>
      </c>
      <c r="AK875" s="2" t="s">
        <v>74</v>
      </c>
      <c r="AL875" s="2" t="s">
        <v>74</v>
      </c>
      <c r="AM875" s="2" t="s">
        <v>74</v>
      </c>
      <c r="AN875" s="2" t="s">
        <v>74</v>
      </c>
      <c r="AO875" s="2" t="s">
        <v>1482</v>
      </c>
      <c r="AP875" s="2" t="s">
        <v>74</v>
      </c>
      <c r="AQ875" s="2" t="s">
        <v>74</v>
      </c>
      <c r="AR875" s="2" t="s">
        <v>74</v>
      </c>
      <c r="AS875" s="2" t="s">
        <v>74</v>
      </c>
      <c r="AT875" s="2" t="s">
        <v>123</v>
      </c>
      <c r="AU875" s="2">
        <v>1997</v>
      </c>
      <c r="AV875" s="2">
        <v>76</v>
      </c>
      <c r="AW875" s="2">
        <v>3</v>
      </c>
      <c r="AX875" s="2" t="s">
        <v>74</v>
      </c>
      <c r="AY875" s="2" t="s">
        <v>74</v>
      </c>
      <c r="AZ875" s="2" t="s">
        <v>74</v>
      </c>
      <c r="BA875" s="2" t="s">
        <v>74</v>
      </c>
      <c r="BB875" s="2">
        <v>452</v>
      </c>
      <c r="BC875" s="2">
        <v>457</v>
      </c>
      <c r="BD875" s="2" t="s">
        <v>74</v>
      </c>
      <c r="BE875" s="2" t="s">
        <v>1483</v>
      </c>
      <c r="BF875" s="2" t="str">
        <f>HYPERLINK("http://dx.doi.org/10.1093/ps/76.3.452","http://dx.doi.org/10.1093/ps/76.3.452")</f>
        <v>http://dx.doi.org/10.1093/ps/76.3.452</v>
      </c>
      <c r="BG875" s="2" t="s">
        <v>74</v>
      </c>
      <c r="BH875" s="2" t="s">
        <v>74</v>
      </c>
      <c r="BI875" s="2" t="s">
        <v>74</v>
      </c>
      <c r="BJ875" s="2" t="s">
        <v>74</v>
      </c>
      <c r="BK875" s="2" t="s">
        <v>74</v>
      </c>
      <c r="BL875" s="2" t="s">
        <v>74</v>
      </c>
      <c r="BM875" s="2" t="s">
        <v>74</v>
      </c>
      <c r="BN875" s="2">
        <v>9068043</v>
      </c>
      <c r="BO875" s="2" t="s">
        <v>74</v>
      </c>
      <c r="BP875" s="2" t="s">
        <v>74</v>
      </c>
      <c r="BQ875" s="2" t="s">
        <v>74</v>
      </c>
      <c r="BR875" s="2" t="s">
        <v>74</v>
      </c>
      <c r="BS875" s="2" t="s">
        <v>1484</v>
      </c>
      <c r="BT875" s="2" t="str">
        <f>HYPERLINK("https%3A%2F%2Fwww.webofscience.com%2Fwos%2Fwoscc%2Ffull-record%2FWOS:A1997WM41000005","View Full Record in Web of Science")</f>
        <v>View Full Record in Web of Science</v>
      </c>
    </row>
    <row r="876" spans="1:72" s="1" customFormat="1" x14ac:dyDescent="0.4">
      <c r="A876" s="2" t="s">
        <v>72</v>
      </c>
      <c r="B876" s="2" t="s">
        <v>4488</v>
      </c>
      <c r="C876" s="2" t="s">
        <v>74</v>
      </c>
      <c r="D876" s="2" t="s">
        <v>74</v>
      </c>
      <c r="E876" s="2" t="s">
        <v>74</v>
      </c>
      <c r="F876" s="2" t="s">
        <v>4488</v>
      </c>
      <c r="G876" s="2" t="s">
        <v>74</v>
      </c>
      <c r="H876" s="2" t="s">
        <v>74</v>
      </c>
      <c r="I876" s="2" t="s">
        <v>4489</v>
      </c>
      <c r="J876" s="2" t="s">
        <v>1480</v>
      </c>
      <c r="K876" s="2" t="s">
        <v>74</v>
      </c>
      <c r="L876" s="2" t="s">
        <v>74</v>
      </c>
      <c r="M876" s="2" t="s">
        <v>74</v>
      </c>
      <c r="N876" s="2" t="s">
        <v>74</v>
      </c>
      <c r="O876" s="2" t="s">
        <v>74</v>
      </c>
      <c r="P876" s="2" t="s">
        <v>74</v>
      </c>
      <c r="Q876" s="2" t="s">
        <v>74</v>
      </c>
      <c r="R876" s="2" t="s">
        <v>74</v>
      </c>
      <c r="S876" s="2" t="s">
        <v>74</v>
      </c>
      <c r="T876" s="2" t="s">
        <v>74</v>
      </c>
      <c r="U876" s="2" t="s">
        <v>74</v>
      </c>
      <c r="V876" s="5" t="s">
        <v>4490</v>
      </c>
      <c r="W876" s="2" t="s">
        <v>74</v>
      </c>
      <c r="X876" s="2" t="s">
        <v>74</v>
      </c>
      <c r="Y876" s="2" t="s">
        <v>74</v>
      </c>
      <c r="Z876" s="2" t="s">
        <v>74</v>
      </c>
      <c r="AA876" s="2" t="s">
        <v>74</v>
      </c>
      <c r="AB876" s="2" t="s">
        <v>74</v>
      </c>
      <c r="AC876" s="2" t="s">
        <v>74</v>
      </c>
      <c r="AD876" s="2" t="s">
        <v>74</v>
      </c>
      <c r="AE876" s="2" t="s">
        <v>74</v>
      </c>
      <c r="AF876" s="2" t="s">
        <v>74</v>
      </c>
      <c r="AG876" s="2" t="s">
        <v>74</v>
      </c>
      <c r="AH876" s="2" t="s">
        <v>74</v>
      </c>
      <c r="AI876" s="2" t="s">
        <v>74</v>
      </c>
      <c r="AJ876" s="2" t="s">
        <v>74</v>
      </c>
      <c r="AK876" s="2" t="s">
        <v>74</v>
      </c>
      <c r="AL876" s="2" t="s">
        <v>74</v>
      </c>
      <c r="AM876" s="2" t="s">
        <v>74</v>
      </c>
      <c r="AN876" s="2" t="s">
        <v>74</v>
      </c>
      <c r="AO876" s="2" t="s">
        <v>1482</v>
      </c>
      <c r="AP876" s="2" t="s">
        <v>74</v>
      </c>
      <c r="AQ876" s="2" t="s">
        <v>74</v>
      </c>
      <c r="AR876" s="2" t="s">
        <v>74</v>
      </c>
      <c r="AS876" s="2" t="s">
        <v>74</v>
      </c>
      <c r="AT876" s="2" t="s">
        <v>305</v>
      </c>
      <c r="AU876" s="2">
        <v>1997</v>
      </c>
      <c r="AV876" s="2">
        <v>76</v>
      </c>
      <c r="AW876" s="2">
        <v>12</v>
      </c>
      <c r="AX876" s="2" t="s">
        <v>74</v>
      </c>
      <c r="AY876" s="2" t="s">
        <v>74</v>
      </c>
      <c r="AZ876" s="2" t="s">
        <v>74</v>
      </c>
      <c r="BA876" s="2" t="s">
        <v>74</v>
      </c>
      <c r="BB876" s="2">
        <v>1674</v>
      </c>
      <c r="BC876" s="2">
        <v>1681</v>
      </c>
      <c r="BD876" s="2" t="s">
        <v>74</v>
      </c>
      <c r="BE876" s="2" t="s">
        <v>4491</v>
      </c>
      <c r="BF876" s="2" t="str">
        <f>HYPERLINK("http://dx.doi.org/10.1093/ps/76.12.1674","http://dx.doi.org/10.1093/ps/76.12.1674")</f>
        <v>http://dx.doi.org/10.1093/ps/76.12.1674</v>
      </c>
      <c r="BG876" s="2" t="s">
        <v>74</v>
      </c>
      <c r="BH876" s="2" t="s">
        <v>74</v>
      </c>
      <c r="BI876" s="2" t="s">
        <v>74</v>
      </c>
      <c r="BJ876" s="2" t="s">
        <v>74</v>
      </c>
      <c r="BK876" s="2" t="s">
        <v>74</v>
      </c>
      <c r="BL876" s="2" t="s">
        <v>74</v>
      </c>
      <c r="BM876" s="2" t="s">
        <v>74</v>
      </c>
      <c r="BN876" s="2">
        <v>9438281</v>
      </c>
      <c r="BO876" s="2" t="s">
        <v>74</v>
      </c>
      <c r="BP876" s="2" t="s">
        <v>74</v>
      </c>
      <c r="BQ876" s="2" t="s">
        <v>74</v>
      </c>
      <c r="BR876" s="2" t="s">
        <v>74</v>
      </c>
      <c r="BS876" s="2" t="s">
        <v>4492</v>
      </c>
      <c r="BT876" s="2" t="str">
        <f>HYPERLINK("https%3A%2F%2Fwww.webofscience.com%2Fwos%2Fwoscc%2Ffull-record%2FWOS:000071132300009","View Full Record in Web of Science")</f>
        <v>View Full Record in Web of Science</v>
      </c>
    </row>
    <row r="877" spans="1:72" s="2" customFormat="1" x14ac:dyDescent="0.4">
      <c r="A877" s="2" t="s">
        <v>72</v>
      </c>
      <c r="B877" s="2" t="s">
        <v>8209</v>
      </c>
      <c r="C877" s="2" t="s">
        <v>74</v>
      </c>
      <c r="D877" s="2" t="s">
        <v>74</v>
      </c>
      <c r="E877" s="2" t="s">
        <v>74</v>
      </c>
      <c r="F877" s="2" t="s">
        <v>8209</v>
      </c>
      <c r="G877" s="2" t="s">
        <v>74</v>
      </c>
      <c r="H877" s="2" t="s">
        <v>74</v>
      </c>
      <c r="I877" s="2" t="s">
        <v>8210</v>
      </c>
      <c r="J877" s="2" t="s">
        <v>842</v>
      </c>
      <c r="K877" s="2" t="s">
        <v>74</v>
      </c>
      <c r="L877" s="2" t="s">
        <v>74</v>
      </c>
      <c r="M877" s="2" t="s">
        <v>74</v>
      </c>
      <c r="N877" s="2" t="s">
        <v>74</v>
      </c>
      <c r="O877" s="2" t="s">
        <v>74</v>
      </c>
      <c r="P877" s="2" t="s">
        <v>74</v>
      </c>
      <c r="Q877" s="2" t="s">
        <v>74</v>
      </c>
      <c r="R877" s="2" t="s">
        <v>74</v>
      </c>
      <c r="S877" s="2" t="s">
        <v>74</v>
      </c>
      <c r="T877" s="2" t="s">
        <v>74</v>
      </c>
      <c r="U877" s="2" t="s">
        <v>74</v>
      </c>
      <c r="V877" s="5" t="s">
        <v>8211</v>
      </c>
      <c r="W877" s="2" t="s">
        <v>74</v>
      </c>
      <c r="X877" s="2" t="s">
        <v>74</v>
      </c>
      <c r="Y877" s="2" t="s">
        <v>74</v>
      </c>
      <c r="Z877" s="2" t="s">
        <v>74</v>
      </c>
      <c r="AA877" s="2" t="s">
        <v>8212</v>
      </c>
      <c r="AB877" s="2" t="s">
        <v>8213</v>
      </c>
      <c r="AC877" s="2" t="s">
        <v>74</v>
      </c>
      <c r="AD877" s="2" t="s">
        <v>74</v>
      </c>
      <c r="AE877" s="2" t="s">
        <v>74</v>
      </c>
      <c r="AF877" s="2" t="s">
        <v>74</v>
      </c>
      <c r="AG877" s="2" t="s">
        <v>74</v>
      </c>
      <c r="AH877" s="2" t="s">
        <v>74</v>
      </c>
      <c r="AI877" s="2" t="s">
        <v>74</v>
      </c>
      <c r="AJ877" s="2" t="s">
        <v>74</v>
      </c>
      <c r="AK877" s="2" t="s">
        <v>74</v>
      </c>
      <c r="AL877" s="2" t="s">
        <v>74</v>
      </c>
      <c r="AM877" s="2" t="s">
        <v>74</v>
      </c>
      <c r="AN877" s="2" t="s">
        <v>74</v>
      </c>
      <c r="AO877" s="2" t="s">
        <v>846</v>
      </c>
      <c r="AP877" s="2" t="s">
        <v>74</v>
      </c>
      <c r="AQ877" s="2" t="s">
        <v>74</v>
      </c>
      <c r="AR877" s="2" t="s">
        <v>74</v>
      </c>
      <c r="AS877" s="2" t="s">
        <v>74</v>
      </c>
      <c r="AT877" s="2" t="s">
        <v>633</v>
      </c>
      <c r="AU877" s="2">
        <v>2005</v>
      </c>
      <c r="AV877" s="2">
        <v>65</v>
      </c>
      <c r="AW877" s="2">
        <v>4</v>
      </c>
      <c r="AX877" s="2" t="s">
        <v>74</v>
      </c>
      <c r="AY877" s="2" t="s">
        <v>74</v>
      </c>
      <c r="AZ877" s="2" t="s">
        <v>74</v>
      </c>
      <c r="BA877" s="2" t="s">
        <v>74</v>
      </c>
      <c r="BB877" s="2">
        <v>313</v>
      </c>
      <c r="BC877" s="2">
        <v>326</v>
      </c>
      <c r="BD877" s="2" t="s">
        <v>74</v>
      </c>
      <c r="BE877" s="2" t="s">
        <v>8214</v>
      </c>
      <c r="BF877" s="2" t="str">
        <f>HYPERLINK("http://dx.doi.org/10.1002/ajp.20118","http://dx.doi.org/10.1002/ajp.20118")</f>
        <v>http://dx.doi.org/10.1002/ajp.20118</v>
      </c>
      <c r="BG877" s="2" t="s">
        <v>74</v>
      </c>
      <c r="BH877" s="2" t="s">
        <v>74</v>
      </c>
      <c r="BI877" s="2" t="s">
        <v>74</v>
      </c>
      <c r="BJ877" s="2" t="s">
        <v>74</v>
      </c>
      <c r="BK877" s="2" t="s">
        <v>74</v>
      </c>
      <c r="BL877" s="2" t="s">
        <v>74</v>
      </c>
      <c r="BM877" s="2" t="s">
        <v>74</v>
      </c>
      <c r="BN877" s="2">
        <v>15834888</v>
      </c>
      <c r="BO877" s="2" t="s">
        <v>74</v>
      </c>
      <c r="BP877" s="2" t="s">
        <v>74</v>
      </c>
      <c r="BQ877" s="2" t="s">
        <v>74</v>
      </c>
      <c r="BR877" s="2" t="s">
        <v>74</v>
      </c>
      <c r="BS877" s="2" t="s">
        <v>8215</v>
      </c>
      <c r="BT877" s="2" t="str">
        <f>HYPERLINK("https%3A%2F%2Fwww.webofscience.com%2Fwos%2Fwoscc%2Ffull-record%2FWOS:000228842400002","View Full Record in Web of Science")</f>
        <v>View Full Record in Web of Science</v>
      </c>
    </row>
    <row r="878" spans="1:72" s="2" customFormat="1" x14ac:dyDescent="0.4">
      <c r="A878" s="2" t="s">
        <v>72</v>
      </c>
      <c r="B878" s="2" t="s">
        <v>5567</v>
      </c>
      <c r="C878" s="2" t="s">
        <v>74</v>
      </c>
      <c r="D878" s="2" t="s">
        <v>74</v>
      </c>
      <c r="E878" s="2" t="s">
        <v>74</v>
      </c>
      <c r="F878" s="2" t="s">
        <v>5568</v>
      </c>
      <c r="G878" s="2" t="s">
        <v>74</v>
      </c>
      <c r="H878" s="2" t="s">
        <v>74</v>
      </c>
      <c r="I878" s="2" t="s">
        <v>5569</v>
      </c>
      <c r="J878" s="2" t="s">
        <v>201</v>
      </c>
      <c r="K878" s="2" t="s">
        <v>74</v>
      </c>
      <c r="L878" s="2" t="s">
        <v>74</v>
      </c>
      <c r="M878" s="2" t="s">
        <v>74</v>
      </c>
      <c r="N878" s="2" t="s">
        <v>74</v>
      </c>
      <c r="O878" s="2" t="s">
        <v>74</v>
      </c>
      <c r="P878" s="2" t="s">
        <v>74</v>
      </c>
      <c r="Q878" s="2" t="s">
        <v>74</v>
      </c>
      <c r="R878" s="2" t="s">
        <v>74</v>
      </c>
      <c r="S878" s="2" t="s">
        <v>74</v>
      </c>
      <c r="T878" s="2" t="s">
        <v>74</v>
      </c>
      <c r="U878" s="2" t="s">
        <v>74</v>
      </c>
      <c r="V878" s="5" t="s">
        <v>5570</v>
      </c>
      <c r="W878" s="2" t="s">
        <v>74</v>
      </c>
      <c r="X878" s="2" t="s">
        <v>74</v>
      </c>
      <c r="Y878" s="2" t="s">
        <v>74</v>
      </c>
      <c r="Z878" s="2" t="s">
        <v>74</v>
      </c>
      <c r="AA878" s="2" t="s">
        <v>5571</v>
      </c>
      <c r="AB878" s="2" t="s">
        <v>5572</v>
      </c>
      <c r="AC878" s="2" t="s">
        <v>74</v>
      </c>
      <c r="AD878" s="2" t="s">
        <v>74</v>
      </c>
      <c r="AE878" s="2" t="s">
        <v>74</v>
      </c>
      <c r="AF878" s="2" t="s">
        <v>74</v>
      </c>
      <c r="AG878" s="2" t="s">
        <v>74</v>
      </c>
      <c r="AH878" s="2" t="s">
        <v>74</v>
      </c>
      <c r="AI878" s="2" t="s">
        <v>74</v>
      </c>
      <c r="AJ878" s="2" t="s">
        <v>74</v>
      </c>
      <c r="AK878" s="2" t="s">
        <v>74</v>
      </c>
      <c r="AL878" s="2" t="s">
        <v>74</v>
      </c>
      <c r="AM878" s="2" t="s">
        <v>74</v>
      </c>
      <c r="AN878" s="2" t="s">
        <v>74</v>
      </c>
      <c r="AO878" s="2" t="s">
        <v>203</v>
      </c>
      <c r="AP878" s="2" t="s">
        <v>1192</v>
      </c>
      <c r="AQ878" s="2" t="s">
        <v>74</v>
      </c>
      <c r="AR878" s="2" t="s">
        <v>74</v>
      </c>
      <c r="AS878" s="2" t="s">
        <v>74</v>
      </c>
      <c r="AT878" s="2" t="s">
        <v>352</v>
      </c>
      <c r="AU878" s="2">
        <v>2014</v>
      </c>
      <c r="AV878" s="2">
        <v>85</v>
      </c>
      <c r="AW878" s="2">
        <v>3</v>
      </c>
      <c r="AX878" s="2" t="s">
        <v>74</v>
      </c>
      <c r="AY878" s="2" t="s">
        <v>74</v>
      </c>
      <c r="AZ878" s="2" t="s">
        <v>74</v>
      </c>
      <c r="BA878" s="2" t="s">
        <v>74</v>
      </c>
      <c r="BB878" s="2">
        <v>882</v>
      </c>
      <c r="BC878" s="2">
        <v>900</v>
      </c>
      <c r="BD878" s="2" t="s">
        <v>74</v>
      </c>
      <c r="BE878" s="2" t="s">
        <v>5573</v>
      </c>
      <c r="BF878" s="2" t="str">
        <f>HYPERLINK("http://dx.doi.org/10.1111/jfb.12478","http://dx.doi.org/10.1111/jfb.12478")</f>
        <v>http://dx.doi.org/10.1111/jfb.12478</v>
      </c>
      <c r="BG878" s="2" t="s">
        <v>74</v>
      </c>
      <c r="BH878" s="2" t="s">
        <v>74</v>
      </c>
      <c r="BI878" s="2" t="s">
        <v>74</v>
      </c>
      <c r="BJ878" s="2" t="s">
        <v>74</v>
      </c>
      <c r="BK878" s="2" t="s">
        <v>74</v>
      </c>
      <c r="BL878" s="2" t="s">
        <v>74</v>
      </c>
      <c r="BM878" s="2" t="s">
        <v>74</v>
      </c>
      <c r="BN878" s="2">
        <v>25082262</v>
      </c>
      <c r="BO878" s="2" t="s">
        <v>74</v>
      </c>
      <c r="BP878" s="2" t="s">
        <v>74</v>
      </c>
      <c r="BQ878" s="2" t="s">
        <v>74</v>
      </c>
      <c r="BR878" s="2" t="s">
        <v>74</v>
      </c>
      <c r="BS878" s="2" t="s">
        <v>5574</v>
      </c>
      <c r="BT878" s="2" t="str">
        <f>HYPERLINK("https%3A%2F%2Fwww.webofscience.com%2Fwos%2Fwoscc%2Ffull-record%2FWOS:000340845500018","View Full Record in Web of Science")</f>
        <v>View Full Record in Web of Science</v>
      </c>
    </row>
    <row r="879" spans="1:72" s="2" customFormat="1" x14ac:dyDescent="0.4">
      <c r="A879" s="2" t="s">
        <v>72</v>
      </c>
      <c r="B879" s="2" t="s">
        <v>309</v>
      </c>
      <c r="C879" s="2" t="s">
        <v>74</v>
      </c>
      <c r="D879" s="2" t="s">
        <v>74</v>
      </c>
      <c r="E879" s="2" t="s">
        <v>74</v>
      </c>
      <c r="F879" s="2" t="s">
        <v>310</v>
      </c>
      <c r="G879" s="2" t="s">
        <v>74</v>
      </c>
      <c r="H879" s="2" t="s">
        <v>74</v>
      </c>
      <c r="I879" s="2" t="s">
        <v>311</v>
      </c>
      <c r="J879" s="2" t="s">
        <v>312</v>
      </c>
      <c r="K879" s="2" t="s">
        <v>74</v>
      </c>
      <c r="L879" s="2" t="s">
        <v>74</v>
      </c>
      <c r="M879" s="2" t="s">
        <v>74</v>
      </c>
      <c r="N879" s="2" t="s">
        <v>74</v>
      </c>
      <c r="O879" s="2" t="s">
        <v>74</v>
      </c>
      <c r="P879" s="2" t="s">
        <v>74</v>
      </c>
      <c r="Q879" s="2" t="s">
        <v>74</v>
      </c>
      <c r="R879" s="2" t="s">
        <v>74</v>
      </c>
      <c r="S879" s="2" t="s">
        <v>74</v>
      </c>
      <c r="T879" s="2" t="s">
        <v>74</v>
      </c>
      <c r="U879" s="2" t="s">
        <v>74</v>
      </c>
      <c r="V879" s="5" t="s">
        <v>313</v>
      </c>
      <c r="W879" s="2" t="s">
        <v>74</v>
      </c>
      <c r="X879" s="2" t="s">
        <v>74</v>
      </c>
      <c r="Y879" s="2" t="s">
        <v>74</v>
      </c>
      <c r="Z879" s="2" t="s">
        <v>74</v>
      </c>
      <c r="AA879" s="2" t="s">
        <v>74</v>
      </c>
      <c r="AB879" s="2" t="s">
        <v>74</v>
      </c>
      <c r="AC879" s="2" t="s">
        <v>74</v>
      </c>
      <c r="AD879" s="2" t="s">
        <v>74</v>
      </c>
      <c r="AE879" s="2" t="s">
        <v>74</v>
      </c>
      <c r="AF879" s="2" t="s">
        <v>74</v>
      </c>
      <c r="AG879" s="2" t="s">
        <v>74</v>
      </c>
      <c r="AH879" s="2" t="s">
        <v>74</v>
      </c>
      <c r="AI879" s="2" t="s">
        <v>74</v>
      </c>
      <c r="AJ879" s="2" t="s">
        <v>74</v>
      </c>
      <c r="AK879" s="2" t="s">
        <v>74</v>
      </c>
      <c r="AL879" s="2" t="s">
        <v>74</v>
      </c>
      <c r="AM879" s="2" t="s">
        <v>74</v>
      </c>
      <c r="AN879" s="2" t="s">
        <v>74</v>
      </c>
      <c r="AO879" s="2" t="s">
        <v>314</v>
      </c>
      <c r="AP879" s="2" t="s">
        <v>315</v>
      </c>
      <c r="AQ879" s="2" t="s">
        <v>74</v>
      </c>
      <c r="AR879" s="2" t="s">
        <v>74</v>
      </c>
      <c r="AS879" s="2" t="s">
        <v>74</v>
      </c>
      <c r="AT879" s="2" t="s">
        <v>145</v>
      </c>
      <c r="AU879" s="2">
        <v>2017</v>
      </c>
      <c r="AV879" s="2">
        <v>190</v>
      </c>
      <c r="AW879" s="2">
        <v>2</v>
      </c>
      <c r="AX879" s="2" t="s">
        <v>74</v>
      </c>
      <c r="AY879" s="2" t="s">
        <v>74</v>
      </c>
      <c r="AZ879" s="2" t="s">
        <v>74</v>
      </c>
      <c r="BA879" s="2" t="s">
        <v>74</v>
      </c>
      <c r="BB879" s="2">
        <v>157</v>
      </c>
      <c r="BC879" s="2">
        <v>170</v>
      </c>
      <c r="BD879" s="2" t="s">
        <v>74</v>
      </c>
      <c r="BE879" s="2" t="s">
        <v>316</v>
      </c>
      <c r="BF879" s="2" t="str">
        <f>HYPERLINK("http://dx.doi.org/10.1086/692535","http://dx.doi.org/10.1086/692535")</f>
        <v>http://dx.doi.org/10.1086/692535</v>
      </c>
      <c r="BG879" s="2" t="s">
        <v>74</v>
      </c>
      <c r="BH879" s="2" t="s">
        <v>74</v>
      </c>
      <c r="BI879" s="2" t="s">
        <v>74</v>
      </c>
      <c r="BJ879" s="2" t="s">
        <v>74</v>
      </c>
      <c r="BK879" s="2" t="s">
        <v>74</v>
      </c>
      <c r="BL879" s="2" t="s">
        <v>74</v>
      </c>
      <c r="BM879" s="2" t="s">
        <v>74</v>
      </c>
      <c r="BN879" s="2">
        <v>28731791</v>
      </c>
      <c r="BO879" s="2" t="s">
        <v>74</v>
      </c>
      <c r="BP879" s="2" t="s">
        <v>74</v>
      </c>
      <c r="BQ879" s="2" t="s">
        <v>74</v>
      </c>
      <c r="BR879" s="2" t="s">
        <v>74</v>
      </c>
      <c r="BS879" s="2" t="s">
        <v>317</v>
      </c>
      <c r="BT879" s="2" t="str">
        <f>HYPERLINK("https%3A%2F%2Fwww.webofscience.com%2Fwos%2Fwoscc%2Ffull-record%2FWOS:000406102400003","View Full Record in Web of Science")</f>
        <v>View Full Record in Web of Science</v>
      </c>
    </row>
    <row r="880" spans="1:72" s="2" customFormat="1" ht="14.25" customHeight="1" x14ac:dyDescent="0.4">
      <c r="A880" s="2" t="s">
        <v>72</v>
      </c>
      <c r="B880" s="2" t="s">
        <v>5113</v>
      </c>
      <c r="C880" s="2" t="s">
        <v>74</v>
      </c>
      <c r="D880" s="2" t="s">
        <v>74</v>
      </c>
      <c r="E880" s="2" t="s">
        <v>74</v>
      </c>
      <c r="F880" s="2" t="s">
        <v>5114</v>
      </c>
      <c r="G880" s="2" t="s">
        <v>74</v>
      </c>
      <c r="H880" s="2" t="s">
        <v>74</v>
      </c>
      <c r="I880" s="2" t="s">
        <v>5115</v>
      </c>
      <c r="J880" s="2" t="s">
        <v>367</v>
      </c>
      <c r="K880" s="2" t="s">
        <v>74</v>
      </c>
      <c r="L880" s="2" t="s">
        <v>74</v>
      </c>
      <c r="M880" s="2" t="s">
        <v>74</v>
      </c>
      <c r="N880" s="2" t="s">
        <v>74</v>
      </c>
      <c r="O880" s="2" t="s">
        <v>74</v>
      </c>
      <c r="P880" s="2" t="s">
        <v>74</v>
      </c>
      <c r="Q880" s="2" t="s">
        <v>74</v>
      </c>
      <c r="R880" s="2" t="s">
        <v>74</v>
      </c>
      <c r="S880" s="2" t="s">
        <v>74</v>
      </c>
      <c r="T880" s="2" t="s">
        <v>74</v>
      </c>
      <c r="U880" s="2" t="s">
        <v>74</v>
      </c>
      <c r="V880" s="5" t="s">
        <v>5116</v>
      </c>
      <c r="W880" s="2" t="s">
        <v>74</v>
      </c>
      <c r="X880" s="2" t="s">
        <v>74</v>
      </c>
      <c r="Y880" s="2" t="s">
        <v>74</v>
      </c>
      <c r="Z880" s="2" t="s">
        <v>74</v>
      </c>
      <c r="AA880" s="2" t="s">
        <v>5117</v>
      </c>
      <c r="AB880" s="2" t="s">
        <v>5118</v>
      </c>
      <c r="AC880" s="2" t="s">
        <v>74</v>
      </c>
      <c r="AD880" s="2" t="s">
        <v>74</v>
      </c>
      <c r="AE880" s="2" t="s">
        <v>74</v>
      </c>
      <c r="AF880" s="2" t="s">
        <v>74</v>
      </c>
      <c r="AG880" s="2" t="s">
        <v>74</v>
      </c>
      <c r="AH880" s="2" t="s">
        <v>74</v>
      </c>
      <c r="AI880" s="2" t="s">
        <v>74</v>
      </c>
      <c r="AJ880" s="2" t="s">
        <v>74</v>
      </c>
      <c r="AK880" s="2" t="s">
        <v>74</v>
      </c>
      <c r="AL880" s="2" t="s">
        <v>74</v>
      </c>
      <c r="AM880" s="2" t="s">
        <v>74</v>
      </c>
      <c r="AN880" s="2" t="s">
        <v>74</v>
      </c>
      <c r="AO880" s="2" t="s">
        <v>371</v>
      </c>
      <c r="AP880" s="2" t="s">
        <v>372</v>
      </c>
      <c r="AQ880" s="2" t="s">
        <v>74</v>
      </c>
      <c r="AR880" s="2" t="s">
        <v>74</v>
      </c>
      <c r="AS880" s="2" t="s">
        <v>74</v>
      </c>
      <c r="AT880" s="2" t="s">
        <v>213</v>
      </c>
      <c r="AU880" s="2">
        <v>2023</v>
      </c>
      <c r="AV880" s="2">
        <v>137</v>
      </c>
      <c r="AW880" s="2">
        <v>4</v>
      </c>
      <c r="AX880" s="2" t="s">
        <v>74</v>
      </c>
      <c r="AY880" s="2" t="s">
        <v>74</v>
      </c>
      <c r="AZ880" s="2" t="s">
        <v>74</v>
      </c>
      <c r="BA880" s="2" t="s">
        <v>74</v>
      </c>
      <c r="BB880" s="2">
        <v>212</v>
      </c>
      <c r="BC880" s="2">
        <v>222</v>
      </c>
      <c r="BD880" s="2" t="s">
        <v>74</v>
      </c>
      <c r="BE880" s="2" t="s">
        <v>5119</v>
      </c>
      <c r="BF880" s="2" t="str">
        <f>HYPERLINK("http://dx.doi.org/10.1037/com0000347","http://dx.doi.org/10.1037/com0000347")</f>
        <v>http://dx.doi.org/10.1037/com0000347</v>
      </c>
      <c r="BG880" s="2" t="s">
        <v>74</v>
      </c>
      <c r="BH880" s="2" t="s">
        <v>5120</v>
      </c>
      <c r="BI880" s="2" t="s">
        <v>74</v>
      </c>
      <c r="BJ880" s="2" t="s">
        <v>74</v>
      </c>
      <c r="BK880" s="2" t="s">
        <v>74</v>
      </c>
      <c r="BL880" s="2" t="s">
        <v>74</v>
      </c>
      <c r="BM880" s="2" t="s">
        <v>74</v>
      </c>
      <c r="BN880" s="2">
        <v>37307354</v>
      </c>
      <c r="BO880" s="2" t="s">
        <v>74</v>
      </c>
      <c r="BP880" s="2" t="s">
        <v>74</v>
      </c>
      <c r="BQ880" s="2" t="s">
        <v>74</v>
      </c>
      <c r="BR880" s="2" t="s">
        <v>74</v>
      </c>
      <c r="BS880" s="2" t="s">
        <v>5121</v>
      </c>
      <c r="BT880" s="2" t="str">
        <f>HYPERLINK("https%3A%2F%2Fwww.webofscience.com%2Fwos%2Fwoscc%2Ffull-record%2FWOS:001005612800001","View Full Record in Web of Science")</f>
        <v>View Full Record in Web of Science</v>
      </c>
    </row>
    <row r="881" spans="1:72" s="2" customFormat="1" x14ac:dyDescent="0.4">
      <c r="A881" s="2" t="s">
        <v>72</v>
      </c>
      <c r="B881" s="2" t="s">
        <v>6857</v>
      </c>
      <c r="C881" s="2" t="s">
        <v>74</v>
      </c>
      <c r="D881" s="2" t="s">
        <v>74</v>
      </c>
      <c r="E881" s="2" t="s">
        <v>74</v>
      </c>
      <c r="F881" s="2" t="s">
        <v>6857</v>
      </c>
      <c r="G881" s="2" t="s">
        <v>74</v>
      </c>
      <c r="H881" s="2" t="s">
        <v>74</v>
      </c>
      <c r="I881" s="2" t="s">
        <v>6858</v>
      </c>
      <c r="J881" s="2" t="s">
        <v>171</v>
      </c>
      <c r="K881" s="2" t="s">
        <v>74</v>
      </c>
      <c r="L881" s="2" t="s">
        <v>74</v>
      </c>
      <c r="M881" s="2" t="s">
        <v>74</v>
      </c>
      <c r="N881" s="2" t="s">
        <v>74</v>
      </c>
      <c r="O881" s="2" t="s">
        <v>74</v>
      </c>
      <c r="P881" s="2" t="s">
        <v>74</v>
      </c>
      <c r="Q881" s="2" t="s">
        <v>74</v>
      </c>
      <c r="R881" s="2" t="s">
        <v>74</v>
      </c>
      <c r="S881" s="2" t="s">
        <v>74</v>
      </c>
      <c r="T881" s="2" t="s">
        <v>74</v>
      </c>
      <c r="U881" s="2" t="s">
        <v>74</v>
      </c>
      <c r="V881" s="5" t="s">
        <v>6859</v>
      </c>
      <c r="W881" s="2" t="s">
        <v>74</v>
      </c>
      <c r="X881" s="2" t="s">
        <v>74</v>
      </c>
      <c r="Y881" s="2" t="s">
        <v>74</v>
      </c>
      <c r="Z881" s="2" t="s">
        <v>74</v>
      </c>
      <c r="AA881" s="2" t="s">
        <v>6860</v>
      </c>
      <c r="AB881" s="2" t="s">
        <v>6861</v>
      </c>
      <c r="AC881" s="2" t="s">
        <v>74</v>
      </c>
      <c r="AD881" s="2" t="s">
        <v>74</v>
      </c>
      <c r="AE881" s="2" t="s">
        <v>74</v>
      </c>
      <c r="AF881" s="2" t="s">
        <v>74</v>
      </c>
      <c r="AG881" s="2" t="s">
        <v>74</v>
      </c>
      <c r="AH881" s="2" t="s">
        <v>74</v>
      </c>
      <c r="AI881" s="2" t="s">
        <v>74</v>
      </c>
      <c r="AJ881" s="2" t="s">
        <v>74</v>
      </c>
      <c r="AK881" s="2" t="s">
        <v>74</v>
      </c>
      <c r="AL881" s="2" t="s">
        <v>74</v>
      </c>
      <c r="AM881" s="2" t="s">
        <v>74</v>
      </c>
      <c r="AN881" s="2" t="s">
        <v>74</v>
      </c>
      <c r="AO881" s="2" t="s">
        <v>173</v>
      </c>
      <c r="AP881" s="2" t="s">
        <v>174</v>
      </c>
      <c r="AQ881" s="2" t="s">
        <v>74</v>
      </c>
      <c r="AR881" s="2" t="s">
        <v>74</v>
      </c>
      <c r="AS881" s="2" t="s">
        <v>74</v>
      </c>
      <c r="AT881" s="2" t="s">
        <v>74</v>
      </c>
      <c r="AU881" s="2">
        <v>1981</v>
      </c>
      <c r="AV881" s="2">
        <v>35</v>
      </c>
      <c r="AW881" s="2">
        <v>4</v>
      </c>
      <c r="AX881" s="2" t="s">
        <v>74</v>
      </c>
      <c r="AY881" s="2" t="s">
        <v>74</v>
      </c>
      <c r="AZ881" s="2" t="s">
        <v>74</v>
      </c>
      <c r="BA881" s="2" t="s">
        <v>74</v>
      </c>
      <c r="BB881" s="2">
        <v>742</v>
      </c>
      <c r="BC881" s="2">
        <v>751</v>
      </c>
      <c r="BD881" s="2" t="s">
        <v>74</v>
      </c>
      <c r="BE881" s="2" t="s">
        <v>6862</v>
      </c>
      <c r="BF881" s="2" t="str">
        <f>HYPERLINK("http://dx.doi.org/10.2307/2408244","http://dx.doi.org/10.2307/2408244")</f>
        <v>http://dx.doi.org/10.2307/2408244</v>
      </c>
      <c r="BG881" s="2" t="s">
        <v>74</v>
      </c>
      <c r="BH881" s="2" t="s">
        <v>74</v>
      </c>
      <c r="BI881" s="2" t="s">
        <v>74</v>
      </c>
      <c r="BJ881" s="2" t="s">
        <v>74</v>
      </c>
      <c r="BK881" s="2" t="s">
        <v>74</v>
      </c>
      <c r="BL881" s="2" t="s">
        <v>74</v>
      </c>
      <c r="BM881" s="2" t="s">
        <v>74</v>
      </c>
      <c r="BN881" s="2">
        <v>28563145</v>
      </c>
      <c r="BO881" s="2" t="s">
        <v>74</v>
      </c>
      <c r="BP881" s="2" t="s">
        <v>74</v>
      </c>
      <c r="BQ881" s="2" t="s">
        <v>74</v>
      </c>
      <c r="BR881" s="2" t="s">
        <v>74</v>
      </c>
      <c r="BS881" s="2" t="s">
        <v>6863</v>
      </c>
      <c r="BT881" s="2" t="str">
        <f>HYPERLINK("https%3A%2F%2Fwww.webofscience.com%2Fwos%2Fwoscc%2Ffull-record%2FWOS:A1981LZ39300011","View Full Record in Web of Science")</f>
        <v>View Full Record in Web of Science</v>
      </c>
    </row>
    <row r="882" spans="1:72" s="1" customFormat="1" x14ac:dyDescent="0.4">
      <c r="A882" s="2" t="s">
        <v>72</v>
      </c>
      <c r="B882" s="2" t="s">
        <v>1366</v>
      </c>
      <c r="C882" s="2" t="s">
        <v>74</v>
      </c>
      <c r="D882" s="2" t="s">
        <v>74</v>
      </c>
      <c r="E882" s="2" t="s">
        <v>74</v>
      </c>
      <c r="F882" s="2" t="s">
        <v>1367</v>
      </c>
      <c r="G882" s="2" t="s">
        <v>74</v>
      </c>
      <c r="H882" s="2" t="s">
        <v>74</v>
      </c>
      <c r="I882" s="2" t="s">
        <v>1368</v>
      </c>
      <c r="J882" s="2" t="s">
        <v>576</v>
      </c>
      <c r="K882" s="2" t="s">
        <v>74</v>
      </c>
      <c r="L882" s="2" t="s">
        <v>74</v>
      </c>
      <c r="M882" s="2" t="s">
        <v>74</v>
      </c>
      <c r="N882" s="2" t="s">
        <v>74</v>
      </c>
      <c r="O882" s="2" t="s">
        <v>74</v>
      </c>
      <c r="P882" s="2" t="s">
        <v>74</v>
      </c>
      <c r="Q882" s="2" t="s">
        <v>74</v>
      </c>
      <c r="R882" s="2" t="s">
        <v>74</v>
      </c>
      <c r="S882" s="2" t="s">
        <v>74</v>
      </c>
      <c r="T882" s="2" t="s">
        <v>74</v>
      </c>
      <c r="U882" s="2" t="s">
        <v>74</v>
      </c>
      <c r="V882" s="5" t="s">
        <v>1369</v>
      </c>
      <c r="W882" s="2" t="s">
        <v>74</v>
      </c>
      <c r="X882" s="2" t="s">
        <v>74</v>
      </c>
      <c r="Y882" s="2" t="s">
        <v>74</v>
      </c>
      <c r="Z882" s="2" t="s">
        <v>74</v>
      </c>
      <c r="AA882" s="2" t="s">
        <v>74</v>
      </c>
      <c r="AB882" s="2" t="s">
        <v>74</v>
      </c>
      <c r="AC882" s="2" t="s">
        <v>74</v>
      </c>
      <c r="AD882" s="2" t="s">
        <v>74</v>
      </c>
      <c r="AE882" s="2" t="s">
        <v>74</v>
      </c>
      <c r="AF882" s="2" t="s">
        <v>74</v>
      </c>
      <c r="AG882" s="2" t="s">
        <v>74</v>
      </c>
      <c r="AH882" s="2" t="s">
        <v>74</v>
      </c>
      <c r="AI882" s="2" t="s">
        <v>74</v>
      </c>
      <c r="AJ882" s="2" t="s">
        <v>74</v>
      </c>
      <c r="AK882" s="2" t="s">
        <v>74</v>
      </c>
      <c r="AL882" s="2" t="s">
        <v>74</v>
      </c>
      <c r="AM882" s="2" t="s">
        <v>74</v>
      </c>
      <c r="AN882" s="2" t="s">
        <v>74</v>
      </c>
      <c r="AO882" s="2" t="s">
        <v>579</v>
      </c>
      <c r="AP882" s="2" t="s">
        <v>580</v>
      </c>
      <c r="AQ882" s="2" t="s">
        <v>74</v>
      </c>
      <c r="AR882" s="2" t="s">
        <v>74</v>
      </c>
      <c r="AS882" s="2" t="s">
        <v>74</v>
      </c>
      <c r="AT882" s="2" t="s">
        <v>352</v>
      </c>
      <c r="AU882" s="2">
        <v>2011</v>
      </c>
      <c r="AV882" s="2">
        <v>25</v>
      </c>
      <c r="AW882" s="2">
        <v>5</v>
      </c>
      <c r="AX882" s="2" t="s">
        <v>74</v>
      </c>
      <c r="AY882" s="2" t="s">
        <v>74</v>
      </c>
      <c r="AZ882" s="2" t="s">
        <v>74</v>
      </c>
      <c r="BA882" s="2" t="s">
        <v>74</v>
      </c>
      <c r="BB882" s="2">
        <v>993</v>
      </c>
      <c r="BC882" s="2">
        <v>1015</v>
      </c>
      <c r="BD882" s="2" t="s">
        <v>74</v>
      </c>
      <c r="BE882" s="2" t="s">
        <v>1370</v>
      </c>
      <c r="BF882" s="2" t="str">
        <f>HYPERLINK("http://dx.doi.org/10.1007/s10682-010-9455-5","http://dx.doi.org/10.1007/s10682-010-9455-5")</f>
        <v>http://dx.doi.org/10.1007/s10682-010-9455-5</v>
      </c>
      <c r="BG882" s="2" t="s">
        <v>74</v>
      </c>
      <c r="BH882" s="2" t="s">
        <v>74</v>
      </c>
      <c r="BI882" s="2" t="s">
        <v>74</v>
      </c>
      <c r="BJ882" s="2" t="s">
        <v>74</v>
      </c>
      <c r="BK882" s="2" t="s">
        <v>74</v>
      </c>
      <c r="BL882" s="2" t="s">
        <v>74</v>
      </c>
      <c r="BM882" s="2" t="s">
        <v>74</v>
      </c>
      <c r="BN882" s="2" t="s">
        <v>74</v>
      </c>
      <c r="BO882" s="2" t="s">
        <v>74</v>
      </c>
      <c r="BP882" s="2" t="s">
        <v>74</v>
      </c>
      <c r="BQ882" s="2" t="s">
        <v>74</v>
      </c>
      <c r="BR882" s="2" t="s">
        <v>74</v>
      </c>
      <c r="BS882" s="2" t="s">
        <v>1371</v>
      </c>
      <c r="BT882" s="2" t="str">
        <f>HYPERLINK("https%3A%2F%2Fwww.webofscience.com%2Fwos%2Fwoscc%2Ffull-record%2FWOS:000294499800003","View Full Record in Web of Science")</f>
        <v>View Full Record in Web of Science</v>
      </c>
    </row>
    <row r="883" spans="1:72" s="2" customFormat="1" x14ac:dyDescent="0.4">
      <c r="A883" s="2" t="s">
        <v>72</v>
      </c>
      <c r="B883" s="2" t="s">
        <v>4275</v>
      </c>
      <c r="C883" s="2" t="s">
        <v>74</v>
      </c>
      <c r="D883" s="2" t="s">
        <v>74</v>
      </c>
      <c r="E883" s="2" t="s">
        <v>74</v>
      </c>
      <c r="F883" s="2" t="s">
        <v>4276</v>
      </c>
      <c r="G883" s="2" t="s">
        <v>74</v>
      </c>
      <c r="H883" s="2" t="s">
        <v>74</v>
      </c>
      <c r="I883" s="2" t="s">
        <v>4277</v>
      </c>
      <c r="J883" s="2" t="s">
        <v>4278</v>
      </c>
      <c r="K883" s="2" t="s">
        <v>74</v>
      </c>
      <c r="L883" s="2" t="s">
        <v>74</v>
      </c>
      <c r="M883" s="2" t="s">
        <v>74</v>
      </c>
      <c r="N883" s="2" t="s">
        <v>74</v>
      </c>
      <c r="O883" s="2" t="s">
        <v>74</v>
      </c>
      <c r="P883" s="2" t="s">
        <v>74</v>
      </c>
      <c r="Q883" s="2" t="s">
        <v>74</v>
      </c>
      <c r="R883" s="2" t="s">
        <v>74</v>
      </c>
      <c r="S883" s="2" t="s">
        <v>74</v>
      </c>
      <c r="T883" s="2" t="s">
        <v>74</v>
      </c>
      <c r="U883" s="2" t="s">
        <v>74</v>
      </c>
      <c r="V883" s="5" t="s">
        <v>4279</v>
      </c>
      <c r="W883" s="2" t="s">
        <v>74</v>
      </c>
      <c r="X883" s="2" t="s">
        <v>74</v>
      </c>
      <c r="Y883" s="2" t="s">
        <v>74</v>
      </c>
      <c r="Z883" s="2" t="s">
        <v>74</v>
      </c>
      <c r="AA883" s="2" t="s">
        <v>4280</v>
      </c>
      <c r="AB883" s="2" t="s">
        <v>4281</v>
      </c>
      <c r="AC883" s="2" t="s">
        <v>74</v>
      </c>
      <c r="AD883" s="2" t="s">
        <v>74</v>
      </c>
      <c r="AE883" s="2" t="s">
        <v>74</v>
      </c>
      <c r="AF883" s="2" t="s">
        <v>74</v>
      </c>
      <c r="AG883" s="2" t="s">
        <v>74</v>
      </c>
      <c r="AH883" s="2" t="s">
        <v>74</v>
      </c>
      <c r="AI883" s="2" t="s">
        <v>74</v>
      </c>
      <c r="AJ883" s="2" t="s">
        <v>74</v>
      </c>
      <c r="AK883" s="2" t="s">
        <v>74</v>
      </c>
      <c r="AL883" s="2" t="s">
        <v>74</v>
      </c>
      <c r="AM883" s="2" t="s">
        <v>74</v>
      </c>
      <c r="AN883" s="2" t="s">
        <v>74</v>
      </c>
      <c r="AO883" s="2" t="s">
        <v>4282</v>
      </c>
      <c r="AP883" s="2" t="s">
        <v>4283</v>
      </c>
      <c r="AQ883" s="2" t="s">
        <v>74</v>
      </c>
      <c r="AR883" s="2" t="s">
        <v>74</v>
      </c>
      <c r="AS883" s="2" t="s">
        <v>74</v>
      </c>
      <c r="AT883" s="2" t="s">
        <v>213</v>
      </c>
      <c r="AU883" s="2">
        <v>2016</v>
      </c>
      <c r="AV883" s="2">
        <v>42</v>
      </c>
      <c r="AW883" s="2">
        <v>11</v>
      </c>
      <c r="AX883" s="2" t="s">
        <v>74</v>
      </c>
      <c r="AY883" s="2" t="s">
        <v>74</v>
      </c>
      <c r="AZ883" s="2" t="s">
        <v>74</v>
      </c>
      <c r="BA883" s="2" t="s">
        <v>74</v>
      </c>
      <c r="BB883" s="2">
        <v>1164</v>
      </c>
      <c r="BC883" s="2">
        <v>1174</v>
      </c>
      <c r="BD883" s="2" t="s">
        <v>74</v>
      </c>
      <c r="BE883" s="2" t="s">
        <v>4284</v>
      </c>
      <c r="BF883" s="2" t="str">
        <f>HYPERLINK("http://dx.doi.org/10.1007/s10886-016-0778-8","http://dx.doi.org/10.1007/s10886-016-0778-8")</f>
        <v>http://dx.doi.org/10.1007/s10886-016-0778-8</v>
      </c>
      <c r="BG883" s="2" t="s">
        <v>74</v>
      </c>
      <c r="BH883" s="2" t="s">
        <v>74</v>
      </c>
      <c r="BI883" s="2" t="s">
        <v>74</v>
      </c>
      <c r="BJ883" s="2" t="s">
        <v>74</v>
      </c>
      <c r="BK883" s="2" t="s">
        <v>74</v>
      </c>
      <c r="BL883" s="2" t="s">
        <v>74</v>
      </c>
      <c r="BM883" s="2" t="s">
        <v>74</v>
      </c>
      <c r="BN883" s="2">
        <v>27722876</v>
      </c>
      <c r="BO883" s="2" t="s">
        <v>74</v>
      </c>
      <c r="BP883" s="2" t="s">
        <v>74</v>
      </c>
      <c r="BQ883" s="2" t="s">
        <v>74</v>
      </c>
      <c r="BR883" s="2" t="s">
        <v>74</v>
      </c>
      <c r="BS883" s="2" t="s">
        <v>4285</v>
      </c>
      <c r="BT883" s="2" t="str">
        <f>HYPERLINK("https%3A%2F%2Fwww.webofscience.com%2Fwos%2Fwoscc%2Ffull-record%2FWOS:000388808300007","View Full Record in Web of Science")</f>
        <v>View Full Record in Web of Science</v>
      </c>
    </row>
    <row r="884" spans="1:72" s="1" customFormat="1" x14ac:dyDescent="0.4">
      <c r="A884" s="2" t="s">
        <v>72</v>
      </c>
      <c r="B884" s="2" t="s">
        <v>382</v>
      </c>
      <c r="C884" s="2" t="s">
        <v>74</v>
      </c>
      <c r="D884" s="2" t="s">
        <v>74</v>
      </c>
      <c r="E884" s="2" t="s">
        <v>74</v>
      </c>
      <c r="F884" s="2" t="s">
        <v>383</v>
      </c>
      <c r="G884" s="2" t="s">
        <v>74</v>
      </c>
      <c r="H884" s="2" t="s">
        <v>74</v>
      </c>
      <c r="I884" s="2" t="s">
        <v>384</v>
      </c>
      <c r="J884" s="2" t="s">
        <v>140</v>
      </c>
      <c r="K884" s="2" t="s">
        <v>74</v>
      </c>
      <c r="L884" s="2" t="s">
        <v>74</v>
      </c>
      <c r="M884" s="2" t="s">
        <v>74</v>
      </c>
      <c r="N884" s="2" t="s">
        <v>74</v>
      </c>
      <c r="O884" s="2" t="s">
        <v>74</v>
      </c>
      <c r="P884" s="2" t="s">
        <v>74</v>
      </c>
      <c r="Q884" s="2" t="s">
        <v>74</v>
      </c>
      <c r="R884" s="2" t="s">
        <v>74</v>
      </c>
      <c r="S884" s="2" t="s">
        <v>74</v>
      </c>
      <c r="T884" s="2" t="s">
        <v>74</v>
      </c>
      <c r="U884" s="2" t="s">
        <v>74</v>
      </c>
      <c r="V884" s="5" t="s">
        <v>385</v>
      </c>
      <c r="W884" s="2" t="s">
        <v>74</v>
      </c>
      <c r="X884" s="2" t="s">
        <v>74</v>
      </c>
      <c r="Y884" s="2" t="s">
        <v>74</v>
      </c>
      <c r="Z884" s="2" t="s">
        <v>74</v>
      </c>
      <c r="AA884" s="2" t="s">
        <v>386</v>
      </c>
      <c r="AB884" s="2" t="s">
        <v>74</v>
      </c>
      <c r="AC884" s="2" t="s">
        <v>74</v>
      </c>
      <c r="AD884" s="2" t="s">
        <v>74</v>
      </c>
      <c r="AE884" s="2" t="s">
        <v>74</v>
      </c>
      <c r="AF884" s="2" t="s">
        <v>74</v>
      </c>
      <c r="AG884" s="2" t="s">
        <v>74</v>
      </c>
      <c r="AH884" s="2" t="s">
        <v>74</v>
      </c>
      <c r="AI884" s="2" t="s">
        <v>74</v>
      </c>
      <c r="AJ884" s="2" t="s">
        <v>74</v>
      </c>
      <c r="AK884" s="2" t="s">
        <v>74</v>
      </c>
      <c r="AL884" s="2" t="s">
        <v>74</v>
      </c>
      <c r="AM884" s="2" t="s">
        <v>74</v>
      </c>
      <c r="AN884" s="2" t="s">
        <v>74</v>
      </c>
      <c r="AO884" s="2" t="s">
        <v>143</v>
      </c>
      <c r="AP884" s="2" t="s">
        <v>74</v>
      </c>
      <c r="AQ884" s="2" t="s">
        <v>74</v>
      </c>
      <c r="AR884" s="2" t="s">
        <v>74</v>
      </c>
      <c r="AS884" s="2" t="s">
        <v>74</v>
      </c>
      <c r="AT884" s="2" t="s">
        <v>145</v>
      </c>
      <c r="AU884" s="2">
        <v>2009</v>
      </c>
      <c r="AV884" s="2">
        <v>78</v>
      </c>
      <c r="AW884" s="2">
        <v>2</v>
      </c>
      <c r="AX884" s="2" t="s">
        <v>74</v>
      </c>
      <c r="AY884" s="2" t="s">
        <v>74</v>
      </c>
      <c r="AZ884" s="2" t="s">
        <v>74</v>
      </c>
      <c r="BA884" s="2" t="s">
        <v>74</v>
      </c>
      <c r="BB884" s="2">
        <v>393</v>
      </c>
      <c r="BC884" s="2">
        <v>398</v>
      </c>
      <c r="BD884" s="2" t="s">
        <v>74</v>
      </c>
      <c r="BE884" s="2" t="s">
        <v>387</v>
      </c>
      <c r="BF884" s="2" t="str">
        <f>HYPERLINK("http://dx.doi.org/10.1016/j.anbehav.2009.05.013","http://dx.doi.org/10.1016/j.anbehav.2009.05.013")</f>
        <v>http://dx.doi.org/10.1016/j.anbehav.2009.05.013</v>
      </c>
      <c r="BG884" s="2" t="s">
        <v>74</v>
      </c>
      <c r="BH884" s="2" t="s">
        <v>74</v>
      </c>
      <c r="BI884" s="2" t="s">
        <v>74</v>
      </c>
      <c r="BJ884" s="2" t="s">
        <v>74</v>
      </c>
      <c r="BK884" s="2" t="s">
        <v>74</v>
      </c>
      <c r="BL884" s="2" t="s">
        <v>74</v>
      </c>
      <c r="BM884" s="2" t="s">
        <v>74</v>
      </c>
      <c r="BN884" s="2" t="s">
        <v>74</v>
      </c>
      <c r="BO884" s="2" t="s">
        <v>74</v>
      </c>
      <c r="BP884" s="2" t="s">
        <v>74</v>
      </c>
      <c r="BQ884" s="2" t="s">
        <v>74</v>
      </c>
      <c r="BR884" s="2" t="s">
        <v>74</v>
      </c>
      <c r="BS884" s="2" t="s">
        <v>388</v>
      </c>
      <c r="BT884" s="2" t="str">
        <f>HYPERLINK("https%3A%2F%2Fwww.webofscience.com%2Fwos%2Fwoscc%2Ffull-record%2FWOS:000268902900021","View Full Record in Web of Science")</f>
        <v>View Full Record in Web of Science</v>
      </c>
    </row>
    <row r="885" spans="1:72" s="2" customFormat="1" x14ac:dyDescent="0.4">
      <c r="A885" s="2" t="s">
        <v>72</v>
      </c>
      <c r="B885" s="2" t="s">
        <v>382</v>
      </c>
      <c r="C885" s="2" t="s">
        <v>74</v>
      </c>
      <c r="D885" s="2" t="s">
        <v>74</v>
      </c>
      <c r="E885" s="2" t="s">
        <v>74</v>
      </c>
      <c r="F885" s="2" t="s">
        <v>383</v>
      </c>
      <c r="G885" s="2" t="s">
        <v>74</v>
      </c>
      <c r="H885" s="2" t="s">
        <v>74</v>
      </c>
      <c r="I885" s="2" t="s">
        <v>2748</v>
      </c>
      <c r="J885" s="2" t="s">
        <v>171</v>
      </c>
      <c r="K885" s="2" t="s">
        <v>74</v>
      </c>
      <c r="L885" s="2" t="s">
        <v>74</v>
      </c>
      <c r="M885" s="2" t="s">
        <v>74</v>
      </c>
      <c r="N885" s="2" t="s">
        <v>74</v>
      </c>
      <c r="O885" s="2" t="s">
        <v>74</v>
      </c>
      <c r="P885" s="2" t="s">
        <v>74</v>
      </c>
      <c r="Q885" s="2" t="s">
        <v>74</v>
      </c>
      <c r="R885" s="2" t="s">
        <v>74</v>
      </c>
      <c r="S885" s="2" t="s">
        <v>74</v>
      </c>
      <c r="T885" s="2" t="s">
        <v>74</v>
      </c>
      <c r="U885" s="2" t="s">
        <v>74</v>
      </c>
      <c r="V885" s="5" t="s">
        <v>2749</v>
      </c>
      <c r="W885" s="2" t="s">
        <v>74</v>
      </c>
      <c r="X885" s="2" t="s">
        <v>74</v>
      </c>
      <c r="Y885" s="2" t="s">
        <v>74</v>
      </c>
      <c r="Z885" s="2" t="s">
        <v>74</v>
      </c>
      <c r="AA885" s="2" t="s">
        <v>386</v>
      </c>
      <c r="AB885" s="2" t="s">
        <v>74</v>
      </c>
      <c r="AC885" s="2" t="s">
        <v>74</v>
      </c>
      <c r="AD885" s="2" t="s">
        <v>74</v>
      </c>
      <c r="AE885" s="2" t="s">
        <v>74</v>
      </c>
      <c r="AF885" s="2" t="s">
        <v>74</v>
      </c>
      <c r="AG885" s="2" t="s">
        <v>74</v>
      </c>
      <c r="AH885" s="2" t="s">
        <v>74</v>
      </c>
      <c r="AI885" s="2" t="s">
        <v>74</v>
      </c>
      <c r="AJ885" s="2" t="s">
        <v>74</v>
      </c>
      <c r="AK885" s="2" t="s">
        <v>74</v>
      </c>
      <c r="AL885" s="2" t="s">
        <v>74</v>
      </c>
      <c r="AM885" s="2" t="s">
        <v>74</v>
      </c>
      <c r="AN885" s="2" t="s">
        <v>74</v>
      </c>
      <c r="AO885" s="2" t="s">
        <v>173</v>
      </c>
      <c r="AP885" s="2" t="s">
        <v>174</v>
      </c>
      <c r="AQ885" s="2" t="s">
        <v>74</v>
      </c>
      <c r="AR885" s="2" t="s">
        <v>74</v>
      </c>
      <c r="AS885" s="2" t="s">
        <v>74</v>
      </c>
      <c r="AT885" s="2" t="s">
        <v>134</v>
      </c>
      <c r="AU885" s="2">
        <v>2010</v>
      </c>
      <c r="AV885" s="2">
        <v>64</v>
      </c>
      <c r="AW885" s="2">
        <v>5</v>
      </c>
      <c r="AX885" s="2" t="s">
        <v>74</v>
      </c>
      <c r="AY885" s="2" t="s">
        <v>74</v>
      </c>
      <c r="AZ885" s="2" t="s">
        <v>74</v>
      </c>
      <c r="BA885" s="2" t="s">
        <v>74</v>
      </c>
      <c r="BB885" s="2">
        <v>1301</v>
      </c>
      <c r="BC885" s="2">
        <v>1310</v>
      </c>
      <c r="BD885" s="2" t="s">
        <v>74</v>
      </c>
      <c r="BE885" s="2" t="s">
        <v>2750</v>
      </c>
      <c r="BF885" s="2" t="str">
        <f>HYPERLINK("http://dx.doi.org/10.1111/j.1558-5646.2009.00897.x","http://dx.doi.org/10.1111/j.1558-5646.2009.00897.x")</f>
        <v>http://dx.doi.org/10.1111/j.1558-5646.2009.00897.x</v>
      </c>
      <c r="BG885" s="2" t="s">
        <v>74</v>
      </c>
      <c r="BH885" s="2" t="s">
        <v>74</v>
      </c>
      <c r="BI885" s="2" t="s">
        <v>74</v>
      </c>
      <c r="BJ885" s="2" t="s">
        <v>74</v>
      </c>
      <c r="BK885" s="2" t="s">
        <v>74</v>
      </c>
      <c r="BL885" s="2" t="s">
        <v>74</v>
      </c>
      <c r="BM885" s="2" t="s">
        <v>74</v>
      </c>
      <c r="BN885" s="2">
        <v>19922444</v>
      </c>
      <c r="BO885" s="2" t="s">
        <v>74</v>
      </c>
      <c r="BP885" s="2" t="s">
        <v>74</v>
      </c>
      <c r="BQ885" s="2" t="s">
        <v>74</v>
      </c>
      <c r="BR885" s="2" t="s">
        <v>74</v>
      </c>
      <c r="BS885" s="2" t="s">
        <v>2751</v>
      </c>
      <c r="BT885" s="2" t="str">
        <f>HYPERLINK("https%3A%2F%2Fwww.webofscience.com%2Fwos%2Fwoscc%2Ffull-record%2FWOS:000277096400011","View Full Record in Web of Science")</f>
        <v>View Full Record in Web of Science</v>
      </c>
    </row>
    <row r="886" spans="1:72" s="2" customFormat="1" x14ac:dyDescent="0.4">
      <c r="A886" s="2" t="s">
        <v>72</v>
      </c>
      <c r="B886" s="2" t="s">
        <v>6925</v>
      </c>
      <c r="C886" s="2" t="s">
        <v>74</v>
      </c>
      <c r="D886" s="2" t="s">
        <v>74</v>
      </c>
      <c r="E886" s="2" t="s">
        <v>74</v>
      </c>
      <c r="F886" s="2" t="s">
        <v>6926</v>
      </c>
      <c r="G886" s="2" t="s">
        <v>74</v>
      </c>
      <c r="H886" s="2" t="s">
        <v>74</v>
      </c>
      <c r="I886" s="2" t="s">
        <v>6927</v>
      </c>
      <c r="J886" s="2" t="s">
        <v>140</v>
      </c>
      <c r="K886" s="2" t="s">
        <v>74</v>
      </c>
      <c r="L886" s="2" t="s">
        <v>74</v>
      </c>
      <c r="M886" s="2" t="s">
        <v>74</v>
      </c>
      <c r="N886" s="2" t="s">
        <v>74</v>
      </c>
      <c r="O886" s="2" t="s">
        <v>74</v>
      </c>
      <c r="P886" s="2" t="s">
        <v>74</v>
      </c>
      <c r="Q886" s="2" t="s">
        <v>74</v>
      </c>
      <c r="R886" s="2" t="s">
        <v>74</v>
      </c>
      <c r="S886" s="2" t="s">
        <v>74</v>
      </c>
      <c r="T886" s="2" t="s">
        <v>74</v>
      </c>
      <c r="U886" s="2" t="s">
        <v>74</v>
      </c>
      <c r="V886" s="5" t="s">
        <v>6928</v>
      </c>
      <c r="W886" s="2" t="s">
        <v>74</v>
      </c>
      <c r="X886" s="2" t="s">
        <v>74</v>
      </c>
      <c r="Y886" s="2" t="s">
        <v>74</v>
      </c>
      <c r="Z886" s="2" t="s">
        <v>74</v>
      </c>
      <c r="AA886" s="2" t="s">
        <v>74</v>
      </c>
      <c r="AB886" s="2" t="s">
        <v>6929</v>
      </c>
      <c r="AC886" s="2" t="s">
        <v>74</v>
      </c>
      <c r="AD886" s="2" t="s">
        <v>74</v>
      </c>
      <c r="AE886" s="2" t="s">
        <v>74</v>
      </c>
      <c r="AF886" s="2" t="s">
        <v>74</v>
      </c>
      <c r="AG886" s="2" t="s">
        <v>74</v>
      </c>
      <c r="AH886" s="2" t="s">
        <v>74</v>
      </c>
      <c r="AI886" s="2" t="s">
        <v>74</v>
      </c>
      <c r="AJ886" s="2" t="s">
        <v>74</v>
      </c>
      <c r="AK886" s="2" t="s">
        <v>74</v>
      </c>
      <c r="AL886" s="2" t="s">
        <v>74</v>
      </c>
      <c r="AM886" s="2" t="s">
        <v>74</v>
      </c>
      <c r="AN886" s="2" t="s">
        <v>74</v>
      </c>
      <c r="AO886" s="2" t="s">
        <v>143</v>
      </c>
      <c r="AP886" s="2" t="s">
        <v>144</v>
      </c>
      <c r="AQ886" s="2" t="s">
        <v>74</v>
      </c>
      <c r="AR886" s="2" t="s">
        <v>74</v>
      </c>
      <c r="AS886" s="2" t="s">
        <v>74</v>
      </c>
      <c r="AT886" s="2" t="s">
        <v>633</v>
      </c>
      <c r="AU886" s="2">
        <v>2020</v>
      </c>
      <c r="AV886" s="2">
        <v>162</v>
      </c>
      <c r="AW886" s="2" t="s">
        <v>74</v>
      </c>
      <c r="AX886" s="2" t="s">
        <v>74</v>
      </c>
      <c r="AY886" s="2" t="s">
        <v>74</v>
      </c>
      <c r="AZ886" s="2" t="s">
        <v>74</v>
      </c>
      <c r="BA886" s="2" t="s">
        <v>74</v>
      </c>
      <c r="BB886" s="2">
        <v>123</v>
      </c>
      <c r="BC886" s="2">
        <v>133</v>
      </c>
      <c r="BD886" s="2" t="s">
        <v>74</v>
      </c>
      <c r="BE886" s="2" t="s">
        <v>6930</v>
      </c>
      <c r="BF886" s="2" t="str">
        <f>HYPERLINK("http://dx.doi.org/10.1016/j.anbehav.2020.02.008","http://dx.doi.org/10.1016/j.anbehav.2020.02.008")</f>
        <v>http://dx.doi.org/10.1016/j.anbehav.2020.02.008</v>
      </c>
      <c r="BG886" s="2" t="s">
        <v>74</v>
      </c>
      <c r="BH886" s="2" t="s">
        <v>74</v>
      </c>
      <c r="BI886" s="2" t="s">
        <v>74</v>
      </c>
      <c r="BJ886" s="2" t="s">
        <v>74</v>
      </c>
      <c r="BK886" s="2" t="s">
        <v>74</v>
      </c>
      <c r="BL886" s="2" t="s">
        <v>74</v>
      </c>
      <c r="BM886" s="2" t="s">
        <v>74</v>
      </c>
      <c r="BN886" s="2" t="s">
        <v>74</v>
      </c>
      <c r="BO886" s="2" t="s">
        <v>74</v>
      </c>
      <c r="BP886" s="2" t="s">
        <v>74</v>
      </c>
      <c r="BQ886" s="2" t="s">
        <v>74</v>
      </c>
      <c r="BR886" s="2" t="s">
        <v>74</v>
      </c>
      <c r="BS886" s="2" t="s">
        <v>6931</v>
      </c>
      <c r="BT886" s="2" t="str">
        <f>HYPERLINK("https%3A%2F%2Fwww.webofscience.com%2Fwos%2Fwoscc%2Ffull-record%2FWOS:000522974300013","View Full Record in Web of Science")</f>
        <v>View Full Record in Web of Science</v>
      </c>
    </row>
    <row r="887" spans="1:72" s="2" customFormat="1" x14ac:dyDescent="0.4">
      <c r="A887" s="2" t="s">
        <v>72</v>
      </c>
      <c r="B887" s="2" t="s">
        <v>3938</v>
      </c>
      <c r="C887" s="2" t="s">
        <v>74</v>
      </c>
      <c r="D887" s="2" t="s">
        <v>74</v>
      </c>
      <c r="E887" s="2" t="s">
        <v>74</v>
      </c>
      <c r="F887" s="2" t="s">
        <v>3939</v>
      </c>
      <c r="G887" s="2" t="s">
        <v>74</v>
      </c>
      <c r="H887" s="2" t="s">
        <v>74</v>
      </c>
      <c r="I887" s="2" t="s">
        <v>3940</v>
      </c>
      <c r="J887" s="2" t="s">
        <v>1526</v>
      </c>
      <c r="K887" s="2" t="s">
        <v>74</v>
      </c>
      <c r="L887" s="2" t="s">
        <v>74</v>
      </c>
      <c r="M887" s="2" t="s">
        <v>74</v>
      </c>
      <c r="N887" s="2" t="s">
        <v>74</v>
      </c>
      <c r="O887" s="2" t="s">
        <v>74</v>
      </c>
      <c r="P887" s="2" t="s">
        <v>74</v>
      </c>
      <c r="Q887" s="2" t="s">
        <v>74</v>
      </c>
      <c r="R887" s="2" t="s">
        <v>74</v>
      </c>
      <c r="S887" s="2" t="s">
        <v>74</v>
      </c>
      <c r="T887" s="2" t="s">
        <v>74</v>
      </c>
      <c r="U887" s="2" t="s">
        <v>74</v>
      </c>
      <c r="V887" s="5" t="s">
        <v>3941</v>
      </c>
      <c r="W887" s="2" t="s">
        <v>74</v>
      </c>
      <c r="X887" s="2" t="s">
        <v>74</v>
      </c>
      <c r="Y887" s="2" t="s">
        <v>74</v>
      </c>
      <c r="Z887" s="2" t="s">
        <v>74</v>
      </c>
      <c r="AA887" s="2" t="s">
        <v>3942</v>
      </c>
      <c r="AB887" s="2" t="s">
        <v>3943</v>
      </c>
      <c r="AC887" s="2" t="s">
        <v>74</v>
      </c>
      <c r="AD887" s="2" t="s">
        <v>74</v>
      </c>
      <c r="AE887" s="2" t="s">
        <v>74</v>
      </c>
      <c r="AF887" s="2" t="s">
        <v>74</v>
      </c>
      <c r="AG887" s="2" t="s">
        <v>74</v>
      </c>
      <c r="AH887" s="2" t="s">
        <v>74</v>
      </c>
      <c r="AI887" s="2" t="s">
        <v>74</v>
      </c>
      <c r="AJ887" s="2" t="s">
        <v>74</v>
      </c>
      <c r="AK887" s="2" t="s">
        <v>74</v>
      </c>
      <c r="AL887" s="2" t="s">
        <v>74</v>
      </c>
      <c r="AM887" s="2" t="s">
        <v>74</v>
      </c>
      <c r="AN887" s="2" t="s">
        <v>74</v>
      </c>
      <c r="AO887" s="2" t="s">
        <v>1528</v>
      </c>
      <c r="AP887" s="2" t="s">
        <v>2131</v>
      </c>
      <c r="AQ887" s="2" t="s">
        <v>74</v>
      </c>
      <c r="AR887" s="2" t="s">
        <v>74</v>
      </c>
      <c r="AS887" s="2" t="s">
        <v>74</v>
      </c>
      <c r="AT887" s="2" t="s">
        <v>213</v>
      </c>
      <c r="AU887" s="2">
        <v>2013</v>
      </c>
      <c r="AV887" s="2">
        <v>115</v>
      </c>
      <c r="AW887" s="2">
        <v>4</v>
      </c>
      <c r="AX887" s="2" t="s">
        <v>74</v>
      </c>
      <c r="AY887" s="2" t="s">
        <v>74</v>
      </c>
      <c r="AZ887" s="2" t="s">
        <v>74</v>
      </c>
      <c r="BA887" s="2" t="s">
        <v>74</v>
      </c>
      <c r="BB887" s="2">
        <v>902</v>
      </c>
      <c r="BC887" s="2">
        <v>909</v>
      </c>
      <c r="BD887" s="2" t="s">
        <v>74</v>
      </c>
      <c r="BE887" s="2" t="s">
        <v>3944</v>
      </c>
      <c r="BF887" s="2" t="str">
        <f>HYPERLINK("http://dx.doi.org/10.1525/cond.2013.120009","http://dx.doi.org/10.1525/cond.2013.120009")</f>
        <v>http://dx.doi.org/10.1525/cond.2013.120009</v>
      </c>
      <c r="BG887" s="2" t="s">
        <v>74</v>
      </c>
      <c r="BH887" s="2" t="s">
        <v>74</v>
      </c>
      <c r="BI887" s="2" t="s">
        <v>74</v>
      </c>
      <c r="BJ887" s="2" t="s">
        <v>74</v>
      </c>
      <c r="BK887" s="2" t="s">
        <v>74</v>
      </c>
      <c r="BL887" s="2" t="s">
        <v>74</v>
      </c>
      <c r="BM887" s="2" t="s">
        <v>74</v>
      </c>
      <c r="BN887" s="2" t="s">
        <v>74</v>
      </c>
      <c r="BO887" s="2" t="s">
        <v>74</v>
      </c>
      <c r="BP887" s="2" t="s">
        <v>74</v>
      </c>
      <c r="BQ887" s="2" t="s">
        <v>74</v>
      </c>
      <c r="BR887" s="2" t="s">
        <v>74</v>
      </c>
      <c r="BS887" s="2" t="s">
        <v>3945</v>
      </c>
      <c r="BT887" s="2" t="str">
        <f>HYPERLINK("https%3A%2F%2Fwww.webofscience.com%2Fwos%2Fwoscc%2Ffull-record%2FWOS:000328295800022","View Full Record in Web of Science")</f>
        <v>View Full Record in Web of Science</v>
      </c>
    </row>
    <row r="888" spans="1:72" s="2" customFormat="1" x14ac:dyDescent="0.4">
      <c r="A888" s="2" t="s">
        <v>72</v>
      </c>
      <c r="B888" s="2" t="s">
        <v>271</v>
      </c>
      <c r="C888" s="2" t="s">
        <v>74</v>
      </c>
      <c r="D888" s="2" t="s">
        <v>74</v>
      </c>
      <c r="E888" s="2" t="s">
        <v>74</v>
      </c>
      <c r="F888" s="2" t="s">
        <v>2636</v>
      </c>
      <c r="G888" s="2" t="s">
        <v>74</v>
      </c>
      <c r="H888" s="2" t="s">
        <v>74</v>
      </c>
      <c r="I888" s="2" t="s">
        <v>2637</v>
      </c>
      <c r="J888" s="2" t="s">
        <v>610</v>
      </c>
      <c r="K888" s="2" t="s">
        <v>74</v>
      </c>
      <c r="L888" s="2" t="s">
        <v>74</v>
      </c>
      <c r="M888" s="2" t="s">
        <v>74</v>
      </c>
      <c r="N888" s="2" t="s">
        <v>74</v>
      </c>
      <c r="O888" s="2" t="s">
        <v>74</v>
      </c>
      <c r="P888" s="2" t="s">
        <v>74</v>
      </c>
      <c r="Q888" s="2" t="s">
        <v>74</v>
      </c>
      <c r="R888" s="2" t="s">
        <v>74</v>
      </c>
      <c r="S888" s="2" t="s">
        <v>74</v>
      </c>
      <c r="T888" s="2" t="s">
        <v>74</v>
      </c>
      <c r="U888" s="2" t="s">
        <v>74</v>
      </c>
      <c r="V888" s="5" t="s">
        <v>2638</v>
      </c>
      <c r="W888" s="2" t="s">
        <v>74</v>
      </c>
      <c r="X888" s="2" t="s">
        <v>74</v>
      </c>
      <c r="Y888" s="2" t="s">
        <v>74</v>
      </c>
      <c r="Z888" s="2" t="s">
        <v>74</v>
      </c>
      <c r="AA888" s="2" t="s">
        <v>74</v>
      </c>
      <c r="AB888" s="2" t="s">
        <v>274</v>
      </c>
      <c r="AC888" s="2" t="s">
        <v>74</v>
      </c>
      <c r="AD888" s="2" t="s">
        <v>74</v>
      </c>
      <c r="AE888" s="2" t="s">
        <v>74</v>
      </c>
      <c r="AF888" s="2" t="s">
        <v>74</v>
      </c>
      <c r="AG888" s="2" t="s">
        <v>74</v>
      </c>
      <c r="AH888" s="2" t="s">
        <v>74</v>
      </c>
      <c r="AI888" s="2" t="s">
        <v>74</v>
      </c>
      <c r="AJ888" s="2" t="s">
        <v>74</v>
      </c>
      <c r="AK888" s="2" t="s">
        <v>74</v>
      </c>
      <c r="AL888" s="2" t="s">
        <v>74</v>
      </c>
      <c r="AM888" s="2" t="s">
        <v>74</v>
      </c>
      <c r="AN888" s="2" t="s">
        <v>74</v>
      </c>
      <c r="AO888" s="2" t="s">
        <v>614</v>
      </c>
      <c r="AP888" s="2" t="s">
        <v>615</v>
      </c>
      <c r="AQ888" s="2" t="s">
        <v>74</v>
      </c>
      <c r="AR888" s="2" t="s">
        <v>74</v>
      </c>
      <c r="AS888" s="2" t="s">
        <v>74</v>
      </c>
      <c r="AT888" s="2" t="s">
        <v>102</v>
      </c>
      <c r="AU888" s="2">
        <v>2010</v>
      </c>
      <c r="AV888" s="2">
        <v>116</v>
      </c>
      <c r="AW888" s="2">
        <v>6</v>
      </c>
      <c r="AX888" s="2" t="s">
        <v>74</v>
      </c>
      <c r="AY888" s="2" t="s">
        <v>74</v>
      </c>
      <c r="AZ888" s="2" t="s">
        <v>74</v>
      </c>
      <c r="BA888" s="2" t="s">
        <v>74</v>
      </c>
      <c r="BB888" s="2">
        <v>509</v>
      </c>
      <c r="BC888" s="2">
        <v>516</v>
      </c>
      <c r="BD888" s="2" t="s">
        <v>74</v>
      </c>
      <c r="BE888" s="2" t="s">
        <v>2639</v>
      </c>
      <c r="BF888" s="2" t="str">
        <f>HYPERLINK("http://dx.doi.org/10.1111/j.1439-0310.2010.01765.x","http://dx.doi.org/10.1111/j.1439-0310.2010.01765.x")</f>
        <v>http://dx.doi.org/10.1111/j.1439-0310.2010.01765.x</v>
      </c>
      <c r="BG888" s="2" t="s">
        <v>74</v>
      </c>
      <c r="BH888" s="2" t="s">
        <v>74</v>
      </c>
      <c r="BI888" s="2" t="s">
        <v>74</v>
      </c>
      <c r="BJ888" s="2" t="s">
        <v>74</v>
      </c>
      <c r="BK888" s="2" t="s">
        <v>74</v>
      </c>
      <c r="BL888" s="2" t="s">
        <v>74</v>
      </c>
      <c r="BM888" s="2" t="s">
        <v>74</v>
      </c>
      <c r="BN888" s="2" t="s">
        <v>74</v>
      </c>
      <c r="BO888" s="2" t="s">
        <v>74</v>
      </c>
      <c r="BP888" s="2" t="s">
        <v>74</v>
      </c>
      <c r="BQ888" s="2" t="s">
        <v>74</v>
      </c>
      <c r="BR888" s="2" t="s">
        <v>74</v>
      </c>
      <c r="BS888" s="2" t="s">
        <v>2640</v>
      </c>
      <c r="BT888" s="2" t="str">
        <f>HYPERLINK("https%3A%2F%2Fwww.webofscience.com%2Fwos%2Fwoscc%2Ffull-record%2FWOS:000277405700004","View Full Record in Web of Science")</f>
        <v>View Full Record in Web of Science</v>
      </c>
    </row>
    <row r="889" spans="1:72" s="2" customFormat="1" x14ac:dyDescent="0.4">
      <c r="A889" s="2" t="s">
        <v>72</v>
      </c>
      <c r="B889" s="2" t="s">
        <v>271</v>
      </c>
      <c r="C889" s="2" t="s">
        <v>74</v>
      </c>
      <c r="D889" s="2" t="s">
        <v>74</v>
      </c>
      <c r="E889" s="2" t="s">
        <v>74</v>
      </c>
      <c r="F889" s="2" t="s">
        <v>271</v>
      </c>
      <c r="G889" s="2" t="s">
        <v>74</v>
      </c>
      <c r="H889" s="2" t="s">
        <v>74</v>
      </c>
      <c r="I889" s="2" t="s">
        <v>272</v>
      </c>
      <c r="J889" s="2" t="s">
        <v>108</v>
      </c>
      <c r="K889" s="2" t="s">
        <v>74</v>
      </c>
      <c r="L889" s="2" t="s">
        <v>74</v>
      </c>
      <c r="M889" s="2" t="s">
        <v>74</v>
      </c>
      <c r="N889" s="2" t="s">
        <v>74</v>
      </c>
      <c r="O889" s="2" t="s">
        <v>74</v>
      </c>
      <c r="P889" s="2" t="s">
        <v>74</v>
      </c>
      <c r="Q889" s="2" t="s">
        <v>74</v>
      </c>
      <c r="R889" s="2" t="s">
        <v>74</v>
      </c>
      <c r="S889" s="2" t="s">
        <v>74</v>
      </c>
      <c r="T889" s="2" t="s">
        <v>74</v>
      </c>
      <c r="U889" s="2" t="s">
        <v>74</v>
      </c>
      <c r="V889" s="5" t="s">
        <v>273</v>
      </c>
      <c r="W889" s="2" t="s">
        <v>74</v>
      </c>
      <c r="X889" s="2" t="s">
        <v>74</v>
      </c>
      <c r="Y889" s="2" t="s">
        <v>74</v>
      </c>
      <c r="Z889" s="2" t="s">
        <v>74</v>
      </c>
      <c r="AA889" s="2" t="s">
        <v>74</v>
      </c>
      <c r="AB889" s="2" t="s">
        <v>274</v>
      </c>
      <c r="AC889" s="2" t="s">
        <v>74</v>
      </c>
      <c r="AD889" s="2" t="s">
        <v>74</v>
      </c>
      <c r="AE889" s="2" t="s">
        <v>74</v>
      </c>
      <c r="AF889" s="2" t="s">
        <v>74</v>
      </c>
      <c r="AG889" s="2" t="s">
        <v>74</v>
      </c>
      <c r="AH889" s="2" t="s">
        <v>74</v>
      </c>
      <c r="AI889" s="2" t="s">
        <v>74</v>
      </c>
      <c r="AJ889" s="2" t="s">
        <v>74</v>
      </c>
      <c r="AK889" s="2" t="s">
        <v>74</v>
      </c>
      <c r="AL889" s="2" t="s">
        <v>74</v>
      </c>
      <c r="AM889" s="2" t="s">
        <v>74</v>
      </c>
      <c r="AN889" s="2" t="s">
        <v>74</v>
      </c>
      <c r="AO889" s="2" t="s">
        <v>111</v>
      </c>
      <c r="AP889" s="2" t="s">
        <v>112</v>
      </c>
      <c r="AQ889" s="2" t="s">
        <v>74</v>
      </c>
      <c r="AR889" s="2" t="s">
        <v>74</v>
      </c>
      <c r="AS889" s="2" t="s">
        <v>74</v>
      </c>
      <c r="AT889" s="2" t="s">
        <v>275</v>
      </c>
      <c r="AU889" s="2">
        <v>2000</v>
      </c>
      <c r="AV889" s="2">
        <v>267</v>
      </c>
      <c r="AW889" s="2">
        <v>1445</v>
      </c>
      <c r="AX889" s="2" t="s">
        <v>74</v>
      </c>
      <c r="AY889" s="2" t="s">
        <v>74</v>
      </c>
      <c r="AZ889" s="2" t="s">
        <v>74</v>
      </c>
      <c r="BA889" s="2" t="s">
        <v>74</v>
      </c>
      <c r="BB889" s="2">
        <v>755</v>
      </c>
      <c r="BC889" s="2">
        <v>758</v>
      </c>
      <c r="BD889" s="2" t="s">
        <v>74</v>
      </c>
      <c r="BE889" s="2" t="s">
        <v>276</v>
      </c>
      <c r="BF889" s="2" t="str">
        <f>HYPERLINK("http://dx.doi.org/10.1098/rspb.2000.1067","http://dx.doi.org/10.1098/rspb.2000.1067")</f>
        <v>http://dx.doi.org/10.1098/rspb.2000.1067</v>
      </c>
      <c r="BG889" s="2" t="s">
        <v>74</v>
      </c>
      <c r="BH889" s="2" t="s">
        <v>74</v>
      </c>
      <c r="BI889" s="2" t="s">
        <v>74</v>
      </c>
      <c r="BJ889" s="2" t="s">
        <v>74</v>
      </c>
      <c r="BK889" s="2" t="s">
        <v>74</v>
      </c>
      <c r="BL889" s="2" t="s">
        <v>74</v>
      </c>
      <c r="BM889" s="2" t="s">
        <v>74</v>
      </c>
      <c r="BN889" s="2">
        <v>10819143</v>
      </c>
      <c r="BO889" s="2" t="s">
        <v>74</v>
      </c>
      <c r="BP889" s="2" t="s">
        <v>74</v>
      </c>
      <c r="BQ889" s="2" t="s">
        <v>74</v>
      </c>
      <c r="BR889" s="2" t="s">
        <v>74</v>
      </c>
      <c r="BS889" s="2" t="s">
        <v>277</v>
      </c>
      <c r="BT889" s="2" t="str">
        <f>HYPERLINK("https%3A%2F%2Fwww.webofscience.com%2Fwos%2Fwoscc%2Ffull-record%2FWOS:000086850600003","View Full Record in Web of Science")</f>
        <v>View Full Record in Web of Science</v>
      </c>
    </row>
    <row r="890" spans="1:72" s="2" customFormat="1" x14ac:dyDescent="0.4">
      <c r="A890" s="2" t="s">
        <v>72</v>
      </c>
      <c r="B890" s="2" t="s">
        <v>271</v>
      </c>
      <c r="C890" s="2" t="s">
        <v>74</v>
      </c>
      <c r="D890" s="2" t="s">
        <v>74</v>
      </c>
      <c r="E890" s="2" t="s">
        <v>74</v>
      </c>
      <c r="F890" s="2" t="s">
        <v>271</v>
      </c>
      <c r="G890" s="2" t="s">
        <v>74</v>
      </c>
      <c r="H890" s="2" t="s">
        <v>74</v>
      </c>
      <c r="I890" s="2" t="s">
        <v>1811</v>
      </c>
      <c r="J890" s="2" t="s">
        <v>1812</v>
      </c>
      <c r="K890" s="2" t="s">
        <v>74</v>
      </c>
      <c r="L890" s="2" t="s">
        <v>74</v>
      </c>
      <c r="M890" s="2" t="s">
        <v>74</v>
      </c>
      <c r="N890" s="2" t="s">
        <v>74</v>
      </c>
      <c r="O890" s="2" t="s">
        <v>74</v>
      </c>
      <c r="P890" s="2" t="s">
        <v>74</v>
      </c>
      <c r="Q890" s="2" t="s">
        <v>74</v>
      </c>
      <c r="R890" s="2" t="s">
        <v>74</v>
      </c>
      <c r="S890" s="2" t="s">
        <v>74</v>
      </c>
      <c r="T890" s="2" t="s">
        <v>74</v>
      </c>
      <c r="U890" s="2" t="s">
        <v>74</v>
      </c>
      <c r="V890" s="5" t="s">
        <v>1813</v>
      </c>
      <c r="W890" s="2" t="s">
        <v>74</v>
      </c>
      <c r="X890" s="2" t="s">
        <v>74</v>
      </c>
      <c r="Y890" s="2" t="s">
        <v>74</v>
      </c>
      <c r="Z890" s="2" t="s">
        <v>74</v>
      </c>
      <c r="AA890" s="2" t="s">
        <v>74</v>
      </c>
      <c r="AB890" s="2" t="s">
        <v>274</v>
      </c>
      <c r="AC890" s="2" t="s">
        <v>74</v>
      </c>
      <c r="AD890" s="2" t="s">
        <v>74</v>
      </c>
      <c r="AE890" s="2" t="s">
        <v>74</v>
      </c>
      <c r="AF890" s="2" t="s">
        <v>74</v>
      </c>
      <c r="AG890" s="2" t="s">
        <v>74</v>
      </c>
      <c r="AH890" s="2" t="s">
        <v>74</v>
      </c>
      <c r="AI890" s="2" t="s">
        <v>74</v>
      </c>
      <c r="AJ890" s="2" t="s">
        <v>74</v>
      </c>
      <c r="AK890" s="2" t="s">
        <v>74</v>
      </c>
      <c r="AL890" s="2" t="s">
        <v>74</v>
      </c>
      <c r="AM890" s="2" t="s">
        <v>74</v>
      </c>
      <c r="AN890" s="2" t="s">
        <v>74</v>
      </c>
      <c r="AO890" s="2" t="s">
        <v>1814</v>
      </c>
      <c r="AP890" s="2" t="s">
        <v>1815</v>
      </c>
      <c r="AQ890" s="2" t="s">
        <v>74</v>
      </c>
      <c r="AR890" s="2" t="s">
        <v>74</v>
      </c>
      <c r="AS890" s="2" t="s">
        <v>74</v>
      </c>
      <c r="AT890" s="2" t="s">
        <v>352</v>
      </c>
      <c r="AU890" s="2">
        <v>2005</v>
      </c>
      <c r="AV890" s="2">
        <v>39</v>
      </c>
      <c r="AW890" s="2">
        <v>3</v>
      </c>
      <c r="AX890" s="2" t="s">
        <v>74</v>
      </c>
      <c r="AY890" s="2" t="s">
        <v>74</v>
      </c>
      <c r="AZ890" s="2" t="s">
        <v>74</v>
      </c>
      <c r="BA890" s="2" t="s">
        <v>74</v>
      </c>
      <c r="BB890" s="2">
        <v>496</v>
      </c>
      <c r="BC890" s="2">
        <v>499</v>
      </c>
      <c r="BD890" s="2" t="s">
        <v>74</v>
      </c>
      <c r="BE890" s="2" t="s">
        <v>1816</v>
      </c>
      <c r="BF890" s="2" t="str">
        <f>HYPERLINK("http://dx.doi.org/10.1670/207-04N.1","http://dx.doi.org/10.1670/207-04N.1")</f>
        <v>http://dx.doi.org/10.1670/207-04N.1</v>
      </c>
      <c r="BG890" s="2" t="s">
        <v>74</v>
      </c>
      <c r="BH890" s="2" t="s">
        <v>74</v>
      </c>
      <c r="BI890" s="2" t="s">
        <v>74</v>
      </c>
      <c r="BJ890" s="2" t="s">
        <v>74</v>
      </c>
      <c r="BK890" s="2" t="s">
        <v>74</v>
      </c>
      <c r="BL890" s="2" t="s">
        <v>74</v>
      </c>
      <c r="BM890" s="2" t="s">
        <v>74</v>
      </c>
      <c r="BN890" s="2" t="s">
        <v>74</v>
      </c>
      <c r="BO890" s="2" t="s">
        <v>74</v>
      </c>
      <c r="BP890" s="2" t="s">
        <v>74</v>
      </c>
      <c r="BQ890" s="2" t="s">
        <v>74</v>
      </c>
      <c r="BR890" s="2" t="s">
        <v>74</v>
      </c>
      <c r="BS890" s="2" t="s">
        <v>1817</v>
      </c>
      <c r="BT890" s="2" t="str">
        <f>HYPERLINK("https%3A%2F%2Fwww.webofscience.com%2Fwos%2Fwoscc%2Ffull-record%2FWOS:000232114800022","View Full Record in Web of Science")</f>
        <v>View Full Record in Web of Science</v>
      </c>
    </row>
    <row r="891" spans="1:72" s="2" customFormat="1" x14ac:dyDescent="0.4">
      <c r="A891" s="2" t="s">
        <v>72</v>
      </c>
      <c r="B891" s="2" t="s">
        <v>6380</v>
      </c>
      <c r="C891" s="2" t="s">
        <v>74</v>
      </c>
      <c r="D891" s="2" t="s">
        <v>74</v>
      </c>
      <c r="E891" s="2" t="s">
        <v>74</v>
      </c>
      <c r="F891" s="2" t="s">
        <v>6381</v>
      </c>
      <c r="G891" s="2" t="s">
        <v>74</v>
      </c>
      <c r="H891" s="2" t="s">
        <v>74</v>
      </c>
      <c r="I891" s="2" t="s">
        <v>6382</v>
      </c>
      <c r="J891" s="2" t="s">
        <v>6240</v>
      </c>
      <c r="K891" s="2" t="s">
        <v>74</v>
      </c>
      <c r="L891" s="2" t="s">
        <v>74</v>
      </c>
      <c r="M891" s="2" t="s">
        <v>74</v>
      </c>
      <c r="N891" s="2" t="s">
        <v>74</v>
      </c>
      <c r="O891" s="2" t="s">
        <v>74</v>
      </c>
      <c r="P891" s="2" t="s">
        <v>74</v>
      </c>
      <c r="Q891" s="2" t="s">
        <v>74</v>
      </c>
      <c r="R891" s="2" t="s">
        <v>74</v>
      </c>
      <c r="S891" s="2" t="s">
        <v>74</v>
      </c>
      <c r="T891" s="2" t="s">
        <v>74</v>
      </c>
      <c r="U891" s="2" t="s">
        <v>74</v>
      </c>
      <c r="V891" s="5" t="s">
        <v>6383</v>
      </c>
      <c r="W891" s="2" t="s">
        <v>74</v>
      </c>
      <c r="X891" s="2" t="s">
        <v>74</v>
      </c>
      <c r="Y891" s="2" t="s">
        <v>74</v>
      </c>
      <c r="Z891" s="2" t="s">
        <v>74</v>
      </c>
      <c r="AA891" s="2" t="s">
        <v>6384</v>
      </c>
      <c r="AB891" s="2" t="s">
        <v>6385</v>
      </c>
      <c r="AC891" s="2" t="s">
        <v>74</v>
      </c>
      <c r="AD891" s="2" t="s">
        <v>74</v>
      </c>
      <c r="AE891" s="2" t="s">
        <v>74</v>
      </c>
      <c r="AF891" s="2" t="s">
        <v>74</v>
      </c>
      <c r="AG891" s="2" t="s">
        <v>74</v>
      </c>
      <c r="AH891" s="2" t="s">
        <v>74</v>
      </c>
      <c r="AI891" s="2" t="s">
        <v>74</v>
      </c>
      <c r="AJ891" s="2" t="s">
        <v>74</v>
      </c>
      <c r="AK891" s="2" t="s">
        <v>74</v>
      </c>
      <c r="AL891" s="2" t="s">
        <v>74</v>
      </c>
      <c r="AM891" s="2" t="s">
        <v>74</v>
      </c>
      <c r="AN891" s="2" t="s">
        <v>74</v>
      </c>
      <c r="AO891" s="2" t="s">
        <v>6242</v>
      </c>
      <c r="AP891" s="2" t="s">
        <v>6243</v>
      </c>
      <c r="AQ891" s="2" t="s">
        <v>74</v>
      </c>
      <c r="AR891" s="2" t="s">
        <v>74</v>
      </c>
      <c r="AS891" s="2" t="s">
        <v>74</v>
      </c>
      <c r="AT891" s="2" t="s">
        <v>175</v>
      </c>
      <c r="AU891" s="2">
        <v>2018</v>
      </c>
      <c r="AV891" s="2">
        <v>94</v>
      </c>
      <c r="AW891" s="2">
        <v>4</v>
      </c>
      <c r="AX891" s="2" t="s">
        <v>74</v>
      </c>
      <c r="AY891" s="2" t="s">
        <v>74</v>
      </c>
      <c r="AZ891" s="2" t="s">
        <v>74</v>
      </c>
      <c r="BA891" s="2" t="s">
        <v>74</v>
      </c>
      <c r="BB891" s="2">
        <v>1313</v>
      </c>
      <c r="BC891" s="2">
        <v>1332</v>
      </c>
      <c r="BD891" s="2" t="s">
        <v>74</v>
      </c>
      <c r="BE891" s="2" t="s">
        <v>6386</v>
      </c>
      <c r="BF891" s="2" t="str">
        <f>HYPERLINK("http://dx.doi.org/10.5343/bms.2017.1054","http://dx.doi.org/10.5343/bms.2017.1054")</f>
        <v>http://dx.doi.org/10.5343/bms.2017.1054</v>
      </c>
      <c r="BG891" s="2" t="s">
        <v>74</v>
      </c>
      <c r="BH891" s="2" t="s">
        <v>74</v>
      </c>
      <c r="BI891" s="2" t="s">
        <v>74</v>
      </c>
      <c r="BJ891" s="2" t="s">
        <v>74</v>
      </c>
      <c r="BK891" s="2" t="s">
        <v>74</v>
      </c>
      <c r="BL891" s="2" t="s">
        <v>74</v>
      </c>
      <c r="BM891" s="2" t="s">
        <v>74</v>
      </c>
      <c r="BN891" s="2" t="s">
        <v>74</v>
      </c>
      <c r="BO891" s="2" t="s">
        <v>74</v>
      </c>
      <c r="BP891" s="2" t="s">
        <v>74</v>
      </c>
      <c r="BQ891" s="2" t="s">
        <v>74</v>
      </c>
      <c r="BR891" s="2" t="s">
        <v>74</v>
      </c>
      <c r="BS891" s="2" t="s">
        <v>6387</v>
      </c>
      <c r="BT891" s="2" t="str">
        <f>HYPERLINK("https%3A%2F%2Fwww.webofscience.com%2Fwos%2Fwoscc%2Ffull-record%2FWOS:000456290000004","View Full Record in Web of Science")</f>
        <v>View Full Record in Web of Science</v>
      </c>
    </row>
    <row r="892" spans="1:72" s="2" customFormat="1" x14ac:dyDescent="0.4">
      <c r="A892" s="2" t="s">
        <v>72</v>
      </c>
      <c r="B892" s="2" t="s">
        <v>7989</v>
      </c>
      <c r="C892" s="2" t="s">
        <v>74</v>
      </c>
      <c r="D892" s="2" t="s">
        <v>74</v>
      </c>
      <c r="E892" s="2" t="s">
        <v>74</v>
      </c>
      <c r="F892" s="2" t="s">
        <v>7989</v>
      </c>
      <c r="G892" s="2" t="s">
        <v>74</v>
      </c>
      <c r="H892" s="2" t="s">
        <v>74</v>
      </c>
      <c r="I892" s="2" t="s">
        <v>7990</v>
      </c>
      <c r="J892" s="2" t="s">
        <v>6226</v>
      </c>
      <c r="K892" s="2" t="s">
        <v>74</v>
      </c>
      <c r="L892" s="2" t="s">
        <v>74</v>
      </c>
      <c r="M892" s="2" t="s">
        <v>74</v>
      </c>
      <c r="N892" s="2" t="s">
        <v>74</v>
      </c>
      <c r="O892" s="2" t="s">
        <v>74</v>
      </c>
      <c r="P892" s="2" t="s">
        <v>74</v>
      </c>
      <c r="Q892" s="2" t="s">
        <v>74</v>
      </c>
      <c r="R892" s="2" t="s">
        <v>74</v>
      </c>
      <c r="S892" s="2" t="s">
        <v>74</v>
      </c>
      <c r="T892" s="2" t="s">
        <v>74</v>
      </c>
      <c r="U892" s="2" t="s">
        <v>74</v>
      </c>
      <c r="V892" s="5" t="s">
        <v>7991</v>
      </c>
      <c r="W892" s="2" t="s">
        <v>74</v>
      </c>
      <c r="X892" s="2" t="s">
        <v>74</v>
      </c>
      <c r="Y892" s="2" t="s">
        <v>74</v>
      </c>
      <c r="Z892" s="2" t="s">
        <v>74</v>
      </c>
      <c r="AA892" s="2" t="s">
        <v>74</v>
      </c>
      <c r="AB892" s="2" t="s">
        <v>74</v>
      </c>
      <c r="AC892" s="2" t="s">
        <v>74</v>
      </c>
      <c r="AD892" s="2" t="s">
        <v>74</v>
      </c>
      <c r="AE892" s="2" t="s">
        <v>74</v>
      </c>
      <c r="AF892" s="2" t="s">
        <v>74</v>
      </c>
      <c r="AG892" s="2" t="s">
        <v>74</v>
      </c>
      <c r="AH892" s="2" t="s">
        <v>74</v>
      </c>
      <c r="AI892" s="2" t="s">
        <v>74</v>
      </c>
      <c r="AJ892" s="2" t="s">
        <v>74</v>
      </c>
      <c r="AK892" s="2" t="s">
        <v>74</v>
      </c>
      <c r="AL892" s="2" t="s">
        <v>74</v>
      </c>
      <c r="AM892" s="2" t="s">
        <v>74</v>
      </c>
      <c r="AN892" s="2" t="s">
        <v>74</v>
      </c>
      <c r="AO892" s="2" t="s">
        <v>6228</v>
      </c>
      <c r="AP892" s="2" t="s">
        <v>6229</v>
      </c>
      <c r="AQ892" s="2" t="s">
        <v>74</v>
      </c>
      <c r="AR892" s="2" t="s">
        <v>74</v>
      </c>
      <c r="AS892" s="2" t="s">
        <v>74</v>
      </c>
      <c r="AT892" s="2" t="s">
        <v>255</v>
      </c>
      <c r="AU892" s="2">
        <v>2004</v>
      </c>
      <c r="AV892" s="2">
        <v>43</v>
      </c>
      <c r="AW892" s="2">
        <v>1</v>
      </c>
      <c r="AX892" s="2" t="s">
        <v>74</v>
      </c>
      <c r="AY892" s="2" t="s">
        <v>74</v>
      </c>
      <c r="AZ892" s="2" t="s">
        <v>74</v>
      </c>
      <c r="BA892" s="2" t="s">
        <v>74</v>
      </c>
      <c r="BB892" s="2">
        <v>93</v>
      </c>
      <c r="BC892" s="2">
        <v>111</v>
      </c>
      <c r="BD892" s="2" t="s">
        <v>74</v>
      </c>
      <c r="BE892" s="2" t="s">
        <v>74</v>
      </c>
      <c r="BF892" s="2" t="s">
        <v>74</v>
      </c>
      <c r="BG892" s="2" t="s">
        <v>74</v>
      </c>
      <c r="BH892" s="2" t="s">
        <v>74</v>
      </c>
      <c r="BI892" s="2" t="s">
        <v>74</v>
      </c>
      <c r="BJ892" s="2" t="s">
        <v>74</v>
      </c>
      <c r="BK892" s="2" t="s">
        <v>74</v>
      </c>
      <c r="BL892" s="2" t="s">
        <v>74</v>
      </c>
      <c r="BM892" s="2" t="s">
        <v>74</v>
      </c>
      <c r="BN892" s="2" t="s">
        <v>74</v>
      </c>
      <c r="BO892" s="2" t="s">
        <v>74</v>
      </c>
      <c r="BP892" s="2" t="s">
        <v>74</v>
      </c>
      <c r="BQ892" s="2" t="s">
        <v>74</v>
      </c>
      <c r="BR892" s="2" t="s">
        <v>74</v>
      </c>
      <c r="BS892" s="2" t="s">
        <v>7992</v>
      </c>
      <c r="BT892" s="2" t="str">
        <f>HYPERLINK("https%3A%2F%2Fwww.webofscience.com%2Fwos%2Fwoscc%2Ffull-record%2FWOS:000189267400008","View Full Record in Web of Science")</f>
        <v>View Full Record in Web of Science</v>
      </c>
    </row>
    <row r="893" spans="1:72" s="2" customFormat="1" x14ac:dyDescent="0.4">
      <c r="A893" s="2" t="s">
        <v>72</v>
      </c>
      <c r="B893" s="2" t="s">
        <v>7792</v>
      </c>
      <c r="C893" s="2" t="s">
        <v>74</v>
      </c>
      <c r="D893" s="2" t="s">
        <v>74</v>
      </c>
      <c r="E893" s="2" t="s">
        <v>74</v>
      </c>
      <c r="F893" s="2" t="s">
        <v>7792</v>
      </c>
      <c r="G893" s="2" t="s">
        <v>74</v>
      </c>
      <c r="H893" s="2" t="s">
        <v>74</v>
      </c>
      <c r="I893" s="2" t="s">
        <v>7793</v>
      </c>
      <c r="J893" s="2" t="s">
        <v>7794</v>
      </c>
      <c r="K893" s="2" t="s">
        <v>74</v>
      </c>
      <c r="L893" s="2" t="s">
        <v>74</v>
      </c>
      <c r="M893" s="2" t="s">
        <v>74</v>
      </c>
      <c r="N893" s="2" t="s">
        <v>74</v>
      </c>
      <c r="O893" s="2" t="s">
        <v>7795</v>
      </c>
      <c r="P893" s="2" t="s">
        <v>7796</v>
      </c>
      <c r="Q893" s="2" t="s">
        <v>7797</v>
      </c>
      <c r="R893" s="2" t="s">
        <v>74</v>
      </c>
      <c r="S893" s="2" t="s">
        <v>7798</v>
      </c>
      <c r="T893" s="2" t="s">
        <v>74</v>
      </c>
      <c r="U893" s="2" t="s">
        <v>74</v>
      </c>
      <c r="V893" s="5" t="s">
        <v>7799</v>
      </c>
      <c r="W893" s="2" t="s">
        <v>74</v>
      </c>
      <c r="X893" s="2" t="s">
        <v>74</v>
      </c>
      <c r="Y893" s="2" t="s">
        <v>74</v>
      </c>
      <c r="Z893" s="2" t="s">
        <v>74</v>
      </c>
      <c r="AA893" s="2" t="s">
        <v>74</v>
      </c>
      <c r="AB893" s="2" t="s">
        <v>74</v>
      </c>
      <c r="AC893" s="2" t="s">
        <v>74</v>
      </c>
      <c r="AD893" s="2" t="s">
        <v>74</v>
      </c>
      <c r="AE893" s="2" t="s">
        <v>74</v>
      </c>
      <c r="AF893" s="2" t="s">
        <v>74</v>
      </c>
      <c r="AG893" s="2" t="s">
        <v>74</v>
      </c>
      <c r="AH893" s="2" t="s">
        <v>74</v>
      </c>
      <c r="AI893" s="2" t="s">
        <v>74</v>
      </c>
      <c r="AJ893" s="2" t="s">
        <v>74</v>
      </c>
      <c r="AK893" s="2" t="s">
        <v>74</v>
      </c>
      <c r="AL893" s="2" t="s">
        <v>74</v>
      </c>
      <c r="AM893" s="2" t="s">
        <v>74</v>
      </c>
      <c r="AN893" s="2" t="s">
        <v>74</v>
      </c>
      <c r="AO893" s="2" t="s">
        <v>7800</v>
      </c>
      <c r="AP893" s="2" t="s">
        <v>7801</v>
      </c>
      <c r="AQ893" s="2" t="s">
        <v>74</v>
      </c>
      <c r="AR893" s="2" t="s">
        <v>74</v>
      </c>
      <c r="AS893" s="2" t="s">
        <v>74</v>
      </c>
      <c r="AT893" s="2" t="s">
        <v>123</v>
      </c>
      <c r="AU893" s="2">
        <v>2004</v>
      </c>
      <c r="AV893" s="2">
        <v>45</v>
      </c>
      <c r="AW893" s="2">
        <v>1</v>
      </c>
      <c r="AX893" s="2" t="s">
        <v>74</v>
      </c>
      <c r="AY893" s="2" t="s">
        <v>74</v>
      </c>
      <c r="AZ893" s="2" t="s">
        <v>74</v>
      </c>
      <c r="BA893" s="2" t="s">
        <v>74</v>
      </c>
      <c r="BB893" s="2">
        <v>1</v>
      </c>
      <c r="BC893" s="2">
        <v>14</v>
      </c>
      <c r="BD893" s="2" t="s">
        <v>74</v>
      </c>
      <c r="BE893" s="2" t="s">
        <v>7802</v>
      </c>
      <c r="BF893" s="2" t="str">
        <f>HYPERLINK("http://dx.doi.org/10.1080/07924259.2004.9652569","http://dx.doi.org/10.1080/07924259.2004.9652569")</f>
        <v>http://dx.doi.org/10.1080/07924259.2004.9652569</v>
      </c>
      <c r="BG893" s="2" t="s">
        <v>74</v>
      </c>
      <c r="BH893" s="2" t="s">
        <v>74</v>
      </c>
      <c r="BI893" s="2" t="s">
        <v>74</v>
      </c>
      <c r="BJ893" s="2" t="s">
        <v>74</v>
      </c>
      <c r="BK893" s="2" t="s">
        <v>74</v>
      </c>
      <c r="BL893" s="2" t="s">
        <v>74</v>
      </c>
      <c r="BM893" s="2" t="s">
        <v>74</v>
      </c>
      <c r="BN893" s="2" t="s">
        <v>74</v>
      </c>
      <c r="BO893" s="2" t="s">
        <v>74</v>
      </c>
      <c r="BP893" s="2" t="s">
        <v>74</v>
      </c>
      <c r="BQ893" s="2" t="s">
        <v>74</v>
      </c>
      <c r="BR893" s="2" t="s">
        <v>74</v>
      </c>
      <c r="BS893" s="2" t="s">
        <v>7803</v>
      </c>
      <c r="BT893" s="2" t="str">
        <f>HYPERLINK("https%3A%2F%2Fwww.webofscience.com%2Fwos%2Fwoscc%2Ffull-record%2FWOS:000221012500001","View Full Record in Web of Science")</f>
        <v>View Full Record in Web of Science</v>
      </c>
    </row>
    <row r="894" spans="1:72" s="2" customFormat="1" x14ac:dyDescent="0.4">
      <c r="A894" s="2" t="s">
        <v>72</v>
      </c>
      <c r="B894" s="2" t="s">
        <v>6254</v>
      </c>
      <c r="C894" s="2" t="s">
        <v>74</v>
      </c>
      <c r="D894" s="2" t="s">
        <v>74</v>
      </c>
      <c r="E894" s="2" t="s">
        <v>74</v>
      </c>
      <c r="F894" s="2" t="s">
        <v>6254</v>
      </c>
      <c r="G894" s="2" t="s">
        <v>74</v>
      </c>
      <c r="H894" s="2" t="s">
        <v>74</v>
      </c>
      <c r="I894" s="2" t="s">
        <v>6255</v>
      </c>
      <c r="J894" s="2" t="s">
        <v>431</v>
      </c>
      <c r="K894" s="2" t="s">
        <v>74</v>
      </c>
      <c r="L894" s="2" t="s">
        <v>74</v>
      </c>
      <c r="M894" s="2" t="s">
        <v>74</v>
      </c>
      <c r="N894" s="2" t="s">
        <v>74</v>
      </c>
      <c r="O894" s="2" t="s">
        <v>74</v>
      </c>
      <c r="P894" s="2" t="s">
        <v>74</v>
      </c>
      <c r="Q894" s="2" t="s">
        <v>74</v>
      </c>
      <c r="R894" s="2" t="s">
        <v>74</v>
      </c>
      <c r="S894" s="2" t="s">
        <v>74</v>
      </c>
      <c r="T894" s="2" t="s">
        <v>74</v>
      </c>
      <c r="U894" s="2" t="s">
        <v>74</v>
      </c>
      <c r="V894" s="5" t="s">
        <v>6256</v>
      </c>
      <c r="W894" s="2" t="s">
        <v>74</v>
      </c>
      <c r="X894" s="2" t="s">
        <v>74</v>
      </c>
      <c r="Y894" s="2" t="s">
        <v>74</v>
      </c>
      <c r="Z894" s="2" t="s">
        <v>74</v>
      </c>
      <c r="AA894" s="2" t="s">
        <v>74</v>
      </c>
      <c r="AB894" s="2" t="s">
        <v>74</v>
      </c>
      <c r="AC894" s="2" t="s">
        <v>74</v>
      </c>
      <c r="AD894" s="2" t="s">
        <v>74</v>
      </c>
      <c r="AE894" s="2" t="s">
        <v>74</v>
      </c>
      <c r="AF894" s="2" t="s">
        <v>74</v>
      </c>
      <c r="AG894" s="2" t="s">
        <v>74</v>
      </c>
      <c r="AH894" s="2" t="s">
        <v>74</v>
      </c>
      <c r="AI894" s="2" t="s">
        <v>74</v>
      </c>
      <c r="AJ894" s="2" t="s">
        <v>74</v>
      </c>
      <c r="AK894" s="2" t="s">
        <v>74</v>
      </c>
      <c r="AL894" s="2" t="s">
        <v>74</v>
      </c>
      <c r="AM894" s="2" t="s">
        <v>74</v>
      </c>
      <c r="AN894" s="2" t="s">
        <v>74</v>
      </c>
      <c r="AO894" s="2" t="s">
        <v>74</v>
      </c>
      <c r="AP894" s="2" t="s">
        <v>435</v>
      </c>
      <c r="AQ894" s="2" t="s">
        <v>74</v>
      </c>
      <c r="AR894" s="2" t="s">
        <v>74</v>
      </c>
      <c r="AS894" s="2" t="s">
        <v>74</v>
      </c>
      <c r="AT894" s="2" t="s">
        <v>74</v>
      </c>
      <c r="AU894" s="2">
        <v>1967</v>
      </c>
      <c r="AV894" s="2">
        <v>84</v>
      </c>
      <c r="AW894" s="2">
        <v>4</v>
      </c>
      <c r="AX894" s="2" t="s">
        <v>74</v>
      </c>
      <c r="AY894" s="2" t="s">
        <v>74</v>
      </c>
      <c r="AZ894" s="2" t="s">
        <v>74</v>
      </c>
      <c r="BA894" s="2" t="s">
        <v>74</v>
      </c>
      <c r="BB894" s="2">
        <v>503</v>
      </c>
      <c r="BC894" s="2" t="s">
        <v>726</v>
      </c>
      <c r="BD894" s="2" t="s">
        <v>74</v>
      </c>
      <c r="BE894" s="2" t="s">
        <v>6257</v>
      </c>
      <c r="BF894" s="2" t="str">
        <f>HYPERLINK("http://dx.doi.org/10.2307/4083332","http://dx.doi.org/10.2307/4083332")</f>
        <v>http://dx.doi.org/10.2307/4083332</v>
      </c>
      <c r="BG894" s="2" t="s">
        <v>74</v>
      </c>
      <c r="BH894" s="2" t="s">
        <v>74</v>
      </c>
      <c r="BI894" s="2" t="s">
        <v>74</v>
      </c>
      <c r="BJ894" s="2" t="s">
        <v>74</v>
      </c>
      <c r="BK894" s="2" t="s">
        <v>74</v>
      </c>
      <c r="BL894" s="2" t="s">
        <v>74</v>
      </c>
      <c r="BM894" s="2" t="s">
        <v>74</v>
      </c>
      <c r="BN894" s="2" t="s">
        <v>74</v>
      </c>
      <c r="BO894" s="2" t="s">
        <v>74</v>
      </c>
      <c r="BP894" s="2" t="s">
        <v>74</v>
      </c>
      <c r="BQ894" s="2" t="s">
        <v>74</v>
      </c>
      <c r="BR894" s="2" t="s">
        <v>74</v>
      </c>
      <c r="BS894" s="2" t="s">
        <v>6258</v>
      </c>
      <c r="BT894" s="2" t="str">
        <f>HYPERLINK("https%3A%2F%2Fwww.webofscience.com%2Fwos%2Fwoscc%2Ffull-record%2FWOS:A1967A201400003","View Full Record in Web of Science")</f>
        <v>View Full Record in Web of Science</v>
      </c>
    </row>
    <row r="895" spans="1:72" s="1" customFormat="1" x14ac:dyDescent="0.4">
      <c r="A895" s="2" t="s">
        <v>72</v>
      </c>
      <c r="B895" s="2" t="s">
        <v>7243</v>
      </c>
      <c r="C895" s="2" t="s">
        <v>74</v>
      </c>
      <c r="D895" s="2" t="s">
        <v>74</v>
      </c>
      <c r="E895" s="2" t="s">
        <v>74</v>
      </c>
      <c r="F895" s="2" t="s">
        <v>7244</v>
      </c>
      <c r="G895" s="2" t="s">
        <v>74</v>
      </c>
      <c r="H895" s="2" t="s">
        <v>74</v>
      </c>
      <c r="I895" s="2" t="s">
        <v>7245</v>
      </c>
      <c r="J895" s="2" t="s">
        <v>420</v>
      </c>
      <c r="K895" s="2" t="s">
        <v>74</v>
      </c>
      <c r="L895" s="2" t="s">
        <v>74</v>
      </c>
      <c r="M895" s="2" t="s">
        <v>74</v>
      </c>
      <c r="N895" s="2" t="s">
        <v>74</v>
      </c>
      <c r="O895" s="2" t="s">
        <v>74</v>
      </c>
      <c r="P895" s="2" t="s">
        <v>74</v>
      </c>
      <c r="Q895" s="2" t="s">
        <v>74</v>
      </c>
      <c r="R895" s="2" t="s">
        <v>74</v>
      </c>
      <c r="S895" s="2" t="s">
        <v>74</v>
      </c>
      <c r="T895" s="2" t="s">
        <v>74</v>
      </c>
      <c r="U895" s="2" t="s">
        <v>74</v>
      </c>
      <c r="V895" s="5" t="s">
        <v>7246</v>
      </c>
      <c r="W895" s="2" t="s">
        <v>74</v>
      </c>
      <c r="X895" s="2" t="s">
        <v>74</v>
      </c>
      <c r="Y895" s="2" t="s">
        <v>74</v>
      </c>
      <c r="Z895" s="2" t="s">
        <v>74</v>
      </c>
      <c r="AA895" s="2" t="s">
        <v>3597</v>
      </c>
      <c r="AB895" s="2" t="s">
        <v>74</v>
      </c>
      <c r="AC895" s="2" t="s">
        <v>74</v>
      </c>
      <c r="AD895" s="2" t="s">
        <v>74</v>
      </c>
      <c r="AE895" s="2" t="s">
        <v>74</v>
      </c>
      <c r="AF895" s="2" t="s">
        <v>74</v>
      </c>
      <c r="AG895" s="2" t="s">
        <v>74</v>
      </c>
      <c r="AH895" s="2" t="s">
        <v>74</v>
      </c>
      <c r="AI895" s="2" t="s">
        <v>74</v>
      </c>
      <c r="AJ895" s="2" t="s">
        <v>74</v>
      </c>
      <c r="AK895" s="2" t="s">
        <v>74</v>
      </c>
      <c r="AL895" s="2" t="s">
        <v>74</v>
      </c>
      <c r="AM895" s="2" t="s">
        <v>74</v>
      </c>
      <c r="AN895" s="2" t="s">
        <v>74</v>
      </c>
      <c r="AO895" s="2" t="s">
        <v>424</v>
      </c>
      <c r="AP895" s="2" t="s">
        <v>74</v>
      </c>
      <c r="AQ895" s="2" t="s">
        <v>74</v>
      </c>
      <c r="AR895" s="2" t="s">
        <v>74</v>
      </c>
      <c r="AS895" s="2" t="s">
        <v>74</v>
      </c>
      <c r="AT895" s="2" t="s">
        <v>4913</v>
      </c>
      <c r="AU895" s="2">
        <v>2018</v>
      </c>
      <c r="AV895" s="2">
        <v>18</v>
      </c>
      <c r="AW895" s="2" t="s">
        <v>74</v>
      </c>
      <c r="AX895" s="2" t="s">
        <v>74</v>
      </c>
      <c r="AY895" s="2" t="s">
        <v>74</v>
      </c>
      <c r="AZ895" s="2" t="s">
        <v>74</v>
      </c>
      <c r="BA895" s="2" t="s">
        <v>74</v>
      </c>
      <c r="BB895" s="2" t="s">
        <v>74</v>
      </c>
      <c r="BC895" s="2" t="s">
        <v>74</v>
      </c>
      <c r="BD895" s="2">
        <v>19</v>
      </c>
      <c r="BE895" s="2" t="s">
        <v>7247</v>
      </c>
      <c r="BF895" s="2" t="str">
        <f>HYPERLINK("http://dx.doi.org/10.1186/s12862-018-1126-0","http://dx.doi.org/10.1186/s12862-018-1126-0")</f>
        <v>http://dx.doi.org/10.1186/s12862-018-1126-0</v>
      </c>
      <c r="BG895" s="2" t="s">
        <v>74</v>
      </c>
      <c r="BH895" s="2" t="s">
        <v>74</v>
      </c>
      <c r="BI895" s="2" t="s">
        <v>74</v>
      </c>
      <c r="BJ895" s="2" t="s">
        <v>74</v>
      </c>
      <c r="BK895" s="2" t="s">
        <v>74</v>
      </c>
      <c r="BL895" s="2" t="s">
        <v>74</v>
      </c>
      <c r="BM895" s="2" t="s">
        <v>74</v>
      </c>
      <c r="BN895" s="2">
        <v>29433448</v>
      </c>
      <c r="BO895" s="2" t="s">
        <v>74</v>
      </c>
      <c r="BP895" s="2" t="s">
        <v>74</v>
      </c>
      <c r="BQ895" s="2" t="s">
        <v>74</v>
      </c>
      <c r="BR895" s="2" t="s">
        <v>74</v>
      </c>
      <c r="BS895" s="2" t="s">
        <v>7248</v>
      </c>
      <c r="BT895" s="2" t="str">
        <f>HYPERLINK("https%3A%2F%2Fwww.webofscience.com%2Fwos%2Fwoscc%2Ffull-record%2FWOS:000425179400001","View Full Record in Web of Science")</f>
        <v>View Full Record in Web of Science</v>
      </c>
    </row>
    <row r="896" spans="1:72" s="7" customFormat="1" x14ac:dyDescent="0.4">
      <c r="A896" s="2" t="s">
        <v>72</v>
      </c>
      <c r="B896" s="2" t="s">
        <v>5692</v>
      </c>
      <c r="C896" s="2" t="s">
        <v>74</v>
      </c>
      <c r="D896" s="2" t="s">
        <v>74</v>
      </c>
      <c r="E896" s="2" t="s">
        <v>74</v>
      </c>
      <c r="F896" s="2" t="s">
        <v>5693</v>
      </c>
      <c r="G896" s="2" t="s">
        <v>74</v>
      </c>
      <c r="H896" s="2" t="s">
        <v>74</v>
      </c>
      <c r="I896" s="2" t="s">
        <v>5694</v>
      </c>
      <c r="J896" s="2" t="s">
        <v>691</v>
      </c>
      <c r="K896" s="2" t="s">
        <v>74</v>
      </c>
      <c r="L896" s="2" t="s">
        <v>74</v>
      </c>
      <c r="M896" s="2" t="s">
        <v>74</v>
      </c>
      <c r="N896" s="2" t="s">
        <v>74</v>
      </c>
      <c r="O896" s="2" t="s">
        <v>74</v>
      </c>
      <c r="P896" s="2" t="s">
        <v>74</v>
      </c>
      <c r="Q896" s="2" t="s">
        <v>74</v>
      </c>
      <c r="R896" s="2" t="s">
        <v>74</v>
      </c>
      <c r="S896" s="2" t="s">
        <v>74</v>
      </c>
      <c r="T896" s="2" t="s">
        <v>74</v>
      </c>
      <c r="U896" s="2" t="s">
        <v>74</v>
      </c>
      <c r="V896" s="5" t="s">
        <v>5695</v>
      </c>
      <c r="W896" s="2" t="s">
        <v>74</v>
      </c>
      <c r="X896" s="2" t="s">
        <v>74</v>
      </c>
      <c r="Y896" s="2" t="s">
        <v>74</v>
      </c>
      <c r="Z896" s="2" t="s">
        <v>74</v>
      </c>
      <c r="AA896" s="2" t="s">
        <v>5696</v>
      </c>
      <c r="AB896" s="2" t="s">
        <v>5697</v>
      </c>
      <c r="AC896" s="2" t="s">
        <v>74</v>
      </c>
      <c r="AD896" s="2" t="s">
        <v>74</v>
      </c>
      <c r="AE896" s="2" t="s">
        <v>74</v>
      </c>
      <c r="AF896" s="2" t="s">
        <v>74</v>
      </c>
      <c r="AG896" s="2" t="s">
        <v>74</v>
      </c>
      <c r="AH896" s="2" t="s">
        <v>74</v>
      </c>
      <c r="AI896" s="2" t="s">
        <v>74</v>
      </c>
      <c r="AJ896" s="2" t="s">
        <v>74</v>
      </c>
      <c r="AK896" s="2" t="s">
        <v>74</v>
      </c>
      <c r="AL896" s="2" t="s">
        <v>74</v>
      </c>
      <c r="AM896" s="2" t="s">
        <v>74</v>
      </c>
      <c r="AN896" s="2" t="s">
        <v>74</v>
      </c>
      <c r="AO896" s="2" t="s">
        <v>695</v>
      </c>
      <c r="AP896" s="2" t="s">
        <v>74</v>
      </c>
      <c r="AQ896" s="2" t="s">
        <v>74</v>
      </c>
      <c r="AR896" s="2" t="s">
        <v>74</v>
      </c>
      <c r="AS896" s="2" t="s">
        <v>74</v>
      </c>
      <c r="AT896" s="2" t="s">
        <v>1090</v>
      </c>
      <c r="AU896" s="2">
        <v>2018</v>
      </c>
      <c r="AV896" s="2">
        <v>183</v>
      </c>
      <c r="AW896" s="2" t="s">
        <v>74</v>
      </c>
      <c r="AX896" s="2" t="s">
        <v>74</v>
      </c>
      <c r="AY896" s="2" t="s">
        <v>74</v>
      </c>
      <c r="AZ896" s="2" t="s">
        <v>74</v>
      </c>
      <c r="BA896" s="2" t="s">
        <v>74</v>
      </c>
      <c r="BB896" s="2">
        <v>33</v>
      </c>
      <c r="BC896" s="2">
        <v>38</v>
      </c>
      <c r="BD896" s="2" t="s">
        <v>74</v>
      </c>
      <c r="BE896" s="2" t="s">
        <v>5698</v>
      </c>
      <c r="BF896" s="2" t="str">
        <f>HYPERLINK("http://dx.doi.org/10.1016/j.physbeh.2017.10.016","http://dx.doi.org/10.1016/j.physbeh.2017.10.016")</f>
        <v>http://dx.doi.org/10.1016/j.physbeh.2017.10.016</v>
      </c>
      <c r="BG896" s="2" t="s">
        <v>74</v>
      </c>
      <c r="BH896" s="2" t="s">
        <v>74</v>
      </c>
      <c r="BI896" s="2" t="s">
        <v>74</v>
      </c>
      <c r="BJ896" s="2" t="s">
        <v>74</v>
      </c>
      <c r="BK896" s="2" t="s">
        <v>74</v>
      </c>
      <c r="BL896" s="2" t="s">
        <v>74</v>
      </c>
      <c r="BM896" s="2" t="s">
        <v>74</v>
      </c>
      <c r="BN896" s="2">
        <v>29056352</v>
      </c>
      <c r="BO896" s="2" t="s">
        <v>74</v>
      </c>
      <c r="BP896" s="2" t="s">
        <v>74</v>
      </c>
      <c r="BQ896" s="2" t="s">
        <v>74</v>
      </c>
      <c r="BR896" s="2" t="s">
        <v>74</v>
      </c>
      <c r="BS896" s="2" t="s">
        <v>5699</v>
      </c>
      <c r="BT896" s="2" t="str">
        <f>HYPERLINK("https%3A%2F%2Fwww.webofscience.com%2Fwos%2Fwoscc%2Ffull-record%2FWOS:000417009800005","View Full Record in Web of Science")</f>
        <v>View Full Record in Web of Science</v>
      </c>
    </row>
    <row r="897" spans="1:72" s="2" customFormat="1" x14ac:dyDescent="0.4">
      <c r="A897" s="2" t="s">
        <v>72</v>
      </c>
      <c r="B897" s="2" t="s">
        <v>7679</v>
      </c>
      <c r="C897" s="2" t="s">
        <v>74</v>
      </c>
      <c r="D897" s="2" t="s">
        <v>74</v>
      </c>
      <c r="E897" s="2" t="s">
        <v>74</v>
      </c>
      <c r="F897" s="2" t="s">
        <v>7680</v>
      </c>
      <c r="G897" s="2" t="s">
        <v>74</v>
      </c>
      <c r="H897" s="2" t="s">
        <v>74</v>
      </c>
      <c r="I897" s="2" t="s">
        <v>7681</v>
      </c>
      <c r="J897" s="2" t="s">
        <v>610</v>
      </c>
      <c r="K897" s="2" t="s">
        <v>74</v>
      </c>
      <c r="L897" s="2" t="s">
        <v>74</v>
      </c>
      <c r="M897" s="2" t="s">
        <v>74</v>
      </c>
      <c r="N897" s="2" t="s">
        <v>74</v>
      </c>
      <c r="O897" s="2" t="s">
        <v>74</v>
      </c>
      <c r="P897" s="2" t="s">
        <v>74</v>
      </c>
      <c r="Q897" s="2" t="s">
        <v>74</v>
      </c>
      <c r="R897" s="2" t="s">
        <v>74</v>
      </c>
      <c r="S897" s="2" t="s">
        <v>74</v>
      </c>
      <c r="T897" s="2" t="s">
        <v>74</v>
      </c>
      <c r="U897" s="2" t="s">
        <v>74</v>
      </c>
      <c r="V897" s="5" t="s">
        <v>7682</v>
      </c>
      <c r="W897" s="2" t="s">
        <v>74</v>
      </c>
      <c r="X897" s="2" t="s">
        <v>74</v>
      </c>
      <c r="Y897" s="2" t="s">
        <v>74</v>
      </c>
      <c r="Z897" s="2" t="s">
        <v>74</v>
      </c>
      <c r="AA897" s="2" t="s">
        <v>74</v>
      </c>
      <c r="AB897" s="2" t="s">
        <v>7683</v>
      </c>
      <c r="AC897" s="2" t="s">
        <v>74</v>
      </c>
      <c r="AD897" s="2" t="s">
        <v>74</v>
      </c>
      <c r="AE897" s="2" t="s">
        <v>74</v>
      </c>
      <c r="AF897" s="2" t="s">
        <v>74</v>
      </c>
      <c r="AG897" s="2" t="s">
        <v>74</v>
      </c>
      <c r="AH897" s="2" t="s">
        <v>74</v>
      </c>
      <c r="AI897" s="2" t="s">
        <v>74</v>
      </c>
      <c r="AJ897" s="2" t="s">
        <v>74</v>
      </c>
      <c r="AK897" s="2" t="s">
        <v>74</v>
      </c>
      <c r="AL897" s="2" t="s">
        <v>74</v>
      </c>
      <c r="AM897" s="2" t="s">
        <v>74</v>
      </c>
      <c r="AN897" s="2" t="s">
        <v>74</v>
      </c>
      <c r="AO897" s="2" t="s">
        <v>614</v>
      </c>
      <c r="AP897" s="2" t="s">
        <v>615</v>
      </c>
      <c r="AQ897" s="2" t="s">
        <v>74</v>
      </c>
      <c r="AR897" s="2" t="s">
        <v>74</v>
      </c>
      <c r="AS897" s="2" t="s">
        <v>74</v>
      </c>
      <c r="AT897" s="2" t="s">
        <v>204</v>
      </c>
      <c r="AU897" s="2">
        <v>2010</v>
      </c>
      <c r="AV897" s="2">
        <v>116</v>
      </c>
      <c r="AW897" s="2">
        <v>7</v>
      </c>
      <c r="AX897" s="2" t="s">
        <v>74</v>
      </c>
      <c r="AY897" s="2" t="s">
        <v>74</v>
      </c>
      <c r="AZ897" s="2" t="s">
        <v>74</v>
      </c>
      <c r="BA897" s="2" t="s">
        <v>74</v>
      </c>
      <c r="BB897" s="2">
        <v>608</v>
      </c>
      <c r="BC897" s="2">
        <v>618</v>
      </c>
      <c r="BD897" s="2" t="s">
        <v>74</v>
      </c>
      <c r="BE897" s="2" t="s">
        <v>7684</v>
      </c>
      <c r="BF897" s="2" t="str">
        <f>HYPERLINK("http://dx.doi.org/10.1111/j.1439-0310.2010.01777.x","http://dx.doi.org/10.1111/j.1439-0310.2010.01777.x")</f>
        <v>http://dx.doi.org/10.1111/j.1439-0310.2010.01777.x</v>
      </c>
      <c r="BG897" s="2" t="s">
        <v>74</v>
      </c>
      <c r="BH897" s="2" t="s">
        <v>74</v>
      </c>
      <c r="BI897" s="2" t="s">
        <v>74</v>
      </c>
      <c r="BJ897" s="2" t="s">
        <v>74</v>
      </c>
      <c r="BK897" s="2" t="s">
        <v>74</v>
      </c>
      <c r="BL897" s="2" t="s">
        <v>74</v>
      </c>
      <c r="BM897" s="2" t="s">
        <v>74</v>
      </c>
      <c r="BN897" s="2" t="s">
        <v>74</v>
      </c>
      <c r="BO897" s="2" t="s">
        <v>74</v>
      </c>
      <c r="BP897" s="2" t="s">
        <v>74</v>
      </c>
      <c r="BQ897" s="2" t="s">
        <v>74</v>
      </c>
      <c r="BR897" s="2" t="s">
        <v>74</v>
      </c>
      <c r="BS897" s="2" t="s">
        <v>7685</v>
      </c>
      <c r="BT897" s="2" t="str">
        <f>HYPERLINK("https%3A%2F%2Fwww.webofscience.com%2Fwos%2Fwoscc%2Ffull-record%2FWOS:000278520600004","View Full Record in Web of Science")</f>
        <v>View Full Record in Web of Science</v>
      </c>
    </row>
    <row r="898" spans="1:72" s="2" customFormat="1" x14ac:dyDescent="0.4">
      <c r="A898" s="2" t="s">
        <v>72</v>
      </c>
      <c r="B898" s="2" t="s">
        <v>5948</v>
      </c>
      <c r="C898" s="2" t="s">
        <v>74</v>
      </c>
      <c r="D898" s="2" t="s">
        <v>74</v>
      </c>
      <c r="E898" s="2" t="s">
        <v>74</v>
      </c>
      <c r="F898" s="2" t="s">
        <v>5949</v>
      </c>
      <c r="G898" s="2" t="s">
        <v>74</v>
      </c>
      <c r="H898" s="2" t="s">
        <v>74</v>
      </c>
      <c r="I898" s="2" t="s">
        <v>5950</v>
      </c>
      <c r="J898" s="2" t="s">
        <v>5951</v>
      </c>
      <c r="K898" s="2" t="s">
        <v>74</v>
      </c>
      <c r="L898" s="2" t="s">
        <v>74</v>
      </c>
      <c r="M898" s="2" t="s">
        <v>74</v>
      </c>
      <c r="N898" s="2" t="s">
        <v>74</v>
      </c>
      <c r="O898" s="2" t="s">
        <v>74</v>
      </c>
      <c r="P898" s="2" t="s">
        <v>74</v>
      </c>
      <c r="Q898" s="2" t="s">
        <v>74</v>
      </c>
      <c r="R898" s="2" t="s">
        <v>74</v>
      </c>
      <c r="S898" s="2" t="s">
        <v>74</v>
      </c>
      <c r="T898" s="2" t="s">
        <v>74</v>
      </c>
      <c r="U898" s="2" t="s">
        <v>74</v>
      </c>
      <c r="V898" s="5" t="s">
        <v>5952</v>
      </c>
      <c r="W898" s="2" t="s">
        <v>74</v>
      </c>
      <c r="X898" s="2" t="s">
        <v>74</v>
      </c>
      <c r="Y898" s="2" t="s">
        <v>74</v>
      </c>
      <c r="Z898" s="2" t="s">
        <v>74</v>
      </c>
      <c r="AA898" s="2" t="s">
        <v>5953</v>
      </c>
      <c r="AB898" s="2" t="s">
        <v>5954</v>
      </c>
      <c r="AC898" s="2" t="s">
        <v>74</v>
      </c>
      <c r="AD898" s="2" t="s">
        <v>74</v>
      </c>
      <c r="AE898" s="2" t="s">
        <v>74</v>
      </c>
      <c r="AF898" s="2" t="s">
        <v>74</v>
      </c>
      <c r="AG898" s="2" t="s">
        <v>74</v>
      </c>
      <c r="AH898" s="2" t="s">
        <v>74</v>
      </c>
      <c r="AI898" s="2" t="s">
        <v>74</v>
      </c>
      <c r="AJ898" s="2" t="s">
        <v>74</v>
      </c>
      <c r="AK898" s="2" t="s">
        <v>74</v>
      </c>
      <c r="AL898" s="2" t="s">
        <v>74</v>
      </c>
      <c r="AM898" s="2" t="s">
        <v>74</v>
      </c>
      <c r="AN898" s="2" t="s">
        <v>74</v>
      </c>
      <c r="AO898" s="2" t="s">
        <v>5955</v>
      </c>
      <c r="AP898" s="2" t="s">
        <v>74</v>
      </c>
      <c r="AQ898" s="2" t="s">
        <v>74</v>
      </c>
      <c r="AR898" s="2" t="s">
        <v>74</v>
      </c>
      <c r="AS898" s="2" t="s">
        <v>74</v>
      </c>
      <c r="AT898" s="2" t="s">
        <v>175</v>
      </c>
      <c r="AU898" s="2">
        <v>2009</v>
      </c>
      <c r="AV898" s="2">
        <v>30</v>
      </c>
      <c r="AW898" s="2" t="s">
        <v>74</v>
      </c>
      <c r="AX898" s="2" t="s">
        <v>74</v>
      </c>
      <c r="AY898" s="2" t="s">
        <v>74</v>
      </c>
      <c r="AZ898" s="2" t="s">
        <v>74</v>
      </c>
      <c r="BA898" s="2" t="s">
        <v>74</v>
      </c>
      <c r="BB898" s="2">
        <v>175</v>
      </c>
      <c r="BC898" s="2">
        <v>180</v>
      </c>
      <c r="BD898" s="2" t="s">
        <v>74</v>
      </c>
      <c r="BE898" s="2" t="s">
        <v>5956</v>
      </c>
      <c r="BF898" s="2" t="str">
        <f>HYPERLINK("http://dx.doi.org/10.1111/j.1439-0485.2009.00309.x","http://dx.doi.org/10.1111/j.1439-0485.2009.00309.x")</f>
        <v>http://dx.doi.org/10.1111/j.1439-0485.2009.00309.x</v>
      </c>
      <c r="BG898" s="2" t="s">
        <v>74</v>
      </c>
      <c r="BH898" s="2" t="s">
        <v>74</v>
      </c>
      <c r="BI898" s="2" t="s">
        <v>74</v>
      </c>
      <c r="BJ898" s="2" t="s">
        <v>74</v>
      </c>
      <c r="BK898" s="2" t="s">
        <v>74</v>
      </c>
      <c r="BL898" s="2" t="s">
        <v>74</v>
      </c>
      <c r="BM898" s="2" t="s">
        <v>74</v>
      </c>
      <c r="BN898" s="2" t="s">
        <v>74</v>
      </c>
      <c r="BO898" s="2" t="s">
        <v>74</v>
      </c>
      <c r="BP898" s="2" t="s">
        <v>74</v>
      </c>
      <c r="BQ898" s="2" t="s">
        <v>74</v>
      </c>
      <c r="BR898" s="2" t="s">
        <v>74</v>
      </c>
      <c r="BS898" s="2" t="s">
        <v>5957</v>
      </c>
      <c r="BT898" s="2" t="str">
        <f>HYPERLINK("https%3A%2F%2Fwww.webofscience.com%2Fwos%2Fwoscc%2Ffull-record%2FWOS:000270237100018","View Full Record in Web of Science")</f>
        <v>View Full Record in Web of Science</v>
      </c>
    </row>
    <row r="899" spans="1:72" s="7" customFormat="1" x14ac:dyDescent="0.4">
      <c r="A899" s="2" t="s">
        <v>72</v>
      </c>
      <c r="B899" s="2" t="s">
        <v>3372</v>
      </c>
      <c r="C899" s="2" t="s">
        <v>74</v>
      </c>
      <c r="D899" s="2" t="s">
        <v>74</v>
      </c>
      <c r="E899" s="2" t="s">
        <v>74</v>
      </c>
      <c r="F899" s="2" t="s">
        <v>3372</v>
      </c>
      <c r="G899" s="2" t="s">
        <v>74</v>
      </c>
      <c r="H899" s="2" t="s">
        <v>74</v>
      </c>
      <c r="I899" s="2" t="s">
        <v>3373</v>
      </c>
      <c r="J899" s="2" t="s">
        <v>3374</v>
      </c>
      <c r="K899" s="2" t="s">
        <v>74</v>
      </c>
      <c r="L899" s="2" t="s">
        <v>74</v>
      </c>
      <c r="M899" s="2" t="s">
        <v>74</v>
      </c>
      <c r="N899" s="2" t="s">
        <v>74</v>
      </c>
      <c r="O899" s="2" t="s">
        <v>74</v>
      </c>
      <c r="P899" s="2" t="s">
        <v>74</v>
      </c>
      <c r="Q899" s="2" t="s">
        <v>74</v>
      </c>
      <c r="R899" s="2" t="s">
        <v>74</v>
      </c>
      <c r="S899" s="2" t="s">
        <v>74</v>
      </c>
      <c r="T899" s="2" t="s">
        <v>74</v>
      </c>
      <c r="U899" s="2" t="s">
        <v>74</v>
      </c>
      <c r="V899" s="5" t="s">
        <v>3375</v>
      </c>
      <c r="W899" s="2" t="s">
        <v>74</v>
      </c>
      <c r="X899" s="2" t="s">
        <v>74</v>
      </c>
      <c r="Y899" s="2" t="s">
        <v>74</v>
      </c>
      <c r="Z899" s="2" t="s">
        <v>74</v>
      </c>
      <c r="AA899" s="2" t="s">
        <v>3376</v>
      </c>
      <c r="AB899" s="2" t="s">
        <v>3377</v>
      </c>
      <c r="AC899" s="2" t="s">
        <v>74</v>
      </c>
      <c r="AD899" s="2" t="s">
        <v>74</v>
      </c>
      <c r="AE899" s="2" t="s">
        <v>74</v>
      </c>
      <c r="AF899" s="2" t="s">
        <v>74</v>
      </c>
      <c r="AG899" s="2" t="s">
        <v>74</v>
      </c>
      <c r="AH899" s="2" t="s">
        <v>74</v>
      </c>
      <c r="AI899" s="2" t="s">
        <v>74</v>
      </c>
      <c r="AJ899" s="2" t="s">
        <v>74</v>
      </c>
      <c r="AK899" s="2" t="s">
        <v>74</v>
      </c>
      <c r="AL899" s="2" t="s">
        <v>74</v>
      </c>
      <c r="AM899" s="2" t="s">
        <v>74</v>
      </c>
      <c r="AN899" s="2" t="s">
        <v>74</v>
      </c>
      <c r="AO899" s="2" t="s">
        <v>3378</v>
      </c>
      <c r="AP899" s="2" t="s">
        <v>3379</v>
      </c>
      <c r="AQ899" s="2" t="s">
        <v>74</v>
      </c>
      <c r="AR899" s="2" t="s">
        <v>74</v>
      </c>
      <c r="AS899" s="2" t="s">
        <v>74</v>
      </c>
      <c r="AT899" s="2" t="s">
        <v>3380</v>
      </c>
      <c r="AU899" s="2">
        <v>2005</v>
      </c>
      <c r="AV899" s="2">
        <v>36</v>
      </c>
      <c r="AW899" s="2">
        <v>4</v>
      </c>
      <c r="AX899" s="2" t="s">
        <v>74</v>
      </c>
      <c r="AY899" s="2" t="s">
        <v>74</v>
      </c>
      <c r="AZ899" s="2" t="s">
        <v>74</v>
      </c>
      <c r="BA899" s="2" t="s">
        <v>74</v>
      </c>
      <c r="BB899" s="2">
        <v>571</v>
      </c>
      <c r="BC899" s="2">
        <v>584</v>
      </c>
      <c r="BD899" s="2" t="s">
        <v>74</v>
      </c>
      <c r="BE899" s="2" t="s">
        <v>3381</v>
      </c>
      <c r="BF899" s="2" t="str">
        <f>HYPERLINK("http://dx.doi.org/10.1051/apido:2005047","http://dx.doi.org/10.1051/apido:2005047")</f>
        <v>http://dx.doi.org/10.1051/apido:2005047</v>
      </c>
      <c r="BG899" s="2" t="s">
        <v>74</v>
      </c>
      <c r="BH899" s="2" t="s">
        <v>74</v>
      </c>
      <c r="BI899" s="2" t="s">
        <v>74</v>
      </c>
      <c r="BJ899" s="2" t="s">
        <v>74</v>
      </c>
      <c r="BK899" s="2" t="s">
        <v>74</v>
      </c>
      <c r="BL899" s="2" t="s">
        <v>74</v>
      </c>
      <c r="BM899" s="2" t="s">
        <v>74</v>
      </c>
      <c r="BN899" s="2" t="s">
        <v>74</v>
      </c>
      <c r="BO899" s="2" t="s">
        <v>74</v>
      </c>
      <c r="BP899" s="2" t="s">
        <v>74</v>
      </c>
      <c r="BQ899" s="2" t="s">
        <v>74</v>
      </c>
      <c r="BR899" s="2" t="s">
        <v>74</v>
      </c>
      <c r="BS899" s="2" t="s">
        <v>3382</v>
      </c>
      <c r="BT899" s="2" t="str">
        <f>HYPERLINK("https%3A%2F%2Fwww.webofscience.com%2Fwos%2Fwoscc%2Ffull-record%2FWOS:000235837400004","View Full Record in Web of Science")</f>
        <v>View Full Record in Web of Science</v>
      </c>
    </row>
    <row r="900" spans="1:72" s="2" customFormat="1" x14ac:dyDescent="0.4">
      <c r="A900" s="2" t="s">
        <v>72</v>
      </c>
      <c r="B900" s="2" t="s">
        <v>5159</v>
      </c>
      <c r="C900" s="2" t="s">
        <v>74</v>
      </c>
      <c r="D900" s="2" t="s">
        <v>74</v>
      </c>
      <c r="E900" s="2" t="s">
        <v>74</v>
      </c>
      <c r="F900" s="2" t="s">
        <v>5159</v>
      </c>
      <c r="G900" s="2" t="s">
        <v>74</v>
      </c>
      <c r="H900" s="2" t="s">
        <v>74</v>
      </c>
      <c r="I900" s="2" t="s">
        <v>5160</v>
      </c>
      <c r="J900" s="2" t="s">
        <v>1526</v>
      </c>
      <c r="K900" s="2" t="s">
        <v>74</v>
      </c>
      <c r="L900" s="2" t="s">
        <v>74</v>
      </c>
      <c r="M900" s="2" t="s">
        <v>74</v>
      </c>
      <c r="N900" s="2" t="s">
        <v>74</v>
      </c>
      <c r="O900" s="2" t="s">
        <v>74</v>
      </c>
      <c r="P900" s="2" t="s">
        <v>74</v>
      </c>
      <c r="Q900" s="2" t="s">
        <v>74</v>
      </c>
      <c r="R900" s="2" t="s">
        <v>74</v>
      </c>
      <c r="S900" s="2" t="s">
        <v>74</v>
      </c>
      <c r="T900" s="2" t="s">
        <v>74</v>
      </c>
      <c r="U900" s="2" t="s">
        <v>74</v>
      </c>
      <c r="V900" s="5" t="s">
        <v>5161</v>
      </c>
      <c r="W900" s="2" t="s">
        <v>74</v>
      </c>
      <c r="X900" s="2" t="s">
        <v>74</v>
      </c>
      <c r="Y900" s="2" t="s">
        <v>74</v>
      </c>
      <c r="Z900" s="2" t="s">
        <v>74</v>
      </c>
      <c r="AA900" s="2" t="s">
        <v>74</v>
      </c>
      <c r="AB900" s="2" t="s">
        <v>74</v>
      </c>
      <c r="AC900" s="2" t="s">
        <v>74</v>
      </c>
      <c r="AD900" s="2" t="s">
        <v>74</v>
      </c>
      <c r="AE900" s="2" t="s">
        <v>74</v>
      </c>
      <c r="AF900" s="2" t="s">
        <v>74</v>
      </c>
      <c r="AG900" s="2" t="s">
        <v>74</v>
      </c>
      <c r="AH900" s="2" t="s">
        <v>74</v>
      </c>
      <c r="AI900" s="2" t="s">
        <v>74</v>
      </c>
      <c r="AJ900" s="2" t="s">
        <v>74</v>
      </c>
      <c r="AK900" s="2" t="s">
        <v>74</v>
      </c>
      <c r="AL900" s="2" t="s">
        <v>74</v>
      </c>
      <c r="AM900" s="2" t="s">
        <v>74</v>
      </c>
      <c r="AN900" s="2" t="s">
        <v>74</v>
      </c>
      <c r="AO900" s="2" t="s">
        <v>1528</v>
      </c>
      <c r="AP900" s="2" t="s">
        <v>74</v>
      </c>
      <c r="AQ900" s="2" t="s">
        <v>74</v>
      </c>
      <c r="AR900" s="2" t="s">
        <v>74</v>
      </c>
      <c r="AS900" s="2" t="s">
        <v>74</v>
      </c>
      <c r="AT900" s="2" t="s">
        <v>213</v>
      </c>
      <c r="AU900" s="2">
        <v>1991</v>
      </c>
      <c r="AV900" s="2">
        <v>93</v>
      </c>
      <c r="AW900" s="2">
        <v>4</v>
      </c>
      <c r="AX900" s="2" t="s">
        <v>74</v>
      </c>
      <c r="AY900" s="2" t="s">
        <v>74</v>
      </c>
      <c r="AZ900" s="2" t="s">
        <v>74</v>
      </c>
      <c r="BA900" s="2" t="s">
        <v>74</v>
      </c>
      <c r="BB900" s="2">
        <v>825</v>
      </c>
      <c r="BC900" s="2">
        <v>839</v>
      </c>
      <c r="BD900" s="2" t="s">
        <v>74</v>
      </c>
      <c r="BE900" s="2" t="s">
        <v>5162</v>
      </c>
      <c r="BF900" s="2" t="str">
        <f>HYPERLINK("http://dx.doi.org/10.2307/3247717","http://dx.doi.org/10.2307/3247717")</f>
        <v>http://dx.doi.org/10.2307/3247717</v>
      </c>
      <c r="BG900" s="2" t="s">
        <v>74</v>
      </c>
      <c r="BH900" s="2" t="s">
        <v>74</v>
      </c>
      <c r="BI900" s="2" t="s">
        <v>74</v>
      </c>
      <c r="BJ900" s="2" t="s">
        <v>74</v>
      </c>
      <c r="BK900" s="2" t="s">
        <v>74</v>
      </c>
      <c r="BL900" s="2" t="s">
        <v>74</v>
      </c>
      <c r="BM900" s="2" t="s">
        <v>74</v>
      </c>
      <c r="BN900" s="2" t="s">
        <v>74</v>
      </c>
      <c r="BO900" s="2" t="s">
        <v>74</v>
      </c>
      <c r="BP900" s="2" t="s">
        <v>74</v>
      </c>
      <c r="BQ900" s="2" t="s">
        <v>74</v>
      </c>
      <c r="BR900" s="2" t="s">
        <v>74</v>
      </c>
      <c r="BS900" s="2" t="s">
        <v>5163</v>
      </c>
      <c r="BT900" s="2" t="str">
        <f>HYPERLINK("https%3A%2F%2Fwww.webofscience.com%2Fwos%2Fwoscc%2Ffull-record%2FWOS:A1991GW79100005","View Full Record in Web of Science")</f>
        <v>View Full Record in Web of Science</v>
      </c>
    </row>
    <row r="901" spans="1:72" s="2" customFormat="1" x14ac:dyDescent="0.4">
      <c r="A901" s="2" t="s">
        <v>72</v>
      </c>
      <c r="B901" s="2" t="s">
        <v>1452</v>
      </c>
      <c r="C901" s="2" t="s">
        <v>74</v>
      </c>
      <c r="D901" s="2" t="s">
        <v>74</v>
      </c>
      <c r="E901" s="2" t="s">
        <v>74</v>
      </c>
      <c r="F901" s="2" t="s">
        <v>1453</v>
      </c>
      <c r="G901" s="2" t="s">
        <v>74</v>
      </c>
      <c r="H901" s="2" t="s">
        <v>74</v>
      </c>
      <c r="I901" s="2" t="s">
        <v>1454</v>
      </c>
      <c r="J901" s="2" t="s">
        <v>431</v>
      </c>
      <c r="K901" s="2" t="s">
        <v>74</v>
      </c>
      <c r="L901" s="2" t="s">
        <v>74</v>
      </c>
      <c r="M901" s="2" t="s">
        <v>74</v>
      </c>
      <c r="N901" s="2" t="s">
        <v>74</v>
      </c>
      <c r="O901" s="2" t="s">
        <v>74</v>
      </c>
      <c r="P901" s="2" t="s">
        <v>74</v>
      </c>
      <c r="Q901" s="2" t="s">
        <v>74</v>
      </c>
      <c r="R901" s="2" t="s">
        <v>74</v>
      </c>
      <c r="S901" s="2" t="s">
        <v>74</v>
      </c>
      <c r="T901" s="2" t="s">
        <v>74</v>
      </c>
      <c r="U901" s="2" t="s">
        <v>74</v>
      </c>
      <c r="V901" s="5" t="s">
        <v>1455</v>
      </c>
      <c r="W901" s="2" t="s">
        <v>74</v>
      </c>
      <c r="X901" s="2" t="s">
        <v>74</v>
      </c>
      <c r="Y901" s="2" t="s">
        <v>74</v>
      </c>
      <c r="Z901" s="2" t="s">
        <v>74</v>
      </c>
      <c r="AA901" s="2" t="s">
        <v>1456</v>
      </c>
      <c r="AB901" s="2" t="s">
        <v>1457</v>
      </c>
      <c r="AC901" s="2" t="s">
        <v>74</v>
      </c>
      <c r="AD901" s="2" t="s">
        <v>74</v>
      </c>
      <c r="AE901" s="2" t="s">
        <v>74</v>
      </c>
      <c r="AF901" s="2" t="s">
        <v>74</v>
      </c>
      <c r="AG901" s="2" t="s">
        <v>74</v>
      </c>
      <c r="AH901" s="2" t="s">
        <v>74</v>
      </c>
      <c r="AI901" s="2" t="s">
        <v>74</v>
      </c>
      <c r="AJ901" s="2" t="s">
        <v>74</v>
      </c>
      <c r="AK901" s="2" t="s">
        <v>74</v>
      </c>
      <c r="AL901" s="2" t="s">
        <v>74</v>
      </c>
      <c r="AM901" s="2" t="s">
        <v>74</v>
      </c>
      <c r="AN901" s="2" t="s">
        <v>74</v>
      </c>
      <c r="AO901" s="2" t="s">
        <v>1458</v>
      </c>
      <c r="AP901" s="2" t="s">
        <v>435</v>
      </c>
      <c r="AQ901" s="2" t="s">
        <v>74</v>
      </c>
      <c r="AR901" s="2" t="s">
        <v>74</v>
      </c>
      <c r="AS901" s="2" t="s">
        <v>74</v>
      </c>
      <c r="AT901" s="2" t="s">
        <v>255</v>
      </c>
      <c r="AU901" s="2">
        <v>2015</v>
      </c>
      <c r="AV901" s="2">
        <v>132</v>
      </c>
      <c r="AW901" s="2">
        <v>1</v>
      </c>
      <c r="AX901" s="2" t="s">
        <v>74</v>
      </c>
      <c r="AY901" s="2" t="s">
        <v>74</v>
      </c>
      <c r="AZ901" s="2" t="s">
        <v>74</v>
      </c>
      <c r="BA901" s="2" t="s">
        <v>74</v>
      </c>
      <c r="BB901" s="2">
        <v>92</v>
      </c>
      <c r="BC901" s="2">
        <v>104</v>
      </c>
      <c r="BD901" s="2" t="s">
        <v>74</v>
      </c>
      <c r="BE901" s="2" t="s">
        <v>1459</v>
      </c>
      <c r="BF901" s="2" t="str">
        <f>HYPERLINK("http://dx.doi.org/10.1642/AUK-14-103.1","http://dx.doi.org/10.1642/AUK-14-103.1")</f>
        <v>http://dx.doi.org/10.1642/AUK-14-103.1</v>
      </c>
      <c r="BG901" s="2" t="s">
        <v>74</v>
      </c>
      <c r="BH901" s="2" t="s">
        <v>74</v>
      </c>
      <c r="BI901" s="2" t="s">
        <v>74</v>
      </c>
      <c r="BJ901" s="2" t="s">
        <v>74</v>
      </c>
      <c r="BK901" s="2" t="s">
        <v>74</v>
      </c>
      <c r="BL901" s="2" t="s">
        <v>74</v>
      </c>
      <c r="BM901" s="2" t="s">
        <v>74</v>
      </c>
      <c r="BN901" s="2" t="s">
        <v>74</v>
      </c>
      <c r="BO901" s="2" t="s">
        <v>74</v>
      </c>
      <c r="BP901" s="2" t="s">
        <v>74</v>
      </c>
      <c r="BQ901" s="2" t="s">
        <v>74</v>
      </c>
      <c r="BR901" s="2" t="s">
        <v>74</v>
      </c>
      <c r="BS901" s="2" t="s">
        <v>1460</v>
      </c>
      <c r="BT901" s="2" t="str">
        <f>HYPERLINK("https%3A%2F%2Fwww.webofscience.com%2Fwos%2Fwoscc%2Ffull-record%2FWOS:000347799300010","View Full Record in Web of Science")</f>
        <v>View Full Record in Web of Science</v>
      </c>
    </row>
    <row r="902" spans="1:72" s="2" customFormat="1" x14ac:dyDescent="0.4">
      <c r="A902" s="2" t="s">
        <v>72</v>
      </c>
      <c r="B902" s="2" t="s">
        <v>2255</v>
      </c>
      <c r="C902" s="2" t="s">
        <v>74</v>
      </c>
      <c r="D902" s="2" t="s">
        <v>74</v>
      </c>
      <c r="E902" s="2" t="s">
        <v>74</v>
      </c>
      <c r="F902" s="2" t="s">
        <v>2255</v>
      </c>
      <c r="G902" s="2" t="s">
        <v>74</v>
      </c>
      <c r="H902" s="2" t="s">
        <v>74</v>
      </c>
      <c r="I902" s="2" t="s">
        <v>2256</v>
      </c>
      <c r="J902" s="2" t="s">
        <v>2257</v>
      </c>
      <c r="K902" s="2" t="s">
        <v>74</v>
      </c>
      <c r="L902" s="2" t="s">
        <v>74</v>
      </c>
      <c r="M902" s="2" t="s">
        <v>74</v>
      </c>
      <c r="N902" s="2" t="s">
        <v>74</v>
      </c>
      <c r="O902" s="2" t="s">
        <v>74</v>
      </c>
      <c r="P902" s="2" t="s">
        <v>74</v>
      </c>
      <c r="Q902" s="2" t="s">
        <v>74</v>
      </c>
      <c r="R902" s="2" t="s">
        <v>74</v>
      </c>
      <c r="S902" s="2" t="s">
        <v>74</v>
      </c>
      <c r="T902" s="2" t="s">
        <v>74</v>
      </c>
      <c r="U902" s="2" t="s">
        <v>74</v>
      </c>
      <c r="V902" s="5" t="s">
        <v>2258</v>
      </c>
      <c r="W902" s="2" t="s">
        <v>74</v>
      </c>
      <c r="X902" s="2" t="s">
        <v>74</v>
      </c>
      <c r="Y902" s="2" t="s">
        <v>74</v>
      </c>
      <c r="Z902" s="2" t="s">
        <v>74</v>
      </c>
      <c r="AA902" s="2" t="s">
        <v>2259</v>
      </c>
      <c r="AB902" s="2" t="s">
        <v>2260</v>
      </c>
      <c r="AC902" s="2" t="s">
        <v>74</v>
      </c>
      <c r="AD902" s="2" t="s">
        <v>74</v>
      </c>
      <c r="AE902" s="2" t="s">
        <v>74</v>
      </c>
      <c r="AF902" s="2" t="s">
        <v>74</v>
      </c>
      <c r="AG902" s="2" t="s">
        <v>74</v>
      </c>
      <c r="AH902" s="2" t="s">
        <v>74</v>
      </c>
      <c r="AI902" s="2" t="s">
        <v>74</v>
      </c>
      <c r="AJ902" s="2" t="s">
        <v>74</v>
      </c>
      <c r="AK902" s="2" t="s">
        <v>74</v>
      </c>
      <c r="AL902" s="2" t="s">
        <v>74</v>
      </c>
      <c r="AM902" s="2" t="s">
        <v>74</v>
      </c>
      <c r="AN902" s="2" t="s">
        <v>74</v>
      </c>
      <c r="AO902" s="2" t="s">
        <v>2261</v>
      </c>
      <c r="AP902" s="2" t="s">
        <v>74</v>
      </c>
      <c r="AQ902" s="2" t="s">
        <v>74</v>
      </c>
      <c r="AR902" s="2" t="s">
        <v>74</v>
      </c>
      <c r="AS902" s="2" t="s">
        <v>74</v>
      </c>
      <c r="AT902" s="2" t="s">
        <v>74</v>
      </c>
      <c r="AU902" s="2">
        <v>2000</v>
      </c>
      <c r="AV902" s="2">
        <v>77</v>
      </c>
      <c r="AW902" s="2">
        <v>1</v>
      </c>
      <c r="AX902" s="2" t="s">
        <v>74</v>
      </c>
      <c r="AY902" s="2" t="s">
        <v>74</v>
      </c>
      <c r="AZ902" s="2" t="s">
        <v>74</v>
      </c>
      <c r="BA902" s="2" t="s">
        <v>74</v>
      </c>
      <c r="BB902" s="2">
        <v>11</v>
      </c>
      <c r="BC902" s="2">
        <v>16</v>
      </c>
      <c r="BD902" s="2" t="s">
        <v>74</v>
      </c>
      <c r="BE902" s="2" t="s">
        <v>74</v>
      </c>
      <c r="BF902" s="2" t="s">
        <v>74</v>
      </c>
      <c r="BG902" s="2" t="s">
        <v>74</v>
      </c>
      <c r="BH902" s="2" t="s">
        <v>74</v>
      </c>
      <c r="BI902" s="2" t="s">
        <v>74</v>
      </c>
      <c r="BJ902" s="2" t="s">
        <v>74</v>
      </c>
      <c r="BK902" s="2" t="s">
        <v>74</v>
      </c>
      <c r="BL902" s="2" t="s">
        <v>74</v>
      </c>
      <c r="BM902" s="2" t="s">
        <v>74</v>
      </c>
      <c r="BN902" s="2" t="s">
        <v>74</v>
      </c>
      <c r="BO902" s="2" t="s">
        <v>74</v>
      </c>
      <c r="BP902" s="2" t="s">
        <v>74</v>
      </c>
      <c r="BQ902" s="2" t="s">
        <v>74</v>
      </c>
      <c r="BR902" s="2" t="s">
        <v>74</v>
      </c>
      <c r="BS902" s="2" t="s">
        <v>2262</v>
      </c>
      <c r="BT902" s="2" t="str">
        <f>HYPERLINK("https%3A%2F%2Fwww.webofscience.com%2Fwos%2Fwoscc%2Ffull-record%2FWOS:000086364000002","View Full Record in Web of Science")</f>
        <v>View Full Record in Web of Science</v>
      </c>
    </row>
    <row r="903" spans="1:72" s="1" customFormat="1" x14ac:dyDescent="0.4">
      <c r="A903" s="2" t="s">
        <v>72</v>
      </c>
      <c r="B903" s="2" t="s">
        <v>6073</v>
      </c>
      <c r="C903" s="2" t="s">
        <v>74</v>
      </c>
      <c r="D903" s="2" t="s">
        <v>74</v>
      </c>
      <c r="E903" s="2" t="s">
        <v>74</v>
      </c>
      <c r="F903" s="2" t="s">
        <v>6074</v>
      </c>
      <c r="G903" s="2" t="s">
        <v>74</v>
      </c>
      <c r="H903" s="2" t="s">
        <v>74</v>
      </c>
      <c r="I903" s="2" t="s">
        <v>6075</v>
      </c>
      <c r="J903" s="2" t="s">
        <v>610</v>
      </c>
      <c r="K903" s="2" t="s">
        <v>74</v>
      </c>
      <c r="L903" s="2" t="s">
        <v>74</v>
      </c>
      <c r="M903" s="2" t="s">
        <v>74</v>
      </c>
      <c r="N903" s="2" t="s">
        <v>74</v>
      </c>
      <c r="O903" s="2" t="s">
        <v>74</v>
      </c>
      <c r="P903" s="2" t="s">
        <v>74</v>
      </c>
      <c r="Q903" s="2" t="s">
        <v>74</v>
      </c>
      <c r="R903" s="2" t="s">
        <v>74</v>
      </c>
      <c r="S903" s="2" t="s">
        <v>74</v>
      </c>
      <c r="T903" s="2" t="s">
        <v>74</v>
      </c>
      <c r="U903" s="2" t="s">
        <v>74</v>
      </c>
      <c r="V903" s="5" t="s">
        <v>6076</v>
      </c>
      <c r="W903" s="2" t="s">
        <v>74</v>
      </c>
      <c r="X903" s="2" t="s">
        <v>74</v>
      </c>
      <c r="Y903" s="2" t="s">
        <v>74</v>
      </c>
      <c r="Z903" s="2" t="s">
        <v>74</v>
      </c>
      <c r="AA903" s="2" t="s">
        <v>6077</v>
      </c>
      <c r="AB903" s="2" t="s">
        <v>6078</v>
      </c>
      <c r="AC903" s="2" t="s">
        <v>74</v>
      </c>
      <c r="AD903" s="2" t="s">
        <v>74</v>
      </c>
      <c r="AE903" s="2" t="s">
        <v>74</v>
      </c>
      <c r="AF903" s="2" t="s">
        <v>74</v>
      </c>
      <c r="AG903" s="2" t="s">
        <v>74</v>
      </c>
      <c r="AH903" s="2" t="s">
        <v>74</v>
      </c>
      <c r="AI903" s="2" t="s">
        <v>74</v>
      </c>
      <c r="AJ903" s="2" t="s">
        <v>74</v>
      </c>
      <c r="AK903" s="2" t="s">
        <v>74</v>
      </c>
      <c r="AL903" s="2" t="s">
        <v>74</v>
      </c>
      <c r="AM903" s="2" t="s">
        <v>74</v>
      </c>
      <c r="AN903" s="2" t="s">
        <v>74</v>
      </c>
      <c r="AO903" s="2" t="s">
        <v>614</v>
      </c>
      <c r="AP903" s="2" t="s">
        <v>615</v>
      </c>
      <c r="AQ903" s="2" t="s">
        <v>74</v>
      </c>
      <c r="AR903" s="2" t="s">
        <v>74</v>
      </c>
      <c r="AS903" s="2" t="s">
        <v>74</v>
      </c>
      <c r="AT903" s="2" t="s">
        <v>964</v>
      </c>
      <c r="AU903" s="2">
        <v>2019</v>
      </c>
      <c r="AV903" s="2">
        <v>125</v>
      </c>
      <c r="AW903" s="2">
        <v>2</v>
      </c>
      <c r="AX903" s="2" t="s">
        <v>74</v>
      </c>
      <c r="AY903" s="2" t="s">
        <v>74</v>
      </c>
      <c r="AZ903" s="2" t="s">
        <v>74</v>
      </c>
      <c r="BA903" s="2" t="s">
        <v>74</v>
      </c>
      <c r="BB903" s="2">
        <v>106</v>
      </c>
      <c r="BC903" s="2">
        <v>113</v>
      </c>
      <c r="BD903" s="2" t="s">
        <v>74</v>
      </c>
      <c r="BE903" s="2" t="s">
        <v>6079</v>
      </c>
      <c r="BF903" s="2" t="str">
        <f>HYPERLINK("http://dx.doi.org/10.1111/eth.12835","http://dx.doi.org/10.1111/eth.12835")</f>
        <v>http://dx.doi.org/10.1111/eth.12835</v>
      </c>
      <c r="BG903" s="2" t="s">
        <v>74</v>
      </c>
      <c r="BH903" s="2" t="s">
        <v>74</v>
      </c>
      <c r="BI903" s="2" t="s">
        <v>74</v>
      </c>
      <c r="BJ903" s="2" t="s">
        <v>74</v>
      </c>
      <c r="BK903" s="2" t="s">
        <v>74</v>
      </c>
      <c r="BL903" s="2" t="s">
        <v>74</v>
      </c>
      <c r="BM903" s="2" t="s">
        <v>74</v>
      </c>
      <c r="BN903" s="2" t="s">
        <v>74</v>
      </c>
      <c r="BO903" s="2" t="s">
        <v>74</v>
      </c>
      <c r="BP903" s="2" t="s">
        <v>74</v>
      </c>
      <c r="BQ903" s="2" t="s">
        <v>74</v>
      </c>
      <c r="BR903" s="2" t="s">
        <v>74</v>
      </c>
      <c r="BS903" s="2" t="s">
        <v>6080</v>
      </c>
      <c r="BT903" s="2" t="str">
        <f>HYPERLINK("https%3A%2F%2Fwww.webofscience.com%2Fwos%2Fwoscc%2Ffull-record%2FWOS:000455963400005","View Full Record in Web of Science")</f>
        <v>View Full Record in Web of Science</v>
      </c>
    </row>
    <row r="904" spans="1:72" s="2" customFormat="1" x14ac:dyDescent="0.4">
      <c r="A904" s="2" t="s">
        <v>72</v>
      </c>
      <c r="B904" s="2" t="s">
        <v>8760</v>
      </c>
      <c r="C904" s="2" t="s">
        <v>74</v>
      </c>
      <c r="D904" s="2" t="s">
        <v>74</v>
      </c>
      <c r="E904" s="2" t="s">
        <v>74</v>
      </c>
      <c r="F904" s="2" t="s">
        <v>8761</v>
      </c>
      <c r="G904" s="2" t="s">
        <v>74</v>
      </c>
      <c r="H904" s="2" t="s">
        <v>74</v>
      </c>
      <c r="I904" s="2" t="s">
        <v>8762</v>
      </c>
      <c r="J904" s="2" t="s">
        <v>119</v>
      </c>
      <c r="K904" s="2" t="s">
        <v>74</v>
      </c>
      <c r="L904" s="2" t="s">
        <v>74</v>
      </c>
      <c r="M904" s="2" t="s">
        <v>74</v>
      </c>
      <c r="N904" s="2" t="s">
        <v>74</v>
      </c>
      <c r="O904" s="2" t="s">
        <v>74</v>
      </c>
      <c r="P904" s="2" t="s">
        <v>74</v>
      </c>
      <c r="Q904" s="2" t="s">
        <v>74</v>
      </c>
      <c r="R904" s="2" t="s">
        <v>74</v>
      </c>
      <c r="S904" s="2" t="s">
        <v>74</v>
      </c>
      <c r="T904" s="2" t="s">
        <v>74</v>
      </c>
      <c r="U904" s="2" t="s">
        <v>74</v>
      </c>
      <c r="V904" s="5" t="s">
        <v>8763</v>
      </c>
      <c r="W904" s="2" t="s">
        <v>74</v>
      </c>
      <c r="X904" s="2" t="s">
        <v>74</v>
      </c>
      <c r="Y904" s="2" t="s">
        <v>74</v>
      </c>
      <c r="Z904" s="2" t="s">
        <v>74</v>
      </c>
      <c r="AA904" s="2" t="s">
        <v>8764</v>
      </c>
      <c r="AB904" s="2" t="s">
        <v>8765</v>
      </c>
      <c r="AC904" s="2" t="s">
        <v>74</v>
      </c>
      <c r="AD904" s="2" t="s">
        <v>74</v>
      </c>
      <c r="AE904" s="2" t="s">
        <v>74</v>
      </c>
      <c r="AF904" s="2" t="s">
        <v>74</v>
      </c>
      <c r="AG904" s="2" t="s">
        <v>74</v>
      </c>
      <c r="AH904" s="2" t="s">
        <v>74</v>
      </c>
      <c r="AI904" s="2" t="s">
        <v>74</v>
      </c>
      <c r="AJ904" s="2" t="s">
        <v>74</v>
      </c>
      <c r="AK904" s="2" t="s">
        <v>74</v>
      </c>
      <c r="AL904" s="2" t="s">
        <v>74</v>
      </c>
      <c r="AM904" s="2" t="s">
        <v>74</v>
      </c>
      <c r="AN904" s="2" t="s">
        <v>74</v>
      </c>
      <c r="AO904" s="2" t="s">
        <v>121</v>
      </c>
      <c r="AP904" s="2" t="s">
        <v>122</v>
      </c>
      <c r="AQ904" s="2" t="s">
        <v>74</v>
      </c>
      <c r="AR904" s="2" t="s">
        <v>74</v>
      </c>
      <c r="AS904" s="2" t="s">
        <v>74</v>
      </c>
      <c r="AT904" s="2" t="s">
        <v>352</v>
      </c>
      <c r="AU904" s="2">
        <v>2009</v>
      </c>
      <c r="AV904" s="2">
        <v>82</v>
      </c>
      <c r="AW904" s="2">
        <v>1</v>
      </c>
      <c r="AX904" s="2" t="s">
        <v>74</v>
      </c>
      <c r="AY904" s="2" t="s">
        <v>74</v>
      </c>
      <c r="AZ904" s="2" t="s">
        <v>74</v>
      </c>
      <c r="BA904" s="2" t="s">
        <v>74</v>
      </c>
      <c r="BB904" s="2">
        <v>25</v>
      </c>
      <c r="BC904" s="2">
        <v>29</v>
      </c>
      <c r="BD904" s="2" t="s">
        <v>74</v>
      </c>
      <c r="BE904" s="2" t="s">
        <v>8766</v>
      </c>
      <c r="BF904" s="2" t="str">
        <f>HYPERLINK("http://dx.doi.org/10.1016/j.beproc.2009.03.005","http://dx.doi.org/10.1016/j.beproc.2009.03.005")</f>
        <v>http://dx.doi.org/10.1016/j.beproc.2009.03.005</v>
      </c>
      <c r="BG904" s="2" t="s">
        <v>74</v>
      </c>
      <c r="BH904" s="2" t="s">
        <v>74</v>
      </c>
      <c r="BI904" s="2" t="s">
        <v>74</v>
      </c>
      <c r="BJ904" s="2" t="s">
        <v>74</v>
      </c>
      <c r="BK904" s="2" t="s">
        <v>74</v>
      </c>
      <c r="BL904" s="2" t="s">
        <v>74</v>
      </c>
      <c r="BM904" s="2" t="s">
        <v>74</v>
      </c>
      <c r="BN904" s="2">
        <v>19615612</v>
      </c>
      <c r="BO904" s="2" t="s">
        <v>74</v>
      </c>
      <c r="BP904" s="2" t="s">
        <v>74</v>
      </c>
      <c r="BQ904" s="2" t="s">
        <v>74</v>
      </c>
      <c r="BR904" s="2" t="s">
        <v>74</v>
      </c>
      <c r="BS904" s="2" t="s">
        <v>8767</v>
      </c>
      <c r="BT904" s="2" t="str">
        <f>HYPERLINK("https%3A%2F%2Fwww.webofscience.com%2Fwos%2Fwoscc%2Ffull-record%2FWOS:000268954900005","View Full Record in Web of Science")</f>
        <v>View Full Record in Web of Science</v>
      </c>
    </row>
    <row r="905" spans="1:72" s="2" customFormat="1" x14ac:dyDescent="0.4">
      <c r="A905" s="2" t="s">
        <v>72</v>
      </c>
      <c r="B905" s="2" t="s">
        <v>8107</v>
      </c>
      <c r="C905" s="2" t="s">
        <v>74</v>
      </c>
      <c r="D905" s="2" t="s">
        <v>74</v>
      </c>
      <c r="E905" s="2" t="s">
        <v>74</v>
      </c>
      <c r="F905" s="2" t="s">
        <v>8108</v>
      </c>
      <c r="G905" s="2" t="s">
        <v>74</v>
      </c>
      <c r="H905" s="2" t="s">
        <v>74</v>
      </c>
      <c r="I905" s="2" t="s">
        <v>8109</v>
      </c>
      <c r="J905" s="2" t="s">
        <v>763</v>
      </c>
      <c r="K905" s="2" t="s">
        <v>74</v>
      </c>
      <c r="L905" s="2" t="s">
        <v>74</v>
      </c>
      <c r="M905" s="2" t="s">
        <v>74</v>
      </c>
      <c r="N905" s="2" t="s">
        <v>74</v>
      </c>
      <c r="O905" s="2" t="s">
        <v>74</v>
      </c>
      <c r="P905" s="2" t="s">
        <v>74</v>
      </c>
      <c r="Q905" s="2" t="s">
        <v>74</v>
      </c>
      <c r="R905" s="2" t="s">
        <v>74</v>
      </c>
      <c r="S905" s="2" t="s">
        <v>74</v>
      </c>
      <c r="T905" s="2" t="s">
        <v>74</v>
      </c>
      <c r="U905" s="2" t="s">
        <v>74</v>
      </c>
      <c r="V905" s="5" t="s">
        <v>8110</v>
      </c>
      <c r="W905" s="2" t="s">
        <v>74</v>
      </c>
      <c r="X905" s="2" t="s">
        <v>74</v>
      </c>
      <c r="Y905" s="2" t="s">
        <v>74</v>
      </c>
      <c r="Z905" s="2" t="s">
        <v>74</v>
      </c>
      <c r="AA905" s="2" t="s">
        <v>8111</v>
      </c>
      <c r="AB905" s="2" t="s">
        <v>3649</v>
      </c>
      <c r="AC905" s="2" t="s">
        <v>74</v>
      </c>
      <c r="AD905" s="2" t="s">
        <v>74</v>
      </c>
      <c r="AE905" s="2" t="s">
        <v>74</v>
      </c>
      <c r="AF905" s="2" t="s">
        <v>74</v>
      </c>
      <c r="AG905" s="2" t="s">
        <v>74</v>
      </c>
      <c r="AH905" s="2" t="s">
        <v>74</v>
      </c>
      <c r="AI905" s="2" t="s">
        <v>74</v>
      </c>
      <c r="AJ905" s="2" t="s">
        <v>74</v>
      </c>
      <c r="AK905" s="2" t="s">
        <v>74</v>
      </c>
      <c r="AL905" s="2" t="s">
        <v>74</v>
      </c>
      <c r="AM905" s="2" t="s">
        <v>74</v>
      </c>
      <c r="AN905" s="2" t="s">
        <v>74</v>
      </c>
      <c r="AO905" s="2" t="s">
        <v>767</v>
      </c>
      <c r="AP905" s="2" t="s">
        <v>768</v>
      </c>
      <c r="AQ905" s="2" t="s">
        <v>74</v>
      </c>
      <c r="AR905" s="2" t="s">
        <v>74</v>
      </c>
      <c r="AS905" s="2" t="s">
        <v>74</v>
      </c>
      <c r="AT905" s="2" t="s">
        <v>352</v>
      </c>
      <c r="AU905" s="2">
        <v>2014</v>
      </c>
      <c r="AV905" s="2">
        <v>217</v>
      </c>
      <c r="AW905" s="2">
        <v>18</v>
      </c>
      <c r="AX905" s="2" t="s">
        <v>74</v>
      </c>
      <c r="AY905" s="2" t="s">
        <v>74</v>
      </c>
      <c r="AZ905" s="2" t="s">
        <v>74</v>
      </c>
      <c r="BA905" s="2" t="s">
        <v>74</v>
      </c>
      <c r="BB905" s="2">
        <v>3254</v>
      </c>
      <c r="BC905" s="2">
        <v>3262</v>
      </c>
      <c r="BD905" s="2" t="s">
        <v>74</v>
      </c>
      <c r="BE905" s="2" t="s">
        <v>8112</v>
      </c>
      <c r="BF905" s="2" t="str">
        <f>HYPERLINK("http://dx.doi.org/10.1242/jeb.106666","http://dx.doi.org/10.1242/jeb.106666")</f>
        <v>http://dx.doi.org/10.1242/jeb.106666</v>
      </c>
      <c r="BG905" s="2" t="s">
        <v>74</v>
      </c>
      <c r="BH905" s="2" t="s">
        <v>74</v>
      </c>
      <c r="BI905" s="2" t="s">
        <v>74</v>
      </c>
      <c r="BJ905" s="2" t="s">
        <v>74</v>
      </c>
      <c r="BK905" s="2" t="s">
        <v>74</v>
      </c>
      <c r="BL905" s="2" t="s">
        <v>74</v>
      </c>
      <c r="BM905" s="2" t="s">
        <v>74</v>
      </c>
      <c r="BN905" s="2">
        <v>25013111</v>
      </c>
      <c r="BO905" s="2" t="s">
        <v>74</v>
      </c>
      <c r="BP905" s="2" t="s">
        <v>74</v>
      </c>
      <c r="BQ905" s="2" t="s">
        <v>74</v>
      </c>
      <c r="BR905" s="2" t="s">
        <v>74</v>
      </c>
      <c r="BS905" s="2" t="s">
        <v>8113</v>
      </c>
      <c r="BT905" s="2" t="str">
        <f>HYPERLINK("https%3A%2F%2Fwww.webofscience.com%2Fwos%2Fwoscc%2Ffull-record%2FWOS:000342506100016","View Full Record in Web of Science")</f>
        <v>View Full Record in Web of Science</v>
      </c>
    </row>
    <row r="906" spans="1:72" s="2" customFormat="1" x14ac:dyDescent="0.4">
      <c r="A906" s="2" t="s">
        <v>72</v>
      </c>
      <c r="B906" s="2" t="s">
        <v>6804</v>
      </c>
      <c r="C906" s="2" t="s">
        <v>74</v>
      </c>
      <c r="D906" s="2" t="s">
        <v>74</v>
      </c>
      <c r="E906" s="2" t="s">
        <v>74</v>
      </c>
      <c r="F906" s="2" t="s">
        <v>6805</v>
      </c>
      <c r="G906" s="2" t="s">
        <v>74</v>
      </c>
      <c r="H906" s="2" t="s">
        <v>74</v>
      </c>
      <c r="I906" s="2" t="s">
        <v>6806</v>
      </c>
      <c r="J906" s="2" t="s">
        <v>1743</v>
      </c>
      <c r="K906" s="2" t="s">
        <v>74</v>
      </c>
      <c r="L906" s="2" t="s">
        <v>74</v>
      </c>
      <c r="M906" s="2" t="s">
        <v>74</v>
      </c>
      <c r="N906" s="2" t="s">
        <v>74</v>
      </c>
      <c r="O906" s="2" t="s">
        <v>74</v>
      </c>
      <c r="P906" s="2" t="s">
        <v>74</v>
      </c>
      <c r="Q906" s="2" t="s">
        <v>74</v>
      </c>
      <c r="R906" s="2" t="s">
        <v>74</v>
      </c>
      <c r="S906" s="2" t="s">
        <v>74</v>
      </c>
      <c r="T906" s="2" t="s">
        <v>74</v>
      </c>
      <c r="U906" s="2" t="s">
        <v>74</v>
      </c>
      <c r="V906" s="5" t="s">
        <v>6807</v>
      </c>
      <c r="W906" s="2" t="s">
        <v>74</v>
      </c>
      <c r="X906" s="2" t="s">
        <v>74</v>
      </c>
      <c r="Y906" s="2" t="s">
        <v>74</v>
      </c>
      <c r="Z906" s="2" t="s">
        <v>74</v>
      </c>
      <c r="AA906" s="2" t="s">
        <v>6808</v>
      </c>
      <c r="AB906" s="2" t="s">
        <v>74</v>
      </c>
      <c r="AC906" s="2" t="s">
        <v>74</v>
      </c>
      <c r="AD906" s="2" t="s">
        <v>74</v>
      </c>
      <c r="AE906" s="2" t="s">
        <v>74</v>
      </c>
      <c r="AF906" s="2" t="s">
        <v>74</v>
      </c>
      <c r="AG906" s="2" t="s">
        <v>74</v>
      </c>
      <c r="AH906" s="2" t="s">
        <v>74</v>
      </c>
      <c r="AI906" s="2" t="s">
        <v>74</v>
      </c>
      <c r="AJ906" s="2" t="s">
        <v>74</v>
      </c>
      <c r="AK906" s="2" t="s">
        <v>74</v>
      </c>
      <c r="AL906" s="2" t="s">
        <v>74</v>
      </c>
      <c r="AM906" s="2" t="s">
        <v>74</v>
      </c>
      <c r="AN906" s="2" t="s">
        <v>74</v>
      </c>
      <c r="AO906" s="2" t="s">
        <v>1746</v>
      </c>
      <c r="AP906" s="2" t="s">
        <v>74</v>
      </c>
      <c r="AQ906" s="2" t="s">
        <v>74</v>
      </c>
      <c r="AR906" s="2" t="s">
        <v>74</v>
      </c>
      <c r="AS906" s="2" t="s">
        <v>74</v>
      </c>
      <c r="AT906" s="2" t="s">
        <v>352</v>
      </c>
      <c r="AU906" s="2">
        <v>2006</v>
      </c>
      <c r="AV906" s="2">
        <v>23</v>
      </c>
      <c r="AW906" s="2">
        <v>9</v>
      </c>
      <c r="AX906" s="2" t="s">
        <v>74</v>
      </c>
      <c r="AY906" s="2" t="s">
        <v>74</v>
      </c>
      <c r="AZ906" s="2" t="s">
        <v>74</v>
      </c>
      <c r="BA906" s="2" t="s">
        <v>74</v>
      </c>
      <c r="BB906" s="2">
        <v>755</v>
      </c>
      <c r="BC906" s="2">
        <v>761</v>
      </c>
      <c r="BD906" s="2" t="s">
        <v>74</v>
      </c>
      <c r="BE906" s="2" t="s">
        <v>6809</v>
      </c>
      <c r="BF906" s="2" t="str">
        <f>HYPERLINK("http://dx.doi.org/10.2108/zsj.23.755","http://dx.doi.org/10.2108/zsj.23.755")</f>
        <v>http://dx.doi.org/10.2108/zsj.23.755</v>
      </c>
      <c r="BG906" s="2" t="s">
        <v>74</v>
      </c>
      <c r="BH906" s="2" t="s">
        <v>74</v>
      </c>
      <c r="BI906" s="2" t="s">
        <v>74</v>
      </c>
      <c r="BJ906" s="2" t="s">
        <v>74</v>
      </c>
      <c r="BK906" s="2" t="s">
        <v>74</v>
      </c>
      <c r="BL906" s="2" t="s">
        <v>74</v>
      </c>
      <c r="BM906" s="2" t="s">
        <v>74</v>
      </c>
      <c r="BN906" s="2">
        <v>17043397</v>
      </c>
      <c r="BO906" s="2" t="s">
        <v>74</v>
      </c>
      <c r="BP906" s="2" t="s">
        <v>74</v>
      </c>
      <c r="BQ906" s="2" t="s">
        <v>74</v>
      </c>
      <c r="BR906" s="2" t="s">
        <v>74</v>
      </c>
      <c r="BS906" s="2" t="s">
        <v>6810</v>
      </c>
      <c r="BT906" s="2" t="str">
        <f>HYPERLINK("https%3A%2F%2Fwww.webofscience.com%2Fwos%2Fwoscc%2Ffull-record%2FWOS:000243556800002","View Full Record in Web of Science")</f>
        <v>View Full Record in Web of Science</v>
      </c>
    </row>
    <row r="907" spans="1:72" s="2" customFormat="1" x14ac:dyDescent="0.4">
      <c r="A907" s="2" t="s">
        <v>72</v>
      </c>
      <c r="B907" s="2" t="s">
        <v>8526</v>
      </c>
      <c r="C907" s="2" t="s">
        <v>74</v>
      </c>
      <c r="D907" s="2" t="s">
        <v>74</v>
      </c>
      <c r="E907" s="2" t="s">
        <v>74</v>
      </c>
      <c r="F907" s="2" t="s">
        <v>8527</v>
      </c>
      <c r="G907" s="2" t="s">
        <v>74</v>
      </c>
      <c r="H907" s="2" t="s">
        <v>74</v>
      </c>
      <c r="I907" s="2" t="s">
        <v>8528</v>
      </c>
      <c r="J907" s="2" t="s">
        <v>129</v>
      </c>
      <c r="K907" s="2" t="s">
        <v>74</v>
      </c>
      <c r="L907" s="2" t="s">
        <v>74</v>
      </c>
      <c r="M907" s="2" t="s">
        <v>74</v>
      </c>
      <c r="N907" s="2" t="s">
        <v>74</v>
      </c>
      <c r="O907" s="2" t="s">
        <v>74</v>
      </c>
      <c r="P907" s="2" t="s">
        <v>74</v>
      </c>
      <c r="Q907" s="2" t="s">
        <v>74</v>
      </c>
      <c r="R907" s="2" t="s">
        <v>74</v>
      </c>
      <c r="S907" s="2" t="s">
        <v>74</v>
      </c>
      <c r="T907" s="2" t="s">
        <v>74</v>
      </c>
      <c r="U907" s="2" t="s">
        <v>74</v>
      </c>
      <c r="V907" s="5" t="s">
        <v>8529</v>
      </c>
      <c r="W907" s="2" t="s">
        <v>74</v>
      </c>
      <c r="X907" s="2" t="s">
        <v>74</v>
      </c>
      <c r="Y907" s="2" t="s">
        <v>74</v>
      </c>
      <c r="Z907" s="2" t="s">
        <v>74</v>
      </c>
      <c r="AA907" s="2" t="s">
        <v>8530</v>
      </c>
      <c r="AB907" s="2" t="s">
        <v>8531</v>
      </c>
      <c r="AC907" s="2" t="s">
        <v>74</v>
      </c>
      <c r="AD907" s="2" t="s">
        <v>74</v>
      </c>
      <c r="AE907" s="2" t="s">
        <v>74</v>
      </c>
      <c r="AF907" s="2" t="s">
        <v>74</v>
      </c>
      <c r="AG907" s="2" t="s">
        <v>74</v>
      </c>
      <c r="AH907" s="2" t="s">
        <v>74</v>
      </c>
      <c r="AI907" s="2" t="s">
        <v>74</v>
      </c>
      <c r="AJ907" s="2" t="s">
        <v>74</v>
      </c>
      <c r="AK907" s="2" t="s">
        <v>74</v>
      </c>
      <c r="AL907" s="2" t="s">
        <v>74</v>
      </c>
      <c r="AM907" s="2" t="s">
        <v>74</v>
      </c>
      <c r="AN907" s="2" t="s">
        <v>74</v>
      </c>
      <c r="AO907" s="2" t="s">
        <v>132</v>
      </c>
      <c r="AP907" s="2" t="s">
        <v>133</v>
      </c>
      <c r="AQ907" s="2" t="s">
        <v>74</v>
      </c>
      <c r="AR907" s="2" t="s">
        <v>74</v>
      </c>
      <c r="AS907" s="2" t="s">
        <v>74</v>
      </c>
      <c r="AT907" s="2" t="s">
        <v>213</v>
      </c>
      <c r="AU907" s="2">
        <v>2010</v>
      </c>
      <c r="AV907" s="2">
        <v>64</v>
      </c>
      <c r="AW907" s="2">
        <v>11</v>
      </c>
      <c r="AX907" s="2" t="s">
        <v>74</v>
      </c>
      <c r="AY907" s="2" t="s">
        <v>74</v>
      </c>
      <c r="AZ907" s="2" t="s">
        <v>74</v>
      </c>
      <c r="BA907" s="2" t="s">
        <v>74</v>
      </c>
      <c r="BB907" s="2">
        <v>1839</v>
      </c>
      <c r="BC907" s="2">
        <v>1847</v>
      </c>
      <c r="BD907" s="2" t="s">
        <v>74</v>
      </c>
      <c r="BE907" s="2" t="s">
        <v>8532</v>
      </c>
      <c r="BF907" s="2" t="str">
        <f>HYPERLINK("http://dx.doi.org/10.1007/s00265-010-0995-z","http://dx.doi.org/10.1007/s00265-010-0995-z")</f>
        <v>http://dx.doi.org/10.1007/s00265-010-0995-z</v>
      </c>
      <c r="BG907" s="2" t="s">
        <v>74</v>
      </c>
      <c r="BH907" s="2" t="s">
        <v>74</v>
      </c>
      <c r="BI907" s="2" t="s">
        <v>74</v>
      </c>
      <c r="BJ907" s="2" t="s">
        <v>74</v>
      </c>
      <c r="BK907" s="2" t="s">
        <v>74</v>
      </c>
      <c r="BL907" s="2" t="s">
        <v>74</v>
      </c>
      <c r="BM907" s="2" t="s">
        <v>74</v>
      </c>
      <c r="BN907" s="2" t="s">
        <v>74</v>
      </c>
      <c r="BO907" s="2" t="s">
        <v>74</v>
      </c>
      <c r="BP907" s="2" t="s">
        <v>74</v>
      </c>
      <c r="BQ907" s="2" t="s">
        <v>74</v>
      </c>
      <c r="BR907" s="2" t="s">
        <v>74</v>
      </c>
      <c r="BS907" s="2" t="s">
        <v>8533</v>
      </c>
      <c r="BT907" s="2" t="str">
        <f>HYPERLINK("https%3A%2F%2Fwww.webofscience.com%2Fwos%2Fwoscc%2Ffull-record%2FWOS:000282823800011","View Full Record in Web of Science")</f>
        <v>View Full Record in Web of Science</v>
      </c>
    </row>
    <row r="908" spans="1:72" s="2" customFormat="1" x14ac:dyDescent="0.4">
      <c r="A908" s="2" t="s">
        <v>72</v>
      </c>
      <c r="B908" s="2" t="s">
        <v>3267</v>
      </c>
      <c r="C908" s="2" t="s">
        <v>74</v>
      </c>
      <c r="D908" s="2" t="s">
        <v>74</v>
      </c>
      <c r="E908" s="2" t="s">
        <v>74</v>
      </c>
      <c r="F908" s="2" t="s">
        <v>3268</v>
      </c>
      <c r="G908" s="2" t="s">
        <v>74</v>
      </c>
      <c r="H908" s="2" t="s">
        <v>74</v>
      </c>
      <c r="I908" s="2" t="s">
        <v>3269</v>
      </c>
      <c r="J908" s="2" t="s">
        <v>201</v>
      </c>
      <c r="K908" s="2" t="s">
        <v>74</v>
      </c>
      <c r="L908" s="2" t="s">
        <v>74</v>
      </c>
      <c r="M908" s="2" t="s">
        <v>74</v>
      </c>
      <c r="N908" s="2" t="s">
        <v>74</v>
      </c>
      <c r="O908" s="2" t="s">
        <v>74</v>
      </c>
      <c r="P908" s="2" t="s">
        <v>74</v>
      </c>
      <c r="Q908" s="2" t="s">
        <v>74</v>
      </c>
      <c r="R908" s="2" t="s">
        <v>74</v>
      </c>
      <c r="S908" s="2" t="s">
        <v>74</v>
      </c>
      <c r="T908" s="2" t="s">
        <v>74</v>
      </c>
      <c r="U908" s="2" t="s">
        <v>74</v>
      </c>
      <c r="V908" s="5" t="s">
        <v>3270</v>
      </c>
      <c r="W908" s="2" t="s">
        <v>74</v>
      </c>
      <c r="X908" s="2" t="s">
        <v>74</v>
      </c>
      <c r="Y908" s="2" t="s">
        <v>74</v>
      </c>
      <c r="Z908" s="2" t="s">
        <v>74</v>
      </c>
      <c r="AA908" s="2" t="s">
        <v>3271</v>
      </c>
      <c r="AB908" s="2" t="s">
        <v>3272</v>
      </c>
      <c r="AC908" s="2" t="s">
        <v>74</v>
      </c>
      <c r="AD908" s="2" t="s">
        <v>74</v>
      </c>
      <c r="AE908" s="2" t="s">
        <v>74</v>
      </c>
      <c r="AF908" s="2" t="s">
        <v>74</v>
      </c>
      <c r="AG908" s="2" t="s">
        <v>74</v>
      </c>
      <c r="AH908" s="2" t="s">
        <v>74</v>
      </c>
      <c r="AI908" s="2" t="s">
        <v>74</v>
      </c>
      <c r="AJ908" s="2" t="s">
        <v>74</v>
      </c>
      <c r="AK908" s="2" t="s">
        <v>74</v>
      </c>
      <c r="AL908" s="2" t="s">
        <v>74</v>
      </c>
      <c r="AM908" s="2" t="s">
        <v>74</v>
      </c>
      <c r="AN908" s="2" t="s">
        <v>74</v>
      </c>
      <c r="AO908" s="2" t="s">
        <v>203</v>
      </c>
      <c r="AP908" s="2" t="s">
        <v>1192</v>
      </c>
      <c r="AQ908" s="2" t="s">
        <v>74</v>
      </c>
      <c r="AR908" s="2" t="s">
        <v>74</v>
      </c>
      <c r="AS908" s="2" t="s">
        <v>74</v>
      </c>
      <c r="AT908" s="2" t="s">
        <v>123</v>
      </c>
      <c r="AU908" s="2">
        <v>2012</v>
      </c>
      <c r="AV908" s="2">
        <v>80</v>
      </c>
      <c r="AW908" s="2">
        <v>3</v>
      </c>
      <c r="AX908" s="2" t="s">
        <v>74</v>
      </c>
      <c r="AY908" s="2" t="s">
        <v>74</v>
      </c>
      <c r="AZ908" s="2" t="s">
        <v>74</v>
      </c>
      <c r="BA908" s="2" t="s">
        <v>74</v>
      </c>
      <c r="BB908" s="2">
        <v>722</v>
      </c>
      <c r="BC908" s="2">
        <v>727</v>
      </c>
      <c r="BD908" s="2" t="s">
        <v>74</v>
      </c>
      <c r="BE908" s="2" t="s">
        <v>3273</v>
      </c>
      <c r="BF908" s="2" t="str">
        <f>HYPERLINK("http://dx.doi.org/10.1111/j.1095-8649.2011.03212.x","http://dx.doi.org/10.1111/j.1095-8649.2011.03212.x")</f>
        <v>http://dx.doi.org/10.1111/j.1095-8649.2011.03212.x</v>
      </c>
      <c r="BG908" s="2" t="s">
        <v>74</v>
      </c>
      <c r="BH908" s="2" t="s">
        <v>74</v>
      </c>
      <c r="BI908" s="2" t="s">
        <v>74</v>
      </c>
      <c r="BJ908" s="2" t="s">
        <v>74</v>
      </c>
      <c r="BK908" s="2" t="s">
        <v>74</v>
      </c>
      <c r="BL908" s="2" t="s">
        <v>74</v>
      </c>
      <c r="BM908" s="2" t="s">
        <v>74</v>
      </c>
      <c r="BN908" s="2">
        <v>22380566</v>
      </c>
      <c r="BO908" s="2" t="s">
        <v>74</v>
      </c>
      <c r="BP908" s="2" t="s">
        <v>74</v>
      </c>
      <c r="BQ908" s="2" t="s">
        <v>74</v>
      </c>
      <c r="BR908" s="2" t="s">
        <v>74</v>
      </c>
      <c r="BS908" s="2" t="s">
        <v>3274</v>
      </c>
      <c r="BT908" s="2" t="str">
        <f>HYPERLINK("https%3A%2F%2Fwww.webofscience.com%2Fwos%2Fwoscc%2Ffull-record%2FWOS:000300933900019","View Full Record in Web of Science")</f>
        <v>View Full Record in Web of Science</v>
      </c>
    </row>
    <row r="909" spans="1:72" s="2" customFormat="1" x14ac:dyDescent="0.4">
      <c r="A909" s="2" t="s">
        <v>72</v>
      </c>
      <c r="B909" s="2" t="s">
        <v>8318</v>
      </c>
      <c r="C909" s="2" t="s">
        <v>74</v>
      </c>
      <c r="D909" s="2" t="s">
        <v>74</v>
      </c>
      <c r="E909" s="2" t="s">
        <v>74</v>
      </c>
      <c r="F909" s="2" t="s">
        <v>8318</v>
      </c>
      <c r="G909" s="2" t="s">
        <v>74</v>
      </c>
      <c r="H909" s="2" t="s">
        <v>74</v>
      </c>
      <c r="I909" s="2" t="s">
        <v>8319</v>
      </c>
      <c r="J909" s="2" t="s">
        <v>4473</v>
      </c>
      <c r="K909" s="2" t="s">
        <v>74</v>
      </c>
      <c r="L909" s="2" t="s">
        <v>74</v>
      </c>
      <c r="M909" s="2" t="s">
        <v>74</v>
      </c>
      <c r="N909" s="2" t="s">
        <v>74</v>
      </c>
      <c r="O909" s="2" t="s">
        <v>74</v>
      </c>
      <c r="P909" s="2" t="s">
        <v>74</v>
      </c>
      <c r="Q909" s="2" t="s">
        <v>74</v>
      </c>
      <c r="R909" s="2" t="s">
        <v>74</v>
      </c>
      <c r="S909" s="2" t="s">
        <v>74</v>
      </c>
      <c r="T909" s="2" t="s">
        <v>74</v>
      </c>
      <c r="U909" s="2" t="s">
        <v>74</v>
      </c>
      <c r="V909" s="5" t="s">
        <v>8320</v>
      </c>
      <c r="W909" s="2" t="s">
        <v>74</v>
      </c>
      <c r="X909" s="2" t="s">
        <v>74</v>
      </c>
      <c r="Y909" s="2" t="s">
        <v>74</v>
      </c>
      <c r="Z909" s="2" t="s">
        <v>74</v>
      </c>
      <c r="AA909" s="2" t="s">
        <v>74</v>
      </c>
      <c r="AB909" s="2" t="s">
        <v>8321</v>
      </c>
      <c r="AC909" s="2" t="s">
        <v>74</v>
      </c>
      <c r="AD909" s="2" t="s">
        <v>74</v>
      </c>
      <c r="AE909" s="2" t="s">
        <v>74</v>
      </c>
      <c r="AF909" s="2" t="s">
        <v>74</v>
      </c>
      <c r="AG909" s="2" t="s">
        <v>74</v>
      </c>
      <c r="AH909" s="2" t="s">
        <v>74</v>
      </c>
      <c r="AI909" s="2" t="s">
        <v>74</v>
      </c>
      <c r="AJ909" s="2" t="s">
        <v>74</v>
      </c>
      <c r="AK909" s="2" t="s">
        <v>74</v>
      </c>
      <c r="AL909" s="2" t="s">
        <v>74</v>
      </c>
      <c r="AM909" s="2" t="s">
        <v>74</v>
      </c>
      <c r="AN909" s="2" t="s">
        <v>74</v>
      </c>
      <c r="AO909" s="2" t="s">
        <v>818</v>
      </c>
      <c r="AP909" s="2" t="s">
        <v>74</v>
      </c>
      <c r="AQ909" s="2" t="s">
        <v>74</v>
      </c>
      <c r="AR909" s="2" t="s">
        <v>74</v>
      </c>
      <c r="AS909" s="2" t="s">
        <v>74</v>
      </c>
      <c r="AT909" s="2" t="s">
        <v>74</v>
      </c>
      <c r="AU909" s="2">
        <v>2001</v>
      </c>
      <c r="AV909" s="2">
        <v>104</v>
      </c>
      <c r="AW909" s="2">
        <v>2</v>
      </c>
      <c r="AX909" s="2" t="s">
        <v>74</v>
      </c>
      <c r="AY909" s="2" t="s">
        <v>74</v>
      </c>
      <c r="AZ909" s="2" t="s">
        <v>74</v>
      </c>
      <c r="BA909" s="2" t="s">
        <v>74</v>
      </c>
      <c r="BB909" s="2">
        <v>91</v>
      </c>
      <c r="BC909" s="2">
        <v>97</v>
      </c>
      <c r="BD909" s="2" t="s">
        <v>74</v>
      </c>
      <c r="BE909" s="2" t="s">
        <v>8322</v>
      </c>
      <c r="BF909" s="2" t="str">
        <f>HYPERLINK("http://dx.doi.org/10.1078/0944-2006-00014","http://dx.doi.org/10.1078/0944-2006-00014")</f>
        <v>http://dx.doi.org/10.1078/0944-2006-00014</v>
      </c>
      <c r="BG909" s="2" t="s">
        <v>74</v>
      </c>
      <c r="BH909" s="2" t="s">
        <v>74</v>
      </c>
      <c r="BI909" s="2" t="s">
        <v>74</v>
      </c>
      <c r="BJ909" s="2" t="s">
        <v>74</v>
      </c>
      <c r="BK909" s="2" t="s">
        <v>74</v>
      </c>
      <c r="BL909" s="2" t="s">
        <v>74</v>
      </c>
      <c r="BM909" s="2" t="s">
        <v>74</v>
      </c>
      <c r="BN909" s="2">
        <v>16351822</v>
      </c>
      <c r="BO909" s="2" t="s">
        <v>74</v>
      </c>
      <c r="BP909" s="2" t="s">
        <v>74</v>
      </c>
      <c r="BQ909" s="2" t="s">
        <v>74</v>
      </c>
      <c r="BR909" s="2" t="s">
        <v>74</v>
      </c>
      <c r="BS909" s="2" t="s">
        <v>8323</v>
      </c>
      <c r="BT909" s="2" t="str">
        <f>HYPERLINK("https%3A%2F%2Fwww.webofscience.com%2Fwos%2Fwoscc%2Ffull-record%2FWOS:000172786700002","View Full Record in Web of Science")</f>
        <v>View Full Record in Web of Science</v>
      </c>
    </row>
    <row r="910" spans="1:72" s="2" customFormat="1" x14ac:dyDescent="0.4">
      <c r="A910" s="2" t="s">
        <v>72</v>
      </c>
      <c r="B910" s="2" t="s">
        <v>5134</v>
      </c>
      <c r="C910" s="2" t="s">
        <v>74</v>
      </c>
      <c r="D910" s="2" t="s">
        <v>74</v>
      </c>
      <c r="E910" s="2" t="s">
        <v>74</v>
      </c>
      <c r="F910" s="2" t="s">
        <v>5135</v>
      </c>
      <c r="G910" s="2" t="s">
        <v>74</v>
      </c>
      <c r="H910" s="2" t="s">
        <v>74</v>
      </c>
      <c r="I910" s="2" t="s">
        <v>5136</v>
      </c>
      <c r="J910" s="2" t="s">
        <v>2275</v>
      </c>
      <c r="K910" s="2" t="s">
        <v>74</v>
      </c>
      <c r="L910" s="2" t="s">
        <v>74</v>
      </c>
      <c r="M910" s="2" t="s">
        <v>74</v>
      </c>
      <c r="N910" s="2" t="s">
        <v>74</v>
      </c>
      <c r="O910" s="2" t="s">
        <v>74</v>
      </c>
      <c r="P910" s="2" t="s">
        <v>74</v>
      </c>
      <c r="Q910" s="2" t="s">
        <v>74</v>
      </c>
      <c r="R910" s="2" t="s">
        <v>74</v>
      </c>
      <c r="S910" s="2" t="s">
        <v>74</v>
      </c>
      <c r="T910" s="2" t="s">
        <v>74</v>
      </c>
      <c r="U910" s="2" t="s">
        <v>74</v>
      </c>
      <c r="V910" s="5" t="s">
        <v>5137</v>
      </c>
      <c r="W910" s="2" t="s">
        <v>74</v>
      </c>
      <c r="X910" s="2" t="s">
        <v>74</v>
      </c>
      <c r="Y910" s="2" t="s">
        <v>74</v>
      </c>
      <c r="Z910" s="2" t="s">
        <v>74</v>
      </c>
      <c r="AA910" s="2" t="s">
        <v>74</v>
      </c>
      <c r="AB910" s="2" t="s">
        <v>74</v>
      </c>
      <c r="AC910" s="2" t="s">
        <v>74</v>
      </c>
      <c r="AD910" s="2" t="s">
        <v>74</v>
      </c>
      <c r="AE910" s="2" t="s">
        <v>74</v>
      </c>
      <c r="AF910" s="2" t="s">
        <v>74</v>
      </c>
      <c r="AG910" s="2" t="s">
        <v>74</v>
      </c>
      <c r="AH910" s="2" t="s">
        <v>74</v>
      </c>
      <c r="AI910" s="2" t="s">
        <v>74</v>
      </c>
      <c r="AJ910" s="2" t="s">
        <v>74</v>
      </c>
      <c r="AK910" s="2" t="s">
        <v>74</v>
      </c>
      <c r="AL910" s="2" t="s">
        <v>74</v>
      </c>
      <c r="AM910" s="2" t="s">
        <v>74</v>
      </c>
      <c r="AN910" s="2" t="s">
        <v>74</v>
      </c>
      <c r="AO910" s="2" t="s">
        <v>2279</v>
      </c>
      <c r="AP910" s="2" t="s">
        <v>2280</v>
      </c>
      <c r="AQ910" s="2" t="s">
        <v>74</v>
      </c>
      <c r="AR910" s="2" t="s">
        <v>74</v>
      </c>
      <c r="AS910" s="2" t="s">
        <v>74</v>
      </c>
      <c r="AT910" s="2" t="s">
        <v>5138</v>
      </c>
      <c r="AU910" s="2">
        <v>2015</v>
      </c>
      <c r="AV910" s="2">
        <v>13</v>
      </c>
      <c r="AW910" s="2">
        <v>1</v>
      </c>
      <c r="AX910" s="2" t="s">
        <v>74</v>
      </c>
      <c r="AY910" s="2" t="s">
        <v>74</v>
      </c>
      <c r="AZ910" s="2" t="s">
        <v>74</v>
      </c>
      <c r="BA910" s="2" t="s">
        <v>74</v>
      </c>
      <c r="BB910" s="2">
        <v>93</v>
      </c>
      <c r="BC910" s="2">
        <v>103</v>
      </c>
      <c r="BD910" s="2" t="s">
        <v>74</v>
      </c>
      <c r="BE910" s="2" t="s">
        <v>5139</v>
      </c>
      <c r="BF910" s="2" t="str">
        <f>HYPERLINK("http://dx.doi.org/10.1080/14772000.2014.968233","http://dx.doi.org/10.1080/14772000.2014.968233")</f>
        <v>http://dx.doi.org/10.1080/14772000.2014.968233</v>
      </c>
      <c r="BG910" s="2" t="s">
        <v>74</v>
      </c>
      <c r="BH910" s="2" t="s">
        <v>74</v>
      </c>
      <c r="BI910" s="2" t="s">
        <v>74</v>
      </c>
      <c r="BJ910" s="2" t="s">
        <v>74</v>
      </c>
      <c r="BK910" s="2" t="s">
        <v>74</v>
      </c>
      <c r="BL910" s="2" t="s">
        <v>74</v>
      </c>
      <c r="BM910" s="2" t="s">
        <v>74</v>
      </c>
      <c r="BN910" s="2" t="s">
        <v>74</v>
      </c>
      <c r="BO910" s="2" t="s">
        <v>74</v>
      </c>
      <c r="BP910" s="2" t="s">
        <v>74</v>
      </c>
      <c r="BQ910" s="2" t="s">
        <v>74</v>
      </c>
      <c r="BR910" s="2" t="s">
        <v>74</v>
      </c>
      <c r="BS910" s="2" t="s">
        <v>5140</v>
      </c>
      <c r="BT910" s="2" t="str">
        <f>HYPERLINK("https%3A%2F%2Fwww.webofscience.com%2Fwos%2Fwoscc%2Ffull-record%2FWOS:000345618000007","View Full Record in Web of Science")</f>
        <v>View Full Record in Web of Science</v>
      </c>
    </row>
    <row r="911" spans="1:72" s="2" customFormat="1" x14ac:dyDescent="0.4">
      <c r="A911" s="2" t="s">
        <v>72</v>
      </c>
      <c r="B911" s="2" t="s">
        <v>2893</v>
      </c>
      <c r="C911" s="2" t="s">
        <v>74</v>
      </c>
      <c r="D911" s="2" t="s">
        <v>74</v>
      </c>
      <c r="E911" s="2" t="s">
        <v>74</v>
      </c>
      <c r="F911" s="2" t="s">
        <v>2894</v>
      </c>
      <c r="G911" s="2" t="s">
        <v>74</v>
      </c>
      <c r="H911" s="2" t="s">
        <v>74</v>
      </c>
      <c r="I911" s="2" t="s">
        <v>2895</v>
      </c>
      <c r="J911" s="2" t="s">
        <v>140</v>
      </c>
      <c r="K911" s="2" t="s">
        <v>74</v>
      </c>
      <c r="L911" s="2" t="s">
        <v>74</v>
      </c>
      <c r="M911" s="2" t="s">
        <v>74</v>
      </c>
      <c r="N911" s="2" t="s">
        <v>74</v>
      </c>
      <c r="O911" s="2" t="s">
        <v>74</v>
      </c>
      <c r="P911" s="2" t="s">
        <v>74</v>
      </c>
      <c r="Q911" s="2" t="s">
        <v>74</v>
      </c>
      <c r="R911" s="2" t="s">
        <v>74</v>
      </c>
      <c r="S911" s="2" t="s">
        <v>74</v>
      </c>
      <c r="T911" s="2" t="s">
        <v>74</v>
      </c>
      <c r="U911" s="2" t="s">
        <v>74</v>
      </c>
      <c r="V911" s="5" t="s">
        <v>2896</v>
      </c>
      <c r="W911" s="2" t="s">
        <v>74</v>
      </c>
      <c r="X911" s="2" t="s">
        <v>74</v>
      </c>
      <c r="Y911" s="2" t="s">
        <v>74</v>
      </c>
      <c r="Z911" s="2" t="s">
        <v>74</v>
      </c>
      <c r="AA911" s="2" t="s">
        <v>379</v>
      </c>
      <c r="AB911" s="2" t="s">
        <v>74</v>
      </c>
      <c r="AC911" s="2" t="s">
        <v>74</v>
      </c>
      <c r="AD911" s="2" t="s">
        <v>74</v>
      </c>
      <c r="AE911" s="2" t="s">
        <v>74</v>
      </c>
      <c r="AF911" s="2" t="s">
        <v>74</v>
      </c>
      <c r="AG911" s="2" t="s">
        <v>74</v>
      </c>
      <c r="AH911" s="2" t="s">
        <v>74</v>
      </c>
      <c r="AI911" s="2" t="s">
        <v>74</v>
      </c>
      <c r="AJ911" s="2" t="s">
        <v>74</v>
      </c>
      <c r="AK911" s="2" t="s">
        <v>74</v>
      </c>
      <c r="AL911" s="2" t="s">
        <v>74</v>
      </c>
      <c r="AM911" s="2" t="s">
        <v>74</v>
      </c>
      <c r="AN911" s="2" t="s">
        <v>74</v>
      </c>
      <c r="AO911" s="2" t="s">
        <v>143</v>
      </c>
      <c r="AP911" s="2" t="s">
        <v>144</v>
      </c>
      <c r="AQ911" s="2" t="s">
        <v>74</v>
      </c>
      <c r="AR911" s="2" t="s">
        <v>74</v>
      </c>
      <c r="AS911" s="2" t="s">
        <v>74</v>
      </c>
      <c r="AT911" s="2" t="s">
        <v>352</v>
      </c>
      <c r="AU911" s="2">
        <v>2017</v>
      </c>
      <c r="AV911" s="2">
        <v>131</v>
      </c>
      <c r="AW911" s="2" t="s">
        <v>74</v>
      </c>
      <c r="AX911" s="2" t="s">
        <v>74</v>
      </c>
      <c r="AY911" s="2" t="s">
        <v>74</v>
      </c>
      <c r="AZ911" s="2" t="s">
        <v>74</v>
      </c>
      <c r="BA911" s="2" t="s">
        <v>74</v>
      </c>
      <c r="BB911" s="2">
        <v>107</v>
      </c>
      <c r="BC911" s="2">
        <v>114</v>
      </c>
      <c r="BD911" s="2" t="s">
        <v>74</v>
      </c>
      <c r="BE911" s="2" t="s">
        <v>2897</v>
      </c>
      <c r="BF911" s="2" t="str">
        <f>HYPERLINK("http://dx.doi.org/10.1016/j.anbehav.2017.07.013","http://dx.doi.org/10.1016/j.anbehav.2017.07.013")</f>
        <v>http://dx.doi.org/10.1016/j.anbehav.2017.07.013</v>
      </c>
      <c r="BG911" s="2" t="s">
        <v>74</v>
      </c>
      <c r="BH911" s="2" t="s">
        <v>74</v>
      </c>
      <c r="BI911" s="2" t="s">
        <v>74</v>
      </c>
      <c r="BJ911" s="2" t="s">
        <v>74</v>
      </c>
      <c r="BK911" s="2" t="s">
        <v>74</v>
      </c>
      <c r="BL911" s="2" t="s">
        <v>74</v>
      </c>
      <c r="BM911" s="2" t="s">
        <v>74</v>
      </c>
      <c r="BN911" s="2" t="s">
        <v>74</v>
      </c>
      <c r="BO911" s="2" t="s">
        <v>74</v>
      </c>
      <c r="BP911" s="2" t="s">
        <v>74</v>
      </c>
      <c r="BQ911" s="2" t="s">
        <v>74</v>
      </c>
      <c r="BR911" s="2" t="s">
        <v>74</v>
      </c>
      <c r="BS911" s="2" t="s">
        <v>2898</v>
      </c>
      <c r="BT911" s="2" t="str">
        <f>HYPERLINK("https%3A%2F%2Fwww.webofscience.com%2Fwos%2Fwoscc%2Ffull-record%2FWOS:000410035100014","View Full Record in Web of Science")</f>
        <v>View Full Record in Web of Science</v>
      </c>
    </row>
    <row r="912" spans="1:72" s="7" customFormat="1" x14ac:dyDescent="0.4">
      <c r="A912" s="2" t="s">
        <v>72</v>
      </c>
      <c r="B912" s="2" t="s">
        <v>1831</v>
      </c>
      <c r="C912" s="2" t="s">
        <v>74</v>
      </c>
      <c r="D912" s="2" t="s">
        <v>74</v>
      </c>
      <c r="E912" s="2" t="s">
        <v>74</v>
      </c>
      <c r="F912" s="2" t="s">
        <v>1831</v>
      </c>
      <c r="G912" s="2" t="s">
        <v>74</v>
      </c>
      <c r="H912" s="2" t="s">
        <v>74</v>
      </c>
      <c r="I912" s="2" t="s">
        <v>1832</v>
      </c>
      <c r="J912" s="2" t="s">
        <v>77</v>
      </c>
      <c r="K912" s="2" t="s">
        <v>74</v>
      </c>
      <c r="L912" s="2" t="s">
        <v>74</v>
      </c>
      <c r="M912" s="2" t="s">
        <v>74</v>
      </c>
      <c r="N912" s="2" t="s">
        <v>74</v>
      </c>
      <c r="O912" s="2" t="s">
        <v>74</v>
      </c>
      <c r="P912" s="2" t="s">
        <v>74</v>
      </c>
      <c r="Q912" s="2" t="s">
        <v>74</v>
      </c>
      <c r="R912" s="2" t="s">
        <v>74</v>
      </c>
      <c r="S912" s="2" t="s">
        <v>74</v>
      </c>
      <c r="T912" s="2" t="s">
        <v>74</v>
      </c>
      <c r="U912" s="2" t="s">
        <v>74</v>
      </c>
      <c r="V912" s="5" t="s">
        <v>1833</v>
      </c>
      <c r="W912" s="2" t="s">
        <v>74</v>
      </c>
      <c r="X912" s="2" t="s">
        <v>74</v>
      </c>
      <c r="Y912" s="2" t="s">
        <v>74</v>
      </c>
      <c r="Z912" s="2" t="s">
        <v>74</v>
      </c>
      <c r="AA912" s="2" t="s">
        <v>74</v>
      </c>
      <c r="AB912" s="2" t="s">
        <v>74</v>
      </c>
      <c r="AC912" s="2" t="s">
        <v>74</v>
      </c>
      <c r="AD912" s="2" t="s">
        <v>74</v>
      </c>
      <c r="AE912" s="2" t="s">
        <v>74</v>
      </c>
      <c r="AF912" s="2" t="s">
        <v>74</v>
      </c>
      <c r="AG912" s="2" t="s">
        <v>74</v>
      </c>
      <c r="AH912" s="2" t="s">
        <v>74</v>
      </c>
      <c r="AI912" s="2" t="s">
        <v>74</v>
      </c>
      <c r="AJ912" s="2" t="s">
        <v>74</v>
      </c>
      <c r="AK912" s="2" t="s">
        <v>74</v>
      </c>
      <c r="AL912" s="2" t="s">
        <v>74</v>
      </c>
      <c r="AM912" s="2" t="s">
        <v>74</v>
      </c>
      <c r="AN912" s="2" t="s">
        <v>74</v>
      </c>
      <c r="AO912" s="2" t="s">
        <v>81</v>
      </c>
      <c r="AP912" s="2" t="s">
        <v>82</v>
      </c>
      <c r="AQ912" s="2" t="s">
        <v>74</v>
      </c>
      <c r="AR912" s="2" t="s">
        <v>74</v>
      </c>
      <c r="AS912" s="2" t="s">
        <v>74</v>
      </c>
      <c r="AT912" s="2" t="s">
        <v>74</v>
      </c>
      <c r="AU912" s="2">
        <v>1979</v>
      </c>
      <c r="AV912" s="2">
        <v>70</v>
      </c>
      <c r="AW912" s="2" t="s">
        <v>74</v>
      </c>
      <c r="AX912" s="2" t="s">
        <v>1276</v>
      </c>
      <c r="AY912" s="2" t="s">
        <v>74</v>
      </c>
      <c r="AZ912" s="2" t="s">
        <v>74</v>
      </c>
      <c r="BA912" s="2" t="s">
        <v>74</v>
      </c>
      <c r="BB912" s="2">
        <v>323</v>
      </c>
      <c r="BC912" s="2">
        <v>336</v>
      </c>
      <c r="BD912" s="2" t="s">
        <v>74</v>
      </c>
      <c r="BE912" s="2" t="s">
        <v>1834</v>
      </c>
      <c r="BF912" s="2" t="str">
        <f>HYPERLINK("http://dx.doi.org/10.1163/156853979X00115","http://dx.doi.org/10.1163/156853979X00115")</f>
        <v>http://dx.doi.org/10.1163/156853979X00115</v>
      </c>
      <c r="BG912" s="2" t="s">
        <v>74</v>
      </c>
      <c r="BH912" s="2" t="s">
        <v>74</v>
      </c>
      <c r="BI912" s="2" t="s">
        <v>74</v>
      </c>
      <c r="BJ912" s="2" t="s">
        <v>74</v>
      </c>
      <c r="BK912" s="2" t="s">
        <v>74</v>
      </c>
      <c r="BL912" s="2" t="s">
        <v>74</v>
      </c>
      <c r="BM912" s="2" t="s">
        <v>74</v>
      </c>
      <c r="BN912" s="2" t="s">
        <v>74</v>
      </c>
      <c r="BO912" s="2" t="s">
        <v>74</v>
      </c>
      <c r="BP912" s="2" t="s">
        <v>74</v>
      </c>
      <c r="BQ912" s="2" t="s">
        <v>74</v>
      </c>
      <c r="BR912" s="2" t="s">
        <v>74</v>
      </c>
      <c r="BS912" s="2" t="s">
        <v>1835</v>
      </c>
      <c r="BT912" s="2" t="str">
        <f>HYPERLINK("https%3A%2F%2Fwww.webofscience.com%2Fwos%2Fwoscc%2Ffull-record%2FWOS:A1979HU60900006","View Full Record in Web of Science")</f>
        <v>View Full Record in Web of Science</v>
      </c>
    </row>
    <row r="913" spans="1:72" s="2" customFormat="1" x14ac:dyDescent="0.4">
      <c r="A913" s="2" t="s">
        <v>72</v>
      </c>
      <c r="B913" s="2" t="s">
        <v>1299</v>
      </c>
      <c r="C913" s="2" t="s">
        <v>74</v>
      </c>
      <c r="D913" s="2" t="s">
        <v>74</v>
      </c>
      <c r="E913" s="2" t="s">
        <v>74</v>
      </c>
      <c r="F913" s="2" t="s">
        <v>1300</v>
      </c>
      <c r="G913" s="2" t="s">
        <v>74</v>
      </c>
      <c r="H913" s="2" t="s">
        <v>74</v>
      </c>
      <c r="I913" s="2" t="s">
        <v>1301</v>
      </c>
      <c r="J913" s="2" t="s">
        <v>1302</v>
      </c>
      <c r="K913" s="2" t="s">
        <v>74</v>
      </c>
      <c r="L913" s="2" t="s">
        <v>74</v>
      </c>
      <c r="M913" s="2" t="s">
        <v>74</v>
      </c>
      <c r="N913" s="2" t="s">
        <v>74</v>
      </c>
      <c r="O913" s="2" t="s">
        <v>74</v>
      </c>
      <c r="P913" s="2" t="s">
        <v>74</v>
      </c>
      <c r="Q913" s="2" t="s">
        <v>74</v>
      </c>
      <c r="R913" s="2" t="s">
        <v>74</v>
      </c>
      <c r="S913" s="2" t="s">
        <v>74</v>
      </c>
      <c r="T913" s="2" t="s">
        <v>74</v>
      </c>
      <c r="U913" s="2" t="s">
        <v>74</v>
      </c>
      <c r="V913" s="5" t="s">
        <v>1303</v>
      </c>
      <c r="W913" s="2" t="s">
        <v>74</v>
      </c>
      <c r="X913" s="2" t="s">
        <v>74</v>
      </c>
      <c r="Y913" s="2" t="s">
        <v>74</v>
      </c>
      <c r="Z913" s="2" t="s">
        <v>74</v>
      </c>
      <c r="AA913" s="2" t="s">
        <v>1304</v>
      </c>
      <c r="AB913" s="2" t="s">
        <v>1305</v>
      </c>
      <c r="AC913" s="2" t="s">
        <v>74</v>
      </c>
      <c r="AD913" s="2" t="s">
        <v>74</v>
      </c>
      <c r="AE913" s="2" t="s">
        <v>74</v>
      </c>
      <c r="AF913" s="2" t="s">
        <v>74</v>
      </c>
      <c r="AG913" s="2" t="s">
        <v>74</v>
      </c>
      <c r="AH913" s="2" t="s">
        <v>74</v>
      </c>
      <c r="AI913" s="2" t="s">
        <v>74</v>
      </c>
      <c r="AJ913" s="2" t="s">
        <v>74</v>
      </c>
      <c r="AK913" s="2" t="s">
        <v>74</v>
      </c>
      <c r="AL913" s="2" t="s">
        <v>74</v>
      </c>
      <c r="AM913" s="2" t="s">
        <v>74</v>
      </c>
      <c r="AN913" s="2" t="s">
        <v>74</v>
      </c>
      <c r="AO913" s="2" t="s">
        <v>1306</v>
      </c>
      <c r="AP913" s="2" t="s">
        <v>74</v>
      </c>
      <c r="AQ913" s="2" t="s">
        <v>74</v>
      </c>
      <c r="AR913" s="2" t="s">
        <v>74</v>
      </c>
      <c r="AS913" s="2" t="s">
        <v>74</v>
      </c>
      <c r="AT913" s="2" t="s">
        <v>1307</v>
      </c>
      <c r="AU913" s="2">
        <v>2009</v>
      </c>
      <c r="AV913" s="2">
        <v>7</v>
      </c>
      <c r="AW913" s="2">
        <v>4</v>
      </c>
      <c r="AX913" s="2" t="s">
        <v>74</v>
      </c>
      <c r="AY913" s="2" t="s">
        <v>74</v>
      </c>
      <c r="AZ913" s="2" t="s">
        <v>74</v>
      </c>
      <c r="BA913" s="2" t="s">
        <v>74</v>
      </c>
      <c r="BB913" s="2">
        <v>641</v>
      </c>
      <c r="BC913" s="2">
        <v>646</v>
      </c>
      <c r="BD913" s="2" t="s">
        <v>74</v>
      </c>
      <c r="BE913" s="2" t="s">
        <v>1308</v>
      </c>
      <c r="BF913" s="2" t="str">
        <f>HYPERLINK("http://dx.doi.org/10.1590/S1679-62252009000400013","http://dx.doi.org/10.1590/S1679-62252009000400013")</f>
        <v>http://dx.doi.org/10.1590/S1679-62252009000400013</v>
      </c>
      <c r="BG913" s="2" t="s">
        <v>74</v>
      </c>
      <c r="BH913" s="2" t="s">
        <v>74</v>
      </c>
      <c r="BI913" s="2" t="s">
        <v>74</v>
      </c>
      <c r="BJ913" s="2" t="s">
        <v>74</v>
      </c>
      <c r="BK913" s="2" t="s">
        <v>74</v>
      </c>
      <c r="BL913" s="2" t="s">
        <v>74</v>
      </c>
      <c r="BM913" s="2" t="s">
        <v>74</v>
      </c>
      <c r="BN913" s="2" t="s">
        <v>74</v>
      </c>
      <c r="BO913" s="2" t="s">
        <v>74</v>
      </c>
      <c r="BP913" s="2" t="s">
        <v>74</v>
      </c>
      <c r="BQ913" s="2" t="s">
        <v>74</v>
      </c>
      <c r="BR913" s="2" t="s">
        <v>74</v>
      </c>
      <c r="BS913" s="2" t="s">
        <v>1309</v>
      </c>
      <c r="BT913" s="2" t="str">
        <f>HYPERLINK("https%3A%2F%2Fwww.webofscience.com%2Fwos%2Fwoscc%2Ffull-record%2FWOS:000273613900013","View Full Record in Web of Science")</f>
        <v>View Full Record in Web of Science</v>
      </c>
    </row>
    <row r="914" spans="1:72" s="2" customFormat="1" x14ac:dyDescent="0.4">
      <c r="A914" s="2" t="s">
        <v>72</v>
      </c>
      <c r="B914" s="2" t="s">
        <v>7910</v>
      </c>
      <c r="C914" s="2" t="s">
        <v>74</v>
      </c>
      <c r="D914" s="2" t="s">
        <v>74</v>
      </c>
      <c r="E914" s="2" t="s">
        <v>74</v>
      </c>
      <c r="F914" s="2" t="s">
        <v>7911</v>
      </c>
      <c r="G914" s="2" t="s">
        <v>74</v>
      </c>
      <c r="H914" s="2" t="s">
        <v>74</v>
      </c>
      <c r="I914" s="2" t="s">
        <v>7912</v>
      </c>
      <c r="J914" s="2" t="s">
        <v>1656</v>
      </c>
      <c r="K914" s="2" t="s">
        <v>74</v>
      </c>
      <c r="L914" s="2" t="s">
        <v>74</v>
      </c>
      <c r="M914" s="2" t="s">
        <v>74</v>
      </c>
      <c r="N914" s="2" t="s">
        <v>74</v>
      </c>
      <c r="O914" s="2" t="s">
        <v>74</v>
      </c>
      <c r="P914" s="2" t="s">
        <v>74</v>
      </c>
      <c r="Q914" s="2" t="s">
        <v>74</v>
      </c>
      <c r="R914" s="2" t="s">
        <v>74</v>
      </c>
      <c r="S914" s="2" t="s">
        <v>74</v>
      </c>
      <c r="T914" s="2" t="s">
        <v>74</v>
      </c>
      <c r="U914" s="2" t="s">
        <v>74</v>
      </c>
      <c r="V914" s="5" t="s">
        <v>7913</v>
      </c>
      <c r="W914" s="2" t="s">
        <v>74</v>
      </c>
      <c r="X914" s="2" t="s">
        <v>74</v>
      </c>
      <c r="Y914" s="2" t="s">
        <v>74</v>
      </c>
      <c r="Z914" s="2" t="s">
        <v>74</v>
      </c>
      <c r="AA914" s="2" t="s">
        <v>7914</v>
      </c>
      <c r="AB914" s="2" t="s">
        <v>7915</v>
      </c>
      <c r="AC914" s="2" t="s">
        <v>74</v>
      </c>
      <c r="AD914" s="2" t="s">
        <v>74</v>
      </c>
      <c r="AE914" s="2" t="s">
        <v>74</v>
      </c>
      <c r="AF914" s="2" t="s">
        <v>74</v>
      </c>
      <c r="AG914" s="2" t="s">
        <v>74</v>
      </c>
      <c r="AH914" s="2" t="s">
        <v>74</v>
      </c>
      <c r="AI914" s="2" t="s">
        <v>74</v>
      </c>
      <c r="AJ914" s="2" t="s">
        <v>74</v>
      </c>
      <c r="AK914" s="2" t="s">
        <v>74</v>
      </c>
      <c r="AL914" s="2" t="s">
        <v>74</v>
      </c>
      <c r="AM914" s="2" t="s">
        <v>74</v>
      </c>
      <c r="AN914" s="2" t="s">
        <v>74</v>
      </c>
      <c r="AO914" s="2" t="s">
        <v>1658</v>
      </c>
      <c r="AP914" s="2" t="s">
        <v>1659</v>
      </c>
      <c r="AQ914" s="2" t="s">
        <v>74</v>
      </c>
      <c r="AR914" s="2" t="s">
        <v>74</v>
      </c>
      <c r="AS914" s="2" t="s">
        <v>74</v>
      </c>
      <c r="AT914" s="2" t="s">
        <v>7916</v>
      </c>
      <c r="AU914" s="2">
        <v>2023</v>
      </c>
      <c r="AV914" s="2">
        <v>5311</v>
      </c>
      <c r="AW914" s="2">
        <v>2</v>
      </c>
      <c r="AX914" s="2" t="s">
        <v>74</v>
      </c>
      <c r="AY914" s="2" t="s">
        <v>74</v>
      </c>
      <c r="AZ914" s="2" t="s">
        <v>74</v>
      </c>
      <c r="BA914" s="2" t="s">
        <v>74</v>
      </c>
      <c r="BB914" s="2">
        <v>232</v>
      </c>
      <c r="BC914" s="2">
        <v>250</v>
      </c>
      <c r="BD914" s="2" t="s">
        <v>74</v>
      </c>
      <c r="BE914" s="2" t="s">
        <v>7917</v>
      </c>
      <c r="BF914" s="2" t="str">
        <f>HYPERLINK("http://dx.doi.org/10.11646/zootaxa.5311.2.4","http://dx.doi.org/10.11646/zootaxa.5311.2.4")</f>
        <v>http://dx.doi.org/10.11646/zootaxa.5311.2.4</v>
      </c>
      <c r="BG914" s="2" t="s">
        <v>74</v>
      </c>
      <c r="BH914" s="2" t="s">
        <v>74</v>
      </c>
      <c r="BI914" s="2" t="s">
        <v>74</v>
      </c>
      <c r="BJ914" s="2" t="s">
        <v>74</v>
      </c>
      <c r="BK914" s="2" t="s">
        <v>74</v>
      </c>
      <c r="BL914" s="2" t="s">
        <v>74</v>
      </c>
      <c r="BM914" s="2" t="s">
        <v>74</v>
      </c>
      <c r="BN914" s="2">
        <v>37518646</v>
      </c>
      <c r="BO914" s="2" t="s">
        <v>74</v>
      </c>
      <c r="BP914" s="2" t="s">
        <v>74</v>
      </c>
      <c r="BQ914" s="2" t="s">
        <v>74</v>
      </c>
      <c r="BR914" s="2" t="s">
        <v>74</v>
      </c>
      <c r="BS914" s="2" t="s">
        <v>7918</v>
      </c>
      <c r="BT914" s="2" t="str">
        <f>HYPERLINK("https%3A%2F%2Fwww.webofscience.com%2Fwos%2Fwoscc%2Ffull-record%2FWOS:001030714500003","View Full Record in Web of Science")</f>
        <v>View Full Record in Web of Science</v>
      </c>
    </row>
    <row r="915" spans="1:72" s="2" customFormat="1" x14ac:dyDescent="0.4">
      <c r="A915" s="2" t="s">
        <v>72</v>
      </c>
      <c r="B915" s="2" t="s">
        <v>4033</v>
      </c>
      <c r="C915" s="2" t="s">
        <v>74</v>
      </c>
      <c r="D915" s="2" t="s">
        <v>74</v>
      </c>
      <c r="E915" s="2" t="s">
        <v>74</v>
      </c>
      <c r="F915" s="2" t="s">
        <v>4034</v>
      </c>
      <c r="G915" s="2" t="s">
        <v>74</v>
      </c>
      <c r="H915" s="2" t="s">
        <v>74</v>
      </c>
      <c r="I915" s="2" t="s">
        <v>4035</v>
      </c>
      <c r="J915" s="2" t="s">
        <v>1949</v>
      </c>
      <c r="K915" s="2" t="s">
        <v>74</v>
      </c>
      <c r="L915" s="2" t="s">
        <v>74</v>
      </c>
      <c r="M915" s="2" t="s">
        <v>74</v>
      </c>
      <c r="N915" s="2" t="s">
        <v>74</v>
      </c>
      <c r="O915" s="2" t="s">
        <v>74</v>
      </c>
      <c r="P915" s="2" t="s">
        <v>74</v>
      </c>
      <c r="Q915" s="2" t="s">
        <v>74</v>
      </c>
      <c r="R915" s="2" t="s">
        <v>74</v>
      </c>
      <c r="S915" s="2" t="s">
        <v>74</v>
      </c>
      <c r="T915" s="2" t="s">
        <v>74</v>
      </c>
      <c r="U915" s="2" t="s">
        <v>74</v>
      </c>
      <c r="V915" s="5" t="s">
        <v>4036</v>
      </c>
      <c r="W915" s="2" t="s">
        <v>74</v>
      </c>
      <c r="X915" s="2" t="s">
        <v>74</v>
      </c>
      <c r="Y915" s="2" t="s">
        <v>74</v>
      </c>
      <c r="Z915" s="2" t="s">
        <v>74</v>
      </c>
      <c r="AA915" s="2" t="s">
        <v>4037</v>
      </c>
      <c r="AB915" s="2" t="s">
        <v>4038</v>
      </c>
      <c r="AC915" s="2" t="s">
        <v>74</v>
      </c>
      <c r="AD915" s="2" t="s">
        <v>74</v>
      </c>
      <c r="AE915" s="2" t="s">
        <v>74</v>
      </c>
      <c r="AF915" s="2" t="s">
        <v>74</v>
      </c>
      <c r="AG915" s="2" t="s">
        <v>74</v>
      </c>
      <c r="AH915" s="2" t="s">
        <v>74</v>
      </c>
      <c r="AI915" s="2" t="s">
        <v>74</v>
      </c>
      <c r="AJ915" s="2" t="s">
        <v>74</v>
      </c>
      <c r="AK915" s="2" t="s">
        <v>74</v>
      </c>
      <c r="AL915" s="2" t="s">
        <v>74</v>
      </c>
      <c r="AM915" s="2" t="s">
        <v>74</v>
      </c>
      <c r="AN915" s="2" t="s">
        <v>74</v>
      </c>
      <c r="AO915" s="2" t="s">
        <v>74</v>
      </c>
      <c r="AP915" s="2" t="s">
        <v>1953</v>
      </c>
      <c r="AQ915" s="2" t="s">
        <v>74</v>
      </c>
      <c r="AR915" s="2" t="s">
        <v>74</v>
      </c>
      <c r="AS915" s="2" t="s">
        <v>74</v>
      </c>
      <c r="AT915" s="2" t="s">
        <v>213</v>
      </c>
      <c r="AU915" s="2">
        <v>2020</v>
      </c>
      <c r="AV915" s="2">
        <v>11</v>
      </c>
      <c r="AW915" s="2">
        <v>11</v>
      </c>
      <c r="AX915" s="2" t="s">
        <v>74</v>
      </c>
      <c r="AY915" s="2" t="s">
        <v>74</v>
      </c>
      <c r="AZ915" s="2" t="s">
        <v>74</v>
      </c>
      <c r="BA915" s="2" t="s">
        <v>74</v>
      </c>
      <c r="BB915" s="2" t="s">
        <v>74</v>
      </c>
      <c r="BC915" s="2" t="s">
        <v>74</v>
      </c>
      <c r="BD915" s="2">
        <v>727</v>
      </c>
      <c r="BE915" s="2" t="s">
        <v>4039</v>
      </c>
      <c r="BF915" s="2" t="str">
        <f>HYPERLINK("http://dx.doi.org/10.3390/insects11110727","http://dx.doi.org/10.3390/insects11110727")</f>
        <v>http://dx.doi.org/10.3390/insects11110727</v>
      </c>
      <c r="BG915" s="2" t="s">
        <v>74</v>
      </c>
      <c r="BH915" s="2" t="s">
        <v>74</v>
      </c>
      <c r="BI915" s="2" t="s">
        <v>74</v>
      </c>
      <c r="BJ915" s="2" t="s">
        <v>74</v>
      </c>
      <c r="BK915" s="2" t="s">
        <v>74</v>
      </c>
      <c r="BL915" s="2" t="s">
        <v>74</v>
      </c>
      <c r="BM915" s="2" t="s">
        <v>74</v>
      </c>
      <c r="BN915" s="2">
        <v>33114300</v>
      </c>
      <c r="BO915" s="2" t="s">
        <v>74</v>
      </c>
      <c r="BP915" s="2" t="s">
        <v>74</v>
      </c>
      <c r="BQ915" s="2" t="s">
        <v>74</v>
      </c>
      <c r="BR915" s="2" t="s">
        <v>74</v>
      </c>
      <c r="BS915" s="2" t="s">
        <v>4040</v>
      </c>
      <c r="BT915" s="2" t="str">
        <f>HYPERLINK("https%3A%2F%2Fwww.webofscience.com%2Fwos%2Fwoscc%2Ffull-record%2FWOS:000593343100001","View Full Record in Web of Science")</f>
        <v>View Full Record in Web of Science</v>
      </c>
    </row>
    <row r="916" spans="1:72" s="2" customFormat="1" x14ac:dyDescent="0.4">
      <c r="A916" s="2" t="s">
        <v>72</v>
      </c>
      <c r="B916" s="2" t="s">
        <v>2061</v>
      </c>
      <c r="C916" s="2" t="s">
        <v>74</v>
      </c>
      <c r="D916" s="2" t="s">
        <v>74</v>
      </c>
      <c r="E916" s="2" t="s">
        <v>74</v>
      </c>
      <c r="F916" s="2" t="s">
        <v>2062</v>
      </c>
      <c r="G916" s="2" t="s">
        <v>74</v>
      </c>
      <c r="H916" s="2" t="s">
        <v>74</v>
      </c>
      <c r="I916" s="2" t="s">
        <v>2063</v>
      </c>
      <c r="J916" s="2" t="s">
        <v>129</v>
      </c>
      <c r="K916" s="2" t="s">
        <v>74</v>
      </c>
      <c r="L916" s="2" t="s">
        <v>74</v>
      </c>
      <c r="M916" s="2" t="s">
        <v>74</v>
      </c>
      <c r="N916" s="2" t="s">
        <v>74</v>
      </c>
      <c r="O916" s="2" t="s">
        <v>74</v>
      </c>
      <c r="P916" s="2" t="s">
        <v>74</v>
      </c>
      <c r="Q916" s="2" t="s">
        <v>74</v>
      </c>
      <c r="R916" s="2" t="s">
        <v>74</v>
      </c>
      <c r="S916" s="2" t="s">
        <v>74</v>
      </c>
      <c r="T916" s="2" t="s">
        <v>74</v>
      </c>
      <c r="U916" s="2" t="s">
        <v>74</v>
      </c>
      <c r="V916" s="5" t="s">
        <v>2064</v>
      </c>
      <c r="W916" s="2" t="s">
        <v>74</v>
      </c>
      <c r="X916" s="2" t="s">
        <v>74</v>
      </c>
      <c r="Y916" s="2" t="s">
        <v>74</v>
      </c>
      <c r="Z916" s="2" t="s">
        <v>74</v>
      </c>
      <c r="AA916" s="2" t="s">
        <v>74</v>
      </c>
      <c r="AB916" s="2" t="s">
        <v>74</v>
      </c>
      <c r="AC916" s="2" t="s">
        <v>74</v>
      </c>
      <c r="AD916" s="2" t="s">
        <v>74</v>
      </c>
      <c r="AE916" s="2" t="s">
        <v>74</v>
      </c>
      <c r="AF916" s="2" t="s">
        <v>74</v>
      </c>
      <c r="AG916" s="2" t="s">
        <v>74</v>
      </c>
      <c r="AH916" s="2" t="s">
        <v>74</v>
      </c>
      <c r="AI916" s="2" t="s">
        <v>74</v>
      </c>
      <c r="AJ916" s="2" t="s">
        <v>74</v>
      </c>
      <c r="AK916" s="2" t="s">
        <v>74</v>
      </c>
      <c r="AL916" s="2" t="s">
        <v>74</v>
      </c>
      <c r="AM916" s="2" t="s">
        <v>74</v>
      </c>
      <c r="AN916" s="2" t="s">
        <v>74</v>
      </c>
      <c r="AO916" s="2" t="s">
        <v>132</v>
      </c>
      <c r="AP916" s="2" t="s">
        <v>133</v>
      </c>
      <c r="AQ916" s="2" t="s">
        <v>74</v>
      </c>
      <c r="AR916" s="2" t="s">
        <v>74</v>
      </c>
      <c r="AS916" s="2" t="s">
        <v>74</v>
      </c>
      <c r="AT916" s="2" t="s">
        <v>204</v>
      </c>
      <c r="AU916" s="2">
        <v>2024</v>
      </c>
      <c r="AV916" s="2">
        <v>78</v>
      </c>
      <c r="AW916" s="2">
        <v>7</v>
      </c>
      <c r="AX916" s="2" t="s">
        <v>74</v>
      </c>
      <c r="AY916" s="2" t="s">
        <v>74</v>
      </c>
      <c r="AZ916" s="2" t="s">
        <v>74</v>
      </c>
      <c r="BA916" s="2" t="s">
        <v>74</v>
      </c>
      <c r="BB916" s="2" t="s">
        <v>74</v>
      </c>
      <c r="BC916" s="2" t="s">
        <v>74</v>
      </c>
      <c r="BD916" s="2">
        <v>78</v>
      </c>
      <c r="BE916" s="2" t="s">
        <v>2065</v>
      </c>
      <c r="BF916" s="2" t="str">
        <f>HYPERLINK("http://dx.doi.org/10.1007/s00265-024-03493-0","http://dx.doi.org/10.1007/s00265-024-03493-0")</f>
        <v>http://dx.doi.org/10.1007/s00265-024-03493-0</v>
      </c>
      <c r="BG916" s="2" t="s">
        <v>74</v>
      </c>
      <c r="BH916" s="2" t="s">
        <v>74</v>
      </c>
      <c r="BI916" s="2" t="s">
        <v>74</v>
      </c>
      <c r="BJ916" s="2" t="s">
        <v>74</v>
      </c>
      <c r="BK916" s="2" t="s">
        <v>74</v>
      </c>
      <c r="BL916" s="2" t="s">
        <v>74</v>
      </c>
      <c r="BM916" s="2" t="s">
        <v>74</v>
      </c>
      <c r="BN916" s="2" t="s">
        <v>74</v>
      </c>
      <c r="BO916" s="2" t="s">
        <v>74</v>
      </c>
      <c r="BP916" s="2" t="s">
        <v>74</v>
      </c>
      <c r="BQ916" s="2" t="s">
        <v>74</v>
      </c>
      <c r="BR916" s="2" t="s">
        <v>74</v>
      </c>
      <c r="BS916" s="2" t="s">
        <v>2066</v>
      </c>
      <c r="BT916" s="2" t="str">
        <f>HYPERLINK("https%3A%2F%2Fwww.webofscience.com%2Fwos%2Fwoscc%2Ffull-record%2FWOS:001262286100002","View Full Record in Web of Science")</f>
        <v>View Full Record in Web of Science</v>
      </c>
    </row>
    <row r="917" spans="1:72" s="2" customFormat="1" x14ac:dyDescent="0.4">
      <c r="A917" s="2" t="s">
        <v>72</v>
      </c>
      <c r="B917" s="2" t="s">
        <v>2214</v>
      </c>
      <c r="C917" s="2" t="s">
        <v>74</v>
      </c>
      <c r="D917" s="2" t="s">
        <v>74</v>
      </c>
      <c r="E917" s="2" t="s">
        <v>74</v>
      </c>
      <c r="F917" s="2" t="s">
        <v>2215</v>
      </c>
      <c r="G917" s="2" t="s">
        <v>74</v>
      </c>
      <c r="H917" s="2" t="s">
        <v>74</v>
      </c>
      <c r="I917" s="2" t="s">
        <v>2216</v>
      </c>
      <c r="J917" s="2" t="s">
        <v>192</v>
      </c>
      <c r="K917" s="2" t="s">
        <v>74</v>
      </c>
      <c r="L917" s="2" t="s">
        <v>74</v>
      </c>
      <c r="M917" s="2" t="s">
        <v>74</v>
      </c>
      <c r="N917" s="2" t="s">
        <v>74</v>
      </c>
      <c r="O917" s="2" t="s">
        <v>74</v>
      </c>
      <c r="P917" s="2" t="s">
        <v>74</v>
      </c>
      <c r="Q917" s="2" t="s">
        <v>74</v>
      </c>
      <c r="R917" s="2" t="s">
        <v>74</v>
      </c>
      <c r="S917" s="2" t="s">
        <v>74</v>
      </c>
      <c r="T917" s="2" t="s">
        <v>74</v>
      </c>
      <c r="U917" s="2" t="s">
        <v>74</v>
      </c>
      <c r="V917" s="5" t="s">
        <v>2217</v>
      </c>
      <c r="W917" s="2" t="s">
        <v>74</v>
      </c>
      <c r="X917" s="2" t="s">
        <v>74</v>
      </c>
      <c r="Y917" s="2" t="s">
        <v>74</v>
      </c>
      <c r="Z917" s="2" t="s">
        <v>74</v>
      </c>
      <c r="AA917" s="2" t="s">
        <v>2218</v>
      </c>
      <c r="AB917" s="2" t="s">
        <v>2219</v>
      </c>
      <c r="AC917" s="2" t="s">
        <v>74</v>
      </c>
      <c r="AD917" s="2" t="s">
        <v>74</v>
      </c>
      <c r="AE917" s="2" t="s">
        <v>74</v>
      </c>
      <c r="AF917" s="2" t="s">
        <v>74</v>
      </c>
      <c r="AG917" s="2" t="s">
        <v>74</v>
      </c>
      <c r="AH917" s="2" t="s">
        <v>74</v>
      </c>
      <c r="AI917" s="2" t="s">
        <v>74</v>
      </c>
      <c r="AJ917" s="2" t="s">
        <v>74</v>
      </c>
      <c r="AK917" s="2" t="s">
        <v>74</v>
      </c>
      <c r="AL917" s="2" t="s">
        <v>74</v>
      </c>
      <c r="AM917" s="2" t="s">
        <v>74</v>
      </c>
      <c r="AN917" s="2" t="s">
        <v>74</v>
      </c>
      <c r="AO917" s="2" t="s">
        <v>195</v>
      </c>
      <c r="AP917" s="2" t="s">
        <v>196</v>
      </c>
      <c r="AQ917" s="2" t="s">
        <v>74</v>
      </c>
      <c r="AR917" s="2" t="s">
        <v>74</v>
      </c>
      <c r="AS917" s="2" t="s">
        <v>74</v>
      </c>
      <c r="AT917" s="2" t="s">
        <v>134</v>
      </c>
      <c r="AU917" s="2">
        <v>2019</v>
      </c>
      <c r="AV917" s="2">
        <v>833</v>
      </c>
      <c r="AW917" s="2">
        <v>1</v>
      </c>
      <c r="AX917" s="2" t="s">
        <v>74</v>
      </c>
      <c r="AY917" s="2" t="s">
        <v>74</v>
      </c>
      <c r="AZ917" s="2" t="s">
        <v>74</v>
      </c>
      <c r="BA917" s="2" t="s">
        <v>74</v>
      </c>
      <c r="BB917" s="2">
        <v>185</v>
      </c>
      <c r="BC917" s="2">
        <v>196</v>
      </c>
      <c r="BD917" s="2" t="s">
        <v>74</v>
      </c>
      <c r="BE917" s="2" t="s">
        <v>2220</v>
      </c>
      <c r="BF917" s="2" t="str">
        <f>HYPERLINK("http://dx.doi.org/10.1007/s10750-019-3899-6","http://dx.doi.org/10.1007/s10750-019-3899-6")</f>
        <v>http://dx.doi.org/10.1007/s10750-019-3899-6</v>
      </c>
      <c r="BG917" s="2" t="s">
        <v>74</v>
      </c>
      <c r="BH917" s="2" t="s">
        <v>74</v>
      </c>
      <c r="BI917" s="2" t="s">
        <v>74</v>
      </c>
      <c r="BJ917" s="2" t="s">
        <v>74</v>
      </c>
      <c r="BK917" s="2" t="s">
        <v>74</v>
      </c>
      <c r="BL917" s="2" t="s">
        <v>74</v>
      </c>
      <c r="BM917" s="2" t="s">
        <v>74</v>
      </c>
      <c r="BN917" s="2" t="s">
        <v>74</v>
      </c>
      <c r="BO917" s="2" t="s">
        <v>74</v>
      </c>
      <c r="BP917" s="2" t="s">
        <v>74</v>
      </c>
      <c r="BQ917" s="2" t="s">
        <v>74</v>
      </c>
      <c r="BR917" s="2" t="s">
        <v>74</v>
      </c>
      <c r="BS917" s="2" t="s">
        <v>2221</v>
      </c>
      <c r="BT917" s="2" t="str">
        <f>HYPERLINK("https%3A%2F%2Fwww.webofscience.com%2Fwos%2Fwoscc%2Ffull-record%2FWOS:000460694400013","View Full Record in Web of Science")</f>
        <v>View Full Record in Web of Science</v>
      </c>
    </row>
    <row r="918" spans="1:72" s="2" customFormat="1" x14ac:dyDescent="0.4">
      <c r="A918" s="2" t="s">
        <v>72</v>
      </c>
      <c r="B918" s="2" t="s">
        <v>6497</v>
      </c>
      <c r="C918" s="2" t="s">
        <v>74</v>
      </c>
      <c r="D918" s="2" t="s">
        <v>74</v>
      </c>
      <c r="E918" s="2" t="s">
        <v>74</v>
      </c>
      <c r="F918" s="2" t="s">
        <v>6498</v>
      </c>
      <c r="G918" s="2" t="s">
        <v>74</v>
      </c>
      <c r="H918" s="2" t="s">
        <v>74</v>
      </c>
      <c r="I918" s="2" t="s">
        <v>6499</v>
      </c>
      <c r="J918" s="2" t="s">
        <v>5577</v>
      </c>
      <c r="K918" s="2" t="s">
        <v>74</v>
      </c>
      <c r="L918" s="2" t="s">
        <v>74</v>
      </c>
      <c r="M918" s="2" t="s">
        <v>74</v>
      </c>
      <c r="N918" s="2" t="s">
        <v>74</v>
      </c>
      <c r="O918" s="2" t="s">
        <v>74</v>
      </c>
      <c r="P918" s="2" t="s">
        <v>74</v>
      </c>
      <c r="Q918" s="2" t="s">
        <v>74</v>
      </c>
      <c r="R918" s="2" t="s">
        <v>74</v>
      </c>
      <c r="S918" s="2" t="s">
        <v>74</v>
      </c>
      <c r="T918" s="2" t="s">
        <v>74</v>
      </c>
      <c r="U918" s="2" t="s">
        <v>74</v>
      </c>
      <c r="V918" s="5" t="s">
        <v>6500</v>
      </c>
      <c r="W918" s="2" t="s">
        <v>74</v>
      </c>
      <c r="X918" s="2" t="s">
        <v>74</v>
      </c>
      <c r="Y918" s="2" t="s">
        <v>74</v>
      </c>
      <c r="Z918" s="2" t="s">
        <v>74</v>
      </c>
      <c r="AA918" s="2" t="s">
        <v>74</v>
      </c>
      <c r="AB918" s="2" t="s">
        <v>74</v>
      </c>
      <c r="AC918" s="2" t="s">
        <v>74</v>
      </c>
      <c r="AD918" s="2" t="s">
        <v>74</v>
      </c>
      <c r="AE918" s="2" t="s">
        <v>74</v>
      </c>
      <c r="AF918" s="2" t="s">
        <v>74</v>
      </c>
      <c r="AG918" s="2" t="s">
        <v>74</v>
      </c>
      <c r="AH918" s="2" t="s">
        <v>74</v>
      </c>
      <c r="AI918" s="2" t="s">
        <v>74</v>
      </c>
      <c r="AJ918" s="2" t="s">
        <v>74</v>
      </c>
      <c r="AK918" s="2" t="s">
        <v>74</v>
      </c>
      <c r="AL918" s="2" t="s">
        <v>74</v>
      </c>
      <c r="AM918" s="2" t="s">
        <v>74</v>
      </c>
      <c r="AN918" s="2" t="s">
        <v>74</v>
      </c>
      <c r="AO918" s="2" t="s">
        <v>5579</v>
      </c>
      <c r="AP918" s="2" t="s">
        <v>74</v>
      </c>
      <c r="AQ918" s="2" t="s">
        <v>74</v>
      </c>
      <c r="AR918" s="2" t="s">
        <v>74</v>
      </c>
      <c r="AS918" s="2" t="s">
        <v>74</v>
      </c>
      <c r="AT918" s="2" t="s">
        <v>102</v>
      </c>
      <c r="AU918" s="2">
        <v>2023</v>
      </c>
      <c r="AV918" s="2">
        <v>102</v>
      </c>
      <c r="AW918" s="2">
        <v>6</v>
      </c>
      <c r="AX918" s="2" t="s">
        <v>74</v>
      </c>
      <c r="AY918" s="2" t="s">
        <v>74</v>
      </c>
      <c r="AZ918" s="2" t="s">
        <v>74</v>
      </c>
      <c r="BA918" s="2" t="s">
        <v>74</v>
      </c>
      <c r="BB918" s="2">
        <v>657</v>
      </c>
      <c r="BC918" s="2">
        <v>674</v>
      </c>
      <c r="BD918" s="2" t="s">
        <v>74</v>
      </c>
      <c r="BE918" s="2" t="s">
        <v>6501</v>
      </c>
      <c r="BF918" s="2" t="str">
        <f>HYPERLINK("http://dx.doi.org/10.31857/S0044513423060120","http://dx.doi.org/10.31857/S0044513423060120")</f>
        <v>http://dx.doi.org/10.31857/S0044513423060120</v>
      </c>
      <c r="BG918" s="2" t="s">
        <v>74</v>
      </c>
      <c r="BH918" s="2" t="s">
        <v>74</v>
      </c>
      <c r="BI918" s="2" t="s">
        <v>74</v>
      </c>
      <c r="BJ918" s="2" t="s">
        <v>74</v>
      </c>
      <c r="BK918" s="2" t="s">
        <v>74</v>
      </c>
      <c r="BL918" s="2" t="s">
        <v>74</v>
      </c>
      <c r="BM918" s="2" t="s">
        <v>74</v>
      </c>
      <c r="BN918" s="2" t="s">
        <v>74</v>
      </c>
      <c r="BO918" s="2" t="s">
        <v>74</v>
      </c>
      <c r="BP918" s="2" t="s">
        <v>74</v>
      </c>
      <c r="BQ918" s="2" t="s">
        <v>74</v>
      </c>
      <c r="BR918" s="2" t="s">
        <v>74</v>
      </c>
      <c r="BS918" s="2" t="s">
        <v>6502</v>
      </c>
      <c r="BT918" s="2" t="str">
        <f>HYPERLINK("https%3A%2F%2Fwww.webofscience.com%2Fwos%2Fwoscc%2Ffull-record%2FWOS:001044376400004","View Full Record in Web of Science")</f>
        <v>View Full Record in Web of Science</v>
      </c>
    </row>
    <row r="919" spans="1:72" s="2" customFormat="1" x14ac:dyDescent="0.4">
      <c r="A919" s="2" t="s">
        <v>72</v>
      </c>
      <c r="B919" s="2" t="s">
        <v>5295</v>
      </c>
      <c r="C919" s="2" t="s">
        <v>74</v>
      </c>
      <c r="D919" s="2" t="s">
        <v>74</v>
      </c>
      <c r="E919" s="2" t="s">
        <v>74</v>
      </c>
      <c r="F919" s="2" t="s">
        <v>5295</v>
      </c>
      <c r="G919" s="2" t="s">
        <v>74</v>
      </c>
      <c r="H919" s="2" t="s">
        <v>74</v>
      </c>
      <c r="I919" s="2" t="s">
        <v>5296</v>
      </c>
      <c r="J919" s="2" t="s">
        <v>77</v>
      </c>
      <c r="K919" s="2" t="s">
        <v>74</v>
      </c>
      <c r="L919" s="2" t="s">
        <v>74</v>
      </c>
      <c r="M919" s="2" t="s">
        <v>74</v>
      </c>
      <c r="N919" s="2" t="s">
        <v>74</v>
      </c>
      <c r="O919" s="2" t="s">
        <v>74</v>
      </c>
      <c r="P919" s="2" t="s">
        <v>74</v>
      </c>
      <c r="Q919" s="2" t="s">
        <v>74</v>
      </c>
      <c r="R919" s="2" t="s">
        <v>74</v>
      </c>
      <c r="S919" s="2" t="s">
        <v>74</v>
      </c>
      <c r="T919" s="2" t="s">
        <v>74</v>
      </c>
      <c r="U919" s="2" t="s">
        <v>74</v>
      </c>
      <c r="V919" s="5" t="s">
        <v>5297</v>
      </c>
      <c r="W919" s="2" t="s">
        <v>74</v>
      </c>
      <c r="X919" s="2" t="s">
        <v>74</v>
      </c>
      <c r="Y919" s="2" t="s">
        <v>74</v>
      </c>
      <c r="Z919" s="2" t="s">
        <v>74</v>
      </c>
      <c r="AA919" s="2" t="s">
        <v>5298</v>
      </c>
      <c r="AB919" s="2" t="s">
        <v>5299</v>
      </c>
      <c r="AC919" s="2" t="s">
        <v>74</v>
      </c>
      <c r="AD919" s="2" t="s">
        <v>74</v>
      </c>
      <c r="AE919" s="2" t="s">
        <v>74</v>
      </c>
      <c r="AF919" s="2" t="s">
        <v>74</v>
      </c>
      <c r="AG919" s="2" t="s">
        <v>74</v>
      </c>
      <c r="AH919" s="2" t="s">
        <v>74</v>
      </c>
      <c r="AI919" s="2" t="s">
        <v>74</v>
      </c>
      <c r="AJ919" s="2" t="s">
        <v>74</v>
      </c>
      <c r="AK919" s="2" t="s">
        <v>74</v>
      </c>
      <c r="AL919" s="2" t="s">
        <v>74</v>
      </c>
      <c r="AM919" s="2" t="s">
        <v>74</v>
      </c>
      <c r="AN919" s="2" t="s">
        <v>74</v>
      </c>
      <c r="AO919" s="2" t="s">
        <v>81</v>
      </c>
      <c r="AP919" s="2" t="s">
        <v>74</v>
      </c>
      <c r="AQ919" s="2" t="s">
        <v>74</v>
      </c>
      <c r="AR919" s="2" t="s">
        <v>74</v>
      </c>
      <c r="AS919" s="2" t="s">
        <v>74</v>
      </c>
      <c r="AT919" s="2" t="s">
        <v>145</v>
      </c>
      <c r="AU919" s="2">
        <v>1997</v>
      </c>
      <c r="AV919" s="2">
        <v>134</v>
      </c>
      <c r="AW919" s="2" t="s">
        <v>74</v>
      </c>
      <c r="AX919" s="2" t="s">
        <v>5300</v>
      </c>
      <c r="AY919" s="2" t="s">
        <v>74</v>
      </c>
      <c r="AZ919" s="2" t="s">
        <v>74</v>
      </c>
      <c r="BA919" s="2" t="s">
        <v>74</v>
      </c>
      <c r="BB919" s="2">
        <v>727</v>
      </c>
      <c r="BC919" s="2">
        <v>747</v>
      </c>
      <c r="BD919" s="2" t="s">
        <v>74</v>
      </c>
      <c r="BE919" s="2" t="s">
        <v>5301</v>
      </c>
      <c r="BF919" s="2" t="str">
        <f>HYPERLINK("http://dx.doi.org/10.1163/156853997X00043","http://dx.doi.org/10.1163/156853997X00043")</f>
        <v>http://dx.doi.org/10.1163/156853997X00043</v>
      </c>
      <c r="BG919" s="2" t="s">
        <v>74</v>
      </c>
      <c r="BH919" s="2" t="s">
        <v>74</v>
      </c>
      <c r="BI919" s="2" t="s">
        <v>74</v>
      </c>
      <c r="BJ919" s="2" t="s">
        <v>74</v>
      </c>
      <c r="BK919" s="2" t="s">
        <v>74</v>
      </c>
      <c r="BL919" s="2" t="s">
        <v>74</v>
      </c>
      <c r="BM919" s="2" t="s">
        <v>74</v>
      </c>
      <c r="BN919" s="2" t="s">
        <v>74</v>
      </c>
      <c r="BO919" s="2" t="s">
        <v>74</v>
      </c>
      <c r="BP919" s="2" t="s">
        <v>74</v>
      </c>
      <c r="BQ919" s="2" t="s">
        <v>74</v>
      </c>
      <c r="BR919" s="2" t="s">
        <v>74</v>
      </c>
      <c r="BS919" s="2" t="s">
        <v>5302</v>
      </c>
      <c r="BT919" s="2" t="str">
        <f>HYPERLINK("https%3A%2F%2Fwww.webofscience.com%2Fwos%2Fwoscc%2Ffull-record%2FWOS:A1997XY18500004","View Full Record in Web of Science")</f>
        <v>View Full Record in Web of Science</v>
      </c>
    </row>
    <row r="920" spans="1:72" s="2" customFormat="1" x14ac:dyDescent="0.4">
      <c r="A920" s="2" t="s">
        <v>72</v>
      </c>
      <c r="B920" s="2" t="s">
        <v>444</v>
      </c>
      <c r="C920" s="2" t="s">
        <v>74</v>
      </c>
      <c r="D920" s="2" t="s">
        <v>74</v>
      </c>
      <c r="E920" s="2" t="s">
        <v>74</v>
      </c>
      <c r="F920" s="2" t="s">
        <v>445</v>
      </c>
      <c r="G920" s="2" t="s">
        <v>74</v>
      </c>
      <c r="H920" s="2" t="s">
        <v>74</v>
      </c>
      <c r="I920" s="2" t="s">
        <v>446</v>
      </c>
      <c r="J920" s="2" t="s">
        <v>108</v>
      </c>
      <c r="K920" s="2" t="s">
        <v>74</v>
      </c>
      <c r="L920" s="2" t="s">
        <v>74</v>
      </c>
      <c r="M920" s="2" t="s">
        <v>74</v>
      </c>
      <c r="N920" s="2" t="s">
        <v>74</v>
      </c>
      <c r="O920" s="2" t="s">
        <v>74</v>
      </c>
      <c r="P920" s="2" t="s">
        <v>74</v>
      </c>
      <c r="Q920" s="2" t="s">
        <v>74</v>
      </c>
      <c r="R920" s="2" t="s">
        <v>74</v>
      </c>
      <c r="S920" s="2" t="s">
        <v>74</v>
      </c>
      <c r="T920" s="2" t="s">
        <v>74</v>
      </c>
      <c r="U920" s="2" t="s">
        <v>74</v>
      </c>
      <c r="V920" s="5" t="s">
        <v>447</v>
      </c>
      <c r="W920" s="2" t="s">
        <v>74</v>
      </c>
      <c r="X920" s="2" t="s">
        <v>74</v>
      </c>
      <c r="Y920" s="2" t="s">
        <v>74</v>
      </c>
      <c r="Z920" s="2" t="s">
        <v>74</v>
      </c>
      <c r="AA920" s="2" t="s">
        <v>448</v>
      </c>
      <c r="AB920" s="2" t="s">
        <v>449</v>
      </c>
      <c r="AC920" s="2" t="s">
        <v>74</v>
      </c>
      <c r="AD920" s="2" t="s">
        <v>74</v>
      </c>
      <c r="AE920" s="2" t="s">
        <v>74</v>
      </c>
      <c r="AF920" s="2" t="s">
        <v>74</v>
      </c>
      <c r="AG920" s="2" t="s">
        <v>74</v>
      </c>
      <c r="AH920" s="2" t="s">
        <v>74</v>
      </c>
      <c r="AI920" s="2" t="s">
        <v>74</v>
      </c>
      <c r="AJ920" s="2" t="s">
        <v>74</v>
      </c>
      <c r="AK920" s="2" t="s">
        <v>74</v>
      </c>
      <c r="AL920" s="2" t="s">
        <v>74</v>
      </c>
      <c r="AM920" s="2" t="s">
        <v>74</v>
      </c>
      <c r="AN920" s="2" t="s">
        <v>74</v>
      </c>
      <c r="AO920" s="2" t="s">
        <v>111</v>
      </c>
      <c r="AP920" s="2" t="s">
        <v>112</v>
      </c>
      <c r="AQ920" s="2" t="s">
        <v>74</v>
      </c>
      <c r="AR920" s="2" t="s">
        <v>74</v>
      </c>
      <c r="AS920" s="2" t="s">
        <v>74</v>
      </c>
      <c r="AT920" s="2" t="s">
        <v>450</v>
      </c>
      <c r="AU920" s="2">
        <v>2021</v>
      </c>
      <c r="AV920" s="2">
        <v>288</v>
      </c>
      <c r="AW920" s="2">
        <v>1947</v>
      </c>
      <c r="AX920" s="2" t="s">
        <v>74</v>
      </c>
      <c r="AY920" s="2" t="s">
        <v>74</v>
      </c>
      <c r="AZ920" s="2" t="s">
        <v>74</v>
      </c>
      <c r="BA920" s="2" t="s">
        <v>74</v>
      </c>
      <c r="BB920" s="2" t="s">
        <v>74</v>
      </c>
      <c r="BC920" s="2" t="s">
        <v>74</v>
      </c>
      <c r="BD920" s="2">
        <v>20210256</v>
      </c>
      <c r="BE920" s="2" t="s">
        <v>451</v>
      </c>
      <c r="BF920" s="2" t="str">
        <f>HYPERLINK("http://dx.doi.org/10.1098/rspb.2021.0256","http://dx.doi.org/10.1098/rspb.2021.0256")</f>
        <v>http://dx.doi.org/10.1098/rspb.2021.0256</v>
      </c>
      <c r="BG920" s="2" t="s">
        <v>74</v>
      </c>
      <c r="BH920" s="2" t="s">
        <v>74</v>
      </c>
      <c r="BI920" s="2" t="s">
        <v>74</v>
      </c>
      <c r="BJ920" s="2" t="s">
        <v>74</v>
      </c>
      <c r="BK920" s="2" t="s">
        <v>74</v>
      </c>
      <c r="BL920" s="2" t="s">
        <v>74</v>
      </c>
      <c r="BM920" s="2" t="s">
        <v>74</v>
      </c>
      <c r="BN920" s="2">
        <v>33784866</v>
      </c>
      <c r="BO920" s="2" t="s">
        <v>74</v>
      </c>
      <c r="BP920" s="2" t="s">
        <v>74</v>
      </c>
      <c r="BQ920" s="2" t="s">
        <v>74</v>
      </c>
      <c r="BR920" s="2" t="s">
        <v>74</v>
      </c>
      <c r="BS920" s="2" t="s">
        <v>452</v>
      </c>
      <c r="BT920" s="2" t="str">
        <f>HYPERLINK("https%3A%2F%2Fwww.webofscience.com%2Fwos%2Fwoscc%2Ffull-record%2FWOS:000636370000005","View Full Record in Web of Science")</f>
        <v>View Full Record in Web of Science</v>
      </c>
    </row>
    <row r="921" spans="1:72" s="2" customFormat="1" x14ac:dyDescent="0.4">
      <c r="A921" s="2" t="s">
        <v>72</v>
      </c>
      <c r="B921" s="2" t="s">
        <v>7999</v>
      </c>
      <c r="C921" s="2" t="s">
        <v>74</v>
      </c>
      <c r="D921" s="2" t="s">
        <v>74</v>
      </c>
      <c r="E921" s="2" t="s">
        <v>74</v>
      </c>
      <c r="F921" s="2" t="s">
        <v>8000</v>
      </c>
      <c r="G921" s="2" t="s">
        <v>74</v>
      </c>
      <c r="H921" s="2" t="s">
        <v>74</v>
      </c>
      <c r="I921" s="2" t="s">
        <v>8001</v>
      </c>
      <c r="J921" s="2" t="s">
        <v>1949</v>
      </c>
      <c r="K921" s="2" t="s">
        <v>74</v>
      </c>
      <c r="L921" s="2" t="s">
        <v>74</v>
      </c>
      <c r="M921" s="2" t="s">
        <v>74</v>
      </c>
      <c r="N921" s="2" t="s">
        <v>74</v>
      </c>
      <c r="O921" s="2" t="s">
        <v>74</v>
      </c>
      <c r="P921" s="2" t="s">
        <v>74</v>
      </c>
      <c r="Q921" s="2" t="s">
        <v>74</v>
      </c>
      <c r="R921" s="2" t="s">
        <v>74</v>
      </c>
      <c r="S921" s="2" t="s">
        <v>74</v>
      </c>
      <c r="T921" s="2" t="s">
        <v>74</v>
      </c>
      <c r="U921" s="2" t="s">
        <v>74</v>
      </c>
      <c r="V921" s="5" t="s">
        <v>8002</v>
      </c>
      <c r="W921" s="2" t="s">
        <v>74</v>
      </c>
      <c r="X921" s="2" t="s">
        <v>74</v>
      </c>
      <c r="Y921" s="2" t="s">
        <v>74</v>
      </c>
      <c r="Z921" s="2" t="s">
        <v>74</v>
      </c>
      <c r="AA921" s="2" t="s">
        <v>8003</v>
      </c>
      <c r="AB921" s="2" t="s">
        <v>8004</v>
      </c>
      <c r="AC921" s="2" t="s">
        <v>74</v>
      </c>
      <c r="AD921" s="2" t="s">
        <v>74</v>
      </c>
      <c r="AE921" s="2" t="s">
        <v>74</v>
      </c>
      <c r="AF921" s="2" t="s">
        <v>74</v>
      </c>
      <c r="AG921" s="2" t="s">
        <v>74</v>
      </c>
      <c r="AH921" s="2" t="s">
        <v>74</v>
      </c>
      <c r="AI921" s="2" t="s">
        <v>74</v>
      </c>
      <c r="AJ921" s="2" t="s">
        <v>74</v>
      </c>
      <c r="AK921" s="2" t="s">
        <v>74</v>
      </c>
      <c r="AL921" s="2" t="s">
        <v>74</v>
      </c>
      <c r="AM921" s="2" t="s">
        <v>74</v>
      </c>
      <c r="AN921" s="2" t="s">
        <v>74</v>
      </c>
      <c r="AO921" s="2" t="s">
        <v>74</v>
      </c>
      <c r="AP921" s="2" t="s">
        <v>1953</v>
      </c>
      <c r="AQ921" s="2" t="s">
        <v>74</v>
      </c>
      <c r="AR921" s="2" t="s">
        <v>74</v>
      </c>
      <c r="AS921" s="2" t="s">
        <v>74</v>
      </c>
      <c r="AT921" s="2" t="s">
        <v>213</v>
      </c>
      <c r="AU921" s="2">
        <v>2020</v>
      </c>
      <c r="AV921" s="2">
        <v>11</v>
      </c>
      <c r="AW921" s="2">
        <v>11</v>
      </c>
      <c r="AX921" s="2" t="s">
        <v>74</v>
      </c>
      <c r="AY921" s="2" t="s">
        <v>74</v>
      </c>
      <c r="AZ921" s="2" t="s">
        <v>74</v>
      </c>
      <c r="BA921" s="2" t="s">
        <v>74</v>
      </c>
      <c r="BB921" s="2" t="s">
        <v>74</v>
      </c>
      <c r="BC921" s="2" t="s">
        <v>74</v>
      </c>
      <c r="BD921" s="2">
        <v>800</v>
      </c>
      <c r="BE921" s="2" t="s">
        <v>8005</v>
      </c>
      <c r="BF921" s="2" t="str">
        <f>HYPERLINK("http://dx.doi.org/10.3390/insects11110800","http://dx.doi.org/10.3390/insects11110800")</f>
        <v>http://dx.doi.org/10.3390/insects11110800</v>
      </c>
      <c r="BG921" s="2" t="s">
        <v>74</v>
      </c>
      <c r="BH921" s="2" t="s">
        <v>74</v>
      </c>
      <c r="BI921" s="2" t="s">
        <v>74</v>
      </c>
      <c r="BJ921" s="2" t="s">
        <v>74</v>
      </c>
      <c r="BK921" s="2" t="s">
        <v>74</v>
      </c>
      <c r="BL921" s="2" t="s">
        <v>74</v>
      </c>
      <c r="BM921" s="2" t="s">
        <v>74</v>
      </c>
      <c r="BN921" s="2">
        <v>33202846</v>
      </c>
      <c r="BO921" s="2" t="s">
        <v>74</v>
      </c>
      <c r="BP921" s="2" t="s">
        <v>74</v>
      </c>
      <c r="BQ921" s="2" t="s">
        <v>74</v>
      </c>
      <c r="BR921" s="2" t="s">
        <v>74</v>
      </c>
      <c r="BS921" s="2" t="s">
        <v>8006</v>
      </c>
      <c r="BT921" s="2" t="str">
        <f>HYPERLINK("https%3A%2F%2Fwww.webofscience.com%2Fwos%2Fwoscc%2Ffull-record%2FWOS:000593180700001","View Full Record in Web of Science")</f>
        <v>View Full Record in Web of Science</v>
      </c>
    </row>
    <row r="922" spans="1:72" s="2" customFormat="1" x14ac:dyDescent="0.4">
      <c r="A922" s="2" t="s">
        <v>72</v>
      </c>
      <c r="B922" s="2" t="s">
        <v>942</v>
      </c>
      <c r="C922" s="2" t="s">
        <v>74</v>
      </c>
      <c r="D922" s="2" t="s">
        <v>74</v>
      </c>
      <c r="E922" s="2" t="s">
        <v>74</v>
      </c>
      <c r="F922" s="2" t="s">
        <v>943</v>
      </c>
      <c r="G922" s="2" t="s">
        <v>74</v>
      </c>
      <c r="H922" s="2" t="s">
        <v>74</v>
      </c>
      <c r="I922" s="2" t="s">
        <v>944</v>
      </c>
      <c r="J922" s="2" t="s">
        <v>140</v>
      </c>
      <c r="K922" s="2" t="s">
        <v>74</v>
      </c>
      <c r="L922" s="2" t="s">
        <v>74</v>
      </c>
      <c r="M922" s="2" t="s">
        <v>74</v>
      </c>
      <c r="N922" s="2" t="s">
        <v>74</v>
      </c>
      <c r="O922" s="2" t="s">
        <v>74</v>
      </c>
      <c r="P922" s="2" t="s">
        <v>74</v>
      </c>
      <c r="Q922" s="2" t="s">
        <v>74</v>
      </c>
      <c r="R922" s="2" t="s">
        <v>74</v>
      </c>
      <c r="S922" s="2" t="s">
        <v>74</v>
      </c>
      <c r="T922" s="2" t="s">
        <v>74</v>
      </c>
      <c r="U922" s="2" t="s">
        <v>74</v>
      </c>
      <c r="V922" s="5" t="s">
        <v>945</v>
      </c>
      <c r="W922" s="2" t="s">
        <v>74</v>
      </c>
      <c r="X922" s="2" t="s">
        <v>74</v>
      </c>
      <c r="Y922" s="2" t="s">
        <v>74</v>
      </c>
      <c r="Z922" s="2" t="s">
        <v>74</v>
      </c>
      <c r="AA922" s="2" t="s">
        <v>946</v>
      </c>
      <c r="AB922" s="2" t="s">
        <v>947</v>
      </c>
      <c r="AC922" s="2" t="s">
        <v>74</v>
      </c>
      <c r="AD922" s="2" t="s">
        <v>74</v>
      </c>
      <c r="AE922" s="2" t="s">
        <v>74</v>
      </c>
      <c r="AF922" s="2" t="s">
        <v>74</v>
      </c>
      <c r="AG922" s="2" t="s">
        <v>74</v>
      </c>
      <c r="AH922" s="2" t="s">
        <v>74</v>
      </c>
      <c r="AI922" s="2" t="s">
        <v>74</v>
      </c>
      <c r="AJ922" s="2" t="s">
        <v>74</v>
      </c>
      <c r="AK922" s="2" t="s">
        <v>74</v>
      </c>
      <c r="AL922" s="2" t="s">
        <v>74</v>
      </c>
      <c r="AM922" s="2" t="s">
        <v>74</v>
      </c>
      <c r="AN922" s="2" t="s">
        <v>74</v>
      </c>
      <c r="AO922" s="2" t="s">
        <v>143</v>
      </c>
      <c r="AP922" s="2" t="s">
        <v>144</v>
      </c>
      <c r="AQ922" s="2" t="s">
        <v>74</v>
      </c>
      <c r="AR922" s="2" t="s">
        <v>74</v>
      </c>
      <c r="AS922" s="2" t="s">
        <v>74</v>
      </c>
      <c r="AT922" s="2" t="s">
        <v>305</v>
      </c>
      <c r="AU922" s="2">
        <v>2020</v>
      </c>
      <c r="AV922" s="2">
        <v>170</v>
      </c>
      <c r="AW922" s="2" t="s">
        <v>74</v>
      </c>
      <c r="AX922" s="2" t="s">
        <v>74</v>
      </c>
      <c r="AY922" s="2" t="s">
        <v>74</v>
      </c>
      <c r="AZ922" s="2" t="s">
        <v>74</v>
      </c>
      <c r="BA922" s="2" t="s">
        <v>74</v>
      </c>
      <c r="BB922" s="2">
        <v>219</v>
      </c>
      <c r="BC922" s="2">
        <v>228</v>
      </c>
      <c r="BD922" s="2" t="s">
        <v>74</v>
      </c>
      <c r="BE922" s="2" t="s">
        <v>948</v>
      </c>
      <c r="BF922" s="2" t="str">
        <f>HYPERLINK("http://dx.doi.org/10.1016/j.anbehav.2020.10.008","http://dx.doi.org/10.1016/j.anbehav.2020.10.008")</f>
        <v>http://dx.doi.org/10.1016/j.anbehav.2020.10.008</v>
      </c>
      <c r="BG922" s="2" t="s">
        <v>74</v>
      </c>
      <c r="BH922" s="2" t="s">
        <v>74</v>
      </c>
      <c r="BI922" s="2" t="s">
        <v>74</v>
      </c>
      <c r="BJ922" s="2" t="s">
        <v>74</v>
      </c>
      <c r="BK922" s="2" t="s">
        <v>74</v>
      </c>
      <c r="BL922" s="2" t="s">
        <v>74</v>
      </c>
      <c r="BM922" s="2" t="s">
        <v>74</v>
      </c>
      <c r="BN922" s="2" t="s">
        <v>74</v>
      </c>
      <c r="BO922" s="2" t="s">
        <v>74</v>
      </c>
      <c r="BP922" s="2" t="s">
        <v>74</v>
      </c>
      <c r="BQ922" s="2" t="s">
        <v>74</v>
      </c>
      <c r="BR922" s="2" t="s">
        <v>74</v>
      </c>
      <c r="BS922" s="2" t="s">
        <v>949</v>
      </c>
      <c r="BT922" s="2" t="str">
        <f>HYPERLINK("https%3A%2F%2Fwww.webofscience.com%2Fwos%2Fwoscc%2Ffull-record%2FWOS:000598905300020","View Full Record in Web of Science")</f>
        <v>View Full Record in Web of Science</v>
      </c>
    </row>
    <row r="923" spans="1:72" s="2" customFormat="1" x14ac:dyDescent="0.4">
      <c r="A923" s="2" t="s">
        <v>72</v>
      </c>
      <c r="B923" s="2" t="s">
        <v>6503</v>
      </c>
      <c r="C923" s="2" t="s">
        <v>74</v>
      </c>
      <c r="D923" s="2" t="s">
        <v>74</v>
      </c>
      <c r="E923" s="2" t="s">
        <v>74</v>
      </c>
      <c r="F923" s="2" t="s">
        <v>6503</v>
      </c>
      <c r="G923" s="2" t="s">
        <v>74</v>
      </c>
      <c r="H923" s="2" t="s">
        <v>74</v>
      </c>
      <c r="I923" s="2" t="s">
        <v>6504</v>
      </c>
      <c r="J923" s="2" t="s">
        <v>1198</v>
      </c>
      <c r="K923" s="2" t="s">
        <v>74</v>
      </c>
      <c r="L923" s="2" t="s">
        <v>74</v>
      </c>
      <c r="M923" s="2" t="s">
        <v>74</v>
      </c>
      <c r="N923" s="2" t="s">
        <v>74</v>
      </c>
      <c r="O923" s="2" t="s">
        <v>74</v>
      </c>
      <c r="P923" s="2" t="s">
        <v>74</v>
      </c>
      <c r="Q923" s="2" t="s">
        <v>74</v>
      </c>
      <c r="R923" s="2" t="s">
        <v>74</v>
      </c>
      <c r="S923" s="2" t="s">
        <v>74</v>
      </c>
      <c r="T923" s="2" t="s">
        <v>74</v>
      </c>
      <c r="U923" s="2" t="s">
        <v>74</v>
      </c>
      <c r="V923" s="5" t="s">
        <v>6505</v>
      </c>
      <c r="W923" s="2" t="s">
        <v>74</v>
      </c>
      <c r="X923" s="2" t="s">
        <v>74</v>
      </c>
      <c r="Y923" s="2" t="s">
        <v>74</v>
      </c>
      <c r="Z923" s="2" t="s">
        <v>74</v>
      </c>
      <c r="AA923" s="2" t="s">
        <v>6506</v>
      </c>
      <c r="AB923" s="2" t="s">
        <v>6507</v>
      </c>
      <c r="AC923" s="2" t="s">
        <v>74</v>
      </c>
      <c r="AD923" s="2" t="s">
        <v>74</v>
      </c>
      <c r="AE923" s="2" t="s">
        <v>74</v>
      </c>
      <c r="AF923" s="2" t="s">
        <v>74</v>
      </c>
      <c r="AG923" s="2" t="s">
        <v>74</v>
      </c>
      <c r="AH923" s="2" t="s">
        <v>74</v>
      </c>
      <c r="AI923" s="2" t="s">
        <v>74</v>
      </c>
      <c r="AJ923" s="2" t="s">
        <v>74</v>
      </c>
      <c r="AK923" s="2" t="s">
        <v>74</v>
      </c>
      <c r="AL923" s="2" t="s">
        <v>74</v>
      </c>
      <c r="AM923" s="2" t="s">
        <v>74</v>
      </c>
      <c r="AN923" s="2" t="s">
        <v>74</v>
      </c>
      <c r="AO923" s="2" t="s">
        <v>1202</v>
      </c>
      <c r="AP923" s="2" t="s">
        <v>1203</v>
      </c>
      <c r="AQ923" s="2" t="s">
        <v>74</v>
      </c>
      <c r="AR923" s="2" t="s">
        <v>74</v>
      </c>
      <c r="AS923" s="2" t="s">
        <v>74</v>
      </c>
      <c r="AT923" s="2" t="s">
        <v>102</v>
      </c>
      <c r="AU923" s="2">
        <v>2005</v>
      </c>
      <c r="AV923" s="2">
        <v>61</v>
      </c>
      <c r="AW923" s="2">
        <v>2</v>
      </c>
      <c r="AX923" s="2" t="s">
        <v>74</v>
      </c>
      <c r="AY923" s="2" t="s">
        <v>74</v>
      </c>
      <c r="AZ923" s="2" t="s">
        <v>74</v>
      </c>
      <c r="BA923" s="2" t="s">
        <v>74</v>
      </c>
      <c r="BB923" s="2">
        <v>178</v>
      </c>
      <c r="BC923" s="2">
        <v>198</v>
      </c>
      <c r="BD923" s="2" t="s">
        <v>74</v>
      </c>
      <c r="BE923" s="2" t="s">
        <v>6508</v>
      </c>
      <c r="BF923" s="2" t="str">
        <f>HYPERLINK("http://dx.doi.org/10.1655/04-38","http://dx.doi.org/10.1655/04-38")</f>
        <v>http://dx.doi.org/10.1655/04-38</v>
      </c>
      <c r="BG923" s="2" t="s">
        <v>74</v>
      </c>
      <c r="BH923" s="2" t="s">
        <v>74</v>
      </c>
      <c r="BI923" s="2" t="s">
        <v>74</v>
      </c>
      <c r="BJ923" s="2" t="s">
        <v>74</v>
      </c>
      <c r="BK923" s="2" t="s">
        <v>74</v>
      </c>
      <c r="BL923" s="2" t="s">
        <v>74</v>
      </c>
      <c r="BM923" s="2" t="s">
        <v>74</v>
      </c>
      <c r="BN923" s="2" t="s">
        <v>74</v>
      </c>
      <c r="BO923" s="2" t="s">
        <v>74</v>
      </c>
      <c r="BP923" s="2" t="s">
        <v>74</v>
      </c>
      <c r="BQ923" s="2" t="s">
        <v>74</v>
      </c>
      <c r="BR923" s="2" t="s">
        <v>74</v>
      </c>
      <c r="BS923" s="2" t="s">
        <v>6509</v>
      </c>
      <c r="BT923" s="2" t="str">
        <f>HYPERLINK("https%3A%2F%2Fwww.webofscience.com%2Fwos%2Fwoscc%2Ffull-record%2FWOS:000229100000010","View Full Record in Web of Science")</f>
        <v>View Full Record in Web of Science</v>
      </c>
    </row>
    <row r="924" spans="1:72" s="7" customFormat="1" x14ac:dyDescent="0.4">
      <c r="A924" s="2" t="s">
        <v>72</v>
      </c>
      <c r="B924" s="2" t="s">
        <v>2886</v>
      </c>
      <c r="C924" s="2" t="s">
        <v>74</v>
      </c>
      <c r="D924" s="2" t="s">
        <v>74</v>
      </c>
      <c r="E924" s="2" t="s">
        <v>74</v>
      </c>
      <c r="F924" s="2" t="s">
        <v>2887</v>
      </c>
      <c r="G924" s="2" t="s">
        <v>74</v>
      </c>
      <c r="H924" s="2" t="s">
        <v>74</v>
      </c>
      <c r="I924" s="2" t="s">
        <v>2888</v>
      </c>
      <c r="J924" s="2" t="s">
        <v>218</v>
      </c>
      <c r="K924" s="2" t="s">
        <v>74</v>
      </c>
      <c r="L924" s="2" t="s">
        <v>74</v>
      </c>
      <c r="M924" s="2" t="s">
        <v>74</v>
      </c>
      <c r="N924" s="2" t="s">
        <v>74</v>
      </c>
      <c r="O924" s="2" t="s">
        <v>74</v>
      </c>
      <c r="P924" s="2" t="s">
        <v>74</v>
      </c>
      <c r="Q924" s="2" t="s">
        <v>74</v>
      </c>
      <c r="R924" s="2" t="s">
        <v>74</v>
      </c>
      <c r="S924" s="2" t="s">
        <v>74</v>
      </c>
      <c r="T924" s="2" t="s">
        <v>74</v>
      </c>
      <c r="U924" s="2" t="s">
        <v>74</v>
      </c>
      <c r="V924" s="5" t="s">
        <v>2889</v>
      </c>
      <c r="W924" s="2" t="s">
        <v>74</v>
      </c>
      <c r="X924" s="2" t="s">
        <v>74</v>
      </c>
      <c r="Y924" s="2" t="s">
        <v>74</v>
      </c>
      <c r="Z924" s="2" t="s">
        <v>74</v>
      </c>
      <c r="AA924" s="2" t="s">
        <v>74</v>
      </c>
      <c r="AB924" s="2" t="s">
        <v>2890</v>
      </c>
      <c r="AC924" s="2" t="s">
        <v>74</v>
      </c>
      <c r="AD924" s="2" t="s">
        <v>74</v>
      </c>
      <c r="AE924" s="2" t="s">
        <v>74</v>
      </c>
      <c r="AF924" s="2" t="s">
        <v>74</v>
      </c>
      <c r="AG924" s="2" t="s">
        <v>74</v>
      </c>
      <c r="AH924" s="2" t="s">
        <v>74</v>
      </c>
      <c r="AI924" s="2" t="s">
        <v>74</v>
      </c>
      <c r="AJ924" s="2" t="s">
        <v>74</v>
      </c>
      <c r="AK924" s="2" t="s">
        <v>74</v>
      </c>
      <c r="AL924" s="2" t="s">
        <v>74</v>
      </c>
      <c r="AM924" s="2" t="s">
        <v>74</v>
      </c>
      <c r="AN924" s="2" t="s">
        <v>74</v>
      </c>
      <c r="AO924" s="2" t="s">
        <v>221</v>
      </c>
      <c r="AP924" s="2" t="s">
        <v>222</v>
      </c>
      <c r="AQ924" s="2" t="s">
        <v>74</v>
      </c>
      <c r="AR924" s="2" t="s">
        <v>74</v>
      </c>
      <c r="AS924" s="2" t="s">
        <v>74</v>
      </c>
      <c r="AT924" s="2" t="s">
        <v>964</v>
      </c>
      <c r="AU924" s="2">
        <v>2016</v>
      </c>
      <c r="AV924" s="2">
        <v>29</v>
      </c>
      <c r="AW924" s="2">
        <v>2</v>
      </c>
      <c r="AX924" s="2" t="s">
        <v>74</v>
      </c>
      <c r="AY924" s="2" t="s">
        <v>74</v>
      </c>
      <c r="AZ924" s="2" t="s">
        <v>74</v>
      </c>
      <c r="BA924" s="2" t="s">
        <v>74</v>
      </c>
      <c r="BB924" s="2">
        <v>380</v>
      </c>
      <c r="BC924" s="2">
        <v>394</v>
      </c>
      <c r="BD924" s="2" t="s">
        <v>74</v>
      </c>
      <c r="BE924" s="2" t="s">
        <v>2891</v>
      </c>
      <c r="BF924" s="2" t="str">
        <f>HYPERLINK("http://dx.doi.org/10.1111/jeb.12793","http://dx.doi.org/10.1111/jeb.12793")</f>
        <v>http://dx.doi.org/10.1111/jeb.12793</v>
      </c>
      <c r="BG924" s="2" t="s">
        <v>74</v>
      </c>
      <c r="BH924" s="2" t="s">
        <v>74</v>
      </c>
      <c r="BI924" s="2" t="s">
        <v>74</v>
      </c>
      <c r="BJ924" s="2" t="s">
        <v>74</v>
      </c>
      <c r="BK924" s="2" t="s">
        <v>74</v>
      </c>
      <c r="BL924" s="2" t="s">
        <v>74</v>
      </c>
      <c r="BM924" s="2" t="s">
        <v>74</v>
      </c>
      <c r="BN924" s="2">
        <v>26563617</v>
      </c>
      <c r="BO924" s="2" t="s">
        <v>74</v>
      </c>
      <c r="BP924" s="2" t="s">
        <v>74</v>
      </c>
      <c r="BQ924" s="2" t="s">
        <v>74</v>
      </c>
      <c r="BR924" s="2" t="s">
        <v>74</v>
      </c>
      <c r="BS924" s="2" t="s">
        <v>2892</v>
      </c>
      <c r="BT924" s="2" t="str">
        <f>HYPERLINK("https%3A%2F%2Fwww.webofscience.com%2Fwos%2Fwoscc%2Ffull-record%2FWOS:000370070500014","View Full Record in Web of Science")</f>
        <v>View Full Record in Web of Science</v>
      </c>
    </row>
    <row r="925" spans="1:72" s="2" customFormat="1" x14ac:dyDescent="0.4">
      <c r="A925" s="2" t="s">
        <v>72</v>
      </c>
      <c r="B925" s="2" t="s">
        <v>3764</v>
      </c>
      <c r="C925" s="2" t="s">
        <v>74</v>
      </c>
      <c r="D925" s="2" t="s">
        <v>74</v>
      </c>
      <c r="E925" s="2" t="s">
        <v>74</v>
      </c>
      <c r="F925" s="2" t="s">
        <v>3764</v>
      </c>
      <c r="G925" s="2" t="s">
        <v>74</v>
      </c>
      <c r="H925" s="2" t="s">
        <v>74</v>
      </c>
      <c r="I925" s="2" t="s">
        <v>3765</v>
      </c>
      <c r="J925" s="2" t="s">
        <v>2207</v>
      </c>
      <c r="K925" s="2" t="s">
        <v>74</v>
      </c>
      <c r="L925" s="2" t="s">
        <v>74</v>
      </c>
      <c r="M925" s="2" t="s">
        <v>74</v>
      </c>
      <c r="N925" s="2" t="s">
        <v>74</v>
      </c>
      <c r="O925" s="2" t="s">
        <v>74</v>
      </c>
      <c r="P925" s="2" t="s">
        <v>74</v>
      </c>
      <c r="Q925" s="2" t="s">
        <v>74</v>
      </c>
      <c r="R925" s="2" t="s">
        <v>74</v>
      </c>
      <c r="S925" s="2" t="s">
        <v>74</v>
      </c>
      <c r="T925" s="2" t="s">
        <v>74</v>
      </c>
      <c r="U925" s="2" t="s">
        <v>74</v>
      </c>
      <c r="V925" s="5" t="s">
        <v>3766</v>
      </c>
      <c r="W925" s="2" t="s">
        <v>74</v>
      </c>
      <c r="X925" s="2" t="s">
        <v>74</v>
      </c>
      <c r="Y925" s="2" t="s">
        <v>74</v>
      </c>
      <c r="Z925" s="2" t="s">
        <v>74</v>
      </c>
      <c r="AA925" s="2" t="s">
        <v>3767</v>
      </c>
      <c r="AB925" s="2" t="s">
        <v>3768</v>
      </c>
      <c r="AC925" s="2" t="s">
        <v>74</v>
      </c>
      <c r="AD925" s="2" t="s">
        <v>74</v>
      </c>
      <c r="AE925" s="2" t="s">
        <v>74</v>
      </c>
      <c r="AF925" s="2" t="s">
        <v>74</v>
      </c>
      <c r="AG925" s="2" t="s">
        <v>74</v>
      </c>
      <c r="AH925" s="2" t="s">
        <v>74</v>
      </c>
      <c r="AI925" s="2" t="s">
        <v>74</v>
      </c>
      <c r="AJ925" s="2" t="s">
        <v>74</v>
      </c>
      <c r="AK925" s="2" t="s">
        <v>74</v>
      </c>
      <c r="AL925" s="2" t="s">
        <v>74</v>
      </c>
      <c r="AM925" s="2" t="s">
        <v>74</v>
      </c>
      <c r="AN925" s="2" t="s">
        <v>74</v>
      </c>
      <c r="AO925" s="2" t="s">
        <v>2211</v>
      </c>
      <c r="AP925" s="2" t="s">
        <v>2461</v>
      </c>
      <c r="AQ925" s="2" t="s">
        <v>74</v>
      </c>
      <c r="AR925" s="2" t="s">
        <v>74</v>
      </c>
      <c r="AS925" s="2" t="s">
        <v>74</v>
      </c>
      <c r="AT925" s="2" t="s">
        <v>213</v>
      </c>
      <c r="AU925" s="2">
        <v>2004</v>
      </c>
      <c r="AV925" s="2">
        <v>35</v>
      </c>
      <c r="AW925" s="2">
        <v>6</v>
      </c>
      <c r="AX925" s="2" t="s">
        <v>74</v>
      </c>
      <c r="AY925" s="2" t="s">
        <v>74</v>
      </c>
      <c r="AZ925" s="2" t="s">
        <v>74</v>
      </c>
      <c r="BA925" s="2" t="s">
        <v>74</v>
      </c>
      <c r="BB925" s="2">
        <v>492</v>
      </c>
      <c r="BC925" s="2">
        <v>500</v>
      </c>
      <c r="BD925" s="2" t="s">
        <v>74</v>
      </c>
      <c r="BE925" s="2" t="s">
        <v>3769</v>
      </c>
      <c r="BF925" s="2" t="str">
        <f>HYPERLINK("http://dx.doi.org/10.1111/j.0908-8857.2004.03294.x","http://dx.doi.org/10.1111/j.0908-8857.2004.03294.x")</f>
        <v>http://dx.doi.org/10.1111/j.0908-8857.2004.03294.x</v>
      </c>
      <c r="BG925" s="2" t="s">
        <v>74</v>
      </c>
      <c r="BH925" s="2" t="s">
        <v>74</v>
      </c>
      <c r="BI925" s="2" t="s">
        <v>74</v>
      </c>
      <c r="BJ925" s="2" t="s">
        <v>74</v>
      </c>
      <c r="BK925" s="2" t="s">
        <v>74</v>
      </c>
      <c r="BL925" s="2" t="s">
        <v>74</v>
      </c>
      <c r="BM925" s="2" t="s">
        <v>74</v>
      </c>
      <c r="BN925" s="2" t="s">
        <v>74</v>
      </c>
      <c r="BO925" s="2" t="s">
        <v>74</v>
      </c>
      <c r="BP925" s="2" t="s">
        <v>74</v>
      </c>
      <c r="BQ925" s="2" t="s">
        <v>74</v>
      </c>
      <c r="BR925" s="2" t="s">
        <v>74</v>
      </c>
      <c r="BS925" s="2" t="s">
        <v>3770</v>
      </c>
      <c r="BT925" s="2" t="str">
        <f>HYPERLINK("https%3A%2F%2Fwww.webofscience.com%2Fwos%2Fwoscc%2Ffull-record%2FWOS:000225224600007","View Full Record in Web of Science")</f>
        <v>View Full Record in Web of Science</v>
      </c>
    </row>
    <row r="926" spans="1:72" s="2" customFormat="1" x14ac:dyDescent="0.4">
      <c r="A926" s="2" t="s">
        <v>72</v>
      </c>
      <c r="B926" s="2" t="s">
        <v>6564</v>
      </c>
      <c r="C926" s="2" t="s">
        <v>74</v>
      </c>
      <c r="D926" s="2" t="s">
        <v>74</v>
      </c>
      <c r="E926" s="2" t="s">
        <v>74</v>
      </c>
      <c r="F926" s="2" t="s">
        <v>6564</v>
      </c>
      <c r="G926" s="2" t="s">
        <v>74</v>
      </c>
      <c r="H926" s="2" t="s">
        <v>74</v>
      </c>
      <c r="I926" s="2" t="s">
        <v>6565</v>
      </c>
      <c r="J926" s="2" t="s">
        <v>344</v>
      </c>
      <c r="K926" s="2" t="s">
        <v>74</v>
      </c>
      <c r="L926" s="2" t="s">
        <v>74</v>
      </c>
      <c r="M926" s="2" t="s">
        <v>74</v>
      </c>
      <c r="N926" s="2" t="s">
        <v>74</v>
      </c>
      <c r="O926" s="2" t="s">
        <v>6566</v>
      </c>
      <c r="P926" s="2">
        <v>1996</v>
      </c>
      <c r="Q926" s="2" t="s">
        <v>6567</v>
      </c>
      <c r="R926" s="2" t="s">
        <v>74</v>
      </c>
      <c r="S926" s="2" t="s">
        <v>74</v>
      </c>
      <c r="T926" s="2" t="s">
        <v>74</v>
      </c>
      <c r="U926" s="2" t="s">
        <v>74</v>
      </c>
      <c r="V926" s="5" t="s">
        <v>6568</v>
      </c>
      <c r="W926" s="2" t="s">
        <v>74</v>
      </c>
      <c r="X926" s="2" t="s">
        <v>74</v>
      </c>
      <c r="Y926" s="2" t="s">
        <v>74</v>
      </c>
      <c r="Z926" s="2" t="s">
        <v>74</v>
      </c>
      <c r="AA926" s="2" t="s">
        <v>74</v>
      </c>
      <c r="AB926" s="2" t="s">
        <v>74</v>
      </c>
      <c r="AC926" s="2" t="s">
        <v>74</v>
      </c>
      <c r="AD926" s="2" t="s">
        <v>74</v>
      </c>
      <c r="AE926" s="2" t="s">
        <v>74</v>
      </c>
      <c r="AF926" s="2" t="s">
        <v>74</v>
      </c>
      <c r="AG926" s="2" t="s">
        <v>74</v>
      </c>
      <c r="AH926" s="2" t="s">
        <v>74</v>
      </c>
      <c r="AI926" s="2" t="s">
        <v>74</v>
      </c>
      <c r="AJ926" s="2" t="s">
        <v>74</v>
      </c>
      <c r="AK926" s="2" t="s">
        <v>74</v>
      </c>
      <c r="AL926" s="2" t="s">
        <v>74</v>
      </c>
      <c r="AM926" s="2" t="s">
        <v>74</v>
      </c>
      <c r="AN926" s="2" t="s">
        <v>74</v>
      </c>
      <c r="AO926" s="2" t="s">
        <v>346</v>
      </c>
      <c r="AP926" s="2" t="s">
        <v>6569</v>
      </c>
      <c r="AQ926" s="2" t="s">
        <v>74</v>
      </c>
      <c r="AR926" s="2" t="s">
        <v>74</v>
      </c>
      <c r="AS926" s="2" t="s">
        <v>74</v>
      </c>
      <c r="AT926" s="2" t="s">
        <v>213</v>
      </c>
      <c r="AU926" s="2">
        <v>1999</v>
      </c>
      <c r="AV926" s="2">
        <v>56</v>
      </c>
      <c r="AW926" s="2">
        <v>3</v>
      </c>
      <c r="AX926" s="2" t="s">
        <v>74</v>
      </c>
      <c r="AY926" s="2" t="s">
        <v>74</v>
      </c>
      <c r="AZ926" s="2" t="s">
        <v>74</v>
      </c>
      <c r="BA926" s="2" t="s">
        <v>74</v>
      </c>
      <c r="BB926" s="2">
        <v>285</v>
      </c>
      <c r="BC926" s="2">
        <v>305</v>
      </c>
      <c r="BD926" s="2" t="s">
        <v>74</v>
      </c>
      <c r="BE926" s="2" t="s">
        <v>6570</v>
      </c>
      <c r="BF926" s="2" t="str">
        <f>HYPERLINK("http://dx.doi.org/10.1023/A:1007517720723","http://dx.doi.org/10.1023/A:1007517720723")</f>
        <v>http://dx.doi.org/10.1023/A:1007517720723</v>
      </c>
      <c r="BG926" s="2" t="s">
        <v>74</v>
      </c>
      <c r="BH926" s="2" t="s">
        <v>74</v>
      </c>
      <c r="BI926" s="2" t="s">
        <v>74</v>
      </c>
      <c r="BJ926" s="2" t="s">
        <v>74</v>
      </c>
      <c r="BK926" s="2" t="s">
        <v>74</v>
      </c>
      <c r="BL926" s="2" t="s">
        <v>74</v>
      </c>
      <c r="BM926" s="2" t="s">
        <v>74</v>
      </c>
      <c r="BN926" s="2" t="s">
        <v>74</v>
      </c>
      <c r="BO926" s="2" t="s">
        <v>74</v>
      </c>
      <c r="BP926" s="2" t="s">
        <v>74</v>
      </c>
      <c r="BQ926" s="2" t="s">
        <v>74</v>
      </c>
      <c r="BR926" s="2" t="s">
        <v>74</v>
      </c>
      <c r="BS926" s="2" t="s">
        <v>6571</v>
      </c>
      <c r="BT926" s="2" t="str">
        <f>HYPERLINK("https%3A%2F%2Fwww.webofscience.com%2Fwos%2Fwoscc%2Ffull-record%2FWOS:000083273300002","View Full Record in Web of Science")</f>
        <v>View Full Record in Web of Science</v>
      </c>
    </row>
    <row r="927" spans="1:72" s="2" customFormat="1" x14ac:dyDescent="0.4">
      <c r="A927" s="2" t="s">
        <v>72</v>
      </c>
      <c r="B927" s="2" t="s">
        <v>3491</v>
      </c>
      <c r="C927" s="2" t="s">
        <v>74</v>
      </c>
      <c r="D927" s="2" t="s">
        <v>74</v>
      </c>
      <c r="E927" s="2" t="s">
        <v>74</v>
      </c>
      <c r="F927" s="2" t="s">
        <v>3491</v>
      </c>
      <c r="G927" s="2" t="s">
        <v>74</v>
      </c>
      <c r="H927" s="2" t="s">
        <v>74</v>
      </c>
      <c r="I927" s="2" t="s">
        <v>3492</v>
      </c>
      <c r="J927" s="2" t="s">
        <v>140</v>
      </c>
      <c r="K927" s="2" t="s">
        <v>74</v>
      </c>
      <c r="L927" s="2" t="s">
        <v>74</v>
      </c>
      <c r="M927" s="2" t="s">
        <v>74</v>
      </c>
      <c r="N927" s="2" t="s">
        <v>74</v>
      </c>
      <c r="O927" s="2" t="s">
        <v>74</v>
      </c>
      <c r="P927" s="2" t="s">
        <v>74</v>
      </c>
      <c r="Q927" s="2" t="s">
        <v>74</v>
      </c>
      <c r="R927" s="2" t="s">
        <v>74</v>
      </c>
      <c r="S927" s="2" t="s">
        <v>74</v>
      </c>
      <c r="T927" s="2" t="s">
        <v>74</v>
      </c>
      <c r="U927" s="2" t="s">
        <v>74</v>
      </c>
      <c r="V927" s="5" t="s">
        <v>3493</v>
      </c>
      <c r="W927" s="2" t="s">
        <v>74</v>
      </c>
      <c r="X927" s="2" t="s">
        <v>74</v>
      </c>
      <c r="Y927" s="2" t="s">
        <v>74</v>
      </c>
      <c r="Z927" s="2" t="s">
        <v>74</v>
      </c>
      <c r="AA927" s="2" t="s">
        <v>74</v>
      </c>
      <c r="AB927" s="2" t="s">
        <v>74</v>
      </c>
      <c r="AC927" s="2" t="s">
        <v>74</v>
      </c>
      <c r="AD927" s="2" t="s">
        <v>74</v>
      </c>
      <c r="AE927" s="2" t="s">
        <v>74</v>
      </c>
      <c r="AF927" s="2" t="s">
        <v>74</v>
      </c>
      <c r="AG927" s="2" t="s">
        <v>74</v>
      </c>
      <c r="AH927" s="2" t="s">
        <v>74</v>
      </c>
      <c r="AI927" s="2" t="s">
        <v>74</v>
      </c>
      <c r="AJ927" s="2" t="s">
        <v>74</v>
      </c>
      <c r="AK927" s="2" t="s">
        <v>74</v>
      </c>
      <c r="AL927" s="2" t="s">
        <v>74</v>
      </c>
      <c r="AM927" s="2" t="s">
        <v>74</v>
      </c>
      <c r="AN927" s="2" t="s">
        <v>74</v>
      </c>
      <c r="AO927" s="2" t="s">
        <v>143</v>
      </c>
      <c r="AP927" s="2" t="s">
        <v>144</v>
      </c>
      <c r="AQ927" s="2" t="s">
        <v>74</v>
      </c>
      <c r="AR927" s="2" t="s">
        <v>74</v>
      </c>
      <c r="AS927" s="2" t="s">
        <v>74</v>
      </c>
      <c r="AT927" s="2" t="s">
        <v>204</v>
      </c>
      <c r="AU927" s="2">
        <v>1995</v>
      </c>
      <c r="AV927" s="2">
        <v>50</v>
      </c>
      <c r="AW927" s="2" t="s">
        <v>74</v>
      </c>
      <c r="AX927" s="2">
        <v>1</v>
      </c>
      <c r="AY927" s="2" t="s">
        <v>74</v>
      </c>
      <c r="AZ927" s="2" t="s">
        <v>74</v>
      </c>
      <c r="BA927" s="2" t="s">
        <v>74</v>
      </c>
      <c r="BB927" s="2">
        <v>267</v>
      </c>
      <c r="BC927" s="2">
        <v>272</v>
      </c>
      <c r="BD927" s="2" t="s">
        <v>74</v>
      </c>
      <c r="BE927" s="2" t="s">
        <v>3494</v>
      </c>
      <c r="BF927" s="2" t="str">
        <f>HYPERLINK("http://dx.doi.org/10.1006/anbe.1995.0239","http://dx.doi.org/10.1006/anbe.1995.0239")</f>
        <v>http://dx.doi.org/10.1006/anbe.1995.0239</v>
      </c>
      <c r="BG927" s="2" t="s">
        <v>74</v>
      </c>
      <c r="BH927" s="2" t="s">
        <v>74</v>
      </c>
      <c r="BI927" s="2" t="s">
        <v>74</v>
      </c>
      <c r="BJ927" s="2" t="s">
        <v>74</v>
      </c>
      <c r="BK927" s="2" t="s">
        <v>74</v>
      </c>
      <c r="BL927" s="2" t="s">
        <v>74</v>
      </c>
      <c r="BM927" s="2" t="s">
        <v>74</v>
      </c>
      <c r="BN927" s="2" t="s">
        <v>74</v>
      </c>
      <c r="BO927" s="2" t="s">
        <v>74</v>
      </c>
      <c r="BP927" s="2" t="s">
        <v>74</v>
      </c>
      <c r="BQ927" s="2" t="s">
        <v>74</v>
      </c>
      <c r="BR927" s="2" t="s">
        <v>74</v>
      </c>
      <c r="BS927" s="2" t="s">
        <v>3495</v>
      </c>
      <c r="BT927" s="2" t="str">
        <f>HYPERLINK("https%3A%2F%2Fwww.webofscience.com%2Fwos%2Fwoscc%2Ffull-record%2FWOS:A1995RM19000026","View Full Record in Web of Science")</f>
        <v>View Full Record in Web of Science</v>
      </c>
    </row>
    <row r="928" spans="1:72" s="2" customFormat="1" x14ac:dyDescent="0.4">
      <c r="A928" s="2" t="s">
        <v>72</v>
      </c>
      <c r="B928" s="2" t="s">
        <v>3426</v>
      </c>
      <c r="C928" s="2" t="s">
        <v>74</v>
      </c>
      <c r="D928" s="2" t="s">
        <v>74</v>
      </c>
      <c r="E928" s="2" t="s">
        <v>74</v>
      </c>
      <c r="F928" s="2" t="s">
        <v>3426</v>
      </c>
      <c r="G928" s="2" t="s">
        <v>74</v>
      </c>
      <c r="H928" s="2" t="s">
        <v>74</v>
      </c>
      <c r="I928" s="2" t="s">
        <v>3427</v>
      </c>
      <c r="J928" s="2" t="s">
        <v>140</v>
      </c>
      <c r="K928" s="2" t="s">
        <v>74</v>
      </c>
      <c r="L928" s="2" t="s">
        <v>74</v>
      </c>
      <c r="M928" s="2" t="s">
        <v>74</v>
      </c>
      <c r="N928" s="2" t="s">
        <v>74</v>
      </c>
      <c r="O928" s="2" t="s">
        <v>74</v>
      </c>
      <c r="P928" s="2" t="s">
        <v>74</v>
      </c>
      <c r="Q928" s="2" t="s">
        <v>74</v>
      </c>
      <c r="R928" s="2" t="s">
        <v>74</v>
      </c>
      <c r="S928" s="2" t="s">
        <v>74</v>
      </c>
      <c r="T928" s="2" t="s">
        <v>74</v>
      </c>
      <c r="U928" s="2" t="s">
        <v>74</v>
      </c>
      <c r="V928" s="5" t="s">
        <v>3428</v>
      </c>
      <c r="W928" s="2" t="s">
        <v>74</v>
      </c>
      <c r="X928" s="2" t="s">
        <v>74</v>
      </c>
      <c r="Y928" s="2" t="s">
        <v>74</v>
      </c>
      <c r="Z928" s="2" t="s">
        <v>74</v>
      </c>
      <c r="AA928" s="2" t="s">
        <v>74</v>
      </c>
      <c r="AB928" s="2" t="s">
        <v>74</v>
      </c>
      <c r="AC928" s="2" t="s">
        <v>74</v>
      </c>
      <c r="AD928" s="2" t="s">
        <v>74</v>
      </c>
      <c r="AE928" s="2" t="s">
        <v>74</v>
      </c>
      <c r="AF928" s="2" t="s">
        <v>74</v>
      </c>
      <c r="AG928" s="2" t="s">
        <v>74</v>
      </c>
      <c r="AH928" s="2" t="s">
        <v>74</v>
      </c>
      <c r="AI928" s="2" t="s">
        <v>74</v>
      </c>
      <c r="AJ928" s="2" t="s">
        <v>74</v>
      </c>
      <c r="AK928" s="2" t="s">
        <v>74</v>
      </c>
      <c r="AL928" s="2" t="s">
        <v>74</v>
      </c>
      <c r="AM928" s="2" t="s">
        <v>74</v>
      </c>
      <c r="AN928" s="2" t="s">
        <v>74</v>
      </c>
      <c r="AO928" s="2" t="s">
        <v>143</v>
      </c>
      <c r="AP928" s="2" t="s">
        <v>74</v>
      </c>
      <c r="AQ928" s="2" t="s">
        <v>74</v>
      </c>
      <c r="AR928" s="2" t="s">
        <v>74</v>
      </c>
      <c r="AS928" s="2" t="s">
        <v>74</v>
      </c>
      <c r="AT928" s="2" t="s">
        <v>102</v>
      </c>
      <c r="AU928" s="2">
        <v>1995</v>
      </c>
      <c r="AV928" s="2">
        <v>49</v>
      </c>
      <c r="AW928" s="2">
        <v>6</v>
      </c>
      <c r="AX928" s="2" t="s">
        <v>74</v>
      </c>
      <c r="AY928" s="2" t="s">
        <v>74</v>
      </c>
      <c r="AZ928" s="2" t="s">
        <v>74</v>
      </c>
      <c r="BA928" s="2" t="s">
        <v>74</v>
      </c>
      <c r="BB928" s="2">
        <v>1559</v>
      </c>
      <c r="BC928" s="2">
        <v>1567</v>
      </c>
      <c r="BD928" s="2" t="s">
        <v>74</v>
      </c>
      <c r="BE928" s="2" t="s">
        <v>3429</v>
      </c>
      <c r="BF928" s="2" t="str">
        <f>HYPERLINK("http://dx.doi.org/10.1016/0003-3472(95)90077-2","http://dx.doi.org/10.1016/0003-3472(95)90077-2")</f>
        <v>http://dx.doi.org/10.1016/0003-3472(95)90077-2</v>
      </c>
      <c r="BG928" s="2" t="s">
        <v>74</v>
      </c>
      <c r="BH928" s="2" t="s">
        <v>74</v>
      </c>
      <c r="BI928" s="2" t="s">
        <v>74</v>
      </c>
      <c r="BJ928" s="2" t="s">
        <v>74</v>
      </c>
      <c r="BK928" s="2" t="s">
        <v>74</v>
      </c>
      <c r="BL928" s="2" t="s">
        <v>74</v>
      </c>
      <c r="BM928" s="2" t="s">
        <v>74</v>
      </c>
      <c r="BN928" s="2" t="s">
        <v>74</v>
      </c>
      <c r="BO928" s="2" t="s">
        <v>74</v>
      </c>
      <c r="BP928" s="2" t="s">
        <v>74</v>
      </c>
      <c r="BQ928" s="2" t="s">
        <v>74</v>
      </c>
      <c r="BR928" s="2" t="s">
        <v>74</v>
      </c>
      <c r="BS928" s="2" t="s">
        <v>3430</v>
      </c>
      <c r="BT928" s="2" t="str">
        <f>HYPERLINK("https%3A%2F%2Fwww.webofscience.com%2Fwos%2Fwoscc%2Ffull-record%2FWOS:A1995RE98700015","View Full Record in Web of Science")</f>
        <v>View Full Record in Web of Science</v>
      </c>
    </row>
    <row r="929" spans="1:72" s="2" customFormat="1" x14ac:dyDescent="0.4">
      <c r="A929" s="2" t="s">
        <v>72</v>
      </c>
      <c r="B929" s="2" t="s">
        <v>7833</v>
      </c>
      <c r="C929" s="2" t="s">
        <v>74</v>
      </c>
      <c r="D929" s="2" t="s">
        <v>74</v>
      </c>
      <c r="E929" s="2" t="s">
        <v>74</v>
      </c>
      <c r="F929" s="2" t="s">
        <v>7834</v>
      </c>
      <c r="G929" s="2" t="s">
        <v>74</v>
      </c>
      <c r="H929" s="2" t="s">
        <v>74</v>
      </c>
      <c r="I929" s="2" t="s">
        <v>7835</v>
      </c>
      <c r="J929" s="2" t="s">
        <v>2207</v>
      </c>
      <c r="K929" s="2" t="s">
        <v>74</v>
      </c>
      <c r="L929" s="2" t="s">
        <v>74</v>
      </c>
      <c r="M929" s="2" t="s">
        <v>74</v>
      </c>
      <c r="N929" s="2" t="s">
        <v>74</v>
      </c>
      <c r="O929" s="2" t="s">
        <v>74</v>
      </c>
      <c r="P929" s="2" t="s">
        <v>74</v>
      </c>
      <c r="Q929" s="2" t="s">
        <v>74</v>
      </c>
      <c r="R929" s="2" t="s">
        <v>74</v>
      </c>
      <c r="S929" s="2" t="s">
        <v>74</v>
      </c>
      <c r="T929" s="2" t="s">
        <v>74</v>
      </c>
      <c r="U929" s="2" t="s">
        <v>74</v>
      </c>
      <c r="V929" s="5" t="s">
        <v>7836</v>
      </c>
      <c r="W929" s="2" t="s">
        <v>74</v>
      </c>
      <c r="X929" s="2" t="s">
        <v>74</v>
      </c>
      <c r="Y929" s="2" t="s">
        <v>74</v>
      </c>
      <c r="Z929" s="2" t="s">
        <v>74</v>
      </c>
      <c r="AA929" s="2" t="s">
        <v>7837</v>
      </c>
      <c r="AB929" s="2" t="s">
        <v>7838</v>
      </c>
      <c r="AC929" s="2" t="s">
        <v>74</v>
      </c>
      <c r="AD929" s="2" t="s">
        <v>74</v>
      </c>
      <c r="AE929" s="2" t="s">
        <v>74</v>
      </c>
      <c r="AF929" s="2" t="s">
        <v>74</v>
      </c>
      <c r="AG929" s="2" t="s">
        <v>74</v>
      </c>
      <c r="AH929" s="2" t="s">
        <v>74</v>
      </c>
      <c r="AI929" s="2" t="s">
        <v>74</v>
      </c>
      <c r="AJ929" s="2" t="s">
        <v>74</v>
      </c>
      <c r="AK929" s="2" t="s">
        <v>74</v>
      </c>
      <c r="AL929" s="2" t="s">
        <v>74</v>
      </c>
      <c r="AM929" s="2" t="s">
        <v>74</v>
      </c>
      <c r="AN929" s="2" t="s">
        <v>74</v>
      </c>
      <c r="AO929" s="2" t="s">
        <v>2211</v>
      </c>
      <c r="AP929" s="2" t="s">
        <v>2461</v>
      </c>
      <c r="AQ929" s="2" t="s">
        <v>74</v>
      </c>
      <c r="AR929" s="2" t="s">
        <v>74</v>
      </c>
      <c r="AS929" s="2" t="s">
        <v>74</v>
      </c>
      <c r="AT929" s="2" t="s">
        <v>213</v>
      </c>
      <c r="AU929" s="2">
        <v>2017</v>
      </c>
      <c r="AV929" s="2">
        <v>48</v>
      </c>
      <c r="AW929" s="2">
        <v>11</v>
      </c>
      <c r="AX929" s="2" t="s">
        <v>74</v>
      </c>
      <c r="AY929" s="2" t="s">
        <v>74</v>
      </c>
      <c r="AZ929" s="2" t="s">
        <v>74</v>
      </c>
      <c r="BA929" s="2" t="s">
        <v>74</v>
      </c>
      <c r="BB929" s="2">
        <v>1425</v>
      </c>
      <c r="BC929" s="2">
        <v>1431</v>
      </c>
      <c r="BD929" s="2" t="s">
        <v>74</v>
      </c>
      <c r="BE929" s="2" t="s">
        <v>7839</v>
      </c>
      <c r="BF929" s="2" t="str">
        <f>HYPERLINK("http://dx.doi.org/10.1111/jav.01402","http://dx.doi.org/10.1111/jav.01402")</f>
        <v>http://dx.doi.org/10.1111/jav.01402</v>
      </c>
      <c r="BG929" s="2" t="s">
        <v>74</v>
      </c>
      <c r="BH929" s="2" t="s">
        <v>74</v>
      </c>
      <c r="BI929" s="2" t="s">
        <v>74</v>
      </c>
      <c r="BJ929" s="2" t="s">
        <v>74</v>
      </c>
      <c r="BK929" s="2" t="s">
        <v>74</v>
      </c>
      <c r="BL929" s="2" t="s">
        <v>74</v>
      </c>
      <c r="BM929" s="2" t="s">
        <v>74</v>
      </c>
      <c r="BN929" s="2" t="s">
        <v>74</v>
      </c>
      <c r="BO929" s="2" t="s">
        <v>74</v>
      </c>
      <c r="BP929" s="2" t="s">
        <v>74</v>
      </c>
      <c r="BQ929" s="2" t="s">
        <v>74</v>
      </c>
      <c r="BR929" s="2" t="s">
        <v>74</v>
      </c>
      <c r="BS929" s="2" t="s">
        <v>7840</v>
      </c>
      <c r="BT929" s="2" t="str">
        <f>HYPERLINK("https%3A%2F%2Fwww.webofscience.com%2Fwos%2Fwoscc%2Ffull-record%2FWOS:000416331100009","View Full Record in Web of Science")</f>
        <v>View Full Record in Web of Science</v>
      </c>
    </row>
    <row r="930" spans="1:72" s="2" customFormat="1" x14ac:dyDescent="0.4">
      <c r="A930" s="2" t="s">
        <v>72</v>
      </c>
      <c r="B930" s="2" t="s">
        <v>4396</v>
      </c>
      <c r="C930" s="2" t="s">
        <v>74</v>
      </c>
      <c r="D930" s="2" t="s">
        <v>74</v>
      </c>
      <c r="E930" s="2" t="s">
        <v>74</v>
      </c>
      <c r="F930" s="2" t="s">
        <v>4396</v>
      </c>
      <c r="G930" s="2" t="s">
        <v>74</v>
      </c>
      <c r="H930" s="2" t="s">
        <v>74</v>
      </c>
      <c r="I930" s="2" t="s">
        <v>4397</v>
      </c>
      <c r="J930" s="2" t="s">
        <v>77</v>
      </c>
      <c r="K930" s="2" t="s">
        <v>74</v>
      </c>
      <c r="L930" s="2" t="s">
        <v>74</v>
      </c>
      <c r="M930" s="2" t="s">
        <v>74</v>
      </c>
      <c r="N930" s="2" t="s">
        <v>74</v>
      </c>
      <c r="O930" s="2" t="s">
        <v>74</v>
      </c>
      <c r="P930" s="2" t="s">
        <v>74</v>
      </c>
      <c r="Q930" s="2" t="s">
        <v>74</v>
      </c>
      <c r="R930" s="2" t="s">
        <v>74</v>
      </c>
      <c r="S930" s="2" t="s">
        <v>74</v>
      </c>
      <c r="T930" s="2" t="s">
        <v>74</v>
      </c>
      <c r="U930" s="2" t="s">
        <v>74</v>
      </c>
      <c r="V930" s="5" t="s">
        <v>4398</v>
      </c>
      <c r="W930" s="2" t="s">
        <v>74</v>
      </c>
      <c r="X930" s="2" t="s">
        <v>74</v>
      </c>
      <c r="Y930" s="2" t="s">
        <v>74</v>
      </c>
      <c r="Z930" s="2" t="s">
        <v>74</v>
      </c>
      <c r="AA930" s="2" t="s">
        <v>74</v>
      </c>
      <c r="AB930" s="2" t="s">
        <v>74</v>
      </c>
      <c r="AC930" s="2" t="s">
        <v>74</v>
      </c>
      <c r="AD930" s="2" t="s">
        <v>74</v>
      </c>
      <c r="AE930" s="2" t="s">
        <v>74</v>
      </c>
      <c r="AF930" s="2" t="s">
        <v>74</v>
      </c>
      <c r="AG930" s="2" t="s">
        <v>74</v>
      </c>
      <c r="AH930" s="2" t="s">
        <v>74</v>
      </c>
      <c r="AI930" s="2" t="s">
        <v>74</v>
      </c>
      <c r="AJ930" s="2" t="s">
        <v>74</v>
      </c>
      <c r="AK930" s="2" t="s">
        <v>74</v>
      </c>
      <c r="AL930" s="2" t="s">
        <v>74</v>
      </c>
      <c r="AM930" s="2" t="s">
        <v>74</v>
      </c>
      <c r="AN930" s="2" t="s">
        <v>74</v>
      </c>
      <c r="AO930" s="2" t="s">
        <v>81</v>
      </c>
      <c r="AP930" s="2" t="s">
        <v>82</v>
      </c>
      <c r="AQ930" s="2" t="s">
        <v>74</v>
      </c>
      <c r="AR930" s="2" t="s">
        <v>74</v>
      </c>
      <c r="AS930" s="2" t="s">
        <v>74</v>
      </c>
      <c r="AT930" s="2" t="s">
        <v>4399</v>
      </c>
      <c r="AU930" s="2">
        <v>2003</v>
      </c>
      <c r="AV930" s="2">
        <v>140</v>
      </c>
      <c r="AW930" s="2" t="s">
        <v>74</v>
      </c>
      <c r="AX930" s="2" t="s">
        <v>4400</v>
      </c>
      <c r="AY930" s="2" t="s">
        <v>74</v>
      </c>
      <c r="AZ930" s="2" t="s">
        <v>74</v>
      </c>
      <c r="BA930" s="2" t="s">
        <v>74</v>
      </c>
      <c r="BB930" s="2">
        <v>1003</v>
      </c>
      <c r="BC930" s="2">
        <v>1019</v>
      </c>
      <c r="BD930" s="2" t="s">
        <v>74</v>
      </c>
      <c r="BE930" s="2" t="s">
        <v>4401</v>
      </c>
      <c r="BF930" s="2" t="str">
        <f>HYPERLINK("http://dx.doi.org/10.1163/156853903322589614","http://dx.doi.org/10.1163/156853903322589614")</f>
        <v>http://dx.doi.org/10.1163/156853903322589614</v>
      </c>
      <c r="BG930" s="2" t="s">
        <v>74</v>
      </c>
      <c r="BH930" s="2" t="s">
        <v>74</v>
      </c>
      <c r="BI930" s="2" t="s">
        <v>74</v>
      </c>
      <c r="BJ930" s="2" t="s">
        <v>74</v>
      </c>
      <c r="BK930" s="2" t="s">
        <v>74</v>
      </c>
      <c r="BL930" s="2" t="s">
        <v>74</v>
      </c>
      <c r="BM930" s="2" t="s">
        <v>74</v>
      </c>
      <c r="BN930" s="2" t="s">
        <v>74</v>
      </c>
      <c r="BO930" s="2" t="s">
        <v>74</v>
      </c>
      <c r="BP930" s="2" t="s">
        <v>74</v>
      </c>
      <c r="BQ930" s="2" t="s">
        <v>74</v>
      </c>
      <c r="BR930" s="2" t="s">
        <v>74</v>
      </c>
      <c r="BS930" s="2" t="s">
        <v>4402</v>
      </c>
      <c r="BT930" s="2" t="str">
        <f>HYPERLINK("https%3A%2F%2Fwww.webofscience.com%2Fwos%2Fwoscc%2Ffull-record%2FWOS:000187638300003","View Full Record in Web of Science")</f>
        <v>View Full Record in Web of Science</v>
      </c>
    </row>
    <row r="931" spans="1:72" s="2" customFormat="1" x14ac:dyDescent="0.4">
      <c r="A931" s="2" t="s">
        <v>72</v>
      </c>
      <c r="B931" s="2" t="s">
        <v>1818</v>
      </c>
      <c r="C931" s="2" t="s">
        <v>74</v>
      </c>
      <c r="D931" s="2" t="s">
        <v>74</v>
      </c>
      <c r="E931" s="2" t="s">
        <v>74</v>
      </c>
      <c r="F931" s="2" t="s">
        <v>1819</v>
      </c>
      <c r="G931" s="2" t="s">
        <v>74</v>
      </c>
      <c r="H931" s="2" t="s">
        <v>74</v>
      </c>
      <c r="I931" s="2" t="s">
        <v>1820</v>
      </c>
      <c r="J931" s="2" t="s">
        <v>576</v>
      </c>
      <c r="K931" s="2" t="s">
        <v>74</v>
      </c>
      <c r="L931" s="2" t="s">
        <v>74</v>
      </c>
      <c r="M931" s="2" t="s">
        <v>74</v>
      </c>
      <c r="N931" s="2" t="s">
        <v>74</v>
      </c>
      <c r="O931" s="2" t="s">
        <v>74</v>
      </c>
      <c r="P931" s="2" t="s">
        <v>74</v>
      </c>
      <c r="Q931" s="2" t="s">
        <v>74</v>
      </c>
      <c r="R931" s="2" t="s">
        <v>74</v>
      </c>
      <c r="S931" s="2" t="s">
        <v>74</v>
      </c>
      <c r="T931" s="2" t="s">
        <v>74</v>
      </c>
      <c r="U931" s="2" t="s">
        <v>74</v>
      </c>
      <c r="V931" s="5" t="s">
        <v>1821</v>
      </c>
      <c r="W931" s="2" t="s">
        <v>74</v>
      </c>
      <c r="X931" s="2" t="s">
        <v>74</v>
      </c>
      <c r="Y931" s="2" t="s">
        <v>74</v>
      </c>
      <c r="Z931" s="2" t="s">
        <v>74</v>
      </c>
      <c r="AA931" s="2" t="s">
        <v>74</v>
      </c>
      <c r="AB931" s="2" t="s">
        <v>1822</v>
      </c>
      <c r="AC931" s="2" t="s">
        <v>74</v>
      </c>
      <c r="AD931" s="2" t="s">
        <v>74</v>
      </c>
      <c r="AE931" s="2" t="s">
        <v>74</v>
      </c>
      <c r="AF931" s="2" t="s">
        <v>74</v>
      </c>
      <c r="AG931" s="2" t="s">
        <v>74</v>
      </c>
      <c r="AH931" s="2" t="s">
        <v>74</v>
      </c>
      <c r="AI931" s="2" t="s">
        <v>74</v>
      </c>
      <c r="AJ931" s="2" t="s">
        <v>74</v>
      </c>
      <c r="AK931" s="2" t="s">
        <v>74</v>
      </c>
      <c r="AL931" s="2" t="s">
        <v>74</v>
      </c>
      <c r="AM931" s="2" t="s">
        <v>74</v>
      </c>
      <c r="AN931" s="2" t="s">
        <v>74</v>
      </c>
      <c r="AO931" s="2" t="s">
        <v>579</v>
      </c>
      <c r="AP931" s="2" t="s">
        <v>580</v>
      </c>
      <c r="AQ931" s="2" t="s">
        <v>74</v>
      </c>
      <c r="AR931" s="2" t="s">
        <v>74</v>
      </c>
      <c r="AS931" s="2" t="s">
        <v>74</v>
      </c>
      <c r="AT931" s="2" t="s">
        <v>633</v>
      </c>
      <c r="AU931" s="2">
        <v>2017</v>
      </c>
      <c r="AV931" s="2">
        <v>31</v>
      </c>
      <c r="AW931" s="2">
        <v>2</v>
      </c>
      <c r="AX931" s="2" t="s">
        <v>74</v>
      </c>
      <c r="AY931" s="2" t="s">
        <v>74</v>
      </c>
      <c r="AZ931" s="2" t="s">
        <v>848</v>
      </c>
      <c r="BA931" s="2" t="s">
        <v>74</v>
      </c>
      <c r="BB931" s="2">
        <v>173</v>
      </c>
      <c r="BC931" s="2">
        <v>191</v>
      </c>
      <c r="BD931" s="2" t="s">
        <v>74</v>
      </c>
      <c r="BE931" s="2" t="s">
        <v>1823</v>
      </c>
      <c r="BF931" s="2" t="str">
        <f>HYPERLINK("http://dx.doi.org/10.1007/s10682-016-9848-1","http://dx.doi.org/10.1007/s10682-016-9848-1")</f>
        <v>http://dx.doi.org/10.1007/s10682-016-9848-1</v>
      </c>
      <c r="BG931" s="2" t="s">
        <v>74</v>
      </c>
      <c r="BH931" s="2" t="s">
        <v>74</v>
      </c>
      <c r="BI931" s="2" t="s">
        <v>74</v>
      </c>
      <c r="BJ931" s="2" t="s">
        <v>74</v>
      </c>
      <c r="BK931" s="2" t="s">
        <v>74</v>
      </c>
      <c r="BL931" s="2" t="s">
        <v>74</v>
      </c>
      <c r="BM931" s="2" t="s">
        <v>74</v>
      </c>
      <c r="BN931" s="2" t="s">
        <v>74</v>
      </c>
      <c r="BO931" s="2" t="s">
        <v>74</v>
      </c>
      <c r="BP931" s="2" t="s">
        <v>74</v>
      </c>
      <c r="BQ931" s="2" t="s">
        <v>74</v>
      </c>
      <c r="BR931" s="2" t="s">
        <v>74</v>
      </c>
      <c r="BS931" s="2" t="s">
        <v>1824</v>
      </c>
      <c r="BT931" s="2" t="str">
        <f>HYPERLINK("https%3A%2F%2Fwww.webofscience.com%2Fwos%2Fwoscc%2Ffull-record%2FWOS:000397595600003","View Full Record in Web of Science")</f>
        <v>View Full Record in Web of Science</v>
      </c>
    </row>
    <row r="932" spans="1:72" s="2" customFormat="1" x14ac:dyDescent="0.4">
      <c r="A932" s="2" t="s">
        <v>72</v>
      </c>
      <c r="B932" s="2" t="s">
        <v>8142</v>
      </c>
      <c r="C932" s="2" t="s">
        <v>74</v>
      </c>
      <c r="D932" s="2" t="s">
        <v>74</v>
      </c>
      <c r="E932" s="2" t="s">
        <v>74</v>
      </c>
      <c r="F932" s="2" t="s">
        <v>8143</v>
      </c>
      <c r="G932" s="2" t="s">
        <v>74</v>
      </c>
      <c r="H932" s="2" t="s">
        <v>74</v>
      </c>
      <c r="I932" s="2" t="s">
        <v>8144</v>
      </c>
      <c r="J932" s="2" t="s">
        <v>2017</v>
      </c>
      <c r="K932" s="2" t="s">
        <v>74</v>
      </c>
      <c r="L932" s="2" t="s">
        <v>74</v>
      </c>
      <c r="M932" s="2" t="s">
        <v>74</v>
      </c>
      <c r="N932" s="2" t="s">
        <v>74</v>
      </c>
      <c r="O932" s="2" t="s">
        <v>74</v>
      </c>
      <c r="P932" s="2" t="s">
        <v>74</v>
      </c>
      <c r="Q932" s="2" t="s">
        <v>74</v>
      </c>
      <c r="R932" s="2" t="s">
        <v>74</v>
      </c>
      <c r="S932" s="2" t="s">
        <v>74</v>
      </c>
      <c r="T932" s="2" t="s">
        <v>74</v>
      </c>
      <c r="U932" s="2" t="s">
        <v>74</v>
      </c>
      <c r="V932" s="5" t="s">
        <v>8145</v>
      </c>
      <c r="W932" s="2" t="s">
        <v>74</v>
      </c>
      <c r="X932" s="2" t="s">
        <v>74</v>
      </c>
      <c r="Y932" s="2" t="s">
        <v>74</v>
      </c>
      <c r="Z932" s="2" t="s">
        <v>74</v>
      </c>
      <c r="AA932" s="2" t="s">
        <v>74</v>
      </c>
      <c r="AB932" s="2" t="s">
        <v>1822</v>
      </c>
      <c r="AC932" s="2" t="s">
        <v>74</v>
      </c>
      <c r="AD932" s="2" t="s">
        <v>74</v>
      </c>
      <c r="AE932" s="2" t="s">
        <v>74</v>
      </c>
      <c r="AF932" s="2" t="s">
        <v>74</v>
      </c>
      <c r="AG932" s="2" t="s">
        <v>74</v>
      </c>
      <c r="AH932" s="2" t="s">
        <v>74</v>
      </c>
      <c r="AI932" s="2" t="s">
        <v>74</v>
      </c>
      <c r="AJ932" s="2" t="s">
        <v>74</v>
      </c>
      <c r="AK932" s="2" t="s">
        <v>74</v>
      </c>
      <c r="AL932" s="2" t="s">
        <v>74</v>
      </c>
      <c r="AM932" s="2" t="s">
        <v>74</v>
      </c>
      <c r="AN932" s="2" t="s">
        <v>74</v>
      </c>
      <c r="AO932" s="2" t="s">
        <v>2021</v>
      </c>
      <c r="AP932" s="2" t="s">
        <v>74</v>
      </c>
      <c r="AQ932" s="2" t="s">
        <v>74</v>
      </c>
      <c r="AR932" s="2" t="s">
        <v>74</v>
      </c>
      <c r="AS932" s="2" t="s">
        <v>74</v>
      </c>
      <c r="AT932" s="2" t="s">
        <v>8146</v>
      </c>
      <c r="AU932" s="2">
        <v>2021</v>
      </c>
      <c r="AV932" s="2">
        <v>9</v>
      </c>
      <c r="AW932" s="2" t="s">
        <v>74</v>
      </c>
      <c r="AX932" s="2" t="s">
        <v>74</v>
      </c>
      <c r="AY932" s="2" t="s">
        <v>74</v>
      </c>
      <c r="AZ932" s="2" t="s">
        <v>74</v>
      </c>
      <c r="BA932" s="2" t="s">
        <v>74</v>
      </c>
      <c r="BB932" s="2" t="s">
        <v>74</v>
      </c>
      <c r="BC932" s="2" t="s">
        <v>74</v>
      </c>
      <c r="BD932" s="2">
        <v>724712</v>
      </c>
      <c r="BE932" s="2" t="s">
        <v>8147</v>
      </c>
      <c r="BF932" s="2" t="str">
        <f>HYPERLINK("http://dx.doi.org/10.3389/fevo.2021.724712","http://dx.doi.org/10.3389/fevo.2021.724712")</f>
        <v>http://dx.doi.org/10.3389/fevo.2021.724712</v>
      </c>
      <c r="BG932" s="2" t="s">
        <v>74</v>
      </c>
      <c r="BH932" s="2" t="s">
        <v>74</v>
      </c>
      <c r="BI932" s="2" t="s">
        <v>74</v>
      </c>
      <c r="BJ932" s="2" t="s">
        <v>74</v>
      </c>
      <c r="BK932" s="2" t="s">
        <v>74</v>
      </c>
      <c r="BL932" s="2" t="s">
        <v>74</v>
      </c>
      <c r="BM932" s="2" t="s">
        <v>74</v>
      </c>
      <c r="BN932" s="2" t="s">
        <v>74</v>
      </c>
      <c r="BO932" s="2" t="s">
        <v>74</v>
      </c>
      <c r="BP932" s="2" t="s">
        <v>74</v>
      </c>
      <c r="BQ932" s="2" t="s">
        <v>74</v>
      </c>
      <c r="BR932" s="2" t="s">
        <v>74</v>
      </c>
      <c r="BS932" s="2" t="s">
        <v>8148</v>
      </c>
      <c r="BT932" s="2" t="str">
        <f>HYPERLINK("https%3A%2F%2Fwww.webofscience.com%2Fwos%2Fwoscc%2Ffull-record%2FWOS:000707224100001","View Full Record in Web of Science")</f>
        <v>View Full Record in Web of Science</v>
      </c>
    </row>
    <row r="933" spans="1:72" s="2" customFormat="1" x14ac:dyDescent="0.4">
      <c r="A933" s="2" t="s">
        <v>72</v>
      </c>
      <c r="B933" s="2" t="s">
        <v>6897</v>
      </c>
      <c r="C933" s="2" t="s">
        <v>74</v>
      </c>
      <c r="D933" s="2" t="s">
        <v>74</v>
      </c>
      <c r="E933" s="2" t="s">
        <v>74</v>
      </c>
      <c r="F933" s="2" t="s">
        <v>6897</v>
      </c>
      <c r="G933" s="2" t="s">
        <v>74</v>
      </c>
      <c r="H933" s="2" t="s">
        <v>74</v>
      </c>
      <c r="I933" s="2" t="s">
        <v>6898</v>
      </c>
      <c r="J933" s="2" t="s">
        <v>6899</v>
      </c>
      <c r="K933" s="2" t="s">
        <v>74</v>
      </c>
      <c r="L933" s="2" t="s">
        <v>74</v>
      </c>
      <c r="M933" s="2" t="s">
        <v>74</v>
      </c>
      <c r="N933" s="2" t="s">
        <v>74</v>
      </c>
      <c r="O933" s="2" t="s">
        <v>74</v>
      </c>
      <c r="P933" s="2" t="s">
        <v>74</v>
      </c>
      <c r="Q933" s="2" t="s">
        <v>74</v>
      </c>
      <c r="R933" s="2" t="s">
        <v>74</v>
      </c>
      <c r="S933" s="2" t="s">
        <v>74</v>
      </c>
      <c r="T933" s="2" t="s">
        <v>74</v>
      </c>
      <c r="U933" s="2" t="s">
        <v>74</v>
      </c>
      <c r="V933" s="5" t="s">
        <v>6900</v>
      </c>
      <c r="W933" s="2" t="s">
        <v>74</v>
      </c>
      <c r="X933" s="2" t="s">
        <v>74</v>
      </c>
      <c r="Y933" s="2" t="s">
        <v>74</v>
      </c>
      <c r="Z933" s="2" t="s">
        <v>74</v>
      </c>
      <c r="AA933" s="2" t="s">
        <v>6901</v>
      </c>
      <c r="AB933" s="2" t="s">
        <v>6902</v>
      </c>
      <c r="AC933" s="2" t="s">
        <v>74</v>
      </c>
      <c r="AD933" s="2" t="s">
        <v>74</v>
      </c>
      <c r="AE933" s="2" t="s">
        <v>74</v>
      </c>
      <c r="AF933" s="2" t="s">
        <v>74</v>
      </c>
      <c r="AG933" s="2" t="s">
        <v>74</v>
      </c>
      <c r="AH933" s="2" t="s">
        <v>74</v>
      </c>
      <c r="AI933" s="2" t="s">
        <v>74</v>
      </c>
      <c r="AJ933" s="2" t="s">
        <v>74</v>
      </c>
      <c r="AK933" s="2" t="s">
        <v>74</v>
      </c>
      <c r="AL933" s="2" t="s">
        <v>74</v>
      </c>
      <c r="AM933" s="2" t="s">
        <v>74</v>
      </c>
      <c r="AN933" s="2" t="s">
        <v>74</v>
      </c>
      <c r="AO933" s="2" t="s">
        <v>6903</v>
      </c>
      <c r="AP933" s="2" t="s">
        <v>74</v>
      </c>
      <c r="AQ933" s="2" t="s">
        <v>74</v>
      </c>
      <c r="AR933" s="2" t="s">
        <v>74</v>
      </c>
      <c r="AS933" s="2" t="s">
        <v>74</v>
      </c>
      <c r="AT933" s="2" t="s">
        <v>145</v>
      </c>
      <c r="AU933" s="2">
        <v>1997</v>
      </c>
      <c r="AV933" s="2">
        <v>84</v>
      </c>
      <c r="AW933" s="2">
        <v>2</v>
      </c>
      <c r="AX933" s="2" t="s">
        <v>74</v>
      </c>
      <c r="AY933" s="2" t="s">
        <v>74</v>
      </c>
      <c r="AZ933" s="2" t="s">
        <v>74</v>
      </c>
      <c r="BA933" s="2" t="s">
        <v>74</v>
      </c>
      <c r="BB933" s="2">
        <v>183</v>
      </c>
      <c r="BC933" s="2">
        <v>188</v>
      </c>
      <c r="BD933" s="2" t="s">
        <v>74</v>
      </c>
      <c r="BE933" s="2" t="s">
        <v>6904</v>
      </c>
      <c r="BF933" s="2" t="str">
        <f>HYPERLINK("http://dx.doi.org/10.1046/j.1570-7458.1997.00213.x","http://dx.doi.org/10.1046/j.1570-7458.1997.00213.x")</f>
        <v>http://dx.doi.org/10.1046/j.1570-7458.1997.00213.x</v>
      </c>
      <c r="BG933" s="2" t="s">
        <v>74</v>
      </c>
      <c r="BH933" s="2" t="s">
        <v>74</v>
      </c>
      <c r="BI933" s="2" t="s">
        <v>74</v>
      </c>
      <c r="BJ933" s="2" t="s">
        <v>74</v>
      </c>
      <c r="BK933" s="2" t="s">
        <v>74</v>
      </c>
      <c r="BL933" s="2" t="s">
        <v>74</v>
      </c>
      <c r="BM933" s="2" t="s">
        <v>74</v>
      </c>
      <c r="BN933" s="2" t="s">
        <v>74</v>
      </c>
      <c r="BO933" s="2" t="s">
        <v>74</v>
      </c>
      <c r="BP933" s="2" t="s">
        <v>74</v>
      </c>
      <c r="BQ933" s="2" t="s">
        <v>74</v>
      </c>
      <c r="BR933" s="2" t="s">
        <v>74</v>
      </c>
      <c r="BS933" s="2" t="s">
        <v>6905</v>
      </c>
      <c r="BT933" s="2" t="str">
        <f>HYPERLINK("https%3A%2F%2Fwww.webofscience.com%2Fwos%2Fwoscc%2Ffull-record%2FWOS:A1997XW62800009","View Full Record in Web of Science")</f>
        <v>View Full Record in Web of Science</v>
      </c>
    </row>
    <row r="934" spans="1:72" s="2" customFormat="1" x14ac:dyDescent="0.4">
      <c r="A934" s="2" t="s">
        <v>72</v>
      </c>
      <c r="B934" s="2" t="s">
        <v>3197</v>
      </c>
      <c r="C934" s="2" t="s">
        <v>74</v>
      </c>
      <c r="D934" s="2" t="s">
        <v>74</v>
      </c>
      <c r="E934" s="2" t="s">
        <v>74</v>
      </c>
      <c r="F934" s="2" t="s">
        <v>3198</v>
      </c>
      <c r="G934" s="2" t="s">
        <v>74</v>
      </c>
      <c r="H934" s="2" t="s">
        <v>74</v>
      </c>
      <c r="I934" s="2" t="s">
        <v>3199</v>
      </c>
      <c r="J934" s="2" t="s">
        <v>140</v>
      </c>
      <c r="K934" s="2" t="s">
        <v>74</v>
      </c>
      <c r="L934" s="2" t="s">
        <v>74</v>
      </c>
      <c r="M934" s="2" t="s">
        <v>74</v>
      </c>
      <c r="N934" s="2" t="s">
        <v>74</v>
      </c>
      <c r="O934" s="2" t="s">
        <v>74</v>
      </c>
      <c r="P934" s="2" t="s">
        <v>74</v>
      </c>
      <c r="Q934" s="2" t="s">
        <v>74</v>
      </c>
      <c r="R934" s="2" t="s">
        <v>74</v>
      </c>
      <c r="S934" s="2" t="s">
        <v>74</v>
      </c>
      <c r="T934" s="2" t="s">
        <v>74</v>
      </c>
      <c r="U934" s="2" t="s">
        <v>74</v>
      </c>
      <c r="V934" s="5" t="s">
        <v>3200</v>
      </c>
      <c r="W934" s="2" t="s">
        <v>74</v>
      </c>
      <c r="X934" s="2" t="s">
        <v>74</v>
      </c>
      <c r="Y934" s="2" t="s">
        <v>74</v>
      </c>
      <c r="Z934" s="2" t="s">
        <v>74</v>
      </c>
      <c r="AA934" s="2" t="s">
        <v>2184</v>
      </c>
      <c r="AB934" s="2" t="s">
        <v>2806</v>
      </c>
      <c r="AC934" s="2" t="s">
        <v>74</v>
      </c>
      <c r="AD934" s="2" t="s">
        <v>74</v>
      </c>
      <c r="AE934" s="2" t="s">
        <v>74</v>
      </c>
      <c r="AF934" s="2" t="s">
        <v>74</v>
      </c>
      <c r="AG934" s="2" t="s">
        <v>74</v>
      </c>
      <c r="AH934" s="2" t="s">
        <v>74</v>
      </c>
      <c r="AI934" s="2" t="s">
        <v>74</v>
      </c>
      <c r="AJ934" s="2" t="s">
        <v>74</v>
      </c>
      <c r="AK934" s="2" t="s">
        <v>74</v>
      </c>
      <c r="AL934" s="2" t="s">
        <v>74</v>
      </c>
      <c r="AM934" s="2" t="s">
        <v>74</v>
      </c>
      <c r="AN934" s="2" t="s">
        <v>74</v>
      </c>
      <c r="AO934" s="2" t="s">
        <v>143</v>
      </c>
      <c r="AP934" s="2" t="s">
        <v>144</v>
      </c>
      <c r="AQ934" s="2" t="s">
        <v>74</v>
      </c>
      <c r="AR934" s="2" t="s">
        <v>74</v>
      </c>
      <c r="AS934" s="2" t="s">
        <v>74</v>
      </c>
      <c r="AT934" s="2" t="s">
        <v>633</v>
      </c>
      <c r="AU934" s="2">
        <v>2017</v>
      </c>
      <c r="AV934" s="2">
        <v>126</v>
      </c>
      <c r="AW934" s="2" t="s">
        <v>74</v>
      </c>
      <c r="AX934" s="2" t="s">
        <v>74</v>
      </c>
      <c r="AY934" s="2" t="s">
        <v>74</v>
      </c>
      <c r="AZ934" s="2" t="s">
        <v>74</v>
      </c>
      <c r="BA934" s="2" t="s">
        <v>74</v>
      </c>
      <c r="BB934" s="2">
        <v>301</v>
      </c>
      <c r="BC934" s="2">
        <v>307</v>
      </c>
      <c r="BD934" s="2" t="s">
        <v>74</v>
      </c>
      <c r="BE934" s="2" t="s">
        <v>3201</v>
      </c>
      <c r="BF934" s="2" t="str">
        <f>HYPERLINK("http://dx.doi.org/10.1016/j.anbehav.2017.02.012","http://dx.doi.org/10.1016/j.anbehav.2017.02.012")</f>
        <v>http://dx.doi.org/10.1016/j.anbehav.2017.02.012</v>
      </c>
      <c r="BG934" s="2" t="s">
        <v>74</v>
      </c>
      <c r="BH934" s="2" t="s">
        <v>74</v>
      </c>
      <c r="BI934" s="2" t="s">
        <v>74</v>
      </c>
      <c r="BJ934" s="2" t="s">
        <v>74</v>
      </c>
      <c r="BK934" s="2" t="s">
        <v>74</v>
      </c>
      <c r="BL934" s="2" t="s">
        <v>74</v>
      </c>
      <c r="BM934" s="2" t="s">
        <v>74</v>
      </c>
      <c r="BN934" s="2" t="s">
        <v>74</v>
      </c>
      <c r="BO934" s="2" t="s">
        <v>74</v>
      </c>
      <c r="BP934" s="2" t="s">
        <v>74</v>
      </c>
      <c r="BQ934" s="2" t="s">
        <v>74</v>
      </c>
      <c r="BR934" s="2" t="s">
        <v>74</v>
      </c>
      <c r="BS934" s="2" t="s">
        <v>3202</v>
      </c>
      <c r="BT934" s="2" t="str">
        <f>HYPERLINK("https%3A%2F%2Fwww.webofscience.com%2Fwos%2Fwoscc%2Ffull-record%2FWOS:000400402700031","View Full Record in Web of Science")</f>
        <v>View Full Record in Web of Science</v>
      </c>
    </row>
    <row r="935" spans="1:72" s="2" customFormat="1" x14ac:dyDescent="0.4">
      <c r="A935" s="2" t="s">
        <v>72</v>
      </c>
      <c r="B935" s="2" t="s">
        <v>636</v>
      </c>
      <c r="C935" s="2" t="s">
        <v>74</v>
      </c>
      <c r="D935" s="2" t="s">
        <v>74</v>
      </c>
      <c r="E935" s="2" t="s">
        <v>74</v>
      </c>
      <c r="F935" s="2" t="s">
        <v>636</v>
      </c>
      <c r="G935" s="2" t="s">
        <v>74</v>
      </c>
      <c r="H935" s="2" t="s">
        <v>74</v>
      </c>
      <c r="I935" s="2" t="s">
        <v>637</v>
      </c>
      <c r="J935" s="2" t="s">
        <v>312</v>
      </c>
      <c r="K935" s="2" t="s">
        <v>74</v>
      </c>
      <c r="L935" s="2" t="s">
        <v>74</v>
      </c>
      <c r="M935" s="2" t="s">
        <v>74</v>
      </c>
      <c r="N935" s="2" t="s">
        <v>74</v>
      </c>
      <c r="O935" s="2" t="s">
        <v>74</v>
      </c>
      <c r="P935" s="2" t="s">
        <v>74</v>
      </c>
      <c r="Q935" s="2" t="s">
        <v>74</v>
      </c>
      <c r="R935" s="2" t="s">
        <v>74</v>
      </c>
      <c r="S935" s="2" t="s">
        <v>74</v>
      </c>
      <c r="T935" s="2" t="s">
        <v>74</v>
      </c>
      <c r="U935" s="2" t="s">
        <v>74</v>
      </c>
      <c r="V935" s="5" t="s">
        <v>638</v>
      </c>
      <c r="W935" s="2" t="s">
        <v>74</v>
      </c>
      <c r="X935" s="2" t="s">
        <v>74</v>
      </c>
      <c r="Y935" s="2" t="s">
        <v>74</v>
      </c>
      <c r="Z935" s="2" t="s">
        <v>74</v>
      </c>
      <c r="AA935" s="2" t="s">
        <v>639</v>
      </c>
      <c r="AB935" s="2" t="s">
        <v>640</v>
      </c>
      <c r="AC935" s="2" t="s">
        <v>74</v>
      </c>
      <c r="AD935" s="2" t="s">
        <v>74</v>
      </c>
      <c r="AE935" s="2" t="s">
        <v>74</v>
      </c>
      <c r="AF935" s="2" t="s">
        <v>74</v>
      </c>
      <c r="AG935" s="2" t="s">
        <v>74</v>
      </c>
      <c r="AH935" s="2" t="s">
        <v>74</v>
      </c>
      <c r="AI935" s="2" t="s">
        <v>74</v>
      </c>
      <c r="AJ935" s="2" t="s">
        <v>74</v>
      </c>
      <c r="AK935" s="2" t="s">
        <v>74</v>
      </c>
      <c r="AL935" s="2" t="s">
        <v>74</v>
      </c>
      <c r="AM935" s="2" t="s">
        <v>74</v>
      </c>
      <c r="AN935" s="2" t="s">
        <v>74</v>
      </c>
      <c r="AO935" s="2" t="s">
        <v>314</v>
      </c>
      <c r="AP935" s="2" t="s">
        <v>74</v>
      </c>
      <c r="AQ935" s="2" t="s">
        <v>74</v>
      </c>
      <c r="AR935" s="2" t="s">
        <v>74</v>
      </c>
      <c r="AS935" s="2" t="s">
        <v>74</v>
      </c>
      <c r="AT935" s="2" t="s">
        <v>633</v>
      </c>
      <c r="AU935" s="2">
        <v>2001</v>
      </c>
      <c r="AV935" s="2">
        <v>157</v>
      </c>
      <c r="AW935" s="2">
        <v>4</v>
      </c>
      <c r="AX935" s="2" t="s">
        <v>74</v>
      </c>
      <c r="AY935" s="2" t="s">
        <v>74</v>
      </c>
      <c r="AZ935" s="2" t="s">
        <v>74</v>
      </c>
      <c r="BA935" s="2" t="s">
        <v>74</v>
      </c>
      <c r="BB935" s="2">
        <v>451</v>
      </c>
      <c r="BC935" s="2">
        <v>458</v>
      </c>
      <c r="BD935" s="2" t="s">
        <v>74</v>
      </c>
      <c r="BE935" s="2" t="s">
        <v>641</v>
      </c>
      <c r="BF935" s="2" t="str">
        <f>HYPERLINK("http://dx.doi.org/10.1086/319319","http://dx.doi.org/10.1086/319319")</f>
        <v>http://dx.doi.org/10.1086/319319</v>
      </c>
      <c r="BG935" s="2" t="s">
        <v>74</v>
      </c>
      <c r="BH935" s="2" t="s">
        <v>74</v>
      </c>
      <c r="BI935" s="2" t="s">
        <v>74</v>
      </c>
      <c r="BJ935" s="2" t="s">
        <v>74</v>
      </c>
      <c r="BK935" s="2" t="s">
        <v>74</v>
      </c>
      <c r="BL935" s="2" t="s">
        <v>74</v>
      </c>
      <c r="BM935" s="2" t="s">
        <v>74</v>
      </c>
      <c r="BN935" s="2">
        <v>18707253</v>
      </c>
      <c r="BO935" s="2" t="s">
        <v>74</v>
      </c>
      <c r="BP935" s="2" t="s">
        <v>74</v>
      </c>
      <c r="BQ935" s="2" t="s">
        <v>74</v>
      </c>
      <c r="BR935" s="2" t="s">
        <v>74</v>
      </c>
      <c r="BS935" s="2" t="s">
        <v>642</v>
      </c>
      <c r="BT935" s="2" t="str">
        <f>HYPERLINK("https%3A%2F%2Fwww.webofscience.com%2Fwos%2Fwoscc%2Ffull-record%2FWOS:000167830600007","View Full Record in Web of Science")</f>
        <v>View Full Record in Web of Science</v>
      </c>
    </row>
    <row r="936" spans="1:72" s="2" customFormat="1" x14ac:dyDescent="0.4">
      <c r="A936" s="2" t="s">
        <v>72</v>
      </c>
      <c r="B936" s="2" t="s">
        <v>8156</v>
      </c>
      <c r="C936" s="2" t="s">
        <v>74</v>
      </c>
      <c r="D936" s="2" t="s">
        <v>74</v>
      </c>
      <c r="E936" s="2" t="s">
        <v>74</v>
      </c>
      <c r="F936" s="2" t="s">
        <v>8157</v>
      </c>
      <c r="G936" s="2" t="s">
        <v>74</v>
      </c>
      <c r="H936" s="2" t="s">
        <v>74</v>
      </c>
      <c r="I936" s="2" t="s">
        <v>8158</v>
      </c>
      <c r="J936" s="2" t="s">
        <v>775</v>
      </c>
      <c r="K936" s="2" t="s">
        <v>74</v>
      </c>
      <c r="L936" s="2" t="s">
        <v>74</v>
      </c>
      <c r="M936" s="2" t="s">
        <v>74</v>
      </c>
      <c r="N936" s="2" t="s">
        <v>74</v>
      </c>
      <c r="O936" s="2" t="s">
        <v>74</v>
      </c>
      <c r="P936" s="2" t="s">
        <v>74</v>
      </c>
      <c r="Q936" s="2" t="s">
        <v>74</v>
      </c>
      <c r="R936" s="2" t="s">
        <v>74</v>
      </c>
      <c r="S936" s="2" t="s">
        <v>74</v>
      </c>
      <c r="T936" s="2" t="s">
        <v>74</v>
      </c>
      <c r="U936" s="2" t="s">
        <v>74</v>
      </c>
      <c r="V936" s="5" t="s">
        <v>8159</v>
      </c>
      <c r="W936" s="2" t="s">
        <v>74</v>
      </c>
      <c r="X936" s="2" t="s">
        <v>74</v>
      </c>
      <c r="Y936" s="2" t="s">
        <v>74</v>
      </c>
      <c r="Z936" s="2" t="s">
        <v>74</v>
      </c>
      <c r="AA936" s="2" t="s">
        <v>74</v>
      </c>
      <c r="AB936" s="2" t="s">
        <v>74</v>
      </c>
      <c r="AC936" s="2" t="s">
        <v>74</v>
      </c>
      <c r="AD936" s="2" t="s">
        <v>74</v>
      </c>
      <c r="AE936" s="2" t="s">
        <v>74</v>
      </c>
      <c r="AF936" s="2" t="s">
        <v>74</v>
      </c>
      <c r="AG936" s="2" t="s">
        <v>74</v>
      </c>
      <c r="AH936" s="2" t="s">
        <v>74</v>
      </c>
      <c r="AI936" s="2" t="s">
        <v>74</v>
      </c>
      <c r="AJ936" s="2" t="s">
        <v>74</v>
      </c>
      <c r="AK936" s="2" t="s">
        <v>74</v>
      </c>
      <c r="AL936" s="2" t="s">
        <v>74</v>
      </c>
      <c r="AM936" s="2" t="s">
        <v>74</v>
      </c>
      <c r="AN936" s="2" t="s">
        <v>74</v>
      </c>
      <c r="AO936" s="2" t="s">
        <v>778</v>
      </c>
      <c r="AP936" s="2" t="s">
        <v>779</v>
      </c>
      <c r="AQ936" s="2" t="s">
        <v>74</v>
      </c>
      <c r="AR936" s="2" t="s">
        <v>74</v>
      </c>
      <c r="AS936" s="2" t="s">
        <v>74</v>
      </c>
      <c r="AT936" s="2" t="s">
        <v>102</v>
      </c>
      <c r="AU936" s="2">
        <v>2010</v>
      </c>
      <c r="AV936" s="2">
        <v>56</v>
      </c>
      <c r="AW936" s="2">
        <v>3</v>
      </c>
      <c r="AX936" s="2" t="s">
        <v>74</v>
      </c>
      <c r="AY936" s="2" t="s">
        <v>74</v>
      </c>
      <c r="AZ936" s="2" t="s">
        <v>848</v>
      </c>
      <c r="BA936" s="2" t="s">
        <v>74</v>
      </c>
      <c r="BB936" s="2">
        <v>343</v>
      </c>
      <c r="BC936" s="2">
        <v>357</v>
      </c>
      <c r="BD936" s="2" t="s">
        <v>74</v>
      </c>
      <c r="BE936" s="2" t="s">
        <v>8160</v>
      </c>
      <c r="BF936" s="2" t="str">
        <f>HYPERLINK("http://dx.doi.org/10.1093/czoolo/56.3.343","http://dx.doi.org/10.1093/czoolo/56.3.343")</f>
        <v>http://dx.doi.org/10.1093/czoolo/56.3.343</v>
      </c>
      <c r="BG936" s="2" t="s">
        <v>74</v>
      </c>
      <c r="BH936" s="2" t="s">
        <v>74</v>
      </c>
      <c r="BI936" s="2" t="s">
        <v>74</v>
      </c>
      <c r="BJ936" s="2" t="s">
        <v>74</v>
      </c>
      <c r="BK936" s="2" t="s">
        <v>74</v>
      </c>
      <c r="BL936" s="2" t="s">
        <v>74</v>
      </c>
      <c r="BM936" s="2" t="s">
        <v>74</v>
      </c>
      <c r="BN936" s="2" t="s">
        <v>74</v>
      </c>
      <c r="BO936" s="2" t="s">
        <v>74</v>
      </c>
      <c r="BP936" s="2" t="s">
        <v>74</v>
      </c>
      <c r="BQ936" s="2" t="s">
        <v>74</v>
      </c>
      <c r="BR936" s="2" t="s">
        <v>74</v>
      </c>
      <c r="BS936" s="2" t="s">
        <v>8161</v>
      </c>
      <c r="BT936" s="2" t="str">
        <f>HYPERLINK("https%3A%2F%2Fwww.webofscience.com%2Fwos%2Fwoscc%2Ffull-record%2FWOS:000278715600009","View Full Record in Web of Science")</f>
        <v>View Full Record in Web of Science</v>
      </c>
    </row>
    <row r="937" spans="1:72" s="2" customFormat="1" x14ac:dyDescent="0.4">
      <c r="A937" s="2" t="s">
        <v>72</v>
      </c>
      <c r="B937" s="2" t="s">
        <v>1663</v>
      </c>
      <c r="C937" s="2" t="s">
        <v>74</v>
      </c>
      <c r="D937" s="2" t="s">
        <v>74</v>
      </c>
      <c r="E937" s="2" t="s">
        <v>74</v>
      </c>
      <c r="F937" s="2" t="s">
        <v>1664</v>
      </c>
      <c r="G937" s="2" t="s">
        <v>74</v>
      </c>
      <c r="H937" s="2" t="s">
        <v>74</v>
      </c>
      <c r="I937" s="2" t="s">
        <v>1665</v>
      </c>
      <c r="J937" s="2" t="s">
        <v>229</v>
      </c>
      <c r="K937" s="2" t="s">
        <v>74</v>
      </c>
      <c r="L937" s="2" t="s">
        <v>74</v>
      </c>
      <c r="M937" s="2" t="s">
        <v>74</v>
      </c>
      <c r="N937" s="2" t="s">
        <v>74</v>
      </c>
      <c r="O937" s="2" t="s">
        <v>74</v>
      </c>
      <c r="P937" s="2" t="s">
        <v>74</v>
      </c>
      <c r="Q937" s="2" t="s">
        <v>74</v>
      </c>
      <c r="R937" s="2" t="s">
        <v>74</v>
      </c>
      <c r="S937" s="2" t="s">
        <v>74</v>
      </c>
      <c r="T937" s="2" t="s">
        <v>74</v>
      </c>
      <c r="U937" s="2" t="s">
        <v>74</v>
      </c>
      <c r="V937" s="5" t="s">
        <v>1666</v>
      </c>
      <c r="W937" s="2" t="s">
        <v>74</v>
      </c>
      <c r="X937" s="2" t="s">
        <v>74</v>
      </c>
      <c r="Y937" s="2" t="s">
        <v>74</v>
      </c>
      <c r="Z937" s="2" t="s">
        <v>74</v>
      </c>
      <c r="AA937" s="2" t="s">
        <v>1667</v>
      </c>
      <c r="AB937" s="2" t="s">
        <v>1668</v>
      </c>
      <c r="AC937" s="2" t="s">
        <v>74</v>
      </c>
      <c r="AD937" s="2" t="s">
        <v>74</v>
      </c>
      <c r="AE937" s="2" t="s">
        <v>74</v>
      </c>
      <c r="AF937" s="2" t="s">
        <v>74</v>
      </c>
      <c r="AG937" s="2" t="s">
        <v>74</v>
      </c>
      <c r="AH937" s="2" t="s">
        <v>74</v>
      </c>
      <c r="AI937" s="2" t="s">
        <v>74</v>
      </c>
      <c r="AJ937" s="2" t="s">
        <v>74</v>
      </c>
      <c r="AK937" s="2" t="s">
        <v>74</v>
      </c>
      <c r="AL937" s="2" t="s">
        <v>74</v>
      </c>
      <c r="AM937" s="2" t="s">
        <v>74</v>
      </c>
      <c r="AN937" s="2" t="s">
        <v>74</v>
      </c>
      <c r="AO937" s="2" t="s">
        <v>233</v>
      </c>
      <c r="AP937" s="2" t="s">
        <v>234</v>
      </c>
      <c r="AQ937" s="2" t="s">
        <v>74</v>
      </c>
      <c r="AR937" s="2" t="s">
        <v>74</v>
      </c>
      <c r="AS937" s="2" t="s">
        <v>74</v>
      </c>
      <c r="AT937" s="2" t="s">
        <v>808</v>
      </c>
      <c r="AU937" s="2">
        <v>2009</v>
      </c>
      <c r="AV937" s="2">
        <v>35</v>
      </c>
      <c r="AW937" s="2">
        <v>3</v>
      </c>
      <c r="AX937" s="2" t="s">
        <v>74</v>
      </c>
      <c r="AY937" s="2" t="s">
        <v>74</v>
      </c>
      <c r="AZ937" s="2" t="s">
        <v>74</v>
      </c>
      <c r="BA937" s="2" t="s">
        <v>74</v>
      </c>
      <c r="BB937" s="2">
        <v>274</v>
      </c>
      <c r="BC937" s="2">
        <v>283</v>
      </c>
      <c r="BD937" s="2" t="s">
        <v>74</v>
      </c>
      <c r="BE937" s="2" t="s">
        <v>1669</v>
      </c>
      <c r="BF937" s="2" t="str">
        <f>HYPERLINK("http://dx.doi.org/10.1002/ab.20305","http://dx.doi.org/10.1002/ab.20305")</f>
        <v>http://dx.doi.org/10.1002/ab.20305</v>
      </c>
      <c r="BG937" s="2" t="s">
        <v>74</v>
      </c>
      <c r="BH937" s="2" t="s">
        <v>74</v>
      </c>
      <c r="BI937" s="2" t="s">
        <v>74</v>
      </c>
      <c r="BJ937" s="2" t="s">
        <v>74</v>
      </c>
      <c r="BK937" s="2" t="s">
        <v>74</v>
      </c>
      <c r="BL937" s="2" t="s">
        <v>74</v>
      </c>
      <c r="BM937" s="2" t="s">
        <v>74</v>
      </c>
      <c r="BN937" s="2">
        <v>19291744</v>
      </c>
      <c r="BO937" s="2" t="s">
        <v>74</v>
      </c>
      <c r="BP937" s="2" t="s">
        <v>74</v>
      </c>
      <c r="BQ937" s="2" t="s">
        <v>74</v>
      </c>
      <c r="BR937" s="2" t="s">
        <v>74</v>
      </c>
      <c r="BS937" s="2" t="s">
        <v>1670</v>
      </c>
      <c r="BT937" s="2" t="str">
        <f>HYPERLINK("https%3A%2F%2Fwww.webofscience.com%2Fwos%2Fwoscc%2Ffull-record%2FWOS:000265331000006","View Full Record in Web of Science")</f>
        <v>View Full Record in Web of Science</v>
      </c>
    </row>
    <row r="938" spans="1:72" s="2" customFormat="1" x14ac:dyDescent="0.4">
      <c r="A938" s="2" t="s">
        <v>72</v>
      </c>
      <c r="B938" s="2" t="s">
        <v>5122</v>
      </c>
      <c r="C938" s="2" t="s">
        <v>74</v>
      </c>
      <c r="D938" s="2" t="s">
        <v>74</v>
      </c>
      <c r="E938" s="2" t="s">
        <v>74</v>
      </c>
      <c r="F938" s="2" t="s">
        <v>5122</v>
      </c>
      <c r="G938" s="2" t="s">
        <v>74</v>
      </c>
      <c r="H938" s="2" t="s">
        <v>74</v>
      </c>
      <c r="I938" s="2" t="s">
        <v>5123</v>
      </c>
      <c r="J938" s="2" t="s">
        <v>2207</v>
      </c>
      <c r="K938" s="2" t="s">
        <v>74</v>
      </c>
      <c r="L938" s="2" t="s">
        <v>74</v>
      </c>
      <c r="M938" s="2" t="s">
        <v>74</v>
      </c>
      <c r="N938" s="2" t="s">
        <v>74</v>
      </c>
      <c r="O938" s="2" t="s">
        <v>74</v>
      </c>
      <c r="P938" s="2" t="s">
        <v>74</v>
      </c>
      <c r="Q938" s="2" t="s">
        <v>74</v>
      </c>
      <c r="R938" s="2" t="s">
        <v>74</v>
      </c>
      <c r="S938" s="2" t="s">
        <v>74</v>
      </c>
      <c r="T938" s="2" t="s">
        <v>74</v>
      </c>
      <c r="U938" s="2" t="s">
        <v>74</v>
      </c>
      <c r="V938" s="5" t="s">
        <v>5124</v>
      </c>
      <c r="W938" s="2" t="s">
        <v>74</v>
      </c>
      <c r="X938" s="2" t="s">
        <v>74</v>
      </c>
      <c r="Y938" s="2" t="s">
        <v>74</v>
      </c>
      <c r="Z938" s="2" t="s">
        <v>74</v>
      </c>
      <c r="AA938" s="2" t="s">
        <v>74</v>
      </c>
      <c r="AB938" s="2" t="s">
        <v>74</v>
      </c>
      <c r="AC938" s="2" t="s">
        <v>74</v>
      </c>
      <c r="AD938" s="2" t="s">
        <v>74</v>
      </c>
      <c r="AE938" s="2" t="s">
        <v>74</v>
      </c>
      <c r="AF938" s="2" t="s">
        <v>74</v>
      </c>
      <c r="AG938" s="2" t="s">
        <v>74</v>
      </c>
      <c r="AH938" s="2" t="s">
        <v>74</v>
      </c>
      <c r="AI938" s="2" t="s">
        <v>74</v>
      </c>
      <c r="AJ938" s="2" t="s">
        <v>74</v>
      </c>
      <c r="AK938" s="2" t="s">
        <v>74</v>
      </c>
      <c r="AL938" s="2" t="s">
        <v>74</v>
      </c>
      <c r="AM938" s="2" t="s">
        <v>74</v>
      </c>
      <c r="AN938" s="2" t="s">
        <v>74</v>
      </c>
      <c r="AO938" s="2" t="s">
        <v>2211</v>
      </c>
      <c r="AP938" s="2" t="s">
        <v>2461</v>
      </c>
      <c r="AQ938" s="2" t="s">
        <v>74</v>
      </c>
      <c r="AR938" s="2" t="s">
        <v>74</v>
      </c>
      <c r="AS938" s="2" t="s">
        <v>74</v>
      </c>
      <c r="AT938" s="2" t="s">
        <v>352</v>
      </c>
      <c r="AU938" s="2">
        <v>1997</v>
      </c>
      <c r="AV938" s="2">
        <v>28</v>
      </c>
      <c r="AW938" s="2">
        <v>3</v>
      </c>
      <c r="AX938" s="2" t="s">
        <v>74</v>
      </c>
      <c r="AY938" s="2" t="s">
        <v>74</v>
      </c>
      <c r="AZ938" s="2" t="s">
        <v>74</v>
      </c>
      <c r="BA938" s="2" t="s">
        <v>74</v>
      </c>
      <c r="BB938" s="2">
        <v>259</v>
      </c>
      <c r="BC938" s="2">
        <v>263</v>
      </c>
      <c r="BD938" s="2" t="s">
        <v>74</v>
      </c>
      <c r="BE938" s="2" t="s">
        <v>5125</v>
      </c>
      <c r="BF938" s="2" t="str">
        <f>HYPERLINK("http://dx.doi.org/10.2307/3676978","http://dx.doi.org/10.2307/3676978")</f>
        <v>http://dx.doi.org/10.2307/3676978</v>
      </c>
      <c r="BG938" s="2" t="s">
        <v>74</v>
      </c>
      <c r="BH938" s="2" t="s">
        <v>74</v>
      </c>
      <c r="BI938" s="2" t="s">
        <v>74</v>
      </c>
      <c r="BJ938" s="2" t="s">
        <v>74</v>
      </c>
      <c r="BK938" s="2" t="s">
        <v>74</v>
      </c>
      <c r="BL938" s="2" t="s">
        <v>74</v>
      </c>
      <c r="BM938" s="2" t="s">
        <v>74</v>
      </c>
      <c r="BN938" s="2" t="s">
        <v>74</v>
      </c>
      <c r="BO938" s="2" t="s">
        <v>74</v>
      </c>
      <c r="BP938" s="2" t="s">
        <v>74</v>
      </c>
      <c r="BQ938" s="2" t="s">
        <v>74</v>
      </c>
      <c r="BR938" s="2" t="s">
        <v>74</v>
      </c>
      <c r="BS938" s="2" t="s">
        <v>5126</v>
      </c>
      <c r="BT938" s="2" t="str">
        <f>HYPERLINK("https%3A%2F%2Fwww.webofscience.com%2Fwos%2Fwoscc%2Ffull-record%2FWOS:A1997XX48100010","View Full Record in Web of Science")</f>
        <v>View Full Record in Web of Science</v>
      </c>
    </row>
    <row r="939" spans="1:72" s="2" customFormat="1" x14ac:dyDescent="0.4">
      <c r="A939" s="2" t="s">
        <v>72</v>
      </c>
      <c r="B939" s="2" t="s">
        <v>5234</v>
      </c>
      <c r="C939" s="2" t="s">
        <v>74</v>
      </c>
      <c r="D939" s="2" t="s">
        <v>74</v>
      </c>
      <c r="E939" s="2" t="s">
        <v>74</v>
      </c>
      <c r="F939" s="2" t="s">
        <v>5234</v>
      </c>
      <c r="G939" s="2" t="s">
        <v>74</v>
      </c>
      <c r="H939" s="2" t="s">
        <v>74</v>
      </c>
      <c r="I939" s="2" t="s">
        <v>5235</v>
      </c>
      <c r="J939" s="2" t="s">
        <v>140</v>
      </c>
      <c r="K939" s="2" t="s">
        <v>74</v>
      </c>
      <c r="L939" s="2" t="s">
        <v>74</v>
      </c>
      <c r="M939" s="2" t="s">
        <v>74</v>
      </c>
      <c r="N939" s="2" t="s">
        <v>74</v>
      </c>
      <c r="O939" s="2" t="s">
        <v>74</v>
      </c>
      <c r="P939" s="2" t="s">
        <v>74</v>
      </c>
      <c r="Q939" s="2" t="s">
        <v>74</v>
      </c>
      <c r="R939" s="2" t="s">
        <v>74</v>
      </c>
      <c r="S939" s="2" t="s">
        <v>74</v>
      </c>
      <c r="T939" s="2" t="s">
        <v>74</v>
      </c>
      <c r="U939" s="2" t="s">
        <v>74</v>
      </c>
      <c r="V939" s="5" t="s">
        <v>74</v>
      </c>
      <c r="W939" s="2" t="s">
        <v>74</v>
      </c>
      <c r="X939" s="2" t="s">
        <v>74</v>
      </c>
      <c r="Y939" s="2" t="s">
        <v>74</v>
      </c>
      <c r="Z939" s="2" t="s">
        <v>74</v>
      </c>
      <c r="AA939" s="2" t="s">
        <v>74</v>
      </c>
      <c r="AB939" s="2" t="s">
        <v>74</v>
      </c>
      <c r="AC939" s="2" t="s">
        <v>74</v>
      </c>
      <c r="AD939" s="2" t="s">
        <v>74</v>
      </c>
      <c r="AE939" s="2" t="s">
        <v>74</v>
      </c>
      <c r="AF939" s="2" t="s">
        <v>74</v>
      </c>
      <c r="AG939" s="2" t="s">
        <v>74</v>
      </c>
      <c r="AH939" s="2" t="s">
        <v>74</v>
      </c>
      <c r="AI939" s="2" t="s">
        <v>74</v>
      </c>
      <c r="AJ939" s="2" t="s">
        <v>74</v>
      </c>
      <c r="AK939" s="2" t="s">
        <v>74</v>
      </c>
      <c r="AL939" s="2" t="s">
        <v>74</v>
      </c>
      <c r="AM939" s="2" t="s">
        <v>74</v>
      </c>
      <c r="AN939" s="2" t="s">
        <v>74</v>
      </c>
      <c r="AO939" s="2" t="s">
        <v>143</v>
      </c>
      <c r="AP939" s="2" t="s">
        <v>74</v>
      </c>
      <c r="AQ939" s="2" t="s">
        <v>74</v>
      </c>
      <c r="AR939" s="2" t="s">
        <v>74</v>
      </c>
      <c r="AS939" s="2" t="s">
        <v>74</v>
      </c>
      <c r="AT939" s="2" t="s">
        <v>145</v>
      </c>
      <c r="AU939" s="2">
        <v>1992</v>
      </c>
      <c r="AV939" s="2">
        <v>44</v>
      </c>
      <c r="AW939" s="2">
        <v>2</v>
      </c>
      <c r="AX939" s="2" t="s">
        <v>74</v>
      </c>
      <c r="AY939" s="2" t="s">
        <v>74</v>
      </c>
      <c r="AZ939" s="2" t="s">
        <v>74</v>
      </c>
      <c r="BA939" s="2" t="s">
        <v>74</v>
      </c>
      <c r="BB939" s="2">
        <v>293</v>
      </c>
      <c r="BC939" s="2">
        <v>299</v>
      </c>
      <c r="BD939" s="2" t="s">
        <v>74</v>
      </c>
      <c r="BE939" s="2" t="s">
        <v>5236</v>
      </c>
      <c r="BF939" s="2" t="str">
        <f>HYPERLINK("http://dx.doi.org/10.1016/0003-3472(92)90035-8","http://dx.doi.org/10.1016/0003-3472(92)90035-8")</f>
        <v>http://dx.doi.org/10.1016/0003-3472(92)90035-8</v>
      </c>
      <c r="BG939" s="2" t="s">
        <v>74</v>
      </c>
      <c r="BH939" s="2" t="s">
        <v>74</v>
      </c>
      <c r="BI939" s="2" t="s">
        <v>74</v>
      </c>
      <c r="BJ939" s="2" t="s">
        <v>74</v>
      </c>
      <c r="BK939" s="2" t="s">
        <v>74</v>
      </c>
      <c r="BL939" s="2" t="s">
        <v>74</v>
      </c>
      <c r="BM939" s="2" t="s">
        <v>74</v>
      </c>
      <c r="BN939" s="2" t="s">
        <v>74</v>
      </c>
      <c r="BO939" s="2" t="s">
        <v>74</v>
      </c>
      <c r="BP939" s="2" t="s">
        <v>74</v>
      </c>
      <c r="BQ939" s="2" t="s">
        <v>74</v>
      </c>
      <c r="BR939" s="2" t="s">
        <v>74</v>
      </c>
      <c r="BS939" s="2" t="s">
        <v>5237</v>
      </c>
      <c r="BT939" s="2" t="str">
        <f>HYPERLINK("https%3A%2F%2Fwww.webofscience.com%2Fwos%2Fwoscc%2Ffull-record%2FWOS:A1992JK06900011","View Full Record in Web of Science")</f>
        <v>View Full Record in Web of Science</v>
      </c>
    </row>
    <row r="940" spans="1:72" s="2" customFormat="1" x14ac:dyDescent="0.4">
      <c r="A940" s="2" t="s">
        <v>72</v>
      </c>
      <c r="B940" s="2" t="s">
        <v>8346</v>
      </c>
      <c r="C940" s="2" t="s">
        <v>74</v>
      </c>
      <c r="D940" s="2" t="s">
        <v>74</v>
      </c>
      <c r="E940" s="2" t="s">
        <v>74</v>
      </c>
      <c r="F940" s="2" t="s">
        <v>8347</v>
      </c>
      <c r="G940" s="2" t="s">
        <v>74</v>
      </c>
      <c r="H940" s="2" t="s">
        <v>74</v>
      </c>
      <c r="I940" s="2" t="s">
        <v>8348</v>
      </c>
      <c r="J940" s="2" t="s">
        <v>129</v>
      </c>
      <c r="K940" s="2" t="s">
        <v>74</v>
      </c>
      <c r="L940" s="2" t="s">
        <v>74</v>
      </c>
      <c r="M940" s="2" t="s">
        <v>74</v>
      </c>
      <c r="N940" s="2" t="s">
        <v>74</v>
      </c>
      <c r="O940" s="2" t="s">
        <v>74</v>
      </c>
      <c r="P940" s="2" t="s">
        <v>74</v>
      </c>
      <c r="Q940" s="2" t="s">
        <v>74</v>
      </c>
      <c r="R940" s="2" t="s">
        <v>74</v>
      </c>
      <c r="S940" s="2" t="s">
        <v>74</v>
      </c>
      <c r="T940" s="2" t="s">
        <v>74</v>
      </c>
      <c r="U940" s="2" t="s">
        <v>74</v>
      </c>
      <c r="V940" s="5" t="s">
        <v>8349</v>
      </c>
      <c r="W940" s="2" t="s">
        <v>74</v>
      </c>
      <c r="X940" s="2" t="s">
        <v>74</v>
      </c>
      <c r="Y940" s="2" t="s">
        <v>74</v>
      </c>
      <c r="Z940" s="2" t="s">
        <v>74</v>
      </c>
      <c r="AA940" s="2" t="s">
        <v>74</v>
      </c>
      <c r="AB940" s="2" t="s">
        <v>74</v>
      </c>
      <c r="AC940" s="2" t="s">
        <v>74</v>
      </c>
      <c r="AD940" s="2" t="s">
        <v>74</v>
      </c>
      <c r="AE940" s="2" t="s">
        <v>74</v>
      </c>
      <c r="AF940" s="2" t="s">
        <v>74</v>
      </c>
      <c r="AG940" s="2" t="s">
        <v>74</v>
      </c>
      <c r="AH940" s="2" t="s">
        <v>74</v>
      </c>
      <c r="AI940" s="2" t="s">
        <v>74</v>
      </c>
      <c r="AJ940" s="2" t="s">
        <v>74</v>
      </c>
      <c r="AK940" s="2" t="s">
        <v>74</v>
      </c>
      <c r="AL940" s="2" t="s">
        <v>74</v>
      </c>
      <c r="AM940" s="2" t="s">
        <v>74</v>
      </c>
      <c r="AN940" s="2" t="s">
        <v>74</v>
      </c>
      <c r="AO940" s="2" t="s">
        <v>132</v>
      </c>
      <c r="AP940" s="2" t="s">
        <v>74</v>
      </c>
      <c r="AQ940" s="2" t="s">
        <v>74</v>
      </c>
      <c r="AR940" s="2" t="s">
        <v>74</v>
      </c>
      <c r="AS940" s="2" t="s">
        <v>74</v>
      </c>
      <c r="AT940" s="2" t="s">
        <v>204</v>
      </c>
      <c r="AU940" s="2">
        <v>2007</v>
      </c>
      <c r="AV940" s="2">
        <v>61</v>
      </c>
      <c r="AW940" s="2">
        <v>9</v>
      </c>
      <c r="AX940" s="2" t="s">
        <v>74</v>
      </c>
      <c r="AY940" s="2" t="s">
        <v>74</v>
      </c>
      <c r="AZ940" s="2" t="s">
        <v>74</v>
      </c>
      <c r="BA940" s="2" t="s">
        <v>74</v>
      </c>
      <c r="BB940" s="2">
        <v>1359</v>
      </c>
      <c r="BC940" s="2">
        <v>1368</v>
      </c>
      <c r="BD940" s="2" t="s">
        <v>74</v>
      </c>
      <c r="BE940" s="2" t="s">
        <v>8350</v>
      </c>
      <c r="BF940" s="2" t="str">
        <f>HYPERLINK("http://dx.doi.org/10.1007/s00265-007-0366-6","http://dx.doi.org/10.1007/s00265-007-0366-6")</f>
        <v>http://dx.doi.org/10.1007/s00265-007-0366-6</v>
      </c>
      <c r="BG940" s="2" t="s">
        <v>74</v>
      </c>
      <c r="BH940" s="2" t="s">
        <v>74</v>
      </c>
      <c r="BI940" s="2" t="s">
        <v>74</v>
      </c>
      <c r="BJ940" s="2" t="s">
        <v>74</v>
      </c>
      <c r="BK940" s="2" t="s">
        <v>74</v>
      </c>
      <c r="BL940" s="2" t="s">
        <v>74</v>
      </c>
      <c r="BM940" s="2" t="s">
        <v>74</v>
      </c>
      <c r="BN940" s="2" t="s">
        <v>74</v>
      </c>
      <c r="BO940" s="2" t="s">
        <v>74</v>
      </c>
      <c r="BP940" s="2" t="s">
        <v>74</v>
      </c>
      <c r="BQ940" s="2" t="s">
        <v>74</v>
      </c>
      <c r="BR940" s="2" t="s">
        <v>74</v>
      </c>
      <c r="BS940" s="2" t="s">
        <v>8351</v>
      </c>
      <c r="BT940" s="2" t="str">
        <f>HYPERLINK("https%3A%2F%2Fwww.webofscience.com%2Fwos%2Fwoscc%2Ffull-record%2FWOS:000247256000005","View Full Record in Web of Science")</f>
        <v>View Full Record in Web of Science</v>
      </c>
    </row>
    <row r="941" spans="1:72" s="7" customFormat="1" x14ac:dyDescent="0.4">
      <c r="A941" s="2" t="s">
        <v>72</v>
      </c>
      <c r="B941" s="2" t="s">
        <v>8373</v>
      </c>
      <c r="C941" s="2" t="s">
        <v>74</v>
      </c>
      <c r="D941" s="2" t="s">
        <v>74</v>
      </c>
      <c r="E941" s="2" t="s">
        <v>74</v>
      </c>
      <c r="F941" s="2" t="s">
        <v>8373</v>
      </c>
      <c r="G941" s="2" t="s">
        <v>74</v>
      </c>
      <c r="H941" s="2" t="s">
        <v>74</v>
      </c>
      <c r="I941" s="2" t="s">
        <v>8374</v>
      </c>
      <c r="J941" s="2" t="s">
        <v>333</v>
      </c>
      <c r="K941" s="2" t="s">
        <v>74</v>
      </c>
      <c r="L941" s="2" t="s">
        <v>74</v>
      </c>
      <c r="M941" s="2" t="s">
        <v>74</v>
      </c>
      <c r="N941" s="2" t="s">
        <v>74</v>
      </c>
      <c r="O941" s="2" t="s">
        <v>74</v>
      </c>
      <c r="P941" s="2" t="s">
        <v>74</v>
      </c>
      <c r="Q941" s="2" t="s">
        <v>74</v>
      </c>
      <c r="R941" s="2" t="s">
        <v>74</v>
      </c>
      <c r="S941" s="2" t="s">
        <v>74</v>
      </c>
      <c r="T941" s="2" t="s">
        <v>74</v>
      </c>
      <c r="U941" s="2" t="s">
        <v>74</v>
      </c>
      <c r="V941" s="5" t="s">
        <v>8375</v>
      </c>
      <c r="W941" s="2" t="s">
        <v>74</v>
      </c>
      <c r="X941" s="2" t="s">
        <v>74</v>
      </c>
      <c r="Y941" s="2" t="s">
        <v>74</v>
      </c>
      <c r="Z941" s="2" t="s">
        <v>74</v>
      </c>
      <c r="AA941" s="2" t="s">
        <v>8376</v>
      </c>
      <c r="AB941" s="2" t="s">
        <v>1934</v>
      </c>
      <c r="AC941" s="2" t="s">
        <v>74</v>
      </c>
      <c r="AD941" s="2" t="s">
        <v>74</v>
      </c>
      <c r="AE941" s="2" t="s">
        <v>74</v>
      </c>
      <c r="AF941" s="2" t="s">
        <v>74</v>
      </c>
      <c r="AG941" s="2" t="s">
        <v>74</v>
      </c>
      <c r="AH941" s="2" t="s">
        <v>74</v>
      </c>
      <c r="AI941" s="2" t="s">
        <v>74</v>
      </c>
      <c r="AJ941" s="2" t="s">
        <v>74</v>
      </c>
      <c r="AK941" s="2" t="s">
        <v>74</v>
      </c>
      <c r="AL941" s="2" t="s">
        <v>74</v>
      </c>
      <c r="AM941" s="2" t="s">
        <v>74</v>
      </c>
      <c r="AN941" s="2" t="s">
        <v>74</v>
      </c>
      <c r="AO941" s="2" t="s">
        <v>337</v>
      </c>
      <c r="AP941" s="2" t="s">
        <v>338</v>
      </c>
      <c r="AQ941" s="2" t="s">
        <v>74</v>
      </c>
      <c r="AR941" s="2" t="s">
        <v>74</v>
      </c>
      <c r="AS941" s="2" t="s">
        <v>74</v>
      </c>
      <c r="AT941" s="2" t="s">
        <v>3338</v>
      </c>
      <c r="AU941" s="2">
        <v>1996</v>
      </c>
      <c r="AV941" s="2">
        <v>7</v>
      </c>
      <c r="AW941" s="2">
        <v>2</v>
      </c>
      <c r="AX941" s="2" t="s">
        <v>74</v>
      </c>
      <c r="AY941" s="2" t="s">
        <v>74</v>
      </c>
      <c r="AZ941" s="2" t="s">
        <v>74</v>
      </c>
      <c r="BA941" s="2" t="s">
        <v>74</v>
      </c>
      <c r="BB941" s="2">
        <v>145</v>
      </c>
      <c r="BC941" s="2">
        <v>150</v>
      </c>
      <c r="BD941" s="2" t="s">
        <v>74</v>
      </c>
      <c r="BE941" s="2" t="s">
        <v>8377</v>
      </c>
      <c r="BF941" s="2" t="str">
        <f>HYPERLINK("http://dx.doi.org/10.1093/beheco/7.2.145","http://dx.doi.org/10.1093/beheco/7.2.145")</f>
        <v>http://dx.doi.org/10.1093/beheco/7.2.145</v>
      </c>
      <c r="BG941" s="2" t="s">
        <v>74</v>
      </c>
      <c r="BH941" s="2" t="s">
        <v>74</v>
      </c>
      <c r="BI941" s="2" t="s">
        <v>74</v>
      </c>
      <c r="BJ941" s="2" t="s">
        <v>74</v>
      </c>
      <c r="BK941" s="2" t="s">
        <v>74</v>
      </c>
      <c r="BL941" s="2" t="s">
        <v>74</v>
      </c>
      <c r="BM941" s="2" t="s">
        <v>74</v>
      </c>
      <c r="BN941" s="2" t="s">
        <v>74</v>
      </c>
      <c r="BO941" s="2" t="s">
        <v>74</v>
      </c>
      <c r="BP941" s="2" t="s">
        <v>74</v>
      </c>
      <c r="BQ941" s="2" t="s">
        <v>74</v>
      </c>
      <c r="BR941" s="2" t="s">
        <v>74</v>
      </c>
      <c r="BS941" s="2" t="s">
        <v>8378</v>
      </c>
      <c r="BT941" s="2" t="str">
        <f>HYPERLINK("https%3A%2F%2Fwww.webofscience.com%2Fwos%2Fwoscc%2Ffull-record%2FWOS:A1996UK92900006","View Full Record in Web of Science")</f>
        <v>View Full Record in Web of Science</v>
      </c>
    </row>
    <row r="942" spans="1:72" s="1" customFormat="1" x14ac:dyDescent="0.4">
      <c r="A942" s="2" t="s">
        <v>72</v>
      </c>
      <c r="B942" s="2" t="s">
        <v>4262</v>
      </c>
      <c r="C942" s="2" t="s">
        <v>74</v>
      </c>
      <c r="D942" s="2" t="s">
        <v>74</v>
      </c>
      <c r="E942" s="2" t="s">
        <v>74</v>
      </c>
      <c r="F942" s="2" t="s">
        <v>4263</v>
      </c>
      <c r="G942" s="2" t="s">
        <v>74</v>
      </c>
      <c r="H942" s="2" t="s">
        <v>74</v>
      </c>
      <c r="I942" s="2" t="s">
        <v>4264</v>
      </c>
      <c r="J942" s="2" t="s">
        <v>241</v>
      </c>
      <c r="K942" s="2" t="s">
        <v>74</v>
      </c>
      <c r="L942" s="2" t="s">
        <v>74</v>
      </c>
      <c r="M942" s="2" t="s">
        <v>74</v>
      </c>
      <c r="N942" s="2" t="s">
        <v>74</v>
      </c>
      <c r="O942" s="2" t="s">
        <v>74</v>
      </c>
      <c r="P942" s="2" t="s">
        <v>74</v>
      </c>
      <c r="Q942" s="2" t="s">
        <v>74</v>
      </c>
      <c r="R942" s="2" t="s">
        <v>74</v>
      </c>
      <c r="S942" s="2" t="s">
        <v>74</v>
      </c>
      <c r="T942" s="2" t="s">
        <v>74</v>
      </c>
      <c r="U942" s="2" t="s">
        <v>74</v>
      </c>
      <c r="V942" s="5" t="s">
        <v>4265</v>
      </c>
      <c r="W942" s="2" t="s">
        <v>74</v>
      </c>
      <c r="X942" s="2" t="s">
        <v>74</v>
      </c>
      <c r="Y942" s="2" t="s">
        <v>74</v>
      </c>
      <c r="Z942" s="2" t="s">
        <v>74</v>
      </c>
      <c r="AA942" s="2" t="s">
        <v>4266</v>
      </c>
      <c r="AB942" s="2" t="s">
        <v>4267</v>
      </c>
      <c r="AC942" s="2" t="s">
        <v>74</v>
      </c>
      <c r="AD942" s="2" t="s">
        <v>74</v>
      </c>
      <c r="AE942" s="2" t="s">
        <v>74</v>
      </c>
      <c r="AF942" s="2" t="s">
        <v>74</v>
      </c>
      <c r="AG942" s="2" t="s">
        <v>74</v>
      </c>
      <c r="AH942" s="2" t="s">
        <v>74</v>
      </c>
      <c r="AI942" s="2" t="s">
        <v>74</v>
      </c>
      <c r="AJ942" s="2" t="s">
        <v>74</v>
      </c>
      <c r="AK942" s="2" t="s">
        <v>74</v>
      </c>
      <c r="AL942" s="2" t="s">
        <v>74</v>
      </c>
      <c r="AM942" s="2" t="s">
        <v>74</v>
      </c>
      <c r="AN942" s="2" t="s">
        <v>74</v>
      </c>
      <c r="AO942" s="2" t="s">
        <v>245</v>
      </c>
      <c r="AP942" s="2" t="s">
        <v>246</v>
      </c>
      <c r="AQ942" s="2" t="s">
        <v>74</v>
      </c>
      <c r="AR942" s="2" t="s">
        <v>74</v>
      </c>
      <c r="AS942" s="2" t="s">
        <v>74</v>
      </c>
      <c r="AT942" s="2" t="s">
        <v>255</v>
      </c>
      <c r="AU942" s="2">
        <v>2013</v>
      </c>
      <c r="AV942" s="2">
        <v>171</v>
      </c>
      <c r="AW942" s="2">
        <v>1</v>
      </c>
      <c r="AX942" s="2" t="s">
        <v>74</v>
      </c>
      <c r="AY942" s="2" t="s">
        <v>74</v>
      </c>
      <c r="AZ942" s="2" t="s">
        <v>74</v>
      </c>
      <c r="BA942" s="2" t="s">
        <v>74</v>
      </c>
      <c r="BB942" s="2">
        <v>105</v>
      </c>
      <c r="BC942" s="2">
        <v>113</v>
      </c>
      <c r="BD942" s="2" t="s">
        <v>74</v>
      </c>
      <c r="BE942" s="2" t="s">
        <v>4268</v>
      </c>
      <c r="BF942" s="2" t="str">
        <f>HYPERLINK("http://dx.doi.org/10.1007/s00442-012-2388-7","http://dx.doi.org/10.1007/s00442-012-2388-7")</f>
        <v>http://dx.doi.org/10.1007/s00442-012-2388-7</v>
      </c>
      <c r="BG942" s="2" t="s">
        <v>74</v>
      </c>
      <c r="BH942" s="2" t="s">
        <v>74</v>
      </c>
      <c r="BI942" s="2" t="s">
        <v>74</v>
      </c>
      <c r="BJ942" s="2" t="s">
        <v>74</v>
      </c>
      <c r="BK942" s="2" t="s">
        <v>74</v>
      </c>
      <c r="BL942" s="2" t="s">
        <v>74</v>
      </c>
      <c r="BM942" s="2" t="s">
        <v>74</v>
      </c>
      <c r="BN942" s="2">
        <v>22710614</v>
      </c>
      <c r="BO942" s="2" t="s">
        <v>74</v>
      </c>
      <c r="BP942" s="2" t="s">
        <v>74</v>
      </c>
      <c r="BQ942" s="2" t="s">
        <v>74</v>
      </c>
      <c r="BR942" s="2" t="s">
        <v>74</v>
      </c>
      <c r="BS942" s="2" t="s">
        <v>4269</v>
      </c>
      <c r="BT942" s="2" t="str">
        <f>HYPERLINK("https%3A%2F%2Fwww.webofscience.com%2Fwos%2Fwoscc%2Ffull-record%2FWOS:000313079100010","View Full Record in Web of Science")</f>
        <v>View Full Record in Web of Science</v>
      </c>
    </row>
    <row r="943" spans="1:72" s="2" customFormat="1" x14ac:dyDescent="0.4">
      <c r="A943" s="2" t="s">
        <v>72</v>
      </c>
      <c r="B943" s="2" t="s">
        <v>6284</v>
      </c>
      <c r="C943" s="2" t="s">
        <v>74</v>
      </c>
      <c r="D943" s="2" t="s">
        <v>74</v>
      </c>
      <c r="E943" s="2" t="s">
        <v>74</v>
      </c>
      <c r="F943" s="2" t="s">
        <v>6285</v>
      </c>
      <c r="G943" s="2" t="s">
        <v>74</v>
      </c>
      <c r="H943" s="2" t="s">
        <v>74</v>
      </c>
      <c r="I943" s="2" t="s">
        <v>6286</v>
      </c>
      <c r="J943" s="2" t="s">
        <v>1656</v>
      </c>
      <c r="K943" s="2" t="s">
        <v>74</v>
      </c>
      <c r="L943" s="2" t="s">
        <v>74</v>
      </c>
      <c r="M943" s="2" t="s">
        <v>74</v>
      </c>
      <c r="N943" s="2" t="s">
        <v>74</v>
      </c>
      <c r="O943" s="2" t="s">
        <v>74</v>
      </c>
      <c r="P943" s="2" t="s">
        <v>74</v>
      </c>
      <c r="Q943" s="2" t="s">
        <v>74</v>
      </c>
      <c r="R943" s="2" t="s">
        <v>74</v>
      </c>
      <c r="S943" s="2" t="s">
        <v>74</v>
      </c>
      <c r="T943" s="2" t="s">
        <v>74</v>
      </c>
      <c r="U943" s="2" t="s">
        <v>74</v>
      </c>
      <c r="V943" s="5" t="s">
        <v>6287</v>
      </c>
      <c r="W943" s="2" t="s">
        <v>74</v>
      </c>
      <c r="X943" s="2" t="s">
        <v>74</v>
      </c>
      <c r="Y943" s="2" t="s">
        <v>74</v>
      </c>
      <c r="Z943" s="2" t="s">
        <v>74</v>
      </c>
      <c r="AA943" s="2" t="s">
        <v>74</v>
      </c>
      <c r="AB943" s="2" t="s">
        <v>74</v>
      </c>
      <c r="AC943" s="2" t="s">
        <v>74</v>
      </c>
      <c r="AD943" s="2" t="s">
        <v>74</v>
      </c>
      <c r="AE943" s="2" t="s">
        <v>74</v>
      </c>
      <c r="AF943" s="2" t="s">
        <v>74</v>
      </c>
      <c r="AG943" s="2" t="s">
        <v>74</v>
      </c>
      <c r="AH943" s="2" t="s">
        <v>74</v>
      </c>
      <c r="AI943" s="2" t="s">
        <v>74</v>
      </c>
      <c r="AJ943" s="2" t="s">
        <v>74</v>
      </c>
      <c r="AK943" s="2" t="s">
        <v>74</v>
      </c>
      <c r="AL943" s="2" t="s">
        <v>74</v>
      </c>
      <c r="AM943" s="2" t="s">
        <v>74</v>
      </c>
      <c r="AN943" s="2" t="s">
        <v>74</v>
      </c>
      <c r="AO943" s="2" t="s">
        <v>1658</v>
      </c>
      <c r="AP943" s="2" t="s">
        <v>1659</v>
      </c>
      <c r="AQ943" s="2" t="s">
        <v>74</v>
      </c>
      <c r="AR943" s="2" t="s">
        <v>74</v>
      </c>
      <c r="AS943" s="2" t="s">
        <v>74</v>
      </c>
      <c r="AT943" s="2" t="s">
        <v>6288</v>
      </c>
      <c r="AU943" s="2">
        <v>2010</v>
      </c>
      <c r="AV943" s="2" t="s">
        <v>74</v>
      </c>
      <c r="AW943" s="2">
        <v>2355</v>
      </c>
      <c r="AX943" s="2" t="s">
        <v>74</v>
      </c>
      <c r="AY943" s="2" t="s">
        <v>74</v>
      </c>
      <c r="AZ943" s="2" t="s">
        <v>74</v>
      </c>
      <c r="BA943" s="2" t="s">
        <v>74</v>
      </c>
      <c r="BB943" s="2">
        <v>56</v>
      </c>
      <c r="BC943" s="2">
        <v>68</v>
      </c>
      <c r="BD943" s="2" t="s">
        <v>74</v>
      </c>
      <c r="BE943" s="2" t="s">
        <v>74</v>
      </c>
      <c r="BF943" s="2" t="s">
        <v>74</v>
      </c>
      <c r="BG943" s="2" t="s">
        <v>74</v>
      </c>
      <c r="BH943" s="2" t="s">
        <v>74</v>
      </c>
      <c r="BI943" s="2" t="s">
        <v>74</v>
      </c>
      <c r="BJ943" s="2" t="s">
        <v>74</v>
      </c>
      <c r="BK943" s="2" t="s">
        <v>74</v>
      </c>
      <c r="BL943" s="2" t="s">
        <v>74</v>
      </c>
      <c r="BM943" s="2" t="s">
        <v>74</v>
      </c>
      <c r="BN943" s="2" t="s">
        <v>74</v>
      </c>
      <c r="BO943" s="2" t="s">
        <v>74</v>
      </c>
      <c r="BP943" s="2" t="s">
        <v>74</v>
      </c>
      <c r="BQ943" s="2" t="s">
        <v>74</v>
      </c>
      <c r="BR943" s="2" t="s">
        <v>74</v>
      </c>
      <c r="BS943" s="2" t="s">
        <v>6289</v>
      </c>
      <c r="BT943" s="2" t="str">
        <f>HYPERLINK("https%3A%2F%2Fwww.webofscience.com%2Fwos%2Fwoscc%2Ffull-record%2FWOS:000274639400003","View Full Record in Web of Science")</f>
        <v>View Full Record in Web of Science</v>
      </c>
    </row>
    <row r="944" spans="1:72" s="2" customFormat="1" x14ac:dyDescent="0.4">
      <c r="A944" s="2" t="s">
        <v>72</v>
      </c>
      <c r="B944" s="2" t="s">
        <v>5595</v>
      </c>
      <c r="C944" s="2" t="s">
        <v>74</v>
      </c>
      <c r="D944" s="2" t="s">
        <v>74</v>
      </c>
      <c r="E944" s="2" t="s">
        <v>74</v>
      </c>
      <c r="F944" s="2" t="s">
        <v>5596</v>
      </c>
      <c r="G944" s="2" t="s">
        <v>74</v>
      </c>
      <c r="H944" s="2" t="s">
        <v>74</v>
      </c>
      <c r="I944" s="2" t="s">
        <v>5597</v>
      </c>
      <c r="J944" s="2" t="s">
        <v>1044</v>
      </c>
      <c r="K944" s="2" t="s">
        <v>74</v>
      </c>
      <c r="L944" s="2" t="s">
        <v>74</v>
      </c>
      <c r="M944" s="2" t="s">
        <v>74</v>
      </c>
      <c r="N944" s="2" t="s">
        <v>74</v>
      </c>
      <c r="O944" s="2" t="s">
        <v>74</v>
      </c>
      <c r="P944" s="2" t="s">
        <v>74</v>
      </c>
      <c r="Q944" s="2" t="s">
        <v>74</v>
      </c>
      <c r="R944" s="2" t="s">
        <v>74</v>
      </c>
      <c r="S944" s="2" t="s">
        <v>74</v>
      </c>
      <c r="T944" s="2" t="s">
        <v>74</v>
      </c>
      <c r="U944" s="2" t="s">
        <v>74</v>
      </c>
      <c r="V944" s="5" t="s">
        <v>5598</v>
      </c>
      <c r="W944" s="2" t="s">
        <v>74</v>
      </c>
      <c r="X944" s="2" t="s">
        <v>74</v>
      </c>
      <c r="Y944" s="2" t="s">
        <v>74</v>
      </c>
      <c r="Z944" s="2" t="s">
        <v>74</v>
      </c>
      <c r="AA944" s="2" t="s">
        <v>5599</v>
      </c>
      <c r="AB944" s="2" t="s">
        <v>5600</v>
      </c>
      <c r="AC944" s="2" t="s">
        <v>74</v>
      </c>
      <c r="AD944" s="2" t="s">
        <v>74</v>
      </c>
      <c r="AE944" s="2" t="s">
        <v>74</v>
      </c>
      <c r="AF944" s="2" t="s">
        <v>74</v>
      </c>
      <c r="AG944" s="2" t="s">
        <v>74</v>
      </c>
      <c r="AH944" s="2" t="s">
        <v>74</v>
      </c>
      <c r="AI944" s="2" t="s">
        <v>74</v>
      </c>
      <c r="AJ944" s="2" t="s">
        <v>74</v>
      </c>
      <c r="AK944" s="2" t="s">
        <v>74</v>
      </c>
      <c r="AL944" s="2" t="s">
        <v>74</v>
      </c>
      <c r="AM944" s="2" t="s">
        <v>74</v>
      </c>
      <c r="AN944" s="2" t="s">
        <v>74</v>
      </c>
      <c r="AO944" s="2" t="s">
        <v>1048</v>
      </c>
      <c r="AP944" s="2" t="s">
        <v>1049</v>
      </c>
      <c r="AQ944" s="2" t="s">
        <v>74</v>
      </c>
      <c r="AR944" s="2" t="s">
        <v>74</v>
      </c>
      <c r="AS944" s="2" t="s">
        <v>74</v>
      </c>
      <c r="AT944" s="2" t="s">
        <v>352</v>
      </c>
      <c r="AU944" s="2">
        <v>2015</v>
      </c>
      <c r="AV944" s="2">
        <v>24</v>
      </c>
      <c r="AW944" s="2">
        <v>18</v>
      </c>
      <c r="AX944" s="2" t="s">
        <v>74</v>
      </c>
      <c r="AY944" s="2" t="s">
        <v>74</v>
      </c>
      <c r="AZ944" s="2" t="s">
        <v>74</v>
      </c>
      <c r="BA944" s="2" t="s">
        <v>74</v>
      </c>
      <c r="BB944" s="2">
        <v>4679</v>
      </c>
      <c r="BC944" s="2">
        <v>4696</v>
      </c>
      <c r="BD944" s="2" t="s">
        <v>74</v>
      </c>
      <c r="BE944" s="2" t="s">
        <v>5601</v>
      </c>
      <c r="BF944" s="2" t="str">
        <f>HYPERLINK("http://dx.doi.org/10.1111/mec.13346","http://dx.doi.org/10.1111/mec.13346")</f>
        <v>http://dx.doi.org/10.1111/mec.13346</v>
      </c>
      <c r="BG944" s="2" t="s">
        <v>74</v>
      </c>
      <c r="BH944" s="2" t="s">
        <v>74</v>
      </c>
      <c r="BI944" s="2" t="s">
        <v>74</v>
      </c>
      <c r="BJ944" s="2" t="s">
        <v>74</v>
      </c>
      <c r="BK944" s="2" t="s">
        <v>74</v>
      </c>
      <c r="BL944" s="2" t="s">
        <v>74</v>
      </c>
      <c r="BM944" s="2" t="s">
        <v>74</v>
      </c>
      <c r="BN944" s="2">
        <v>26289828</v>
      </c>
      <c r="BO944" s="2" t="s">
        <v>74</v>
      </c>
      <c r="BP944" s="2" t="s">
        <v>74</v>
      </c>
      <c r="BQ944" s="2" t="s">
        <v>74</v>
      </c>
      <c r="BR944" s="2" t="s">
        <v>74</v>
      </c>
      <c r="BS944" s="2" t="s">
        <v>5602</v>
      </c>
      <c r="BT944" s="2" t="str">
        <f>HYPERLINK("https%3A%2F%2Fwww.webofscience.com%2Fwos%2Fwoscc%2Ffull-record%2FWOS:000361555900008","View Full Record in Web of Science")</f>
        <v>View Full Record in Web of Science</v>
      </c>
    </row>
    <row r="945" spans="1:72" s="1" customFormat="1" x14ac:dyDescent="0.4">
      <c r="A945" s="2" t="s">
        <v>72</v>
      </c>
      <c r="B945" s="2" t="s">
        <v>1851</v>
      </c>
      <c r="C945" s="2" t="s">
        <v>74</v>
      </c>
      <c r="D945" s="2" t="s">
        <v>74</v>
      </c>
      <c r="E945" s="2" t="s">
        <v>74</v>
      </c>
      <c r="F945" s="2" t="s">
        <v>1852</v>
      </c>
      <c r="G945" s="2" t="s">
        <v>74</v>
      </c>
      <c r="H945" s="2" t="s">
        <v>74</v>
      </c>
      <c r="I945" s="2" t="s">
        <v>1853</v>
      </c>
      <c r="J945" s="2" t="s">
        <v>1854</v>
      </c>
      <c r="K945" s="2" t="s">
        <v>74</v>
      </c>
      <c r="L945" s="2" t="s">
        <v>74</v>
      </c>
      <c r="M945" s="2" t="s">
        <v>74</v>
      </c>
      <c r="N945" s="2" t="s">
        <v>74</v>
      </c>
      <c r="O945" s="2" t="s">
        <v>74</v>
      </c>
      <c r="P945" s="2" t="s">
        <v>74</v>
      </c>
      <c r="Q945" s="2" t="s">
        <v>74</v>
      </c>
      <c r="R945" s="2" t="s">
        <v>74</v>
      </c>
      <c r="S945" s="2" t="s">
        <v>74</v>
      </c>
      <c r="T945" s="2" t="s">
        <v>74</v>
      </c>
      <c r="U945" s="2" t="s">
        <v>74</v>
      </c>
      <c r="V945" s="5" t="s">
        <v>1855</v>
      </c>
      <c r="W945" s="2" t="s">
        <v>74</v>
      </c>
      <c r="X945" s="2" t="s">
        <v>74</v>
      </c>
      <c r="Y945" s="2" t="s">
        <v>74</v>
      </c>
      <c r="Z945" s="2" t="s">
        <v>74</v>
      </c>
      <c r="AA945" s="2" t="s">
        <v>1856</v>
      </c>
      <c r="AB945" s="2" t="s">
        <v>1857</v>
      </c>
      <c r="AC945" s="2" t="s">
        <v>74</v>
      </c>
      <c r="AD945" s="2" t="s">
        <v>74</v>
      </c>
      <c r="AE945" s="2" t="s">
        <v>74</v>
      </c>
      <c r="AF945" s="2" t="s">
        <v>74</v>
      </c>
      <c r="AG945" s="2" t="s">
        <v>74</v>
      </c>
      <c r="AH945" s="2" t="s">
        <v>74</v>
      </c>
      <c r="AI945" s="2" t="s">
        <v>74</v>
      </c>
      <c r="AJ945" s="2" t="s">
        <v>74</v>
      </c>
      <c r="AK945" s="2" t="s">
        <v>74</v>
      </c>
      <c r="AL945" s="2" t="s">
        <v>74</v>
      </c>
      <c r="AM945" s="2" t="s">
        <v>74</v>
      </c>
      <c r="AN945" s="2" t="s">
        <v>74</v>
      </c>
      <c r="AO945" s="2" t="s">
        <v>1858</v>
      </c>
      <c r="AP945" s="2" t="s">
        <v>1859</v>
      </c>
      <c r="AQ945" s="2" t="s">
        <v>74</v>
      </c>
      <c r="AR945" s="2" t="s">
        <v>74</v>
      </c>
      <c r="AS945" s="2" t="s">
        <v>74</v>
      </c>
      <c r="AT945" s="2" t="s">
        <v>305</v>
      </c>
      <c r="AU945" s="2">
        <v>2016</v>
      </c>
      <c r="AV945" s="2">
        <v>45</v>
      </c>
      <c r="AW945" s="2">
        <v>6</v>
      </c>
      <c r="AX945" s="2" t="s">
        <v>74</v>
      </c>
      <c r="AY945" s="2" t="s">
        <v>74</v>
      </c>
      <c r="AZ945" s="2" t="s">
        <v>74</v>
      </c>
      <c r="BA945" s="2" t="s">
        <v>74</v>
      </c>
      <c r="BB945" s="2">
        <v>658</v>
      </c>
      <c r="BC945" s="2">
        <v>664</v>
      </c>
      <c r="BD945" s="2" t="s">
        <v>74</v>
      </c>
      <c r="BE945" s="2" t="s">
        <v>1860</v>
      </c>
      <c r="BF945" s="2" t="str">
        <f>HYPERLINK("http://dx.doi.org/10.1007/s13744-016-0417-7","http://dx.doi.org/10.1007/s13744-016-0417-7")</f>
        <v>http://dx.doi.org/10.1007/s13744-016-0417-7</v>
      </c>
      <c r="BG945" s="2" t="s">
        <v>74</v>
      </c>
      <c r="BH945" s="2" t="s">
        <v>74</v>
      </c>
      <c r="BI945" s="2" t="s">
        <v>74</v>
      </c>
      <c r="BJ945" s="2" t="s">
        <v>74</v>
      </c>
      <c r="BK945" s="2" t="s">
        <v>74</v>
      </c>
      <c r="BL945" s="2" t="s">
        <v>74</v>
      </c>
      <c r="BM945" s="2" t="s">
        <v>74</v>
      </c>
      <c r="BN945" s="2">
        <v>27379758</v>
      </c>
      <c r="BO945" s="2" t="s">
        <v>74</v>
      </c>
      <c r="BP945" s="2" t="s">
        <v>74</v>
      </c>
      <c r="BQ945" s="2" t="s">
        <v>74</v>
      </c>
      <c r="BR945" s="2" t="s">
        <v>74</v>
      </c>
      <c r="BS945" s="2" t="s">
        <v>1861</v>
      </c>
      <c r="BT945" s="2" t="str">
        <f>HYPERLINK("https%3A%2F%2Fwww.webofscience.com%2Fwos%2Fwoscc%2Ffull-record%2FWOS:000389000400006","View Full Record in Web of Science")</f>
        <v>View Full Record in Web of Science</v>
      </c>
    </row>
    <row r="946" spans="1:72" s="1" customFormat="1" x14ac:dyDescent="0.4">
      <c r="A946" s="2" t="s">
        <v>72</v>
      </c>
      <c r="B946" s="2" t="s">
        <v>1868</v>
      </c>
      <c r="C946" s="2" t="s">
        <v>74</v>
      </c>
      <c r="D946" s="2" t="s">
        <v>74</v>
      </c>
      <c r="E946" s="2" t="s">
        <v>74</v>
      </c>
      <c r="F946" s="2" t="s">
        <v>1869</v>
      </c>
      <c r="G946" s="2" t="s">
        <v>74</v>
      </c>
      <c r="H946" s="2" t="s">
        <v>74</v>
      </c>
      <c r="I946" s="2" t="s">
        <v>1870</v>
      </c>
      <c r="J946" s="2" t="s">
        <v>731</v>
      </c>
      <c r="K946" s="2" t="s">
        <v>74</v>
      </c>
      <c r="L946" s="2" t="s">
        <v>74</v>
      </c>
      <c r="M946" s="2" t="s">
        <v>74</v>
      </c>
      <c r="N946" s="2" t="s">
        <v>74</v>
      </c>
      <c r="O946" s="2" t="s">
        <v>74</v>
      </c>
      <c r="P946" s="2" t="s">
        <v>74</v>
      </c>
      <c r="Q946" s="2" t="s">
        <v>74</v>
      </c>
      <c r="R946" s="2" t="s">
        <v>74</v>
      </c>
      <c r="S946" s="2" t="s">
        <v>74</v>
      </c>
      <c r="T946" s="2" t="s">
        <v>74</v>
      </c>
      <c r="U946" s="2" t="s">
        <v>74</v>
      </c>
      <c r="V946" s="5" t="s">
        <v>1871</v>
      </c>
      <c r="W946" s="2" t="s">
        <v>74</v>
      </c>
      <c r="X946" s="2" t="s">
        <v>74</v>
      </c>
      <c r="Y946" s="2" t="s">
        <v>74</v>
      </c>
      <c r="Z946" s="2" t="s">
        <v>74</v>
      </c>
      <c r="AA946" s="2" t="s">
        <v>74</v>
      </c>
      <c r="AB946" s="2" t="s">
        <v>74</v>
      </c>
      <c r="AC946" s="2" t="s">
        <v>74</v>
      </c>
      <c r="AD946" s="2" t="s">
        <v>74</v>
      </c>
      <c r="AE946" s="2" t="s">
        <v>74</v>
      </c>
      <c r="AF946" s="2" t="s">
        <v>74</v>
      </c>
      <c r="AG946" s="2" t="s">
        <v>74</v>
      </c>
      <c r="AH946" s="2" t="s">
        <v>74</v>
      </c>
      <c r="AI946" s="2" t="s">
        <v>74</v>
      </c>
      <c r="AJ946" s="2" t="s">
        <v>74</v>
      </c>
      <c r="AK946" s="2" t="s">
        <v>74</v>
      </c>
      <c r="AL946" s="2" t="s">
        <v>74</v>
      </c>
      <c r="AM946" s="2" t="s">
        <v>74</v>
      </c>
      <c r="AN946" s="2" t="s">
        <v>74</v>
      </c>
      <c r="AO946" s="2" t="s">
        <v>733</v>
      </c>
      <c r="AP946" s="2" t="s">
        <v>734</v>
      </c>
      <c r="AQ946" s="2" t="s">
        <v>74</v>
      </c>
      <c r="AR946" s="2" t="s">
        <v>74</v>
      </c>
      <c r="AS946" s="2" t="s">
        <v>74</v>
      </c>
      <c r="AT946" s="2" t="s">
        <v>1872</v>
      </c>
      <c r="AU946" s="2">
        <v>2008</v>
      </c>
      <c r="AV946" s="2">
        <v>191</v>
      </c>
      <c r="AW946" s="2">
        <v>1</v>
      </c>
      <c r="AX946" s="2" t="s">
        <v>74</v>
      </c>
      <c r="AY946" s="2" t="s">
        <v>74</v>
      </c>
      <c r="AZ946" s="2" t="s">
        <v>74</v>
      </c>
      <c r="BA946" s="2" t="s">
        <v>74</v>
      </c>
      <c r="BB946" s="2">
        <v>77</v>
      </c>
      <c r="BC946" s="2">
        <v>87</v>
      </c>
      <c r="BD946" s="2" t="s">
        <v>74</v>
      </c>
      <c r="BE946" s="2" t="s">
        <v>1873</v>
      </c>
      <c r="BF946" s="2" t="str">
        <f>HYPERLINK("http://dx.doi.org/10.1016/j.bbr.2008.03.013","http://dx.doi.org/10.1016/j.bbr.2008.03.013")</f>
        <v>http://dx.doi.org/10.1016/j.bbr.2008.03.013</v>
      </c>
      <c r="BG946" s="2" t="s">
        <v>74</v>
      </c>
      <c r="BH946" s="2" t="s">
        <v>74</v>
      </c>
      <c r="BI946" s="2" t="s">
        <v>74</v>
      </c>
      <c r="BJ946" s="2" t="s">
        <v>74</v>
      </c>
      <c r="BK946" s="2" t="s">
        <v>74</v>
      </c>
      <c r="BL946" s="2" t="s">
        <v>74</v>
      </c>
      <c r="BM946" s="2" t="s">
        <v>74</v>
      </c>
      <c r="BN946" s="2">
        <v>18423643</v>
      </c>
      <c r="BO946" s="2" t="s">
        <v>74</v>
      </c>
      <c r="BP946" s="2" t="s">
        <v>74</v>
      </c>
      <c r="BQ946" s="2" t="s">
        <v>74</v>
      </c>
      <c r="BR946" s="2" t="s">
        <v>74</v>
      </c>
      <c r="BS946" s="2" t="s">
        <v>1874</v>
      </c>
      <c r="BT946" s="2" t="str">
        <f>HYPERLINK("https%3A%2F%2Fwww.webofscience.com%2Fwos%2Fwoscc%2Ffull-record%2FWOS:000256786700012","View Full Record in Web of Science")</f>
        <v>View Full Record in Web of Science</v>
      </c>
    </row>
    <row r="947" spans="1:72" s="2" customFormat="1" x14ac:dyDescent="0.4">
      <c r="A947" s="2" t="s">
        <v>72</v>
      </c>
      <c r="B947" s="2" t="s">
        <v>2328</v>
      </c>
      <c r="C947" s="2" t="s">
        <v>74</v>
      </c>
      <c r="D947" s="2" t="s">
        <v>74</v>
      </c>
      <c r="E947" s="2" t="s">
        <v>74</v>
      </c>
      <c r="F947" s="2" t="s">
        <v>2329</v>
      </c>
      <c r="G947" s="2" t="s">
        <v>74</v>
      </c>
      <c r="H947" s="2" t="s">
        <v>74</v>
      </c>
      <c r="I947" s="2" t="s">
        <v>2330</v>
      </c>
      <c r="J947" s="2" t="s">
        <v>1244</v>
      </c>
      <c r="K947" s="2" t="s">
        <v>74</v>
      </c>
      <c r="L947" s="2" t="s">
        <v>74</v>
      </c>
      <c r="M947" s="2" t="s">
        <v>74</v>
      </c>
      <c r="N947" s="2" t="s">
        <v>74</v>
      </c>
      <c r="O947" s="2" t="s">
        <v>74</v>
      </c>
      <c r="P947" s="2" t="s">
        <v>74</v>
      </c>
      <c r="Q947" s="2" t="s">
        <v>74</v>
      </c>
      <c r="R947" s="2" t="s">
        <v>74</v>
      </c>
      <c r="S947" s="2" t="s">
        <v>74</v>
      </c>
      <c r="T947" s="2" t="s">
        <v>74</v>
      </c>
      <c r="U947" s="2" t="s">
        <v>74</v>
      </c>
      <c r="V947" s="5" t="s">
        <v>2331</v>
      </c>
      <c r="W947" s="2" t="s">
        <v>74</v>
      </c>
      <c r="X947" s="2" t="s">
        <v>74</v>
      </c>
      <c r="Y947" s="2" t="s">
        <v>74</v>
      </c>
      <c r="Z947" s="2" t="s">
        <v>74</v>
      </c>
      <c r="AA947" s="2" t="s">
        <v>74</v>
      </c>
      <c r="AB947" s="2" t="s">
        <v>74</v>
      </c>
      <c r="AC947" s="2" t="s">
        <v>74</v>
      </c>
      <c r="AD947" s="2" t="s">
        <v>74</v>
      </c>
      <c r="AE947" s="2" t="s">
        <v>74</v>
      </c>
      <c r="AF947" s="2" t="s">
        <v>74</v>
      </c>
      <c r="AG947" s="2" t="s">
        <v>74</v>
      </c>
      <c r="AH947" s="2" t="s">
        <v>74</v>
      </c>
      <c r="AI947" s="2" t="s">
        <v>74</v>
      </c>
      <c r="AJ947" s="2" t="s">
        <v>74</v>
      </c>
      <c r="AK947" s="2" t="s">
        <v>74</v>
      </c>
      <c r="AL947" s="2" t="s">
        <v>74</v>
      </c>
      <c r="AM947" s="2" t="s">
        <v>74</v>
      </c>
      <c r="AN947" s="2" t="s">
        <v>74</v>
      </c>
      <c r="AO947" s="2" t="s">
        <v>1246</v>
      </c>
      <c r="AP947" s="2" t="s">
        <v>74</v>
      </c>
      <c r="AQ947" s="2" t="s">
        <v>74</v>
      </c>
      <c r="AR947" s="2" t="s">
        <v>74</v>
      </c>
      <c r="AS947" s="2" t="s">
        <v>74</v>
      </c>
      <c r="AT947" s="2" t="s">
        <v>2332</v>
      </c>
      <c r="AU947" s="2">
        <v>2014</v>
      </c>
      <c r="AV947" s="2">
        <v>43</v>
      </c>
      <c r="AW947" s="2" t="s">
        <v>1276</v>
      </c>
      <c r="AX947" s="2" t="s">
        <v>74</v>
      </c>
      <c r="AY947" s="2" t="s">
        <v>74</v>
      </c>
      <c r="AZ947" s="2" t="s">
        <v>74</v>
      </c>
      <c r="BA947" s="2" t="s">
        <v>74</v>
      </c>
      <c r="BB947" s="2">
        <v>227</v>
      </c>
      <c r="BC947" s="2">
        <v>235</v>
      </c>
      <c r="BD947" s="2" t="s">
        <v>74</v>
      </c>
      <c r="BE947" s="2" t="s">
        <v>74</v>
      </c>
      <c r="BF947" s="2" t="s">
        <v>74</v>
      </c>
      <c r="BG947" s="2" t="s">
        <v>74</v>
      </c>
      <c r="BH947" s="2" t="s">
        <v>74</v>
      </c>
      <c r="BI947" s="2" t="s">
        <v>74</v>
      </c>
      <c r="BJ947" s="2" t="s">
        <v>74</v>
      </c>
      <c r="BK947" s="2" t="s">
        <v>74</v>
      </c>
      <c r="BL947" s="2" t="s">
        <v>74</v>
      </c>
      <c r="BM947" s="2" t="s">
        <v>74</v>
      </c>
      <c r="BN947" s="2" t="s">
        <v>74</v>
      </c>
      <c r="BO947" s="2" t="s">
        <v>74</v>
      </c>
      <c r="BP947" s="2" t="s">
        <v>74</v>
      </c>
      <c r="BQ947" s="2" t="s">
        <v>74</v>
      </c>
      <c r="BR947" s="2" t="s">
        <v>74</v>
      </c>
      <c r="BS947" s="2" t="s">
        <v>2333</v>
      </c>
      <c r="BT947" s="2" t="str">
        <f>HYPERLINK("https%3A%2F%2Fwww.webofscience.com%2Fwos%2Fwoscc%2Ffull-record%2FWOS:000345540300007","View Full Record in Web of Science")</f>
        <v>View Full Record in Web of Science</v>
      </c>
    </row>
    <row r="948" spans="1:72" s="2" customFormat="1" x14ac:dyDescent="0.4">
      <c r="A948" s="2" t="s">
        <v>72</v>
      </c>
      <c r="B948" s="2" t="s">
        <v>3843</v>
      </c>
      <c r="C948" s="2" t="s">
        <v>74</v>
      </c>
      <c r="D948" s="2" t="s">
        <v>74</v>
      </c>
      <c r="E948" s="2" t="s">
        <v>74</v>
      </c>
      <c r="F948" s="2" t="s">
        <v>3844</v>
      </c>
      <c r="G948" s="2" t="s">
        <v>74</v>
      </c>
      <c r="H948" s="2" t="s">
        <v>74</v>
      </c>
      <c r="I948" s="2" t="s">
        <v>3845</v>
      </c>
      <c r="J948" s="2" t="s">
        <v>3846</v>
      </c>
      <c r="K948" s="2" t="s">
        <v>74</v>
      </c>
      <c r="L948" s="2" t="s">
        <v>74</v>
      </c>
      <c r="M948" s="2" t="s">
        <v>74</v>
      </c>
      <c r="N948" s="2" t="s">
        <v>74</v>
      </c>
      <c r="O948" s="2" t="s">
        <v>74</v>
      </c>
      <c r="P948" s="2" t="s">
        <v>74</v>
      </c>
      <c r="Q948" s="2" t="s">
        <v>74</v>
      </c>
      <c r="R948" s="2" t="s">
        <v>74</v>
      </c>
      <c r="S948" s="2" t="s">
        <v>74</v>
      </c>
      <c r="T948" s="2" t="s">
        <v>74</v>
      </c>
      <c r="U948" s="2" t="s">
        <v>74</v>
      </c>
      <c r="V948" s="5" t="s">
        <v>3847</v>
      </c>
      <c r="W948" s="2" t="s">
        <v>74</v>
      </c>
      <c r="X948" s="2" t="s">
        <v>74</v>
      </c>
      <c r="Y948" s="2" t="s">
        <v>74</v>
      </c>
      <c r="Z948" s="2" t="s">
        <v>74</v>
      </c>
      <c r="AA948" s="2" t="s">
        <v>231</v>
      </c>
      <c r="AB948" s="2" t="s">
        <v>3848</v>
      </c>
      <c r="AC948" s="2" t="s">
        <v>74</v>
      </c>
      <c r="AD948" s="2" t="s">
        <v>74</v>
      </c>
      <c r="AE948" s="2" t="s">
        <v>74</v>
      </c>
      <c r="AF948" s="2" t="s">
        <v>74</v>
      </c>
      <c r="AG948" s="2" t="s">
        <v>74</v>
      </c>
      <c r="AH948" s="2" t="s">
        <v>74</v>
      </c>
      <c r="AI948" s="2" t="s">
        <v>74</v>
      </c>
      <c r="AJ948" s="2" t="s">
        <v>74</v>
      </c>
      <c r="AK948" s="2" t="s">
        <v>74</v>
      </c>
      <c r="AL948" s="2" t="s">
        <v>74</v>
      </c>
      <c r="AM948" s="2" t="s">
        <v>74</v>
      </c>
      <c r="AN948" s="2" t="s">
        <v>74</v>
      </c>
      <c r="AO948" s="2" t="s">
        <v>3849</v>
      </c>
      <c r="AP948" s="2" t="s">
        <v>3850</v>
      </c>
      <c r="AQ948" s="2" t="s">
        <v>74</v>
      </c>
      <c r="AR948" s="2" t="s">
        <v>74</v>
      </c>
      <c r="AS948" s="2" t="s">
        <v>74</v>
      </c>
      <c r="AT948" s="2" t="s">
        <v>102</v>
      </c>
      <c r="AU948" s="2">
        <v>2019</v>
      </c>
      <c r="AV948" s="2">
        <v>14</v>
      </c>
      <c r="AW948" s="2">
        <v>1</v>
      </c>
      <c r="AX948" s="2" t="s">
        <v>74</v>
      </c>
      <c r="AY948" s="2" t="s">
        <v>74</v>
      </c>
      <c r="AZ948" s="2" t="s">
        <v>74</v>
      </c>
      <c r="BA948" s="2" t="s">
        <v>74</v>
      </c>
      <c r="BB948" s="2">
        <v>35</v>
      </c>
      <c r="BC948" s="2">
        <v>41</v>
      </c>
      <c r="BD948" s="2" t="s">
        <v>74</v>
      </c>
      <c r="BE948" s="2" t="s">
        <v>3851</v>
      </c>
      <c r="BF948" s="2" t="str">
        <f>HYPERLINK("http://dx.doi.org/10.13128/Acta_Herpetol-24651","http://dx.doi.org/10.13128/Acta_Herpetol-24651")</f>
        <v>http://dx.doi.org/10.13128/Acta_Herpetol-24651</v>
      </c>
      <c r="BG948" s="2" t="s">
        <v>74</v>
      </c>
      <c r="BH948" s="2" t="s">
        <v>74</v>
      </c>
      <c r="BI948" s="2" t="s">
        <v>74</v>
      </c>
      <c r="BJ948" s="2" t="s">
        <v>74</v>
      </c>
      <c r="BK948" s="2" t="s">
        <v>74</v>
      </c>
      <c r="BL948" s="2" t="s">
        <v>74</v>
      </c>
      <c r="BM948" s="2" t="s">
        <v>74</v>
      </c>
      <c r="BN948" s="2" t="s">
        <v>74</v>
      </c>
      <c r="BO948" s="2" t="s">
        <v>74</v>
      </c>
      <c r="BP948" s="2" t="s">
        <v>74</v>
      </c>
      <c r="BQ948" s="2" t="s">
        <v>74</v>
      </c>
      <c r="BR948" s="2" t="s">
        <v>74</v>
      </c>
      <c r="BS948" s="2" t="s">
        <v>3852</v>
      </c>
      <c r="BT948" s="2" t="str">
        <f>HYPERLINK("https%3A%2F%2Fwww.webofscience.com%2Fwos%2Fwoscc%2Ffull-record%2FWOS:000482630700005","View Full Record in Web of Science")</f>
        <v>View Full Record in Web of Science</v>
      </c>
    </row>
    <row r="949" spans="1:72" s="2" customFormat="1" x14ac:dyDescent="0.4">
      <c r="A949" s="2" t="s">
        <v>72</v>
      </c>
      <c r="B949" s="2" t="s">
        <v>7982</v>
      </c>
      <c r="C949" s="2" t="s">
        <v>74</v>
      </c>
      <c r="D949" s="2" t="s">
        <v>74</v>
      </c>
      <c r="E949" s="2" t="s">
        <v>74</v>
      </c>
      <c r="F949" s="2" t="s">
        <v>7982</v>
      </c>
      <c r="G949" s="2" t="s">
        <v>74</v>
      </c>
      <c r="H949" s="2" t="s">
        <v>74</v>
      </c>
      <c r="I949" s="2" t="s">
        <v>7983</v>
      </c>
      <c r="J949" s="2" t="s">
        <v>530</v>
      </c>
      <c r="K949" s="2" t="s">
        <v>74</v>
      </c>
      <c r="L949" s="2" t="s">
        <v>74</v>
      </c>
      <c r="M949" s="2" t="s">
        <v>74</v>
      </c>
      <c r="N949" s="2" t="s">
        <v>74</v>
      </c>
      <c r="O949" s="2" t="s">
        <v>74</v>
      </c>
      <c r="P949" s="2" t="s">
        <v>74</v>
      </c>
      <c r="Q949" s="2" t="s">
        <v>74</v>
      </c>
      <c r="R949" s="2" t="s">
        <v>74</v>
      </c>
      <c r="S949" s="2" t="s">
        <v>74</v>
      </c>
      <c r="T949" s="2" t="s">
        <v>74</v>
      </c>
      <c r="U949" s="2" t="s">
        <v>74</v>
      </c>
      <c r="V949" s="5" t="s">
        <v>7984</v>
      </c>
      <c r="W949" s="2" t="s">
        <v>74</v>
      </c>
      <c r="X949" s="2" t="s">
        <v>74</v>
      </c>
      <c r="Y949" s="2" t="s">
        <v>74</v>
      </c>
      <c r="Z949" s="2" t="s">
        <v>74</v>
      </c>
      <c r="AA949" s="2" t="s">
        <v>7985</v>
      </c>
      <c r="AB949" s="2" t="s">
        <v>7986</v>
      </c>
      <c r="AC949" s="2" t="s">
        <v>74</v>
      </c>
      <c r="AD949" s="2" t="s">
        <v>74</v>
      </c>
      <c r="AE949" s="2" t="s">
        <v>74</v>
      </c>
      <c r="AF949" s="2" t="s">
        <v>74</v>
      </c>
      <c r="AG949" s="2" t="s">
        <v>74</v>
      </c>
      <c r="AH949" s="2" t="s">
        <v>74</v>
      </c>
      <c r="AI949" s="2" t="s">
        <v>74</v>
      </c>
      <c r="AJ949" s="2" t="s">
        <v>74</v>
      </c>
      <c r="AK949" s="2" t="s">
        <v>74</v>
      </c>
      <c r="AL949" s="2" t="s">
        <v>74</v>
      </c>
      <c r="AM949" s="2" t="s">
        <v>74</v>
      </c>
      <c r="AN949" s="2" t="s">
        <v>74</v>
      </c>
      <c r="AO949" s="2" t="s">
        <v>532</v>
      </c>
      <c r="AP949" s="2" t="s">
        <v>74</v>
      </c>
      <c r="AQ949" s="2" t="s">
        <v>74</v>
      </c>
      <c r="AR949" s="2" t="s">
        <v>74</v>
      </c>
      <c r="AS949" s="2" t="s">
        <v>74</v>
      </c>
      <c r="AT949" s="2" t="s">
        <v>964</v>
      </c>
      <c r="AU949" s="2">
        <v>2005</v>
      </c>
      <c r="AV949" s="2">
        <v>146</v>
      </c>
      <c r="AW949" s="2">
        <v>3</v>
      </c>
      <c r="AX949" s="2" t="s">
        <v>74</v>
      </c>
      <c r="AY949" s="2" t="s">
        <v>74</v>
      </c>
      <c r="AZ949" s="2" t="s">
        <v>74</v>
      </c>
      <c r="BA949" s="2" t="s">
        <v>74</v>
      </c>
      <c r="BB949" s="2">
        <v>435</v>
      </c>
      <c r="BC949" s="2">
        <v>443</v>
      </c>
      <c r="BD949" s="2" t="s">
        <v>74</v>
      </c>
      <c r="BE949" s="2" t="s">
        <v>7987</v>
      </c>
      <c r="BF949" s="2" t="str">
        <f>HYPERLINK("http://dx.doi.org/10.1007/s00227-004-1462-z","http://dx.doi.org/10.1007/s00227-004-1462-z")</f>
        <v>http://dx.doi.org/10.1007/s00227-004-1462-z</v>
      </c>
      <c r="BG949" s="2" t="s">
        <v>74</v>
      </c>
      <c r="BH949" s="2" t="s">
        <v>74</v>
      </c>
      <c r="BI949" s="2" t="s">
        <v>74</v>
      </c>
      <c r="BJ949" s="2" t="s">
        <v>74</v>
      </c>
      <c r="BK949" s="2" t="s">
        <v>74</v>
      </c>
      <c r="BL949" s="2" t="s">
        <v>74</v>
      </c>
      <c r="BM949" s="2" t="s">
        <v>74</v>
      </c>
      <c r="BN949" s="2" t="s">
        <v>74</v>
      </c>
      <c r="BO949" s="2" t="s">
        <v>74</v>
      </c>
      <c r="BP949" s="2" t="s">
        <v>74</v>
      </c>
      <c r="BQ949" s="2" t="s">
        <v>74</v>
      </c>
      <c r="BR949" s="2" t="s">
        <v>74</v>
      </c>
      <c r="BS949" s="2" t="s">
        <v>7988</v>
      </c>
      <c r="BT949" s="2" t="str">
        <f>HYPERLINK("https%3A%2F%2Fwww.webofscience.com%2Fwos%2Fwoscc%2Ffull-record%2FWOS:000226810300002","View Full Record in Web of Science")</f>
        <v>View Full Record in Web of Science</v>
      </c>
    </row>
    <row r="950" spans="1:72" s="2" customFormat="1" x14ac:dyDescent="0.4">
      <c r="A950" s="2" t="s">
        <v>72</v>
      </c>
      <c r="B950" s="2" t="s">
        <v>4783</v>
      </c>
      <c r="C950" s="2" t="s">
        <v>74</v>
      </c>
      <c r="D950" s="2" t="s">
        <v>74</v>
      </c>
      <c r="E950" s="2" t="s">
        <v>74</v>
      </c>
      <c r="F950" s="2" t="s">
        <v>4784</v>
      </c>
      <c r="G950" s="2" t="s">
        <v>74</v>
      </c>
      <c r="H950" s="2" t="s">
        <v>74</v>
      </c>
      <c r="I950" s="2" t="s">
        <v>4785</v>
      </c>
      <c r="J950" s="2" t="s">
        <v>1601</v>
      </c>
      <c r="K950" s="2" t="s">
        <v>74</v>
      </c>
      <c r="L950" s="2" t="s">
        <v>74</v>
      </c>
      <c r="M950" s="2" t="s">
        <v>74</v>
      </c>
      <c r="N950" s="2" t="s">
        <v>74</v>
      </c>
      <c r="O950" s="2" t="s">
        <v>74</v>
      </c>
      <c r="P950" s="2" t="s">
        <v>74</v>
      </c>
      <c r="Q950" s="2" t="s">
        <v>74</v>
      </c>
      <c r="R950" s="2" t="s">
        <v>74</v>
      </c>
      <c r="S950" s="2" t="s">
        <v>74</v>
      </c>
      <c r="T950" s="2" t="s">
        <v>74</v>
      </c>
      <c r="U950" s="2" t="s">
        <v>74</v>
      </c>
      <c r="V950" s="5" t="s">
        <v>4786</v>
      </c>
      <c r="W950" s="2" t="s">
        <v>74</v>
      </c>
      <c r="X950" s="2" t="s">
        <v>74</v>
      </c>
      <c r="Y950" s="2" t="s">
        <v>74</v>
      </c>
      <c r="Z950" s="2" t="s">
        <v>74</v>
      </c>
      <c r="AA950" s="2" t="s">
        <v>74</v>
      </c>
      <c r="AB950" s="2" t="s">
        <v>74</v>
      </c>
      <c r="AC950" s="2" t="s">
        <v>74</v>
      </c>
      <c r="AD950" s="2" t="s">
        <v>74</v>
      </c>
      <c r="AE950" s="2" t="s">
        <v>74</v>
      </c>
      <c r="AF950" s="2" t="s">
        <v>74</v>
      </c>
      <c r="AG950" s="2" t="s">
        <v>74</v>
      </c>
      <c r="AH950" s="2" t="s">
        <v>74</v>
      </c>
      <c r="AI950" s="2" t="s">
        <v>74</v>
      </c>
      <c r="AJ950" s="2" t="s">
        <v>74</v>
      </c>
      <c r="AK950" s="2" t="s">
        <v>74</v>
      </c>
      <c r="AL950" s="2" t="s">
        <v>74</v>
      </c>
      <c r="AM950" s="2" t="s">
        <v>74</v>
      </c>
      <c r="AN950" s="2" t="s">
        <v>74</v>
      </c>
      <c r="AO950" s="2" t="s">
        <v>1603</v>
      </c>
      <c r="AP950" s="2" t="s">
        <v>74</v>
      </c>
      <c r="AQ950" s="2" t="s">
        <v>74</v>
      </c>
      <c r="AR950" s="2" t="s">
        <v>74</v>
      </c>
      <c r="AS950" s="2" t="s">
        <v>74</v>
      </c>
      <c r="AT950" s="2" t="s">
        <v>352</v>
      </c>
      <c r="AU950" s="2">
        <v>2006</v>
      </c>
      <c r="AV950" s="2">
        <v>113</v>
      </c>
      <c r="AW950" s="2">
        <v>3</v>
      </c>
      <c r="AX950" s="2" t="s">
        <v>74</v>
      </c>
      <c r="AY950" s="2" t="s">
        <v>74</v>
      </c>
      <c r="AZ950" s="2" t="s">
        <v>74</v>
      </c>
      <c r="BA950" s="2" t="s">
        <v>74</v>
      </c>
      <c r="BB950" s="2">
        <v>675</v>
      </c>
      <c r="BC950" s="2">
        <v>691</v>
      </c>
      <c r="BD950" s="2" t="s">
        <v>74</v>
      </c>
      <c r="BE950" s="2" t="s">
        <v>4787</v>
      </c>
      <c r="BF950" s="2" t="str">
        <f>HYPERLINK("http://dx.doi.org/10.5962/bhl.part.80367","http://dx.doi.org/10.5962/bhl.part.80367")</f>
        <v>http://dx.doi.org/10.5962/bhl.part.80367</v>
      </c>
      <c r="BG950" s="2" t="s">
        <v>74</v>
      </c>
      <c r="BH950" s="2" t="s">
        <v>74</v>
      </c>
      <c r="BI950" s="2" t="s">
        <v>74</v>
      </c>
      <c r="BJ950" s="2" t="s">
        <v>74</v>
      </c>
      <c r="BK950" s="2" t="s">
        <v>74</v>
      </c>
      <c r="BL950" s="2" t="s">
        <v>74</v>
      </c>
      <c r="BM950" s="2" t="s">
        <v>74</v>
      </c>
      <c r="BN950" s="2" t="s">
        <v>74</v>
      </c>
      <c r="BO950" s="2" t="s">
        <v>74</v>
      </c>
      <c r="BP950" s="2" t="s">
        <v>74</v>
      </c>
      <c r="BQ950" s="2" t="s">
        <v>74</v>
      </c>
      <c r="BR950" s="2" t="s">
        <v>74</v>
      </c>
      <c r="BS950" s="2" t="s">
        <v>4788</v>
      </c>
      <c r="BT950" s="2" t="str">
        <f>HYPERLINK("https%3A%2F%2Fwww.webofscience.com%2Fwos%2Fwoscc%2Ffull-record%2FWOS:000241077500009","View Full Record in Web of Science")</f>
        <v>View Full Record in Web of Science</v>
      </c>
    </row>
    <row r="951" spans="1:72" s="2" customFormat="1" x14ac:dyDescent="0.4">
      <c r="A951" s="2" t="s">
        <v>72</v>
      </c>
      <c r="B951" s="2" t="s">
        <v>3244</v>
      </c>
      <c r="C951" s="2" t="s">
        <v>74</v>
      </c>
      <c r="D951" s="2" t="s">
        <v>74</v>
      </c>
      <c r="E951" s="2" t="s">
        <v>74</v>
      </c>
      <c r="F951" s="2" t="s">
        <v>3245</v>
      </c>
      <c r="G951" s="2" t="s">
        <v>74</v>
      </c>
      <c r="H951" s="2" t="s">
        <v>74</v>
      </c>
      <c r="I951" s="2" t="s">
        <v>3246</v>
      </c>
      <c r="J951" s="2" t="s">
        <v>610</v>
      </c>
      <c r="K951" s="2" t="s">
        <v>74</v>
      </c>
      <c r="L951" s="2" t="s">
        <v>74</v>
      </c>
      <c r="M951" s="2" t="s">
        <v>74</v>
      </c>
      <c r="N951" s="2" t="s">
        <v>74</v>
      </c>
      <c r="O951" s="2" t="s">
        <v>74</v>
      </c>
      <c r="P951" s="2" t="s">
        <v>74</v>
      </c>
      <c r="Q951" s="2" t="s">
        <v>74</v>
      </c>
      <c r="R951" s="2" t="s">
        <v>74</v>
      </c>
      <c r="S951" s="2" t="s">
        <v>74</v>
      </c>
      <c r="T951" s="2" t="s">
        <v>74</v>
      </c>
      <c r="U951" s="2" t="s">
        <v>74</v>
      </c>
      <c r="V951" s="5" t="s">
        <v>3247</v>
      </c>
      <c r="W951" s="2" t="s">
        <v>74</v>
      </c>
      <c r="X951" s="2" t="s">
        <v>74</v>
      </c>
      <c r="Y951" s="2" t="s">
        <v>74</v>
      </c>
      <c r="Z951" s="2" t="s">
        <v>74</v>
      </c>
      <c r="AA951" s="2" t="s">
        <v>3248</v>
      </c>
      <c r="AB951" s="2" t="s">
        <v>3249</v>
      </c>
      <c r="AC951" s="2" t="s">
        <v>74</v>
      </c>
      <c r="AD951" s="2" t="s">
        <v>74</v>
      </c>
      <c r="AE951" s="2" t="s">
        <v>74</v>
      </c>
      <c r="AF951" s="2" t="s">
        <v>74</v>
      </c>
      <c r="AG951" s="2" t="s">
        <v>74</v>
      </c>
      <c r="AH951" s="2" t="s">
        <v>74</v>
      </c>
      <c r="AI951" s="2" t="s">
        <v>74</v>
      </c>
      <c r="AJ951" s="2" t="s">
        <v>74</v>
      </c>
      <c r="AK951" s="2" t="s">
        <v>74</v>
      </c>
      <c r="AL951" s="2" t="s">
        <v>74</v>
      </c>
      <c r="AM951" s="2" t="s">
        <v>74</v>
      </c>
      <c r="AN951" s="2" t="s">
        <v>74</v>
      </c>
      <c r="AO951" s="2" t="s">
        <v>614</v>
      </c>
      <c r="AP951" s="2" t="s">
        <v>615</v>
      </c>
      <c r="AQ951" s="2" t="s">
        <v>74</v>
      </c>
      <c r="AR951" s="2" t="s">
        <v>74</v>
      </c>
      <c r="AS951" s="2" t="s">
        <v>74</v>
      </c>
      <c r="AT951" s="2" t="s">
        <v>145</v>
      </c>
      <c r="AU951" s="2">
        <v>2017</v>
      </c>
      <c r="AV951" s="2">
        <v>123</v>
      </c>
      <c r="AW951" s="2">
        <v>8</v>
      </c>
      <c r="AX951" s="2" t="s">
        <v>74</v>
      </c>
      <c r="AY951" s="2" t="s">
        <v>74</v>
      </c>
      <c r="AZ951" s="2" t="s">
        <v>74</v>
      </c>
      <c r="BA951" s="2" t="s">
        <v>74</v>
      </c>
      <c r="BB951" s="2">
        <v>560</v>
      </c>
      <c r="BC951" s="2">
        <v>570</v>
      </c>
      <c r="BD951" s="2" t="s">
        <v>74</v>
      </c>
      <c r="BE951" s="2" t="s">
        <v>3250</v>
      </c>
      <c r="BF951" s="2" t="str">
        <f>HYPERLINK("http://dx.doi.org/10.1111/eth.12630","http://dx.doi.org/10.1111/eth.12630")</f>
        <v>http://dx.doi.org/10.1111/eth.12630</v>
      </c>
      <c r="BG951" s="2" t="s">
        <v>74</v>
      </c>
      <c r="BH951" s="2" t="s">
        <v>74</v>
      </c>
      <c r="BI951" s="2" t="s">
        <v>74</v>
      </c>
      <c r="BJ951" s="2" t="s">
        <v>74</v>
      </c>
      <c r="BK951" s="2" t="s">
        <v>74</v>
      </c>
      <c r="BL951" s="2" t="s">
        <v>74</v>
      </c>
      <c r="BM951" s="2" t="s">
        <v>74</v>
      </c>
      <c r="BN951" s="2" t="s">
        <v>74</v>
      </c>
      <c r="BO951" s="2" t="s">
        <v>74</v>
      </c>
      <c r="BP951" s="2" t="s">
        <v>74</v>
      </c>
      <c r="BQ951" s="2" t="s">
        <v>74</v>
      </c>
      <c r="BR951" s="2" t="s">
        <v>74</v>
      </c>
      <c r="BS951" s="2" t="s">
        <v>3251</v>
      </c>
      <c r="BT951" s="2" t="str">
        <f>HYPERLINK("https%3A%2F%2Fwww.webofscience.com%2Fwos%2Fwoscc%2Ffull-record%2FWOS:000404616400008","View Full Record in Web of Science")</f>
        <v>View Full Record in Web of Science</v>
      </c>
    </row>
    <row r="952" spans="1:72" s="2" customFormat="1" x14ac:dyDescent="0.4">
      <c r="A952" s="2" t="s">
        <v>72</v>
      </c>
      <c r="B952" s="2" t="s">
        <v>6160</v>
      </c>
      <c r="C952" s="2" t="s">
        <v>74</v>
      </c>
      <c r="D952" s="2" t="s">
        <v>74</v>
      </c>
      <c r="E952" s="2" t="s">
        <v>74</v>
      </c>
      <c r="F952" s="2" t="s">
        <v>6161</v>
      </c>
      <c r="G952" s="2" t="s">
        <v>74</v>
      </c>
      <c r="H952" s="2" t="s">
        <v>74</v>
      </c>
      <c r="I952" s="2" t="s">
        <v>6162</v>
      </c>
      <c r="J952" s="2" t="s">
        <v>1656</v>
      </c>
      <c r="K952" s="2" t="s">
        <v>74</v>
      </c>
      <c r="L952" s="2" t="s">
        <v>74</v>
      </c>
      <c r="M952" s="2" t="s">
        <v>74</v>
      </c>
      <c r="N952" s="2" t="s">
        <v>74</v>
      </c>
      <c r="O952" s="2" t="s">
        <v>74</v>
      </c>
      <c r="P952" s="2" t="s">
        <v>74</v>
      </c>
      <c r="Q952" s="2" t="s">
        <v>74</v>
      </c>
      <c r="R952" s="2" t="s">
        <v>74</v>
      </c>
      <c r="S952" s="2" t="s">
        <v>74</v>
      </c>
      <c r="T952" s="2" t="s">
        <v>74</v>
      </c>
      <c r="U952" s="2" t="s">
        <v>74</v>
      </c>
      <c r="V952" s="5" t="s">
        <v>6163</v>
      </c>
      <c r="W952" s="2" t="s">
        <v>74</v>
      </c>
      <c r="X952" s="2" t="s">
        <v>74</v>
      </c>
      <c r="Y952" s="2" t="s">
        <v>74</v>
      </c>
      <c r="Z952" s="2" t="s">
        <v>74</v>
      </c>
      <c r="AA952" s="2" t="s">
        <v>6164</v>
      </c>
      <c r="AB952" s="2" t="s">
        <v>6165</v>
      </c>
      <c r="AC952" s="2" t="s">
        <v>74</v>
      </c>
      <c r="AD952" s="2" t="s">
        <v>74</v>
      </c>
      <c r="AE952" s="2" t="s">
        <v>74</v>
      </c>
      <c r="AF952" s="2" t="s">
        <v>74</v>
      </c>
      <c r="AG952" s="2" t="s">
        <v>74</v>
      </c>
      <c r="AH952" s="2" t="s">
        <v>74</v>
      </c>
      <c r="AI952" s="2" t="s">
        <v>74</v>
      </c>
      <c r="AJ952" s="2" t="s">
        <v>74</v>
      </c>
      <c r="AK952" s="2" t="s">
        <v>74</v>
      </c>
      <c r="AL952" s="2" t="s">
        <v>74</v>
      </c>
      <c r="AM952" s="2" t="s">
        <v>74</v>
      </c>
      <c r="AN952" s="2" t="s">
        <v>74</v>
      </c>
      <c r="AO952" s="2" t="s">
        <v>1658</v>
      </c>
      <c r="AP952" s="2" t="s">
        <v>1659</v>
      </c>
      <c r="AQ952" s="2" t="s">
        <v>74</v>
      </c>
      <c r="AR952" s="2" t="s">
        <v>74</v>
      </c>
      <c r="AS952" s="2" t="s">
        <v>74</v>
      </c>
      <c r="AT952" s="2" t="s">
        <v>4913</v>
      </c>
      <c r="AU952" s="2">
        <v>2019</v>
      </c>
      <c r="AV952" s="2">
        <v>4555</v>
      </c>
      <c r="AW952" s="2">
        <v>2</v>
      </c>
      <c r="AX952" s="2" t="s">
        <v>74</v>
      </c>
      <c r="AY952" s="2" t="s">
        <v>74</v>
      </c>
      <c r="AZ952" s="2" t="s">
        <v>74</v>
      </c>
      <c r="BA952" s="2" t="s">
        <v>74</v>
      </c>
      <c r="BB952" s="2">
        <v>283</v>
      </c>
      <c r="BC952" s="2">
        <v>286</v>
      </c>
      <c r="BD952" s="2" t="s">
        <v>74</v>
      </c>
      <c r="BE952" s="2" t="s">
        <v>6166</v>
      </c>
      <c r="BF952" s="2" t="str">
        <f>HYPERLINK("http://dx.doi.org/10.11646/zootaxa.4555.2.10","http://dx.doi.org/10.11646/zootaxa.4555.2.10")</f>
        <v>http://dx.doi.org/10.11646/zootaxa.4555.2.10</v>
      </c>
      <c r="BG952" s="2" t="s">
        <v>74</v>
      </c>
      <c r="BH952" s="2" t="s">
        <v>74</v>
      </c>
      <c r="BI952" s="2" t="s">
        <v>74</v>
      </c>
      <c r="BJ952" s="2" t="s">
        <v>74</v>
      </c>
      <c r="BK952" s="2" t="s">
        <v>74</v>
      </c>
      <c r="BL952" s="2" t="s">
        <v>74</v>
      </c>
      <c r="BM952" s="2" t="s">
        <v>74</v>
      </c>
      <c r="BN952" s="2">
        <v>30790965</v>
      </c>
      <c r="BO952" s="2" t="s">
        <v>74</v>
      </c>
      <c r="BP952" s="2" t="s">
        <v>74</v>
      </c>
      <c r="BQ952" s="2" t="s">
        <v>74</v>
      </c>
      <c r="BR952" s="2" t="s">
        <v>74</v>
      </c>
      <c r="BS952" s="2" t="s">
        <v>6167</v>
      </c>
      <c r="BT952" s="2" t="str">
        <f>HYPERLINK("https%3A%2F%2Fwww.webofscience.com%2Fwos%2Fwoscc%2Ffull-record%2FWOS:000458428100010","View Full Record in Web of Science")</f>
        <v>View Full Record in Web of Science</v>
      </c>
    </row>
    <row r="953" spans="1:72" s="2" customFormat="1" x14ac:dyDescent="0.4">
      <c r="A953" s="2" t="s">
        <v>72</v>
      </c>
      <c r="B953" s="2" t="s">
        <v>7686</v>
      </c>
      <c r="C953" s="2" t="s">
        <v>74</v>
      </c>
      <c r="D953" s="2" t="s">
        <v>74</v>
      </c>
      <c r="E953" s="2" t="s">
        <v>74</v>
      </c>
      <c r="F953" s="2" t="s">
        <v>7687</v>
      </c>
      <c r="G953" s="2" t="s">
        <v>74</v>
      </c>
      <c r="H953" s="2" t="s">
        <v>74</v>
      </c>
      <c r="I953" s="2" t="s">
        <v>7688</v>
      </c>
      <c r="J953" s="2" t="s">
        <v>1541</v>
      </c>
      <c r="K953" s="2" t="s">
        <v>74</v>
      </c>
      <c r="L953" s="2" t="s">
        <v>74</v>
      </c>
      <c r="M953" s="2" t="s">
        <v>74</v>
      </c>
      <c r="N953" s="2" t="s">
        <v>74</v>
      </c>
      <c r="O953" s="2" t="s">
        <v>74</v>
      </c>
      <c r="P953" s="2" t="s">
        <v>74</v>
      </c>
      <c r="Q953" s="2" t="s">
        <v>74</v>
      </c>
      <c r="R953" s="2" t="s">
        <v>74</v>
      </c>
      <c r="S953" s="2" t="s">
        <v>74</v>
      </c>
      <c r="T953" s="2" t="s">
        <v>74</v>
      </c>
      <c r="U953" s="2" t="s">
        <v>74</v>
      </c>
      <c r="V953" s="5" t="s">
        <v>7689</v>
      </c>
      <c r="W953" s="2" t="s">
        <v>74</v>
      </c>
      <c r="X953" s="2" t="s">
        <v>74</v>
      </c>
      <c r="Y953" s="2" t="s">
        <v>74</v>
      </c>
      <c r="Z953" s="2" t="s">
        <v>74</v>
      </c>
      <c r="AA953" s="2" t="s">
        <v>7690</v>
      </c>
      <c r="AB953" s="2" t="s">
        <v>7691</v>
      </c>
      <c r="AC953" s="2" t="s">
        <v>74</v>
      </c>
      <c r="AD953" s="2" t="s">
        <v>74</v>
      </c>
      <c r="AE953" s="2" t="s">
        <v>74</v>
      </c>
      <c r="AF953" s="2" t="s">
        <v>74</v>
      </c>
      <c r="AG953" s="2" t="s">
        <v>74</v>
      </c>
      <c r="AH953" s="2" t="s">
        <v>74</v>
      </c>
      <c r="AI953" s="2" t="s">
        <v>74</v>
      </c>
      <c r="AJ953" s="2" t="s">
        <v>74</v>
      </c>
      <c r="AK953" s="2" t="s">
        <v>74</v>
      </c>
      <c r="AL953" s="2" t="s">
        <v>74</v>
      </c>
      <c r="AM953" s="2" t="s">
        <v>74</v>
      </c>
      <c r="AN953" s="2" t="s">
        <v>74</v>
      </c>
      <c r="AO953" s="2" t="s">
        <v>1543</v>
      </c>
      <c r="AP953" s="2" t="s">
        <v>1544</v>
      </c>
      <c r="AQ953" s="2" t="s">
        <v>74</v>
      </c>
      <c r="AR953" s="2" t="s">
        <v>74</v>
      </c>
      <c r="AS953" s="2" t="s">
        <v>74</v>
      </c>
      <c r="AT953" s="2" t="s">
        <v>213</v>
      </c>
      <c r="AU953" s="2">
        <v>2016</v>
      </c>
      <c r="AV953" s="2">
        <v>97</v>
      </c>
      <c r="AW953" s="2">
        <v>11</v>
      </c>
      <c r="AX953" s="2" t="s">
        <v>74</v>
      </c>
      <c r="AY953" s="2" t="s">
        <v>74</v>
      </c>
      <c r="AZ953" s="2" t="s">
        <v>74</v>
      </c>
      <c r="BA953" s="2" t="s">
        <v>74</v>
      </c>
      <c r="BB953" s="2">
        <v>3110</v>
      </c>
      <c r="BC953" s="2">
        <v>3118</v>
      </c>
      <c r="BD953" s="2" t="s">
        <v>74</v>
      </c>
      <c r="BE953" s="2" t="s">
        <v>7692</v>
      </c>
      <c r="BF953" s="2" t="str">
        <f>HYPERLINK("http://dx.doi.org/10.1002/ecy.1565","http://dx.doi.org/10.1002/ecy.1565")</f>
        <v>http://dx.doi.org/10.1002/ecy.1565</v>
      </c>
      <c r="BG953" s="2" t="s">
        <v>74</v>
      </c>
      <c r="BH953" s="2" t="s">
        <v>74</v>
      </c>
      <c r="BI953" s="2" t="s">
        <v>74</v>
      </c>
      <c r="BJ953" s="2" t="s">
        <v>74</v>
      </c>
      <c r="BK953" s="2" t="s">
        <v>74</v>
      </c>
      <c r="BL953" s="2" t="s">
        <v>74</v>
      </c>
      <c r="BM953" s="2" t="s">
        <v>74</v>
      </c>
      <c r="BN953" s="2">
        <v>27870050</v>
      </c>
      <c r="BO953" s="2" t="s">
        <v>74</v>
      </c>
      <c r="BP953" s="2" t="s">
        <v>74</v>
      </c>
      <c r="BQ953" s="2" t="s">
        <v>74</v>
      </c>
      <c r="BR953" s="2" t="s">
        <v>74</v>
      </c>
      <c r="BS953" s="2" t="s">
        <v>7693</v>
      </c>
      <c r="BT953" s="2" t="str">
        <f>HYPERLINK("https%3A%2F%2Fwww.webofscience.com%2Fwos%2Fwoscc%2Ffull-record%2FWOS:000387228200021","View Full Record in Web of Science")</f>
        <v>View Full Record in Web of Science</v>
      </c>
    </row>
    <row r="954" spans="1:72" s="2" customFormat="1" x14ac:dyDescent="0.4">
      <c r="A954" s="2" t="s">
        <v>72</v>
      </c>
      <c r="B954" s="2" t="s">
        <v>4932</v>
      </c>
      <c r="C954" s="2" t="s">
        <v>74</v>
      </c>
      <c r="D954" s="2" t="s">
        <v>74</v>
      </c>
      <c r="E954" s="2" t="s">
        <v>74</v>
      </c>
      <c r="F954" s="2" t="s">
        <v>4932</v>
      </c>
      <c r="G954" s="2" t="s">
        <v>74</v>
      </c>
      <c r="H954" s="2" t="s">
        <v>74</v>
      </c>
      <c r="I954" s="2" t="s">
        <v>4933</v>
      </c>
      <c r="J954" s="2" t="s">
        <v>4934</v>
      </c>
      <c r="K954" s="2" t="s">
        <v>74</v>
      </c>
      <c r="L954" s="2" t="s">
        <v>74</v>
      </c>
      <c r="M954" s="2" t="s">
        <v>74</v>
      </c>
      <c r="N954" s="2" t="s">
        <v>74</v>
      </c>
      <c r="O954" s="2" t="s">
        <v>74</v>
      </c>
      <c r="P954" s="2" t="s">
        <v>74</v>
      </c>
      <c r="Q954" s="2" t="s">
        <v>74</v>
      </c>
      <c r="R954" s="2" t="s">
        <v>74</v>
      </c>
      <c r="S954" s="2" t="s">
        <v>74</v>
      </c>
      <c r="T954" s="2" t="s">
        <v>74</v>
      </c>
      <c r="U954" s="2" t="s">
        <v>74</v>
      </c>
      <c r="V954" s="5" t="s">
        <v>4935</v>
      </c>
      <c r="W954" s="2" t="s">
        <v>74</v>
      </c>
      <c r="X954" s="2" t="s">
        <v>74</v>
      </c>
      <c r="Y954" s="2" t="s">
        <v>74</v>
      </c>
      <c r="Z954" s="2" t="s">
        <v>74</v>
      </c>
      <c r="AA954" s="2" t="s">
        <v>74</v>
      </c>
      <c r="AB954" s="2" t="s">
        <v>74</v>
      </c>
      <c r="AC954" s="2" t="s">
        <v>74</v>
      </c>
      <c r="AD954" s="2" t="s">
        <v>74</v>
      </c>
      <c r="AE954" s="2" t="s">
        <v>74</v>
      </c>
      <c r="AF954" s="2" t="s">
        <v>74</v>
      </c>
      <c r="AG954" s="2" t="s">
        <v>74</v>
      </c>
      <c r="AH954" s="2" t="s">
        <v>74</v>
      </c>
      <c r="AI954" s="2" t="s">
        <v>74</v>
      </c>
      <c r="AJ954" s="2" t="s">
        <v>74</v>
      </c>
      <c r="AK954" s="2" t="s">
        <v>74</v>
      </c>
      <c r="AL954" s="2" t="s">
        <v>74</v>
      </c>
      <c r="AM954" s="2" t="s">
        <v>74</v>
      </c>
      <c r="AN954" s="2" t="s">
        <v>74</v>
      </c>
      <c r="AO954" s="2" t="s">
        <v>4936</v>
      </c>
      <c r="AP954" s="2" t="s">
        <v>74</v>
      </c>
      <c r="AQ954" s="2" t="s">
        <v>74</v>
      </c>
      <c r="AR954" s="2" t="s">
        <v>74</v>
      </c>
      <c r="AS954" s="2" t="s">
        <v>74</v>
      </c>
      <c r="AT954" s="2" t="s">
        <v>633</v>
      </c>
      <c r="AU954" s="2">
        <v>1995</v>
      </c>
      <c r="AV954" s="2">
        <v>71</v>
      </c>
      <c r="AW954" s="2">
        <v>2</v>
      </c>
      <c r="AX954" s="2" t="s">
        <v>74</v>
      </c>
      <c r="AY954" s="2" t="s">
        <v>74</v>
      </c>
      <c r="AZ954" s="2" t="s">
        <v>74</v>
      </c>
      <c r="BA954" s="2" t="s">
        <v>74</v>
      </c>
      <c r="BB954" s="2">
        <v>113</v>
      </c>
      <c r="BC954" s="2">
        <v>120</v>
      </c>
      <c r="BD954" s="2" t="s">
        <v>74</v>
      </c>
      <c r="BE954" s="2" t="s">
        <v>74</v>
      </c>
      <c r="BF954" s="2" t="s">
        <v>74</v>
      </c>
      <c r="BG954" s="2" t="s">
        <v>74</v>
      </c>
      <c r="BH954" s="2" t="s">
        <v>74</v>
      </c>
      <c r="BI954" s="2" t="s">
        <v>74</v>
      </c>
      <c r="BJ954" s="2" t="s">
        <v>74</v>
      </c>
      <c r="BK954" s="2" t="s">
        <v>74</v>
      </c>
      <c r="BL954" s="2" t="s">
        <v>74</v>
      </c>
      <c r="BM954" s="2" t="s">
        <v>74</v>
      </c>
      <c r="BN954" s="2" t="s">
        <v>74</v>
      </c>
      <c r="BO954" s="2" t="s">
        <v>74</v>
      </c>
      <c r="BP954" s="2" t="s">
        <v>74</v>
      </c>
      <c r="BQ954" s="2" t="s">
        <v>74</v>
      </c>
      <c r="BR954" s="2" t="s">
        <v>74</v>
      </c>
      <c r="BS954" s="2" t="s">
        <v>4937</v>
      </c>
      <c r="BT954" s="2" t="str">
        <f>HYPERLINK("https%3A%2F%2Fwww.webofscience.com%2Fwos%2Fwoscc%2Ffull-record%2FWOS:A1995TA18200008","View Full Record in Web of Science")</f>
        <v>View Full Record in Web of Science</v>
      </c>
    </row>
    <row r="955" spans="1:72" s="2" customFormat="1" x14ac:dyDescent="0.4">
      <c r="A955" s="2" t="s">
        <v>72</v>
      </c>
      <c r="B955" s="2" t="s">
        <v>8311</v>
      </c>
      <c r="C955" s="2" t="s">
        <v>74</v>
      </c>
      <c r="D955" s="2" t="s">
        <v>74</v>
      </c>
      <c r="E955" s="2" t="s">
        <v>74</v>
      </c>
      <c r="F955" s="2" t="s">
        <v>8312</v>
      </c>
      <c r="G955" s="2" t="s">
        <v>74</v>
      </c>
      <c r="H955" s="2" t="s">
        <v>74</v>
      </c>
      <c r="I955" s="2" t="s">
        <v>8313</v>
      </c>
      <c r="J955" s="2" t="s">
        <v>654</v>
      </c>
      <c r="K955" s="2" t="s">
        <v>74</v>
      </c>
      <c r="L955" s="2" t="s">
        <v>74</v>
      </c>
      <c r="M955" s="2" t="s">
        <v>74</v>
      </c>
      <c r="N955" s="2" t="s">
        <v>74</v>
      </c>
      <c r="O955" s="2" t="s">
        <v>74</v>
      </c>
      <c r="P955" s="2" t="s">
        <v>74</v>
      </c>
      <c r="Q955" s="2" t="s">
        <v>74</v>
      </c>
      <c r="R955" s="2" t="s">
        <v>74</v>
      </c>
      <c r="S955" s="2" t="s">
        <v>74</v>
      </c>
      <c r="T955" s="2" t="s">
        <v>74</v>
      </c>
      <c r="U955" s="2" t="s">
        <v>74</v>
      </c>
      <c r="V955" s="5" t="s">
        <v>8314</v>
      </c>
      <c r="W955" s="2" t="s">
        <v>74</v>
      </c>
      <c r="X955" s="2" t="s">
        <v>74</v>
      </c>
      <c r="Y955" s="2" t="s">
        <v>74</v>
      </c>
      <c r="Z955" s="2" t="s">
        <v>74</v>
      </c>
      <c r="AA955" s="2" t="s">
        <v>74</v>
      </c>
      <c r="AB955" s="2" t="s">
        <v>74</v>
      </c>
      <c r="AC955" s="2" t="s">
        <v>74</v>
      </c>
      <c r="AD955" s="2" t="s">
        <v>74</v>
      </c>
      <c r="AE955" s="2" t="s">
        <v>74</v>
      </c>
      <c r="AF955" s="2" t="s">
        <v>74</v>
      </c>
      <c r="AG955" s="2" t="s">
        <v>74</v>
      </c>
      <c r="AH955" s="2" t="s">
        <v>74</v>
      </c>
      <c r="AI955" s="2" t="s">
        <v>74</v>
      </c>
      <c r="AJ955" s="2" t="s">
        <v>74</v>
      </c>
      <c r="AK955" s="2" t="s">
        <v>74</v>
      </c>
      <c r="AL955" s="2" t="s">
        <v>74</v>
      </c>
      <c r="AM955" s="2" t="s">
        <v>74</v>
      </c>
      <c r="AN955" s="2" t="s">
        <v>74</v>
      </c>
      <c r="AO955" s="2" t="s">
        <v>658</v>
      </c>
      <c r="AP955" s="2" t="s">
        <v>74</v>
      </c>
      <c r="AQ955" s="2" t="s">
        <v>74</v>
      </c>
      <c r="AR955" s="2" t="s">
        <v>74</v>
      </c>
      <c r="AS955" s="2" t="s">
        <v>74</v>
      </c>
      <c r="AT955" s="2" t="s">
        <v>255</v>
      </c>
      <c r="AU955" s="2">
        <v>2024</v>
      </c>
      <c r="AV955" s="2">
        <v>14</v>
      </c>
      <c r="AW955" s="2">
        <v>1</v>
      </c>
      <c r="AX955" s="2" t="s">
        <v>74</v>
      </c>
      <c r="AY955" s="2" t="s">
        <v>74</v>
      </c>
      <c r="AZ955" s="2" t="s">
        <v>74</v>
      </c>
      <c r="BA955" s="2" t="s">
        <v>74</v>
      </c>
      <c r="BB955" s="2" t="s">
        <v>74</v>
      </c>
      <c r="BC955" s="2" t="s">
        <v>74</v>
      </c>
      <c r="BD955" s="2" t="s">
        <v>8315</v>
      </c>
      <c r="BE955" s="2" t="s">
        <v>8316</v>
      </c>
      <c r="BF955" s="2" t="str">
        <f>HYPERLINK("http://dx.doi.org/10.1002/ece3.10851","http://dx.doi.org/10.1002/ece3.10851")</f>
        <v>http://dx.doi.org/10.1002/ece3.10851</v>
      </c>
      <c r="BG955" s="2" t="s">
        <v>74</v>
      </c>
      <c r="BH955" s="2" t="s">
        <v>74</v>
      </c>
      <c r="BI955" s="2" t="s">
        <v>74</v>
      </c>
      <c r="BJ955" s="2" t="s">
        <v>74</v>
      </c>
      <c r="BK955" s="2" t="s">
        <v>74</v>
      </c>
      <c r="BL955" s="2" t="s">
        <v>74</v>
      </c>
      <c r="BM955" s="2" t="s">
        <v>74</v>
      </c>
      <c r="BN955" s="2">
        <v>38274864</v>
      </c>
      <c r="BO955" s="2" t="s">
        <v>74</v>
      </c>
      <c r="BP955" s="2" t="s">
        <v>74</v>
      </c>
      <c r="BQ955" s="2" t="s">
        <v>74</v>
      </c>
      <c r="BR955" s="2" t="s">
        <v>74</v>
      </c>
      <c r="BS955" s="2" t="s">
        <v>8317</v>
      </c>
      <c r="BT955" s="2" t="str">
        <f>HYPERLINK("https%3A%2F%2Fwww.webofscience.com%2Fwos%2Fwoscc%2Ffull-record%2FWOS:001148034400001","View Full Record in Web of Science")</f>
        <v>View Full Record in Web of Science</v>
      </c>
    </row>
    <row r="956" spans="1:72" s="2" customFormat="1" x14ac:dyDescent="0.4">
      <c r="A956" s="2" t="s">
        <v>72</v>
      </c>
      <c r="B956" s="2" t="s">
        <v>1777</v>
      </c>
      <c r="C956" s="2" t="s">
        <v>74</v>
      </c>
      <c r="D956" s="2" t="s">
        <v>74</v>
      </c>
      <c r="E956" s="2" t="s">
        <v>74</v>
      </c>
      <c r="F956" s="2" t="s">
        <v>1778</v>
      </c>
      <c r="G956" s="2" t="s">
        <v>74</v>
      </c>
      <c r="H956" s="2" t="s">
        <v>74</v>
      </c>
      <c r="I956" s="2" t="s">
        <v>1779</v>
      </c>
      <c r="J956" s="2" t="s">
        <v>140</v>
      </c>
      <c r="K956" s="2" t="s">
        <v>74</v>
      </c>
      <c r="L956" s="2" t="s">
        <v>74</v>
      </c>
      <c r="M956" s="2" t="s">
        <v>74</v>
      </c>
      <c r="N956" s="2" t="s">
        <v>74</v>
      </c>
      <c r="O956" s="2" t="s">
        <v>74</v>
      </c>
      <c r="P956" s="2" t="s">
        <v>74</v>
      </c>
      <c r="Q956" s="2" t="s">
        <v>74</v>
      </c>
      <c r="R956" s="2" t="s">
        <v>74</v>
      </c>
      <c r="S956" s="2" t="s">
        <v>74</v>
      </c>
      <c r="T956" s="2" t="s">
        <v>74</v>
      </c>
      <c r="U956" s="2" t="s">
        <v>74</v>
      </c>
      <c r="V956" s="5" t="s">
        <v>1780</v>
      </c>
      <c r="W956" s="2" t="s">
        <v>74</v>
      </c>
      <c r="X956" s="2" t="s">
        <v>74</v>
      </c>
      <c r="Y956" s="2" t="s">
        <v>74</v>
      </c>
      <c r="Z956" s="2" t="s">
        <v>74</v>
      </c>
      <c r="AA956" s="2" t="s">
        <v>1781</v>
      </c>
      <c r="AB956" s="2" t="s">
        <v>1782</v>
      </c>
      <c r="AC956" s="2" t="s">
        <v>74</v>
      </c>
      <c r="AD956" s="2" t="s">
        <v>74</v>
      </c>
      <c r="AE956" s="2" t="s">
        <v>74</v>
      </c>
      <c r="AF956" s="2" t="s">
        <v>74</v>
      </c>
      <c r="AG956" s="2" t="s">
        <v>74</v>
      </c>
      <c r="AH956" s="2" t="s">
        <v>74</v>
      </c>
      <c r="AI956" s="2" t="s">
        <v>74</v>
      </c>
      <c r="AJ956" s="2" t="s">
        <v>74</v>
      </c>
      <c r="AK956" s="2" t="s">
        <v>74</v>
      </c>
      <c r="AL956" s="2" t="s">
        <v>74</v>
      </c>
      <c r="AM956" s="2" t="s">
        <v>74</v>
      </c>
      <c r="AN956" s="2" t="s">
        <v>74</v>
      </c>
      <c r="AO956" s="2" t="s">
        <v>143</v>
      </c>
      <c r="AP956" s="2" t="s">
        <v>144</v>
      </c>
      <c r="AQ956" s="2" t="s">
        <v>74</v>
      </c>
      <c r="AR956" s="2" t="s">
        <v>74</v>
      </c>
      <c r="AS956" s="2" t="s">
        <v>74</v>
      </c>
      <c r="AT956" s="2" t="s">
        <v>213</v>
      </c>
      <c r="AU956" s="2">
        <v>2018</v>
      </c>
      <c r="AV956" s="2">
        <v>145</v>
      </c>
      <c r="AW956" s="2" t="s">
        <v>74</v>
      </c>
      <c r="AX956" s="2" t="s">
        <v>74</v>
      </c>
      <c r="AY956" s="2" t="s">
        <v>74</v>
      </c>
      <c r="AZ956" s="2" t="s">
        <v>74</v>
      </c>
      <c r="BA956" s="2" t="s">
        <v>74</v>
      </c>
      <c r="BB956" s="2">
        <v>29</v>
      </c>
      <c r="BC956" s="2">
        <v>37</v>
      </c>
      <c r="BD956" s="2" t="s">
        <v>74</v>
      </c>
      <c r="BE956" s="2" t="s">
        <v>1783</v>
      </c>
      <c r="BF956" s="2" t="str">
        <f>HYPERLINK("http://dx.doi.org/10.1016/j.anbehav.2018.08.015","http://dx.doi.org/10.1016/j.anbehav.2018.08.015")</f>
        <v>http://dx.doi.org/10.1016/j.anbehav.2018.08.015</v>
      </c>
      <c r="BG956" s="2" t="s">
        <v>74</v>
      </c>
      <c r="BH956" s="2" t="s">
        <v>74</v>
      </c>
      <c r="BI956" s="2" t="s">
        <v>74</v>
      </c>
      <c r="BJ956" s="2" t="s">
        <v>74</v>
      </c>
      <c r="BK956" s="2" t="s">
        <v>74</v>
      </c>
      <c r="BL956" s="2" t="s">
        <v>74</v>
      </c>
      <c r="BM956" s="2" t="s">
        <v>74</v>
      </c>
      <c r="BN956" s="2" t="s">
        <v>74</v>
      </c>
      <c r="BO956" s="2" t="s">
        <v>74</v>
      </c>
      <c r="BP956" s="2" t="s">
        <v>74</v>
      </c>
      <c r="BQ956" s="2" t="s">
        <v>74</v>
      </c>
      <c r="BR956" s="2" t="s">
        <v>74</v>
      </c>
      <c r="BS956" s="2" t="s">
        <v>1784</v>
      </c>
      <c r="BT956" s="2" t="str">
        <f>HYPERLINK("https%3A%2F%2Fwww.webofscience.com%2Fwos%2Fwoscc%2Ffull-record%2FWOS:000449696600003","View Full Record in Web of Science")</f>
        <v>View Full Record in Web of Science</v>
      </c>
    </row>
    <row r="957" spans="1:72" s="7" customFormat="1" x14ac:dyDescent="0.4">
      <c r="A957" s="2" t="s">
        <v>72</v>
      </c>
      <c r="B957" s="2" t="s">
        <v>4803</v>
      </c>
      <c r="C957" s="2" t="s">
        <v>74</v>
      </c>
      <c r="D957" s="2" t="s">
        <v>74</v>
      </c>
      <c r="E957" s="2" t="s">
        <v>74</v>
      </c>
      <c r="F957" s="2" t="s">
        <v>4804</v>
      </c>
      <c r="G957" s="2" t="s">
        <v>74</v>
      </c>
      <c r="H957" s="2" t="s">
        <v>74</v>
      </c>
      <c r="I957" s="2" t="s">
        <v>4805</v>
      </c>
      <c r="J957" s="2" t="s">
        <v>3089</v>
      </c>
      <c r="K957" s="2" t="s">
        <v>74</v>
      </c>
      <c r="L957" s="2" t="s">
        <v>74</v>
      </c>
      <c r="M957" s="2" t="s">
        <v>74</v>
      </c>
      <c r="N957" s="2" t="s">
        <v>74</v>
      </c>
      <c r="O957" s="2" t="s">
        <v>74</v>
      </c>
      <c r="P957" s="2" t="s">
        <v>74</v>
      </c>
      <c r="Q957" s="2" t="s">
        <v>74</v>
      </c>
      <c r="R957" s="2" t="s">
        <v>74</v>
      </c>
      <c r="S957" s="2" t="s">
        <v>74</v>
      </c>
      <c r="T957" s="2" t="s">
        <v>74</v>
      </c>
      <c r="U957" s="2" t="s">
        <v>74</v>
      </c>
      <c r="V957" s="5" t="s">
        <v>4806</v>
      </c>
      <c r="W957" s="2" t="s">
        <v>74</v>
      </c>
      <c r="X957" s="2" t="s">
        <v>74</v>
      </c>
      <c r="Y957" s="2" t="s">
        <v>74</v>
      </c>
      <c r="Z957" s="2" t="s">
        <v>74</v>
      </c>
      <c r="AA957" s="2" t="s">
        <v>4807</v>
      </c>
      <c r="AB957" s="2" t="s">
        <v>4808</v>
      </c>
      <c r="AC957" s="2" t="s">
        <v>74</v>
      </c>
      <c r="AD957" s="2" t="s">
        <v>74</v>
      </c>
      <c r="AE957" s="2" t="s">
        <v>74</v>
      </c>
      <c r="AF957" s="2" t="s">
        <v>74</v>
      </c>
      <c r="AG957" s="2" t="s">
        <v>74</v>
      </c>
      <c r="AH957" s="2" t="s">
        <v>74</v>
      </c>
      <c r="AI957" s="2" t="s">
        <v>74</v>
      </c>
      <c r="AJ957" s="2" t="s">
        <v>74</v>
      </c>
      <c r="AK957" s="2" t="s">
        <v>74</v>
      </c>
      <c r="AL957" s="2" t="s">
        <v>74</v>
      </c>
      <c r="AM957" s="2" t="s">
        <v>74</v>
      </c>
      <c r="AN957" s="2" t="s">
        <v>74</v>
      </c>
      <c r="AO957" s="2" t="s">
        <v>3093</v>
      </c>
      <c r="AP957" s="2" t="s">
        <v>3094</v>
      </c>
      <c r="AQ957" s="2" t="s">
        <v>74</v>
      </c>
      <c r="AR957" s="2" t="s">
        <v>74</v>
      </c>
      <c r="AS957" s="2" t="s">
        <v>74</v>
      </c>
      <c r="AT957" s="2" t="s">
        <v>134</v>
      </c>
      <c r="AU957" s="2">
        <v>2010</v>
      </c>
      <c r="AV957" s="2">
        <v>28</v>
      </c>
      <c r="AW957" s="2">
        <v>2</v>
      </c>
      <c r="AX957" s="2" t="s">
        <v>74</v>
      </c>
      <c r="AY957" s="2" t="s">
        <v>74</v>
      </c>
      <c r="AZ957" s="2" t="s">
        <v>74</v>
      </c>
      <c r="BA957" s="2" t="s">
        <v>74</v>
      </c>
      <c r="BB957" s="2">
        <v>273</v>
      </c>
      <c r="BC957" s="2">
        <v>286</v>
      </c>
      <c r="BD957" s="2" t="s">
        <v>74</v>
      </c>
      <c r="BE957" s="2" t="s">
        <v>4809</v>
      </c>
      <c r="BF957" s="2" t="str">
        <f>HYPERLINK("http://dx.doi.org/10.1007/s10164-009-0181-9","http://dx.doi.org/10.1007/s10164-009-0181-9")</f>
        <v>http://dx.doi.org/10.1007/s10164-009-0181-9</v>
      </c>
      <c r="BG957" s="2" t="s">
        <v>74</v>
      </c>
      <c r="BH957" s="2" t="s">
        <v>74</v>
      </c>
      <c r="BI957" s="2" t="s">
        <v>74</v>
      </c>
      <c r="BJ957" s="2" t="s">
        <v>74</v>
      </c>
      <c r="BK957" s="2" t="s">
        <v>74</v>
      </c>
      <c r="BL957" s="2" t="s">
        <v>74</v>
      </c>
      <c r="BM957" s="2" t="s">
        <v>74</v>
      </c>
      <c r="BN957" s="2" t="s">
        <v>74</v>
      </c>
      <c r="BO957" s="2" t="s">
        <v>74</v>
      </c>
      <c r="BP957" s="2" t="s">
        <v>74</v>
      </c>
      <c r="BQ957" s="2" t="s">
        <v>74</v>
      </c>
      <c r="BR957" s="2" t="s">
        <v>74</v>
      </c>
      <c r="BS957" s="2" t="s">
        <v>4810</v>
      </c>
      <c r="BT957" s="2" t="str">
        <f>HYPERLINK("https%3A%2F%2Fwww.webofscience.com%2Fwos%2Fwoscc%2Ffull-record%2FWOS:000277469300009","View Full Record in Web of Science")</f>
        <v>View Full Record in Web of Science</v>
      </c>
    </row>
    <row r="958" spans="1:72" s="2" customFormat="1" x14ac:dyDescent="0.4">
      <c r="A958" s="2" t="s">
        <v>72</v>
      </c>
      <c r="B958" s="2" t="s">
        <v>8480</v>
      </c>
      <c r="C958" s="2" t="s">
        <v>74</v>
      </c>
      <c r="D958" s="2" t="s">
        <v>74</v>
      </c>
      <c r="E958" s="2" t="s">
        <v>74</v>
      </c>
      <c r="F958" s="2" t="s">
        <v>8480</v>
      </c>
      <c r="G958" s="2" t="s">
        <v>74</v>
      </c>
      <c r="H958" s="2" t="s">
        <v>74</v>
      </c>
      <c r="I958" s="2" t="s">
        <v>8481</v>
      </c>
      <c r="J958" s="2" t="s">
        <v>1755</v>
      </c>
      <c r="K958" s="2" t="s">
        <v>74</v>
      </c>
      <c r="L958" s="2" t="s">
        <v>74</v>
      </c>
      <c r="M958" s="2" t="s">
        <v>74</v>
      </c>
      <c r="N958" s="2" t="s">
        <v>74</v>
      </c>
      <c r="O958" s="2" t="s">
        <v>74</v>
      </c>
      <c r="P958" s="2" t="s">
        <v>74</v>
      </c>
      <c r="Q958" s="2" t="s">
        <v>74</v>
      </c>
      <c r="R958" s="2" t="s">
        <v>74</v>
      </c>
      <c r="S958" s="2" t="s">
        <v>74</v>
      </c>
      <c r="T958" s="2" t="s">
        <v>74</v>
      </c>
      <c r="U958" s="2" t="s">
        <v>74</v>
      </c>
      <c r="V958" s="5" t="s">
        <v>8482</v>
      </c>
      <c r="W958" s="2" t="s">
        <v>74</v>
      </c>
      <c r="X958" s="2" t="s">
        <v>74</v>
      </c>
      <c r="Y958" s="2" t="s">
        <v>74</v>
      </c>
      <c r="Z958" s="2" t="s">
        <v>74</v>
      </c>
      <c r="AA958" s="2" t="s">
        <v>74</v>
      </c>
      <c r="AB958" s="2" t="s">
        <v>74</v>
      </c>
      <c r="AC958" s="2" t="s">
        <v>74</v>
      </c>
      <c r="AD958" s="2" t="s">
        <v>74</v>
      </c>
      <c r="AE958" s="2" t="s">
        <v>74</v>
      </c>
      <c r="AF958" s="2" t="s">
        <v>74</v>
      </c>
      <c r="AG958" s="2" t="s">
        <v>74</v>
      </c>
      <c r="AH958" s="2" t="s">
        <v>74</v>
      </c>
      <c r="AI958" s="2" t="s">
        <v>74</v>
      </c>
      <c r="AJ958" s="2" t="s">
        <v>74</v>
      </c>
      <c r="AK958" s="2" t="s">
        <v>74</v>
      </c>
      <c r="AL958" s="2" t="s">
        <v>74</v>
      </c>
      <c r="AM958" s="2" t="s">
        <v>74</v>
      </c>
      <c r="AN958" s="2" t="s">
        <v>74</v>
      </c>
      <c r="AO958" s="2" t="s">
        <v>1759</v>
      </c>
      <c r="AP958" s="2" t="s">
        <v>1760</v>
      </c>
      <c r="AQ958" s="2" t="s">
        <v>74</v>
      </c>
      <c r="AR958" s="2" t="s">
        <v>74</v>
      </c>
      <c r="AS958" s="2" t="s">
        <v>74</v>
      </c>
      <c r="AT958" s="2" t="s">
        <v>352</v>
      </c>
      <c r="AU958" s="2">
        <v>2001</v>
      </c>
      <c r="AV958" s="2">
        <v>14</v>
      </c>
      <c r="AW958" s="2">
        <v>5</v>
      </c>
      <c r="AX958" s="2" t="s">
        <v>74</v>
      </c>
      <c r="AY958" s="2" t="s">
        <v>74</v>
      </c>
      <c r="AZ958" s="2" t="s">
        <v>74</v>
      </c>
      <c r="BA958" s="2" t="s">
        <v>74</v>
      </c>
      <c r="BB958" s="2">
        <v>607</v>
      </c>
      <c r="BC958" s="2">
        <v>620</v>
      </c>
      <c r="BD958" s="2" t="s">
        <v>74</v>
      </c>
      <c r="BE958" s="2" t="s">
        <v>8483</v>
      </c>
      <c r="BF958" s="2" t="str">
        <f>HYPERLINK("http://dx.doi.org/10.1023/A:1012223217250","http://dx.doi.org/10.1023/A:1012223217250")</f>
        <v>http://dx.doi.org/10.1023/A:1012223217250</v>
      </c>
      <c r="BG958" s="2" t="s">
        <v>74</v>
      </c>
      <c r="BH958" s="2" t="s">
        <v>74</v>
      </c>
      <c r="BI958" s="2" t="s">
        <v>74</v>
      </c>
      <c r="BJ958" s="2" t="s">
        <v>74</v>
      </c>
      <c r="BK958" s="2" t="s">
        <v>74</v>
      </c>
      <c r="BL958" s="2" t="s">
        <v>74</v>
      </c>
      <c r="BM958" s="2" t="s">
        <v>74</v>
      </c>
      <c r="BN958" s="2" t="s">
        <v>74</v>
      </c>
      <c r="BO958" s="2" t="s">
        <v>74</v>
      </c>
      <c r="BP958" s="2" t="s">
        <v>74</v>
      </c>
      <c r="BQ958" s="2" t="s">
        <v>74</v>
      </c>
      <c r="BR958" s="2" t="s">
        <v>74</v>
      </c>
      <c r="BS958" s="2" t="s">
        <v>8484</v>
      </c>
      <c r="BT958" s="2" t="str">
        <f>HYPERLINK("https%3A%2F%2Fwww.webofscience.com%2Fwos%2Fwoscc%2Ffull-record%2FWOS:000172302200004","View Full Record in Web of Science")</f>
        <v>View Full Record in Web of Science</v>
      </c>
    </row>
    <row r="959" spans="1:72" s="2" customFormat="1" x14ac:dyDescent="0.4">
      <c r="A959" s="2" t="s">
        <v>72</v>
      </c>
      <c r="B959" s="2" t="s">
        <v>1508</v>
      </c>
      <c r="C959" s="2" t="s">
        <v>74</v>
      </c>
      <c r="D959" s="2" t="s">
        <v>74</v>
      </c>
      <c r="E959" s="2" t="s">
        <v>74</v>
      </c>
      <c r="F959" s="2" t="s">
        <v>1509</v>
      </c>
      <c r="G959" s="2" t="s">
        <v>74</v>
      </c>
      <c r="H959" s="2" t="s">
        <v>74</v>
      </c>
      <c r="I959" s="2" t="s">
        <v>1510</v>
      </c>
      <c r="J959" s="2" t="s">
        <v>140</v>
      </c>
      <c r="K959" s="2" t="s">
        <v>74</v>
      </c>
      <c r="L959" s="2" t="s">
        <v>74</v>
      </c>
      <c r="M959" s="2" t="s">
        <v>74</v>
      </c>
      <c r="N959" s="2" t="s">
        <v>74</v>
      </c>
      <c r="O959" s="2" t="s">
        <v>74</v>
      </c>
      <c r="P959" s="2" t="s">
        <v>74</v>
      </c>
      <c r="Q959" s="2" t="s">
        <v>74</v>
      </c>
      <c r="R959" s="2" t="s">
        <v>74</v>
      </c>
      <c r="S959" s="2" t="s">
        <v>74</v>
      </c>
      <c r="T959" s="2" t="s">
        <v>74</v>
      </c>
      <c r="U959" s="2" t="s">
        <v>74</v>
      </c>
      <c r="V959" s="5" t="s">
        <v>1511</v>
      </c>
      <c r="W959" s="2" t="s">
        <v>74</v>
      </c>
      <c r="X959" s="2" t="s">
        <v>74</v>
      </c>
      <c r="Y959" s="2" t="s">
        <v>74</v>
      </c>
      <c r="Z959" s="2" t="s">
        <v>74</v>
      </c>
      <c r="AA959" s="2" t="s">
        <v>1512</v>
      </c>
      <c r="AB959" s="2" t="s">
        <v>1513</v>
      </c>
      <c r="AC959" s="2" t="s">
        <v>74</v>
      </c>
      <c r="AD959" s="2" t="s">
        <v>74</v>
      </c>
      <c r="AE959" s="2" t="s">
        <v>74</v>
      </c>
      <c r="AF959" s="2" t="s">
        <v>74</v>
      </c>
      <c r="AG959" s="2" t="s">
        <v>74</v>
      </c>
      <c r="AH959" s="2" t="s">
        <v>74</v>
      </c>
      <c r="AI959" s="2" t="s">
        <v>74</v>
      </c>
      <c r="AJ959" s="2" t="s">
        <v>74</v>
      </c>
      <c r="AK959" s="2" t="s">
        <v>74</v>
      </c>
      <c r="AL959" s="2" t="s">
        <v>74</v>
      </c>
      <c r="AM959" s="2" t="s">
        <v>74</v>
      </c>
      <c r="AN959" s="2" t="s">
        <v>74</v>
      </c>
      <c r="AO959" s="2" t="s">
        <v>143</v>
      </c>
      <c r="AP959" s="2" t="s">
        <v>144</v>
      </c>
      <c r="AQ959" s="2" t="s">
        <v>74</v>
      </c>
      <c r="AR959" s="2" t="s">
        <v>74</v>
      </c>
      <c r="AS959" s="2" t="s">
        <v>74</v>
      </c>
      <c r="AT959" s="2" t="s">
        <v>175</v>
      </c>
      <c r="AU959" s="2">
        <v>2008</v>
      </c>
      <c r="AV959" s="2">
        <v>76</v>
      </c>
      <c r="AW959" s="2" t="s">
        <v>74</v>
      </c>
      <c r="AX959" s="2">
        <v>4</v>
      </c>
      <c r="AY959" s="2" t="s">
        <v>74</v>
      </c>
      <c r="AZ959" s="2" t="s">
        <v>74</v>
      </c>
      <c r="BA959" s="2" t="s">
        <v>74</v>
      </c>
      <c r="BB959" s="2">
        <v>1357</v>
      </c>
      <c r="BC959" s="2">
        <v>1364</v>
      </c>
      <c r="BD959" s="2" t="s">
        <v>74</v>
      </c>
      <c r="BE959" s="2" t="s">
        <v>1514</v>
      </c>
      <c r="BF959" s="2" t="str">
        <f>HYPERLINK("http://dx.doi.org/10.1016/j.anbehav.2008.04.024","http://dx.doi.org/10.1016/j.anbehav.2008.04.024")</f>
        <v>http://dx.doi.org/10.1016/j.anbehav.2008.04.024</v>
      </c>
      <c r="BG959" s="2" t="s">
        <v>74</v>
      </c>
      <c r="BH959" s="2" t="s">
        <v>74</v>
      </c>
      <c r="BI959" s="2" t="s">
        <v>74</v>
      </c>
      <c r="BJ959" s="2" t="s">
        <v>74</v>
      </c>
      <c r="BK959" s="2" t="s">
        <v>74</v>
      </c>
      <c r="BL959" s="2" t="s">
        <v>74</v>
      </c>
      <c r="BM959" s="2" t="s">
        <v>74</v>
      </c>
      <c r="BN959" s="2" t="s">
        <v>74</v>
      </c>
      <c r="BO959" s="2" t="s">
        <v>74</v>
      </c>
      <c r="BP959" s="2" t="s">
        <v>74</v>
      </c>
      <c r="BQ959" s="2" t="s">
        <v>74</v>
      </c>
      <c r="BR959" s="2" t="s">
        <v>74</v>
      </c>
      <c r="BS959" s="2" t="s">
        <v>1515</v>
      </c>
      <c r="BT959" s="2" t="str">
        <f>HYPERLINK("https%3A%2F%2Fwww.webofscience.com%2Fwos%2Fwoscc%2Ffull-record%2FWOS:000260118000026","View Full Record in Web of Science")</f>
        <v>View Full Record in Web of Science</v>
      </c>
    </row>
    <row r="960" spans="1:72" s="2" customFormat="1" x14ac:dyDescent="0.4">
      <c r="A960" s="2" t="s">
        <v>72</v>
      </c>
      <c r="B960" s="2" t="s">
        <v>4089</v>
      </c>
      <c r="C960" s="2" t="s">
        <v>74</v>
      </c>
      <c r="D960" s="2" t="s">
        <v>74</v>
      </c>
      <c r="E960" s="2" t="s">
        <v>74</v>
      </c>
      <c r="F960" s="2" t="s">
        <v>4090</v>
      </c>
      <c r="G960" s="2" t="s">
        <v>74</v>
      </c>
      <c r="H960" s="2" t="s">
        <v>74</v>
      </c>
      <c r="I960" s="2" t="s">
        <v>4091</v>
      </c>
      <c r="J960" s="2" t="s">
        <v>140</v>
      </c>
      <c r="K960" s="2" t="s">
        <v>74</v>
      </c>
      <c r="L960" s="2" t="s">
        <v>74</v>
      </c>
      <c r="M960" s="2" t="s">
        <v>74</v>
      </c>
      <c r="N960" s="2" t="s">
        <v>74</v>
      </c>
      <c r="O960" s="2" t="s">
        <v>74</v>
      </c>
      <c r="P960" s="2" t="s">
        <v>74</v>
      </c>
      <c r="Q960" s="2" t="s">
        <v>74</v>
      </c>
      <c r="R960" s="2" t="s">
        <v>74</v>
      </c>
      <c r="S960" s="2" t="s">
        <v>74</v>
      </c>
      <c r="T960" s="2" t="s">
        <v>74</v>
      </c>
      <c r="U960" s="2" t="s">
        <v>74</v>
      </c>
      <c r="V960" s="5" t="s">
        <v>4092</v>
      </c>
      <c r="W960" s="2" t="s">
        <v>74</v>
      </c>
      <c r="X960" s="2" t="s">
        <v>74</v>
      </c>
      <c r="Y960" s="2" t="s">
        <v>74</v>
      </c>
      <c r="Z960" s="2" t="s">
        <v>74</v>
      </c>
      <c r="AA960" s="2" t="s">
        <v>2989</v>
      </c>
      <c r="AB960" s="2" t="s">
        <v>4093</v>
      </c>
      <c r="AC960" s="2" t="s">
        <v>74</v>
      </c>
      <c r="AD960" s="2" t="s">
        <v>74</v>
      </c>
      <c r="AE960" s="2" t="s">
        <v>74</v>
      </c>
      <c r="AF960" s="2" t="s">
        <v>74</v>
      </c>
      <c r="AG960" s="2" t="s">
        <v>74</v>
      </c>
      <c r="AH960" s="2" t="s">
        <v>74</v>
      </c>
      <c r="AI960" s="2" t="s">
        <v>74</v>
      </c>
      <c r="AJ960" s="2" t="s">
        <v>74</v>
      </c>
      <c r="AK960" s="2" t="s">
        <v>74</v>
      </c>
      <c r="AL960" s="2" t="s">
        <v>74</v>
      </c>
      <c r="AM960" s="2" t="s">
        <v>74</v>
      </c>
      <c r="AN960" s="2" t="s">
        <v>74</v>
      </c>
      <c r="AO960" s="2" t="s">
        <v>143</v>
      </c>
      <c r="AP960" s="2" t="s">
        <v>144</v>
      </c>
      <c r="AQ960" s="2" t="s">
        <v>74</v>
      </c>
      <c r="AR960" s="2" t="s">
        <v>74</v>
      </c>
      <c r="AS960" s="2" t="s">
        <v>74</v>
      </c>
      <c r="AT960" s="2" t="s">
        <v>213</v>
      </c>
      <c r="AU960" s="2">
        <v>2013</v>
      </c>
      <c r="AV960" s="2">
        <v>86</v>
      </c>
      <c r="AW960" s="2">
        <v>5</v>
      </c>
      <c r="AX960" s="2" t="s">
        <v>74</v>
      </c>
      <c r="AY960" s="2" t="s">
        <v>74</v>
      </c>
      <c r="AZ960" s="2" t="s">
        <v>74</v>
      </c>
      <c r="BA960" s="2" t="s">
        <v>74</v>
      </c>
      <c r="BB960" s="2">
        <v>923</v>
      </c>
      <c r="BC960" s="2">
        <v>931</v>
      </c>
      <c r="BD960" s="2" t="s">
        <v>74</v>
      </c>
      <c r="BE960" s="2" t="s">
        <v>4094</v>
      </c>
      <c r="BF960" s="2" t="str">
        <f>HYPERLINK("http://dx.doi.org/10.1016/j.anbehav.2013.08.008","http://dx.doi.org/10.1016/j.anbehav.2013.08.008")</f>
        <v>http://dx.doi.org/10.1016/j.anbehav.2013.08.008</v>
      </c>
      <c r="BG960" s="2" t="s">
        <v>74</v>
      </c>
      <c r="BH960" s="2" t="s">
        <v>74</v>
      </c>
      <c r="BI960" s="2" t="s">
        <v>74</v>
      </c>
      <c r="BJ960" s="2" t="s">
        <v>74</v>
      </c>
      <c r="BK960" s="2" t="s">
        <v>74</v>
      </c>
      <c r="BL960" s="2" t="s">
        <v>74</v>
      </c>
      <c r="BM960" s="2" t="s">
        <v>74</v>
      </c>
      <c r="BN960" s="2" t="s">
        <v>74</v>
      </c>
      <c r="BO960" s="2" t="s">
        <v>74</v>
      </c>
      <c r="BP960" s="2" t="s">
        <v>74</v>
      </c>
      <c r="BQ960" s="2" t="s">
        <v>74</v>
      </c>
      <c r="BR960" s="2" t="s">
        <v>74</v>
      </c>
      <c r="BS960" s="2" t="s">
        <v>4095</v>
      </c>
      <c r="BT960" s="2" t="str">
        <f>HYPERLINK("https%3A%2F%2Fwww.webofscience.com%2Fwos%2Fwoscc%2Ffull-record%2FWOS:000326272200011","View Full Record in Web of Science")</f>
        <v>View Full Record in Web of Science</v>
      </c>
    </row>
    <row r="961" spans="1:72" s="2" customFormat="1" x14ac:dyDescent="0.4">
      <c r="A961" s="2" t="s">
        <v>72</v>
      </c>
      <c r="B961" s="2" t="s">
        <v>4471</v>
      </c>
      <c r="C961" s="2" t="s">
        <v>74</v>
      </c>
      <c r="D961" s="2" t="s">
        <v>74</v>
      </c>
      <c r="E961" s="2" t="s">
        <v>74</v>
      </c>
      <c r="F961" s="2" t="s">
        <v>4471</v>
      </c>
      <c r="G961" s="2" t="s">
        <v>74</v>
      </c>
      <c r="H961" s="2" t="s">
        <v>74</v>
      </c>
      <c r="I961" s="2" t="s">
        <v>4472</v>
      </c>
      <c r="J961" s="2" t="s">
        <v>4473</v>
      </c>
      <c r="K961" s="2" t="s">
        <v>74</v>
      </c>
      <c r="L961" s="2" t="s">
        <v>74</v>
      </c>
      <c r="M961" s="2" t="s">
        <v>74</v>
      </c>
      <c r="N961" s="2" t="s">
        <v>74</v>
      </c>
      <c r="O961" s="2" t="s">
        <v>74</v>
      </c>
      <c r="P961" s="2" t="s">
        <v>74</v>
      </c>
      <c r="Q961" s="2" t="s">
        <v>74</v>
      </c>
      <c r="R961" s="2" t="s">
        <v>74</v>
      </c>
      <c r="S961" s="2" t="s">
        <v>74</v>
      </c>
      <c r="T961" s="2" t="s">
        <v>74</v>
      </c>
      <c r="U961" s="2" t="s">
        <v>74</v>
      </c>
      <c r="V961" s="5" t="s">
        <v>4474</v>
      </c>
      <c r="W961" s="2" t="s">
        <v>74</v>
      </c>
      <c r="X961" s="2" t="s">
        <v>74</v>
      </c>
      <c r="Y961" s="2" t="s">
        <v>74</v>
      </c>
      <c r="Z961" s="2" t="s">
        <v>74</v>
      </c>
      <c r="AA961" s="2" t="s">
        <v>74</v>
      </c>
      <c r="AB961" s="2" t="s">
        <v>74</v>
      </c>
      <c r="AC961" s="2" t="s">
        <v>74</v>
      </c>
      <c r="AD961" s="2" t="s">
        <v>74</v>
      </c>
      <c r="AE961" s="2" t="s">
        <v>74</v>
      </c>
      <c r="AF961" s="2" t="s">
        <v>74</v>
      </c>
      <c r="AG961" s="2" t="s">
        <v>74</v>
      </c>
      <c r="AH961" s="2" t="s">
        <v>74</v>
      </c>
      <c r="AI961" s="2" t="s">
        <v>74</v>
      </c>
      <c r="AJ961" s="2" t="s">
        <v>74</v>
      </c>
      <c r="AK961" s="2" t="s">
        <v>74</v>
      </c>
      <c r="AL961" s="2" t="s">
        <v>74</v>
      </c>
      <c r="AM961" s="2" t="s">
        <v>74</v>
      </c>
      <c r="AN961" s="2" t="s">
        <v>74</v>
      </c>
      <c r="AO961" s="2" t="s">
        <v>818</v>
      </c>
      <c r="AP961" s="2" t="s">
        <v>74</v>
      </c>
      <c r="AQ961" s="2" t="s">
        <v>74</v>
      </c>
      <c r="AR961" s="2" t="s">
        <v>74</v>
      </c>
      <c r="AS961" s="2" t="s">
        <v>74</v>
      </c>
      <c r="AT961" s="2" t="s">
        <v>74</v>
      </c>
      <c r="AU961" s="2">
        <v>1995</v>
      </c>
      <c r="AV961" s="2">
        <v>99</v>
      </c>
      <c r="AW961" s="2">
        <v>2</v>
      </c>
      <c r="AX961" s="2" t="s">
        <v>74</v>
      </c>
      <c r="AY961" s="2" t="s">
        <v>74</v>
      </c>
      <c r="AZ961" s="2" t="s">
        <v>74</v>
      </c>
      <c r="BA961" s="2" t="s">
        <v>74</v>
      </c>
      <c r="BB961" s="2">
        <v>113</v>
      </c>
      <c r="BC961" s="2">
        <v>120</v>
      </c>
      <c r="BD961" s="2" t="s">
        <v>74</v>
      </c>
      <c r="BE961" s="2" t="s">
        <v>74</v>
      </c>
      <c r="BF961" s="2" t="s">
        <v>74</v>
      </c>
      <c r="BG961" s="2" t="s">
        <v>74</v>
      </c>
      <c r="BH961" s="2" t="s">
        <v>74</v>
      </c>
      <c r="BI961" s="2" t="s">
        <v>74</v>
      </c>
      <c r="BJ961" s="2" t="s">
        <v>74</v>
      </c>
      <c r="BK961" s="2" t="s">
        <v>74</v>
      </c>
      <c r="BL961" s="2" t="s">
        <v>74</v>
      </c>
      <c r="BM961" s="2" t="s">
        <v>74</v>
      </c>
      <c r="BN961" s="2" t="s">
        <v>74</v>
      </c>
      <c r="BO961" s="2" t="s">
        <v>74</v>
      </c>
      <c r="BP961" s="2" t="s">
        <v>74</v>
      </c>
      <c r="BQ961" s="2" t="s">
        <v>74</v>
      </c>
      <c r="BR961" s="2" t="s">
        <v>74</v>
      </c>
      <c r="BS961" s="2" t="s">
        <v>4475</v>
      </c>
      <c r="BT961" s="2" t="str">
        <f>HYPERLINK("https%3A%2F%2Fwww.webofscience.com%2Fwos%2Fwoscc%2Ffull-record%2FWOS:A1995UA71800003","View Full Record in Web of Science")</f>
        <v>View Full Record in Web of Science</v>
      </c>
    </row>
    <row r="962" spans="1:72" s="2" customFormat="1" x14ac:dyDescent="0.4">
      <c r="A962" s="2" t="s">
        <v>72</v>
      </c>
      <c r="B962" s="2" t="s">
        <v>6580</v>
      </c>
      <c r="C962" s="2" t="s">
        <v>74</v>
      </c>
      <c r="D962" s="2" t="s">
        <v>74</v>
      </c>
      <c r="E962" s="2" t="s">
        <v>74</v>
      </c>
      <c r="F962" s="2" t="s">
        <v>6580</v>
      </c>
      <c r="G962" s="2" t="s">
        <v>74</v>
      </c>
      <c r="H962" s="2" t="s">
        <v>74</v>
      </c>
      <c r="I962" s="2" t="s">
        <v>6581</v>
      </c>
      <c r="J962" s="2" t="s">
        <v>77</v>
      </c>
      <c r="K962" s="2" t="s">
        <v>74</v>
      </c>
      <c r="L962" s="2" t="s">
        <v>74</v>
      </c>
      <c r="M962" s="2" t="s">
        <v>74</v>
      </c>
      <c r="N962" s="2" t="s">
        <v>74</v>
      </c>
      <c r="O962" s="2" t="s">
        <v>74</v>
      </c>
      <c r="P962" s="2" t="s">
        <v>74</v>
      </c>
      <c r="Q962" s="2" t="s">
        <v>74</v>
      </c>
      <c r="R962" s="2" t="s">
        <v>74</v>
      </c>
      <c r="S962" s="2" t="s">
        <v>74</v>
      </c>
      <c r="T962" s="2" t="s">
        <v>74</v>
      </c>
      <c r="U962" s="2" t="s">
        <v>74</v>
      </c>
      <c r="V962" s="5" t="s">
        <v>6582</v>
      </c>
      <c r="W962" s="2" t="s">
        <v>74</v>
      </c>
      <c r="X962" s="2" t="s">
        <v>74</v>
      </c>
      <c r="Y962" s="2" t="s">
        <v>74</v>
      </c>
      <c r="Z962" s="2" t="s">
        <v>74</v>
      </c>
      <c r="AA962" s="2" t="s">
        <v>74</v>
      </c>
      <c r="AB962" s="2" t="s">
        <v>74</v>
      </c>
      <c r="AC962" s="2" t="s">
        <v>74</v>
      </c>
      <c r="AD962" s="2" t="s">
        <v>74</v>
      </c>
      <c r="AE962" s="2" t="s">
        <v>74</v>
      </c>
      <c r="AF962" s="2" t="s">
        <v>74</v>
      </c>
      <c r="AG962" s="2" t="s">
        <v>74</v>
      </c>
      <c r="AH962" s="2" t="s">
        <v>74</v>
      </c>
      <c r="AI962" s="2" t="s">
        <v>74</v>
      </c>
      <c r="AJ962" s="2" t="s">
        <v>74</v>
      </c>
      <c r="AK962" s="2" t="s">
        <v>74</v>
      </c>
      <c r="AL962" s="2" t="s">
        <v>74</v>
      </c>
      <c r="AM962" s="2" t="s">
        <v>74</v>
      </c>
      <c r="AN962" s="2" t="s">
        <v>74</v>
      </c>
      <c r="AO962" s="2" t="s">
        <v>81</v>
      </c>
      <c r="AP962" s="2" t="s">
        <v>82</v>
      </c>
      <c r="AQ962" s="2" t="s">
        <v>74</v>
      </c>
      <c r="AR962" s="2" t="s">
        <v>74</v>
      </c>
      <c r="AS962" s="2" t="s">
        <v>74</v>
      </c>
      <c r="AT962" s="2" t="s">
        <v>213</v>
      </c>
      <c r="AU962" s="2">
        <v>1988</v>
      </c>
      <c r="AV962" s="2">
        <v>107</v>
      </c>
      <c r="AW962" s="2" t="s">
        <v>74</v>
      </c>
      <c r="AX962" s="2" t="s">
        <v>548</v>
      </c>
      <c r="AY962" s="2" t="s">
        <v>74</v>
      </c>
      <c r="AZ962" s="2" t="s">
        <v>74</v>
      </c>
      <c r="BA962" s="2" t="s">
        <v>74</v>
      </c>
      <c r="BB962" s="2">
        <v>107</v>
      </c>
      <c r="BC962" s="2">
        <v>121</v>
      </c>
      <c r="BD962" s="2" t="s">
        <v>74</v>
      </c>
      <c r="BE962" s="2" t="s">
        <v>6583</v>
      </c>
      <c r="BF962" s="2" t="str">
        <f>HYPERLINK("http://dx.doi.org/10.1163/156853988X00223","http://dx.doi.org/10.1163/156853988X00223")</f>
        <v>http://dx.doi.org/10.1163/156853988X00223</v>
      </c>
      <c r="BG962" s="2" t="s">
        <v>74</v>
      </c>
      <c r="BH962" s="2" t="s">
        <v>74</v>
      </c>
      <c r="BI962" s="2" t="s">
        <v>74</v>
      </c>
      <c r="BJ962" s="2" t="s">
        <v>74</v>
      </c>
      <c r="BK962" s="2" t="s">
        <v>74</v>
      </c>
      <c r="BL962" s="2" t="s">
        <v>74</v>
      </c>
      <c r="BM962" s="2" t="s">
        <v>74</v>
      </c>
      <c r="BN962" s="2" t="s">
        <v>74</v>
      </c>
      <c r="BO962" s="2" t="s">
        <v>74</v>
      </c>
      <c r="BP962" s="2" t="s">
        <v>74</v>
      </c>
      <c r="BQ962" s="2" t="s">
        <v>74</v>
      </c>
      <c r="BR962" s="2" t="s">
        <v>74</v>
      </c>
      <c r="BS962" s="2" t="s">
        <v>6584</v>
      </c>
      <c r="BT962" s="2" t="str">
        <f>HYPERLINK("https%3A%2F%2Fwww.webofscience.com%2Fwos%2Fwoscc%2Ffull-record%2FWOS:A1988R479600008","View Full Record in Web of Science")</f>
        <v>View Full Record in Web of Science</v>
      </c>
    </row>
    <row r="963" spans="1:72" s="2" customFormat="1" x14ac:dyDescent="0.4">
      <c r="A963" s="2" t="s">
        <v>72</v>
      </c>
      <c r="B963" s="2" t="s">
        <v>8444</v>
      </c>
      <c r="C963" s="2" t="s">
        <v>74</v>
      </c>
      <c r="D963" s="2" t="s">
        <v>74</v>
      </c>
      <c r="E963" s="2" t="s">
        <v>74</v>
      </c>
      <c r="F963" s="2" t="s">
        <v>8445</v>
      </c>
      <c r="G963" s="2" t="s">
        <v>74</v>
      </c>
      <c r="H963" s="2" t="s">
        <v>74</v>
      </c>
      <c r="I963" s="2" t="s">
        <v>8446</v>
      </c>
      <c r="J963" s="2" t="s">
        <v>3332</v>
      </c>
      <c r="K963" s="2" t="s">
        <v>74</v>
      </c>
      <c r="L963" s="2" t="s">
        <v>74</v>
      </c>
      <c r="M963" s="2" t="s">
        <v>74</v>
      </c>
      <c r="N963" s="2" t="s">
        <v>74</v>
      </c>
      <c r="O963" s="2" t="s">
        <v>74</v>
      </c>
      <c r="P963" s="2" t="s">
        <v>74</v>
      </c>
      <c r="Q963" s="2" t="s">
        <v>74</v>
      </c>
      <c r="R963" s="2" t="s">
        <v>74</v>
      </c>
      <c r="S963" s="2" t="s">
        <v>74</v>
      </c>
      <c r="T963" s="2" t="s">
        <v>74</v>
      </c>
      <c r="U963" s="2" t="s">
        <v>74</v>
      </c>
      <c r="V963" s="5" t="s">
        <v>8447</v>
      </c>
      <c r="W963" s="2" t="s">
        <v>74</v>
      </c>
      <c r="X963" s="2" t="s">
        <v>74</v>
      </c>
      <c r="Y963" s="2" t="s">
        <v>74</v>
      </c>
      <c r="Z963" s="2" t="s">
        <v>74</v>
      </c>
      <c r="AA963" s="2" t="s">
        <v>8448</v>
      </c>
      <c r="AB963" s="2" t="s">
        <v>8449</v>
      </c>
      <c r="AC963" s="2" t="s">
        <v>74</v>
      </c>
      <c r="AD963" s="2" t="s">
        <v>74</v>
      </c>
      <c r="AE963" s="2" t="s">
        <v>74</v>
      </c>
      <c r="AF963" s="2" t="s">
        <v>74</v>
      </c>
      <c r="AG963" s="2" t="s">
        <v>74</v>
      </c>
      <c r="AH963" s="2" t="s">
        <v>74</v>
      </c>
      <c r="AI963" s="2" t="s">
        <v>74</v>
      </c>
      <c r="AJ963" s="2" t="s">
        <v>74</v>
      </c>
      <c r="AK963" s="2" t="s">
        <v>74</v>
      </c>
      <c r="AL963" s="2" t="s">
        <v>74</v>
      </c>
      <c r="AM963" s="2" t="s">
        <v>74</v>
      </c>
      <c r="AN963" s="2" t="s">
        <v>74</v>
      </c>
      <c r="AO963" s="2" t="s">
        <v>3336</v>
      </c>
      <c r="AP963" s="2" t="s">
        <v>3337</v>
      </c>
      <c r="AQ963" s="2" t="s">
        <v>74</v>
      </c>
      <c r="AR963" s="2" t="s">
        <v>74</v>
      </c>
      <c r="AS963" s="2" t="s">
        <v>74</v>
      </c>
      <c r="AT963" s="2" t="s">
        <v>3338</v>
      </c>
      <c r="AU963" s="2">
        <v>2010</v>
      </c>
      <c r="AV963" s="2">
        <v>45</v>
      </c>
      <c r="AW963" s="2">
        <v>1</v>
      </c>
      <c r="AX963" s="2" t="s">
        <v>74</v>
      </c>
      <c r="AY963" s="2" t="s">
        <v>74</v>
      </c>
      <c r="AZ963" s="2" t="s">
        <v>74</v>
      </c>
      <c r="BA963" s="2" t="s">
        <v>74</v>
      </c>
      <c r="BB963" s="2">
        <v>91</v>
      </c>
      <c r="BC963" s="2">
        <v>97</v>
      </c>
      <c r="BD963" s="2" t="s">
        <v>74</v>
      </c>
      <c r="BE963" s="2" t="s">
        <v>8450</v>
      </c>
      <c r="BF963" s="2" t="str">
        <f>HYPERLINK("http://dx.doi.org/10.3161/000164510X516146","http://dx.doi.org/10.3161/000164510X516146")</f>
        <v>http://dx.doi.org/10.3161/000164510X516146</v>
      </c>
      <c r="BG963" s="2" t="s">
        <v>74</v>
      </c>
      <c r="BH963" s="2" t="s">
        <v>74</v>
      </c>
      <c r="BI963" s="2" t="s">
        <v>74</v>
      </c>
      <c r="BJ963" s="2" t="s">
        <v>74</v>
      </c>
      <c r="BK963" s="2" t="s">
        <v>74</v>
      </c>
      <c r="BL963" s="2" t="s">
        <v>74</v>
      </c>
      <c r="BM963" s="2" t="s">
        <v>74</v>
      </c>
      <c r="BN963" s="2" t="s">
        <v>74</v>
      </c>
      <c r="BO963" s="2" t="s">
        <v>74</v>
      </c>
      <c r="BP963" s="2" t="s">
        <v>74</v>
      </c>
      <c r="BQ963" s="2" t="s">
        <v>74</v>
      </c>
      <c r="BR963" s="2" t="s">
        <v>74</v>
      </c>
      <c r="BS963" s="2" t="s">
        <v>8451</v>
      </c>
      <c r="BT963" s="2" t="str">
        <f>HYPERLINK("https%3A%2F%2Fwww.webofscience.com%2Fwos%2Fwoscc%2Ffull-record%2FWOS:000280387600010","View Full Record in Web of Science")</f>
        <v>View Full Record in Web of Science</v>
      </c>
    </row>
    <row r="964" spans="1:72" s="2" customFormat="1" x14ac:dyDescent="0.4">
      <c r="A964" s="2" t="s">
        <v>72</v>
      </c>
      <c r="B964" s="2" t="s">
        <v>6061</v>
      </c>
      <c r="C964" s="2" t="s">
        <v>74</v>
      </c>
      <c r="D964" s="2" t="s">
        <v>74</v>
      </c>
      <c r="E964" s="2" t="s">
        <v>74</v>
      </c>
      <c r="F964" s="2" t="s">
        <v>6062</v>
      </c>
      <c r="G964" s="2" t="s">
        <v>74</v>
      </c>
      <c r="H964" s="2" t="s">
        <v>74</v>
      </c>
      <c r="I964" s="2" t="s">
        <v>6063</v>
      </c>
      <c r="J964" s="2" t="s">
        <v>576</v>
      </c>
      <c r="K964" s="2" t="s">
        <v>74</v>
      </c>
      <c r="L964" s="2" t="s">
        <v>74</v>
      </c>
      <c r="M964" s="2" t="s">
        <v>74</v>
      </c>
      <c r="N964" s="2" t="s">
        <v>74</v>
      </c>
      <c r="O964" s="2" t="s">
        <v>74</v>
      </c>
      <c r="P964" s="2" t="s">
        <v>74</v>
      </c>
      <c r="Q964" s="2" t="s">
        <v>74</v>
      </c>
      <c r="R964" s="2" t="s">
        <v>74</v>
      </c>
      <c r="S964" s="2" t="s">
        <v>74</v>
      </c>
      <c r="T964" s="2" t="s">
        <v>74</v>
      </c>
      <c r="U964" s="2" t="s">
        <v>74</v>
      </c>
      <c r="V964" s="5" t="s">
        <v>6064</v>
      </c>
      <c r="W964" s="2" t="s">
        <v>74</v>
      </c>
      <c r="X964" s="2" t="s">
        <v>74</v>
      </c>
      <c r="Y964" s="2" t="s">
        <v>74</v>
      </c>
      <c r="Z964" s="2" t="s">
        <v>74</v>
      </c>
      <c r="AA964" s="2" t="s">
        <v>74</v>
      </c>
      <c r="AB964" s="2" t="s">
        <v>6065</v>
      </c>
      <c r="AC964" s="2" t="s">
        <v>74</v>
      </c>
      <c r="AD964" s="2" t="s">
        <v>74</v>
      </c>
      <c r="AE964" s="2" t="s">
        <v>74</v>
      </c>
      <c r="AF964" s="2" t="s">
        <v>74</v>
      </c>
      <c r="AG964" s="2" t="s">
        <v>74</v>
      </c>
      <c r="AH964" s="2" t="s">
        <v>74</v>
      </c>
      <c r="AI964" s="2" t="s">
        <v>74</v>
      </c>
      <c r="AJ964" s="2" t="s">
        <v>74</v>
      </c>
      <c r="AK964" s="2" t="s">
        <v>74</v>
      </c>
      <c r="AL964" s="2" t="s">
        <v>74</v>
      </c>
      <c r="AM964" s="2" t="s">
        <v>74</v>
      </c>
      <c r="AN964" s="2" t="s">
        <v>74</v>
      </c>
      <c r="AO964" s="2" t="s">
        <v>579</v>
      </c>
      <c r="AP964" s="2" t="s">
        <v>580</v>
      </c>
      <c r="AQ964" s="2" t="s">
        <v>74</v>
      </c>
      <c r="AR964" s="2" t="s">
        <v>74</v>
      </c>
      <c r="AS964" s="2" t="s">
        <v>74</v>
      </c>
      <c r="AT964" s="2" t="s">
        <v>123</v>
      </c>
      <c r="AU964" s="2">
        <v>2015</v>
      </c>
      <c r="AV964" s="2">
        <v>29</v>
      </c>
      <c r="AW964" s="2">
        <v>2</v>
      </c>
      <c r="AX964" s="2" t="s">
        <v>74</v>
      </c>
      <c r="AY964" s="2" t="s">
        <v>74</v>
      </c>
      <c r="AZ964" s="2" t="s">
        <v>74</v>
      </c>
      <c r="BA964" s="2" t="s">
        <v>74</v>
      </c>
      <c r="BB964" s="2">
        <v>217</v>
      </c>
      <c r="BC964" s="2">
        <v>227</v>
      </c>
      <c r="BD964" s="2" t="s">
        <v>74</v>
      </c>
      <c r="BE964" s="2" t="s">
        <v>6066</v>
      </c>
      <c r="BF964" s="2" t="str">
        <f>HYPERLINK("http://dx.doi.org/10.1007/s10682-014-9744-5","http://dx.doi.org/10.1007/s10682-014-9744-5")</f>
        <v>http://dx.doi.org/10.1007/s10682-014-9744-5</v>
      </c>
      <c r="BG964" s="2" t="s">
        <v>74</v>
      </c>
      <c r="BH964" s="2" t="s">
        <v>74</v>
      </c>
      <c r="BI964" s="2" t="s">
        <v>74</v>
      </c>
      <c r="BJ964" s="2" t="s">
        <v>74</v>
      </c>
      <c r="BK964" s="2" t="s">
        <v>74</v>
      </c>
      <c r="BL964" s="2" t="s">
        <v>74</v>
      </c>
      <c r="BM964" s="2" t="s">
        <v>74</v>
      </c>
      <c r="BN964" s="2" t="s">
        <v>74</v>
      </c>
      <c r="BO964" s="2" t="s">
        <v>74</v>
      </c>
      <c r="BP964" s="2" t="s">
        <v>74</v>
      </c>
      <c r="BQ964" s="2" t="s">
        <v>74</v>
      </c>
      <c r="BR964" s="2" t="s">
        <v>74</v>
      </c>
      <c r="BS964" s="2" t="s">
        <v>6067</v>
      </c>
      <c r="BT964" s="2" t="str">
        <f>HYPERLINK("https%3A%2F%2Fwww.webofscience.com%2Fwos%2Fwoscc%2Ffull-record%2FWOS:000349964700002","View Full Record in Web of Science")</f>
        <v>View Full Record in Web of Science</v>
      </c>
    </row>
    <row r="965" spans="1:72" s="2" customFormat="1" x14ac:dyDescent="0.4">
      <c r="A965" s="2" t="s">
        <v>72</v>
      </c>
      <c r="B965" s="2" t="s">
        <v>6015</v>
      </c>
      <c r="C965" s="2" t="s">
        <v>74</v>
      </c>
      <c r="D965" s="2" t="s">
        <v>74</v>
      </c>
      <c r="E965" s="2" t="s">
        <v>74</v>
      </c>
      <c r="F965" s="2" t="s">
        <v>6015</v>
      </c>
      <c r="G965" s="2" t="s">
        <v>74</v>
      </c>
      <c r="H965" s="2" t="s">
        <v>74</v>
      </c>
      <c r="I965" s="2" t="s">
        <v>6016</v>
      </c>
      <c r="J965" s="2" t="s">
        <v>4655</v>
      </c>
      <c r="K965" s="2" t="s">
        <v>74</v>
      </c>
      <c r="L965" s="2" t="s">
        <v>74</v>
      </c>
      <c r="M965" s="2" t="s">
        <v>74</v>
      </c>
      <c r="N965" s="2" t="s">
        <v>74</v>
      </c>
      <c r="O965" s="2" t="s">
        <v>74</v>
      </c>
      <c r="P965" s="2" t="s">
        <v>74</v>
      </c>
      <c r="Q965" s="2" t="s">
        <v>74</v>
      </c>
      <c r="R965" s="2" t="s">
        <v>74</v>
      </c>
      <c r="S965" s="2" t="s">
        <v>74</v>
      </c>
      <c r="T965" s="2" t="s">
        <v>74</v>
      </c>
      <c r="U965" s="2" t="s">
        <v>74</v>
      </c>
      <c r="V965" s="5" t="s">
        <v>6017</v>
      </c>
      <c r="W965" s="2" t="s">
        <v>74</v>
      </c>
      <c r="X965" s="2" t="s">
        <v>74</v>
      </c>
      <c r="Y965" s="2" t="s">
        <v>74</v>
      </c>
      <c r="Z965" s="2" t="s">
        <v>74</v>
      </c>
      <c r="AA965" s="2" t="s">
        <v>74</v>
      </c>
      <c r="AB965" s="2" t="s">
        <v>74</v>
      </c>
      <c r="AC965" s="2" t="s">
        <v>74</v>
      </c>
      <c r="AD965" s="2" t="s">
        <v>74</v>
      </c>
      <c r="AE965" s="2" t="s">
        <v>74</v>
      </c>
      <c r="AF965" s="2" t="s">
        <v>74</v>
      </c>
      <c r="AG965" s="2" t="s">
        <v>74</v>
      </c>
      <c r="AH965" s="2" t="s">
        <v>74</v>
      </c>
      <c r="AI965" s="2" t="s">
        <v>74</v>
      </c>
      <c r="AJ965" s="2" t="s">
        <v>74</v>
      </c>
      <c r="AK965" s="2" t="s">
        <v>74</v>
      </c>
      <c r="AL965" s="2" t="s">
        <v>74</v>
      </c>
      <c r="AM965" s="2" t="s">
        <v>74</v>
      </c>
      <c r="AN965" s="2" t="s">
        <v>74</v>
      </c>
      <c r="AO965" s="2" t="s">
        <v>4657</v>
      </c>
      <c r="AP965" s="2" t="s">
        <v>74</v>
      </c>
      <c r="AQ965" s="2" t="s">
        <v>74</v>
      </c>
      <c r="AR965" s="2" t="s">
        <v>74</v>
      </c>
      <c r="AS965" s="2" t="s">
        <v>74</v>
      </c>
      <c r="AT965" s="2" t="s">
        <v>102</v>
      </c>
      <c r="AU965" s="2">
        <v>1991</v>
      </c>
      <c r="AV965" s="2">
        <v>103</v>
      </c>
      <c r="AW965" s="2">
        <v>2</v>
      </c>
      <c r="AX965" s="2" t="s">
        <v>74</v>
      </c>
      <c r="AY965" s="2" t="s">
        <v>74</v>
      </c>
      <c r="AZ965" s="2" t="s">
        <v>74</v>
      </c>
      <c r="BA965" s="2" t="s">
        <v>74</v>
      </c>
      <c r="BB965" s="2">
        <v>190</v>
      </c>
      <c r="BC965" s="2">
        <v>203</v>
      </c>
      <c r="BD965" s="2" t="s">
        <v>74</v>
      </c>
      <c r="BE965" s="2" t="s">
        <v>74</v>
      </c>
      <c r="BF965" s="2" t="s">
        <v>74</v>
      </c>
      <c r="BG965" s="2" t="s">
        <v>74</v>
      </c>
      <c r="BH965" s="2" t="s">
        <v>74</v>
      </c>
      <c r="BI965" s="2" t="s">
        <v>74</v>
      </c>
      <c r="BJ965" s="2" t="s">
        <v>74</v>
      </c>
      <c r="BK965" s="2" t="s">
        <v>74</v>
      </c>
      <c r="BL965" s="2" t="s">
        <v>74</v>
      </c>
      <c r="BM965" s="2" t="s">
        <v>74</v>
      </c>
      <c r="BN965" s="2" t="s">
        <v>74</v>
      </c>
      <c r="BO965" s="2" t="s">
        <v>74</v>
      </c>
      <c r="BP965" s="2" t="s">
        <v>74</v>
      </c>
      <c r="BQ965" s="2" t="s">
        <v>74</v>
      </c>
      <c r="BR965" s="2" t="s">
        <v>74</v>
      </c>
      <c r="BS965" s="2" t="s">
        <v>6018</v>
      </c>
      <c r="BT965" s="2" t="str">
        <f>HYPERLINK("https%3A%2F%2Fwww.webofscience.com%2Fwos%2Fwoscc%2Ffull-record%2FWOS:A1991FP90500003","View Full Record in Web of Science")</f>
        <v>View Full Record in Web of Science</v>
      </c>
    </row>
    <row r="966" spans="1:72" s="2" customFormat="1" x14ac:dyDescent="0.4">
      <c r="A966" s="2" t="s">
        <v>72</v>
      </c>
      <c r="B966" s="2" t="s">
        <v>1793</v>
      </c>
      <c r="C966" s="2" t="s">
        <v>74</v>
      </c>
      <c r="D966" s="2" t="s">
        <v>74</v>
      </c>
      <c r="E966" s="2" t="s">
        <v>74</v>
      </c>
      <c r="F966" s="2" t="s">
        <v>1793</v>
      </c>
      <c r="G966" s="2" t="s">
        <v>74</v>
      </c>
      <c r="H966" s="2" t="s">
        <v>74</v>
      </c>
      <c r="I966" s="2" t="s">
        <v>1794</v>
      </c>
      <c r="J966" s="2" t="s">
        <v>108</v>
      </c>
      <c r="K966" s="2" t="s">
        <v>74</v>
      </c>
      <c r="L966" s="2" t="s">
        <v>74</v>
      </c>
      <c r="M966" s="2" t="s">
        <v>74</v>
      </c>
      <c r="N966" s="2" t="s">
        <v>74</v>
      </c>
      <c r="O966" s="2" t="s">
        <v>74</v>
      </c>
      <c r="P966" s="2" t="s">
        <v>74</v>
      </c>
      <c r="Q966" s="2" t="s">
        <v>74</v>
      </c>
      <c r="R966" s="2" t="s">
        <v>74</v>
      </c>
      <c r="S966" s="2" t="s">
        <v>74</v>
      </c>
      <c r="T966" s="2" t="s">
        <v>74</v>
      </c>
      <c r="U966" s="2" t="s">
        <v>74</v>
      </c>
      <c r="V966" s="5" t="s">
        <v>1795</v>
      </c>
      <c r="W966" s="2" t="s">
        <v>74</v>
      </c>
      <c r="X966" s="2" t="s">
        <v>74</v>
      </c>
      <c r="Y966" s="2" t="s">
        <v>74</v>
      </c>
      <c r="Z966" s="2" t="s">
        <v>74</v>
      </c>
      <c r="AA966" s="2" t="s">
        <v>1106</v>
      </c>
      <c r="AB966" s="2" t="s">
        <v>1796</v>
      </c>
      <c r="AC966" s="2" t="s">
        <v>74</v>
      </c>
      <c r="AD966" s="2" t="s">
        <v>74</v>
      </c>
      <c r="AE966" s="2" t="s">
        <v>74</v>
      </c>
      <c r="AF966" s="2" t="s">
        <v>74</v>
      </c>
      <c r="AG966" s="2" t="s">
        <v>74</v>
      </c>
      <c r="AH966" s="2" t="s">
        <v>74</v>
      </c>
      <c r="AI966" s="2" t="s">
        <v>74</v>
      </c>
      <c r="AJ966" s="2" t="s">
        <v>74</v>
      </c>
      <c r="AK966" s="2" t="s">
        <v>74</v>
      </c>
      <c r="AL966" s="2" t="s">
        <v>74</v>
      </c>
      <c r="AM966" s="2" t="s">
        <v>74</v>
      </c>
      <c r="AN966" s="2" t="s">
        <v>74</v>
      </c>
      <c r="AO966" s="2" t="s">
        <v>111</v>
      </c>
      <c r="AP966" s="2" t="s">
        <v>112</v>
      </c>
      <c r="AQ966" s="2" t="s">
        <v>74</v>
      </c>
      <c r="AR966" s="2" t="s">
        <v>74</v>
      </c>
      <c r="AS966" s="2" t="s">
        <v>74</v>
      </c>
      <c r="AT966" s="2" t="s">
        <v>1797</v>
      </c>
      <c r="AU966" s="2">
        <v>2004</v>
      </c>
      <c r="AV966" s="2">
        <v>271</v>
      </c>
      <c r="AW966" s="2">
        <v>1546</v>
      </c>
      <c r="AX966" s="2" t="s">
        <v>74</v>
      </c>
      <c r="AY966" s="2" t="s">
        <v>74</v>
      </c>
      <c r="AZ966" s="2" t="s">
        <v>74</v>
      </c>
      <c r="BA966" s="2" t="s">
        <v>74</v>
      </c>
      <c r="BB966" s="2">
        <v>1345</v>
      </c>
      <c r="BC966" s="2">
        <v>1353</v>
      </c>
      <c r="BD966" s="2" t="s">
        <v>74</v>
      </c>
      <c r="BE966" s="2" t="s">
        <v>1798</v>
      </c>
      <c r="BF966" s="2" t="str">
        <f>HYPERLINK("http://dx.doi.org/10.1098/rspb.2004.2737","http://dx.doi.org/10.1098/rspb.2004.2737")</f>
        <v>http://dx.doi.org/10.1098/rspb.2004.2737</v>
      </c>
      <c r="BG966" s="2" t="s">
        <v>74</v>
      </c>
      <c r="BH966" s="2" t="s">
        <v>74</v>
      </c>
      <c r="BI966" s="2" t="s">
        <v>74</v>
      </c>
      <c r="BJ966" s="2" t="s">
        <v>74</v>
      </c>
      <c r="BK966" s="2" t="s">
        <v>74</v>
      </c>
      <c r="BL966" s="2" t="s">
        <v>74</v>
      </c>
      <c r="BM966" s="2" t="s">
        <v>74</v>
      </c>
      <c r="BN966" s="2">
        <v>15306332</v>
      </c>
      <c r="BO966" s="2" t="s">
        <v>74</v>
      </c>
      <c r="BP966" s="2" t="s">
        <v>74</v>
      </c>
      <c r="BQ966" s="2" t="s">
        <v>74</v>
      </c>
      <c r="BR966" s="2" t="s">
        <v>74</v>
      </c>
      <c r="BS966" s="2" t="s">
        <v>1799</v>
      </c>
      <c r="BT966" s="2" t="str">
        <f>HYPERLINK("https%3A%2F%2Fwww.webofscience.com%2Fwos%2Fwoscc%2Ffull-record%2FWOS:000222576500004","View Full Record in Web of Science")</f>
        <v>View Full Record in Web of Science</v>
      </c>
    </row>
    <row r="967" spans="1:72" s="2" customFormat="1" x14ac:dyDescent="0.4">
      <c r="A967" s="2" t="s">
        <v>72</v>
      </c>
      <c r="B967" s="2" t="s">
        <v>698</v>
      </c>
      <c r="C967" s="2" t="s">
        <v>74</v>
      </c>
      <c r="D967" s="2" t="s">
        <v>74</v>
      </c>
      <c r="E967" s="2" t="s">
        <v>74</v>
      </c>
      <c r="F967" s="2" t="s">
        <v>699</v>
      </c>
      <c r="G967" s="2" t="s">
        <v>74</v>
      </c>
      <c r="H967" s="2" t="s">
        <v>74</v>
      </c>
      <c r="I967" s="2" t="s">
        <v>700</v>
      </c>
      <c r="J967" s="2" t="s">
        <v>701</v>
      </c>
      <c r="K967" s="2" t="s">
        <v>74</v>
      </c>
      <c r="L967" s="2" t="s">
        <v>74</v>
      </c>
      <c r="M967" s="2" t="s">
        <v>74</v>
      </c>
      <c r="N967" s="2" t="s">
        <v>74</v>
      </c>
      <c r="O967" s="2" t="s">
        <v>74</v>
      </c>
      <c r="P967" s="2" t="s">
        <v>74</v>
      </c>
      <c r="Q967" s="2" t="s">
        <v>74</v>
      </c>
      <c r="R967" s="2" t="s">
        <v>74</v>
      </c>
      <c r="S967" s="2" t="s">
        <v>74</v>
      </c>
      <c r="T967" s="2" t="s">
        <v>74</v>
      </c>
      <c r="U967" s="2" t="s">
        <v>74</v>
      </c>
      <c r="V967" s="5" t="s">
        <v>702</v>
      </c>
      <c r="W967" s="2" t="s">
        <v>74</v>
      </c>
      <c r="X967" s="2" t="s">
        <v>74</v>
      </c>
      <c r="Y967" s="2" t="s">
        <v>74</v>
      </c>
      <c r="Z967" s="2" t="s">
        <v>74</v>
      </c>
      <c r="AA967" s="2" t="s">
        <v>74</v>
      </c>
      <c r="AB967" s="2" t="s">
        <v>74</v>
      </c>
      <c r="AC967" s="2" t="s">
        <v>74</v>
      </c>
      <c r="AD967" s="2" t="s">
        <v>74</v>
      </c>
      <c r="AE967" s="2" t="s">
        <v>74</v>
      </c>
      <c r="AF967" s="2" t="s">
        <v>74</v>
      </c>
      <c r="AG967" s="2" t="s">
        <v>74</v>
      </c>
      <c r="AH967" s="2" t="s">
        <v>74</v>
      </c>
      <c r="AI967" s="2" t="s">
        <v>74</v>
      </c>
      <c r="AJ967" s="2" t="s">
        <v>74</v>
      </c>
      <c r="AK967" s="2" t="s">
        <v>74</v>
      </c>
      <c r="AL967" s="2" t="s">
        <v>74</v>
      </c>
      <c r="AM967" s="2" t="s">
        <v>74</v>
      </c>
      <c r="AN967" s="2" t="s">
        <v>74</v>
      </c>
      <c r="AO967" s="2" t="s">
        <v>703</v>
      </c>
      <c r="AP967" s="2" t="s">
        <v>704</v>
      </c>
      <c r="AQ967" s="2" t="s">
        <v>74</v>
      </c>
      <c r="AR967" s="2" t="s">
        <v>74</v>
      </c>
      <c r="AS967" s="2" t="s">
        <v>74</v>
      </c>
      <c r="AT967" s="2" t="s">
        <v>74</v>
      </c>
      <c r="AU967" s="2">
        <v>2009</v>
      </c>
      <c r="AV967" s="2">
        <v>55</v>
      </c>
      <c r="AW967" s="2">
        <v>4</v>
      </c>
      <c r="AX967" s="2" t="s">
        <v>74</v>
      </c>
      <c r="AY967" s="2" t="s">
        <v>74</v>
      </c>
      <c r="AZ967" s="2" t="s">
        <v>74</v>
      </c>
      <c r="BA967" s="2" t="s">
        <v>74</v>
      </c>
      <c r="BB967" s="2">
        <v>359</v>
      </c>
      <c r="BC967" s="2">
        <v>367</v>
      </c>
      <c r="BD967" s="2" t="s">
        <v>74</v>
      </c>
      <c r="BE967" s="2" t="s">
        <v>705</v>
      </c>
      <c r="BF967" s="2" t="str">
        <f>HYPERLINK("http://dx.doi.org/10.1560/IJEE.55.4.359","http://dx.doi.org/10.1560/IJEE.55.4.359")</f>
        <v>http://dx.doi.org/10.1560/IJEE.55.4.359</v>
      </c>
      <c r="BG967" s="2" t="s">
        <v>74</v>
      </c>
      <c r="BH967" s="2" t="s">
        <v>74</v>
      </c>
      <c r="BI967" s="2" t="s">
        <v>74</v>
      </c>
      <c r="BJ967" s="2" t="s">
        <v>74</v>
      </c>
      <c r="BK967" s="2" t="s">
        <v>74</v>
      </c>
      <c r="BL967" s="2" t="s">
        <v>74</v>
      </c>
      <c r="BM967" s="2" t="s">
        <v>74</v>
      </c>
      <c r="BN967" s="2" t="s">
        <v>74</v>
      </c>
      <c r="BO967" s="2" t="s">
        <v>74</v>
      </c>
      <c r="BP967" s="2" t="s">
        <v>74</v>
      </c>
      <c r="BQ967" s="2" t="s">
        <v>74</v>
      </c>
      <c r="BR967" s="2" t="s">
        <v>74</v>
      </c>
      <c r="BS967" s="2" t="s">
        <v>706</v>
      </c>
      <c r="BT967" s="2" t="str">
        <f>HYPERLINK("https%3A%2F%2Fwww.webofscience.com%2Fwos%2Fwoscc%2Ffull-record%2FWOS:000281916500005","View Full Record in Web of Science")</f>
        <v>View Full Record in Web of Science</v>
      </c>
    </row>
    <row r="968" spans="1:72" s="2" customFormat="1" x14ac:dyDescent="0.4">
      <c r="A968" s="2" t="s">
        <v>72</v>
      </c>
      <c r="B968" s="2" t="s">
        <v>8465</v>
      </c>
      <c r="C968" s="2" t="s">
        <v>74</v>
      </c>
      <c r="D968" s="2" t="s">
        <v>74</v>
      </c>
      <c r="E968" s="2" t="s">
        <v>74</v>
      </c>
      <c r="F968" s="2" t="s">
        <v>8466</v>
      </c>
      <c r="G968" s="2" t="s">
        <v>74</v>
      </c>
      <c r="H968" s="2" t="s">
        <v>74</v>
      </c>
      <c r="I968" s="2" t="s">
        <v>8467</v>
      </c>
      <c r="J968" s="2" t="s">
        <v>8468</v>
      </c>
      <c r="K968" s="2" t="s">
        <v>74</v>
      </c>
      <c r="L968" s="2" t="s">
        <v>74</v>
      </c>
      <c r="M968" s="2" t="s">
        <v>74</v>
      </c>
      <c r="N968" s="2" t="s">
        <v>74</v>
      </c>
      <c r="O968" s="2" t="s">
        <v>74</v>
      </c>
      <c r="P968" s="2" t="s">
        <v>74</v>
      </c>
      <c r="Q968" s="2" t="s">
        <v>74</v>
      </c>
      <c r="R968" s="2" t="s">
        <v>74</v>
      </c>
      <c r="S968" s="2" t="s">
        <v>74</v>
      </c>
      <c r="T968" s="2" t="s">
        <v>74</v>
      </c>
      <c r="U968" s="2" t="s">
        <v>74</v>
      </c>
      <c r="V968" s="5" t="s">
        <v>8469</v>
      </c>
      <c r="W968" s="2" t="s">
        <v>74</v>
      </c>
      <c r="X968" s="2" t="s">
        <v>74</v>
      </c>
      <c r="Y968" s="2" t="s">
        <v>74</v>
      </c>
      <c r="Z968" s="2" t="s">
        <v>74</v>
      </c>
      <c r="AA968" s="2" t="s">
        <v>74</v>
      </c>
      <c r="AB968" s="2" t="s">
        <v>74</v>
      </c>
      <c r="AC968" s="2" t="s">
        <v>74</v>
      </c>
      <c r="AD968" s="2" t="s">
        <v>74</v>
      </c>
      <c r="AE968" s="2" t="s">
        <v>74</v>
      </c>
      <c r="AF968" s="2" t="s">
        <v>74</v>
      </c>
      <c r="AG968" s="2" t="s">
        <v>74</v>
      </c>
      <c r="AH968" s="2" t="s">
        <v>74</v>
      </c>
      <c r="AI968" s="2" t="s">
        <v>74</v>
      </c>
      <c r="AJ968" s="2" t="s">
        <v>74</v>
      </c>
      <c r="AK968" s="2" t="s">
        <v>74</v>
      </c>
      <c r="AL968" s="2" t="s">
        <v>74</v>
      </c>
      <c r="AM968" s="2" t="s">
        <v>74</v>
      </c>
      <c r="AN968" s="2" t="s">
        <v>74</v>
      </c>
      <c r="AO968" s="2" t="s">
        <v>8470</v>
      </c>
      <c r="AP968" s="2" t="s">
        <v>74</v>
      </c>
      <c r="AQ968" s="2" t="s">
        <v>74</v>
      </c>
      <c r="AR968" s="2" t="s">
        <v>74</v>
      </c>
      <c r="AS968" s="2" t="s">
        <v>74</v>
      </c>
      <c r="AT968" s="2" t="s">
        <v>352</v>
      </c>
      <c r="AU968" s="2">
        <v>2016</v>
      </c>
      <c r="AV968" s="2">
        <v>23</v>
      </c>
      <c r="AW968" s="2" t="s">
        <v>74</v>
      </c>
      <c r="AX968" s="2" t="s">
        <v>74</v>
      </c>
      <c r="AY968" s="2" t="s">
        <v>74</v>
      </c>
      <c r="AZ968" s="2" t="s">
        <v>74</v>
      </c>
      <c r="BA968" s="2" t="s">
        <v>74</v>
      </c>
      <c r="BB968" s="2">
        <v>41</v>
      </c>
      <c r="BC968" s="2">
        <v>59</v>
      </c>
      <c r="BD968" s="2" t="s">
        <v>74</v>
      </c>
      <c r="BE968" s="2" t="s">
        <v>74</v>
      </c>
      <c r="BF968" s="2" t="s">
        <v>74</v>
      </c>
      <c r="BG968" s="2" t="s">
        <v>74</v>
      </c>
      <c r="BH968" s="2" t="s">
        <v>74</v>
      </c>
      <c r="BI968" s="2" t="s">
        <v>74</v>
      </c>
      <c r="BJ968" s="2" t="s">
        <v>74</v>
      </c>
      <c r="BK968" s="2" t="s">
        <v>74</v>
      </c>
      <c r="BL968" s="2" t="s">
        <v>74</v>
      </c>
      <c r="BM968" s="2" t="s">
        <v>74</v>
      </c>
      <c r="BN968" s="2" t="s">
        <v>74</v>
      </c>
      <c r="BO968" s="2" t="s">
        <v>74</v>
      </c>
      <c r="BP968" s="2" t="s">
        <v>74</v>
      </c>
      <c r="BQ968" s="2" t="s">
        <v>74</v>
      </c>
      <c r="BR968" s="2" t="s">
        <v>74</v>
      </c>
      <c r="BS968" s="2" t="s">
        <v>8471</v>
      </c>
      <c r="BT968" s="2" t="str">
        <f>HYPERLINK("https%3A%2F%2Fwww.webofscience.com%2Fwos%2Fwoscc%2Ffull-record%2FWOS:000383924400005","View Full Record in Web of Science")</f>
        <v>View Full Record in Web of Science</v>
      </c>
    </row>
    <row r="969" spans="1:72" s="2" customFormat="1" x14ac:dyDescent="0.4">
      <c r="A969" s="2" t="s">
        <v>72</v>
      </c>
      <c r="B969" s="2" t="s">
        <v>5978</v>
      </c>
      <c r="C969" s="2" t="s">
        <v>74</v>
      </c>
      <c r="D969" s="2" t="s">
        <v>74</v>
      </c>
      <c r="E969" s="2" t="s">
        <v>74</v>
      </c>
      <c r="F969" s="2" t="s">
        <v>5979</v>
      </c>
      <c r="G969" s="2" t="s">
        <v>74</v>
      </c>
      <c r="H969" s="2" t="s">
        <v>74</v>
      </c>
      <c r="I969" s="2" t="s">
        <v>5980</v>
      </c>
      <c r="J969" s="2" t="s">
        <v>108</v>
      </c>
      <c r="K969" s="2" t="s">
        <v>74</v>
      </c>
      <c r="L969" s="2" t="s">
        <v>74</v>
      </c>
      <c r="M969" s="2" t="s">
        <v>74</v>
      </c>
      <c r="N969" s="2" t="s">
        <v>74</v>
      </c>
      <c r="O969" s="2" t="s">
        <v>74</v>
      </c>
      <c r="P969" s="2" t="s">
        <v>74</v>
      </c>
      <c r="Q969" s="2" t="s">
        <v>74</v>
      </c>
      <c r="R969" s="2" t="s">
        <v>74</v>
      </c>
      <c r="S969" s="2" t="s">
        <v>74</v>
      </c>
      <c r="T969" s="2" t="s">
        <v>74</v>
      </c>
      <c r="U969" s="2" t="s">
        <v>74</v>
      </c>
      <c r="V969" s="5" t="s">
        <v>5981</v>
      </c>
      <c r="W969" s="2" t="s">
        <v>74</v>
      </c>
      <c r="X969" s="2" t="s">
        <v>74</v>
      </c>
      <c r="Y969" s="2" t="s">
        <v>74</v>
      </c>
      <c r="Z969" s="2" t="s">
        <v>74</v>
      </c>
      <c r="AA969" s="2" t="s">
        <v>5982</v>
      </c>
      <c r="AB969" s="2" t="s">
        <v>5983</v>
      </c>
      <c r="AC969" s="2" t="s">
        <v>74</v>
      </c>
      <c r="AD969" s="2" t="s">
        <v>74</v>
      </c>
      <c r="AE969" s="2" t="s">
        <v>74</v>
      </c>
      <c r="AF969" s="2" t="s">
        <v>74</v>
      </c>
      <c r="AG969" s="2" t="s">
        <v>74</v>
      </c>
      <c r="AH969" s="2" t="s">
        <v>74</v>
      </c>
      <c r="AI969" s="2" t="s">
        <v>74</v>
      </c>
      <c r="AJ969" s="2" t="s">
        <v>74</v>
      </c>
      <c r="AK969" s="2" t="s">
        <v>74</v>
      </c>
      <c r="AL969" s="2" t="s">
        <v>74</v>
      </c>
      <c r="AM969" s="2" t="s">
        <v>74</v>
      </c>
      <c r="AN969" s="2" t="s">
        <v>74</v>
      </c>
      <c r="AO969" s="2" t="s">
        <v>111</v>
      </c>
      <c r="AP969" s="2" t="s">
        <v>112</v>
      </c>
      <c r="AQ969" s="2" t="s">
        <v>74</v>
      </c>
      <c r="AR969" s="2" t="s">
        <v>74</v>
      </c>
      <c r="AS969" s="2" t="s">
        <v>74</v>
      </c>
      <c r="AT969" s="2" t="s">
        <v>5984</v>
      </c>
      <c r="AU969" s="2">
        <v>2016</v>
      </c>
      <c r="AV969" s="2">
        <v>283</v>
      </c>
      <c r="AW969" s="2">
        <v>1830</v>
      </c>
      <c r="AX969" s="2" t="s">
        <v>74</v>
      </c>
      <c r="AY969" s="2" t="s">
        <v>74</v>
      </c>
      <c r="AZ969" s="2" t="s">
        <v>74</v>
      </c>
      <c r="BA969" s="2" t="s">
        <v>74</v>
      </c>
      <c r="BB969" s="2" t="s">
        <v>74</v>
      </c>
      <c r="BC969" s="2" t="s">
        <v>74</v>
      </c>
      <c r="BD969" s="2">
        <v>20160172</v>
      </c>
      <c r="BE969" s="2" t="s">
        <v>5985</v>
      </c>
      <c r="BF969" s="2" t="str">
        <f>HYPERLINK("http://dx.doi.org/10.1098/rspb.2016.0172","http://dx.doi.org/10.1098/rspb.2016.0172")</f>
        <v>http://dx.doi.org/10.1098/rspb.2016.0172</v>
      </c>
      <c r="BG969" s="2" t="s">
        <v>74</v>
      </c>
      <c r="BH969" s="2" t="s">
        <v>74</v>
      </c>
      <c r="BI969" s="2" t="s">
        <v>74</v>
      </c>
      <c r="BJ969" s="2" t="s">
        <v>74</v>
      </c>
      <c r="BK969" s="2" t="s">
        <v>74</v>
      </c>
      <c r="BL969" s="2" t="s">
        <v>74</v>
      </c>
      <c r="BM969" s="2" t="s">
        <v>74</v>
      </c>
      <c r="BN969" s="2">
        <v>27147097</v>
      </c>
      <c r="BO969" s="2" t="s">
        <v>74</v>
      </c>
      <c r="BP969" s="2" t="s">
        <v>74</v>
      </c>
      <c r="BQ969" s="2" t="s">
        <v>74</v>
      </c>
      <c r="BR969" s="2" t="s">
        <v>74</v>
      </c>
      <c r="BS969" s="2" t="s">
        <v>5986</v>
      </c>
      <c r="BT969" s="2" t="str">
        <f>HYPERLINK("https%3A%2F%2Fwww.webofscience.com%2Fwos%2Fwoscc%2Ffull-record%2FWOS:000376158800013","View Full Record in Web of Science")</f>
        <v>View Full Record in Web of Science</v>
      </c>
    </row>
    <row r="970" spans="1:72" s="2" customFormat="1" x14ac:dyDescent="0.4">
      <c r="A970" s="2" t="s">
        <v>72</v>
      </c>
      <c r="B970" s="2" t="s">
        <v>4719</v>
      </c>
      <c r="C970" s="2" t="s">
        <v>74</v>
      </c>
      <c r="D970" s="2" t="s">
        <v>74</v>
      </c>
      <c r="E970" s="2" t="s">
        <v>74</v>
      </c>
      <c r="F970" s="2" t="s">
        <v>4719</v>
      </c>
      <c r="G970" s="2" t="s">
        <v>74</v>
      </c>
      <c r="H970" s="2" t="s">
        <v>74</v>
      </c>
      <c r="I970" s="2" t="s">
        <v>4720</v>
      </c>
      <c r="J970" s="2" t="s">
        <v>129</v>
      </c>
      <c r="K970" s="2" t="s">
        <v>74</v>
      </c>
      <c r="L970" s="2" t="s">
        <v>74</v>
      </c>
      <c r="M970" s="2" t="s">
        <v>74</v>
      </c>
      <c r="N970" s="2" t="s">
        <v>74</v>
      </c>
      <c r="O970" s="2" t="s">
        <v>74</v>
      </c>
      <c r="P970" s="2" t="s">
        <v>74</v>
      </c>
      <c r="Q970" s="2" t="s">
        <v>74</v>
      </c>
      <c r="R970" s="2" t="s">
        <v>74</v>
      </c>
      <c r="S970" s="2" t="s">
        <v>74</v>
      </c>
      <c r="T970" s="2" t="s">
        <v>74</v>
      </c>
      <c r="U970" s="2" t="s">
        <v>74</v>
      </c>
      <c r="V970" s="5" t="s">
        <v>4721</v>
      </c>
      <c r="W970" s="2" t="s">
        <v>74</v>
      </c>
      <c r="X970" s="2" t="s">
        <v>74</v>
      </c>
      <c r="Y970" s="2" t="s">
        <v>74</v>
      </c>
      <c r="Z970" s="2" t="s">
        <v>74</v>
      </c>
      <c r="AA970" s="2" t="s">
        <v>4722</v>
      </c>
      <c r="AB970" s="2" t="s">
        <v>4723</v>
      </c>
      <c r="AC970" s="2" t="s">
        <v>74</v>
      </c>
      <c r="AD970" s="2" t="s">
        <v>74</v>
      </c>
      <c r="AE970" s="2" t="s">
        <v>74</v>
      </c>
      <c r="AF970" s="2" t="s">
        <v>74</v>
      </c>
      <c r="AG970" s="2" t="s">
        <v>74</v>
      </c>
      <c r="AH970" s="2" t="s">
        <v>74</v>
      </c>
      <c r="AI970" s="2" t="s">
        <v>74</v>
      </c>
      <c r="AJ970" s="2" t="s">
        <v>74</v>
      </c>
      <c r="AK970" s="2" t="s">
        <v>74</v>
      </c>
      <c r="AL970" s="2" t="s">
        <v>74</v>
      </c>
      <c r="AM970" s="2" t="s">
        <v>74</v>
      </c>
      <c r="AN970" s="2" t="s">
        <v>74</v>
      </c>
      <c r="AO970" s="2" t="s">
        <v>132</v>
      </c>
      <c r="AP970" s="2" t="s">
        <v>133</v>
      </c>
      <c r="AQ970" s="2" t="s">
        <v>74</v>
      </c>
      <c r="AR970" s="2" t="s">
        <v>74</v>
      </c>
      <c r="AS970" s="2" t="s">
        <v>74</v>
      </c>
      <c r="AT970" s="2" t="s">
        <v>123</v>
      </c>
      <c r="AU970" s="2">
        <v>2005</v>
      </c>
      <c r="AV970" s="2">
        <v>57</v>
      </c>
      <c r="AW970" s="2">
        <v>5</v>
      </c>
      <c r="AX970" s="2" t="s">
        <v>74</v>
      </c>
      <c r="AY970" s="2" t="s">
        <v>74</v>
      </c>
      <c r="AZ970" s="2" t="s">
        <v>74</v>
      </c>
      <c r="BA970" s="2" t="s">
        <v>74</v>
      </c>
      <c r="BB970" s="2">
        <v>465</v>
      </c>
      <c r="BC970" s="2">
        <v>469</v>
      </c>
      <c r="BD970" s="2" t="s">
        <v>74</v>
      </c>
      <c r="BE970" s="2" t="s">
        <v>4724</v>
      </c>
      <c r="BF970" s="2" t="str">
        <f>HYPERLINK("http://dx.doi.org/10.1007/s00265-004-0873-7","http://dx.doi.org/10.1007/s00265-004-0873-7")</f>
        <v>http://dx.doi.org/10.1007/s00265-004-0873-7</v>
      </c>
      <c r="BG970" s="2" t="s">
        <v>74</v>
      </c>
      <c r="BH970" s="2" t="s">
        <v>74</v>
      </c>
      <c r="BI970" s="2" t="s">
        <v>74</v>
      </c>
      <c r="BJ970" s="2" t="s">
        <v>74</v>
      </c>
      <c r="BK970" s="2" t="s">
        <v>74</v>
      </c>
      <c r="BL970" s="2" t="s">
        <v>74</v>
      </c>
      <c r="BM970" s="2" t="s">
        <v>74</v>
      </c>
      <c r="BN970" s="2" t="s">
        <v>74</v>
      </c>
      <c r="BO970" s="2" t="s">
        <v>74</v>
      </c>
      <c r="BP970" s="2" t="s">
        <v>74</v>
      </c>
      <c r="BQ970" s="2" t="s">
        <v>74</v>
      </c>
      <c r="BR970" s="2" t="s">
        <v>74</v>
      </c>
      <c r="BS970" s="2" t="s">
        <v>4725</v>
      </c>
      <c r="BT970" s="2" t="str">
        <f>HYPERLINK("https%3A%2F%2Fwww.webofscience.com%2Fwos%2Fwoscc%2Ffull-record%2FWOS:000227366700008","View Full Record in Web of Science")</f>
        <v>View Full Record in Web of Science</v>
      </c>
    </row>
    <row r="971" spans="1:72" s="2" customFormat="1" x14ac:dyDescent="0.4">
      <c r="A971" s="2" t="s">
        <v>72</v>
      </c>
      <c r="B971" s="2" t="s">
        <v>5071</v>
      </c>
      <c r="C971" s="2" t="s">
        <v>74</v>
      </c>
      <c r="D971" s="2" t="s">
        <v>74</v>
      </c>
      <c r="E971" s="2" t="s">
        <v>74</v>
      </c>
      <c r="F971" s="2" t="s">
        <v>5071</v>
      </c>
      <c r="G971" s="2" t="s">
        <v>74</v>
      </c>
      <c r="H971" s="2" t="s">
        <v>74</v>
      </c>
      <c r="I971" s="2" t="s">
        <v>5072</v>
      </c>
      <c r="J971" s="2" t="s">
        <v>610</v>
      </c>
      <c r="K971" s="2" t="s">
        <v>74</v>
      </c>
      <c r="L971" s="2" t="s">
        <v>74</v>
      </c>
      <c r="M971" s="2" t="s">
        <v>74</v>
      </c>
      <c r="N971" s="2" t="s">
        <v>74</v>
      </c>
      <c r="O971" s="2" t="s">
        <v>5073</v>
      </c>
      <c r="P971" s="2" t="s">
        <v>5074</v>
      </c>
      <c r="Q971" s="2" t="s">
        <v>5075</v>
      </c>
      <c r="R971" s="2" t="s">
        <v>5076</v>
      </c>
      <c r="S971" s="2" t="s">
        <v>74</v>
      </c>
      <c r="T971" s="2" t="s">
        <v>74</v>
      </c>
      <c r="U971" s="2" t="s">
        <v>74</v>
      </c>
      <c r="V971" s="5" t="s">
        <v>5077</v>
      </c>
      <c r="W971" s="2" t="s">
        <v>74</v>
      </c>
      <c r="X971" s="2" t="s">
        <v>74</v>
      </c>
      <c r="Y971" s="2" t="s">
        <v>74</v>
      </c>
      <c r="Z971" s="2" t="s">
        <v>74</v>
      </c>
      <c r="AA971" s="2" t="s">
        <v>74</v>
      </c>
      <c r="AB971" s="2" t="s">
        <v>74</v>
      </c>
      <c r="AC971" s="2" t="s">
        <v>74</v>
      </c>
      <c r="AD971" s="2" t="s">
        <v>74</v>
      </c>
      <c r="AE971" s="2" t="s">
        <v>74</v>
      </c>
      <c r="AF971" s="2" t="s">
        <v>74</v>
      </c>
      <c r="AG971" s="2" t="s">
        <v>74</v>
      </c>
      <c r="AH971" s="2" t="s">
        <v>74</v>
      </c>
      <c r="AI971" s="2" t="s">
        <v>74</v>
      </c>
      <c r="AJ971" s="2" t="s">
        <v>74</v>
      </c>
      <c r="AK971" s="2" t="s">
        <v>74</v>
      </c>
      <c r="AL971" s="2" t="s">
        <v>74</v>
      </c>
      <c r="AM971" s="2" t="s">
        <v>74</v>
      </c>
      <c r="AN971" s="2" t="s">
        <v>74</v>
      </c>
      <c r="AO971" s="2" t="s">
        <v>614</v>
      </c>
      <c r="AP971" s="2" t="s">
        <v>615</v>
      </c>
      <c r="AQ971" s="2" t="s">
        <v>74</v>
      </c>
      <c r="AR971" s="2" t="s">
        <v>74</v>
      </c>
      <c r="AS971" s="2" t="s">
        <v>74</v>
      </c>
      <c r="AT971" s="2" t="s">
        <v>255</v>
      </c>
      <c r="AU971" s="2">
        <v>2005</v>
      </c>
      <c r="AV971" s="2">
        <v>111</v>
      </c>
      <c r="AW971" s="2">
        <v>1</v>
      </c>
      <c r="AX971" s="2" t="s">
        <v>74</v>
      </c>
      <c r="AY971" s="2" t="s">
        <v>74</v>
      </c>
      <c r="AZ971" s="2" t="s">
        <v>74</v>
      </c>
      <c r="BA971" s="2" t="s">
        <v>74</v>
      </c>
      <c r="BB971" s="2">
        <v>25</v>
      </c>
      <c r="BC971" s="2">
        <v>50</v>
      </c>
      <c r="BD971" s="2" t="s">
        <v>74</v>
      </c>
      <c r="BE971" s="2" t="s">
        <v>5078</v>
      </c>
      <c r="BF971" s="2" t="str">
        <f>HYPERLINK("http://dx.doi.org/10.1111/j.1439-0310.2004.01054.x","http://dx.doi.org/10.1111/j.1439-0310.2004.01054.x")</f>
        <v>http://dx.doi.org/10.1111/j.1439-0310.2004.01054.x</v>
      </c>
      <c r="BG971" s="2" t="s">
        <v>74</v>
      </c>
      <c r="BH971" s="2" t="s">
        <v>74</v>
      </c>
      <c r="BI971" s="2" t="s">
        <v>74</v>
      </c>
      <c r="BJ971" s="2" t="s">
        <v>74</v>
      </c>
      <c r="BK971" s="2" t="s">
        <v>74</v>
      </c>
      <c r="BL971" s="2" t="s">
        <v>74</v>
      </c>
      <c r="BM971" s="2" t="s">
        <v>74</v>
      </c>
      <c r="BN971" s="2" t="s">
        <v>74</v>
      </c>
      <c r="BO971" s="2" t="s">
        <v>74</v>
      </c>
      <c r="BP971" s="2" t="s">
        <v>74</v>
      </c>
      <c r="BQ971" s="2" t="s">
        <v>74</v>
      </c>
      <c r="BR971" s="2" t="s">
        <v>74</v>
      </c>
      <c r="BS971" s="2" t="s">
        <v>5079</v>
      </c>
      <c r="BT971" s="2" t="str">
        <f>HYPERLINK("https%3A%2F%2Fwww.webofscience.com%2Fwos%2Fwoscc%2Ffull-record%2FWOS:000226377200002","View Full Record in Web of Science")</f>
        <v>View Full Record in Web of Science</v>
      </c>
    </row>
    <row r="972" spans="1:72" s="2" customFormat="1" x14ac:dyDescent="0.4">
      <c r="A972" s="2" t="s">
        <v>72</v>
      </c>
      <c r="B972" s="2" t="s">
        <v>2765</v>
      </c>
      <c r="C972" s="2" t="s">
        <v>74</v>
      </c>
      <c r="D972" s="2" t="s">
        <v>74</v>
      </c>
      <c r="E972" s="2" t="s">
        <v>74</v>
      </c>
      <c r="F972" s="2" t="s">
        <v>2766</v>
      </c>
      <c r="G972" s="2" t="s">
        <v>74</v>
      </c>
      <c r="H972" s="2" t="s">
        <v>74</v>
      </c>
      <c r="I972" s="2" t="s">
        <v>2767</v>
      </c>
      <c r="J972" s="2" t="s">
        <v>691</v>
      </c>
      <c r="K972" s="2" t="s">
        <v>74</v>
      </c>
      <c r="L972" s="2" t="s">
        <v>74</v>
      </c>
      <c r="M972" s="2" t="s">
        <v>74</v>
      </c>
      <c r="N972" s="2" t="s">
        <v>74</v>
      </c>
      <c r="O972" s="2" t="s">
        <v>74</v>
      </c>
      <c r="P972" s="2" t="s">
        <v>74</v>
      </c>
      <c r="Q972" s="2" t="s">
        <v>74</v>
      </c>
      <c r="R972" s="2" t="s">
        <v>74</v>
      </c>
      <c r="S972" s="2" t="s">
        <v>74</v>
      </c>
      <c r="T972" s="2" t="s">
        <v>74</v>
      </c>
      <c r="U972" s="2" t="s">
        <v>74</v>
      </c>
      <c r="V972" s="5" t="s">
        <v>2768</v>
      </c>
      <c r="W972" s="2" t="s">
        <v>74</v>
      </c>
      <c r="X972" s="2" t="s">
        <v>74</v>
      </c>
      <c r="Y972" s="2" t="s">
        <v>74</v>
      </c>
      <c r="Z972" s="2" t="s">
        <v>74</v>
      </c>
      <c r="AA972" s="2" t="s">
        <v>74</v>
      </c>
      <c r="AB972" s="2" t="s">
        <v>74</v>
      </c>
      <c r="AC972" s="2" t="s">
        <v>74</v>
      </c>
      <c r="AD972" s="2" t="s">
        <v>74</v>
      </c>
      <c r="AE972" s="2" t="s">
        <v>74</v>
      </c>
      <c r="AF972" s="2" t="s">
        <v>74</v>
      </c>
      <c r="AG972" s="2" t="s">
        <v>74</v>
      </c>
      <c r="AH972" s="2" t="s">
        <v>74</v>
      </c>
      <c r="AI972" s="2" t="s">
        <v>74</v>
      </c>
      <c r="AJ972" s="2" t="s">
        <v>74</v>
      </c>
      <c r="AK972" s="2" t="s">
        <v>74</v>
      </c>
      <c r="AL972" s="2" t="s">
        <v>74</v>
      </c>
      <c r="AM972" s="2" t="s">
        <v>74</v>
      </c>
      <c r="AN972" s="2" t="s">
        <v>74</v>
      </c>
      <c r="AO972" s="2" t="s">
        <v>695</v>
      </c>
      <c r="AP972" s="2" t="s">
        <v>74</v>
      </c>
      <c r="AQ972" s="2" t="s">
        <v>74</v>
      </c>
      <c r="AR972" s="2" t="s">
        <v>74</v>
      </c>
      <c r="AS972" s="2" t="s">
        <v>74</v>
      </c>
      <c r="AT972" s="2" t="s">
        <v>1146</v>
      </c>
      <c r="AU972" s="2">
        <v>2015</v>
      </c>
      <c r="AV972" s="2">
        <v>147</v>
      </c>
      <c r="AW972" s="2" t="s">
        <v>74</v>
      </c>
      <c r="AX972" s="2" t="s">
        <v>74</v>
      </c>
      <c r="AY972" s="2" t="s">
        <v>74</v>
      </c>
      <c r="AZ972" s="2" t="s">
        <v>74</v>
      </c>
      <c r="BA972" s="2" t="s">
        <v>74</v>
      </c>
      <c r="BB972" s="2">
        <v>245</v>
      </c>
      <c r="BC972" s="2">
        <v>254</v>
      </c>
      <c r="BD972" s="2" t="s">
        <v>74</v>
      </c>
      <c r="BE972" s="2" t="s">
        <v>2769</v>
      </c>
      <c r="BF972" s="2" t="str">
        <f>HYPERLINK("http://dx.doi.org/10.1016/j.physbeh.2015.04.051","http://dx.doi.org/10.1016/j.physbeh.2015.04.051")</f>
        <v>http://dx.doi.org/10.1016/j.physbeh.2015.04.051</v>
      </c>
      <c r="BG972" s="2" t="s">
        <v>74</v>
      </c>
      <c r="BH972" s="2" t="s">
        <v>74</v>
      </c>
      <c r="BI972" s="2" t="s">
        <v>74</v>
      </c>
      <c r="BJ972" s="2" t="s">
        <v>74</v>
      </c>
      <c r="BK972" s="2" t="s">
        <v>74</v>
      </c>
      <c r="BL972" s="2" t="s">
        <v>74</v>
      </c>
      <c r="BM972" s="2" t="s">
        <v>74</v>
      </c>
      <c r="BN972" s="2">
        <v>25936819</v>
      </c>
      <c r="BO972" s="2" t="s">
        <v>74</v>
      </c>
      <c r="BP972" s="2" t="s">
        <v>74</v>
      </c>
      <c r="BQ972" s="2" t="s">
        <v>74</v>
      </c>
      <c r="BR972" s="2" t="s">
        <v>74</v>
      </c>
      <c r="BS972" s="2" t="s">
        <v>2770</v>
      </c>
      <c r="BT972" s="2" t="str">
        <f>HYPERLINK("https%3A%2F%2Fwww.webofscience.com%2Fwos%2Fwoscc%2Ffull-record%2FWOS:000356737100034","View Full Record in Web of Science")</f>
        <v>View Full Record in Web of Science</v>
      </c>
    </row>
    <row r="973" spans="1:72" s="2" customFormat="1" x14ac:dyDescent="0.4">
      <c r="A973" s="2" t="s">
        <v>72</v>
      </c>
      <c r="B973" s="2" t="s">
        <v>7075</v>
      </c>
      <c r="C973" s="2" t="s">
        <v>74</v>
      </c>
      <c r="D973" s="2" t="s">
        <v>74</v>
      </c>
      <c r="E973" s="2" t="s">
        <v>74</v>
      </c>
      <c r="F973" s="2" t="s">
        <v>7075</v>
      </c>
      <c r="G973" s="2" t="s">
        <v>74</v>
      </c>
      <c r="H973" s="2" t="s">
        <v>74</v>
      </c>
      <c r="I973" s="2" t="s">
        <v>7076</v>
      </c>
      <c r="J973" s="2" t="s">
        <v>5577</v>
      </c>
      <c r="K973" s="2" t="s">
        <v>74</v>
      </c>
      <c r="L973" s="2" t="s">
        <v>74</v>
      </c>
      <c r="M973" s="2" t="s">
        <v>74</v>
      </c>
      <c r="N973" s="2" t="s">
        <v>74</v>
      </c>
      <c r="O973" s="2" t="s">
        <v>74</v>
      </c>
      <c r="P973" s="2" t="s">
        <v>74</v>
      </c>
      <c r="Q973" s="2" t="s">
        <v>74</v>
      </c>
      <c r="R973" s="2" t="s">
        <v>74</v>
      </c>
      <c r="S973" s="2" t="s">
        <v>74</v>
      </c>
      <c r="T973" s="2" t="s">
        <v>74</v>
      </c>
      <c r="U973" s="2" t="s">
        <v>74</v>
      </c>
      <c r="V973" s="5" t="s">
        <v>7077</v>
      </c>
      <c r="W973" s="2" t="s">
        <v>74</v>
      </c>
      <c r="X973" s="2" t="s">
        <v>74</v>
      </c>
      <c r="Y973" s="2" t="s">
        <v>74</v>
      </c>
      <c r="Z973" s="2" t="s">
        <v>74</v>
      </c>
      <c r="AA973" s="2" t="s">
        <v>74</v>
      </c>
      <c r="AB973" s="2" t="s">
        <v>74</v>
      </c>
      <c r="AC973" s="2" t="s">
        <v>74</v>
      </c>
      <c r="AD973" s="2" t="s">
        <v>74</v>
      </c>
      <c r="AE973" s="2" t="s">
        <v>74</v>
      </c>
      <c r="AF973" s="2" t="s">
        <v>74</v>
      </c>
      <c r="AG973" s="2" t="s">
        <v>74</v>
      </c>
      <c r="AH973" s="2" t="s">
        <v>74</v>
      </c>
      <c r="AI973" s="2" t="s">
        <v>74</v>
      </c>
      <c r="AJ973" s="2" t="s">
        <v>74</v>
      </c>
      <c r="AK973" s="2" t="s">
        <v>74</v>
      </c>
      <c r="AL973" s="2" t="s">
        <v>74</v>
      </c>
      <c r="AM973" s="2" t="s">
        <v>74</v>
      </c>
      <c r="AN973" s="2" t="s">
        <v>74</v>
      </c>
      <c r="AO973" s="2" t="s">
        <v>5579</v>
      </c>
      <c r="AP973" s="2" t="s">
        <v>74</v>
      </c>
      <c r="AQ973" s="2" t="s">
        <v>74</v>
      </c>
      <c r="AR973" s="2" t="s">
        <v>74</v>
      </c>
      <c r="AS973" s="2" t="s">
        <v>74</v>
      </c>
      <c r="AT973" s="2" t="s">
        <v>204</v>
      </c>
      <c r="AU973" s="2">
        <v>1998</v>
      </c>
      <c r="AV973" s="2">
        <v>77</v>
      </c>
      <c r="AW973" s="2">
        <v>7</v>
      </c>
      <c r="AX973" s="2" t="s">
        <v>74</v>
      </c>
      <c r="AY973" s="2" t="s">
        <v>74</v>
      </c>
      <c r="AZ973" s="2" t="s">
        <v>74</v>
      </c>
      <c r="BA973" s="2" t="s">
        <v>74</v>
      </c>
      <c r="BB973" s="2">
        <v>809</v>
      </c>
      <c r="BC973" s="2">
        <v>817</v>
      </c>
      <c r="BD973" s="2" t="s">
        <v>74</v>
      </c>
      <c r="BE973" s="2" t="s">
        <v>74</v>
      </c>
      <c r="BF973" s="2" t="s">
        <v>74</v>
      </c>
      <c r="BG973" s="2" t="s">
        <v>74</v>
      </c>
      <c r="BH973" s="2" t="s">
        <v>74</v>
      </c>
      <c r="BI973" s="2" t="s">
        <v>74</v>
      </c>
      <c r="BJ973" s="2" t="s">
        <v>74</v>
      </c>
      <c r="BK973" s="2" t="s">
        <v>74</v>
      </c>
      <c r="BL973" s="2" t="s">
        <v>74</v>
      </c>
      <c r="BM973" s="2" t="s">
        <v>74</v>
      </c>
      <c r="BN973" s="2" t="s">
        <v>74</v>
      </c>
      <c r="BO973" s="2" t="s">
        <v>74</v>
      </c>
      <c r="BP973" s="2" t="s">
        <v>74</v>
      </c>
      <c r="BQ973" s="2" t="s">
        <v>74</v>
      </c>
      <c r="BR973" s="2" t="s">
        <v>74</v>
      </c>
      <c r="BS973" s="2" t="s">
        <v>7078</v>
      </c>
      <c r="BT973" s="2" t="str">
        <f>HYPERLINK("https%3A%2F%2Fwww.webofscience.com%2Fwos%2Fwoscc%2Ffull-record%2FWOS:000075812800006","View Full Record in Web of Science")</f>
        <v>View Full Record in Web of Science</v>
      </c>
    </row>
    <row r="974" spans="1:72" s="2" customFormat="1" x14ac:dyDescent="0.4">
      <c r="A974" s="2" t="s">
        <v>72</v>
      </c>
      <c r="B974" s="2" t="s">
        <v>5281</v>
      </c>
      <c r="C974" s="2" t="s">
        <v>74</v>
      </c>
      <c r="D974" s="2" t="s">
        <v>74</v>
      </c>
      <c r="E974" s="2" t="s">
        <v>74</v>
      </c>
      <c r="F974" s="2" t="s">
        <v>5282</v>
      </c>
      <c r="G974" s="2" t="s">
        <v>74</v>
      </c>
      <c r="H974" s="2" t="s">
        <v>74</v>
      </c>
      <c r="I974" s="2" t="s">
        <v>5283</v>
      </c>
      <c r="J974" s="2" t="s">
        <v>171</v>
      </c>
      <c r="K974" s="2" t="s">
        <v>74</v>
      </c>
      <c r="L974" s="2" t="s">
        <v>74</v>
      </c>
      <c r="M974" s="2" t="s">
        <v>74</v>
      </c>
      <c r="N974" s="2" t="s">
        <v>74</v>
      </c>
      <c r="O974" s="2" t="s">
        <v>74</v>
      </c>
      <c r="P974" s="2" t="s">
        <v>74</v>
      </c>
      <c r="Q974" s="2" t="s">
        <v>74</v>
      </c>
      <c r="R974" s="2" t="s">
        <v>74</v>
      </c>
      <c r="S974" s="2" t="s">
        <v>74</v>
      </c>
      <c r="T974" s="2" t="s">
        <v>74</v>
      </c>
      <c r="U974" s="2" t="s">
        <v>74</v>
      </c>
      <c r="V974" s="5" t="s">
        <v>5284</v>
      </c>
      <c r="W974" s="2" t="s">
        <v>74</v>
      </c>
      <c r="X974" s="2" t="s">
        <v>74</v>
      </c>
      <c r="Y974" s="2" t="s">
        <v>74</v>
      </c>
      <c r="Z974" s="2" t="s">
        <v>74</v>
      </c>
      <c r="AA974" s="2" t="s">
        <v>5285</v>
      </c>
      <c r="AB974" s="2" t="s">
        <v>5286</v>
      </c>
      <c r="AC974" s="2" t="s">
        <v>74</v>
      </c>
      <c r="AD974" s="2" t="s">
        <v>74</v>
      </c>
      <c r="AE974" s="2" t="s">
        <v>74</v>
      </c>
      <c r="AF974" s="2" t="s">
        <v>74</v>
      </c>
      <c r="AG974" s="2" t="s">
        <v>74</v>
      </c>
      <c r="AH974" s="2" t="s">
        <v>74</v>
      </c>
      <c r="AI974" s="2" t="s">
        <v>74</v>
      </c>
      <c r="AJ974" s="2" t="s">
        <v>74</v>
      </c>
      <c r="AK974" s="2" t="s">
        <v>74</v>
      </c>
      <c r="AL974" s="2" t="s">
        <v>74</v>
      </c>
      <c r="AM974" s="2" t="s">
        <v>74</v>
      </c>
      <c r="AN974" s="2" t="s">
        <v>74</v>
      </c>
      <c r="AO974" s="2" t="s">
        <v>173</v>
      </c>
      <c r="AP974" s="2" t="s">
        <v>174</v>
      </c>
      <c r="AQ974" s="2" t="s">
        <v>74</v>
      </c>
      <c r="AR974" s="2" t="s">
        <v>74</v>
      </c>
      <c r="AS974" s="2" t="s">
        <v>74</v>
      </c>
      <c r="AT974" s="2" t="s">
        <v>305</v>
      </c>
      <c r="AU974" s="2">
        <v>2009</v>
      </c>
      <c r="AV974" s="2">
        <v>63</v>
      </c>
      <c r="AW974" s="2">
        <v>12</v>
      </c>
      <c r="AX974" s="2" t="s">
        <v>74</v>
      </c>
      <c r="AY974" s="2" t="s">
        <v>74</v>
      </c>
      <c r="AZ974" s="2" t="s">
        <v>74</v>
      </c>
      <c r="BA974" s="2" t="s">
        <v>74</v>
      </c>
      <c r="BB974" s="2">
        <v>3106</v>
      </c>
      <c r="BC974" s="2">
        <v>3113</v>
      </c>
      <c r="BD974" s="2" t="s">
        <v>74</v>
      </c>
      <c r="BE974" s="2" t="s">
        <v>5287</v>
      </c>
      <c r="BF974" s="2" t="str">
        <f>HYPERLINK("http://dx.doi.org/10.1111/j.1558-5646.2009.00833.x","http://dx.doi.org/10.1111/j.1558-5646.2009.00833.x")</f>
        <v>http://dx.doi.org/10.1111/j.1558-5646.2009.00833.x</v>
      </c>
      <c r="BG974" s="2" t="s">
        <v>74</v>
      </c>
      <c r="BH974" s="2" t="s">
        <v>74</v>
      </c>
      <c r="BI974" s="2" t="s">
        <v>74</v>
      </c>
      <c r="BJ974" s="2" t="s">
        <v>74</v>
      </c>
      <c r="BK974" s="2" t="s">
        <v>74</v>
      </c>
      <c r="BL974" s="2" t="s">
        <v>74</v>
      </c>
      <c r="BM974" s="2" t="s">
        <v>74</v>
      </c>
      <c r="BN974" s="2">
        <v>19744121</v>
      </c>
      <c r="BO974" s="2" t="s">
        <v>74</v>
      </c>
      <c r="BP974" s="2" t="s">
        <v>74</v>
      </c>
      <c r="BQ974" s="2" t="s">
        <v>74</v>
      </c>
      <c r="BR974" s="2" t="s">
        <v>74</v>
      </c>
      <c r="BS974" s="2" t="s">
        <v>5288</v>
      </c>
      <c r="BT974" s="2" t="str">
        <f>HYPERLINK("https%3A%2F%2Fwww.webofscience.com%2Fwos%2Fwoscc%2Ffull-record%2FWOS:000271973600007","View Full Record in Web of Science")</f>
        <v>View Full Record in Web of Science</v>
      </c>
    </row>
    <row r="975" spans="1:72" s="2" customFormat="1" x14ac:dyDescent="0.4">
      <c r="A975" s="2" t="s">
        <v>72</v>
      </c>
      <c r="B975" s="2" t="s">
        <v>7960</v>
      </c>
      <c r="C975" s="2" t="s">
        <v>74</v>
      </c>
      <c r="D975" s="2" t="s">
        <v>74</v>
      </c>
      <c r="E975" s="2" t="s">
        <v>74</v>
      </c>
      <c r="F975" s="2" t="s">
        <v>7961</v>
      </c>
      <c r="G975" s="2" t="s">
        <v>74</v>
      </c>
      <c r="H975" s="2" t="s">
        <v>74</v>
      </c>
      <c r="I975" s="2" t="s">
        <v>7962</v>
      </c>
      <c r="J975" s="2" t="s">
        <v>2847</v>
      </c>
      <c r="K975" s="2" t="s">
        <v>74</v>
      </c>
      <c r="L975" s="2" t="s">
        <v>74</v>
      </c>
      <c r="M975" s="2" t="s">
        <v>74</v>
      </c>
      <c r="N975" s="2" t="s">
        <v>74</v>
      </c>
      <c r="O975" s="2" t="s">
        <v>74</v>
      </c>
      <c r="P975" s="2" t="s">
        <v>74</v>
      </c>
      <c r="Q975" s="2" t="s">
        <v>74</v>
      </c>
      <c r="R975" s="2" t="s">
        <v>74</v>
      </c>
      <c r="S975" s="2" t="s">
        <v>74</v>
      </c>
      <c r="T975" s="2" t="s">
        <v>74</v>
      </c>
      <c r="U975" s="2" t="s">
        <v>74</v>
      </c>
      <c r="V975" s="5" t="s">
        <v>7963</v>
      </c>
      <c r="W975" s="2" t="s">
        <v>74</v>
      </c>
      <c r="X975" s="2" t="s">
        <v>74</v>
      </c>
      <c r="Y975" s="2" t="s">
        <v>74</v>
      </c>
      <c r="Z975" s="2" t="s">
        <v>74</v>
      </c>
      <c r="AA975" s="2" t="s">
        <v>74</v>
      </c>
      <c r="AB975" s="2" t="s">
        <v>74</v>
      </c>
      <c r="AC975" s="2" t="s">
        <v>74</v>
      </c>
      <c r="AD975" s="2" t="s">
        <v>74</v>
      </c>
      <c r="AE975" s="2" t="s">
        <v>74</v>
      </c>
      <c r="AF975" s="2" t="s">
        <v>74</v>
      </c>
      <c r="AG975" s="2" t="s">
        <v>74</v>
      </c>
      <c r="AH975" s="2" t="s">
        <v>74</v>
      </c>
      <c r="AI975" s="2" t="s">
        <v>74</v>
      </c>
      <c r="AJ975" s="2" t="s">
        <v>74</v>
      </c>
      <c r="AK975" s="2" t="s">
        <v>74</v>
      </c>
      <c r="AL975" s="2" t="s">
        <v>74</v>
      </c>
      <c r="AM975" s="2" t="s">
        <v>74</v>
      </c>
      <c r="AN975" s="2" t="s">
        <v>74</v>
      </c>
      <c r="AO975" s="2" t="s">
        <v>2849</v>
      </c>
      <c r="AP975" s="2" t="s">
        <v>2850</v>
      </c>
      <c r="AQ975" s="2" t="s">
        <v>74</v>
      </c>
      <c r="AR975" s="2" t="s">
        <v>74</v>
      </c>
      <c r="AS975" s="2" t="s">
        <v>74</v>
      </c>
      <c r="AT975" s="2" t="s">
        <v>1013</v>
      </c>
      <c r="AU975" s="2">
        <v>2020</v>
      </c>
      <c r="AV975" s="2">
        <v>530</v>
      </c>
      <c r="AW975" s="2" t="s">
        <v>74</v>
      </c>
      <c r="AX975" s="2" t="s">
        <v>74</v>
      </c>
      <c r="AY975" s="2" t="s">
        <v>74</v>
      </c>
      <c r="AZ975" s="2" t="s">
        <v>74</v>
      </c>
      <c r="BA975" s="2" t="s">
        <v>74</v>
      </c>
      <c r="BB975" s="2" t="s">
        <v>74</v>
      </c>
      <c r="BC975" s="2" t="s">
        <v>74</v>
      </c>
      <c r="BD975" s="2">
        <v>151430</v>
      </c>
      <c r="BE975" s="2" t="s">
        <v>7964</v>
      </c>
      <c r="BF975" s="2" t="str">
        <f>HYPERLINK("http://dx.doi.org/10.1016/j.jembe.2020.151430","http://dx.doi.org/10.1016/j.jembe.2020.151430")</f>
        <v>http://dx.doi.org/10.1016/j.jembe.2020.151430</v>
      </c>
      <c r="BG975" s="2" t="s">
        <v>74</v>
      </c>
      <c r="BH975" s="2" t="s">
        <v>74</v>
      </c>
      <c r="BI975" s="2" t="s">
        <v>74</v>
      </c>
      <c r="BJ975" s="2" t="s">
        <v>74</v>
      </c>
      <c r="BK975" s="2" t="s">
        <v>74</v>
      </c>
      <c r="BL975" s="2" t="s">
        <v>74</v>
      </c>
      <c r="BM975" s="2" t="s">
        <v>74</v>
      </c>
      <c r="BN975" s="2" t="s">
        <v>74</v>
      </c>
      <c r="BO975" s="2" t="s">
        <v>74</v>
      </c>
      <c r="BP975" s="2" t="s">
        <v>74</v>
      </c>
      <c r="BQ975" s="2" t="s">
        <v>74</v>
      </c>
      <c r="BR975" s="2" t="s">
        <v>74</v>
      </c>
      <c r="BS975" s="2" t="s">
        <v>7965</v>
      </c>
      <c r="BT975" s="2" t="str">
        <f>HYPERLINK("https%3A%2F%2Fwww.webofscience.com%2Fwos%2Fwoscc%2Ffull-record%2FWOS:000562582100021","View Full Record in Web of Science")</f>
        <v>View Full Record in Web of Science</v>
      </c>
    </row>
    <row r="976" spans="1:72" s="2" customFormat="1" x14ac:dyDescent="0.4">
      <c r="A976" s="2" t="s">
        <v>72</v>
      </c>
      <c r="B976" s="2" t="s">
        <v>5348</v>
      </c>
      <c r="C976" s="2" t="s">
        <v>74</v>
      </c>
      <c r="D976" s="2" t="s">
        <v>74</v>
      </c>
      <c r="E976" s="2" t="s">
        <v>74</v>
      </c>
      <c r="F976" s="2" t="s">
        <v>5348</v>
      </c>
      <c r="G976" s="2" t="s">
        <v>74</v>
      </c>
      <c r="H976" s="2" t="s">
        <v>74</v>
      </c>
      <c r="I976" s="2" t="s">
        <v>5349</v>
      </c>
      <c r="J976" s="2" t="s">
        <v>129</v>
      </c>
      <c r="K976" s="2" t="s">
        <v>74</v>
      </c>
      <c r="L976" s="2" t="s">
        <v>74</v>
      </c>
      <c r="M976" s="2" t="s">
        <v>74</v>
      </c>
      <c r="N976" s="2" t="s">
        <v>74</v>
      </c>
      <c r="O976" s="2" t="s">
        <v>74</v>
      </c>
      <c r="P976" s="2" t="s">
        <v>74</v>
      </c>
      <c r="Q976" s="2" t="s">
        <v>74</v>
      </c>
      <c r="R976" s="2" t="s">
        <v>74</v>
      </c>
      <c r="S976" s="2" t="s">
        <v>74</v>
      </c>
      <c r="T976" s="2" t="s">
        <v>74</v>
      </c>
      <c r="U976" s="2" t="s">
        <v>74</v>
      </c>
      <c r="V976" s="5" t="s">
        <v>5350</v>
      </c>
      <c r="W976" s="2" t="s">
        <v>74</v>
      </c>
      <c r="X976" s="2" t="s">
        <v>74</v>
      </c>
      <c r="Y976" s="2" t="s">
        <v>74</v>
      </c>
      <c r="Z976" s="2" t="s">
        <v>74</v>
      </c>
      <c r="AA976" s="2" t="s">
        <v>5351</v>
      </c>
      <c r="AB976" s="2" t="s">
        <v>5352</v>
      </c>
      <c r="AC976" s="2" t="s">
        <v>74</v>
      </c>
      <c r="AD976" s="2" t="s">
        <v>74</v>
      </c>
      <c r="AE976" s="2" t="s">
        <v>74</v>
      </c>
      <c r="AF976" s="2" t="s">
        <v>74</v>
      </c>
      <c r="AG976" s="2" t="s">
        <v>74</v>
      </c>
      <c r="AH976" s="2" t="s">
        <v>74</v>
      </c>
      <c r="AI976" s="2" t="s">
        <v>74</v>
      </c>
      <c r="AJ976" s="2" t="s">
        <v>74</v>
      </c>
      <c r="AK976" s="2" t="s">
        <v>74</v>
      </c>
      <c r="AL976" s="2" t="s">
        <v>74</v>
      </c>
      <c r="AM976" s="2" t="s">
        <v>74</v>
      </c>
      <c r="AN976" s="2" t="s">
        <v>74</v>
      </c>
      <c r="AO976" s="2" t="s">
        <v>132</v>
      </c>
      <c r="AP976" s="2" t="s">
        <v>133</v>
      </c>
      <c r="AQ976" s="2" t="s">
        <v>74</v>
      </c>
      <c r="AR976" s="2" t="s">
        <v>74</v>
      </c>
      <c r="AS976" s="2" t="s">
        <v>74</v>
      </c>
      <c r="AT976" s="2" t="s">
        <v>123</v>
      </c>
      <c r="AU976" s="2">
        <v>2006</v>
      </c>
      <c r="AV976" s="2">
        <v>59</v>
      </c>
      <c r="AW976" s="2">
        <v>5</v>
      </c>
      <c r="AX976" s="2" t="s">
        <v>74</v>
      </c>
      <c r="AY976" s="2" t="s">
        <v>74</v>
      </c>
      <c r="AZ976" s="2" t="s">
        <v>74</v>
      </c>
      <c r="BA976" s="2" t="s">
        <v>74</v>
      </c>
      <c r="BB976" s="2">
        <v>651</v>
      </c>
      <c r="BC976" s="2">
        <v>656</v>
      </c>
      <c r="BD976" s="2" t="s">
        <v>74</v>
      </c>
      <c r="BE976" s="2" t="s">
        <v>5353</v>
      </c>
      <c r="BF976" s="2" t="str">
        <f>HYPERLINK("http://dx.doi.org/10.1007/s00265-005-0092-x","http://dx.doi.org/10.1007/s00265-005-0092-x")</f>
        <v>http://dx.doi.org/10.1007/s00265-005-0092-x</v>
      </c>
      <c r="BG976" s="2" t="s">
        <v>74</v>
      </c>
      <c r="BH976" s="2" t="s">
        <v>74</v>
      </c>
      <c r="BI976" s="2" t="s">
        <v>74</v>
      </c>
      <c r="BJ976" s="2" t="s">
        <v>74</v>
      </c>
      <c r="BK976" s="2" t="s">
        <v>74</v>
      </c>
      <c r="BL976" s="2" t="s">
        <v>74</v>
      </c>
      <c r="BM976" s="2" t="s">
        <v>74</v>
      </c>
      <c r="BN976" s="2" t="s">
        <v>74</v>
      </c>
      <c r="BO976" s="2" t="s">
        <v>74</v>
      </c>
      <c r="BP976" s="2" t="s">
        <v>74</v>
      </c>
      <c r="BQ976" s="2" t="s">
        <v>74</v>
      </c>
      <c r="BR976" s="2" t="s">
        <v>74</v>
      </c>
      <c r="BS976" s="2" t="s">
        <v>5354</v>
      </c>
      <c r="BT976" s="2" t="str">
        <f>HYPERLINK("https%3A%2F%2Fwww.webofscience.com%2Fwos%2Fwoscc%2Ffull-record%2FWOS:000235219700008","View Full Record in Web of Science")</f>
        <v>View Full Record in Web of Science</v>
      </c>
    </row>
    <row r="977" spans="1:72" s="2" customFormat="1" x14ac:dyDescent="0.4">
      <c r="A977" s="2" t="s">
        <v>72</v>
      </c>
      <c r="B977" s="2" t="s">
        <v>5760</v>
      </c>
      <c r="C977" s="2" t="s">
        <v>74</v>
      </c>
      <c r="D977" s="2" t="s">
        <v>74</v>
      </c>
      <c r="E977" s="2" t="s">
        <v>74</v>
      </c>
      <c r="F977" s="2" t="s">
        <v>5760</v>
      </c>
      <c r="G977" s="2" t="s">
        <v>74</v>
      </c>
      <c r="H977" s="2" t="s">
        <v>74</v>
      </c>
      <c r="I977" s="2" t="s">
        <v>5761</v>
      </c>
      <c r="J977" s="2" t="s">
        <v>4655</v>
      </c>
      <c r="K977" s="2" t="s">
        <v>74</v>
      </c>
      <c r="L977" s="2" t="s">
        <v>74</v>
      </c>
      <c r="M977" s="2" t="s">
        <v>74</v>
      </c>
      <c r="N977" s="2" t="s">
        <v>74</v>
      </c>
      <c r="O977" s="2" t="s">
        <v>74</v>
      </c>
      <c r="P977" s="2" t="s">
        <v>74</v>
      </c>
      <c r="Q977" s="2" t="s">
        <v>74</v>
      </c>
      <c r="R977" s="2" t="s">
        <v>74</v>
      </c>
      <c r="S977" s="2" t="s">
        <v>74</v>
      </c>
      <c r="T977" s="2" t="s">
        <v>74</v>
      </c>
      <c r="U977" s="2" t="s">
        <v>74</v>
      </c>
      <c r="V977" s="5" t="s">
        <v>5762</v>
      </c>
      <c r="W977" s="2" t="s">
        <v>74</v>
      </c>
      <c r="X977" s="2" t="s">
        <v>74</v>
      </c>
      <c r="Y977" s="2" t="s">
        <v>74</v>
      </c>
      <c r="Z977" s="2" t="s">
        <v>74</v>
      </c>
      <c r="AA977" s="2" t="s">
        <v>74</v>
      </c>
      <c r="AB977" s="2" t="s">
        <v>74</v>
      </c>
      <c r="AC977" s="2" t="s">
        <v>74</v>
      </c>
      <c r="AD977" s="2" t="s">
        <v>74</v>
      </c>
      <c r="AE977" s="2" t="s">
        <v>74</v>
      </c>
      <c r="AF977" s="2" t="s">
        <v>74</v>
      </c>
      <c r="AG977" s="2" t="s">
        <v>74</v>
      </c>
      <c r="AH977" s="2" t="s">
        <v>74</v>
      </c>
      <c r="AI977" s="2" t="s">
        <v>74</v>
      </c>
      <c r="AJ977" s="2" t="s">
        <v>74</v>
      </c>
      <c r="AK977" s="2" t="s">
        <v>74</v>
      </c>
      <c r="AL977" s="2" t="s">
        <v>74</v>
      </c>
      <c r="AM977" s="2" t="s">
        <v>74</v>
      </c>
      <c r="AN977" s="2" t="s">
        <v>74</v>
      </c>
      <c r="AO977" s="2" t="s">
        <v>4657</v>
      </c>
      <c r="AP977" s="2" t="s">
        <v>74</v>
      </c>
      <c r="AQ977" s="2" t="s">
        <v>74</v>
      </c>
      <c r="AR977" s="2" t="s">
        <v>74</v>
      </c>
      <c r="AS977" s="2" t="s">
        <v>74</v>
      </c>
      <c r="AT977" s="2" t="s">
        <v>305</v>
      </c>
      <c r="AU977" s="2">
        <v>1986</v>
      </c>
      <c r="AV977" s="2">
        <v>98</v>
      </c>
      <c r="AW977" s="2">
        <v>4</v>
      </c>
      <c r="AX977" s="2" t="s">
        <v>74</v>
      </c>
      <c r="AY977" s="2" t="s">
        <v>74</v>
      </c>
      <c r="AZ977" s="2" t="s">
        <v>74</v>
      </c>
      <c r="BA977" s="2" t="s">
        <v>74</v>
      </c>
      <c r="BB977" s="2">
        <v>571</v>
      </c>
      <c r="BC977" s="2">
        <v>580</v>
      </c>
      <c r="BD977" s="2" t="s">
        <v>74</v>
      </c>
      <c r="BE977" s="2" t="s">
        <v>74</v>
      </c>
      <c r="BF977" s="2" t="s">
        <v>74</v>
      </c>
      <c r="BG977" s="2" t="s">
        <v>74</v>
      </c>
      <c r="BH977" s="2" t="s">
        <v>74</v>
      </c>
      <c r="BI977" s="2" t="s">
        <v>74</v>
      </c>
      <c r="BJ977" s="2" t="s">
        <v>74</v>
      </c>
      <c r="BK977" s="2" t="s">
        <v>74</v>
      </c>
      <c r="BL977" s="2" t="s">
        <v>74</v>
      </c>
      <c r="BM977" s="2" t="s">
        <v>74</v>
      </c>
      <c r="BN977" s="2" t="s">
        <v>74</v>
      </c>
      <c r="BO977" s="2" t="s">
        <v>74</v>
      </c>
      <c r="BP977" s="2" t="s">
        <v>74</v>
      </c>
      <c r="BQ977" s="2" t="s">
        <v>74</v>
      </c>
      <c r="BR977" s="2" t="s">
        <v>74</v>
      </c>
      <c r="BS977" s="2" t="s">
        <v>5763</v>
      </c>
      <c r="BT977" s="2" t="str">
        <f>HYPERLINK("https%3A%2F%2Fwww.webofscience.com%2Fwos%2Fwoscc%2Ffull-record%2FWOS:A1986F283900007","View Full Record in Web of Science")</f>
        <v>View Full Record in Web of Science</v>
      </c>
    </row>
    <row r="978" spans="1:72" s="2" customFormat="1" x14ac:dyDescent="0.4">
      <c r="A978" s="2" t="s">
        <v>72</v>
      </c>
      <c r="B978" s="2" t="s">
        <v>7303</v>
      </c>
      <c r="C978" s="2" t="s">
        <v>74</v>
      </c>
      <c r="D978" s="2" t="s">
        <v>74</v>
      </c>
      <c r="E978" s="2" t="s">
        <v>74</v>
      </c>
      <c r="F978" s="2" t="s">
        <v>7304</v>
      </c>
      <c r="G978" s="2" t="s">
        <v>74</v>
      </c>
      <c r="H978" s="2" t="s">
        <v>74</v>
      </c>
      <c r="I978" s="2" t="s">
        <v>7305</v>
      </c>
      <c r="J978" s="2" t="s">
        <v>4114</v>
      </c>
      <c r="K978" s="2" t="s">
        <v>74</v>
      </c>
      <c r="L978" s="2" t="s">
        <v>74</v>
      </c>
      <c r="M978" s="2" t="s">
        <v>74</v>
      </c>
      <c r="N978" s="2" t="s">
        <v>74</v>
      </c>
      <c r="O978" s="2" t="s">
        <v>74</v>
      </c>
      <c r="P978" s="2" t="s">
        <v>74</v>
      </c>
      <c r="Q978" s="2" t="s">
        <v>74</v>
      </c>
      <c r="R978" s="2" t="s">
        <v>74</v>
      </c>
      <c r="S978" s="2" t="s">
        <v>74</v>
      </c>
      <c r="T978" s="2" t="s">
        <v>74</v>
      </c>
      <c r="U978" s="2" t="s">
        <v>74</v>
      </c>
      <c r="V978" s="5" t="s">
        <v>7306</v>
      </c>
      <c r="W978" s="2" t="s">
        <v>74</v>
      </c>
      <c r="X978" s="2" t="s">
        <v>74</v>
      </c>
      <c r="Y978" s="2" t="s">
        <v>74</v>
      </c>
      <c r="Z978" s="2" t="s">
        <v>74</v>
      </c>
      <c r="AA978" s="2" t="s">
        <v>7307</v>
      </c>
      <c r="AB978" s="2" t="s">
        <v>7308</v>
      </c>
      <c r="AC978" s="2" t="s">
        <v>74</v>
      </c>
      <c r="AD978" s="2" t="s">
        <v>74</v>
      </c>
      <c r="AE978" s="2" t="s">
        <v>74</v>
      </c>
      <c r="AF978" s="2" t="s">
        <v>74</v>
      </c>
      <c r="AG978" s="2" t="s">
        <v>74</v>
      </c>
      <c r="AH978" s="2" t="s">
        <v>74</v>
      </c>
      <c r="AI978" s="2" t="s">
        <v>74</v>
      </c>
      <c r="AJ978" s="2" t="s">
        <v>74</v>
      </c>
      <c r="AK978" s="2" t="s">
        <v>74</v>
      </c>
      <c r="AL978" s="2" t="s">
        <v>74</v>
      </c>
      <c r="AM978" s="2" t="s">
        <v>74</v>
      </c>
      <c r="AN978" s="2" t="s">
        <v>74</v>
      </c>
      <c r="AO978" s="2" t="s">
        <v>4116</v>
      </c>
      <c r="AP978" s="2" t="s">
        <v>4117</v>
      </c>
      <c r="AQ978" s="2" t="s">
        <v>74</v>
      </c>
      <c r="AR978" s="2" t="s">
        <v>74</v>
      </c>
      <c r="AS978" s="2" t="s">
        <v>74</v>
      </c>
      <c r="AT978" s="2" t="s">
        <v>145</v>
      </c>
      <c r="AU978" s="2">
        <v>2016</v>
      </c>
      <c r="AV978" s="2">
        <v>41</v>
      </c>
      <c r="AW978" s="2">
        <v>4</v>
      </c>
      <c r="AX978" s="2" t="s">
        <v>74</v>
      </c>
      <c r="AY978" s="2" t="s">
        <v>74</v>
      </c>
      <c r="AZ978" s="2" t="s">
        <v>74</v>
      </c>
      <c r="BA978" s="2" t="s">
        <v>74</v>
      </c>
      <c r="BB978" s="2">
        <v>451</v>
      </c>
      <c r="BC978" s="2">
        <v>458</v>
      </c>
      <c r="BD978" s="2" t="s">
        <v>74</v>
      </c>
      <c r="BE978" s="2" t="s">
        <v>7309</v>
      </c>
      <c r="BF978" s="2" t="str">
        <f>HYPERLINK("http://dx.doi.org/10.1111/een.12315","http://dx.doi.org/10.1111/een.12315")</f>
        <v>http://dx.doi.org/10.1111/een.12315</v>
      </c>
      <c r="BG978" s="2" t="s">
        <v>74</v>
      </c>
      <c r="BH978" s="2" t="s">
        <v>74</v>
      </c>
      <c r="BI978" s="2" t="s">
        <v>74</v>
      </c>
      <c r="BJ978" s="2" t="s">
        <v>74</v>
      </c>
      <c r="BK978" s="2" t="s">
        <v>74</v>
      </c>
      <c r="BL978" s="2" t="s">
        <v>74</v>
      </c>
      <c r="BM978" s="2" t="s">
        <v>74</v>
      </c>
      <c r="BN978" s="2" t="s">
        <v>74</v>
      </c>
      <c r="BO978" s="2" t="s">
        <v>74</v>
      </c>
      <c r="BP978" s="2" t="s">
        <v>74</v>
      </c>
      <c r="BQ978" s="2" t="s">
        <v>74</v>
      </c>
      <c r="BR978" s="2" t="s">
        <v>74</v>
      </c>
      <c r="BS978" s="2" t="s">
        <v>7310</v>
      </c>
      <c r="BT978" s="2" t="str">
        <f>HYPERLINK("https%3A%2F%2Fwww.webofscience.com%2Fwos%2Fwoscc%2Ffull-record%2FWOS:000379942700010","View Full Record in Web of Science")</f>
        <v>View Full Record in Web of Science</v>
      </c>
    </row>
    <row r="979" spans="1:72" s="7" customFormat="1" x14ac:dyDescent="0.4">
      <c r="A979" s="2" t="s">
        <v>72</v>
      </c>
      <c r="B979" s="2" t="s">
        <v>3159</v>
      </c>
      <c r="C979" s="2" t="s">
        <v>74</v>
      </c>
      <c r="D979" s="2" t="s">
        <v>74</v>
      </c>
      <c r="E979" s="2" t="s">
        <v>74</v>
      </c>
      <c r="F979" s="2" t="s">
        <v>3160</v>
      </c>
      <c r="G979" s="2" t="s">
        <v>74</v>
      </c>
      <c r="H979" s="2" t="s">
        <v>74</v>
      </c>
      <c r="I979" s="2" t="s">
        <v>3161</v>
      </c>
      <c r="J979" s="2" t="s">
        <v>201</v>
      </c>
      <c r="K979" s="2" t="s">
        <v>74</v>
      </c>
      <c r="L979" s="2" t="s">
        <v>74</v>
      </c>
      <c r="M979" s="2" t="s">
        <v>74</v>
      </c>
      <c r="N979" s="2" t="s">
        <v>74</v>
      </c>
      <c r="O979" s="2" t="s">
        <v>74</v>
      </c>
      <c r="P979" s="2" t="s">
        <v>74</v>
      </c>
      <c r="Q979" s="2" t="s">
        <v>74</v>
      </c>
      <c r="R979" s="2" t="s">
        <v>74</v>
      </c>
      <c r="S979" s="2" t="s">
        <v>74</v>
      </c>
      <c r="T979" s="2" t="s">
        <v>74</v>
      </c>
      <c r="U979" s="2" t="s">
        <v>74</v>
      </c>
      <c r="V979" s="5" t="s">
        <v>3162</v>
      </c>
      <c r="W979" s="2" t="s">
        <v>74</v>
      </c>
      <c r="X979" s="2" t="s">
        <v>74</v>
      </c>
      <c r="Y979" s="2" t="s">
        <v>74</v>
      </c>
      <c r="Z979" s="2" t="s">
        <v>74</v>
      </c>
      <c r="AA979" s="2" t="s">
        <v>3163</v>
      </c>
      <c r="AB979" s="2" t="s">
        <v>3164</v>
      </c>
      <c r="AC979" s="2" t="s">
        <v>74</v>
      </c>
      <c r="AD979" s="2" t="s">
        <v>74</v>
      </c>
      <c r="AE979" s="2" t="s">
        <v>74</v>
      </c>
      <c r="AF979" s="2" t="s">
        <v>74</v>
      </c>
      <c r="AG979" s="2" t="s">
        <v>74</v>
      </c>
      <c r="AH979" s="2" t="s">
        <v>74</v>
      </c>
      <c r="AI979" s="2" t="s">
        <v>74</v>
      </c>
      <c r="AJ979" s="2" t="s">
        <v>74</v>
      </c>
      <c r="AK979" s="2" t="s">
        <v>74</v>
      </c>
      <c r="AL979" s="2" t="s">
        <v>74</v>
      </c>
      <c r="AM979" s="2" t="s">
        <v>74</v>
      </c>
      <c r="AN979" s="2" t="s">
        <v>74</v>
      </c>
      <c r="AO979" s="2" t="s">
        <v>203</v>
      </c>
      <c r="AP979" s="2" t="s">
        <v>1192</v>
      </c>
      <c r="AQ979" s="2" t="s">
        <v>74</v>
      </c>
      <c r="AR979" s="2" t="s">
        <v>74</v>
      </c>
      <c r="AS979" s="2" t="s">
        <v>74</v>
      </c>
      <c r="AT979" s="2" t="s">
        <v>123</v>
      </c>
      <c r="AU979" s="2">
        <v>2015</v>
      </c>
      <c r="AV979" s="2">
        <v>86</v>
      </c>
      <c r="AW979" s="2">
        <v>3</v>
      </c>
      <c r="AX979" s="2" t="s">
        <v>74</v>
      </c>
      <c r="AY979" s="2" t="s">
        <v>74</v>
      </c>
      <c r="AZ979" s="2" t="s">
        <v>74</v>
      </c>
      <c r="BA979" s="2" t="s">
        <v>74</v>
      </c>
      <c r="BB979" s="2">
        <v>1109</v>
      </c>
      <c r="BC979" s="2">
        <v>1120</v>
      </c>
      <c r="BD979" s="2" t="s">
        <v>74</v>
      </c>
      <c r="BE979" s="2" t="s">
        <v>3165</v>
      </c>
      <c r="BF979" s="2" t="str">
        <f>HYPERLINK("http://dx.doi.org/10.1111/jfb.12618","http://dx.doi.org/10.1111/jfb.12618")</f>
        <v>http://dx.doi.org/10.1111/jfb.12618</v>
      </c>
      <c r="BG979" s="2" t="s">
        <v>74</v>
      </c>
      <c r="BH979" s="2" t="s">
        <v>74</v>
      </c>
      <c r="BI979" s="2" t="s">
        <v>74</v>
      </c>
      <c r="BJ979" s="2" t="s">
        <v>74</v>
      </c>
      <c r="BK979" s="2" t="s">
        <v>74</v>
      </c>
      <c r="BL979" s="2" t="s">
        <v>74</v>
      </c>
      <c r="BM979" s="2" t="s">
        <v>74</v>
      </c>
      <c r="BN979" s="2">
        <v>25619403</v>
      </c>
      <c r="BO979" s="2" t="s">
        <v>74</v>
      </c>
      <c r="BP979" s="2" t="s">
        <v>74</v>
      </c>
      <c r="BQ979" s="2" t="s">
        <v>74</v>
      </c>
      <c r="BR979" s="2" t="s">
        <v>74</v>
      </c>
      <c r="BS979" s="2" t="s">
        <v>3166</v>
      </c>
      <c r="BT979" s="2" t="str">
        <f>HYPERLINK("https%3A%2F%2Fwww.webofscience.com%2Fwos%2Fwoscc%2Ffull-record%2FWOS:000351356700014","View Full Record in Web of Science")</f>
        <v>View Full Record in Web of Science</v>
      </c>
    </row>
    <row r="980" spans="1:72" s="2" customFormat="1" x14ac:dyDescent="0.4">
      <c r="A980" s="2" t="s">
        <v>72</v>
      </c>
      <c r="B980" s="2" t="s">
        <v>4927</v>
      </c>
      <c r="C980" s="2" t="s">
        <v>74</v>
      </c>
      <c r="D980" s="2" t="s">
        <v>74</v>
      </c>
      <c r="E980" s="2" t="s">
        <v>74</v>
      </c>
      <c r="F980" s="2" t="s">
        <v>4927</v>
      </c>
      <c r="G980" s="2" t="s">
        <v>74</v>
      </c>
      <c r="H980" s="2" t="s">
        <v>74</v>
      </c>
      <c r="I980" s="2" t="s">
        <v>4928</v>
      </c>
      <c r="J980" s="2" t="s">
        <v>140</v>
      </c>
      <c r="K980" s="2" t="s">
        <v>74</v>
      </c>
      <c r="L980" s="2" t="s">
        <v>74</v>
      </c>
      <c r="M980" s="2" t="s">
        <v>74</v>
      </c>
      <c r="N980" s="2" t="s">
        <v>74</v>
      </c>
      <c r="O980" s="2" t="s">
        <v>74</v>
      </c>
      <c r="P980" s="2" t="s">
        <v>74</v>
      </c>
      <c r="Q980" s="2" t="s">
        <v>74</v>
      </c>
      <c r="R980" s="2" t="s">
        <v>74</v>
      </c>
      <c r="S980" s="2" t="s">
        <v>74</v>
      </c>
      <c r="T980" s="2" t="s">
        <v>74</v>
      </c>
      <c r="U980" s="2" t="s">
        <v>74</v>
      </c>
      <c r="V980" s="5" t="s">
        <v>4929</v>
      </c>
      <c r="W980" s="2" t="s">
        <v>74</v>
      </c>
      <c r="X980" s="2" t="s">
        <v>74</v>
      </c>
      <c r="Y980" s="2" t="s">
        <v>74</v>
      </c>
      <c r="Z980" s="2" t="s">
        <v>74</v>
      </c>
      <c r="AA980" s="2" t="s">
        <v>74</v>
      </c>
      <c r="AB980" s="2" t="s">
        <v>74</v>
      </c>
      <c r="AC980" s="2" t="s">
        <v>74</v>
      </c>
      <c r="AD980" s="2" t="s">
        <v>74</v>
      </c>
      <c r="AE980" s="2" t="s">
        <v>74</v>
      </c>
      <c r="AF980" s="2" t="s">
        <v>74</v>
      </c>
      <c r="AG980" s="2" t="s">
        <v>74</v>
      </c>
      <c r="AH980" s="2" t="s">
        <v>74</v>
      </c>
      <c r="AI980" s="2" t="s">
        <v>74</v>
      </c>
      <c r="AJ980" s="2" t="s">
        <v>74</v>
      </c>
      <c r="AK980" s="2" t="s">
        <v>74</v>
      </c>
      <c r="AL980" s="2" t="s">
        <v>74</v>
      </c>
      <c r="AM980" s="2" t="s">
        <v>74</v>
      </c>
      <c r="AN980" s="2" t="s">
        <v>74</v>
      </c>
      <c r="AO980" s="2" t="s">
        <v>143</v>
      </c>
      <c r="AP980" s="2" t="s">
        <v>144</v>
      </c>
      <c r="AQ980" s="2" t="s">
        <v>74</v>
      </c>
      <c r="AR980" s="2" t="s">
        <v>74</v>
      </c>
      <c r="AS980" s="2" t="s">
        <v>74</v>
      </c>
      <c r="AT980" s="2" t="s">
        <v>74</v>
      </c>
      <c r="AU980" s="2">
        <v>1978</v>
      </c>
      <c r="AV980" s="2">
        <v>26</v>
      </c>
      <c r="AW980" s="2" t="s">
        <v>213</v>
      </c>
      <c r="AX980" s="2" t="s">
        <v>74</v>
      </c>
      <c r="AY980" s="2" t="s">
        <v>74</v>
      </c>
      <c r="AZ980" s="2" t="s">
        <v>74</v>
      </c>
      <c r="BA980" s="2" t="s">
        <v>74</v>
      </c>
      <c r="BB980" s="2">
        <v>1120</v>
      </c>
      <c r="BC980" s="2">
        <v>1125</v>
      </c>
      <c r="BD980" s="2" t="s">
        <v>74</v>
      </c>
      <c r="BE980" s="2" t="s">
        <v>4930</v>
      </c>
      <c r="BF980" s="2" t="str">
        <f>HYPERLINK("http://dx.doi.org/10.1016/0003-3472(78)90101-X","http://dx.doi.org/10.1016/0003-3472(78)90101-X")</f>
        <v>http://dx.doi.org/10.1016/0003-3472(78)90101-X</v>
      </c>
      <c r="BG980" s="2" t="s">
        <v>74</v>
      </c>
      <c r="BH980" s="2" t="s">
        <v>74</v>
      </c>
      <c r="BI980" s="2" t="s">
        <v>74</v>
      </c>
      <c r="BJ980" s="2" t="s">
        <v>74</v>
      </c>
      <c r="BK980" s="2" t="s">
        <v>74</v>
      </c>
      <c r="BL980" s="2" t="s">
        <v>74</v>
      </c>
      <c r="BM980" s="2" t="s">
        <v>74</v>
      </c>
      <c r="BN980" s="2" t="s">
        <v>74</v>
      </c>
      <c r="BO980" s="2" t="s">
        <v>74</v>
      </c>
      <c r="BP980" s="2" t="s">
        <v>74</v>
      </c>
      <c r="BQ980" s="2" t="s">
        <v>74</v>
      </c>
      <c r="BR980" s="2" t="s">
        <v>74</v>
      </c>
      <c r="BS980" s="2" t="s">
        <v>4931</v>
      </c>
      <c r="BT980" s="2" t="str">
        <f>HYPERLINK("https%3A%2F%2Fwww.webofscience.com%2Fwos%2Fwoscc%2Ffull-record%2FWOS:A1978GD83400017","View Full Record in Web of Science")</f>
        <v>View Full Record in Web of Science</v>
      </c>
    </row>
    <row r="981" spans="1:72" s="1" customFormat="1" x14ac:dyDescent="0.4">
      <c r="A981" s="2" t="s">
        <v>72</v>
      </c>
      <c r="B981" s="2" t="s">
        <v>1310</v>
      </c>
      <c r="C981" s="2" t="s">
        <v>74</v>
      </c>
      <c r="D981" s="2" t="s">
        <v>74</v>
      </c>
      <c r="E981" s="2" t="s">
        <v>74</v>
      </c>
      <c r="F981" s="2" t="s">
        <v>1311</v>
      </c>
      <c r="G981" s="2" t="s">
        <v>74</v>
      </c>
      <c r="H981" s="2" t="s">
        <v>74</v>
      </c>
      <c r="I981" s="2" t="s">
        <v>1312</v>
      </c>
      <c r="J981" s="2" t="s">
        <v>140</v>
      </c>
      <c r="K981" s="2" t="s">
        <v>74</v>
      </c>
      <c r="L981" s="2" t="s">
        <v>74</v>
      </c>
      <c r="M981" s="2" t="s">
        <v>74</v>
      </c>
      <c r="N981" s="2" t="s">
        <v>74</v>
      </c>
      <c r="O981" s="2" t="s">
        <v>74</v>
      </c>
      <c r="P981" s="2" t="s">
        <v>74</v>
      </c>
      <c r="Q981" s="2" t="s">
        <v>74</v>
      </c>
      <c r="R981" s="2" t="s">
        <v>74</v>
      </c>
      <c r="S981" s="2" t="s">
        <v>74</v>
      </c>
      <c r="T981" s="2" t="s">
        <v>74</v>
      </c>
      <c r="U981" s="2" t="s">
        <v>74</v>
      </c>
      <c r="V981" s="5" t="s">
        <v>1313</v>
      </c>
      <c r="W981" s="2" t="s">
        <v>74</v>
      </c>
      <c r="X981" s="2" t="s">
        <v>74</v>
      </c>
      <c r="Y981" s="2" t="s">
        <v>74</v>
      </c>
      <c r="Z981" s="2" t="s">
        <v>74</v>
      </c>
      <c r="AA981" s="2" t="s">
        <v>74</v>
      </c>
      <c r="AB981" s="2" t="s">
        <v>74</v>
      </c>
      <c r="AC981" s="2" t="s">
        <v>74</v>
      </c>
      <c r="AD981" s="2" t="s">
        <v>74</v>
      </c>
      <c r="AE981" s="2" t="s">
        <v>74</v>
      </c>
      <c r="AF981" s="2" t="s">
        <v>74</v>
      </c>
      <c r="AG981" s="2" t="s">
        <v>74</v>
      </c>
      <c r="AH981" s="2" t="s">
        <v>74</v>
      </c>
      <c r="AI981" s="2" t="s">
        <v>74</v>
      </c>
      <c r="AJ981" s="2" t="s">
        <v>74</v>
      </c>
      <c r="AK981" s="2" t="s">
        <v>74</v>
      </c>
      <c r="AL981" s="2" t="s">
        <v>74</v>
      </c>
      <c r="AM981" s="2" t="s">
        <v>74</v>
      </c>
      <c r="AN981" s="2" t="s">
        <v>74</v>
      </c>
      <c r="AO981" s="2" t="s">
        <v>143</v>
      </c>
      <c r="AP981" s="2" t="s">
        <v>74</v>
      </c>
      <c r="AQ981" s="2" t="s">
        <v>74</v>
      </c>
      <c r="AR981" s="2" t="s">
        <v>74</v>
      </c>
      <c r="AS981" s="2" t="s">
        <v>74</v>
      </c>
      <c r="AT981" s="2" t="s">
        <v>633</v>
      </c>
      <c r="AU981" s="2">
        <v>2011</v>
      </c>
      <c r="AV981" s="2">
        <v>81</v>
      </c>
      <c r="AW981" s="2">
        <v>4</v>
      </c>
      <c r="AX981" s="2" t="s">
        <v>74</v>
      </c>
      <c r="AY981" s="2" t="s">
        <v>74</v>
      </c>
      <c r="AZ981" s="2" t="s">
        <v>74</v>
      </c>
      <c r="BA981" s="2" t="s">
        <v>74</v>
      </c>
      <c r="BB981" s="2">
        <v>825</v>
      </c>
      <c r="BC981" s="2">
        <v>829</v>
      </c>
      <c r="BD981" s="2" t="s">
        <v>74</v>
      </c>
      <c r="BE981" s="2" t="s">
        <v>1314</v>
      </c>
      <c r="BF981" s="2" t="str">
        <f>HYPERLINK("http://dx.doi.org/10.1016/j.anbehav.2011.01.017","http://dx.doi.org/10.1016/j.anbehav.2011.01.017")</f>
        <v>http://dx.doi.org/10.1016/j.anbehav.2011.01.017</v>
      </c>
      <c r="BG981" s="2" t="s">
        <v>74</v>
      </c>
      <c r="BH981" s="2" t="s">
        <v>74</v>
      </c>
      <c r="BI981" s="2" t="s">
        <v>74</v>
      </c>
      <c r="BJ981" s="2" t="s">
        <v>74</v>
      </c>
      <c r="BK981" s="2" t="s">
        <v>74</v>
      </c>
      <c r="BL981" s="2" t="s">
        <v>74</v>
      </c>
      <c r="BM981" s="2" t="s">
        <v>74</v>
      </c>
      <c r="BN981" s="2" t="s">
        <v>74</v>
      </c>
      <c r="BO981" s="2" t="s">
        <v>74</v>
      </c>
      <c r="BP981" s="2" t="s">
        <v>74</v>
      </c>
      <c r="BQ981" s="2" t="s">
        <v>74</v>
      </c>
      <c r="BR981" s="2" t="s">
        <v>74</v>
      </c>
      <c r="BS981" s="2" t="s">
        <v>1315</v>
      </c>
      <c r="BT981" s="2" t="str">
        <f>HYPERLINK("https%3A%2F%2Fwww.webofscience.com%2Fwos%2Fwoscc%2Ffull-record%2FWOS:000288651200019","View Full Record in Web of Science")</f>
        <v>View Full Record in Web of Science</v>
      </c>
    </row>
    <row r="982" spans="1:72" s="2" customFormat="1" x14ac:dyDescent="0.4">
      <c r="A982" s="2" t="s">
        <v>72</v>
      </c>
      <c r="B982" s="2" t="s">
        <v>5857</v>
      </c>
      <c r="C982" s="2" t="s">
        <v>74</v>
      </c>
      <c r="D982" s="2" t="s">
        <v>74</v>
      </c>
      <c r="E982" s="2" t="s">
        <v>74</v>
      </c>
      <c r="F982" s="2" t="s">
        <v>5858</v>
      </c>
      <c r="G982" s="2" t="s">
        <v>74</v>
      </c>
      <c r="H982" s="2" t="s">
        <v>74</v>
      </c>
      <c r="I982" s="2" t="s">
        <v>5859</v>
      </c>
      <c r="J982" s="2" t="s">
        <v>509</v>
      </c>
      <c r="K982" s="2" t="s">
        <v>74</v>
      </c>
      <c r="L982" s="2" t="s">
        <v>74</v>
      </c>
      <c r="M982" s="2" t="s">
        <v>74</v>
      </c>
      <c r="N982" s="2" t="s">
        <v>74</v>
      </c>
      <c r="O982" s="2" t="s">
        <v>74</v>
      </c>
      <c r="P982" s="2" t="s">
        <v>74</v>
      </c>
      <c r="Q982" s="2" t="s">
        <v>74</v>
      </c>
      <c r="R982" s="2" t="s">
        <v>74</v>
      </c>
      <c r="S982" s="2" t="s">
        <v>74</v>
      </c>
      <c r="T982" s="2" t="s">
        <v>74</v>
      </c>
      <c r="U982" s="2" t="s">
        <v>74</v>
      </c>
      <c r="V982" s="5" t="s">
        <v>5860</v>
      </c>
      <c r="W982" s="2" t="s">
        <v>74</v>
      </c>
      <c r="X982" s="2" t="s">
        <v>74</v>
      </c>
      <c r="Y982" s="2" t="s">
        <v>74</v>
      </c>
      <c r="Z982" s="2" t="s">
        <v>74</v>
      </c>
      <c r="AA982" s="2" t="s">
        <v>5861</v>
      </c>
      <c r="AB982" s="2" t="s">
        <v>5862</v>
      </c>
      <c r="AC982" s="2" t="s">
        <v>74</v>
      </c>
      <c r="AD982" s="2" t="s">
        <v>74</v>
      </c>
      <c r="AE982" s="2" t="s">
        <v>74</v>
      </c>
      <c r="AF982" s="2" t="s">
        <v>74</v>
      </c>
      <c r="AG982" s="2" t="s">
        <v>74</v>
      </c>
      <c r="AH982" s="2" t="s">
        <v>74</v>
      </c>
      <c r="AI982" s="2" t="s">
        <v>74</v>
      </c>
      <c r="AJ982" s="2" t="s">
        <v>74</v>
      </c>
      <c r="AK982" s="2" t="s">
        <v>74</v>
      </c>
      <c r="AL982" s="2" t="s">
        <v>74</v>
      </c>
      <c r="AM982" s="2" t="s">
        <v>74</v>
      </c>
      <c r="AN982" s="2" t="s">
        <v>74</v>
      </c>
      <c r="AO982" s="2" t="s">
        <v>511</v>
      </c>
      <c r="AP982" s="2" t="s">
        <v>512</v>
      </c>
      <c r="AQ982" s="2" t="s">
        <v>74</v>
      </c>
      <c r="AR982" s="2" t="s">
        <v>74</v>
      </c>
      <c r="AS982" s="2" t="s">
        <v>74</v>
      </c>
      <c r="AT982" s="2" t="s">
        <v>352</v>
      </c>
      <c r="AU982" s="2">
        <v>2008</v>
      </c>
      <c r="AV982" s="2">
        <v>54</v>
      </c>
      <c r="AW982" s="2">
        <v>4</v>
      </c>
      <c r="AX982" s="2" t="s">
        <v>74</v>
      </c>
      <c r="AY982" s="2" t="s">
        <v>74</v>
      </c>
      <c r="AZ982" s="2" t="s">
        <v>74</v>
      </c>
      <c r="BA982" s="2" t="s">
        <v>74</v>
      </c>
      <c r="BB982" s="2">
        <v>549</v>
      </c>
      <c r="BC982" s="2">
        <v>556</v>
      </c>
      <c r="BD982" s="2" t="s">
        <v>74</v>
      </c>
      <c r="BE982" s="2" t="s">
        <v>5863</v>
      </c>
      <c r="BF982" s="2" t="str">
        <f>HYPERLINK("http://dx.doi.org/10.1016/j.yhbeh.2008.05.018","http://dx.doi.org/10.1016/j.yhbeh.2008.05.018")</f>
        <v>http://dx.doi.org/10.1016/j.yhbeh.2008.05.018</v>
      </c>
      <c r="BG982" s="2" t="s">
        <v>74</v>
      </c>
      <c r="BH982" s="2" t="s">
        <v>74</v>
      </c>
      <c r="BI982" s="2" t="s">
        <v>74</v>
      </c>
      <c r="BJ982" s="2" t="s">
        <v>74</v>
      </c>
      <c r="BK982" s="2" t="s">
        <v>74</v>
      </c>
      <c r="BL982" s="2" t="s">
        <v>74</v>
      </c>
      <c r="BM982" s="2" t="s">
        <v>74</v>
      </c>
      <c r="BN982" s="2">
        <v>18586039</v>
      </c>
      <c r="BO982" s="2" t="s">
        <v>74</v>
      </c>
      <c r="BP982" s="2" t="s">
        <v>74</v>
      </c>
      <c r="BQ982" s="2" t="s">
        <v>74</v>
      </c>
      <c r="BR982" s="2" t="s">
        <v>74</v>
      </c>
      <c r="BS982" s="2" t="s">
        <v>5864</v>
      </c>
      <c r="BT982" s="2" t="str">
        <f>HYPERLINK("https%3A%2F%2Fwww.webofscience.com%2Fwos%2Fwoscc%2Ffull-record%2FWOS:000259159200011","View Full Record in Web of Science")</f>
        <v>View Full Record in Web of Science</v>
      </c>
    </row>
    <row r="983" spans="1:72" s="2" customFormat="1" x14ac:dyDescent="0.4">
      <c r="A983" s="2" t="s">
        <v>72</v>
      </c>
      <c r="B983" s="2" t="s">
        <v>5127</v>
      </c>
      <c r="C983" s="2" t="s">
        <v>74</v>
      </c>
      <c r="D983" s="2" t="s">
        <v>74</v>
      </c>
      <c r="E983" s="2" t="s">
        <v>74</v>
      </c>
      <c r="F983" s="2" t="s">
        <v>5127</v>
      </c>
      <c r="G983" s="2" t="s">
        <v>74</v>
      </c>
      <c r="H983" s="2" t="s">
        <v>74</v>
      </c>
      <c r="I983" s="2" t="s">
        <v>5128</v>
      </c>
      <c r="J983" s="2" t="s">
        <v>5129</v>
      </c>
      <c r="K983" s="2" t="s">
        <v>74</v>
      </c>
      <c r="L983" s="2" t="s">
        <v>74</v>
      </c>
      <c r="M983" s="2" t="s">
        <v>74</v>
      </c>
      <c r="N983" s="2" t="s">
        <v>74</v>
      </c>
      <c r="O983" s="2" t="s">
        <v>74</v>
      </c>
      <c r="P983" s="2" t="s">
        <v>74</v>
      </c>
      <c r="Q983" s="2" t="s">
        <v>74</v>
      </c>
      <c r="R983" s="2" t="s">
        <v>74</v>
      </c>
      <c r="S983" s="2" t="s">
        <v>74</v>
      </c>
      <c r="T983" s="2" t="s">
        <v>74</v>
      </c>
      <c r="U983" s="2" t="s">
        <v>74</v>
      </c>
      <c r="V983" s="5" t="s">
        <v>5130</v>
      </c>
      <c r="W983" s="2" t="s">
        <v>74</v>
      </c>
      <c r="X983" s="2" t="s">
        <v>74</v>
      </c>
      <c r="Y983" s="2" t="s">
        <v>74</v>
      </c>
      <c r="Z983" s="2" t="s">
        <v>74</v>
      </c>
      <c r="AA983" s="2" t="s">
        <v>74</v>
      </c>
      <c r="AB983" s="2" t="s">
        <v>74</v>
      </c>
      <c r="AC983" s="2" t="s">
        <v>74</v>
      </c>
      <c r="AD983" s="2" t="s">
        <v>74</v>
      </c>
      <c r="AE983" s="2" t="s">
        <v>74</v>
      </c>
      <c r="AF983" s="2" t="s">
        <v>74</v>
      </c>
      <c r="AG983" s="2" t="s">
        <v>74</v>
      </c>
      <c r="AH983" s="2" t="s">
        <v>74</v>
      </c>
      <c r="AI983" s="2" t="s">
        <v>74</v>
      </c>
      <c r="AJ983" s="2" t="s">
        <v>74</v>
      </c>
      <c r="AK983" s="2" t="s">
        <v>74</v>
      </c>
      <c r="AL983" s="2" t="s">
        <v>74</v>
      </c>
      <c r="AM983" s="2" t="s">
        <v>74</v>
      </c>
      <c r="AN983" s="2" t="s">
        <v>74</v>
      </c>
      <c r="AO983" s="2" t="s">
        <v>5131</v>
      </c>
      <c r="AP983" s="2" t="s">
        <v>5132</v>
      </c>
      <c r="AQ983" s="2" t="s">
        <v>74</v>
      </c>
      <c r="AR983" s="2" t="s">
        <v>74</v>
      </c>
      <c r="AS983" s="2" t="s">
        <v>74</v>
      </c>
      <c r="AT983" s="2" t="s">
        <v>74</v>
      </c>
      <c r="AU983" s="2">
        <v>1993</v>
      </c>
      <c r="AV983" s="2">
        <v>81</v>
      </c>
      <c r="AW983" s="2">
        <v>1</v>
      </c>
      <c r="AX983" s="2" t="s">
        <v>74</v>
      </c>
      <c r="AY983" s="2" t="s">
        <v>74</v>
      </c>
      <c r="AZ983" s="2" t="s">
        <v>74</v>
      </c>
      <c r="BA983" s="2" t="s">
        <v>74</v>
      </c>
      <c r="BB983" s="2">
        <v>35</v>
      </c>
      <c r="BC983" s="2">
        <v>41</v>
      </c>
      <c r="BD983" s="2" t="s">
        <v>74</v>
      </c>
      <c r="BE983" s="2" t="s">
        <v>74</v>
      </c>
      <c r="BF983" s="2" t="s">
        <v>74</v>
      </c>
      <c r="BG983" s="2" t="s">
        <v>74</v>
      </c>
      <c r="BH983" s="2" t="s">
        <v>74</v>
      </c>
      <c r="BI983" s="2" t="s">
        <v>74</v>
      </c>
      <c r="BJ983" s="2" t="s">
        <v>74</v>
      </c>
      <c r="BK983" s="2" t="s">
        <v>74</v>
      </c>
      <c r="BL983" s="2" t="s">
        <v>74</v>
      </c>
      <c r="BM983" s="2" t="s">
        <v>74</v>
      </c>
      <c r="BN983" s="2" t="s">
        <v>74</v>
      </c>
      <c r="BO983" s="2" t="s">
        <v>74</v>
      </c>
      <c r="BP983" s="2" t="s">
        <v>74</v>
      </c>
      <c r="BQ983" s="2" t="s">
        <v>74</v>
      </c>
      <c r="BR983" s="2" t="s">
        <v>74</v>
      </c>
      <c r="BS983" s="2" t="s">
        <v>5133</v>
      </c>
      <c r="BT983" s="2" t="str">
        <f>HYPERLINK("https%3A%2F%2Fwww.webofscience.com%2Fwos%2Fwoscc%2Ffull-record%2FWOS:A1993LV04800007","View Full Record in Web of Science")</f>
        <v>View Full Record in Web of Science</v>
      </c>
    </row>
    <row r="984" spans="1:72" s="2" customFormat="1" x14ac:dyDescent="0.4">
      <c r="A984" s="2" t="s">
        <v>72</v>
      </c>
      <c r="B984" s="2" t="s">
        <v>3310</v>
      </c>
      <c r="C984" s="2" t="s">
        <v>74</v>
      </c>
      <c r="D984" s="2" t="s">
        <v>74</v>
      </c>
      <c r="E984" s="2" t="s">
        <v>74</v>
      </c>
      <c r="F984" s="2" t="s">
        <v>3310</v>
      </c>
      <c r="G984" s="2" t="s">
        <v>74</v>
      </c>
      <c r="H984" s="2" t="s">
        <v>74</v>
      </c>
      <c r="I984" s="2" t="s">
        <v>3311</v>
      </c>
      <c r="J984" s="2" t="s">
        <v>108</v>
      </c>
      <c r="K984" s="2" t="s">
        <v>74</v>
      </c>
      <c r="L984" s="2" t="s">
        <v>74</v>
      </c>
      <c r="M984" s="2" t="s">
        <v>74</v>
      </c>
      <c r="N984" s="2" t="s">
        <v>74</v>
      </c>
      <c r="O984" s="2" t="s">
        <v>74</v>
      </c>
      <c r="P984" s="2" t="s">
        <v>74</v>
      </c>
      <c r="Q984" s="2" t="s">
        <v>74</v>
      </c>
      <c r="R984" s="2" t="s">
        <v>74</v>
      </c>
      <c r="S984" s="2" t="s">
        <v>74</v>
      </c>
      <c r="T984" s="2" t="s">
        <v>74</v>
      </c>
      <c r="U984" s="2" t="s">
        <v>74</v>
      </c>
      <c r="V984" s="5" t="s">
        <v>3312</v>
      </c>
      <c r="W984" s="2" t="s">
        <v>74</v>
      </c>
      <c r="X984" s="2" t="s">
        <v>74</v>
      </c>
      <c r="Y984" s="2" t="s">
        <v>74</v>
      </c>
      <c r="Z984" s="2" t="s">
        <v>74</v>
      </c>
      <c r="AA984" s="2" t="s">
        <v>74</v>
      </c>
      <c r="AB984" s="2" t="s">
        <v>74</v>
      </c>
      <c r="AC984" s="2" t="s">
        <v>74</v>
      </c>
      <c r="AD984" s="2" t="s">
        <v>74</v>
      </c>
      <c r="AE984" s="2" t="s">
        <v>74</v>
      </c>
      <c r="AF984" s="2" t="s">
        <v>74</v>
      </c>
      <c r="AG984" s="2" t="s">
        <v>74</v>
      </c>
      <c r="AH984" s="2" t="s">
        <v>74</v>
      </c>
      <c r="AI984" s="2" t="s">
        <v>74</v>
      </c>
      <c r="AJ984" s="2" t="s">
        <v>74</v>
      </c>
      <c r="AK984" s="2" t="s">
        <v>74</v>
      </c>
      <c r="AL984" s="2" t="s">
        <v>74</v>
      </c>
      <c r="AM984" s="2" t="s">
        <v>74</v>
      </c>
      <c r="AN984" s="2" t="s">
        <v>74</v>
      </c>
      <c r="AO984" s="2" t="s">
        <v>111</v>
      </c>
      <c r="AP984" s="2" t="s">
        <v>112</v>
      </c>
      <c r="AQ984" s="2" t="s">
        <v>74</v>
      </c>
      <c r="AR984" s="2" t="s">
        <v>74</v>
      </c>
      <c r="AS984" s="2" t="s">
        <v>74</v>
      </c>
      <c r="AT984" s="2" t="s">
        <v>3313</v>
      </c>
      <c r="AU984" s="2">
        <v>1999</v>
      </c>
      <c r="AV984" s="2">
        <v>266</v>
      </c>
      <c r="AW984" s="2">
        <v>1422</v>
      </c>
      <c r="AX984" s="2" t="s">
        <v>74</v>
      </c>
      <c r="AY984" s="2" t="s">
        <v>74</v>
      </c>
      <c r="AZ984" s="2" t="s">
        <v>74</v>
      </c>
      <c r="BA984" s="2" t="s">
        <v>74</v>
      </c>
      <c r="BB984" s="2">
        <v>917</v>
      </c>
      <c r="BC984" s="2">
        <v>921</v>
      </c>
      <c r="BD984" s="2" t="s">
        <v>74</v>
      </c>
      <c r="BE984" s="2" t="s">
        <v>3314</v>
      </c>
      <c r="BF984" s="2" t="str">
        <f>HYPERLINK("http://dx.doi.org/10.1098/rspb.1999.0724","http://dx.doi.org/10.1098/rspb.1999.0724")</f>
        <v>http://dx.doi.org/10.1098/rspb.1999.0724</v>
      </c>
      <c r="BG984" s="2" t="s">
        <v>74</v>
      </c>
      <c r="BH984" s="2" t="s">
        <v>74</v>
      </c>
      <c r="BI984" s="2" t="s">
        <v>74</v>
      </c>
      <c r="BJ984" s="2" t="s">
        <v>74</v>
      </c>
      <c r="BK984" s="2" t="s">
        <v>74</v>
      </c>
      <c r="BL984" s="2" t="s">
        <v>74</v>
      </c>
      <c r="BM984" s="2" t="s">
        <v>74</v>
      </c>
      <c r="BN984" s="2" t="s">
        <v>74</v>
      </c>
      <c r="BO984" s="2" t="s">
        <v>74</v>
      </c>
      <c r="BP984" s="2" t="s">
        <v>74</v>
      </c>
      <c r="BQ984" s="2" t="s">
        <v>74</v>
      </c>
      <c r="BR984" s="2" t="s">
        <v>74</v>
      </c>
      <c r="BS984" s="2" t="s">
        <v>3315</v>
      </c>
      <c r="BT984" s="2" t="str">
        <f>HYPERLINK("https%3A%2F%2Fwww.webofscience.com%2Fwos%2Fwoscc%2Ffull-record%2FWOS:000080290100008","View Full Record in Web of Science")</f>
        <v>View Full Record in Web of Science</v>
      </c>
    </row>
    <row r="985" spans="1:72" s="2" customFormat="1" x14ac:dyDescent="0.4">
      <c r="A985" s="2" t="s">
        <v>72</v>
      </c>
      <c r="B985" s="2" t="s">
        <v>1278</v>
      </c>
      <c r="C985" s="2" t="s">
        <v>74</v>
      </c>
      <c r="D985" s="2" t="s">
        <v>74</v>
      </c>
      <c r="E985" s="2" t="s">
        <v>74</v>
      </c>
      <c r="F985" s="2" t="s">
        <v>1278</v>
      </c>
      <c r="G985" s="2" t="s">
        <v>74</v>
      </c>
      <c r="H985" s="2" t="s">
        <v>74</v>
      </c>
      <c r="I985" s="2" t="s">
        <v>1279</v>
      </c>
      <c r="J985" s="2" t="s">
        <v>171</v>
      </c>
      <c r="K985" s="2" t="s">
        <v>74</v>
      </c>
      <c r="L985" s="2" t="s">
        <v>74</v>
      </c>
      <c r="M985" s="2" t="s">
        <v>74</v>
      </c>
      <c r="N985" s="2" t="s">
        <v>74</v>
      </c>
      <c r="O985" s="2" t="s">
        <v>74</v>
      </c>
      <c r="P985" s="2" t="s">
        <v>74</v>
      </c>
      <c r="Q985" s="2" t="s">
        <v>74</v>
      </c>
      <c r="R985" s="2" t="s">
        <v>74</v>
      </c>
      <c r="S985" s="2" t="s">
        <v>74</v>
      </c>
      <c r="T985" s="2" t="s">
        <v>74</v>
      </c>
      <c r="U985" s="2" t="s">
        <v>74</v>
      </c>
      <c r="V985" s="5" t="s">
        <v>1280</v>
      </c>
      <c r="W985" s="2" t="s">
        <v>74</v>
      </c>
      <c r="X985" s="2" t="s">
        <v>74</v>
      </c>
      <c r="Y985" s="2" t="s">
        <v>74</v>
      </c>
      <c r="Z985" s="2" t="s">
        <v>74</v>
      </c>
      <c r="AA985" s="2" t="s">
        <v>74</v>
      </c>
      <c r="AB985" s="2" t="s">
        <v>74</v>
      </c>
      <c r="AC985" s="2" t="s">
        <v>74</v>
      </c>
      <c r="AD985" s="2" t="s">
        <v>74</v>
      </c>
      <c r="AE985" s="2" t="s">
        <v>74</v>
      </c>
      <c r="AF985" s="2" t="s">
        <v>74</v>
      </c>
      <c r="AG985" s="2" t="s">
        <v>74</v>
      </c>
      <c r="AH985" s="2" t="s">
        <v>74</v>
      </c>
      <c r="AI985" s="2" t="s">
        <v>74</v>
      </c>
      <c r="AJ985" s="2" t="s">
        <v>74</v>
      </c>
      <c r="AK985" s="2" t="s">
        <v>74</v>
      </c>
      <c r="AL985" s="2" t="s">
        <v>74</v>
      </c>
      <c r="AM985" s="2" t="s">
        <v>74</v>
      </c>
      <c r="AN985" s="2" t="s">
        <v>74</v>
      </c>
      <c r="AO985" s="2" t="s">
        <v>173</v>
      </c>
      <c r="AP985" s="2" t="s">
        <v>74</v>
      </c>
      <c r="AQ985" s="2" t="s">
        <v>74</v>
      </c>
      <c r="AR985" s="2" t="s">
        <v>74</v>
      </c>
      <c r="AS985" s="2" t="s">
        <v>74</v>
      </c>
      <c r="AT985" s="2" t="s">
        <v>102</v>
      </c>
      <c r="AU985" s="2">
        <v>1991</v>
      </c>
      <c r="AV985" s="2">
        <v>45</v>
      </c>
      <c r="AW985" s="2">
        <v>4</v>
      </c>
      <c r="AX985" s="2" t="s">
        <v>74</v>
      </c>
      <c r="AY985" s="2" t="s">
        <v>74</v>
      </c>
      <c r="AZ985" s="2" t="s">
        <v>74</v>
      </c>
      <c r="BA985" s="2" t="s">
        <v>74</v>
      </c>
      <c r="BB985" s="2">
        <v>910</v>
      </c>
      <c r="BC985" s="2">
        <v>917</v>
      </c>
      <c r="BD985" s="2" t="s">
        <v>74</v>
      </c>
      <c r="BE985" s="2" t="s">
        <v>1281</v>
      </c>
      <c r="BF985" s="2" t="str">
        <f>HYPERLINK("http://dx.doi.org/10.2307/2409698","http://dx.doi.org/10.2307/2409698")</f>
        <v>http://dx.doi.org/10.2307/2409698</v>
      </c>
      <c r="BG985" s="2" t="s">
        <v>74</v>
      </c>
      <c r="BH985" s="2" t="s">
        <v>74</v>
      </c>
      <c r="BI985" s="2" t="s">
        <v>74</v>
      </c>
      <c r="BJ985" s="2" t="s">
        <v>74</v>
      </c>
      <c r="BK985" s="2" t="s">
        <v>74</v>
      </c>
      <c r="BL985" s="2" t="s">
        <v>74</v>
      </c>
      <c r="BM985" s="2" t="s">
        <v>74</v>
      </c>
      <c r="BN985" s="2">
        <v>28564056</v>
      </c>
      <c r="BO985" s="2" t="s">
        <v>74</v>
      </c>
      <c r="BP985" s="2" t="s">
        <v>74</v>
      </c>
      <c r="BQ985" s="2" t="s">
        <v>74</v>
      </c>
      <c r="BR985" s="2" t="s">
        <v>74</v>
      </c>
      <c r="BS985" s="2" t="s">
        <v>1282</v>
      </c>
      <c r="BT985" s="2" t="str">
        <f>HYPERLINK("https%3A%2F%2Fwww.webofscience.com%2Fwos%2Fwoscc%2Ffull-record%2FWOS:A1991FW83600008","View Full Record in Web of Science")</f>
        <v>View Full Record in Web of Science</v>
      </c>
    </row>
    <row r="986" spans="1:72" s="2" customFormat="1" x14ac:dyDescent="0.4">
      <c r="A986" s="2" t="s">
        <v>72</v>
      </c>
      <c r="B986" s="2" t="s">
        <v>7317</v>
      </c>
      <c r="C986" s="2" t="s">
        <v>74</v>
      </c>
      <c r="D986" s="2" t="s">
        <v>74</v>
      </c>
      <c r="E986" s="2" t="s">
        <v>74</v>
      </c>
      <c r="F986" s="2" t="s">
        <v>7318</v>
      </c>
      <c r="G986" s="2" t="s">
        <v>74</v>
      </c>
      <c r="H986" s="2" t="s">
        <v>74</v>
      </c>
      <c r="I986" s="2" t="s">
        <v>7319</v>
      </c>
      <c r="J986" s="2" t="s">
        <v>140</v>
      </c>
      <c r="K986" s="2" t="s">
        <v>74</v>
      </c>
      <c r="L986" s="2" t="s">
        <v>74</v>
      </c>
      <c r="M986" s="2" t="s">
        <v>74</v>
      </c>
      <c r="N986" s="2" t="s">
        <v>74</v>
      </c>
      <c r="O986" s="2" t="s">
        <v>74</v>
      </c>
      <c r="P986" s="2" t="s">
        <v>74</v>
      </c>
      <c r="Q986" s="2" t="s">
        <v>74</v>
      </c>
      <c r="R986" s="2" t="s">
        <v>74</v>
      </c>
      <c r="S986" s="2" t="s">
        <v>74</v>
      </c>
      <c r="T986" s="2" t="s">
        <v>74</v>
      </c>
      <c r="U986" s="2" t="s">
        <v>74</v>
      </c>
      <c r="V986" s="5" t="s">
        <v>7320</v>
      </c>
      <c r="W986" s="2" t="s">
        <v>74</v>
      </c>
      <c r="X986" s="2" t="s">
        <v>74</v>
      </c>
      <c r="Y986" s="2" t="s">
        <v>74</v>
      </c>
      <c r="Z986" s="2" t="s">
        <v>74</v>
      </c>
      <c r="AA986" s="2" t="s">
        <v>7321</v>
      </c>
      <c r="AB986" s="2" t="s">
        <v>7322</v>
      </c>
      <c r="AC986" s="2" t="s">
        <v>74</v>
      </c>
      <c r="AD986" s="2" t="s">
        <v>74</v>
      </c>
      <c r="AE986" s="2" t="s">
        <v>74</v>
      </c>
      <c r="AF986" s="2" t="s">
        <v>74</v>
      </c>
      <c r="AG986" s="2" t="s">
        <v>74</v>
      </c>
      <c r="AH986" s="2" t="s">
        <v>74</v>
      </c>
      <c r="AI986" s="2" t="s">
        <v>74</v>
      </c>
      <c r="AJ986" s="2" t="s">
        <v>74</v>
      </c>
      <c r="AK986" s="2" t="s">
        <v>74</v>
      </c>
      <c r="AL986" s="2" t="s">
        <v>74</v>
      </c>
      <c r="AM986" s="2" t="s">
        <v>74</v>
      </c>
      <c r="AN986" s="2" t="s">
        <v>74</v>
      </c>
      <c r="AO986" s="2" t="s">
        <v>143</v>
      </c>
      <c r="AP986" s="2" t="s">
        <v>144</v>
      </c>
      <c r="AQ986" s="2" t="s">
        <v>74</v>
      </c>
      <c r="AR986" s="2" t="s">
        <v>74</v>
      </c>
      <c r="AS986" s="2" t="s">
        <v>74</v>
      </c>
      <c r="AT986" s="2" t="s">
        <v>134</v>
      </c>
      <c r="AU986" s="2">
        <v>2019</v>
      </c>
      <c r="AV986" s="2">
        <v>151</v>
      </c>
      <c r="AW986" s="2" t="s">
        <v>74</v>
      </c>
      <c r="AX986" s="2" t="s">
        <v>74</v>
      </c>
      <c r="AY986" s="2" t="s">
        <v>74</v>
      </c>
      <c r="AZ986" s="2" t="s">
        <v>74</v>
      </c>
      <c r="BA986" s="2" t="s">
        <v>74</v>
      </c>
      <c r="BB986" s="2">
        <v>185</v>
      </c>
      <c r="BC986" s="2">
        <v>193</v>
      </c>
      <c r="BD986" s="2" t="s">
        <v>74</v>
      </c>
      <c r="BE986" s="2" t="s">
        <v>7323</v>
      </c>
      <c r="BF986" s="2" t="str">
        <f>HYPERLINK("http://dx.doi.org/10.1016/j.anbehav.2019.02.002","http://dx.doi.org/10.1016/j.anbehav.2019.02.002")</f>
        <v>http://dx.doi.org/10.1016/j.anbehav.2019.02.002</v>
      </c>
      <c r="BG986" s="2" t="s">
        <v>74</v>
      </c>
      <c r="BH986" s="2" t="s">
        <v>74</v>
      </c>
      <c r="BI986" s="2" t="s">
        <v>74</v>
      </c>
      <c r="BJ986" s="2" t="s">
        <v>74</v>
      </c>
      <c r="BK986" s="2" t="s">
        <v>74</v>
      </c>
      <c r="BL986" s="2" t="s">
        <v>74</v>
      </c>
      <c r="BM986" s="2" t="s">
        <v>74</v>
      </c>
      <c r="BN986" s="2" t="s">
        <v>74</v>
      </c>
      <c r="BO986" s="2" t="s">
        <v>74</v>
      </c>
      <c r="BP986" s="2" t="s">
        <v>74</v>
      </c>
      <c r="BQ986" s="2" t="s">
        <v>74</v>
      </c>
      <c r="BR986" s="2" t="s">
        <v>74</v>
      </c>
      <c r="BS986" s="2" t="s">
        <v>7324</v>
      </c>
      <c r="BT986" s="2" t="str">
        <f>HYPERLINK("https%3A%2F%2Fwww.webofscience.com%2Fwos%2Fwoscc%2Ffull-record%2FWOS:000467013300018","View Full Record in Web of Science")</f>
        <v>View Full Record in Web of Science</v>
      </c>
    </row>
    <row r="987" spans="1:72" s="2" customFormat="1" x14ac:dyDescent="0.4">
      <c r="A987" s="2" t="s">
        <v>72</v>
      </c>
      <c r="B987" s="2" t="s">
        <v>7517</v>
      </c>
      <c r="C987" s="2" t="s">
        <v>74</v>
      </c>
      <c r="D987" s="2" t="s">
        <v>74</v>
      </c>
      <c r="E987" s="2" t="s">
        <v>74</v>
      </c>
      <c r="F987" s="2" t="s">
        <v>7517</v>
      </c>
      <c r="G987" s="2" t="s">
        <v>74</v>
      </c>
      <c r="H987" s="2" t="s">
        <v>74</v>
      </c>
      <c r="I987" s="2" t="s">
        <v>7518</v>
      </c>
      <c r="J987" s="2" t="s">
        <v>509</v>
      </c>
      <c r="K987" s="2" t="s">
        <v>74</v>
      </c>
      <c r="L987" s="2" t="s">
        <v>74</v>
      </c>
      <c r="M987" s="2" t="s">
        <v>74</v>
      </c>
      <c r="N987" s="2" t="s">
        <v>74</v>
      </c>
      <c r="O987" s="2" t="s">
        <v>74</v>
      </c>
      <c r="P987" s="2" t="s">
        <v>74</v>
      </c>
      <c r="Q987" s="2" t="s">
        <v>74</v>
      </c>
      <c r="R987" s="2" t="s">
        <v>74</v>
      </c>
      <c r="S987" s="2" t="s">
        <v>74</v>
      </c>
      <c r="T987" s="2" t="s">
        <v>74</v>
      </c>
      <c r="U987" s="2" t="s">
        <v>74</v>
      </c>
      <c r="V987" s="5" t="s">
        <v>7519</v>
      </c>
      <c r="W987" s="2" t="s">
        <v>74</v>
      </c>
      <c r="X987" s="2" t="s">
        <v>74</v>
      </c>
      <c r="Y987" s="2" t="s">
        <v>74</v>
      </c>
      <c r="Z987" s="2" t="s">
        <v>74</v>
      </c>
      <c r="AA987" s="2" t="s">
        <v>74</v>
      </c>
      <c r="AB987" s="2" t="s">
        <v>74</v>
      </c>
      <c r="AC987" s="2" t="s">
        <v>74</v>
      </c>
      <c r="AD987" s="2" t="s">
        <v>74</v>
      </c>
      <c r="AE987" s="2" t="s">
        <v>74</v>
      </c>
      <c r="AF987" s="2" t="s">
        <v>74</v>
      </c>
      <c r="AG987" s="2" t="s">
        <v>74</v>
      </c>
      <c r="AH987" s="2" t="s">
        <v>74</v>
      </c>
      <c r="AI987" s="2" t="s">
        <v>74</v>
      </c>
      <c r="AJ987" s="2" t="s">
        <v>74</v>
      </c>
      <c r="AK987" s="2" t="s">
        <v>74</v>
      </c>
      <c r="AL987" s="2" t="s">
        <v>74</v>
      </c>
      <c r="AM987" s="2" t="s">
        <v>74</v>
      </c>
      <c r="AN987" s="2" t="s">
        <v>74</v>
      </c>
      <c r="AO987" s="2" t="s">
        <v>511</v>
      </c>
      <c r="AP987" s="2" t="s">
        <v>512</v>
      </c>
      <c r="AQ987" s="2" t="s">
        <v>74</v>
      </c>
      <c r="AR987" s="2" t="s">
        <v>74</v>
      </c>
      <c r="AS987" s="2" t="s">
        <v>74</v>
      </c>
      <c r="AT987" s="2" t="s">
        <v>145</v>
      </c>
      <c r="AU987" s="2">
        <v>1999</v>
      </c>
      <c r="AV987" s="2">
        <v>36</v>
      </c>
      <c r="AW987" s="2">
        <v>1</v>
      </c>
      <c r="AX987" s="2" t="s">
        <v>74</v>
      </c>
      <c r="AY987" s="2" t="s">
        <v>74</v>
      </c>
      <c r="AZ987" s="2" t="s">
        <v>74</v>
      </c>
      <c r="BA987" s="2" t="s">
        <v>74</v>
      </c>
      <c r="BB987" s="2">
        <v>39</v>
      </c>
      <c r="BC987" s="2">
        <v>52</v>
      </c>
      <c r="BD987" s="2" t="s">
        <v>74</v>
      </c>
      <c r="BE987" s="2" t="s">
        <v>7520</v>
      </c>
      <c r="BF987" s="2" t="str">
        <f>HYPERLINK("http://dx.doi.org/10.1006/hbeh.1999.1523","http://dx.doi.org/10.1006/hbeh.1999.1523")</f>
        <v>http://dx.doi.org/10.1006/hbeh.1999.1523</v>
      </c>
      <c r="BG987" s="2" t="s">
        <v>74</v>
      </c>
      <c r="BH987" s="2" t="s">
        <v>74</v>
      </c>
      <c r="BI987" s="2" t="s">
        <v>74</v>
      </c>
      <c r="BJ987" s="2" t="s">
        <v>74</v>
      </c>
      <c r="BK987" s="2" t="s">
        <v>74</v>
      </c>
      <c r="BL987" s="2" t="s">
        <v>74</v>
      </c>
      <c r="BM987" s="2" t="s">
        <v>74</v>
      </c>
      <c r="BN987" s="2">
        <v>10433885</v>
      </c>
      <c r="BO987" s="2" t="s">
        <v>74</v>
      </c>
      <c r="BP987" s="2" t="s">
        <v>74</v>
      </c>
      <c r="BQ987" s="2" t="s">
        <v>74</v>
      </c>
      <c r="BR987" s="2" t="s">
        <v>74</v>
      </c>
      <c r="BS987" s="2" t="s">
        <v>7521</v>
      </c>
      <c r="BT987" s="2" t="str">
        <f>HYPERLINK("https%3A%2F%2Fwww.webofscience.com%2Fwos%2Fwoscc%2Ffull-record%2FWOS:000082107300004","View Full Record in Web of Science")</f>
        <v>View Full Record in Web of Science</v>
      </c>
    </row>
    <row r="988" spans="1:72" s="2" customFormat="1" x14ac:dyDescent="0.4">
      <c r="A988" s="2" t="s">
        <v>72</v>
      </c>
      <c r="B988" s="2" t="s">
        <v>438</v>
      </c>
      <c r="C988" s="2" t="s">
        <v>74</v>
      </c>
      <c r="D988" s="2" t="s">
        <v>74</v>
      </c>
      <c r="E988" s="2" t="s">
        <v>74</v>
      </c>
      <c r="F988" s="2" t="s">
        <v>438</v>
      </c>
      <c r="G988" s="2" t="s">
        <v>74</v>
      </c>
      <c r="H988" s="2" t="s">
        <v>74</v>
      </c>
      <c r="I988" s="2" t="s">
        <v>439</v>
      </c>
      <c r="J988" s="2" t="s">
        <v>229</v>
      </c>
      <c r="K988" s="2" t="s">
        <v>74</v>
      </c>
      <c r="L988" s="2" t="s">
        <v>74</v>
      </c>
      <c r="M988" s="2" t="s">
        <v>74</v>
      </c>
      <c r="N988" s="2" t="s">
        <v>74</v>
      </c>
      <c r="O988" s="2" t="s">
        <v>74</v>
      </c>
      <c r="P988" s="2" t="s">
        <v>74</v>
      </c>
      <c r="Q988" s="2" t="s">
        <v>74</v>
      </c>
      <c r="R988" s="2" t="s">
        <v>74</v>
      </c>
      <c r="S988" s="2" t="s">
        <v>74</v>
      </c>
      <c r="T988" s="2" t="s">
        <v>74</v>
      </c>
      <c r="U988" s="2" t="s">
        <v>74</v>
      </c>
      <c r="V988" s="5" t="s">
        <v>440</v>
      </c>
      <c r="W988" s="2" t="s">
        <v>74</v>
      </c>
      <c r="X988" s="2" t="s">
        <v>74</v>
      </c>
      <c r="Y988" s="2" t="s">
        <v>74</v>
      </c>
      <c r="Z988" s="2" t="s">
        <v>74</v>
      </c>
      <c r="AA988" s="2" t="s">
        <v>74</v>
      </c>
      <c r="AB988" s="2" t="s">
        <v>441</v>
      </c>
      <c r="AC988" s="2" t="s">
        <v>74</v>
      </c>
      <c r="AD988" s="2" t="s">
        <v>74</v>
      </c>
      <c r="AE988" s="2" t="s">
        <v>74</v>
      </c>
      <c r="AF988" s="2" t="s">
        <v>74</v>
      </c>
      <c r="AG988" s="2" t="s">
        <v>74</v>
      </c>
      <c r="AH988" s="2" t="s">
        <v>74</v>
      </c>
      <c r="AI988" s="2" t="s">
        <v>74</v>
      </c>
      <c r="AJ988" s="2" t="s">
        <v>74</v>
      </c>
      <c r="AK988" s="2" t="s">
        <v>74</v>
      </c>
      <c r="AL988" s="2" t="s">
        <v>74</v>
      </c>
      <c r="AM988" s="2" t="s">
        <v>74</v>
      </c>
      <c r="AN988" s="2" t="s">
        <v>74</v>
      </c>
      <c r="AO988" s="2" t="s">
        <v>233</v>
      </c>
      <c r="AP988" s="2" t="s">
        <v>234</v>
      </c>
      <c r="AQ988" s="2" t="s">
        <v>74</v>
      </c>
      <c r="AR988" s="2" t="s">
        <v>74</v>
      </c>
      <c r="AS988" s="2" t="s">
        <v>74</v>
      </c>
      <c r="AT988" s="2" t="s">
        <v>74</v>
      </c>
      <c r="AU988" s="2">
        <v>2005</v>
      </c>
      <c r="AV988" s="2">
        <v>31</v>
      </c>
      <c r="AW988" s="2">
        <v>3</v>
      </c>
      <c r="AX988" s="2" t="s">
        <v>74</v>
      </c>
      <c r="AY988" s="2" t="s">
        <v>74</v>
      </c>
      <c r="AZ988" s="2" t="s">
        <v>74</v>
      </c>
      <c r="BA988" s="2" t="s">
        <v>74</v>
      </c>
      <c r="BB988" s="2">
        <v>271</v>
      </c>
      <c r="BC988" s="2">
        <v>282</v>
      </c>
      <c r="BD988" s="2" t="s">
        <v>74</v>
      </c>
      <c r="BE988" s="2" t="s">
        <v>442</v>
      </c>
      <c r="BF988" s="2" t="str">
        <f>HYPERLINK("http://dx.doi.org/10.1002/ab.20071","http://dx.doi.org/10.1002/ab.20071")</f>
        <v>http://dx.doi.org/10.1002/ab.20071</v>
      </c>
      <c r="BG988" s="2" t="s">
        <v>74</v>
      </c>
      <c r="BH988" s="2" t="s">
        <v>74</v>
      </c>
      <c r="BI988" s="2" t="s">
        <v>74</v>
      </c>
      <c r="BJ988" s="2" t="s">
        <v>74</v>
      </c>
      <c r="BK988" s="2" t="s">
        <v>74</v>
      </c>
      <c r="BL988" s="2" t="s">
        <v>74</v>
      </c>
      <c r="BM988" s="2" t="s">
        <v>74</v>
      </c>
      <c r="BN988" s="2" t="s">
        <v>74</v>
      </c>
      <c r="BO988" s="2" t="s">
        <v>74</v>
      </c>
      <c r="BP988" s="2" t="s">
        <v>74</v>
      </c>
      <c r="BQ988" s="2" t="s">
        <v>74</v>
      </c>
      <c r="BR988" s="2" t="s">
        <v>74</v>
      </c>
      <c r="BS988" s="2" t="s">
        <v>443</v>
      </c>
      <c r="BT988" s="2" t="str">
        <f>HYPERLINK("https%3A%2F%2Fwww.webofscience.com%2Fwos%2Fwoscc%2Ffull-record%2FWOS:000227894100006","View Full Record in Web of Science")</f>
        <v>View Full Record in Web of Science</v>
      </c>
    </row>
    <row r="989" spans="1:72" s="2" customFormat="1" x14ac:dyDescent="0.4">
      <c r="A989" s="2" t="s">
        <v>72</v>
      </c>
      <c r="B989" s="2" t="s">
        <v>2529</v>
      </c>
      <c r="C989" s="2" t="s">
        <v>74</v>
      </c>
      <c r="D989" s="2" t="s">
        <v>74</v>
      </c>
      <c r="E989" s="2" t="s">
        <v>74</v>
      </c>
      <c r="F989" s="2" t="s">
        <v>2529</v>
      </c>
      <c r="G989" s="2" t="s">
        <v>74</v>
      </c>
      <c r="H989" s="2" t="s">
        <v>74</v>
      </c>
      <c r="I989" s="2" t="s">
        <v>2530</v>
      </c>
      <c r="J989" s="2" t="s">
        <v>108</v>
      </c>
      <c r="K989" s="2" t="s">
        <v>74</v>
      </c>
      <c r="L989" s="2" t="s">
        <v>74</v>
      </c>
      <c r="M989" s="2" t="s">
        <v>74</v>
      </c>
      <c r="N989" s="2" t="s">
        <v>74</v>
      </c>
      <c r="O989" s="2" t="s">
        <v>74</v>
      </c>
      <c r="P989" s="2" t="s">
        <v>74</v>
      </c>
      <c r="Q989" s="2" t="s">
        <v>74</v>
      </c>
      <c r="R989" s="2" t="s">
        <v>74</v>
      </c>
      <c r="S989" s="2" t="s">
        <v>74</v>
      </c>
      <c r="T989" s="2" t="s">
        <v>74</v>
      </c>
      <c r="U989" s="2" t="s">
        <v>74</v>
      </c>
      <c r="V989" s="5" t="s">
        <v>2531</v>
      </c>
      <c r="W989" s="2" t="s">
        <v>74</v>
      </c>
      <c r="X989" s="2" t="s">
        <v>74</v>
      </c>
      <c r="Y989" s="2" t="s">
        <v>74</v>
      </c>
      <c r="Z989" s="2" t="s">
        <v>74</v>
      </c>
      <c r="AA989" s="2" t="s">
        <v>74</v>
      </c>
      <c r="AB989" s="2" t="s">
        <v>74</v>
      </c>
      <c r="AC989" s="2" t="s">
        <v>74</v>
      </c>
      <c r="AD989" s="2" t="s">
        <v>74</v>
      </c>
      <c r="AE989" s="2" t="s">
        <v>74</v>
      </c>
      <c r="AF989" s="2" t="s">
        <v>74</v>
      </c>
      <c r="AG989" s="2" t="s">
        <v>74</v>
      </c>
      <c r="AH989" s="2" t="s">
        <v>74</v>
      </c>
      <c r="AI989" s="2" t="s">
        <v>74</v>
      </c>
      <c r="AJ989" s="2" t="s">
        <v>74</v>
      </c>
      <c r="AK989" s="2" t="s">
        <v>74</v>
      </c>
      <c r="AL989" s="2" t="s">
        <v>74</v>
      </c>
      <c r="AM989" s="2" t="s">
        <v>74</v>
      </c>
      <c r="AN989" s="2" t="s">
        <v>74</v>
      </c>
      <c r="AO989" s="2" t="s">
        <v>111</v>
      </c>
      <c r="AP989" s="2" t="s">
        <v>112</v>
      </c>
      <c r="AQ989" s="2" t="s">
        <v>74</v>
      </c>
      <c r="AR989" s="2" t="s">
        <v>74</v>
      </c>
      <c r="AS989" s="2" t="s">
        <v>74</v>
      </c>
      <c r="AT989" s="2" t="s">
        <v>1210</v>
      </c>
      <c r="AU989" s="2">
        <v>2002</v>
      </c>
      <c r="AV989" s="2">
        <v>269</v>
      </c>
      <c r="AW989" s="2">
        <v>1509</v>
      </c>
      <c r="AX989" s="2" t="s">
        <v>74</v>
      </c>
      <c r="AY989" s="2" t="s">
        <v>74</v>
      </c>
      <c r="AZ989" s="2" t="s">
        <v>74</v>
      </c>
      <c r="BA989" s="2" t="s">
        <v>74</v>
      </c>
      <c r="BB989" s="2">
        <v>2495</v>
      </c>
      <c r="BC989" s="2">
        <v>2502</v>
      </c>
      <c r="BD989" s="2" t="s">
        <v>74</v>
      </c>
      <c r="BE989" s="2" t="s">
        <v>2532</v>
      </c>
      <c r="BF989" s="2" t="str">
        <f>HYPERLINK("http://dx.doi.org/10.1098/rspb.2002.2188","http://dx.doi.org/10.1098/rspb.2002.2188")</f>
        <v>http://dx.doi.org/10.1098/rspb.2002.2188</v>
      </c>
      <c r="BG989" s="2" t="s">
        <v>74</v>
      </c>
      <c r="BH989" s="2" t="s">
        <v>74</v>
      </c>
      <c r="BI989" s="2" t="s">
        <v>74</v>
      </c>
      <c r="BJ989" s="2" t="s">
        <v>74</v>
      </c>
      <c r="BK989" s="2" t="s">
        <v>74</v>
      </c>
      <c r="BL989" s="2" t="s">
        <v>74</v>
      </c>
      <c r="BM989" s="2" t="s">
        <v>74</v>
      </c>
      <c r="BN989" s="2">
        <v>12573062</v>
      </c>
      <c r="BO989" s="2" t="s">
        <v>74</v>
      </c>
      <c r="BP989" s="2" t="s">
        <v>74</v>
      </c>
      <c r="BQ989" s="2" t="s">
        <v>74</v>
      </c>
      <c r="BR989" s="2" t="s">
        <v>74</v>
      </c>
      <c r="BS989" s="2" t="s">
        <v>2533</v>
      </c>
      <c r="BT989" s="2" t="str">
        <f>HYPERLINK("https%3A%2F%2Fwww.webofscience.com%2Fwos%2Fwoscc%2Ffull-record%2FWOS:000180221100001","View Full Record in Web of Science")</f>
        <v>View Full Record in Web of Science</v>
      </c>
    </row>
    <row r="990" spans="1:72" s="2" customFormat="1" x14ac:dyDescent="0.4">
      <c r="A990" s="2" t="s">
        <v>72</v>
      </c>
      <c r="B990" s="2" t="s">
        <v>2092</v>
      </c>
      <c r="C990" s="2" t="s">
        <v>74</v>
      </c>
      <c r="D990" s="2" t="s">
        <v>74</v>
      </c>
      <c r="E990" s="2" t="s">
        <v>74</v>
      </c>
      <c r="F990" s="2" t="s">
        <v>2093</v>
      </c>
      <c r="G990" s="2" t="s">
        <v>74</v>
      </c>
      <c r="H990" s="2" t="s">
        <v>74</v>
      </c>
      <c r="I990" s="2" t="s">
        <v>2094</v>
      </c>
      <c r="J990" s="2" t="s">
        <v>1743</v>
      </c>
      <c r="K990" s="2" t="s">
        <v>74</v>
      </c>
      <c r="L990" s="2" t="s">
        <v>74</v>
      </c>
      <c r="M990" s="2" t="s">
        <v>74</v>
      </c>
      <c r="N990" s="2" t="s">
        <v>74</v>
      </c>
      <c r="O990" s="2" t="s">
        <v>74</v>
      </c>
      <c r="P990" s="2" t="s">
        <v>74</v>
      </c>
      <c r="Q990" s="2" t="s">
        <v>74</v>
      </c>
      <c r="R990" s="2" t="s">
        <v>74</v>
      </c>
      <c r="S990" s="2" t="s">
        <v>74</v>
      </c>
      <c r="T990" s="2" t="s">
        <v>74</v>
      </c>
      <c r="U990" s="2" t="s">
        <v>74</v>
      </c>
      <c r="V990" s="5" t="s">
        <v>2095</v>
      </c>
      <c r="W990" s="2" t="s">
        <v>74</v>
      </c>
      <c r="X990" s="2" t="s">
        <v>74</v>
      </c>
      <c r="Y990" s="2" t="s">
        <v>74</v>
      </c>
      <c r="Z990" s="2" t="s">
        <v>74</v>
      </c>
      <c r="AA990" s="2" t="s">
        <v>2096</v>
      </c>
      <c r="AB990" s="2" t="s">
        <v>2097</v>
      </c>
      <c r="AC990" s="2" t="s">
        <v>74</v>
      </c>
      <c r="AD990" s="2" t="s">
        <v>74</v>
      </c>
      <c r="AE990" s="2" t="s">
        <v>74</v>
      </c>
      <c r="AF990" s="2" t="s">
        <v>74</v>
      </c>
      <c r="AG990" s="2" t="s">
        <v>74</v>
      </c>
      <c r="AH990" s="2" t="s">
        <v>74</v>
      </c>
      <c r="AI990" s="2" t="s">
        <v>74</v>
      </c>
      <c r="AJ990" s="2" t="s">
        <v>74</v>
      </c>
      <c r="AK990" s="2" t="s">
        <v>74</v>
      </c>
      <c r="AL990" s="2" t="s">
        <v>74</v>
      </c>
      <c r="AM990" s="2" t="s">
        <v>74</v>
      </c>
      <c r="AN990" s="2" t="s">
        <v>74</v>
      </c>
      <c r="AO990" s="2" t="s">
        <v>1746</v>
      </c>
      <c r="AP990" s="2" t="s">
        <v>74</v>
      </c>
      <c r="AQ990" s="2" t="s">
        <v>74</v>
      </c>
      <c r="AR990" s="2" t="s">
        <v>74</v>
      </c>
      <c r="AS990" s="2" t="s">
        <v>74</v>
      </c>
      <c r="AT990" s="2" t="s">
        <v>633</v>
      </c>
      <c r="AU990" s="2">
        <v>2023</v>
      </c>
      <c r="AV990" s="2">
        <v>40</v>
      </c>
      <c r="AW990" s="2">
        <v>2</v>
      </c>
      <c r="AX990" s="2" t="s">
        <v>74</v>
      </c>
      <c r="AY990" s="2" t="s">
        <v>74</v>
      </c>
      <c r="AZ990" s="2" t="s">
        <v>74</v>
      </c>
      <c r="BA990" s="2" t="s">
        <v>74</v>
      </c>
      <c r="BB990" s="2">
        <v>168</v>
      </c>
      <c r="BC990" s="2">
        <v>174</v>
      </c>
      <c r="BD990" s="2" t="s">
        <v>74</v>
      </c>
      <c r="BE990" s="2" t="s">
        <v>2098</v>
      </c>
      <c r="BF990" s="2" t="str">
        <f>HYPERLINK("http://dx.doi.org/10.2108/zs220088","http://dx.doi.org/10.2108/zs220088")</f>
        <v>http://dx.doi.org/10.2108/zs220088</v>
      </c>
      <c r="BG990" s="2" t="s">
        <v>74</v>
      </c>
      <c r="BH990" s="2" t="s">
        <v>74</v>
      </c>
      <c r="BI990" s="2" t="s">
        <v>74</v>
      </c>
      <c r="BJ990" s="2" t="s">
        <v>74</v>
      </c>
      <c r="BK990" s="2" t="s">
        <v>74</v>
      </c>
      <c r="BL990" s="2" t="s">
        <v>74</v>
      </c>
      <c r="BM990" s="2" t="s">
        <v>74</v>
      </c>
      <c r="BN990" s="2">
        <v>37042696</v>
      </c>
      <c r="BO990" s="2" t="s">
        <v>74</v>
      </c>
      <c r="BP990" s="2" t="s">
        <v>74</v>
      </c>
      <c r="BQ990" s="2" t="s">
        <v>74</v>
      </c>
      <c r="BR990" s="2" t="s">
        <v>74</v>
      </c>
      <c r="BS990" s="2" t="s">
        <v>2099</v>
      </c>
      <c r="BT990" s="2" t="str">
        <f>HYPERLINK("https%3A%2F%2Fwww.webofscience.com%2Fwos%2Fwoscc%2Ffull-record%2FWOS:000963816400010","View Full Record in Web of Science")</f>
        <v>View Full Record in Web of Science</v>
      </c>
    </row>
    <row r="991" spans="1:72" s="2" customFormat="1" x14ac:dyDescent="0.4">
      <c r="A991" s="2" t="s">
        <v>72</v>
      </c>
      <c r="B991" s="2" t="s">
        <v>7311</v>
      </c>
      <c r="C991" s="2" t="s">
        <v>74</v>
      </c>
      <c r="D991" s="2" t="s">
        <v>74</v>
      </c>
      <c r="E991" s="2" t="s">
        <v>74</v>
      </c>
      <c r="F991" s="2" t="s">
        <v>7312</v>
      </c>
      <c r="G991" s="2" t="s">
        <v>74</v>
      </c>
      <c r="H991" s="2" t="s">
        <v>74</v>
      </c>
      <c r="I991" s="2" t="s">
        <v>7313</v>
      </c>
      <c r="J991" s="2" t="s">
        <v>1526</v>
      </c>
      <c r="K991" s="2" t="s">
        <v>74</v>
      </c>
      <c r="L991" s="2" t="s">
        <v>74</v>
      </c>
      <c r="M991" s="2" t="s">
        <v>74</v>
      </c>
      <c r="N991" s="2" t="s">
        <v>74</v>
      </c>
      <c r="O991" s="2" t="s">
        <v>74</v>
      </c>
      <c r="P991" s="2" t="s">
        <v>74</v>
      </c>
      <c r="Q991" s="2" t="s">
        <v>74</v>
      </c>
      <c r="R991" s="2" t="s">
        <v>74</v>
      </c>
      <c r="S991" s="2" t="s">
        <v>74</v>
      </c>
      <c r="T991" s="2" t="s">
        <v>74</v>
      </c>
      <c r="U991" s="2" t="s">
        <v>74</v>
      </c>
      <c r="V991" s="5" t="s">
        <v>7314</v>
      </c>
      <c r="W991" s="2" t="s">
        <v>74</v>
      </c>
      <c r="X991" s="2" t="s">
        <v>74</v>
      </c>
      <c r="Y991" s="2" t="s">
        <v>74</v>
      </c>
      <c r="Z991" s="2" t="s">
        <v>74</v>
      </c>
      <c r="AA991" s="2" t="s">
        <v>74</v>
      </c>
      <c r="AB991" s="2" t="s">
        <v>74</v>
      </c>
      <c r="AC991" s="2" t="s">
        <v>74</v>
      </c>
      <c r="AD991" s="2" t="s">
        <v>74</v>
      </c>
      <c r="AE991" s="2" t="s">
        <v>74</v>
      </c>
      <c r="AF991" s="2" t="s">
        <v>74</v>
      </c>
      <c r="AG991" s="2" t="s">
        <v>74</v>
      </c>
      <c r="AH991" s="2" t="s">
        <v>74</v>
      </c>
      <c r="AI991" s="2" t="s">
        <v>74</v>
      </c>
      <c r="AJ991" s="2" t="s">
        <v>74</v>
      </c>
      <c r="AK991" s="2" t="s">
        <v>74</v>
      </c>
      <c r="AL991" s="2" t="s">
        <v>74</v>
      </c>
      <c r="AM991" s="2" t="s">
        <v>74</v>
      </c>
      <c r="AN991" s="2" t="s">
        <v>74</v>
      </c>
      <c r="AO991" s="2" t="s">
        <v>1528</v>
      </c>
      <c r="AP991" s="2" t="s">
        <v>74</v>
      </c>
      <c r="AQ991" s="2" t="s">
        <v>74</v>
      </c>
      <c r="AR991" s="2" t="s">
        <v>74</v>
      </c>
      <c r="AS991" s="2" t="s">
        <v>74</v>
      </c>
      <c r="AT991" s="2" t="s">
        <v>134</v>
      </c>
      <c r="AU991" s="2">
        <v>2007</v>
      </c>
      <c r="AV991" s="2">
        <v>109</v>
      </c>
      <c r="AW991" s="2">
        <v>2</v>
      </c>
      <c r="AX991" s="2" t="s">
        <v>74</v>
      </c>
      <c r="AY991" s="2" t="s">
        <v>74</v>
      </c>
      <c r="AZ991" s="2" t="s">
        <v>74</v>
      </c>
      <c r="BA991" s="2" t="s">
        <v>74</v>
      </c>
      <c r="BB991" s="2">
        <v>475</v>
      </c>
      <c r="BC991" s="2">
        <v>480</v>
      </c>
      <c r="BD991" s="2" t="s">
        <v>74</v>
      </c>
      <c r="BE991" s="2" t="s">
        <v>7315</v>
      </c>
      <c r="BF991" s="2" t="str">
        <f>HYPERLINK("http://dx.doi.org/10.1650/0010-5422(2007)109[475:WFNTDB]2.0.CO;2","http://dx.doi.org/10.1650/0010-5422(2007)109[475:WFNTDB]2.0.CO;2")</f>
        <v>http://dx.doi.org/10.1650/0010-5422(2007)109[475:WFNTDB]2.0.CO;2</v>
      </c>
      <c r="BG991" s="2" t="s">
        <v>74</v>
      </c>
      <c r="BH991" s="2" t="s">
        <v>74</v>
      </c>
      <c r="BI991" s="2" t="s">
        <v>74</v>
      </c>
      <c r="BJ991" s="2" t="s">
        <v>74</v>
      </c>
      <c r="BK991" s="2" t="s">
        <v>74</v>
      </c>
      <c r="BL991" s="2" t="s">
        <v>74</v>
      </c>
      <c r="BM991" s="2" t="s">
        <v>74</v>
      </c>
      <c r="BN991" s="2" t="s">
        <v>74</v>
      </c>
      <c r="BO991" s="2" t="s">
        <v>74</v>
      </c>
      <c r="BP991" s="2" t="s">
        <v>74</v>
      </c>
      <c r="BQ991" s="2" t="s">
        <v>74</v>
      </c>
      <c r="BR991" s="2" t="s">
        <v>74</v>
      </c>
      <c r="BS991" s="2" t="s">
        <v>7316</v>
      </c>
      <c r="BT991" s="2" t="str">
        <f>HYPERLINK("https%3A%2F%2Fwww.webofscience.com%2Fwos%2Fwoscc%2Ffull-record%2FWOS:000246603900024","View Full Record in Web of Science")</f>
        <v>View Full Record in Web of Science</v>
      </c>
    </row>
    <row r="992" spans="1:72" s="2" customFormat="1" x14ac:dyDescent="0.4">
      <c r="A992" s="2" t="s">
        <v>72</v>
      </c>
      <c r="B992" s="2" t="s">
        <v>745</v>
      </c>
      <c r="C992" s="2" t="s">
        <v>74</v>
      </c>
      <c r="D992" s="2" t="s">
        <v>74</v>
      </c>
      <c r="E992" s="2" t="s">
        <v>74</v>
      </c>
      <c r="F992" s="2" t="s">
        <v>746</v>
      </c>
      <c r="G992" s="2" t="s">
        <v>74</v>
      </c>
      <c r="H992" s="2" t="s">
        <v>74</v>
      </c>
      <c r="I992" s="2" t="s">
        <v>747</v>
      </c>
      <c r="J992" s="2" t="s">
        <v>748</v>
      </c>
      <c r="K992" s="2" t="s">
        <v>74</v>
      </c>
      <c r="L992" s="2" t="s">
        <v>74</v>
      </c>
      <c r="M992" s="2" t="s">
        <v>74</v>
      </c>
      <c r="N992" s="2" t="s">
        <v>74</v>
      </c>
      <c r="O992" s="2" t="s">
        <v>74</v>
      </c>
      <c r="P992" s="2" t="s">
        <v>74</v>
      </c>
      <c r="Q992" s="2" t="s">
        <v>74</v>
      </c>
      <c r="R992" s="2" t="s">
        <v>74</v>
      </c>
      <c r="S992" s="2" t="s">
        <v>74</v>
      </c>
      <c r="T992" s="2" t="s">
        <v>74</v>
      </c>
      <c r="U992" s="2" t="s">
        <v>74</v>
      </c>
      <c r="V992" s="5" t="s">
        <v>749</v>
      </c>
      <c r="W992" s="2" t="s">
        <v>74</v>
      </c>
      <c r="X992" s="2" t="s">
        <v>74</v>
      </c>
      <c r="Y992" s="2" t="s">
        <v>74</v>
      </c>
      <c r="Z992" s="2" t="s">
        <v>74</v>
      </c>
      <c r="AA992" s="2" t="s">
        <v>74</v>
      </c>
      <c r="AB992" s="2" t="s">
        <v>74</v>
      </c>
      <c r="AC992" s="2" t="s">
        <v>74</v>
      </c>
      <c r="AD992" s="2" t="s">
        <v>74</v>
      </c>
      <c r="AE992" s="2" t="s">
        <v>74</v>
      </c>
      <c r="AF992" s="2" t="s">
        <v>74</v>
      </c>
      <c r="AG992" s="2" t="s">
        <v>74</v>
      </c>
      <c r="AH992" s="2" t="s">
        <v>74</v>
      </c>
      <c r="AI992" s="2" t="s">
        <v>74</v>
      </c>
      <c r="AJ992" s="2" t="s">
        <v>74</v>
      </c>
      <c r="AK992" s="2" t="s">
        <v>74</v>
      </c>
      <c r="AL992" s="2" t="s">
        <v>74</v>
      </c>
      <c r="AM992" s="2" t="s">
        <v>74</v>
      </c>
      <c r="AN992" s="2" t="s">
        <v>74</v>
      </c>
      <c r="AO992" s="2" t="s">
        <v>750</v>
      </c>
      <c r="AP992" s="2" t="s">
        <v>74</v>
      </c>
      <c r="AQ992" s="2" t="s">
        <v>74</v>
      </c>
      <c r="AR992" s="2" t="s">
        <v>74</v>
      </c>
      <c r="AS992" s="2" t="s">
        <v>74</v>
      </c>
      <c r="AT992" s="2" t="s">
        <v>255</v>
      </c>
      <c r="AU992" s="2">
        <v>2022</v>
      </c>
      <c r="AV992" s="2">
        <v>21</v>
      </c>
      <c r="AW992" s="2">
        <v>1</v>
      </c>
      <c r="AX992" s="2" t="s">
        <v>74</v>
      </c>
      <c r="AY992" s="2" t="s">
        <v>74</v>
      </c>
      <c r="AZ992" s="2" t="s">
        <v>74</v>
      </c>
      <c r="BA992" s="2" t="s">
        <v>74</v>
      </c>
      <c r="BB992" s="2">
        <v>45</v>
      </c>
      <c r="BC992" s="2">
        <v>52</v>
      </c>
      <c r="BD992" s="2" t="s">
        <v>74</v>
      </c>
      <c r="BE992" s="2" t="s">
        <v>74</v>
      </c>
      <c r="BF992" s="2" t="s">
        <v>74</v>
      </c>
      <c r="BG992" s="2" t="s">
        <v>74</v>
      </c>
      <c r="BH992" s="2" t="s">
        <v>74</v>
      </c>
      <c r="BI992" s="2" t="s">
        <v>74</v>
      </c>
      <c r="BJ992" s="2" t="s">
        <v>74</v>
      </c>
      <c r="BK992" s="2" t="s">
        <v>74</v>
      </c>
      <c r="BL992" s="2" t="s">
        <v>74</v>
      </c>
      <c r="BM992" s="2" t="s">
        <v>74</v>
      </c>
      <c r="BN992" s="2" t="s">
        <v>74</v>
      </c>
      <c r="BO992" s="2" t="s">
        <v>74</v>
      </c>
      <c r="BP992" s="2" t="s">
        <v>74</v>
      </c>
      <c r="BQ992" s="2" t="s">
        <v>74</v>
      </c>
      <c r="BR992" s="2" t="s">
        <v>74</v>
      </c>
      <c r="BS992" s="2" t="s">
        <v>751</v>
      </c>
      <c r="BT992" s="2" t="str">
        <f>HYPERLINK("https%3A%2F%2Fwww.webofscience.com%2Fwos%2Fwoscc%2Ffull-record%2FWOS:000752459100006","View Full Record in Web of Science")</f>
        <v>View Full Record in Web of Science</v>
      </c>
    </row>
    <row r="993" spans="1:72" s="2" customFormat="1" x14ac:dyDescent="0.4">
      <c r="A993" s="2" t="s">
        <v>72</v>
      </c>
      <c r="B993" s="2" t="s">
        <v>1946</v>
      </c>
      <c r="C993" s="2" t="s">
        <v>74</v>
      </c>
      <c r="D993" s="2" t="s">
        <v>74</v>
      </c>
      <c r="E993" s="2" t="s">
        <v>74</v>
      </c>
      <c r="F993" s="2" t="s">
        <v>1947</v>
      </c>
      <c r="G993" s="2" t="s">
        <v>74</v>
      </c>
      <c r="H993" s="2" t="s">
        <v>74</v>
      </c>
      <c r="I993" s="2" t="s">
        <v>1948</v>
      </c>
      <c r="J993" s="2" t="s">
        <v>1949</v>
      </c>
      <c r="K993" s="2" t="s">
        <v>74</v>
      </c>
      <c r="L993" s="2" t="s">
        <v>74</v>
      </c>
      <c r="M993" s="2" t="s">
        <v>74</v>
      </c>
      <c r="N993" s="2" t="s">
        <v>74</v>
      </c>
      <c r="O993" s="2" t="s">
        <v>74</v>
      </c>
      <c r="P993" s="2" t="s">
        <v>74</v>
      </c>
      <c r="Q993" s="2" t="s">
        <v>74</v>
      </c>
      <c r="R993" s="2" t="s">
        <v>74</v>
      </c>
      <c r="S993" s="2" t="s">
        <v>74</v>
      </c>
      <c r="T993" s="2" t="s">
        <v>74</v>
      </c>
      <c r="U993" s="2" t="s">
        <v>74</v>
      </c>
      <c r="V993" s="5" t="s">
        <v>1950</v>
      </c>
      <c r="W993" s="2" t="s">
        <v>74</v>
      </c>
      <c r="X993" s="2" t="s">
        <v>74</v>
      </c>
      <c r="Y993" s="2" t="s">
        <v>74</v>
      </c>
      <c r="Z993" s="2" t="s">
        <v>74</v>
      </c>
      <c r="AA993" s="2" t="s">
        <v>1951</v>
      </c>
      <c r="AB993" s="2" t="s">
        <v>1952</v>
      </c>
      <c r="AC993" s="2" t="s">
        <v>74</v>
      </c>
      <c r="AD993" s="2" t="s">
        <v>74</v>
      </c>
      <c r="AE993" s="2" t="s">
        <v>74</v>
      </c>
      <c r="AF993" s="2" t="s">
        <v>74</v>
      </c>
      <c r="AG993" s="2" t="s">
        <v>74</v>
      </c>
      <c r="AH993" s="2" t="s">
        <v>74</v>
      </c>
      <c r="AI993" s="2" t="s">
        <v>74</v>
      </c>
      <c r="AJ993" s="2" t="s">
        <v>74</v>
      </c>
      <c r="AK993" s="2" t="s">
        <v>74</v>
      </c>
      <c r="AL993" s="2" t="s">
        <v>74</v>
      </c>
      <c r="AM993" s="2" t="s">
        <v>74</v>
      </c>
      <c r="AN993" s="2" t="s">
        <v>74</v>
      </c>
      <c r="AO993" s="2" t="s">
        <v>74</v>
      </c>
      <c r="AP993" s="2" t="s">
        <v>1953</v>
      </c>
      <c r="AQ993" s="2" t="s">
        <v>74</v>
      </c>
      <c r="AR993" s="2" t="s">
        <v>74</v>
      </c>
      <c r="AS993" s="2" t="s">
        <v>74</v>
      </c>
      <c r="AT993" s="2" t="s">
        <v>123</v>
      </c>
      <c r="AU993" s="2">
        <v>2023</v>
      </c>
      <c r="AV993" s="2">
        <v>14</v>
      </c>
      <c r="AW993" s="2">
        <v>3</v>
      </c>
      <c r="AX993" s="2" t="s">
        <v>74</v>
      </c>
      <c r="AY993" s="2" t="s">
        <v>74</v>
      </c>
      <c r="AZ993" s="2" t="s">
        <v>74</v>
      </c>
      <c r="BA993" s="2" t="s">
        <v>74</v>
      </c>
      <c r="BB993" s="2" t="s">
        <v>74</v>
      </c>
      <c r="BC993" s="2" t="s">
        <v>74</v>
      </c>
      <c r="BD993" s="2">
        <v>227</v>
      </c>
      <c r="BE993" s="2" t="s">
        <v>1954</v>
      </c>
      <c r="BF993" s="2" t="str">
        <f>HYPERLINK("http://dx.doi.org/10.3390/insects14030227","http://dx.doi.org/10.3390/insects14030227")</f>
        <v>http://dx.doi.org/10.3390/insects14030227</v>
      </c>
      <c r="BG993" s="2" t="s">
        <v>74</v>
      </c>
      <c r="BH993" s="2" t="s">
        <v>74</v>
      </c>
      <c r="BI993" s="2" t="s">
        <v>74</v>
      </c>
      <c r="BJ993" s="2" t="s">
        <v>74</v>
      </c>
      <c r="BK993" s="2" t="s">
        <v>74</v>
      </c>
      <c r="BL993" s="2" t="s">
        <v>74</v>
      </c>
      <c r="BM993" s="2" t="s">
        <v>74</v>
      </c>
      <c r="BN993" s="2">
        <v>36975912</v>
      </c>
      <c r="BO993" s="2" t="s">
        <v>74</v>
      </c>
      <c r="BP993" s="2" t="s">
        <v>74</v>
      </c>
      <c r="BQ993" s="2" t="s">
        <v>74</v>
      </c>
      <c r="BR993" s="2" t="s">
        <v>74</v>
      </c>
      <c r="BS993" s="2" t="s">
        <v>1955</v>
      </c>
      <c r="BT993" s="2" t="str">
        <f>HYPERLINK("https%3A%2F%2Fwww.webofscience.com%2Fwos%2Fwoscc%2Ffull-record%2FWOS:000955456800001","View Full Record in Web of Science")</f>
        <v>View Full Record in Web of Science</v>
      </c>
    </row>
    <row r="994" spans="1:72" s="2" customFormat="1" x14ac:dyDescent="0.4">
      <c r="A994" s="2" t="s">
        <v>72</v>
      </c>
      <c r="B994" s="2" t="s">
        <v>8058</v>
      </c>
      <c r="C994" s="2" t="s">
        <v>74</v>
      </c>
      <c r="D994" s="2" t="s">
        <v>74</v>
      </c>
      <c r="E994" s="2" t="s">
        <v>74</v>
      </c>
      <c r="F994" s="2" t="s">
        <v>8058</v>
      </c>
      <c r="G994" s="2" t="s">
        <v>74</v>
      </c>
      <c r="H994" s="2" t="s">
        <v>74</v>
      </c>
      <c r="I994" s="2" t="s">
        <v>8059</v>
      </c>
      <c r="J994" s="2" t="s">
        <v>8060</v>
      </c>
      <c r="K994" s="2" t="s">
        <v>74</v>
      </c>
      <c r="L994" s="2" t="s">
        <v>74</v>
      </c>
      <c r="M994" s="2" t="s">
        <v>74</v>
      </c>
      <c r="N994" s="2" t="s">
        <v>74</v>
      </c>
      <c r="O994" s="2" t="s">
        <v>74</v>
      </c>
      <c r="P994" s="2" t="s">
        <v>74</v>
      </c>
      <c r="Q994" s="2" t="s">
        <v>74</v>
      </c>
      <c r="R994" s="2" t="s">
        <v>74</v>
      </c>
      <c r="S994" s="2" t="s">
        <v>74</v>
      </c>
      <c r="T994" s="2" t="s">
        <v>74</v>
      </c>
      <c r="U994" s="2" t="s">
        <v>74</v>
      </c>
      <c r="V994" s="5" t="s">
        <v>8061</v>
      </c>
      <c r="W994" s="2" t="s">
        <v>74</v>
      </c>
      <c r="X994" s="2" t="s">
        <v>74</v>
      </c>
      <c r="Y994" s="2" t="s">
        <v>74</v>
      </c>
      <c r="Z994" s="2" t="s">
        <v>74</v>
      </c>
      <c r="AA994" s="2" t="s">
        <v>74</v>
      </c>
      <c r="AB994" s="2" t="s">
        <v>74</v>
      </c>
      <c r="AC994" s="2" t="s">
        <v>74</v>
      </c>
      <c r="AD994" s="2" t="s">
        <v>74</v>
      </c>
      <c r="AE994" s="2" t="s">
        <v>74</v>
      </c>
      <c r="AF994" s="2" t="s">
        <v>74</v>
      </c>
      <c r="AG994" s="2" t="s">
        <v>74</v>
      </c>
      <c r="AH994" s="2" t="s">
        <v>74</v>
      </c>
      <c r="AI994" s="2" t="s">
        <v>74</v>
      </c>
      <c r="AJ994" s="2" t="s">
        <v>74</v>
      </c>
      <c r="AK994" s="2" t="s">
        <v>74</v>
      </c>
      <c r="AL994" s="2" t="s">
        <v>74</v>
      </c>
      <c r="AM994" s="2" t="s">
        <v>74</v>
      </c>
      <c r="AN994" s="2" t="s">
        <v>74</v>
      </c>
      <c r="AO994" s="2" t="s">
        <v>8062</v>
      </c>
      <c r="AP994" s="2" t="s">
        <v>74</v>
      </c>
      <c r="AQ994" s="2" t="s">
        <v>74</v>
      </c>
      <c r="AR994" s="2" t="s">
        <v>74</v>
      </c>
      <c r="AS994" s="2" t="s">
        <v>74</v>
      </c>
      <c r="AT994" s="2" t="s">
        <v>352</v>
      </c>
      <c r="AU994" s="2">
        <v>2002</v>
      </c>
      <c r="AV994" s="2">
        <v>104</v>
      </c>
      <c r="AW994" s="2">
        <v>3</v>
      </c>
      <c r="AX994" s="2" t="s">
        <v>74</v>
      </c>
      <c r="AY994" s="2" t="s">
        <v>74</v>
      </c>
      <c r="AZ994" s="2" t="s">
        <v>74</v>
      </c>
      <c r="BA994" s="2" t="s">
        <v>74</v>
      </c>
      <c r="BB994" s="2">
        <v>353</v>
      </c>
      <c r="BC994" s="2">
        <v>360</v>
      </c>
      <c r="BD994" s="2" t="s">
        <v>74</v>
      </c>
      <c r="BE994" s="2" t="s">
        <v>74</v>
      </c>
      <c r="BF994" s="2" t="s">
        <v>74</v>
      </c>
      <c r="BG994" s="2" t="s">
        <v>74</v>
      </c>
      <c r="BH994" s="2" t="s">
        <v>74</v>
      </c>
      <c r="BI994" s="2" t="s">
        <v>74</v>
      </c>
      <c r="BJ994" s="2" t="s">
        <v>74</v>
      </c>
      <c r="BK994" s="2" t="s">
        <v>74</v>
      </c>
      <c r="BL994" s="2" t="s">
        <v>74</v>
      </c>
      <c r="BM994" s="2" t="s">
        <v>74</v>
      </c>
      <c r="BN994" s="2" t="s">
        <v>74</v>
      </c>
      <c r="BO994" s="2" t="s">
        <v>74</v>
      </c>
      <c r="BP994" s="2" t="s">
        <v>74</v>
      </c>
      <c r="BQ994" s="2" t="s">
        <v>74</v>
      </c>
      <c r="BR994" s="2" t="s">
        <v>74</v>
      </c>
      <c r="BS994" s="2" t="s">
        <v>8063</v>
      </c>
      <c r="BT994" s="2" t="str">
        <f>HYPERLINK("https%3A%2F%2Fwww.webofscience.com%2Fwos%2Fwoscc%2Ffull-record%2FWOS:000179601800016","View Full Record in Web of Science")</f>
        <v>View Full Record in Web of Science</v>
      </c>
    </row>
    <row r="995" spans="1:72" s="2" customFormat="1" x14ac:dyDescent="0.4">
      <c r="A995" s="2" t="s">
        <v>72</v>
      </c>
      <c r="B995" s="2" t="s">
        <v>1707</v>
      </c>
      <c r="C995" s="2" t="s">
        <v>74</v>
      </c>
      <c r="D995" s="2" t="s">
        <v>74</v>
      </c>
      <c r="E995" s="2" t="s">
        <v>74</v>
      </c>
      <c r="F995" s="2" t="s">
        <v>1708</v>
      </c>
      <c r="G995" s="2" t="s">
        <v>74</v>
      </c>
      <c r="H995" s="2" t="s">
        <v>74</v>
      </c>
      <c r="I995" s="2" t="s">
        <v>1709</v>
      </c>
      <c r="J995" s="2" t="s">
        <v>119</v>
      </c>
      <c r="K995" s="2" t="s">
        <v>74</v>
      </c>
      <c r="L995" s="2" t="s">
        <v>74</v>
      </c>
      <c r="M995" s="2" t="s">
        <v>74</v>
      </c>
      <c r="N995" s="2" t="s">
        <v>74</v>
      </c>
      <c r="O995" s="2" t="s">
        <v>74</v>
      </c>
      <c r="P995" s="2" t="s">
        <v>74</v>
      </c>
      <c r="Q995" s="2" t="s">
        <v>74</v>
      </c>
      <c r="R995" s="2" t="s">
        <v>74</v>
      </c>
      <c r="S995" s="2" t="s">
        <v>74</v>
      </c>
      <c r="T995" s="2" t="s">
        <v>74</v>
      </c>
      <c r="U995" s="2" t="s">
        <v>74</v>
      </c>
      <c r="V995" s="5" t="s">
        <v>1710</v>
      </c>
      <c r="W995" s="2" t="s">
        <v>74</v>
      </c>
      <c r="X995" s="2" t="s">
        <v>74</v>
      </c>
      <c r="Y995" s="2" t="s">
        <v>74</v>
      </c>
      <c r="Z995" s="2" t="s">
        <v>74</v>
      </c>
      <c r="AA995" s="2" t="s">
        <v>379</v>
      </c>
      <c r="AB995" s="2" t="s">
        <v>74</v>
      </c>
      <c r="AC995" s="2" t="s">
        <v>74</v>
      </c>
      <c r="AD995" s="2" t="s">
        <v>74</v>
      </c>
      <c r="AE995" s="2" t="s">
        <v>74</v>
      </c>
      <c r="AF995" s="2" t="s">
        <v>74</v>
      </c>
      <c r="AG995" s="2" t="s">
        <v>74</v>
      </c>
      <c r="AH995" s="2" t="s">
        <v>74</v>
      </c>
      <c r="AI995" s="2" t="s">
        <v>74</v>
      </c>
      <c r="AJ995" s="2" t="s">
        <v>74</v>
      </c>
      <c r="AK995" s="2" t="s">
        <v>74</v>
      </c>
      <c r="AL995" s="2" t="s">
        <v>74</v>
      </c>
      <c r="AM995" s="2" t="s">
        <v>74</v>
      </c>
      <c r="AN995" s="2" t="s">
        <v>74</v>
      </c>
      <c r="AO995" s="2" t="s">
        <v>121</v>
      </c>
      <c r="AP995" s="2" t="s">
        <v>122</v>
      </c>
      <c r="AQ995" s="2" t="s">
        <v>74</v>
      </c>
      <c r="AR995" s="2" t="s">
        <v>74</v>
      </c>
      <c r="AS995" s="2" t="s">
        <v>74</v>
      </c>
      <c r="AT995" s="2" t="s">
        <v>255</v>
      </c>
      <c r="AU995" s="2">
        <v>2020</v>
      </c>
      <c r="AV995" s="2">
        <v>170</v>
      </c>
      <c r="AW995" s="2" t="s">
        <v>74</v>
      </c>
      <c r="AX995" s="2" t="s">
        <v>74</v>
      </c>
      <c r="AY995" s="2" t="s">
        <v>74</v>
      </c>
      <c r="AZ995" s="2" t="s">
        <v>74</v>
      </c>
      <c r="BA995" s="2" t="s">
        <v>74</v>
      </c>
      <c r="BB995" s="2" t="s">
        <v>74</v>
      </c>
      <c r="BC995" s="2" t="s">
        <v>74</v>
      </c>
      <c r="BD995" s="2">
        <v>104013</v>
      </c>
      <c r="BE995" s="2" t="s">
        <v>1711</v>
      </c>
      <c r="BF995" s="2" t="str">
        <f>HYPERLINK("http://dx.doi.org/10.1016/j.beproc.2019.104013","http://dx.doi.org/10.1016/j.beproc.2019.104013")</f>
        <v>http://dx.doi.org/10.1016/j.beproc.2019.104013</v>
      </c>
      <c r="BG995" s="2" t="s">
        <v>74</v>
      </c>
      <c r="BH995" s="2" t="s">
        <v>74</v>
      </c>
      <c r="BI995" s="2" t="s">
        <v>74</v>
      </c>
      <c r="BJ995" s="2" t="s">
        <v>74</v>
      </c>
      <c r="BK995" s="2" t="s">
        <v>74</v>
      </c>
      <c r="BL995" s="2" t="s">
        <v>74</v>
      </c>
      <c r="BM995" s="2" t="s">
        <v>74</v>
      </c>
      <c r="BN995" s="2">
        <v>31751600</v>
      </c>
      <c r="BO995" s="2" t="s">
        <v>74</v>
      </c>
      <c r="BP995" s="2" t="s">
        <v>74</v>
      </c>
      <c r="BQ995" s="2" t="s">
        <v>74</v>
      </c>
      <c r="BR995" s="2" t="s">
        <v>74</v>
      </c>
      <c r="BS995" s="2" t="s">
        <v>1712</v>
      </c>
      <c r="BT995" s="2" t="str">
        <f>HYPERLINK("https%3A%2F%2Fwww.webofscience.com%2Fwos%2Fwoscc%2Ffull-record%2FWOS:000519226600012","View Full Record in Web of Science")</f>
        <v>View Full Record in Web of Science</v>
      </c>
    </row>
    <row r="996" spans="1:72" s="2" customFormat="1" x14ac:dyDescent="0.4">
      <c r="A996" s="2" t="s">
        <v>72</v>
      </c>
      <c r="B996" s="2" t="s">
        <v>189</v>
      </c>
      <c r="C996" s="2" t="s">
        <v>74</v>
      </c>
      <c r="D996" s="2" t="s">
        <v>74</v>
      </c>
      <c r="E996" s="2" t="s">
        <v>74</v>
      </c>
      <c r="F996" s="2" t="s">
        <v>190</v>
      </c>
      <c r="G996" s="2" t="s">
        <v>74</v>
      </c>
      <c r="H996" s="2" t="s">
        <v>74</v>
      </c>
      <c r="I996" s="2" t="s">
        <v>191</v>
      </c>
      <c r="J996" s="2" t="s">
        <v>192</v>
      </c>
      <c r="K996" s="2" t="s">
        <v>74</v>
      </c>
      <c r="L996" s="2" t="s">
        <v>74</v>
      </c>
      <c r="M996" s="2" t="s">
        <v>74</v>
      </c>
      <c r="N996" s="2" t="s">
        <v>74</v>
      </c>
      <c r="O996" s="2" t="s">
        <v>74</v>
      </c>
      <c r="P996" s="2" t="s">
        <v>74</v>
      </c>
      <c r="Q996" s="2" t="s">
        <v>74</v>
      </c>
      <c r="R996" s="2" t="s">
        <v>74</v>
      </c>
      <c r="S996" s="2" t="s">
        <v>74</v>
      </c>
      <c r="T996" s="2" t="s">
        <v>74</v>
      </c>
      <c r="U996" s="2" t="s">
        <v>74</v>
      </c>
      <c r="V996" s="5" t="s">
        <v>193</v>
      </c>
      <c r="W996" s="2" t="s">
        <v>74</v>
      </c>
      <c r="X996" s="2" t="s">
        <v>74</v>
      </c>
      <c r="Y996" s="2" t="s">
        <v>74</v>
      </c>
      <c r="Z996" s="2" t="s">
        <v>74</v>
      </c>
      <c r="AA996" s="2" t="s">
        <v>163</v>
      </c>
      <c r="AB996" s="2" t="s">
        <v>194</v>
      </c>
      <c r="AC996" s="2" t="s">
        <v>74</v>
      </c>
      <c r="AD996" s="2" t="s">
        <v>74</v>
      </c>
      <c r="AE996" s="2" t="s">
        <v>74</v>
      </c>
      <c r="AF996" s="2" t="s">
        <v>74</v>
      </c>
      <c r="AG996" s="2" t="s">
        <v>74</v>
      </c>
      <c r="AH996" s="2" t="s">
        <v>74</v>
      </c>
      <c r="AI996" s="2" t="s">
        <v>74</v>
      </c>
      <c r="AJ996" s="2" t="s">
        <v>74</v>
      </c>
      <c r="AK996" s="2" t="s">
        <v>74</v>
      </c>
      <c r="AL996" s="2" t="s">
        <v>74</v>
      </c>
      <c r="AM996" s="2" t="s">
        <v>74</v>
      </c>
      <c r="AN996" s="2" t="s">
        <v>74</v>
      </c>
      <c r="AO996" s="2" t="s">
        <v>195</v>
      </c>
      <c r="AP996" s="2" t="s">
        <v>196</v>
      </c>
      <c r="AQ996" s="2" t="s">
        <v>74</v>
      </c>
      <c r="AR996" s="2" t="s">
        <v>74</v>
      </c>
      <c r="AS996" s="2" t="s">
        <v>74</v>
      </c>
      <c r="AT996" s="2" t="s">
        <v>134</v>
      </c>
      <c r="AU996" s="2">
        <v>2017</v>
      </c>
      <c r="AV996" s="2">
        <v>791</v>
      </c>
      <c r="AW996" s="2">
        <v>1</v>
      </c>
      <c r="AX996" s="2" t="s">
        <v>74</v>
      </c>
      <c r="AY996" s="2" t="s">
        <v>74</v>
      </c>
      <c r="AZ996" s="2" t="s">
        <v>74</v>
      </c>
      <c r="BA996" s="2" t="s">
        <v>74</v>
      </c>
      <c r="BB996" s="2">
        <v>237</v>
      </c>
      <c r="BC996" s="2">
        <v>245</v>
      </c>
      <c r="BD996" s="2" t="s">
        <v>74</v>
      </c>
      <c r="BE996" s="2" t="s">
        <v>197</v>
      </c>
      <c r="BF996" s="2" t="str">
        <f>HYPERLINK("http://dx.doi.org/10.1007/s10750-016-2889-1","http://dx.doi.org/10.1007/s10750-016-2889-1")</f>
        <v>http://dx.doi.org/10.1007/s10750-016-2889-1</v>
      </c>
      <c r="BG996" s="2" t="s">
        <v>74</v>
      </c>
      <c r="BH996" s="2" t="s">
        <v>74</v>
      </c>
      <c r="BI996" s="2" t="s">
        <v>74</v>
      </c>
      <c r="BJ996" s="2" t="s">
        <v>74</v>
      </c>
      <c r="BK996" s="2" t="s">
        <v>74</v>
      </c>
      <c r="BL996" s="2" t="s">
        <v>74</v>
      </c>
      <c r="BM996" s="2" t="s">
        <v>74</v>
      </c>
      <c r="BN996" s="2" t="s">
        <v>74</v>
      </c>
      <c r="BO996" s="2" t="s">
        <v>74</v>
      </c>
      <c r="BP996" s="2" t="s">
        <v>74</v>
      </c>
      <c r="BQ996" s="2" t="s">
        <v>74</v>
      </c>
      <c r="BR996" s="2" t="s">
        <v>74</v>
      </c>
      <c r="BS996" s="2" t="s">
        <v>198</v>
      </c>
      <c r="BT996" s="2" t="str">
        <f>HYPERLINK("https%3A%2F%2Fwww.webofscience.com%2Fwos%2Fwoscc%2Ffull-record%2FWOS:000396043800017","View Full Record in Web of Science")</f>
        <v>View Full Record in Web of Science</v>
      </c>
    </row>
    <row r="997" spans="1:72" s="7" customFormat="1" x14ac:dyDescent="0.4">
      <c r="A997" s="2" t="s">
        <v>72</v>
      </c>
      <c r="B997" s="2" t="s">
        <v>5555</v>
      </c>
      <c r="C997" s="2" t="s">
        <v>74</v>
      </c>
      <c r="D997" s="2" t="s">
        <v>74</v>
      </c>
      <c r="E997" s="2" t="s">
        <v>74</v>
      </c>
      <c r="F997" s="2" t="s">
        <v>5556</v>
      </c>
      <c r="G997" s="2" t="s">
        <v>74</v>
      </c>
      <c r="H997" s="2" t="s">
        <v>74</v>
      </c>
      <c r="I997" s="2" t="s">
        <v>5557</v>
      </c>
      <c r="J997" s="2" t="s">
        <v>576</v>
      </c>
      <c r="K997" s="2" t="s">
        <v>74</v>
      </c>
      <c r="L997" s="2" t="s">
        <v>74</v>
      </c>
      <c r="M997" s="2" t="s">
        <v>74</v>
      </c>
      <c r="N997" s="2" t="s">
        <v>74</v>
      </c>
      <c r="O997" s="2" t="s">
        <v>74</v>
      </c>
      <c r="P997" s="2" t="s">
        <v>74</v>
      </c>
      <c r="Q997" s="2" t="s">
        <v>74</v>
      </c>
      <c r="R997" s="2" t="s">
        <v>74</v>
      </c>
      <c r="S997" s="2" t="s">
        <v>74</v>
      </c>
      <c r="T997" s="2" t="s">
        <v>74</v>
      </c>
      <c r="U997" s="2" t="s">
        <v>74</v>
      </c>
      <c r="V997" s="5" t="s">
        <v>5558</v>
      </c>
      <c r="W997" s="2" t="s">
        <v>74</v>
      </c>
      <c r="X997" s="2" t="s">
        <v>74</v>
      </c>
      <c r="Y997" s="2" t="s">
        <v>74</v>
      </c>
      <c r="Z997" s="2" t="s">
        <v>74</v>
      </c>
      <c r="AA997" s="2" t="s">
        <v>5559</v>
      </c>
      <c r="AB997" s="2" t="s">
        <v>5560</v>
      </c>
      <c r="AC997" s="2" t="s">
        <v>74</v>
      </c>
      <c r="AD997" s="2" t="s">
        <v>74</v>
      </c>
      <c r="AE997" s="2" t="s">
        <v>74</v>
      </c>
      <c r="AF997" s="2" t="s">
        <v>74</v>
      </c>
      <c r="AG997" s="2" t="s">
        <v>74</v>
      </c>
      <c r="AH997" s="2" t="s">
        <v>74</v>
      </c>
      <c r="AI997" s="2" t="s">
        <v>74</v>
      </c>
      <c r="AJ997" s="2" t="s">
        <v>74</v>
      </c>
      <c r="AK997" s="2" t="s">
        <v>74</v>
      </c>
      <c r="AL997" s="2" t="s">
        <v>74</v>
      </c>
      <c r="AM997" s="2" t="s">
        <v>74</v>
      </c>
      <c r="AN997" s="2" t="s">
        <v>74</v>
      </c>
      <c r="AO997" s="2" t="s">
        <v>579</v>
      </c>
      <c r="AP997" s="2" t="s">
        <v>580</v>
      </c>
      <c r="AQ997" s="2" t="s">
        <v>74</v>
      </c>
      <c r="AR997" s="2" t="s">
        <v>74</v>
      </c>
      <c r="AS997" s="2" t="s">
        <v>74</v>
      </c>
      <c r="AT997" s="2" t="s">
        <v>213</v>
      </c>
      <c r="AU997" s="2">
        <v>2009</v>
      </c>
      <c r="AV997" s="2">
        <v>23</v>
      </c>
      <c r="AW997" s="2">
        <v>6</v>
      </c>
      <c r="AX997" s="2" t="s">
        <v>74</v>
      </c>
      <c r="AY997" s="2" t="s">
        <v>74</v>
      </c>
      <c r="AZ997" s="2" t="s">
        <v>74</v>
      </c>
      <c r="BA997" s="2" t="s">
        <v>74</v>
      </c>
      <c r="BB997" s="2">
        <v>943</v>
      </c>
      <c r="BC997" s="2">
        <v>961</v>
      </c>
      <c r="BD997" s="2" t="s">
        <v>74</v>
      </c>
      <c r="BE997" s="2" t="s">
        <v>5561</v>
      </c>
      <c r="BF997" s="2" t="str">
        <f>HYPERLINK("http://dx.doi.org/10.1007/s10682-008-9283-z","http://dx.doi.org/10.1007/s10682-008-9283-z")</f>
        <v>http://dx.doi.org/10.1007/s10682-008-9283-z</v>
      </c>
      <c r="BG997" s="2" t="s">
        <v>74</v>
      </c>
      <c r="BH997" s="2" t="s">
        <v>74</v>
      </c>
      <c r="BI997" s="2" t="s">
        <v>74</v>
      </c>
      <c r="BJ997" s="2" t="s">
        <v>74</v>
      </c>
      <c r="BK997" s="2" t="s">
        <v>74</v>
      </c>
      <c r="BL997" s="2" t="s">
        <v>74</v>
      </c>
      <c r="BM997" s="2" t="s">
        <v>74</v>
      </c>
      <c r="BN997" s="2" t="s">
        <v>74</v>
      </c>
      <c r="BO997" s="2" t="s">
        <v>74</v>
      </c>
      <c r="BP997" s="2" t="s">
        <v>74</v>
      </c>
      <c r="BQ997" s="2" t="s">
        <v>74</v>
      </c>
      <c r="BR997" s="2" t="s">
        <v>74</v>
      </c>
      <c r="BS997" s="2" t="s">
        <v>5562</v>
      </c>
      <c r="BT997" s="2" t="str">
        <f>HYPERLINK("https%3A%2F%2Fwww.webofscience.com%2Fwos%2Fwoscc%2Ffull-record%2FWOS:000271949700009","View Full Record in Web of Science")</f>
        <v>View Full Record in Web of Science</v>
      </c>
    </row>
    <row r="998" spans="1:72" s="2" customFormat="1" x14ac:dyDescent="0.4">
      <c r="A998" s="2" t="s">
        <v>72</v>
      </c>
      <c r="B998" s="2" t="s">
        <v>5425</v>
      </c>
      <c r="C998" s="2" t="s">
        <v>74</v>
      </c>
      <c r="D998" s="2" t="s">
        <v>74</v>
      </c>
      <c r="E998" s="2" t="s">
        <v>74</v>
      </c>
      <c r="F998" s="2" t="s">
        <v>5426</v>
      </c>
      <c r="G998" s="2" t="s">
        <v>74</v>
      </c>
      <c r="H998" s="2" t="s">
        <v>74</v>
      </c>
      <c r="I998" s="2" t="s">
        <v>5427</v>
      </c>
      <c r="J998" s="2" t="s">
        <v>5428</v>
      </c>
      <c r="K998" s="2" t="s">
        <v>74</v>
      </c>
      <c r="L998" s="2" t="s">
        <v>74</v>
      </c>
      <c r="M998" s="2" t="s">
        <v>74</v>
      </c>
      <c r="N998" s="2" t="s">
        <v>74</v>
      </c>
      <c r="O998" s="2" t="s">
        <v>74</v>
      </c>
      <c r="P998" s="2" t="s">
        <v>74</v>
      </c>
      <c r="Q998" s="2" t="s">
        <v>74</v>
      </c>
      <c r="R998" s="2" t="s">
        <v>74</v>
      </c>
      <c r="S998" s="2" t="s">
        <v>74</v>
      </c>
      <c r="T998" s="2" t="s">
        <v>74</v>
      </c>
      <c r="U998" s="2" t="s">
        <v>74</v>
      </c>
      <c r="V998" s="5" t="s">
        <v>5429</v>
      </c>
      <c r="W998" s="2" t="s">
        <v>74</v>
      </c>
      <c r="X998" s="2" t="s">
        <v>74</v>
      </c>
      <c r="Y998" s="2" t="s">
        <v>74</v>
      </c>
      <c r="Z998" s="2" t="s">
        <v>74</v>
      </c>
      <c r="AA998" s="2" t="s">
        <v>4828</v>
      </c>
      <c r="AB998" s="2" t="s">
        <v>4829</v>
      </c>
      <c r="AC998" s="2" t="s">
        <v>74</v>
      </c>
      <c r="AD998" s="2" t="s">
        <v>74</v>
      </c>
      <c r="AE998" s="2" t="s">
        <v>74</v>
      </c>
      <c r="AF998" s="2" t="s">
        <v>74</v>
      </c>
      <c r="AG998" s="2" t="s">
        <v>74</v>
      </c>
      <c r="AH998" s="2" t="s">
        <v>74</v>
      </c>
      <c r="AI998" s="2" t="s">
        <v>74</v>
      </c>
      <c r="AJ998" s="2" t="s">
        <v>74</v>
      </c>
      <c r="AK998" s="2" t="s">
        <v>74</v>
      </c>
      <c r="AL998" s="2" t="s">
        <v>74</v>
      </c>
      <c r="AM998" s="2" t="s">
        <v>74</v>
      </c>
      <c r="AN998" s="2" t="s">
        <v>74</v>
      </c>
      <c r="AO998" s="2" t="s">
        <v>5430</v>
      </c>
      <c r="AP998" s="2" t="s">
        <v>5431</v>
      </c>
      <c r="AQ998" s="2" t="s">
        <v>74</v>
      </c>
      <c r="AR998" s="2" t="s">
        <v>74</v>
      </c>
      <c r="AS998" s="2" t="s">
        <v>74</v>
      </c>
      <c r="AT998" s="2" t="s">
        <v>352</v>
      </c>
      <c r="AU998" s="2">
        <v>2002</v>
      </c>
      <c r="AV998" s="2">
        <v>3</v>
      </c>
      <c r="AW998" s="2">
        <v>3</v>
      </c>
      <c r="AX998" s="2" t="s">
        <v>74</v>
      </c>
      <c r="AY998" s="2" t="s">
        <v>74</v>
      </c>
      <c r="AZ998" s="2" t="s">
        <v>74</v>
      </c>
      <c r="BA998" s="2" t="s">
        <v>74</v>
      </c>
      <c r="BB998" s="2">
        <v>213</v>
      </c>
      <c r="BC998" s="2">
        <v>224</v>
      </c>
      <c r="BD998" s="2" t="s">
        <v>74</v>
      </c>
      <c r="BE998" s="2" t="s">
        <v>5432</v>
      </c>
      <c r="BF998" s="2" t="str">
        <f>HYPERLINK("http://dx.doi.org/10.1046/j.1467-2979.2002.00088.x","http://dx.doi.org/10.1046/j.1467-2979.2002.00088.x")</f>
        <v>http://dx.doi.org/10.1046/j.1467-2979.2002.00088.x</v>
      </c>
      <c r="BG998" s="2" t="s">
        <v>74</v>
      </c>
      <c r="BH998" s="2" t="s">
        <v>74</v>
      </c>
      <c r="BI998" s="2" t="s">
        <v>74</v>
      </c>
      <c r="BJ998" s="2" t="s">
        <v>74</v>
      </c>
      <c r="BK998" s="2" t="s">
        <v>74</v>
      </c>
      <c r="BL998" s="2" t="s">
        <v>74</v>
      </c>
      <c r="BM998" s="2" t="s">
        <v>74</v>
      </c>
      <c r="BN998" s="2" t="s">
        <v>74</v>
      </c>
      <c r="BO998" s="2" t="s">
        <v>74</v>
      </c>
      <c r="BP998" s="2" t="s">
        <v>74</v>
      </c>
      <c r="BQ998" s="2" t="s">
        <v>74</v>
      </c>
      <c r="BR998" s="2" t="s">
        <v>74</v>
      </c>
      <c r="BS998" s="2" t="s">
        <v>5433</v>
      </c>
      <c r="BT998" s="2" t="str">
        <f>HYPERLINK("https%3A%2F%2Fwww.webofscience.com%2Fwos%2Fwoscc%2Ffull-record%2FWOS:000208993800007","View Full Record in Web of Science")</f>
        <v>View Full Record in Web of Science</v>
      </c>
    </row>
    <row r="999" spans="1:72" s="2" customFormat="1" x14ac:dyDescent="0.4">
      <c r="A999" s="2" t="s">
        <v>72</v>
      </c>
      <c r="B999" s="2" t="s">
        <v>1249</v>
      </c>
      <c r="C999" s="2" t="s">
        <v>74</v>
      </c>
      <c r="D999" s="2" t="s">
        <v>74</v>
      </c>
      <c r="E999" s="2" t="s">
        <v>74</v>
      </c>
      <c r="F999" s="2" t="s">
        <v>1249</v>
      </c>
      <c r="G999" s="2" t="s">
        <v>74</v>
      </c>
      <c r="H999" s="2" t="s">
        <v>74</v>
      </c>
      <c r="I999" s="2" t="s">
        <v>1250</v>
      </c>
      <c r="J999" s="2" t="s">
        <v>108</v>
      </c>
      <c r="K999" s="2" t="s">
        <v>74</v>
      </c>
      <c r="L999" s="2" t="s">
        <v>74</v>
      </c>
      <c r="M999" s="2" t="s">
        <v>74</v>
      </c>
      <c r="N999" s="2" t="s">
        <v>74</v>
      </c>
      <c r="O999" s="2" t="s">
        <v>74</v>
      </c>
      <c r="P999" s="2" t="s">
        <v>74</v>
      </c>
      <c r="Q999" s="2" t="s">
        <v>74</v>
      </c>
      <c r="R999" s="2" t="s">
        <v>74</v>
      </c>
      <c r="S999" s="2" t="s">
        <v>74</v>
      </c>
      <c r="T999" s="2" t="s">
        <v>74</v>
      </c>
      <c r="U999" s="2" t="s">
        <v>74</v>
      </c>
      <c r="V999" s="5" t="s">
        <v>1251</v>
      </c>
      <c r="W999" s="2" t="s">
        <v>74</v>
      </c>
      <c r="X999" s="2" t="s">
        <v>74</v>
      </c>
      <c r="Y999" s="2" t="s">
        <v>74</v>
      </c>
      <c r="Z999" s="2" t="s">
        <v>74</v>
      </c>
      <c r="AA999" s="2" t="s">
        <v>1252</v>
      </c>
      <c r="AB999" s="2" t="s">
        <v>74</v>
      </c>
      <c r="AC999" s="2" t="s">
        <v>74</v>
      </c>
      <c r="AD999" s="2" t="s">
        <v>74</v>
      </c>
      <c r="AE999" s="2" t="s">
        <v>74</v>
      </c>
      <c r="AF999" s="2" t="s">
        <v>74</v>
      </c>
      <c r="AG999" s="2" t="s">
        <v>74</v>
      </c>
      <c r="AH999" s="2" t="s">
        <v>74</v>
      </c>
      <c r="AI999" s="2" t="s">
        <v>74</v>
      </c>
      <c r="AJ999" s="2" t="s">
        <v>74</v>
      </c>
      <c r="AK999" s="2" t="s">
        <v>74</v>
      </c>
      <c r="AL999" s="2" t="s">
        <v>74</v>
      </c>
      <c r="AM999" s="2" t="s">
        <v>74</v>
      </c>
      <c r="AN999" s="2" t="s">
        <v>74</v>
      </c>
      <c r="AO999" s="2" t="s">
        <v>111</v>
      </c>
      <c r="AP999" s="2" t="s">
        <v>74</v>
      </c>
      <c r="AQ999" s="2" t="s">
        <v>74</v>
      </c>
      <c r="AR999" s="2" t="s">
        <v>74</v>
      </c>
      <c r="AS999" s="2" t="s">
        <v>74</v>
      </c>
      <c r="AT999" s="2" t="s">
        <v>1253</v>
      </c>
      <c r="AU999" s="2">
        <v>2004</v>
      </c>
      <c r="AV999" s="2">
        <v>271</v>
      </c>
      <c r="AW999" s="2">
        <v>1548</v>
      </c>
      <c r="AX999" s="2" t="s">
        <v>74</v>
      </c>
      <c r="AY999" s="2" t="s">
        <v>74</v>
      </c>
      <c r="AZ999" s="2" t="s">
        <v>74</v>
      </c>
      <c r="BA999" s="2" t="s">
        <v>74</v>
      </c>
      <c r="BB999" s="2">
        <v>1577</v>
      </c>
      <c r="BC999" s="2">
        <v>1584</v>
      </c>
      <c r="BD999" s="2" t="s">
        <v>74</v>
      </c>
      <c r="BE999" s="2" t="s">
        <v>1254</v>
      </c>
      <c r="BF999" s="2" t="str">
        <f>HYPERLINK("http://dx.doi.org/10.1098/rspb.2004.2781","http://dx.doi.org/10.1098/rspb.2004.2781")</f>
        <v>http://dx.doi.org/10.1098/rspb.2004.2781</v>
      </c>
      <c r="BG999" s="2" t="s">
        <v>74</v>
      </c>
      <c r="BH999" s="2" t="s">
        <v>74</v>
      </c>
      <c r="BI999" s="2" t="s">
        <v>74</v>
      </c>
      <c r="BJ999" s="2" t="s">
        <v>74</v>
      </c>
      <c r="BK999" s="2" t="s">
        <v>74</v>
      </c>
      <c r="BL999" s="2" t="s">
        <v>74</v>
      </c>
      <c r="BM999" s="2" t="s">
        <v>74</v>
      </c>
      <c r="BN999" s="2">
        <v>15306303</v>
      </c>
      <c r="BO999" s="2" t="s">
        <v>74</v>
      </c>
      <c r="BP999" s="2" t="s">
        <v>74</v>
      </c>
      <c r="BQ999" s="2" t="s">
        <v>74</v>
      </c>
      <c r="BR999" s="2" t="s">
        <v>74</v>
      </c>
      <c r="BS999" s="2" t="s">
        <v>1255</v>
      </c>
      <c r="BT999" s="2" t="str">
        <f>HYPERLINK("https%3A%2F%2Fwww.webofscience.com%2Fwos%2Fwoscc%2Ffull-record%2FWOS:000222995100005","View Full Record in Web of Science")</f>
        <v>View Full Record in Web of Science</v>
      </c>
    </row>
    <row r="1000" spans="1:72" s="2" customFormat="1" x14ac:dyDescent="0.4">
      <c r="A1000" s="2" t="s">
        <v>72</v>
      </c>
      <c r="B1000" s="2" t="s">
        <v>8539</v>
      </c>
      <c r="C1000" s="2" t="s">
        <v>74</v>
      </c>
      <c r="D1000" s="2" t="s">
        <v>74</v>
      </c>
      <c r="E1000" s="2" t="s">
        <v>74</v>
      </c>
      <c r="F1000" s="2" t="s">
        <v>8540</v>
      </c>
      <c r="G1000" s="2" t="s">
        <v>74</v>
      </c>
      <c r="H1000" s="2" t="s">
        <v>74</v>
      </c>
      <c r="I1000" s="2" t="s">
        <v>8541</v>
      </c>
      <c r="J1000" s="2" t="s">
        <v>171</v>
      </c>
      <c r="K1000" s="2" t="s">
        <v>74</v>
      </c>
      <c r="L1000" s="2" t="s">
        <v>74</v>
      </c>
      <c r="M1000" s="2" t="s">
        <v>74</v>
      </c>
      <c r="N1000" s="2" t="s">
        <v>74</v>
      </c>
      <c r="O1000" s="2" t="s">
        <v>74</v>
      </c>
      <c r="P1000" s="2" t="s">
        <v>74</v>
      </c>
      <c r="Q1000" s="2" t="s">
        <v>74</v>
      </c>
      <c r="R1000" s="2" t="s">
        <v>74</v>
      </c>
      <c r="S1000" s="2" t="s">
        <v>74</v>
      </c>
      <c r="T1000" s="2" t="s">
        <v>74</v>
      </c>
      <c r="U1000" s="2" t="s">
        <v>74</v>
      </c>
      <c r="V1000" s="5" t="s">
        <v>8542</v>
      </c>
      <c r="W1000" s="2" t="s">
        <v>74</v>
      </c>
      <c r="X1000" s="2" t="s">
        <v>74</v>
      </c>
      <c r="Y1000" s="2" t="s">
        <v>74</v>
      </c>
      <c r="Z1000" s="2" t="s">
        <v>74</v>
      </c>
      <c r="AA1000" s="2" t="s">
        <v>74</v>
      </c>
      <c r="AB1000" s="2" t="s">
        <v>322</v>
      </c>
      <c r="AC1000" s="2" t="s">
        <v>74</v>
      </c>
      <c r="AD1000" s="2" t="s">
        <v>74</v>
      </c>
      <c r="AE1000" s="2" t="s">
        <v>74</v>
      </c>
      <c r="AF1000" s="2" t="s">
        <v>74</v>
      </c>
      <c r="AG1000" s="2" t="s">
        <v>74</v>
      </c>
      <c r="AH1000" s="2" t="s">
        <v>74</v>
      </c>
      <c r="AI1000" s="2" t="s">
        <v>74</v>
      </c>
      <c r="AJ1000" s="2" t="s">
        <v>74</v>
      </c>
      <c r="AK1000" s="2" t="s">
        <v>74</v>
      </c>
      <c r="AL1000" s="2" t="s">
        <v>74</v>
      </c>
      <c r="AM1000" s="2" t="s">
        <v>74</v>
      </c>
      <c r="AN1000" s="2" t="s">
        <v>74</v>
      </c>
      <c r="AO1000" s="2" t="s">
        <v>173</v>
      </c>
      <c r="AP1000" s="2" t="s">
        <v>174</v>
      </c>
      <c r="AQ1000" s="2" t="s">
        <v>74</v>
      </c>
      <c r="AR1000" s="2" t="s">
        <v>74</v>
      </c>
      <c r="AS1000" s="2" t="s">
        <v>74</v>
      </c>
      <c r="AT1000" s="2" t="s">
        <v>204</v>
      </c>
      <c r="AU1000" s="2">
        <v>2006</v>
      </c>
      <c r="AV1000" s="2">
        <v>60</v>
      </c>
      <c r="AW1000" s="2">
        <v>7</v>
      </c>
      <c r="AX1000" s="2" t="s">
        <v>74</v>
      </c>
      <c r="AY1000" s="2" t="s">
        <v>74</v>
      </c>
      <c r="AZ1000" s="2" t="s">
        <v>74</v>
      </c>
      <c r="BA1000" s="2" t="s">
        <v>74</v>
      </c>
      <c r="BB1000" s="2">
        <v>1476</v>
      </c>
      <c r="BC1000" s="2">
        <v>1485</v>
      </c>
      <c r="BD1000" s="2" t="s">
        <v>74</v>
      </c>
      <c r="BE1000" s="2" t="s">
        <v>8543</v>
      </c>
      <c r="BF1000" s="2" t="str">
        <f>HYPERLINK("http://dx.doi.org/10.1111/j.0014-3820.2006.tb01226.x","http://dx.doi.org/10.1111/j.0014-3820.2006.tb01226.x")</f>
        <v>http://dx.doi.org/10.1111/j.0014-3820.2006.tb01226.x</v>
      </c>
      <c r="BG1000" s="2" t="s">
        <v>74</v>
      </c>
      <c r="BH1000" s="2" t="s">
        <v>74</v>
      </c>
      <c r="BI1000" s="2" t="s">
        <v>74</v>
      </c>
      <c r="BJ1000" s="2" t="s">
        <v>74</v>
      </c>
      <c r="BK1000" s="2" t="s">
        <v>74</v>
      </c>
      <c r="BL1000" s="2" t="s">
        <v>74</v>
      </c>
      <c r="BM1000" s="2" t="s">
        <v>74</v>
      </c>
      <c r="BN1000" s="2">
        <v>16929664</v>
      </c>
      <c r="BO1000" s="2" t="s">
        <v>74</v>
      </c>
      <c r="BP1000" s="2" t="s">
        <v>74</v>
      </c>
      <c r="BQ1000" s="2" t="s">
        <v>74</v>
      </c>
      <c r="BR1000" s="2" t="s">
        <v>74</v>
      </c>
      <c r="BS1000" s="2" t="s">
        <v>8544</v>
      </c>
      <c r="BT1000" s="2" t="str">
        <f>HYPERLINK("https%3A%2F%2Fwww.webofscience.com%2Fwos%2Fwoscc%2Ffull-record%2FWOS:000239682300015","View Full Record in Web of Science")</f>
        <v>View Full Record in Web of Science</v>
      </c>
    </row>
    <row r="1001" spans="1:72" s="2" customFormat="1" x14ac:dyDescent="0.4">
      <c r="A1001" s="2" t="s">
        <v>72</v>
      </c>
      <c r="B1001" s="2" t="s">
        <v>4537</v>
      </c>
      <c r="C1001" s="2" t="s">
        <v>74</v>
      </c>
      <c r="D1001" s="2" t="s">
        <v>74</v>
      </c>
      <c r="E1001" s="2" t="s">
        <v>74</v>
      </c>
      <c r="F1001" s="2" t="s">
        <v>4538</v>
      </c>
      <c r="G1001" s="2" t="s">
        <v>74</v>
      </c>
      <c r="H1001" s="2" t="s">
        <v>74</v>
      </c>
      <c r="I1001" s="2" t="s">
        <v>4539</v>
      </c>
      <c r="J1001" s="2" t="s">
        <v>4540</v>
      </c>
      <c r="K1001" s="2" t="s">
        <v>74</v>
      </c>
      <c r="L1001" s="2" t="s">
        <v>74</v>
      </c>
      <c r="M1001" s="2" t="s">
        <v>74</v>
      </c>
      <c r="N1001" s="2" t="s">
        <v>74</v>
      </c>
      <c r="O1001" s="2" t="s">
        <v>74</v>
      </c>
      <c r="P1001" s="2" t="s">
        <v>74</v>
      </c>
      <c r="Q1001" s="2" t="s">
        <v>74</v>
      </c>
      <c r="R1001" s="2" t="s">
        <v>74</v>
      </c>
      <c r="S1001" s="2" t="s">
        <v>74</v>
      </c>
      <c r="T1001" s="2" t="s">
        <v>74</v>
      </c>
      <c r="U1001" s="2" t="s">
        <v>74</v>
      </c>
      <c r="V1001" s="5" t="s">
        <v>4541</v>
      </c>
      <c r="W1001" s="2" t="s">
        <v>74</v>
      </c>
      <c r="X1001" s="2" t="s">
        <v>74</v>
      </c>
      <c r="Y1001" s="2" t="s">
        <v>74</v>
      </c>
      <c r="Z1001" s="2" t="s">
        <v>74</v>
      </c>
      <c r="AA1001" s="2" t="s">
        <v>4542</v>
      </c>
      <c r="AB1001" s="2" t="s">
        <v>4543</v>
      </c>
      <c r="AC1001" s="2" t="s">
        <v>74</v>
      </c>
      <c r="AD1001" s="2" t="s">
        <v>74</v>
      </c>
      <c r="AE1001" s="2" t="s">
        <v>74</v>
      </c>
      <c r="AF1001" s="2" t="s">
        <v>74</v>
      </c>
      <c r="AG1001" s="2" t="s">
        <v>74</v>
      </c>
      <c r="AH1001" s="2" t="s">
        <v>74</v>
      </c>
      <c r="AI1001" s="2" t="s">
        <v>74</v>
      </c>
      <c r="AJ1001" s="2" t="s">
        <v>74</v>
      </c>
      <c r="AK1001" s="2" t="s">
        <v>74</v>
      </c>
      <c r="AL1001" s="2" t="s">
        <v>74</v>
      </c>
      <c r="AM1001" s="2" t="s">
        <v>74</v>
      </c>
      <c r="AN1001" s="2" t="s">
        <v>74</v>
      </c>
      <c r="AO1001" s="2" t="s">
        <v>4544</v>
      </c>
      <c r="AP1001" s="2" t="s">
        <v>4545</v>
      </c>
      <c r="AQ1001" s="2" t="s">
        <v>74</v>
      </c>
      <c r="AR1001" s="2" t="s">
        <v>74</v>
      </c>
      <c r="AS1001" s="2" t="s">
        <v>74</v>
      </c>
      <c r="AT1001" s="2" t="s">
        <v>102</v>
      </c>
      <c r="AU1001" s="2">
        <v>2016</v>
      </c>
      <c r="AV1001" s="2">
        <v>99</v>
      </c>
      <c r="AW1001" s="2" t="s">
        <v>74</v>
      </c>
      <c r="AX1001" s="2" t="s">
        <v>74</v>
      </c>
      <c r="AY1001" s="2" t="s">
        <v>74</v>
      </c>
      <c r="AZ1001" s="2">
        <v>1</v>
      </c>
      <c r="BA1001" s="2" t="s">
        <v>74</v>
      </c>
      <c r="BB1001" s="2">
        <v>192</v>
      </c>
      <c r="BC1001" s="2">
        <v>199</v>
      </c>
      <c r="BD1001" s="2" t="s">
        <v>74</v>
      </c>
      <c r="BE1001" s="2" t="s">
        <v>4546</v>
      </c>
      <c r="BF1001" s="2" t="str">
        <f>HYPERLINK("http://dx.doi.org/10.1653/024.099.sp123","http://dx.doi.org/10.1653/024.099.sp123")</f>
        <v>http://dx.doi.org/10.1653/024.099.sp123</v>
      </c>
      <c r="BG1001" s="2" t="s">
        <v>74</v>
      </c>
      <c r="BH1001" s="2" t="s">
        <v>74</v>
      </c>
      <c r="BI1001" s="2" t="s">
        <v>74</v>
      </c>
      <c r="BJ1001" s="2" t="s">
        <v>74</v>
      </c>
      <c r="BK1001" s="2" t="s">
        <v>74</v>
      </c>
      <c r="BL1001" s="2" t="s">
        <v>74</v>
      </c>
      <c r="BM1001" s="2" t="s">
        <v>74</v>
      </c>
      <c r="BN1001" s="2" t="s">
        <v>74</v>
      </c>
      <c r="BO1001" s="2" t="s">
        <v>74</v>
      </c>
      <c r="BP1001" s="2" t="s">
        <v>74</v>
      </c>
      <c r="BQ1001" s="2" t="s">
        <v>74</v>
      </c>
      <c r="BR1001" s="2" t="s">
        <v>74</v>
      </c>
      <c r="BS1001" s="2" t="s">
        <v>4547</v>
      </c>
      <c r="BT1001" s="2" t="str">
        <f>HYPERLINK("https%3A%2F%2Fwww.webofscience.com%2Fwos%2Fwoscc%2Ffull-record%2FWOS:000382249300022","View Full Record in Web of Science")</f>
        <v>View Full Record in Web of Science</v>
      </c>
    </row>
    <row r="1002" spans="1:72" s="1" customFormat="1" x14ac:dyDescent="0.4">
      <c r="A1002" s="2" t="s">
        <v>72</v>
      </c>
      <c r="B1002" s="2" t="s">
        <v>2919</v>
      </c>
      <c r="C1002" s="2" t="s">
        <v>74</v>
      </c>
      <c r="D1002" s="2" t="s">
        <v>74</v>
      </c>
      <c r="E1002" s="2" t="s">
        <v>74</v>
      </c>
      <c r="F1002" s="2" t="s">
        <v>2920</v>
      </c>
      <c r="G1002" s="2" t="s">
        <v>74</v>
      </c>
      <c r="H1002" s="2" t="s">
        <v>74</v>
      </c>
      <c r="I1002" s="2" t="s">
        <v>2921</v>
      </c>
      <c r="J1002" s="2" t="s">
        <v>408</v>
      </c>
      <c r="K1002" s="2" t="s">
        <v>74</v>
      </c>
      <c r="L1002" s="2" t="s">
        <v>74</v>
      </c>
      <c r="M1002" s="2" t="s">
        <v>74</v>
      </c>
      <c r="N1002" s="2" t="s">
        <v>74</v>
      </c>
      <c r="O1002" s="2" t="s">
        <v>74</v>
      </c>
      <c r="P1002" s="2" t="s">
        <v>74</v>
      </c>
      <c r="Q1002" s="2" t="s">
        <v>74</v>
      </c>
      <c r="R1002" s="2" t="s">
        <v>74</v>
      </c>
      <c r="S1002" s="2" t="s">
        <v>74</v>
      </c>
      <c r="T1002" s="2" t="s">
        <v>74</v>
      </c>
      <c r="U1002" s="2" t="s">
        <v>74</v>
      </c>
      <c r="V1002" s="5" t="s">
        <v>2922</v>
      </c>
      <c r="W1002" s="2" t="s">
        <v>74</v>
      </c>
      <c r="X1002" s="2" t="s">
        <v>74</v>
      </c>
      <c r="Y1002" s="2" t="s">
        <v>74</v>
      </c>
      <c r="Z1002" s="2" t="s">
        <v>74</v>
      </c>
      <c r="AA1002" s="2" t="s">
        <v>2923</v>
      </c>
      <c r="AB1002" s="2" t="s">
        <v>2924</v>
      </c>
      <c r="AC1002" s="2" t="s">
        <v>74</v>
      </c>
      <c r="AD1002" s="2" t="s">
        <v>74</v>
      </c>
      <c r="AE1002" s="2" t="s">
        <v>74</v>
      </c>
      <c r="AF1002" s="2" t="s">
        <v>74</v>
      </c>
      <c r="AG1002" s="2" t="s">
        <v>74</v>
      </c>
      <c r="AH1002" s="2" t="s">
        <v>74</v>
      </c>
      <c r="AI1002" s="2" t="s">
        <v>74</v>
      </c>
      <c r="AJ1002" s="2" t="s">
        <v>74</v>
      </c>
      <c r="AK1002" s="2" t="s">
        <v>74</v>
      </c>
      <c r="AL1002" s="2" t="s">
        <v>74</v>
      </c>
      <c r="AM1002" s="2" t="s">
        <v>74</v>
      </c>
      <c r="AN1002" s="2" t="s">
        <v>74</v>
      </c>
      <c r="AO1002" s="2" t="s">
        <v>412</v>
      </c>
      <c r="AP1002" s="2" t="s">
        <v>413</v>
      </c>
      <c r="AQ1002" s="2" t="s">
        <v>74</v>
      </c>
      <c r="AR1002" s="2" t="s">
        <v>74</v>
      </c>
      <c r="AS1002" s="2" t="s">
        <v>74</v>
      </c>
      <c r="AT1002" s="2" t="s">
        <v>769</v>
      </c>
      <c r="AU1002" s="2">
        <v>2017</v>
      </c>
      <c r="AV1002" s="2">
        <v>120</v>
      </c>
      <c r="AW1002" s="2">
        <v>2</v>
      </c>
      <c r="AX1002" s="2" t="s">
        <v>74</v>
      </c>
      <c r="AY1002" s="2" t="s">
        <v>74</v>
      </c>
      <c r="AZ1002" s="2" t="s">
        <v>74</v>
      </c>
      <c r="BA1002" s="2" t="s">
        <v>74</v>
      </c>
      <c r="BB1002" s="2">
        <v>396</v>
      </c>
      <c r="BC1002" s="2">
        <v>409</v>
      </c>
      <c r="BD1002" s="2" t="s">
        <v>74</v>
      </c>
      <c r="BE1002" s="2" t="s">
        <v>74</v>
      </c>
      <c r="BF1002" s="2" t="s">
        <v>74</v>
      </c>
      <c r="BG1002" s="2" t="s">
        <v>74</v>
      </c>
      <c r="BH1002" s="2" t="s">
        <v>74</v>
      </c>
      <c r="BI1002" s="2" t="s">
        <v>74</v>
      </c>
      <c r="BJ1002" s="2" t="s">
        <v>74</v>
      </c>
      <c r="BK1002" s="2" t="s">
        <v>74</v>
      </c>
      <c r="BL1002" s="2" t="s">
        <v>74</v>
      </c>
      <c r="BM1002" s="2" t="s">
        <v>74</v>
      </c>
      <c r="BN1002" s="2" t="s">
        <v>74</v>
      </c>
      <c r="BO1002" s="2" t="s">
        <v>74</v>
      </c>
      <c r="BP1002" s="2" t="s">
        <v>74</v>
      </c>
      <c r="BQ1002" s="2" t="s">
        <v>74</v>
      </c>
      <c r="BR1002" s="2" t="s">
        <v>74</v>
      </c>
      <c r="BS1002" s="2" t="s">
        <v>2925</v>
      </c>
      <c r="BT1002" s="2" t="str">
        <f>HYPERLINK("https%3A%2F%2Fwww.webofscience.com%2Fwos%2Fwoscc%2Ffull-record%2FWOS:000400944500010","View Full Record in Web of Science")</f>
        <v>View Full Record in Web of Science</v>
      </c>
    </row>
    <row r="1003" spans="1:72" s="2" customFormat="1" x14ac:dyDescent="0.4">
      <c r="A1003" s="2" t="s">
        <v>72</v>
      </c>
      <c r="B1003" s="2" t="s">
        <v>5529</v>
      </c>
      <c r="C1003" s="2" t="s">
        <v>74</v>
      </c>
      <c r="D1003" s="2" t="s">
        <v>74</v>
      </c>
      <c r="E1003" s="2" t="s">
        <v>74</v>
      </c>
      <c r="F1003" s="2" t="s">
        <v>5530</v>
      </c>
      <c r="G1003" s="2" t="s">
        <v>74</v>
      </c>
      <c r="H1003" s="2" t="s">
        <v>74</v>
      </c>
      <c r="I1003" s="2" t="s">
        <v>5531</v>
      </c>
      <c r="J1003" s="2" t="s">
        <v>576</v>
      </c>
      <c r="K1003" s="2" t="s">
        <v>74</v>
      </c>
      <c r="L1003" s="2" t="s">
        <v>74</v>
      </c>
      <c r="M1003" s="2" t="s">
        <v>74</v>
      </c>
      <c r="N1003" s="2" t="s">
        <v>74</v>
      </c>
      <c r="O1003" s="2" t="s">
        <v>74</v>
      </c>
      <c r="P1003" s="2" t="s">
        <v>74</v>
      </c>
      <c r="Q1003" s="2" t="s">
        <v>74</v>
      </c>
      <c r="R1003" s="2" t="s">
        <v>74</v>
      </c>
      <c r="S1003" s="2" t="s">
        <v>74</v>
      </c>
      <c r="T1003" s="2" t="s">
        <v>74</v>
      </c>
      <c r="U1003" s="2" t="s">
        <v>74</v>
      </c>
      <c r="V1003" s="5" t="s">
        <v>5532</v>
      </c>
      <c r="W1003" s="2" t="s">
        <v>74</v>
      </c>
      <c r="X1003" s="2" t="s">
        <v>74</v>
      </c>
      <c r="Y1003" s="2" t="s">
        <v>74</v>
      </c>
      <c r="Z1003" s="2" t="s">
        <v>74</v>
      </c>
      <c r="AA1003" s="2" t="s">
        <v>5533</v>
      </c>
      <c r="AB1003" s="2" t="s">
        <v>5534</v>
      </c>
      <c r="AC1003" s="2" t="s">
        <v>74</v>
      </c>
      <c r="AD1003" s="2" t="s">
        <v>74</v>
      </c>
      <c r="AE1003" s="2" t="s">
        <v>74</v>
      </c>
      <c r="AF1003" s="2" t="s">
        <v>74</v>
      </c>
      <c r="AG1003" s="2" t="s">
        <v>74</v>
      </c>
      <c r="AH1003" s="2" t="s">
        <v>74</v>
      </c>
      <c r="AI1003" s="2" t="s">
        <v>74</v>
      </c>
      <c r="AJ1003" s="2" t="s">
        <v>74</v>
      </c>
      <c r="AK1003" s="2" t="s">
        <v>74</v>
      </c>
      <c r="AL1003" s="2" t="s">
        <v>74</v>
      </c>
      <c r="AM1003" s="2" t="s">
        <v>74</v>
      </c>
      <c r="AN1003" s="2" t="s">
        <v>74</v>
      </c>
      <c r="AO1003" s="2" t="s">
        <v>579</v>
      </c>
      <c r="AP1003" s="2" t="s">
        <v>580</v>
      </c>
      <c r="AQ1003" s="2" t="s">
        <v>74</v>
      </c>
      <c r="AR1003" s="2" t="s">
        <v>74</v>
      </c>
      <c r="AS1003" s="2" t="s">
        <v>74</v>
      </c>
      <c r="AT1003" s="2" t="s">
        <v>213</v>
      </c>
      <c r="AU1003" s="2">
        <v>2012</v>
      </c>
      <c r="AV1003" s="2">
        <v>26</v>
      </c>
      <c r="AW1003" s="2">
        <v>6</v>
      </c>
      <c r="AX1003" s="2" t="s">
        <v>74</v>
      </c>
      <c r="AY1003" s="2" t="s">
        <v>74</v>
      </c>
      <c r="AZ1003" s="2" t="s">
        <v>74</v>
      </c>
      <c r="BA1003" s="2" t="s">
        <v>74</v>
      </c>
      <c r="BB1003" s="2">
        <v>1277</v>
      </c>
      <c r="BC1003" s="2">
        <v>1291</v>
      </c>
      <c r="BD1003" s="2" t="s">
        <v>74</v>
      </c>
      <c r="BE1003" s="2" t="s">
        <v>5535</v>
      </c>
      <c r="BF1003" s="2" t="str">
        <f>HYPERLINK("http://dx.doi.org/10.1007/s10682-011-9551-1","http://dx.doi.org/10.1007/s10682-011-9551-1")</f>
        <v>http://dx.doi.org/10.1007/s10682-011-9551-1</v>
      </c>
      <c r="BG1003" s="2" t="s">
        <v>74</v>
      </c>
      <c r="BH1003" s="2" t="s">
        <v>74</v>
      </c>
      <c r="BI1003" s="2" t="s">
        <v>74</v>
      </c>
      <c r="BJ1003" s="2" t="s">
        <v>74</v>
      </c>
      <c r="BK1003" s="2" t="s">
        <v>74</v>
      </c>
      <c r="BL1003" s="2" t="s">
        <v>74</v>
      </c>
      <c r="BM1003" s="2" t="s">
        <v>74</v>
      </c>
      <c r="BN1003" s="2" t="s">
        <v>74</v>
      </c>
      <c r="BO1003" s="2" t="s">
        <v>74</v>
      </c>
      <c r="BP1003" s="2" t="s">
        <v>74</v>
      </c>
      <c r="BQ1003" s="2" t="s">
        <v>74</v>
      </c>
      <c r="BR1003" s="2" t="s">
        <v>74</v>
      </c>
      <c r="BS1003" s="2" t="s">
        <v>5536</v>
      </c>
      <c r="BT1003" s="2" t="str">
        <f>HYPERLINK("https%3A%2F%2Fwww.webofscience.com%2Fwos%2Fwoscc%2Ffull-record%2FWOS:000309869600001","View Full Record in Web of Science")</f>
        <v>View Full Record in Web of Science</v>
      </c>
    </row>
    <row r="1004" spans="1:72" s="2" customFormat="1" x14ac:dyDescent="0.4">
      <c r="A1004" s="2" t="s">
        <v>72</v>
      </c>
      <c r="B1004" s="2" t="s">
        <v>1985</v>
      </c>
      <c r="C1004" s="2" t="s">
        <v>74</v>
      </c>
      <c r="D1004" s="2" t="s">
        <v>74</v>
      </c>
      <c r="E1004" s="2" t="s">
        <v>74</v>
      </c>
      <c r="F1004" s="2" t="s">
        <v>1986</v>
      </c>
      <c r="G1004" s="2" t="s">
        <v>74</v>
      </c>
      <c r="H1004" s="2" t="s">
        <v>74</v>
      </c>
      <c r="I1004" s="2" t="s">
        <v>1987</v>
      </c>
      <c r="J1004" s="2" t="s">
        <v>88</v>
      </c>
      <c r="K1004" s="2" t="s">
        <v>74</v>
      </c>
      <c r="L1004" s="2" t="s">
        <v>74</v>
      </c>
      <c r="M1004" s="2" t="s">
        <v>74</v>
      </c>
      <c r="N1004" s="2" t="s">
        <v>74</v>
      </c>
      <c r="O1004" s="2" t="s">
        <v>74</v>
      </c>
      <c r="P1004" s="2" t="s">
        <v>74</v>
      </c>
      <c r="Q1004" s="2" t="s">
        <v>74</v>
      </c>
      <c r="R1004" s="2" t="s">
        <v>74</v>
      </c>
      <c r="S1004" s="2" t="s">
        <v>74</v>
      </c>
      <c r="T1004" s="2" t="s">
        <v>74</v>
      </c>
      <c r="U1004" s="2" t="s">
        <v>74</v>
      </c>
      <c r="V1004" s="5" t="s">
        <v>1988</v>
      </c>
      <c r="W1004" s="2" t="s">
        <v>74</v>
      </c>
      <c r="X1004" s="2" t="s">
        <v>74</v>
      </c>
      <c r="Y1004" s="2" t="s">
        <v>74</v>
      </c>
      <c r="Z1004" s="2" t="s">
        <v>74</v>
      </c>
      <c r="AA1004" s="2" t="s">
        <v>1989</v>
      </c>
      <c r="AB1004" s="2" t="s">
        <v>1990</v>
      </c>
      <c r="AC1004" s="2" t="s">
        <v>74</v>
      </c>
      <c r="AD1004" s="2" t="s">
        <v>74</v>
      </c>
      <c r="AE1004" s="2" t="s">
        <v>74</v>
      </c>
      <c r="AF1004" s="2" t="s">
        <v>74</v>
      </c>
      <c r="AG1004" s="2" t="s">
        <v>74</v>
      </c>
      <c r="AH1004" s="2" t="s">
        <v>74</v>
      </c>
      <c r="AI1004" s="2" t="s">
        <v>74</v>
      </c>
      <c r="AJ1004" s="2" t="s">
        <v>74</v>
      </c>
      <c r="AK1004" s="2" t="s">
        <v>74</v>
      </c>
      <c r="AL1004" s="2" t="s">
        <v>74</v>
      </c>
      <c r="AM1004" s="2" t="s">
        <v>74</v>
      </c>
      <c r="AN1004" s="2" t="s">
        <v>74</v>
      </c>
      <c r="AO1004" s="2" t="s">
        <v>91</v>
      </c>
      <c r="AP1004" s="2" t="s">
        <v>74</v>
      </c>
      <c r="AQ1004" s="2" t="s">
        <v>74</v>
      </c>
      <c r="AR1004" s="2" t="s">
        <v>74</v>
      </c>
      <c r="AS1004" s="2" t="s">
        <v>74</v>
      </c>
      <c r="AT1004" s="2" t="s">
        <v>93</v>
      </c>
      <c r="AU1004" s="2">
        <v>2012</v>
      </c>
      <c r="AV1004" s="2">
        <v>8</v>
      </c>
      <c r="AW1004" s="2">
        <v>2</v>
      </c>
      <c r="AX1004" s="2" t="s">
        <v>74</v>
      </c>
      <c r="AY1004" s="2" t="s">
        <v>74</v>
      </c>
      <c r="AZ1004" s="2" t="s">
        <v>74</v>
      </c>
      <c r="BA1004" s="2" t="s">
        <v>74</v>
      </c>
      <c r="BB1004" s="2">
        <v>167</v>
      </c>
      <c r="BC1004" s="2">
        <v>170</v>
      </c>
      <c r="BD1004" s="2" t="s">
        <v>74</v>
      </c>
      <c r="BE1004" s="2" t="s">
        <v>1991</v>
      </c>
      <c r="BF1004" s="2" t="str">
        <f>HYPERLINK("http://dx.doi.org/10.1098/rsbl.2011.0914","http://dx.doi.org/10.1098/rsbl.2011.0914")</f>
        <v>http://dx.doi.org/10.1098/rsbl.2011.0914</v>
      </c>
      <c r="BG1004" s="2" t="s">
        <v>74</v>
      </c>
      <c r="BH1004" s="2" t="s">
        <v>74</v>
      </c>
      <c r="BI1004" s="2" t="s">
        <v>74</v>
      </c>
      <c r="BJ1004" s="2" t="s">
        <v>74</v>
      </c>
      <c r="BK1004" s="2" t="s">
        <v>74</v>
      </c>
      <c r="BL1004" s="2" t="s">
        <v>74</v>
      </c>
      <c r="BM1004" s="2" t="s">
        <v>74</v>
      </c>
      <c r="BN1004" s="2">
        <v>22072281</v>
      </c>
      <c r="BO1004" s="2" t="s">
        <v>74</v>
      </c>
      <c r="BP1004" s="2" t="s">
        <v>74</v>
      </c>
      <c r="BQ1004" s="2" t="s">
        <v>74</v>
      </c>
      <c r="BR1004" s="2" t="s">
        <v>74</v>
      </c>
      <c r="BS1004" s="2" t="s">
        <v>1992</v>
      </c>
      <c r="BT1004" s="2" t="str">
        <f>HYPERLINK("https%3A%2F%2Fwww.webofscience.com%2Fwos%2Fwoscc%2Ffull-record%2FWOS:000301304000003","View Full Record in Web of Science")</f>
        <v>View Full Record in Web of Science</v>
      </c>
    </row>
    <row r="1005" spans="1:72" s="7" customFormat="1" x14ac:dyDescent="0.4">
      <c r="A1005" s="2" t="s">
        <v>72</v>
      </c>
      <c r="B1005" s="2" t="s">
        <v>543</v>
      </c>
      <c r="C1005" s="2" t="s">
        <v>74</v>
      </c>
      <c r="D1005" s="2" t="s">
        <v>74</v>
      </c>
      <c r="E1005" s="2" t="s">
        <v>74</v>
      </c>
      <c r="F1005" s="2" t="s">
        <v>543</v>
      </c>
      <c r="G1005" s="2" t="s">
        <v>74</v>
      </c>
      <c r="H1005" s="2" t="s">
        <v>74</v>
      </c>
      <c r="I1005" s="2" t="s">
        <v>544</v>
      </c>
      <c r="J1005" s="2" t="s">
        <v>545</v>
      </c>
      <c r="K1005" s="2" t="s">
        <v>74</v>
      </c>
      <c r="L1005" s="2" t="s">
        <v>74</v>
      </c>
      <c r="M1005" s="2" t="s">
        <v>74</v>
      </c>
      <c r="N1005" s="2" t="s">
        <v>74</v>
      </c>
      <c r="O1005" s="2" t="s">
        <v>74</v>
      </c>
      <c r="P1005" s="2" t="s">
        <v>74</v>
      </c>
      <c r="Q1005" s="2" t="s">
        <v>74</v>
      </c>
      <c r="R1005" s="2" t="s">
        <v>74</v>
      </c>
      <c r="S1005" s="2" t="s">
        <v>74</v>
      </c>
      <c r="T1005" s="2" t="s">
        <v>74</v>
      </c>
      <c r="U1005" s="2" t="s">
        <v>74</v>
      </c>
      <c r="V1005" s="5" t="s">
        <v>546</v>
      </c>
      <c r="W1005" s="2" t="s">
        <v>74</v>
      </c>
      <c r="X1005" s="2" t="s">
        <v>74</v>
      </c>
      <c r="Y1005" s="2" t="s">
        <v>74</v>
      </c>
      <c r="Z1005" s="2" t="s">
        <v>74</v>
      </c>
      <c r="AA1005" s="2" t="s">
        <v>74</v>
      </c>
      <c r="AB1005" s="2" t="s">
        <v>74</v>
      </c>
      <c r="AC1005" s="2" t="s">
        <v>74</v>
      </c>
      <c r="AD1005" s="2" t="s">
        <v>74</v>
      </c>
      <c r="AE1005" s="2" t="s">
        <v>74</v>
      </c>
      <c r="AF1005" s="2" t="s">
        <v>74</v>
      </c>
      <c r="AG1005" s="2" t="s">
        <v>74</v>
      </c>
      <c r="AH1005" s="2" t="s">
        <v>74</v>
      </c>
      <c r="AI1005" s="2" t="s">
        <v>74</v>
      </c>
      <c r="AJ1005" s="2" t="s">
        <v>74</v>
      </c>
      <c r="AK1005" s="2" t="s">
        <v>74</v>
      </c>
      <c r="AL1005" s="2" t="s">
        <v>74</v>
      </c>
      <c r="AM1005" s="2" t="s">
        <v>74</v>
      </c>
      <c r="AN1005" s="2" t="s">
        <v>74</v>
      </c>
      <c r="AO1005" s="2" t="s">
        <v>547</v>
      </c>
      <c r="AP1005" s="2" t="s">
        <v>74</v>
      </c>
      <c r="AQ1005" s="2" t="s">
        <v>74</v>
      </c>
      <c r="AR1005" s="2" t="s">
        <v>74</v>
      </c>
      <c r="AS1005" s="2" t="s">
        <v>74</v>
      </c>
      <c r="AT1005" s="2" t="s">
        <v>305</v>
      </c>
      <c r="AU1005" s="2">
        <v>1996</v>
      </c>
      <c r="AV1005" s="2">
        <v>235</v>
      </c>
      <c r="AW1005" s="2" t="s">
        <v>548</v>
      </c>
      <c r="AX1005" s="2" t="s">
        <v>74</v>
      </c>
      <c r="AY1005" s="2" t="s">
        <v>74</v>
      </c>
      <c r="AZ1005" s="2" t="s">
        <v>74</v>
      </c>
      <c r="BA1005" s="2" t="s">
        <v>74</v>
      </c>
      <c r="BB1005" s="2">
        <v>77</v>
      </c>
      <c r="BC1005" s="2">
        <v>88</v>
      </c>
      <c r="BD1005" s="2" t="s">
        <v>74</v>
      </c>
      <c r="BE1005" s="2" t="s">
        <v>74</v>
      </c>
      <c r="BF1005" s="2" t="s">
        <v>74</v>
      </c>
      <c r="BG1005" s="2" t="s">
        <v>74</v>
      </c>
      <c r="BH1005" s="2" t="s">
        <v>74</v>
      </c>
      <c r="BI1005" s="2" t="s">
        <v>74</v>
      </c>
      <c r="BJ1005" s="2" t="s">
        <v>74</v>
      </c>
      <c r="BK1005" s="2" t="s">
        <v>74</v>
      </c>
      <c r="BL1005" s="2" t="s">
        <v>74</v>
      </c>
      <c r="BM1005" s="2" t="s">
        <v>74</v>
      </c>
      <c r="BN1005" s="2" t="s">
        <v>74</v>
      </c>
      <c r="BO1005" s="2" t="s">
        <v>74</v>
      </c>
      <c r="BP1005" s="2" t="s">
        <v>74</v>
      </c>
      <c r="BQ1005" s="2" t="s">
        <v>74</v>
      </c>
      <c r="BR1005" s="2" t="s">
        <v>74</v>
      </c>
      <c r="BS1005" s="2" t="s">
        <v>549</v>
      </c>
      <c r="BT1005" s="2" t="str">
        <f>HYPERLINK("https%3A%2F%2Fwww.webofscience.com%2Fwos%2Fwoscc%2Ffull-record%2FWOS:A1996WG04900005","View Full Record in Web of Science")</f>
        <v>View Full Record in Web of Science</v>
      </c>
    </row>
    <row r="1006" spans="1:72" s="2" customFormat="1" x14ac:dyDescent="0.4">
      <c r="A1006" s="2" t="s">
        <v>72</v>
      </c>
      <c r="B1006" s="2" t="s">
        <v>4747</v>
      </c>
      <c r="C1006" s="2" t="s">
        <v>74</v>
      </c>
      <c r="D1006" s="2" t="s">
        <v>74</v>
      </c>
      <c r="E1006" s="2" t="s">
        <v>74</v>
      </c>
      <c r="F1006" s="2" t="s">
        <v>4748</v>
      </c>
      <c r="G1006" s="2" t="s">
        <v>74</v>
      </c>
      <c r="H1006" s="2" t="s">
        <v>74</v>
      </c>
      <c r="I1006" s="2" t="s">
        <v>4749</v>
      </c>
      <c r="J1006" s="2" t="s">
        <v>1044</v>
      </c>
      <c r="K1006" s="2" t="s">
        <v>74</v>
      </c>
      <c r="L1006" s="2" t="s">
        <v>74</v>
      </c>
      <c r="M1006" s="2" t="s">
        <v>74</v>
      </c>
      <c r="N1006" s="2" t="s">
        <v>74</v>
      </c>
      <c r="O1006" s="2" t="s">
        <v>74</v>
      </c>
      <c r="P1006" s="2" t="s">
        <v>74</v>
      </c>
      <c r="Q1006" s="2" t="s">
        <v>74</v>
      </c>
      <c r="R1006" s="2" t="s">
        <v>74</v>
      </c>
      <c r="S1006" s="2" t="s">
        <v>74</v>
      </c>
      <c r="T1006" s="2" t="s">
        <v>74</v>
      </c>
      <c r="U1006" s="2" t="s">
        <v>74</v>
      </c>
      <c r="V1006" s="5" t="s">
        <v>4750</v>
      </c>
      <c r="W1006" s="2" t="s">
        <v>74</v>
      </c>
      <c r="X1006" s="2" t="s">
        <v>74</v>
      </c>
      <c r="Y1006" s="2" t="s">
        <v>74</v>
      </c>
      <c r="Z1006" s="2" t="s">
        <v>74</v>
      </c>
      <c r="AA1006" s="2" t="s">
        <v>4751</v>
      </c>
      <c r="AB1006" s="2" t="s">
        <v>4752</v>
      </c>
      <c r="AC1006" s="2" t="s">
        <v>74</v>
      </c>
      <c r="AD1006" s="2" t="s">
        <v>74</v>
      </c>
      <c r="AE1006" s="2" t="s">
        <v>74</v>
      </c>
      <c r="AF1006" s="2" t="s">
        <v>74</v>
      </c>
      <c r="AG1006" s="2" t="s">
        <v>74</v>
      </c>
      <c r="AH1006" s="2" t="s">
        <v>74</v>
      </c>
      <c r="AI1006" s="2" t="s">
        <v>74</v>
      </c>
      <c r="AJ1006" s="2" t="s">
        <v>74</v>
      </c>
      <c r="AK1006" s="2" t="s">
        <v>74</v>
      </c>
      <c r="AL1006" s="2" t="s">
        <v>74</v>
      </c>
      <c r="AM1006" s="2" t="s">
        <v>74</v>
      </c>
      <c r="AN1006" s="2" t="s">
        <v>74</v>
      </c>
      <c r="AO1006" s="2" t="s">
        <v>1048</v>
      </c>
      <c r="AP1006" s="2" t="s">
        <v>1049</v>
      </c>
      <c r="AQ1006" s="2" t="s">
        <v>74</v>
      </c>
      <c r="AR1006" s="2" t="s">
        <v>74</v>
      </c>
      <c r="AS1006" s="2" t="s">
        <v>74</v>
      </c>
      <c r="AT1006" s="2" t="s">
        <v>633</v>
      </c>
      <c r="AU1006" s="2">
        <v>2023</v>
      </c>
      <c r="AV1006" s="2">
        <v>32</v>
      </c>
      <c r="AW1006" s="2">
        <v>7</v>
      </c>
      <c r="AX1006" s="2" t="s">
        <v>74</v>
      </c>
      <c r="AY1006" s="2" t="s">
        <v>74</v>
      </c>
      <c r="AZ1006" s="2" t="s">
        <v>74</v>
      </c>
      <c r="BA1006" s="2" t="s">
        <v>74</v>
      </c>
      <c r="BB1006" s="2">
        <v>1656</v>
      </c>
      <c r="BC1006" s="2">
        <v>1672</v>
      </c>
      <c r="BD1006" s="2" t="s">
        <v>74</v>
      </c>
      <c r="BE1006" s="2" t="s">
        <v>4753</v>
      </c>
      <c r="BF1006" s="2" t="str">
        <f>HYPERLINK("http://dx.doi.org/10.1111/mec.16831","http://dx.doi.org/10.1111/mec.16831")</f>
        <v>http://dx.doi.org/10.1111/mec.16831</v>
      </c>
      <c r="BG1006" s="2" t="s">
        <v>74</v>
      </c>
      <c r="BH1006" s="2" t="s">
        <v>3048</v>
      </c>
      <c r="BI1006" s="2" t="s">
        <v>74</v>
      </c>
      <c r="BJ1006" s="2" t="s">
        <v>74</v>
      </c>
      <c r="BK1006" s="2" t="s">
        <v>74</v>
      </c>
      <c r="BL1006" s="2" t="s">
        <v>74</v>
      </c>
      <c r="BM1006" s="2" t="s">
        <v>74</v>
      </c>
      <c r="BN1006" s="2">
        <v>36560895</v>
      </c>
      <c r="BO1006" s="2" t="s">
        <v>74</v>
      </c>
      <c r="BP1006" s="2" t="s">
        <v>74</v>
      </c>
      <c r="BQ1006" s="2" t="s">
        <v>74</v>
      </c>
      <c r="BR1006" s="2" t="s">
        <v>74</v>
      </c>
      <c r="BS1006" s="2" t="s">
        <v>4754</v>
      </c>
      <c r="BT1006" s="2" t="str">
        <f>HYPERLINK("https%3A%2F%2Fwww.webofscience.com%2Fwos%2Fwoscc%2Ffull-record%2FWOS:000913280100001","View Full Record in Web of Science")</f>
        <v>View Full Record in Web of Science</v>
      </c>
    </row>
    <row r="1007" spans="1:72" s="2" customFormat="1" x14ac:dyDescent="0.4">
      <c r="A1007" s="2" t="s">
        <v>72</v>
      </c>
      <c r="B1007" s="2" t="s">
        <v>6616</v>
      </c>
      <c r="C1007" s="2" t="s">
        <v>74</v>
      </c>
      <c r="D1007" s="2" t="s">
        <v>74</v>
      </c>
      <c r="E1007" s="2" t="s">
        <v>74</v>
      </c>
      <c r="F1007" s="2" t="s">
        <v>6617</v>
      </c>
      <c r="G1007" s="2" t="s">
        <v>74</v>
      </c>
      <c r="H1007" s="2" t="s">
        <v>74</v>
      </c>
      <c r="I1007" s="2" t="s">
        <v>6618</v>
      </c>
      <c r="J1007" s="2" t="s">
        <v>5474</v>
      </c>
      <c r="K1007" s="2" t="s">
        <v>74</v>
      </c>
      <c r="L1007" s="2" t="s">
        <v>74</v>
      </c>
      <c r="M1007" s="2" t="s">
        <v>74</v>
      </c>
      <c r="N1007" s="2" t="s">
        <v>74</v>
      </c>
      <c r="O1007" s="2" t="s">
        <v>74</v>
      </c>
      <c r="P1007" s="2" t="s">
        <v>74</v>
      </c>
      <c r="Q1007" s="2" t="s">
        <v>74</v>
      </c>
      <c r="R1007" s="2" t="s">
        <v>74</v>
      </c>
      <c r="S1007" s="2" t="s">
        <v>74</v>
      </c>
      <c r="T1007" s="2" t="s">
        <v>74</v>
      </c>
      <c r="U1007" s="2" t="s">
        <v>74</v>
      </c>
      <c r="V1007" s="5" t="s">
        <v>6619</v>
      </c>
      <c r="W1007" s="2" t="s">
        <v>74</v>
      </c>
      <c r="X1007" s="2" t="s">
        <v>74</v>
      </c>
      <c r="Y1007" s="2" t="s">
        <v>74</v>
      </c>
      <c r="Z1007" s="2" t="s">
        <v>74</v>
      </c>
      <c r="AA1007" s="2" t="s">
        <v>6620</v>
      </c>
      <c r="AB1007" s="2" t="s">
        <v>6621</v>
      </c>
      <c r="AC1007" s="2" t="s">
        <v>74</v>
      </c>
      <c r="AD1007" s="2" t="s">
        <v>74</v>
      </c>
      <c r="AE1007" s="2" t="s">
        <v>74</v>
      </c>
      <c r="AF1007" s="2" t="s">
        <v>74</v>
      </c>
      <c r="AG1007" s="2" t="s">
        <v>74</v>
      </c>
      <c r="AH1007" s="2" t="s">
        <v>74</v>
      </c>
      <c r="AI1007" s="2" t="s">
        <v>74</v>
      </c>
      <c r="AJ1007" s="2" t="s">
        <v>74</v>
      </c>
      <c r="AK1007" s="2" t="s">
        <v>74</v>
      </c>
      <c r="AL1007" s="2" t="s">
        <v>74</v>
      </c>
      <c r="AM1007" s="2" t="s">
        <v>74</v>
      </c>
      <c r="AN1007" s="2" t="s">
        <v>74</v>
      </c>
      <c r="AO1007" s="2" t="s">
        <v>5478</v>
      </c>
      <c r="AP1007" s="2" t="s">
        <v>74</v>
      </c>
      <c r="AQ1007" s="2" t="s">
        <v>74</v>
      </c>
      <c r="AR1007" s="2" t="s">
        <v>74</v>
      </c>
      <c r="AS1007" s="2" t="s">
        <v>74</v>
      </c>
      <c r="AT1007" s="2" t="s">
        <v>6622</v>
      </c>
      <c r="AU1007" s="2">
        <v>2013</v>
      </c>
      <c r="AV1007" s="2">
        <v>68</v>
      </c>
      <c r="AW1007" s="2" t="s">
        <v>74</v>
      </c>
      <c r="AX1007" s="2" t="s">
        <v>74</v>
      </c>
      <c r="AY1007" s="2" t="s">
        <v>74</v>
      </c>
      <c r="AZ1007" s="2" t="s">
        <v>74</v>
      </c>
      <c r="BA1007" s="2" t="s">
        <v>74</v>
      </c>
      <c r="BB1007" s="2">
        <v>1</v>
      </c>
      <c r="BC1007" s="2">
        <v>26</v>
      </c>
      <c r="BD1007" s="2" t="s">
        <v>74</v>
      </c>
      <c r="BE1007" s="2" t="s">
        <v>6623</v>
      </c>
      <c r="BF1007" s="2" t="str">
        <f>HYPERLINK("http://dx.doi.org/10.5852/ejt.2013.68","http://dx.doi.org/10.5852/ejt.2013.68")</f>
        <v>http://dx.doi.org/10.5852/ejt.2013.68</v>
      </c>
      <c r="BG1007" s="2" t="s">
        <v>74</v>
      </c>
      <c r="BH1007" s="2" t="s">
        <v>74</v>
      </c>
      <c r="BI1007" s="2" t="s">
        <v>74</v>
      </c>
      <c r="BJ1007" s="2" t="s">
        <v>74</v>
      </c>
      <c r="BK1007" s="2" t="s">
        <v>74</v>
      </c>
      <c r="BL1007" s="2" t="s">
        <v>74</v>
      </c>
      <c r="BM1007" s="2" t="s">
        <v>74</v>
      </c>
      <c r="BN1007" s="2" t="s">
        <v>74</v>
      </c>
      <c r="BO1007" s="2" t="s">
        <v>74</v>
      </c>
      <c r="BP1007" s="2" t="s">
        <v>74</v>
      </c>
      <c r="BQ1007" s="2" t="s">
        <v>74</v>
      </c>
      <c r="BR1007" s="2" t="s">
        <v>74</v>
      </c>
      <c r="BS1007" s="2" t="s">
        <v>6624</v>
      </c>
      <c r="BT1007" s="2" t="str">
        <f>HYPERLINK("https%3A%2F%2Fwww.webofscience.com%2Fwos%2Fwoscc%2Ffull-record%2FWOS:000333018600001","View Full Record in Web of Science")</f>
        <v>View Full Record in Web of Science</v>
      </c>
    </row>
    <row r="1008" spans="1:72" s="2" customFormat="1" x14ac:dyDescent="0.4">
      <c r="A1008" s="2" t="s">
        <v>72</v>
      </c>
      <c r="B1008" s="2" t="s">
        <v>5471</v>
      </c>
      <c r="C1008" s="2" t="s">
        <v>74</v>
      </c>
      <c r="D1008" s="2" t="s">
        <v>74</v>
      </c>
      <c r="E1008" s="2" t="s">
        <v>74</v>
      </c>
      <c r="F1008" s="2" t="s">
        <v>5472</v>
      </c>
      <c r="G1008" s="2" t="s">
        <v>74</v>
      </c>
      <c r="H1008" s="2" t="s">
        <v>74</v>
      </c>
      <c r="I1008" s="2" t="s">
        <v>5473</v>
      </c>
      <c r="J1008" s="2" t="s">
        <v>5474</v>
      </c>
      <c r="K1008" s="2" t="s">
        <v>74</v>
      </c>
      <c r="L1008" s="2" t="s">
        <v>74</v>
      </c>
      <c r="M1008" s="2" t="s">
        <v>74</v>
      </c>
      <c r="N1008" s="2" t="s">
        <v>74</v>
      </c>
      <c r="O1008" s="2" t="s">
        <v>74</v>
      </c>
      <c r="P1008" s="2" t="s">
        <v>74</v>
      </c>
      <c r="Q1008" s="2" t="s">
        <v>74</v>
      </c>
      <c r="R1008" s="2" t="s">
        <v>74</v>
      </c>
      <c r="S1008" s="2" t="s">
        <v>74</v>
      </c>
      <c r="T1008" s="2" t="s">
        <v>74</v>
      </c>
      <c r="U1008" s="2" t="s">
        <v>74</v>
      </c>
      <c r="V1008" s="5" t="s">
        <v>5475</v>
      </c>
      <c r="W1008" s="2" t="s">
        <v>74</v>
      </c>
      <c r="X1008" s="2" t="s">
        <v>74</v>
      </c>
      <c r="Y1008" s="2" t="s">
        <v>74</v>
      </c>
      <c r="Z1008" s="2" t="s">
        <v>74</v>
      </c>
      <c r="AA1008" s="2" t="s">
        <v>5476</v>
      </c>
      <c r="AB1008" s="2" t="s">
        <v>5477</v>
      </c>
      <c r="AC1008" s="2" t="s">
        <v>74</v>
      </c>
      <c r="AD1008" s="2" t="s">
        <v>74</v>
      </c>
      <c r="AE1008" s="2" t="s">
        <v>74</v>
      </c>
      <c r="AF1008" s="2" t="s">
        <v>74</v>
      </c>
      <c r="AG1008" s="2" t="s">
        <v>74</v>
      </c>
      <c r="AH1008" s="2" t="s">
        <v>74</v>
      </c>
      <c r="AI1008" s="2" t="s">
        <v>74</v>
      </c>
      <c r="AJ1008" s="2" t="s">
        <v>74</v>
      </c>
      <c r="AK1008" s="2" t="s">
        <v>74</v>
      </c>
      <c r="AL1008" s="2" t="s">
        <v>74</v>
      </c>
      <c r="AM1008" s="2" t="s">
        <v>74</v>
      </c>
      <c r="AN1008" s="2" t="s">
        <v>74</v>
      </c>
      <c r="AO1008" s="2" t="s">
        <v>5478</v>
      </c>
      <c r="AP1008" s="2" t="s">
        <v>74</v>
      </c>
      <c r="AQ1008" s="2" t="s">
        <v>74</v>
      </c>
      <c r="AR1008" s="2" t="s">
        <v>74</v>
      </c>
      <c r="AS1008" s="2" t="s">
        <v>74</v>
      </c>
      <c r="AT1008" s="2" t="s">
        <v>5479</v>
      </c>
      <c r="AU1008" s="2">
        <v>2020</v>
      </c>
      <c r="AV1008" s="2">
        <v>600</v>
      </c>
      <c r="AW1008" s="2" t="s">
        <v>74</v>
      </c>
      <c r="AX1008" s="2" t="s">
        <v>74</v>
      </c>
      <c r="AY1008" s="2" t="s">
        <v>74</v>
      </c>
      <c r="AZ1008" s="2" t="s">
        <v>74</v>
      </c>
      <c r="BA1008" s="2" t="s">
        <v>74</v>
      </c>
      <c r="BB1008" s="2" t="s">
        <v>74</v>
      </c>
      <c r="BC1008" s="2" t="s">
        <v>74</v>
      </c>
      <c r="BD1008" s="2" t="s">
        <v>74</v>
      </c>
      <c r="BE1008" s="2" t="s">
        <v>5480</v>
      </c>
      <c r="BF1008" s="2" t="str">
        <f>HYPERLINK("http://dx.doi.org/10.5852/ejt.2020.600","http://dx.doi.org/10.5852/ejt.2020.600")</f>
        <v>http://dx.doi.org/10.5852/ejt.2020.600</v>
      </c>
      <c r="BG1008" s="2" t="s">
        <v>74</v>
      </c>
      <c r="BH1008" s="2" t="s">
        <v>74</v>
      </c>
      <c r="BI1008" s="2" t="s">
        <v>74</v>
      </c>
      <c r="BJ1008" s="2" t="s">
        <v>74</v>
      </c>
      <c r="BK1008" s="2" t="s">
        <v>74</v>
      </c>
      <c r="BL1008" s="2" t="s">
        <v>74</v>
      </c>
      <c r="BM1008" s="2" t="s">
        <v>74</v>
      </c>
      <c r="BN1008" s="2" t="s">
        <v>74</v>
      </c>
      <c r="BO1008" s="2" t="s">
        <v>74</v>
      </c>
      <c r="BP1008" s="2" t="s">
        <v>74</v>
      </c>
      <c r="BQ1008" s="2" t="s">
        <v>74</v>
      </c>
      <c r="BR1008" s="2" t="s">
        <v>74</v>
      </c>
      <c r="BS1008" s="2" t="s">
        <v>5481</v>
      </c>
      <c r="BT1008" s="2" t="str">
        <f>HYPERLINK("https%3A%2F%2Fwww.webofscience.com%2Fwos%2Fwoscc%2Ffull-record%2FWOS:000512655700001","View Full Record in Web of Science")</f>
        <v>View Full Record in Web of Science</v>
      </c>
    </row>
    <row r="1009" spans="1:72" s="2" customFormat="1" x14ac:dyDescent="0.4">
      <c r="A1009" s="2" t="s">
        <v>72</v>
      </c>
      <c r="B1009" s="2" t="s">
        <v>3329</v>
      </c>
      <c r="C1009" s="2" t="s">
        <v>74</v>
      </c>
      <c r="D1009" s="2" t="s">
        <v>74</v>
      </c>
      <c r="E1009" s="2" t="s">
        <v>74</v>
      </c>
      <c r="F1009" s="2" t="s">
        <v>3330</v>
      </c>
      <c r="G1009" s="2" t="s">
        <v>74</v>
      </c>
      <c r="H1009" s="2" t="s">
        <v>74</v>
      </c>
      <c r="I1009" s="2" t="s">
        <v>3331</v>
      </c>
      <c r="J1009" s="2" t="s">
        <v>3332</v>
      </c>
      <c r="K1009" s="2" t="s">
        <v>74</v>
      </c>
      <c r="L1009" s="2" t="s">
        <v>74</v>
      </c>
      <c r="M1009" s="2" t="s">
        <v>74</v>
      </c>
      <c r="N1009" s="2" t="s">
        <v>74</v>
      </c>
      <c r="O1009" s="2" t="s">
        <v>74</v>
      </c>
      <c r="P1009" s="2" t="s">
        <v>74</v>
      </c>
      <c r="Q1009" s="2" t="s">
        <v>74</v>
      </c>
      <c r="R1009" s="2" t="s">
        <v>74</v>
      </c>
      <c r="S1009" s="2" t="s">
        <v>74</v>
      </c>
      <c r="T1009" s="2" t="s">
        <v>74</v>
      </c>
      <c r="U1009" s="2" t="s">
        <v>74</v>
      </c>
      <c r="V1009" s="5" t="s">
        <v>3333</v>
      </c>
      <c r="W1009" s="2" t="s">
        <v>74</v>
      </c>
      <c r="X1009" s="2" t="s">
        <v>74</v>
      </c>
      <c r="Y1009" s="2" t="s">
        <v>74</v>
      </c>
      <c r="Z1009" s="2" t="s">
        <v>74</v>
      </c>
      <c r="AA1009" s="2" t="s">
        <v>3334</v>
      </c>
      <c r="AB1009" s="2" t="s">
        <v>3335</v>
      </c>
      <c r="AC1009" s="2" t="s">
        <v>74</v>
      </c>
      <c r="AD1009" s="2" t="s">
        <v>74</v>
      </c>
      <c r="AE1009" s="2" t="s">
        <v>74</v>
      </c>
      <c r="AF1009" s="2" t="s">
        <v>74</v>
      </c>
      <c r="AG1009" s="2" t="s">
        <v>74</v>
      </c>
      <c r="AH1009" s="2" t="s">
        <v>74</v>
      </c>
      <c r="AI1009" s="2" t="s">
        <v>74</v>
      </c>
      <c r="AJ1009" s="2" t="s">
        <v>74</v>
      </c>
      <c r="AK1009" s="2" t="s">
        <v>74</v>
      </c>
      <c r="AL1009" s="2" t="s">
        <v>74</v>
      </c>
      <c r="AM1009" s="2" t="s">
        <v>74</v>
      </c>
      <c r="AN1009" s="2" t="s">
        <v>74</v>
      </c>
      <c r="AO1009" s="2" t="s">
        <v>3336</v>
      </c>
      <c r="AP1009" s="2" t="s">
        <v>3337</v>
      </c>
      <c r="AQ1009" s="2" t="s">
        <v>74</v>
      </c>
      <c r="AR1009" s="2" t="s">
        <v>74</v>
      </c>
      <c r="AS1009" s="2" t="s">
        <v>74</v>
      </c>
      <c r="AT1009" s="2" t="s">
        <v>3338</v>
      </c>
      <c r="AU1009" s="2">
        <v>2010</v>
      </c>
      <c r="AV1009" s="2">
        <v>45</v>
      </c>
      <c r="AW1009" s="2">
        <v>1</v>
      </c>
      <c r="AX1009" s="2" t="s">
        <v>74</v>
      </c>
      <c r="AY1009" s="2" t="s">
        <v>74</v>
      </c>
      <c r="AZ1009" s="2" t="s">
        <v>74</v>
      </c>
      <c r="BA1009" s="2" t="s">
        <v>74</v>
      </c>
      <c r="BB1009" s="2">
        <v>98</v>
      </c>
      <c r="BC1009" s="2">
        <v>104</v>
      </c>
      <c r="BD1009" s="2" t="s">
        <v>74</v>
      </c>
      <c r="BE1009" s="2" t="s">
        <v>3339</v>
      </c>
      <c r="BF1009" s="2" t="str">
        <f>HYPERLINK("http://dx.doi.org/10.3161/000164510X516137","http://dx.doi.org/10.3161/000164510X516137")</f>
        <v>http://dx.doi.org/10.3161/000164510X516137</v>
      </c>
      <c r="BG1009" s="2" t="s">
        <v>74</v>
      </c>
      <c r="BH1009" s="2" t="s">
        <v>74</v>
      </c>
      <c r="BI1009" s="2" t="s">
        <v>74</v>
      </c>
      <c r="BJ1009" s="2" t="s">
        <v>74</v>
      </c>
      <c r="BK1009" s="2" t="s">
        <v>74</v>
      </c>
      <c r="BL1009" s="2" t="s">
        <v>74</v>
      </c>
      <c r="BM1009" s="2" t="s">
        <v>74</v>
      </c>
      <c r="BN1009" s="2" t="s">
        <v>74</v>
      </c>
      <c r="BO1009" s="2" t="s">
        <v>74</v>
      </c>
      <c r="BP1009" s="2" t="s">
        <v>74</v>
      </c>
      <c r="BQ1009" s="2" t="s">
        <v>74</v>
      </c>
      <c r="BR1009" s="2" t="s">
        <v>74</v>
      </c>
      <c r="BS1009" s="2" t="s">
        <v>3340</v>
      </c>
      <c r="BT1009" s="2" t="str">
        <f>HYPERLINK("https%3A%2F%2Fwww.webofscience.com%2Fwos%2Fwoscc%2Ffull-record%2FWOS:000280387600011","View Full Record in Web of Science")</f>
        <v>View Full Record in Web of Science</v>
      </c>
    </row>
    <row r="1010" spans="1:72" s="2" customFormat="1" x14ac:dyDescent="0.4">
      <c r="A1010" s="2" t="s">
        <v>72</v>
      </c>
      <c r="B1010" s="2" t="s">
        <v>1593</v>
      </c>
      <c r="C1010" s="2" t="s">
        <v>74</v>
      </c>
      <c r="D1010" s="2" t="s">
        <v>74</v>
      </c>
      <c r="E1010" s="2" t="s">
        <v>74</v>
      </c>
      <c r="F1010" s="2" t="s">
        <v>1593</v>
      </c>
      <c r="G1010" s="2" t="s">
        <v>74</v>
      </c>
      <c r="H1010" s="2" t="s">
        <v>74</v>
      </c>
      <c r="I1010" s="2" t="s">
        <v>1594</v>
      </c>
      <c r="J1010" s="2" t="s">
        <v>77</v>
      </c>
      <c r="K1010" s="2" t="s">
        <v>74</v>
      </c>
      <c r="L1010" s="2" t="s">
        <v>74</v>
      </c>
      <c r="M1010" s="2" t="s">
        <v>74</v>
      </c>
      <c r="N1010" s="2" t="s">
        <v>74</v>
      </c>
      <c r="O1010" s="2" t="s">
        <v>74</v>
      </c>
      <c r="P1010" s="2" t="s">
        <v>74</v>
      </c>
      <c r="Q1010" s="2" t="s">
        <v>74</v>
      </c>
      <c r="R1010" s="2" t="s">
        <v>74</v>
      </c>
      <c r="S1010" s="2" t="s">
        <v>74</v>
      </c>
      <c r="T1010" s="2" t="s">
        <v>74</v>
      </c>
      <c r="U1010" s="2" t="s">
        <v>74</v>
      </c>
      <c r="V1010" s="5" t="s">
        <v>1595</v>
      </c>
      <c r="W1010" s="2" t="s">
        <v>74</v>
      </c>
      <c r="X1010" s="2" t="s">
        <v>74</v>
      </c>
      <c r="Y1010" s="2" t="s">
        <v>74</v>
      </c>
      <c r="Z1010" s="2" t="s">
        <v>74</v>
      </c>
      <c r="AA1010" s="2" t="s">
        <v>1596</v>
      </c>
      <c r="AB1010" s="2" t="s">
        <v>262</v>
      </c>
      <c r="AC1010" s="2" t="s">
        <v>74</v>
      </c>
      <c r="AD1010" s="2" t="s">
        <v>74</v>
      </c>
      <c r="AE1010" s="2" t="s">
        <v>74</v>
      </c>
      <c r="AF1010" s="2" t="s">
        <v>74</v>
      </c>
      <c r="AG1010" s="2" t="s">
        <v>74</v>
      </c>
      <c r="AH1010" s="2" t="s">
        <v>74</v>
      </c>
      <c r="AI1010" s="2" t="s">
        <v>74</v>
      </c>
      <c r="AJ1010" s="2" t="s">
        <v>74</v>
      </c>
      <c r="AK1010" s="2" t="s">
        <v>74</v>
      </c>
      <c r="AL1010" s="2" t="s">
        <v>74</v>
      </c>
      <c r="AM1010" s="2" t="s">
        <v>74</v>
      </c>
      <c r="AN1010" s="2" t="s">
        <v>74</v>
      </c>
      <c r="AO1010" s="2" t="s">
        <v>81</v>
      </c>
      <c r="AP1010" s="2" t="s">
        <v>82</v>
      </c>
      <c r="AQ1010" s="2" t="s">
        <v>74</v>
      </c>
      <c r="AR1010" s="2" t="s">
        <v>74</v>
      </c>
      <c r="AS1010" s="2" t="s">
        <v>74</v>
      </c>
      <c r="AT1010" s="2" t="s">
        <v>123</v>
      </c>
      <c r="AU1010" s="2">
        <v>2005</v>
      </c>
      <c r="AV1010" s="2">
        <v>142</v>
      </c>
      <c r="AW1010" s="2" t="s">
        <v>74</v>
      </c>
      <c r="AX1010" s="2">
        <v>3</v>
      </c>
      <c r="AY1010" s="2" t="s">
        <v>74</v>
      </c>
      <c r="AZ1010" s="2" t="s">
        <v>74</v>
      </c>
      <c r="BA1010" s="2" t="s">
        <v>74</v>
      </c>
      <c r="BB1010" s="2">
        <v>329</v>
      </c>
      <c r="BC1010" s="2">
        <v>350</v>
      </c>
      <c r="BD1010" s="2" t="s">
        <v>74</v>
      </c>
      <c r="BE1010" s="2" t="s">
        <v>1597</v>
      </c>
      <c r="BF1010" s="2" t="str">
        <f>HYPERLINK("http://dx.doi.org/10.1163/1568539053778265","http://dx.doi.org/10.1163/1568539053778265")</f>
        <v>http://dx.doi.org/10.1163/1568539053778265</v>
      </c>
      <c r="BG1010" s="2" t="s">
        <v>74</v>
      </c>
      <c r="BH1010" s="2" t="s">
        <v>74</v>
      </c>
      <c r="BI1010" s="2" t="s">
        <v>74</v>
      </c>
      <c r="BJ1010" s="2" t="s">
        <v>74</v>
      </c>
      <c r="BK1010" s="2" t="s">
        <v>74</v>
      </c>
      <c r="BL1010" s="2" t="s">
        <v>74</v>
      </c>
      <c r="BM1010" s="2" t="s">
        <v>74</v>
      </c>
      <c r="BN1010" s="2" t="s">
        <v>74</v>
      </c>
      <c r="BO1010" s="2" t="s">
        <v>74</v>
      </c>
      <c r="BP1010" s="2" t="s">
        <v>74</v>
      </c>
      <c r="BQ1010" s="2" t="s">
        <v>74</v>
      </c>
      <c r="BR1010" s="2" t="s">
        <v>74</v>
      </c>
      <c r="BS1010" s="2" t="s">
        <v>1598</v>
      </c>
      <c r="BT1010" s="2" t="str">
        <f>HYPERLINK("https%3A%2F%2Fwww.webofscience.com%2Fwos%2Fwoscc%2Ffull-record%2FWOS:000230357500004","View Full Record in Web of Science")</f>
        <v>View Full Record in Web of Science</v>
      </c>
    </row>
    <row r="1011" spans="1:72" s="2" customFormat="1" x14ac:dyDescent="0.4">
      <c r="A1011" s="2" t="s">
        <v>72</v>
      </c>
      <c r="B1011" s="2" t="s">
        <v>3125</v>
      </c>
      <c r="C1011" s="2" t="s">
        <v>74</v>
      </c>
      <c r="D1011" s="2" t="s">
        <v>74</v>
      </c>
      <c r="E1011" s="2" t="s">
        <v>74</v>
      </c>
      <c r="F1011" s="2" t="s">
        <v>3126</v>
      </c>
      <c r="G1011" s="2" t="s">
        <v>74</v>
      </c>
      <c r="H1011" s="2" t="s">
        <v>74</v>
      </c>
      <c r="I1011" s="2" t="s">
        <v>3127</v>
      </c>
      <c r="J1011" s="2" t="s">
        <v>3128</v>
      </c>
      <c r="K1011" s="2" t="s">
        <v>74</v>
      </c>
      <c r="L1011" s="2" t="s">
        <v>74</v>
      </c>
      <c r="M1011" s="2" t="s">
        <v>74</v>
      </c>
      <c r="N1011" s="2" t="s">
        <v>74</v>
      </c>
      <c r="O1011" s="2" t="s">
        <v>74</v>
      </c>
      <c r="P1011" s="2" t="s">
        <v>74</v>
      </c>
      <c r="Q1011" s="2" t="s">
        <v>74</v>
      </c>
      <c r="R1011" s="2" t="s">
        <v>74</v>
      </c>
      <c r="S1011" s="2" t="s">
        <v>74</v>
      </c>
      <c r="T1011" s="2" t="s">
        <v>74</v>
      </c>
      <c r="U1011" s="2" t="s">
        <v>74</v>
      </c>
      <c r="V1011" s="5" t="s">
        <v>3129</v>
      </c>
      <c r="W1011" s="2" t="s">
        <v>74</v>
      </c>
      <c r="X1011" s="2" t="s">
        <v>74</v>
      </c>
      <c r="Y1011" s="2" t="s">
        <v>74</v>
      </c>
      <c r="Z1011" s="2" t="s">
        <v>74</v>
      </c>
      <c r="AA1011" s="2" t="s">
        <v>74</v>
      </c>
      <c r="AB1011" s="2" t="s">
        <v>74</v>
      </c>
      <c r="AC1011" s="2" t="s">
        <v>74</v>
      </c>
      <c r="AD1011" s="2" t="s">
        <v>74</v>
      </c>
      <c r="AE1011" s="2" t="s">
        <v>74</v>
      </c>
      <c r="AF1011" s="2" t="s">
        <v>74</v>
      </c>
      <c r="AG1011" s="2" t="s">
        <v>74</v>
      </c>
      <c r="AH1011" s="2" t="s">
        <v>74</v>
      </c>
      <c r="AI1011" s="2" t="s">
        <v>74</v>
      </c>
      <c r="AJ1011" s="2" t="s">
        <v>74</v>
      </c>
      <c r="AK1011" s="2" t="s">
        <v>74</v>
      </c>
      <c r="AL1011" s="2" t="s">
        <v>74</v>
      </c>
      <c r="AM1011" s="2" t="s">
        <v>74</v>
      </c>
      <c r="AN1011" s="2" t="s">
        <v>74</v>
      </c>
      <c r="AO1011" s="2" t="s">
        <v>3130</v>
      </c>
      <c r="AP1011" s="2" t="s">
        <v>3131</v>
      </c>
      <c r="AQ1011" s="2" t="s">
        <v>74</v>
      </c>
      <c r="AR1011" s="2" t="s">
        <v>74</v>
      </c>
      <c r="AS1011" s="2" t="s">
        <v>74</v>
      </c>
      <c r="AT1011" s="2" t="s">
        <v>74</v>
      </c>
      <c r="AU1011" s="2">
        <v>2016</v>
      </c>
      <c r="AV1011" s="2">
        <v>37</v>
      </c>
      <c r="AW1011" s="2">
        <v>3</v>
      </c>
      <c r="AX1011" s="2" t="s">
        <v>74</v>
      </c>
      <c r="AY1011" s="2" t="s">
        <v>74</v>
      </c>
      <c r="AZ1011" s="2" t="s">
        <v>74</v>
      </c>
      <c r="BA1011" s="2" t="s">
        <v>74</v>
      </c>
      <c r="BB1011" s="2">
        <v>283</v>
      </c>
      <c r="BC1011" s="2">
        <v>290</v>
      </c>
      <c r="BD1011" s="2" t="s">
        <v>74</v>
      </c>
      <c r="BE1011" s="2" t="s">
        <v>3132</v>
      </c>
      <c r="BF1011" s="2" t="str">
        <f>HYPERLINK("http://dx.doi.org/10.1163/15685381-00003055","http://dx.doi.org/10.1163/15685381-00003055")</f>
        <v>http://dx.doi.org/10.1163/15685381-00003055</v>
      </c>
      <c r="BG1011" s="2" t="s">
        <v>74</v>
      </c>
      <c r="BH1011" s="2" t="s">
        <v>74</v>
      </c>
      <c r="BI1011" s="2" t="s">
        <v>74</v>
      </c>
      <c r="BJ1011" s="2" t="s">
        <v>74</v>
      </c>
      <c r="BK1011" s="2" t="s">
        <v>74</v>
      </c>
      <c r="BL1011" s="2" t="s">
        <v>74</v>
      </c>
      <c r="BM1011" s="2" t="s">
        <v>74</v>
      </c>
      <c r="BN1011" s="2" t="s">
        <v>74</v>
      </c>
      <c r="BO1011" s="2" t="s">
        <v>74</v>
      </c>
      <c r="BP1011" s="2" t="s">
        <v>74</v>
      </c>
      <c r="BQ1011" s="2" t="s">
        <v>74</v>
      </c>
      <c r="BR1011" s="2" t="s">
        <v>74</v>
      </c>
      <c r="BS1011" s="2" t="s">
        <v>3133</v>
      </c>
      <c r="BT1011" s="2" t="str">
        <f>HYPERLINK("https%3A%2F%2Fwww.webofscience.com%2Fwos%2Fwoscc%2Ffull-record%2FWOS:000384414500004","View Full Record in Web of Science")</f>
        <v>View Full Record in Web of Science</v>
      </c>
    </row>
    <row r="1012" spans="1:72" s="2" customFormat="1" x14ac:dyDescent="0.4">
      <c r="A1012" s="2" t="s">
        <v>72</v>
      </c>
      <c r="B1012" s="2" t="s">
        <v>6537</v>
      </c>
      <c r="C1012" s="2" t="s">
        <v>74</v>
      </c>
      <c r="D1012" s="2" t="s">
        <v>74</v>
      </c>
      <c r="E1012" s="2" t="s">
        <v>74</v>
      </c>
      <c r="F1012" s="2" t="s">
        <v>6537</v>
      </c>
      <c r="G1012" s="2" t="s">
        <v>74</v>
      </c>
      <c r="H1012" s="2" t="s">
        <v>74</v>
      </c>
      <c r="I1012" s="2" t="s">
        <v>6538</v>
      </c>
      <c r="J1012" s="2" t="s">
        <v>129</v>
      </c>
      <c r="K1012" s="2" t="s">
        <v>74</v>
      </c>
      <c r="L1012" s="2" t="s">
        <v>74</v>
      </c>
      <c r="M1012" s="2" t="s">
        <v>74</v>
      </c>
      <c r="N1012" s="2" t="s">
        <v>74</v>
      </c>
      <c r="O1012" s="2" t="s">
        <v>74</v>
      </c>
      <c r="P1012" s="2" t="s">
        <v>74</v>
      </c>
      <c r="Q1012" s="2" t="s">
        <v>74</v>
      </c>
      <c r="R1012" s="2" t="s">
        <v>74</v>
      </c>
      <c r="S1012" s="2" t="s">
        <v>74</v>
      </c>
      <c r="T1012" s="2" t="s">
        <v>74</v>
      </c>
      <c r="U1012" s="2" t="s">
        <v>74</v>
      </c>
      <c r="V1012" s="5" t="s">
        <v>6539</v>
      </c>
      <c r="W1012" s="2" t="s">
        <v>74</v>
      </c>
      <c r="X1012" s="2" t="s">
        <v>74</v>
      </c>
      <c r="Y1012" s="2" t="s">
        <v>74</v>
      </c>
      <c r="Z1012" s="2" t="s">
        <v>74</v>
      </c>
      <c r="AA1012" s="2" t="s">
        <v>74</v>
      </c>
      <c r="AB1012" s="2" t="s">
        <v>74</v>
      </c>
      <c r="AC1012" s="2" t="s">
        <v>74</v>
      </c>
      <c r="AD1012" s="2" t="s">
        <v>74</v>
      </c>
      <c r="AE1012" s="2" t="s">
        <v>74</v>
      </c>
      <c r="AF1012" s="2" t="s">
        <v>74</v>
      </c>
      <c r="AG1012" s="2" t="s">
        <v>74</v>
      </c>
      <c r="AH1012" s="2" t="s">
        <v>74</v>
      </c>
      <c r="AI1012" s="2" t="s">
        <v>74</v>
      </c>
      <c r="AJ1012" s="2" t="s">
        <v>74</v>
      </c>
      <c r="AK1012" s="2" t="s">
        <v>74</v>
      </c>
      <c r="AL1012" s="2" t="s">
        <v>74</v>
      </c>
      <c r="AM1012" s="2" t="s">
        <v>74</v>
      </c>
      <c r="AN1012" s="2" t="s">
        <v>74</v>
      </c>
      <c r="AO1012" s="2" t="s">
        <v>132</v>
      </c>
      <c r="AP1012" s="2" t="s">
        <v>74</v>
      </c>
      <c r="AQ1012" s="2" t="s">
        <v>74</v>
      </c>
      <c r="AR1012" s="2" t="s">
        <v>74</v>
      </c>
      <c r="AS1012" s="2" t="s">
        <v>74</v>
      </c>
      <c r="AT1012" s="2" t="s">
        <v>204</v>
      </c>
      <c r="AU1012" s="2">
        <v>1992</v>
      </c>
      <c r="AV1012" s="2">
        <v>31</v>
      </c>
      <c r="AW1012" s="2">
        <v>1</v>
      </c>
      <c r="AX1012" s="2" t="s">
        <v>74</v>
      </c>
      <c r="AY1012" s="2" t="s">
        <v>74</v>
      </c>
      <c r="AZ1012" s="2" t="s">
        <v>74</v>
      </c>
      <c r="BA1012" s="2" t="s">
        <v>74</v>
      </c>
      <c r="BB1012" s="2">
        <v>27</v>
      </c>
      <c r="BC1012" s="2">
        <v>33</v>
      </c>
      <c r="BD1012" s="2" t="s">
        <v>74</v>
      </c>
      <c r="BE1012" s="2" t="s">
        <v>6540</v>
      </c>
      <c r="BF1012" s="2" t="str">
        <f>HYPERLINK("http://dx.doi.org/10.1007/BF00167813","http://dx.doi.org/10.1007/BF00167813")</f>
        <v>http://dx.doi.org/10.1007/BF00167813</v>
      </c>
      <c r="BG1012" s="2" t="s">
        <v>74</v>
      </c>
      <c r="BH1012" s="2" t="s">
        <v>74</v>
      </c>
      <c r="BI1012" s="2" t="s">
        <v>74</v>
      </c>
      <c r="BJ1012" s="2" t="s">
        <v>74</v>
      </c>
      <c r="BK1012" s="2" t="s">
        <v>74</v>
      </c>
      <c r="BL1012" s="2" t="s">
        <v>74</v>
      </c>
      <c r="BM1012" s="2" t="s">
        <v>74</v>
      </c>
      <c r="BN1012" s="2" t="s">
        <v>74</v>
      </c>
      <c r="BO1012" s="2" t="s">
        <v>74</v>
      </c>
      <c r="BP1012" s="2" t="s">
        <v>74</v>
      </c>
      <c r="BQ1012" s="2" t="s">
        <v>74</v>
      </c>
      <c r="BR1012" s="2" t="s">
        <v>74</v>
      </c>
      <c r="BS1012" s="2" t="s">
        <v>6541</v>
      </c>
      <c r="BT1012" s="2" t="str">
        <f>HYPERLINK("https%3A%2F%2Fwww.webofscience.com%2Fwos%2Fwoscc%2Ffull-record%2FWOS:A1992JE29600004","View Full Record in Web of Science")</f>
        <v>View Full Record in Web of Science</v>
      </c>
    </row>
    <row r="1013" spans="1:72" s="2" customFormat="1" x14ac:dyDescent="0.4">
      <c r="A1013" s="2" t="s">
        <v>72</v>
      </c>
      <c r="B1013" s="2" t="s">
        <v>7212</v>
      </c>
      <c r="C1013" s="2" t="s">
        <v>74</v>
      </c>
      <c r="D1013" s="2" t="s">
        <v>74</v>
      </c>
      <c r="E1013" s="2" t="s">
        <v>74</v>
      </c>
      <c r="F1013" s="2" t="s">
        <v>7213</v>
      </c>
      <c r="G1013" s="2" t="s">
        <v>74</v>
      </c>
      <c r="H1013" s="2" t="s">
        <v>74</v>
      </c>
      <c r="I1013" s="2" t="s">
        <v>7214</v>
      </c>
      <c r="J1013" s="2" t="s">
        <v>333</v>
      </c>
      <c r="K1013" s="2" t="s">
        <v>74</v>
      </c>
      <c r="L1013" s="2" t="s">
        <v>74</v>
      </c>
      <c r="M1013" s="2" t="s">
        <v>74</v>
      </c>
      <c r="N1013" s="2" t="s">
        <v>74</v>
      </c>
      <c r="O1013" s="2" t="s">
        <v>74</v>
      </c>
      <c r="P1013" s="2" t="s">
        <v>74</v>
      </c>
      <c r="Q1013" s="2" t="s">
        <v>74</v>
      </c>
      <c r="R1013" s="2" t="s">
        <v>74</v>
      </c>
      <c r="S1013" s="2" t="s">
        <v>74</v>
      </c>
      <c r="T1013" s="2" t="s">
        <v>74</v>
      </c>
      <c r="U1013" s="2" t="s">
        <v>74</v>
      </c>
      <c r="V1013" s="5" t="s">
        <v>7215</v>
      </c>
      <c r="W1013" s="2" t="s">
        <v>74</v>
      </c>
      <c r="X1013" s="2" t="s">
        <v>74</v>
      </c>
      <c r="Y1013" s="2" t="s">
        <v>74</v>
      </c>
      <c r="Z1013" s="2" t="s">
        <v>74</v>
      </c>
      <c r="AA1013" s="2" t="s">
        <v>7216</v>
      </c>
      <c r="AB1013" s="2" t="s">
        <v>7217</v>
      </c>
      <c r="AC1013" s="2" t="s">
        <v>74</v>
      </c>
      <c r="AD1013" s="2" t="s">
        <v>74</v>
      </c>
      <c r="AE1013" s="2" t="s">
        <v>74</v>
      </c>
      <c r="AF1013" s="2" t="s">
        <v>74</v>
      </c>
      <c r="AG1013" s="2" t="s">
        <v>74</v>
      </c>
      <c r="AH1013" s="2" t="s">
        <v>74</v>
      </c>
      <c r="AI1013" s="2" t="s">
        <v>74</v>
      </c>
      <c r="AJ1013" s="2" t="s">
        <v>74</v>
      </c>
      <c r="AK1013" s="2" t="s">
        <v>74</v>
      </c>
      <c r="AL1013" s="2" t="s">
        <v>74</v>
      </c>
      <c r="AM1013" s="2" t="s">
        <v>74</v>
      </c>
      <c r="AN1013" s="2" t="s">
        <v>74</v>
      </c>
      <c r="AO1013" s="2" t="s">
        <v>337</v>
      </c>
      <c r="AP1013" s="2" t="s">
        <v>338</v>
      </c>
      <c r="AQ1013" s="2" t="s">
        <v>74</v>
      </c>
      <c r="AR1013" s="2" t="s">
        <v>74</v>
      </c>
      <c r="AS1013" s="2" t="s">
        <v>74</v>
      </c>
      <c r="AT1013" s="2" t="s">
        <v>1038</v>
      </c>
      <c r="AU1013" s="2">
        <v>2016</v>
      </c>
      <c r="AV1013" s="2">
        <v>27</v>
      </c>
      <c r="AW1013" s="2">
        <v>2</v>
      </c>
      <c r="AX1013" s="2" t="s">
        <v>74</v>
      </c>
      <c r="AY1013" s="2" t="s">
        <v>74</v>
      </c>
      <c r="AZ1013" s="2" t="s">
        <v>74</v>
      </c>
      <c r="BA1013" s="2" t="s">
        <v>74</v>
      </c>
      <c r="BB1013" s="2">
        <v>677</v>
      </c>
      <c r="BC1013" s="2">
        <v>684</v>
      </c>
      <c r="BD1013" s="2" t="s">
        <v>74</v>
      </c>
      <c r="BE1013" s="2" t="s">
        <v>7218</v>
      </c>
      <c r="BF1013" s="2" t="str">
        <f>HYPERLINK("http://dx.doi.org/10.1093/beheco/arv206","http://dx.doi.org/10.1093/beheco/arv206")</f>
        <v>http://dx.doi.org/10.1093/beheco/arv206</v>
      </c>
      <c r="BG1013" s="2" t="s">
        <v>74</v>
      </c>
      <c r="BH1013" s="2" t="s">
        <v>74</v>
      </c>
      <c r="BI1013" s="2" t="s">
        <v>74</v>
      </c>
      <c r="BJ1013" s="2" t="s">
        <v>74</v>
      </c>
      <c r="BK1013" s="2" t="s">
        <v>74</v>
      </c>
      <c r="BL1013" s="2" t="s">
        <v>74</v>
      </c>
      <c r="BM1013" s="2" t="s">
        <v>74</v>
      </c>
      <c r="BN1013" s="2" t="s">
        <v>74</v>
      </c>
      <c r="BO1013" s="2" t="s">
        <v>74</v>
      </c>
      <c r="BP1013" s="2" t="s">
        <v>74</v>
      </c>
      <c r="BQ1013" s="2" t="s">
        <v>74</v>
      </c>
      <c r="BR1013" s="2" t="s">
        <v>74</v>
      </c>
      <c r="BS1013" s="2" t="s">
        <v>7219</v>
      </c>
      <c r="BT1013" s="2" t="str">
        <f>HYPERLINK("https%3A%2F%2Fwww.webofscience.com%2Fwos%2Fwoscc%2Ffull-record%2FWOS:000375398800043","View Full Record in Web of Science")</f>
        <v>View Full Record in Web of Science</v>
      </c>
    </row>
    <row r="1014" spans="1:72" s="2" customFormat="1" x14ac:dyDescent="0.4">
      <c r="A1014" s="2" t="s">
        <v>72</v>
      </c>
      <c r="B1014" s="2" t="s">
        <v>1771</v>
      </c>
      <c r="C1014" s="2" t="s">
        <v>74</v>
      </c>
      <c r="D1014" s="2" t="s">
        <v>74</v>
      </c>
      <c r="E1014" s="2" t="s">
        <v>74</v>
      </c>
      <c r="F1014" s="2" t="s">
        <v>1771</v>
      </c>
      <c r="G1014" s="2" t="s">
        <v>74</v>
      </c>
      <c r="H1014" s="2" t="s">
        <v>74</v>
      </c>
      <c r="I1014" s="2" t="s">
        <v>1772</v>
      </c>
      <c r="J1014" s="2" t="s">
        <v>509</v>
      </c>
      <c r="K1014" s="2" t="s">
        <v>74</v>
      </c>
      <c r="L1014" s="2" t="s">
        <v>74</v>
      </c>
      <c r="M1014" s="2" t="s">
        <v>74</v>
      </c>
      <c r="N1014" s="2" t="s">
        <v>74</v>
      </c>
      <c r="O1014" s="2" t="s">
        <v>74</v>
      </c>
      <c r="P1014" s="2" t="s">
        <v>74</v>
      </c>
      <c r="Q1014" s="2" t="s">
        <v>74</v>
      </c>
      <c r="R1014" s="2" t="s">
        <v>74</v>
      </c>
      <c r="S1014" s="2" t="s">
        <v>74</v>
      </c>
      <c r="T1014" s="2" t="s">
        <v>74</v>
      </c>
      <c r="U1014" s="2" t="s">
        <v>74</v>
      </c>
      <c r="V1014" s="5" t="s">
        <v>1773</v>
      </c>
      <c r="W1014" s="2" t="s">
        <v>74</v>
      </c>
      <c r="X1014" s="2" t="s">
        <v>74</v>
      </c>
      <c r="Y1014" s="2" t="s">
        <v>74</v>
      </c>
      <c r="Z1014" s="2" t="s">
        <v>74</v>
      </c>
      <c r="AA1014" s="2" t="s">
        <v>74</v>
      </c>
      <c r="AB1014" s="2" t="s">
        <v>1774</v>
      </c>
      <c r="AC1014" s="2" t="s">
        <v>74</v>
      </c>
      <c r="AD1014" s="2" t="s">
        <v>74</v>
      </c>
      <c r="AE1014" s="2" t="s">
        <v>74</v>
      </c>
      <c r="AF1014" s="2" t="s">
        <v>74</v>
      </c>
      <c r="AG1014" s="2" t="s">
        <v>74</v>
      </c>
      <c r="AH1014" s="2" t="s">
        <v>74</v>
      </c>
      <c r="AI1014" s="2" t="s">
        <v>74</v>
      </c>
      <c r="AJ1014" s="2" t="s">
        <v>74</v>
      </c>
      <c r="AK1014" s="2" t="s">
        <v>74</v>
      </c>
      <c r="AL1014" s="2" t="s">
        <v>74</v>
      </c>
      <c r="AM1014" s="2" t="s">
        <v>74</v>
      </c>
      <c r="AN1014" s="2" t="s">
        <v>74</v>
      </c>
      <c r="AO1014" s="2" t="s">
        <v>511</v>
      </c>
      <c r="AP1014" s="2" t="s">
        <v>74</v>
      </c>
      <c r="AQ1014" s="2" t="s">
        <v>74</v>
      </c>
      <c r="AR1014" s="2" t="s">
        <v>74</v>
      </c>
      <c r="AS1014" s="2" t="s">
        <v>74</v>
      </c>
      <c r="AT1014" s="2" t="s">
        <v>123</v>
      </c>
      <c r="AU1014" s="2">
        <v>1994</v>
      </c>
      <c r="AV1014" s="2">
        <v>28</v>
      </c>
      <c r="AW1014" s="2">
        <v>1</v>
      </c>
      <c r="AX1014" s="2" t="s">
        <v>74</v>
      </c>
      <c r="AY1014" s="2" t="s">
        <v>74</v>
      </c>
      <c r="AZ1014" s="2" t="s">
        <v>74</v>
      </c>
      <c r="BA1014" s="2" t="s">
        <v>74</v>
      </c>
      <c r="BB1014" s="2">
        <v>29</v>
      </c>
      <c r="BC1014" s="2">
        <v>40</v>
      </c>
      <c r="BD1014" s="2" t="s">
        <v>74</v>
      </c>
      <c r="BE1014" s="2" t="s">
        <v>1775</v>
      </c>
      <c r="BF1014" s="2" t="str">
        <f>HYPERLINK("http://dx.doi.org/10.1006/hbeh.1994.1003","http://dx.doi.org/10.1006/hbeh.1994.1003")</f>
        <v>http://dx.doi.org/10.1006/hbeh.1994.1003</v>
      </c>
      <c r="BG1014" s="2" t="s">
        <v>74</v>
      </c>
      <c r="BH1014" s="2" t="s">
        <v>74</v>
      </c>
      <c r="BI1014" s="2" t="s">
        <v>74</v>
      </c>
      <c r="BJ1014" s="2" t="s">
        <v>74</v>
      </c>
      <c r="BK1014" s="2" t="s">
        <v>74</v>
      </c>
      <c r="BL1014" s="2" t="s">
        <v>74</v>
      </c>
      <c r="BM1014" s="2" t="s">
        <v>74</v>
      </c>
      <c r="BN1014" s="2">
        <v>8034280</v>
      </c>
      <c r="BO1014" s="2" t="s">
        <v>74</v>
      </c>
      <c r="BP1014" s="2" t="s">
        <v>74</v>
      </c>
      <c r="BQ1014" s="2" t="s">
        <v>74</v>
      </c>
      <c r="BR1014" s="2" t="s">
        <v>74</v>
      </c>
      <c r="BS1014" s="2" t="s">
        <v>1776</v>
      </c>
      <c r="BT1014" s="2" t="str">
        <f>HYPERLINK("https%3A%2F%2Fwww.webofscience.com%2Fwos%2Fwoscc%2Ffull-record%2FWOS:A1994NG07100003","View Full Record in Web of Science")</f>
        <v>View Full Record in Web of Science</v>
      </c>
    </row>
    <row r="1015" spans="1:72" s="2" customFormat="1" x14ac:dyDescent="0.4">
      <c r="A1015" s="2" t="s">
        <v>72</v>
      </c>
      <c r="B1015" s="2" t="s">
        <v>1771</v>
      </c>
      <c r="C1015" s="2" t="s">
        <v>74</v>
      </c>
      <c r="D1015" s="2" t="s">
        <v>74</v>
      </c>
      <c r="E1015" s="2" t="s">
        <v>74</v>
      </c>
      <c r="F1015" s="2" t="s">
        <v>1771</v>
      </c>
      <c r="G1015" s="2" t="s">
        <v>74</v>
      </c>
      <c r="H1015" s="2" t="s">
        <v>74</v>
      </c>
      <c r="I1015" s="2" t="s">
        <v>6183</v>
      </c>
      <c r="J1015" s="2" t="s">
        <v>1574</v>
      </c>
      <c r="K1015" s="2" t="s">
        <v>74</v>
      </c>
      <c r="L1015" s="2" t="s">
        <v>74</v>
      </c>
      <c r="M1015" s="2" t="s">
        <v>74</v>
      </c>
      <c r="N1015" s="2" t="s">
        <v>74</v>
      </c>
      <c r="O1015" s="2" t="s">
        <v>74</v>
      </c>
      <c r="P1015" s="2" t="s">
        <v>74</v>
      </c>
      <c r="Q1015" s="2" t="s">
        <v>74</v>
      </c>
      <c r="R1015" s="2" t="s">
        <v>74</v>
      </c>
      <c r="S1015" s="2" t="s">
        <v>74</v>
      </c>
      <c r="T1015" s="2" t="s">
        <v>74</v>
      </c>
      <c r="U1015" s="2" t="s">
        <v>74</v>
      </c>
      <c r="V1015" s="5" t="s">
        <v>6184</v>
      </c>
      <c r="W1015" s="2" t="s">
        <v>74</v>
      </c>
      <c r="X1015" s="2" t="s">
        <v>74</v>
      </c>
      <c r="Y1015" s="2" t="s">
        <v>74</v>
      </c>
      <c r="Z1015" s="2" t="s">
        <v>74</v>
      </c>
      <c r="AA1015" s="2" t="s">
        <v>74</v>
      </c>
      <c r="AB1015" s="2" t="s">
        <v>1774</v>
      </c>
      <c r="AC1015" s="2" t="s">
        <v>74</v>
      </c>
      <c r="AD1015" s="2" t="s">
        <v>74</v>
      </c>
      <c r="AE1015" s="2" t="s">
        <v>74</v>
      </c>
      <c r="AF1015" s="2" t="s">
        <v>74</v>
      </c>
      <c r="AG1015" s="2" t="s">
        <v>74</v>
      </c>
      <c r="AH1015" s="2" t="s">
        <v>74</v>
      </c>
      <c r="AI1015" s="2" t="s">
        <v>74</v>
      </c>
      <c r="AJ1015" s="2" t="s">
        <v>74</v>
      </c>
      <c r="AK1015" s="2" t="s">
        <v>74</v>
      </c>
      <c r="AL1015" s="2" t="s">
        <v>74</v>
      </c>
      <c r="AM1015" s="2" t="s">
        <v>74</v>
      </c>
      <c r="AN1015" s="2" t="s">
        <v>74</v>
      </c>
      <c r="AO1015" s="2" t="s">
        <v>1576</v>
      </c>
      <c r="AP1015" s="2" t="s">
        <v>74</v>
      </c>
      <c r="AQ1015" s="2" t="s">
        <v>74</v>
      </c>
      <c r="AR1015" s="2" t="s">
        <v>74</v>
      </c>
      <c r="AS1015" s="2" t="s">
        <v>74</v>
      </c>
      <c r="AT1015" s="2" t="s">
        <v>102</v>
      </c>
      <c r="AU1015" s="2">
        <v>1995</v>
      </c>
      <c r="AV1015" s="2">
        <v>45</v>
      </c>
      <c r="AW1015" s="2">
        <v>6</v>
      </c>
      <c r="AX1015" s="2" t="s">
        <v>74</v>
      </c>
      <c r="AY1015" s="2" t="s">
        <v>74</v>
      </c>
      <c r="AZ1015" s="2" t="s">
        <v>74</v>
      </c>
      <c r="BA1015" s="2" t="s">
        <v>74</v>
      </c>
      <c r="BB1015" s="2">
        <v>339</v>
      </c>
      <c r="BC1015" s="2">
        <v>349</v>
      </c>
      <c r="BD1015" s="2" t="s">
        <v>74</v>
      </c>
      <c r="BE1015" s="2" t="s">
        <v>6185</v>
      </c>
      <c r="BF1015" s="2" t="str">
        <f>HYPERLINK("http://dx.doi.org/10.1159/000113561","http://dx.doi.org/10.1159/000113561")</f>
        <v>http://dx.doi.org/10.1159/000113561</v>
      </c>
      <c r="BG1015" s="2" t="s">
        <v>74</v>
      </c>
      <c r="BH1015" s="2" t="s">
        <v>74</v>
      </c>
      <c r="BI1015" s="2" t="s">
        <v>74</v>
      </c>
      <c r="BJ1015" s="2" t="s">
        <v>74</v>
      </c>
      <c r="BK1015" s="2" t="s">
        <v>74</v>
      </c>
      <c r="BL1015" s="2" t="s">
        <v>74</v>
      </c>
      <c r="BM1015" s="2" t="s">
        <v>74</v>
      </c>
      <c r="BN1015" s="2">
        <v>7663963</v>
      </c>
      <c r="BO1015" s="2" t="s">
        <v>74</v>
      </c>
      <c r="BP1015" s="2" t="s">
        <v>74</v>
      </c>
      <c r="BQ1015" s="2" t="s">
        <v>74</v>
      </c>
      <c r="BR1015" s="2" t="s">
        <v>74</v>
      </c>
      <c r="BS1015" s="2" t="s">
        <v>6186</v>
      </c>
      <c r="BT1015" s="2" t="str">
        <f>HYPERLINK("https%3A%2F%2Fwww.webofscience.com%2Fwos%2Fwoscc%2Ffull-record%2FWOS:A1995RE13000004","View Full Record in Web of Science")</f>
        <v>View Full Record in Web of Science</v>
      </c>
    </row>
    <row r="1016" spans="1:72" s="2" customFormat="1" x14ac:dyDescent="0.4">
      <c r="A1016" s="2" t="s">
        <v>72</v>
      </c>
      <c r="B1016" s="2" t="s">
        <v>5303</v>
      </c>
      <c r="C1016" s="2" t="s">
        <v>74</v>
      </c>
      <c r="D1016" s="2" t="s">
        <v>74</v>
      </c>
      <c r="E1016" s="2" t="s">
        <v>74</v>
      </c>
      <c r="F1016" s="2" t="s">
        <v>5303</v>
      </c>
      <c r="G1016" s="2" t="s">
        <v>74</v>
      </c>
      <c r="H1016" s="2" t="s">
        <v>74</v>
      </c>
      <c r="I1016" s="2" t="s">
        <v>5304</v>
      </c>
      <c r="J1016" s="2" t="s">
        <v>129</v>
      </c>
      <c r="K1016" s="2" t="s">
        <v>74</v>
      </c>
      <c r="L1016" s="2" t="s">
        <v>74</v>
      </c>
      <c r="M1016" s="2" t="s">
        <v>74</v>
      </c>
      <c r="N1016" s="2" t="s">
        <v>74</v>
      </c>
      <c r="O1016" s="2" t="s">
        <v>74</v>
      </c>
      <c r="P1016" s="2" t="s">
        <v>74</v>
      </c>
      <c r="Q1016" s="2" t="s">
        <v>74</v>
      </c>
      <c r="R1016" s="2" t="s">
        <v>74</v>
      </c>
      <c r="S1016" s="2" t="s">
        <v>74</v>
      </c>
      <c r="T1016" s="2" t="s">
        <v>74</v>
      </c>
      <c r="U1016" s="2" t="s">
        <v>74</v>
      </c>
      <c r="V1016" s="5" t="s">
        <v>5305</v>
      </c>
      <c r="W1016" s="2" t="s">
        <v>74</v>
      </c>
      <c r="X1016" s="2" t="s">
        <v>74</v>
      </c>
      <c r="Y1016" s="2" t="s">
        <v>74</v>
      </c>
      <c r="Z1016" s="2" t="s">
        <v>74</v>
      </c>
      <c r="AA1016" s="2" t="s">
        <v>74</v>
      </c>
      <c r="AB1016" s="2" t="s">
        <v>74</v>
      </c>
      <c r="AC1016" s="2" t="s">
        <v>74</v>
      </c>
      <c r="AD1016" s="2" t="s">
        <v>74</v>
      </c>
      <c r="AE1016" s="2" t="s">
        <v>74</v>
      </c>
      <c r="AF1016" s="2" t="s">
        <v>74</v>
      </c>
      <c r="AG1016" s="2" t="s">
        <v>74</v>
      </c>
      <c r="AH1016" s="2" t="s">
        <v>74</v>
      </c>
      <c r="AI1016" s="2" t="s">
        <v>74</v>
      </c>
      <c r="AJ1016" s="2" t="s">
        <v>74</v>
      </c>
      <c r="AK1016" s="2" t="s">
        <v>74</v>
      </c>
      <c r="AL1016" s="2" t="s">
        <v>74</v>
      </c>
      <c r="AM1016" s="2" t="s">
        <v>74</v>
      </c>
      <c r="AN1016" s="2" t="s">
        <v>74</v>
      </c>
      <c r="AO1016" s="2" t="s">
        <v>132</v>
      </c>
      <c r="AP1016" s="2" t="s">
        <v>133</v>
      </c>
      <c r="AQ1016" s="2" t="s">
        <v>74</v>
      </c>
      <c r="AR1016" s="2" t="s">
        <v>74</v>
      </c>
      <c r="AS1016" s="2" t="s">
        <v>74</v>
      </c>
      <c r="AT1016" s="2" t="s">
        <v>175</v>
      </c>
      <c r="AU1016" s="2">
        <v>1995</v>
      </c>
      <c r="AV1016" s="2">
        <v>37</v>
      </c>
      <c r="AW1016" s="2">
        <v>4</v>
      </c>
      <c r="AX1016" s="2" t="s">
        <v>74</v>
      </c>
      <c r="AY1016" s="2" t="s">
        <v>74</v>
      </c>
      <c r="AZ1016" s="2" t="s">
        <v>74</v>
      </c>
      <c r="BA1016" s="2" t="s">
        <v>74</v>
      </c>
      <c r="BB1016" s="2">
        <v>275</v>
      </c>
      <c r="BC1016" s="2">
        <v>282</v>
      </c>
      <c r="BD1016" s="2" t="s">
        <v>74</v>
      </c>
      <c r="BE1016" s="2" t="s">
        <v>5306</v>
      </c>
      <c r="BF1016" s="2" t="str">
        <f>HYPERLINK("http://dx.doi.org/10.1007/BF00177407","http://dx.doi.org/10.1007/BF00177407")</f>
        <v>http://dx.doi.org/10.1007/BF00177407</v>
      </c>
      <c r="BG1016" s="2" t="s">
        <v>74</v>
      </c>
      <c r="BH1016" s="2" t="s">
        <v>74</v>
      </c>
      <c r="BI1016" s="2" t="s">
        <v>74</v>
      </c>
      <c r="BJ1016" s="2" t="s">
        <v>74</v>
      </c>
      <c r="BK1016" s="2" t="s">
        <v>74</v>
      </c>
      <c r="BL1016" s="2" t="s">
        <v>74</v>
      </c>
      <c r="BM1016" s="2" t="s">
        <v>74</v>
      </c>
      <c r="BN1016" s="2" t="s">
        <v>74</v>
      </c>
      <c r="BO1016" s="2" t="s">
        <v>74</v>
      </c>
      <c r="BP1016" s="2" t="s">
        <v>74</v>
      </c>
      <c r="BQ1016" s="2" t="s">
        <v>74</v>
      </c>
      <c r="BR1016" s="2" t="s">
        <v>74</v>
      </c>
      <c r="BS1016" s="2" t="s">
        <v>5307</v>
      </c>
      <c r="BT1016" s="2" t="str">
        <f>HYPERLINK("https%3A%2F%2Fwww.webofscience.com%2Fwos%2Fwoscc%2Ffull-record%2FWOS:A1995TC81600008","View Full Record in Web of Science")</f>
        <v>View Full Record in Web of Science</v>
      </c>
    </row>
    <row r="1017" spans="1:72" s="1" customFormat="1" x14ac:dyDescent="0.4">
      <c r="A1017" s="2" t="s">
        <v>72</v>
      </c>
      <c r="B1017" s="2" t="s">
        <v>4061</v>
      </c>
      <c r="C1017" s="2" t="s">
        <v>74</v>
      </c>
      <c r="D1017" s="2" t="s">
        <v>74</v>
      </c>
      <c r="E1017" s="2" t="s">
        <v>74</v>
      </c>
      <c r="F1017" s="2" t="s">
        <v>4062</v>
      </c>
      <c r="G1017" s="2" t="s">
        <v>74</v>
      </c>
      <c r="H1017" s="2" t="s">
        <v>74</v>
      </c>
      <c r="I1017" s="2" t="s">
        <v>4063</v>
      </c>
      <c r="J1017" s="2" t="s">
        <v>4064</v>
      </c>
      <c r="K1017" s="2" t="s">
        <v>74</v>
      </c>
      <c r="L1017" s="2" t="s">
        <v>74</v>
      </c>
      <c r="M1017" s="2" t="s">
        <v>74</v>
      </c>
      <c r="N1017" s="2" t="s">
        <v>74</v>
      </c>
      <c r="O1017" s="2" t="s">
        <v>74</v>
      </c>
      <c r="P1017" s="2" t="s">
        <v>74</v>
      </c>
      <c r="Q1017" s="2" t="s">
        <v>74</v>
      </c>
      <c r="R1017" s="2" t="s">
        <v>74</v>
      </c>
      <c r="S1017" s="2" t="s">
        <v>74</v>
      </c>
      <c r="T1017" s="2" t="s">
        <v>74</v>
      </c>
      <c r="U1017" s="2" t="s">
        <v>74</v>
      </c>
      <c r="V1017" s="5" t="s">
        <v>4065</v>
      </c>
      <c r="W1017" s="2" t="s">
        <v>74</v>
      </c>
      <c r="X1017" s="2" t="s">
        <v>74</v>
      </c>
      <c r="Y1017" s="2" t="s">
        <v>74</v>
      </c>
      <c r="Z1017" s="2" t="s">
        <v>74</v>
      </c>
      <c r="AA1017" s="2" t="s">
        <v>4066</v>
      </c>
      <c r="AB1017" s="2" t="s">
        <v>4067</v>
      </c>
      <c r="AC1017" s="2" t="s">
        <v>74</v>
      </c>
      <c r="AD1017" s="2" t="s">
        <v>74</v>
      </c>
      <c r="AE1017" s="2" t="s">
        <v>74</v>
      </c>
      <c r="AF1017" s="2" t="s">
        <v>74</v>
      </c>
      <c r="AG1017" s="2" t="s">
        <v>74</v>
      </c>
      <c r="AH1017" s="2" t="s">
        <v>74</v>
      </c>
      <c r="AI1017" s="2" t="s">
        <v>74</v>
      </c>
      <c r="AJ1017" s="2" t="s">
        <v>74</v>
      </c>
      <c r="AK1017" s="2" t="s">
        <v>74</v>
      </c>
      <c r="AL1017" s="2" t="s">
        <v>74</v>
      </c>
      <c r="AM1017" s="2" t="s">
        <v>74</v>
      </c>
      <c r="AN1017" s="2" t="s">
        <v>74</v>
      </c>
      <c r="AO1017" s="2" t="s">
        <v>4068</v>
      </c>
      <c r="AP1017" s="2" t="s">
        <v>4069</v>
      </c>
      <c r="AQ1017" s="2" t="s">
        <v>74</v>
      </c>
      <c r="AR1017" s="2" t="s">
        <v>74</v>
      </c>
      <c r="AS1017" s="2" t="s">
        <v>74</v>
      </c>
      <c r="AT1017" s="2" t="s">
        <v>4070</v>
      </c>
      <c r="AU1017" s="2">
        <v>2007</v>
      </c>
      <c r="AV1017" s="2">
        <v>17</v>
      </c>
      <c r="AW1017" s="2">
        <v>22</v>
      </c>
      <c r="AX1017" s="2" t="s">
        <v>74</v>
      </c>
      <c r="AY1017" s="2" t="s">
        <v>74</v>
      </c>
      <c r="AZ1017" s="2" t="s">
        <v>74</v>
      </c>
      <c r="BA1017" s="2" t="s">
        <v>74</v>
      </c>
      <c r="BB1017" s="2">
        <v>1943</v>
      </c>
      <c r="BC1017" s="2">
        <v>1947</v>
      </c>
      <c r="BD1017" s="2" t="s">
        <v>74</v>
      </c>
      <c r="BE1017" s="2" t="s">
        <v>4071</v>
      </c>
      <c r="BF1017" s="2" t="str">
        <f>HYPERLINK("http://dx.doi.org/10.1016/j.cub.2007.09.038","http://dx.doi.org/10.1016/j.cub.2007.09.038")</f>
        <v>http://dx.doi.org/10.1016/j.cub.2007.09.038</v>
      </c>
      <c r="BG1017" s="2" t="s">
        <v>74</v>
      </c>
      <c r="BH1017" s="2" t="s">
        <v>74</v>
      </c>
      <c r="BI1017" s="2" t="s">
        <v>74</v>
      </c>
      <c r="BJ1017" s="2" t="s">
        <v>74</v>
      </c>
      <c r="BK1017" s="2" t="s">
        <v>74</v>
      </c>
      <c r="BL1017" s="2" t="s">
        <v>74</v>
      </c>
      <c r="BM1017" s="2" t="s">
        <v>74</v>
      </c>
      <c r="BN1017" s="2">
        <v>17935996</v>
      </c>
      <c r="BO1017" s="2" t="s">
        <v>74</v>
      </c>
      <c r="BP1017" s="2" t="s">
        <v>74</v>
      </c>
      <c r="BQ1017" s="2" t="s">
        <v>74</v>
      </c>
      <c r="BR1017" s="2" t="s">
        <v>74</v>
      </c>
      <c r="BS1017" s="2" t="s">
        <v>4072</v>
      </c>
      <c r="BT1017" s="2" t="str">
        <f>HYPERLINK("https%3A%2F%2Fwww.webofscience.com%2Fwos%2Fwoscc%2Ffull-record%2FWOS:000251274300027","View Full Record in Web of Science")</f>
        <v>View Full Record in Web of Science</v>
      </c>
    </row>
    <row r="1018" spans="1:72" s="2" customFormat="1" x14ac:dyDescent="0.4">
      <c r="A1018" s="2" t="s">
        <v>72</v>
      </c>
      <c r="B1018" s="2" t="s">
        <v>3997</v>
      </c>
      <c r="C1018" s="2" t="s">
        <v>74</v>
      </c>
      <c r="D1018" s="2" t="s">
        <v>74</v>
      </c>
      <c r="E1018" s="2" t="s">
        <v>74</v>
      </c>
      <c r="F1018" s="2" t="s">
        <v>3998</v>
      </c>
      <c r="G1018" s="2" t="s">
        <v>74</v>
      </c>
      <c r="H1018" s="2" t="s">
        <v>74</v>
      </c>
      <c r="I1018" s="2" t="s">
        <v>3999</v>
      </c>
      <c r="J1018" s="2" t="s">
        <v>1112</v>
      </c>
      <c r="K1018" s="2" t="s">
        <v>74</v>
      </c>
      <c r="L1018" s="2" t="s">
        <v>74</v>
      </c>
      <c r="M1018" s="2" t="s">
        <v>74</v>
      </c>
      <c r="N1018" s="2" t="s">
        <v>74</v>
      </c>
      <c r="O1018" s="2" t="s">
        <v>74</v>
      </c>
      <c r="P1018" s="2" t="s">
        <v>74</v>
      </c>
      <c r="Q1018" s="2" t="s">
        <v>74</v>
      </c>
      <c r="R1018" s="2" t="s">
        <v>74</v>
      </c>
      <c r="S1018" s="2" t="s">
        <v>74</v>
      </c>
      <c r="T1018" s="2" t="s">
        <v>74</v>
      </c>
      <c r="U1018" s="2" t="s">
        <v>74</v>
      </c>
      <c r="V1018" s="5" t="s">
        <v>4000</v>
      </c>
      <c r="W1018" s="2" t="s">
        <v>74</v>
      </c>
      <c r="X1018" s="2" t="s">
        <v>74</v>
      </c>
      <c r="Y1018" s="2" t="s">
        <v>74</v>
      </c>
      <c r="Z1018" s="2" t="s">
        <v>74</v>
      </c>
      <c r="AA1018" s="2" t="s">
        <v>4001</v>
      </c>
      <c r="AB1018" s="2" t="s">
        <v>4002</v>
      </c>
      <c r="AC1018" s="2" t="s">
        <v>74</v>
      </c>
      <c r="AD1018" s="2" t="s">
        <v>74</v>
      </c>
      <c r="AE1018" s="2" t="s">
        <v>74</v>
      </c>
      <c r="AF1018" s="2" t="s">
        <v>74</v>
      </c>
      <c r="AG1018" s="2" t="s">
        <v>74</v>
      </c>
      <c r="AH1018" s="2" t="s">
        <v>74</v>
      </c>
      <c r="AI1018" s="2" t="s">
        <v>74</v>
      </c>
      <c r="AJ1018" s="2" t="s">
        <v>74</v>
      </c>
      <c r="AK1018" s="2" t="s">
        <v>74</v>
      </c>
      <c r="AL1018" s="2" t="s">
        <v>74</v>
      </c>
      <c r="AM1018" s="2" t="s">
        <v>74</v>
      </c>
      <c r="AN1018" s="2" t="s">
        <v>74</v>
      </c>
      <c r="AO1018" s="2" t="s">
        <v>1114</v>
      </c>
      <c r="AP1018" s="2" t="s">
        <v>1115</v>
      </c>
      <c r="AQ1018" s="2" t="s">
        <v>74</v>
      </c>
      <c r="AR1018" s="2" t="s">
        <v>74</v>
      </c>
      <c r="AS1018" s="2" t="s">
        <v>74</v>
      </c>
      <c r="AT1018" s="2" t="s">
        <v>134</v>
      </c>
      <c r="AU1018" s="2">
        <v>2023</v>
      </c>
      <c r="AV1018" s="2">
        <v>262</v>
      </c>
      <c r="AW1018" s="2" t="s">
        <v>74</v>
      </c>
      <c r="AX1018" s="2" t="s">
        <v>74</v>
      </c>
      <c r="AY1018" s="2" t="s">
        <v>74</v>
      </c>
      <c r="AZ1018" s="2" t="s">
        <v>74</v>
      </c>
      <c r="BA1018" s="2" t="s">
        <v>74</v>
      </c>
      <c r="BB1018" s="2" t="s">
        <v>74</v>
      </c>
      <c r="BC1018" s="2" t="s">
        <v>74</v>
      </c>
      <c r="BD1018" s="2">
        <v>105903</v>
      </c>
      <c r="BE1018" s="2" t="s">
        <v>4003</v>
      </c>
      <c r="BF1018" s="2" t="str">
        <f>HYPERLINK("http://dx.doi.org/10.1016/j.applanim.2023.105903","http://dx.doi.org/10.1016/j.applanim.2023.105903")</f>
        <v>http://dx.doi.org/10.1016/j.applanim.2023.105903</v>
      </c>
      <c r="BG1018" s="2" t="s">
        <v>74</v>
      </c>
      <c r="BH1018" s="2" t="s">
        <v>4004</v>
      </c>
      <c r="BI1018" s="2" t="s">
        <v>74</v>
      </c>
      <c r="BJ1018" s="2" t="s">
        <v>74</v>
      </c>
      <c r="BK1018" s="2" t="s">
        <v>74</v>
      </c>
      <c r="BL1018" s="2" t="s">
        <v>74</v>
      </c>
      <c r="BM1018" s="2" t="s">
        <v>74</v>
      </c>
      <c r="BN1018" s="2" t="s">
        <v>74</v>
      </c>
      <c r="BO1018" s="2" t="s">
        <v>74</v>
      </c>
      <c r="BP1018" s="2" t="s">
        <v>74</v>
      </c>
      <c r="BQ1018" s="2" t="s">
        <v>74</v>
      </c>
      <c r="BR1018" s="2" t="s">
        <v>74</v>
      </c>
      <c r="BS1018" s="2" t="s">
        <v>4005</v>
      </c>
      <c r="BT1018" s="2" t="str">
        <f>HYPERLINK("https%3A%2F%2Fwww.webofscience.com%2Fwos%2Fwoscc%2Ffull-record%2FWOS:000964957600001","View Full Record in Web of Science")</f>
        <v>View Full Record in Web of Science</v>
      </c>
    </row>
    <row r="1019" spans="1:72" s="2" customFormat="1" x14ac:dyDescent="0.4">
      <c r="A1019" s="2" t="s">
        <v>72</v>
      </c>
      <c r="B1019" s="2" t="s">
        <v>8092</v>
      </c>
      <c r="C1019" s="2" t="s">
        <v>74</v>
      </c>
      <c r="D1019" s="2" t="s">
        <v>74</v>
      </c>
      <c r="E1019" s="2" t="s">
        <v>74</v>
      </c>
      <c r="F1019" s="2" t="s">
        <v>8093</v>
      </c>
      <c r="G1019" s="2" t="s">
        <v>74</v>
      </c>
      <c r="H1019" s="2" t="s">
        <v>74</v>
      </c>
      <c r="I1019" s="2" t="s">
        <v>8094</v>
      </c>
      <c r="J1019" s="2" t="s">
        <v>3353</v>
      </c>
      <c r="K1019" s="2" t="s">
        <v>74</v>
      </c>
      <c r="L1019" s="2" t="s">
        <v>74</v>
      </c>
      <c r="M1019" s="2" t="s">
        <v>74</v>
      </c>
      <c r="N1019" s="2" t="s">
        <v>74</v>
      </c>
      <c r="O1019" s="2" t="s">
        <v>74</v>
      </c>
      <c r="P1019" s="2" t="s">
        <v>74</v>
      </c>
      <c r="Q1019" s="2" t="s">
        <v>74</v>
      </c>
      <c r="R1019" s="2" t="s">
        <v>74</v>
      </c>
      <c r="S1019" s="2" t="s">
        <v>74</v>
      </c>
      <c r="T1019" s="2" t="s">
        <v>74</v>
      </c>
      <c r="U1019" s="2" t="s">
        <v>74</v>
      </c>
      <c r="V1019" s="5" t="s">
        <v>8095</v>
      </c>
      <c r="W1019" s="2" t="s">
        <v>74</v>
      </c>
      <c r="X1019" s="2" t="s">
        <v>74</v>
      </c>
      <c r="Y1019" s="2" t="s">
        <v>74</v>
      </c>
      <c r="Z1019" s="2" t="s">
        <v>74</v>
      </c>
      <c r="AA1019" s="2" t="s">
        <v>8096</v>
      </c>
      <c r="AB1019" s="2" t="s">
        <v>8097</v>
      </c>
      <c r="AC1019" s="2" t="s">
        <v>74</v>
      </c>
      <c r="AD1019" s="2" t="s">
        <v>74</v>
      </c>
      <c r="AE1019" s="2" t="s">
        <v>74</v>
      </c>
      <c r="AF1019" s="2" t="s">
        <v>74</v>
      </c>
      <c r="AG1019" s="2" t="s">
        <v>74</v>
      </c>
      <c r="AH1019" s="2" t="s">
        <v>74</v>
      </c>
      <c r="AI1019" s="2" t="s">
        <v>74</v>
      </c>
      <c r="AJ1019" s="2" t="s">
        <v>74</v>
      </c>
      <c r="AK1019" s="2" t="s">
        <v>74</v>
      </c>
      <c r="AL1019" s="2" t="s">
        <v>74</v>
      </c>
      <c r="AM1019" s="2" t="s">
        <v>74</v>
      </c>
      <c r="AN1019" s="2" t="s">
        <v>74</v>
      </c>
      <c r="AO1019" s="2" t="s">
        <v>3357</v>
      </c>
      <c r="AP1019" s="2" t="s">
        <v>3358</v>
      </c>
      <c r="AQ1019" s="2" t="s">
        <v>74</v>
      </c>
      <c r="AR1019" s="2" t="s">
        <v>74</v>
      </c>
      <c r="AS1019" s="2" t="s">
        <v>74</v>
      </c>
      <c r="AT1019" s="2" t="s">
        <v>134</v>
      </c>
      <c r="AU1019" s="2">
        <v>2024</v>
      </c>
      <c r="AV1019" s="2">
        <v>49</v>
      </c>
      <c r="AW1019" s="2">
        <v>5</v>
      </c>
      <c r="AX1019" s="2" t="s">
        <v>74</v>
      </c>
      <c r="AY1019" s="2" t="s">
        <v>74</v>
      </c>
      <c r="AZ1019" s="2" t="s">
        <v>74</v>
      </c>
      <c r="BA1019" s="2" t="s">
        <v>74</v>
      </c>
      <c r="BB1019" s="2" t="s">
        <v>74</v>
      </c>
      <c r="BC1019" s="2" t="s">
        <v>74</v>
      </c>
      <c r="BD1019" s="2" t="s">
        <v>8098</v>
      </c>
      <c r="BE1019" s="2" t="s">
        <v>8099</v>
      </c>
      <c r="BF1019" s="2" t="str">
        <f>HYPERLINK("http://dx.doi.org/10.1111/aec.13523","http://dx.doi.org/10.1111/aec.13523")</f>
        <v>http://dx.doi.org/10.1111/aec.13523</v>
      </c>
      <c r="BG1019" s="2" t="s">
        <v>74</v>
      </c>
      <c r="BH1019" s="2" t="s">
        <v>74</v>
      </c>
      <c r="BI1019" s="2" t="s">
        <v>74</v>
      </c>
      <c r="BJ1019" s="2" t="s">
        <v>74</v>
      </c>
      <c r="BK1019" s="2" t="s">
        <v>74</v>
      </c>
      <c r="BL1019" s="2" t="s">
        <v>74</v>
      </c>
      <c r="BM1019" s="2" t="s">
        <v>74</v>
      </c>
      <c r="BN1019" s="2" t="s">
        <v>74</v>
      </c>
      <c r="BO1019" s="2" t="s">
        <v>74</v>
      </c>
      <c r="BP1019" s="2" t="s">
        <v>74</v>
      </c>
      <c r="BQ1019" s="2" t="s">
        <v>74</v>
      </c>
      <c r="BR1019" s="2" t="s">
        <v>74</v>
      </c>
      <c r="BS1019" s="2" t="s">
        <v>8100</v>
      </c>
      <c r="BT1019" s="2" t="str">
        <f>HYPERLINK("https%3A%2F%2Fwww.webofscience.com%2Fwos%2Fwoscc%2Ffull-record%2FWOS:001223578900001","View Full Record in Web of Science")</f>
        <v>View Full Record in Web of Science</v>
      </c>
    </row>
    <row r="1020" spans="1:72" s="2" customFormat="1" x14ac:dyDescent="0.4">
      <c r="A1020" s="2" t="s">
        <v>72</v>
      </c>
      <c r="B1020" s="2" t="s">
        <v>3341</v>
      </c>
      <c r="C1020" s="2" t="s">
        <v>74</v>
      </c>
      <c r="D1020" s="2" t="s">
        <v>74</v>
      </c>
      <c r="E1020" s="2" t="s">
        <v>74</v>
      </c>
      <c r="F1020" s="2" t="s">
        <v>3342</v>
      </c>
      <c r="G1020" s="2" t="s">
        <v>74</v>
      </c>
      <c r="H1020" s="2" t="s">
        <v>74</v>
      </c>
      <c r="I1020" s="2" t="s">
        <v>3343</v>
      </c>
      <c r="J1020" s="2" t="s">
        <v>1437</v>
      </c>
      <c r="K1020" s="2" t="s">
        <v>74</v>
      </c>
      <c r="L1020" s="2" t="s">
        <v>74</v>
      </c>
      <c r="M1020" s="2" t="s">
        <v>74</v>
      </c>
      <c r="N1020" s="2" t="s">
        <v>74</v>
      </c>
      <c r="O1020" s="2" t="s">
        <v>74</v>
      </c>
      <c r="P1020" s="2" t="s">
        <v>74</v>
      </c>
      <c r="Q1020" s="2" t="s">
        <v>74</v>
      </c>
      <c r="R1020" s="2" t="s">
        <v>74</v>
      </c>
      <c r="S1020" s="2" t="s">
        <v>74</v>
      </c>
      <c r="T1020" s="2" t="s">
        <v>74</v>
      </c>
      <c r="U1020" s="2" t="s">
        <v>74</v>
      </c>
      <c r="V1020" s="5" t="s">
        <v>3344</v>
      </c>
      <c r="W1020" s="2" t="s">
        <v>74</v>
      </c>
      <c r="X1020" s="2" t="s">
        <v>74</v>
      </c>
      <c r="Y1020" s="2" t="s">
        <v>74</v>
      </c>
      <c r="Z1020" s="2" t="s">
        <v>74</v>
      </c>
      <c r="AA1020" s="2" t="s">
        <v>3345</v>
      </c>
      <c r="AB1020" s="2" t="s">
        <v>3346</v>
      </c>
      <c r="AC1020" s="2" t="s">
        <v>74</v>
      </c>
      <c r="AD1020" s="2" t="s">
        <v>74</v>
      </c>
      <c r="AE1020" s="2" t="s">
        <v>74</v>
      </c>
      <c r="AF1020" s="2" t="s">
        <v>74</v>
      </c>
      <c r="AG1020" s="2" t="s">
        <v>74</v>
      </c>
      <c r="AH1020" s="2" t="s">
        <v>74</v>
      </c>
      <c r="AI1020" s="2" t="s">
        <v>74</v>
      </c>
      <c r="AJ1020" s="2" t="s">
        <v>74</v>
      </c>
      <c r="AK1020" s="2" t="s">
        <v>74</v>
      </c>
      <c r="AL1020" s="2" t="s">
        <v>74</v>
      </c>
      <c r="AM1020" s="2" t="s">
        <v>74</v>
      </c>
      <c r="AN1020" s="2" t="s">
        <v>74</v>
      </c>
      <c r="AO1020" s="2" t="s">
        <v>1440</v>
      </c>
      <c r="AP1020" s="2" t="s">
        <v>3347</v>
      </c>
      <c r="AQ1020" s="2" t="s">
        <v>74</v>
      </c>
      <c r="AR1020" s="2" t="s">
        <v>74</v>
      </c>
      <c r="AS1020" s="2" t="s">
        <v>74</v>
      </c>
      <c r="AT1020" s="2" t="s">
        <v>255</v>
      </c>
      <c r="AU1020" s="2">
        <v>2019</v>
      </c>
      <c r="AV1020" s="2">
        <v>122</v>
      </c>
      <c r="AW1020" s="2">
        <v>1</v>
      </c>
      <c r="AX1020" s="2" t="s">
        <v>74</v>
      </c>
      <c r="AY1020" s="2" t="s">
        <v>74</v>
      </c>
      <c r="AZ1020" s="2" t="s">
        <v>74</v>
      </c>
      <c r="BA1020" s="2" t="s">
        <v>74</v>
      </c>
      <c r="BB1020" s="2">
        <v>81</v>
      </c>
      <c r="BC1020" s="2">
        <v>92</v>
      </c>
      <c r="BD1020" s="2" t="s">
        <v>74</v>
      </c>
      <c r="BE1020" s="2" t="s">
        <v>3348</v>
      </c>
      <c r="BF1020" s="2" t="str">
        <f>HYPERLINK("http://dx.doi.org/10.1038/s41437-018-0076-z","http://dx.doi.org/10.1038/s41437-018-0076-z")</f>
        <v>http://dx.doi.org/10.1038/s41437-018-0076-z</v>
      </c>
      <c r="BG1020" s="2" t="s">
        <v>74</v>
      </c>
      <c r="BH1020" s="2" t="s">
        <v>74</v>
      </c>
      <c r="BI1020" s="2" t="s">
        <v>74</v>
      </c>
      <c r="BJ1020" s="2" t="s">
        <v>74</v>
      </c>
      <c r="BK1020" s="2" t="s">
        <v>74</v>
      </c>
      <c r="BL1020" s="2" t="s">
        <v>74</v>
      </c>
      <c r="BM1020" s="2" t="s">
        <v>74</v>
      </c>
      <c r="BN1020" s="2">
        <v>29713090</v>
      </c>
      <c r="BO1020" s="2" t="s">
        <v>74</v>
      </c>
      <c r="BP1020" s="2" t="s">
        <v>74</v>
      </c>
      <c r="BQ1020" s="2" t="s">
        <v>74</v>
      </c>
      <c r="BR1020" s="2" t="s">
        <v>74</v>
      </c>
      <c r="BS1020" s="2" t="s">
        <v>3349</v>
      </c>
      <c r="BT1020" s="2" t="str">
        <f>HYPERLINK("https%3A%2F%2Fwww.webofscience.com%2Fwos%2Fwoscc%2Ffull-record%2FWOS:000452620900007","View Full Record in Web of Science")</f>
        <v>View Full Record in Web of Science</v>
      </c>
    </row>
    <row r="1021" spans="1:72" s="2" customFormat="1" x14ac:dyDescent="0.4">
      <c r="A1021" s="2" t="s">
        <v>72</v>
      </c>
      <c r="B1021" s="2" t="s">
        <v>3538</v>
      </c>
      <c r="C1021" s="2" t="s">
        <v>74</v>
      </c>
      <c r="D1021" s="2" t="s">
        <v>74</v>
      </c>
      <c r="E1021" s="2" t="s">
        <v>74</v>
      </c>
      <c r="F1021" s="2" t="s">
        <v>3539</v>
      </c>
      <c r="G1021" s="2" t="s">
        <v>74</v>
      </c>
      <c r="H1021" s="2" t="s">
        <v>74</v>
      </c>
      <c r="I1021" s="2" t="s">
        <v>3540</v>
      </c>
      <c r="J1021" s="2" t="s">
        <v>2042</v>
      </c>
      <c r="K1021" s="2" t="s">
        <v>74</v>
      </c>
      <c r="L1021" s="2" t="s">
        <v>74</v>
      </c>
      <c r="M1021" s="2" t="s">
        <v>74</v>
      </c>
      <c r="N1021" s="2" t="s">
        <v>74</v>
      </c>
      <c r="O1021" s="2" t="s">
        <v>74</v>
      </c>
      <c r="P1021" s="2" t="s">
        <v>74</v>
      </c>
      <c r="Q1021" s="2" t="s">
        <v>74</v>
      </c>
      <c r="R1021" s="2" t="s">
        <v>74</v>
      </c>
      <c r="S1021" s="2" t="s">
        <v>74</v>
      </c>
      <c r="T1021" s="2" t="s">
        <v>74</v>
      </c>
      <c r="U1021" s="2" t="s">
        <v>74</v>
      </c>
      <c r="V1021" s="5" t="s">
        <v>3541</v>
      </c>
      <c r="W1021" s="2" t="s">
        <v>74</v>
      </c>
      <c r="X1021" s="2" t="s">
        <v>74</v>
      </c>
      <c r="Y1021" s="2" t="s">
        <v>74</v>
      </c>
      <c r="Z1021" s="2" t="s">
        <v>74</v>
      </c>
      <c r="AA1021" s="2" t="s">
        <v>74</v>
      </c>
      <c r="AB1021" s="2" t="s">
        <v>74</v>
      </c>
      <c r="AC1021" s="2" t="s">
        <v>74</v>
      </c>
      <c r="AD1021" s="2" t="s">
        <v>74</v>
      </c>
      <c r="AE1021" s="2" t="s">
        <v>74</v>
      </c>
      <c r="AF1021" s="2" t="s">
        <v>74</v>
      </c>
      <c r="AG1021" s="2" t="s">
        <v>74</v>
      </c>
      <c r="AH1021" s="2" t="s">
        <v>74</v>
      </c>
      <c r="AI1021" s="2" t="s">
        <v>74</v>
      </c>
      <c r="AJ1021" s="2" t="s">
        <v>74</v>
      </c>
      <c r="AK1021" s="2" t="s">
        <v>74</v>
      </c>
      <c r="AL1021" s="2" t="s">
        <v>74</v>
      </c>
      <c r="AM1021" s="2" t="s">
        <v>74</v>
      </c>
      <c r="AN1021" s="2" t="s">
        <v>74</v>
      </c>
      <c r="AO1021" s="2" t="s">
        <v>2045</v>
      </c>
      <c r="AP1021" s="2" t="s">
        <v>2046</v>
      </c>
      <c r="AQ1021" s="2" t="s">
        <v>74</v>
      </c>
      <c r="AR1021" s="2" t="s">
        <v>74</v>
      </c>
      <c r="AS1021" s="2" t="s">
        <v>74</v>
      </c>
      <c r="AT1021" s="2" t="s">
        <v>964</v>
      </c>
      <c r="AU1021" s="2">
        <v>2007</v>
      </c>
      <c r="AV1021" s="2">
        <v>54</v>
      </c>
      <c r="AW1021" s="2">
        <v>1</v>
      </c>
      <c r="AX1021" s="2" t="s">
        <v>74</v>
      </c>
      <c r="AY1021" s="2" t="s">
        <v>74</v>
      </c>
      <c r="AZ1021" s="2" t="s">
        <v>74</v>
      </c>
      <c r="BA1021" s="2" t="s">
        <v>74</v>
      </c>
      <c r="BB1021" s="2">
        <v>55</v>
      </c>
      <c r="BC1021" s="2">
        <v>60</v>
      </c>
      <c r="BD1021" s="2" t="s">
        <v>74</v>
      </c>
      <c r="BE1021" s="2" t="s">
        <v>3542</v>
      </c>
      <c r="BF1021" s="2" t="str">
        <f>HYPERLINK("http://dx.doi.org/10.1007/s10228-006-0374-y","http://dx.doi.org/10.1007/s10228-006-0374-y")</f>
        <v>http://dx.doi.org/10.1007/s10228-006-0374-y</v>
      </c>
      <c r="BG1021" s="2" t="s">
        <v>74</v>
      </c>
      <c r="BH1021" s="2" t="s">
        <v>74</v>
      </c>
      <c r="BI1021" s="2" t="s">
        <v>74</v>
      </c>
      <c r="BJ1021" s="2" t="s">
        <v>74</v>
      </c>
      <c r="BK1021" s="2" t="s">
        <v>74</v>
      </c>
      <c r="BL1021" s="2" t="s">
        <v>74</v>
      </c>
      <c r="BM1021" s="2" t="s">
        <v>74</v>
      </c>
      <c r="BN1021" s="2" t="s">
        <v>74</v>
      </c>
      <c r="BO1021" s="2" t="s">
        <v>74</v>
      </c>
      <c r="BP1021" s="2" t="s">
        <v>74</v>
      </c>
      <c r="BQ1021" s="2" t="s">
        <v>74</v>
      </c>
      <c r="BR1021" s="2" t="s">
        <v>74</v>
      </c>
      <c r="BS1021" s="2" t="s">
        <v>3543</v>
      </c>
      <c r="BT1021" s="2" t="str">
        <f>HYPERLINK("https%3A%2F%2Fwww.webofscience.com%2Fwos%2Fwoscc%2Ffull-record%2FWOS:000244724300008","View Full Record in Web of Science")</f>
        <v>View Full Record in Web of Science</v>
      </c>
    </row>
    <row r="1022" spans="1:72" s="2" customFormat="1" x14ac:dyDescent="0.4">
      <c r="A1022" s="2" t="s">
        <v>72</v>
      </c>
      <c r="B1022" s="2" t="s">
        <v>6210</v>
      </c>
      <c r="C1022" s="2" t="s">
        <v>74</v>
      </c>
      <c r="D1022" s="2" t="s">
        <v>74</v>
      </c>
      <c r="E1022" s="2" t="s">
        <v>74</v>
      </c>
      <c r="F1022" s="2" t="s">
        <v>6211</v>
      </c>
      <c r="G1022" s="2" t="s">
        <v>74</v>
      </c>
      <c r="H1022" s="2" t="s">
        <v>74</v>
      </c>
      <c r="I1022" s="2" t="s">
        <v>6212</v>
      </c>
      <c r="J1022" s="2" t="s">
        <v>5357</v>
      </c>
      <c r="K1022" s="2" t="s">
        <v>74</v>
      </c>
      <c r="L1022" s="2" t="s">
        <v>74</v>
      </c>
      <c r="M1022" s="2" t="s">
        <v>74</v>
      </c>
      <c r="N1022" s="2" t="s">
        <v>74</v>
      </c>
      <c r="O1022" s="2" t="s">
        <v>74</v>
      </c>
      <c r="P1022" s="2" t="s">
        <v>74</v>
      </c>
      <c r="Q1022" s="2" t="s">
        <v>74</v>
      </c>
      <c r="R1022" s="2" t="s">
        <v>74</v>
      </c>
      <c r="S1022" s="2" t="s">
        <v>74</v>
      </c>
      <c r="T1022" s="2" t="s">
        <v>74</v>
      </c>
      <c r="U1022" s="2" t="s">
        <v>74</v>
      </c>
      <c r="V1022" s="5" t="s">
        <v>6213</v>
      </c>
      <c r="W1022" s="2" t="s">
        <v>74</v>
      </c>
      <c r="X1022" s="2" t="s">
        <v>74</v>
      </c>
      <c r="Y1022" s="2" t="s">
        <v>74</v>
      </c>
      <c r="Z1022" s="2" t="s">
        <v>74</v>
      </c>
      <c r="AA1022" s="2" t="s">
        <v>74</v>
      </c>
      <c r="AB1022" s="2" t="s">
        <v>6214</v>
      </c>
      <c r="AC1022" s="2" t="s">
        <v>74</v>
      </c>
      <c r="AD1022" s="2" t="s">
        <v>74</v>
      </c>
      <c r="AE1022" s="2" t="s">
        <v>74</v>
      </c>
      <c r="AF1022" s="2" t="s">
        <v>74</v>
      </c>
      <c r="AG1022" s="2" t="s">
        <v>74</v>
      </c>
      <c r="AH1022" s="2" t="s">
        <v>74</v>
      </c>
      <c r="AI1022" s="2" t="s">
        <v>74</v>
      </c>
      <c r="AJ1022" s="2" t="s">
        <v>74</v>
      </c>
      <c r="AK1022" s="2" t="s">
        <v>74</v>
      </c>
      <c r="AL1022" s="2" t="s">
        <v>74</v>
      </c>
      <c r="AM1022" s="2" t="s">
        <v>74</v>
      </c>
      <c r="AN1022" s="2" t="s">
        <v>74</v>
      </c>
      <c r="AO1022" s="2" t="s">
        <v>5359</v>
      </c>
      <c r="AP1022" s="2" t="s">
        <v>5360</v>
      </c>
      <c r="AQ1022" s="2" t="s">
        <v>74</v>
      </c>
      <c r="AR1022" s="2" t="s">
        <v>74</v>
      </c>
      <c r="AS1022" s="2" t="s">
        <v>74</v>
      </c>
      <c r="AT1022" s="2" t="s">
        <v>964</v>
      </c>
      <c r="AU1022" s="2">
        <v>2013</v>
      </c>
      <c r="AV1022" s="2">
        <v>31</v>
      </c>
      <c r="AW1022" s="2">
        <v>1</v>
      </c>
      <c r="AX1022" s="2" t="s">
        <v>74</v>
      </c>
      <c r="AY1022" s="2" t="s">
        <v>74</v>
      </c>
      <c r="AZ1022" s="2" t="s">
        <v>74</v>
      </c>
      <c r="BA1022" s="2" t="s">
        <v>74</v>
      </c>
      <c r="BB1022" s="2">
        <v>25</v>
      </c>
      <c r="BC1022" s="2">
        <v>37</v>
      </c>
      <c r="BD1022" s="2" t="s">
        <v>74</v>
      </c>
      <c r="BE1022" s="2" t="s">
        <v>6215</v>
      </c>
      <c r="BF1022" s="2" t="str">
        <f>HYPERLINK("http://dx.doi.org/10.4003/006.031.0114","http://dx.doi.org/10.4003/006.031.0114")</f>
        <v>http://dx.doi.org/10.4003/006.031.0114</v>
      </c>
      <c r="BG1022" s="2" t="s">
        <v>74</v>
      </c>
      <c r="BH1022" s="2" t="s">
        <v>74</v>
      </c>
      <c r="BI1022" s="2" t="s">
        <v>74</v>
      </c>
      <c r="BJ1022" s="2" t="s">
        <v>74</v>
      </c>
      <c r="BK1022" s="2" t="s">
        <v>74</v>
      </c>
      <c r="BL1022" s="2" t="s">
        <v>74</v>
      </c>
      <c r="BM1022" s="2" t="s">
        <v>74</v>
      </c>
      <c r="BN1022" s="2" t="s">
        <v>74</v>
      </c>
      <c r="BO1022" s="2" t="s">
        <v>74</v>
      </c>
      <c r="BP1022" s="2" t="s">
        <v>74</v>
      </c>
      <c r="BQ1022" s="2" t="s">
        <v>74</v>
      </c>
      <c r="BR1022" s="2" t="s">
        <v>74</v>
      </c>
      <c r="BS1022" s="2" t="s">
        <v>6216</v>
      </c>
      <c r="BT1022" s="2" t="str">
        <f>HYPERLINK("https%3A%2F%2Fwww.webofscience.com%2Fwos%2Fwoscc%2Ffull-record%2FWOS:000338769900003","View Full Record in Web of Science")</f>
        <v>View Full Record in Web of Science</v>
      </c>
    </row>
    <row r="1023" spans="1:72" s="2" customFormat="1" x14ac:dyDescent="0.4">
      <c r="A1023" s="2" t="s">
        <v>72</v>
      </c>
      <c r="B1023" s="2" t="s">
        <v>4414</v>
      </c>
      <c r="C1023" s="2" t="s">
        <v>74</v>
      </c>
      <c r="D1023" s="2" t="s">
        <v>74</v>
      </c>
      <c r="E1023" s="2" t="s">
        <v>74</v>
      </c>
      <c r="F1023" s="2" t="s">
        <v>4415</v>
      </c>
      <c r="G1023" s="2" t="s">
        <v>74</v>
      </c>
      <c r="H1023" s="2" t="s">
        <v>74</v>
      </c>
      <c r="I1023" s="2" t="s">
        <v>4416</v>
      </c>
      <c r="J1023" s="2" t="s">
        <v>4417</v>
      </c>
      <c r="K1023" s="2" t="s">
        <v>74</v>
      </c>
      <c r="L1023" s="2" t="s">
        <v>74</v>
      </c>
      <c r="M1023" s="2" t="s">
        <v>74</v>
      </c>
      <c r="N1023" s="2" t="s">
        <v>74</v>
      </c>
      <c r="O1023" s="2" t="s">
        <v>74</v>
      </c>
      <c r="P1023" s="2" t="s">
        <v>74</v>
      </c>
      <c r="Q1023" s="2" t="s">
        <v>74</v>
      </c>
      <c r="R1023" s="2" t="s">
        <v>74</v>
      </c>
      <c r="S1023" s="2" t="s">
        <v>74</v>
      </c>
      <c r="T1023" s="2" t="s">
        <v>74</v>
      </c>
      <c r="U1023" s="2" t="s">
        <v>74</v>
      </c>
      <c r="V1023" s="5" t="s">
        <v>4418</v>
      </c>
      <c r="W1023" s="2" t="s">
        <v>74</v>
      </c>
      <c r="X1023" s="2" t="s">
        <v>74</v>
      </c>
      <c r="Y1023" s="2" t="s">
        <v>74</v>
      </c>
      <c r="Z1023" s="2" t="s">
        <v>74</v>
      </c>
      <c r="AA1023" s="2" t="s">
        <v>4419</v>
      </c>
      <c r="AB1023" s="2" t="s">
        <v>4420</v>
      </c>
      <c r="AC1023" s="2" t="s">
        <v>74</v>
      </c>
      <c r="AD1023" s="2" t="s">
        <v>74</v>
      </c>
      <c r="AE1023" s="2" t="s">
        <v>74</v>
      </c>
      <c r="AF1023" s="2" t="s">
        <v>74</v>
      </c>
      <c r="AG1023" s="2" t="s">
        <v>74</v>
      </c>
      <c r="AH1023" s="2" t="s">
        <v>74</v>
      </c>
      <c r="AI1023" s="2" t="s">
        <v>74</v>
      </c>
      <c r="AJ1023" s="2" t="s">
        <v>74</v>
      </c>
      <c r="AK1023" s="2" t="s">
        <v>74</v>
      </c>
      <c r="AL1023" s="2" t="s">
        <v>74</v>
      </c>
      <c r="AM1023" s="2" t="s">
        <v>74</v>
      </c>
      <c r="AN1023" s="2" t="s">
        <v>74</v>
      </c>
      <c r="AO1023" s="2" t="s">
        <v>4421</v>
      </c>
      <c r="AP1023" s="2" t="s">
        <v>4422</v>
      </c>
      <c r="AQ1023" s="2" t="s">
        <v>74</v>
      </c>
      <c r="AR1023" s="2" t="s">
        <v>74</v>
      </c>
      <c r="AS1023" s="2" t="s">
        <v>74</v>
      </c>
      <c r="AT1023" s="2" t="s">
        <v>305</v>
      </c>
      <c r="AU1023" s="2">
        <v>2022</v>
      </c>
      <c r="AV1023" s="2">
        <v>25</v>
      </c>
      <c r="AW1023" s="2">
        <v>4</v>
      </c>
      <c r="AX1023" s="2" t="s">
        <v>74</v>
      </c>
      <c r="AY1023" s="2" t="s">
        <v>74</v>
      </c>
      <c r="AZ1023" s="2" t="s">
        <v>74</v>
      </c>
      <c r="BA1023" s="2" t="s">
        <v>74</v>
      </c>
      <c r="BB1023" s="2" t="s">
        <v>74</v>
      </c>
      <c r="BC1023" s="2" t="s">
        <v>74</v>
      </c>
      <c r="BD1023" s="2" t="s">
        <v>4423</v>
      </c>
      <c r="BE1023" s="2" t="s">
        <v>4424</v>
      </c>
      <c r="BF1023" s="2" t="str">
        <f>HYPERLINK("http://dx.doi.org/10.1111/ens.12529","http://dx.doi.org/10.1111/ens.12529")</f>
        <v>http://dx.doi.org/10.1111/ens.12529</v>
      </c>
      <c r="BG1023" s="2" t="s">
        <v>74</v>
      </c>
      <c r="BH1023" s="2" t="s">
        <v>74</v>
      </c>
      <c r="BI1023" s="2" t="s">
        <v>74</v>
      </c>
      <c r="BJ1023" s="2" t="s">
        <v>74</v>
      </c>
      <c r="BK1023" s="2" t="s">
        <v>74</v>
      </c>
      <c r="BL1023" s="2" t="s">
        <v>74</v>
      </c>
      <c r="BM1023" s="2" t="s">
        <v>74</v>
      </c>
      <c r="BN1023" s="2" t="s">
        <v>74</v>
      </c>
      <c r="BO1023" s="2" t="s">
        <v>74</v>
      </c>
      <c r="BP1023" s="2" t="s">
        <v>74</v>
      </c>
      <c r="BQ1023" s="2" t="s">
        <v>74</v>
      </c>
      <c r="BR1023" s="2" t="s">
        <v>74</v>
      </c>
      <c r="BS1023" s="2" t="s">
        <v>4425</v>
      </c>
      <c r="BT1023" s="2" t="str">
        <f>HYPERLINK("https%3A%2F%2Fwww.webofscience.com%2Fwos%2Fwoscc%2Ffull-record%2FWOS:000888062100001","View Full Record in Web of Science")</f>
        <v>View Full Record in Web of Science</v>
      </c>
    </row>
    <row r="1024" spans="1:72" s="2" customFormat="1" x14ac:dyDescent="0.4">
      <c r="A1024" s="2" t="s">
        <v>72</v>
      </c>
      <c r="B1024" s="2" t="s">
        <v>550</v>
      </c>
      <c r="C1024" s="2" t="s">
        <v>74</v>
      </c>
      <c r="D1024" s="2" t="s">
        <v>74</v>
      </c>
      <c r="E1024" s="2" t="s">
        <v>74</v>
      </c>
      <c r="F1024" s="2" t="s">
        <v>551</v>
      </c>
      <c r="G1024" s="2" t="s">
        <v>74</v>
      </c>
      <c r="H1024" s="2" t="s">
        <v>74</v>
      </c>
      <c r="I1024" s="2" t="s">
        <v>552</v>
      </c>
      <c r="J1024" s="2" t="s">
        <v>553</v>
      </c>
      <c r="K1024" s="2" t="s">
        <v>74</v>
      </c>
      <c r="L1024" s="2" t="s">
        <v>74</v>
      </c>
      <c r="M1024" s="2" t="s">
        <v>74</v>
      </c>
      <c r="N1024" s="2" t="s">
        <v>74</v>
      </c>
      <c r="O1024" s="2" t="s">
        <v>74</v>
      </c>
      <c r="P1024" s="2" t="s">
        <v>74</v>
      </c>
      <c r="Q1024" s="2" t="s">
        <v>74</v>
      </c>
      <c r="R1024" s="2" t="s">
        <v>74</v>
      </c>
      <c r="S1024" s="2" t="s">
        <v>74</v>
      </c>
      <c r="T1024" s="2" t="s">
        <v>74</v>
      </c>
      <c r="U1024" s="2" t="s">
        <v>74</v>
      </c>
      <c r="V1024" s="5" t="s">
        <v>554</v>
      </c>
      <c r="W1024" s="2" t="s">
        <v>74</v>
      </c>
      <c r="X1024" s="2" t="s">
        <v>74</v>
      </c>
      <c r="Y1024" s="2" t="s">
        <v>74</v>
      </c>
      <c r="Z1024" s="2" t="s">
        <v>74</v>
      </c>
      <c r="AA1024" s="2" t="s">
        <v>74</v>
      </c>
      <c r="AB1024" s="2" t="s">
        <v>74</v>
      </c>
      <c r="AC1024" s="2" t="s">
        <v>74</v>
      </c>
      <c r="AD1024" s="2" t="s">
        <v>74</v>
      </c>
      <c r="AE1024" s="2" t="s">
        <v>74</v>
      </c>
      <c r="AF1024" s="2" t="s">
        <v>74</v>
      </c>
      <c r="AG1024" s="2" t="s">
        <v>74</v>
      </c>
      <c r="AH1024" s="2" t="s">
        <v>74</v>
      </c>
      <c r="AI1024" s="2" t="s">
        <v>74</v>
      </c>
      <c r="AJ1024" s="2" t="s">
        <v>74</v>
      </c>
      <c r="AK1024" s="2" t="s">
        <v>74</v>
      </c>
      <c r="AL1024" s="2" t="s">
        <v>74</v>
      </c>
      <c r="AM1024" s="2" t="s">
        <v>74</v>
      </c>
      <c r="AN1024" s="2" t="s">
        <v>74</v>
      </c>
      <c r="AO1024" s="2" t="s">
        <v>555</v>
      </c>
      <c r="AP1024" s="2" t="s">
        <v>556</v>
      </c>
      <c r="AQ1024" s="2" t="s">
        <v>74</v>
      </c>
      <c r="AR1024" s="2" t="s">
        <v>74</v>
      </c>
      <c r="AS1024" s="2" t="s">
        <v>74</v>
      </c>
      <c r="AT1024" s="2" t="s">
        <v>74</v>
      </c>
      <c r="AU1024" s="2">
        <v>2017</v>
      </c>
      <c r="AV1024" s="2">
        <v>30</v>
      </c>
      <c r="AW1024" s="2">
        <v>3</v>
      </c>
      <c r="AX1024" s="2" t="s">
        <v>74</v>
      </c>
      <c r="AY1024" s="2" t="s">
        <v>74</v>
      </c>
      <c r="AZ1024" s="2" t="s">
        <v>74</v>
      </c>
      <c r="BA1024" s="2" t="s">
        <v>74</v>
      </c>
      <c r="BB1024" s="2">
        <v>110</v>
      </c>
      <c r="BC1024" s="2">
        <v>124</v>
      </c>
      <c r="BD1024" s="2" t="s">
        <v>74</v>
      </c>
      <c r="BE1024" s="2" t="s">
        <v>557</v>
      </c>
      <c r="BF1024" s="2" t="str">
        <f>HYPERLINK("http://dx.doi.org/10.1080/03946975.2017.1345471","http://dx.doi.org/10.1080/03946975.2017.1345471")</f>
        <v>http://dx.doi.org/10.1080/03946975.2017.1345471</v>
      </c>
      <c r="BG1024" s="2" t="s">
        <v>74</v>
      </c>
      <c r="BH1024" s="2" t="s">
        <v>74</v>
      </c>
      <c r="BI1024" s="2" t="s">
        <v>74</v>
      </c>
      <c r="BJ1024" s="2" t="s">
        <v>74</v>
      </c>
      <c r="BK1024" s="2" t="s">
        <v>74</v>
      </c>
      <c r="BL1024" s="2" t="s">
        <v>74</v>
      </c>
      <c r="BM1024" s="2" t="s">
        <v>74</v>
      </c>
      <c r="BN1024" s="2" t="s">
        <v>74</v>
      </c>
      <c r="BO1024" s="2" t="s">
        <v>74</v>
      </c>
      <c r="BP1024" s="2" t="s">
        <v>74</v>
      </c>
      <c r="BQ1024" s="2" t="s">
        <v>74</v>
      </c>
      <c r="BR1024" s="2" t="s">
        <v>74</v>
      </c>
      <c r="BS1024" s="2" t="s">
        <v>558</v>
      </c>
      <c r="BT1024" s="2" t="str">
        <f>HYPERLINK("https%3A%2F%2Fwww.webofscience.com%2Fwos%2Fwoscc%2Ffull-record%2FWOS:000407553100002","View Full Record in Web of Science")</f>
        <v>View Full Record in Web of Science</v>
      </c>
    </row>
    <row r="1025" spans="1:72" s="2" customFormat="1" x14ac:dyDescent="0.4">
      <c r="A1025" s="2" t="s">
        <v>72</v>
      </c>
      <c r="B1025" s="2" t="s">
        <v>1339</v>
      </c>
      <c r="C1025" s="2" t="s">
        <v>74</v>
      </c>
      <c r="D1025" s="2" t="s">
        <v>74</v>
      </c>
      <c r="E1025" s="2" t="s">
        <v>74</v>
      </c>
      <c r="F1025" s="2" t="s">
        <v>1339</v>
      </c>
      <c r="G1025" s="2" t="s">
        <v>74</v>
      </c>
      <c r="H1025" s="2" t="s">
        <v>74</v>
      </c>
      <c r="I1025" s="2" t="s">
        <v>1340</v>
      </c>
      <c r="J1025" s="2" t="s">
        <v>1341</v>
      </c>
      <c r="K1025" s="2" t="s">
        <v>74</v>
      </c>
      <c r="L1025" s="2" t="s">
        <v>74</v>
      </c>
      <c r="M1025" s="2" t="s">
        <v>74</v>
      </c>
      <c r="N1025" s="2" t="s">
        <v>74</v>
      </c>
      <c r="O1025" s="2" t="s">
        <v>74</v>
      </c>
      <c r="P1025" s="2" t="s">
        <v>74</v>
      </c>
      <c r="Q1025" s="2" t="s">
        <v>74</v>
      </c>
      <c r="R1025" s="2" t="s">
        <v>74</v>
      </c>
      <c r="S1025" s="2" t="s">
        <v>74</v>
      </c>
      <c r="T1025" s="2" t="s">
        <v>74</v>
      </c>
      <c r="U1025" s="2" t="s">
        <v>74</v>
      </c>
      <c r="V1025" s="5" t="s">
        <v>1342</v>
      </c>
      <c r="W1025" s="2" t="s">
        <v>74</v>
      </c>
      <c r="X1025" s="2" t="s">
        <v>74</v>
      </c>
      <c r="Y1025" s="2" t="s">
        <v>74</v>
      </c>
      <c r="Z1025" s="2" t="s">
        <v>74</v>
      </c>
      <c r="AA1025" s="2" t="s">
        <v>74</v>
      </c>
      <c r="AB1025" s="2" t="s">
        <v>74</v>
      </c>
      <c r="AC1025" s="2" t="s">
        <v>74</v>
      </c>
      <c r="AD1025" s="2" t="s">
        <v>74</v>
      </c>
      <c r="AE1025" s="2" t="s">
        <v>74</v>
      </c>
      <c r="AF1025" s="2" t="s">
        <v>74</v>
      </c>
      <c r="AG1025" s="2" t="s">
        <v>74</v>
      </c>
      <c r="AH1025" s="2" t="s">
        <v>74</v>
      </c>
      <c r="AI1025" s="2" t="s">
        <v>74</v>
      </c>
      <c r="AJ1025" s="2" t="s">
        <v>74</v>
      </c>
      <c r="AK1025" s="2" t="s">
        <v>74</v>
      </c>
      <c r="AL1025" s="2" t="s">
        <v>74</v>
      </c>
      <c r="AM1025" s="2" t="s">
        <v>74</v>
      </c>
      <c r="AN1025" s="2" t="s">
        <v>74</v>
      </c>
      <c r="AO1025" s="2" t="s">
        <v>1343</v>
      </c>
      <c r="AP1025" s="2" t="s">
        <v>74</v>
      </c>
      <c r="AQ1025" s="2" t="s">
        <v>74</v>
      </c>
      <c r="AR1025" s="2" t="s">
        <v>74</v>
      </c>
      <c r="AS1025" s="2" t="s">
        <v>74</v>
      </c>
      <c r="AT1025" s="2" t="s">
        <v>123</v>
      </c>
      <c r="AU1025" s="2">
        <v>1996</v>
      </c>
      <c r="AV1025" s="2">
        <v>42</v>
      </c>
      <c r="AW1025" s="2">
        <v>3</v>
      </c>
      <c r="AX1025" s="2" t="s">
        <v>74</v>
      </c>
      <c r="AY1025" s="2" t="s">
        <v>74</v>
      </c>
      <c r="AZ1025" s="2" t="s">
        <v>74</v>
      </c>
      <c r="BA1025" s="2" t="s">
        <v>74</v>
      </c>
      <c r="BB1025" s="2">
        <v>287</v>
      </c>
      <c r="BC1025" s="2">
        <v>294</v>
      </c>
      <c r="BD1025" s="2" t="s">
        <v>74</v>
      </c>
      <c r="BE1025" s="2" t="s">
        <v>1344</v>
      </c>
      <c r="BF1025" s="2" t="str">
        <f>HYPERLINK("http://dx.doi.org/10.1016/0022-1910(95)00115-8","http://dx.doi.org/10.1016/0022-1910(95)00115-8")</f>
        <v>http://dx.doi.org/10.1016/0022-1910(95)00115-8</v>
      </c>
      <c r="BG1025" s="2" t="s">
        <v>74</v>
      </c>
      <c r="BH1025" s="2" t="s">
        <v>74</v>
      </c>
      <c r="BI1025" s="2" t="s">
        <v>74</v>
      </c>
      <c r="BJ1025" s="2" t="s">
        <v>74</v>
      </c>
      <c r="BK1025" s="2" t="s">
        <v>74</v>
      </c>
      <c r="BL1025" s="2" t="s">
        <v>74</v>
      </c>
      <c r="BM1025" s="2" t="s">
        <v>74</v>
      </c>
      <c r="BN1025" s="2" t="s">
        <v>74</v>
      </c>
      <c r="BO1025" s="2" t="s">
        <v>74</v>
      </c>
      <c r="BP1025" s="2" t="s">
        <v>74</v>
      </c>
      <c r="BQ1025" s="2" t="s">
        <v>74</v>
      </c>
      <c r="BR1025" s="2" t="s">
        <v>74</v>
      </c>
      <c r="BS1025" s="2" t="s">
        <v>1345</v>
      </c>
      <c r="BT1025" s="2" t="str">
        <f>HYPERLINK("https%3A%2F%2Fwww.webofscience.com%2Fwos%2Fwoscc%2Ffull-record%2FWOS:A1996TZ11300012","View Full Record in Web of Science")</f>
        <v>View Full Record in Web of Science</v>
      </c>
    </row>
    <row r="1026" spans="1:72" s="2" customFormat="1" x14ac:dyDescent="0.4">
      <c r="A1026" s="2" t="s">
        <v>72</v>
      </c>
      <c r="B1026" s="2" t="s">
        <v>7184</v>
      </c>
      <c r="C1026" s="2" t="s">
        <v>74</v>
      </c>
      <c r="D1026" s="2" t="s">
        <v>74</v>
      </c>
      <c r="E1026" s="2" t="s">
        <v>74</v>
      </c>
      <c r="F1026" s="2" t="s">
        <v>7185</v>
      </c>
      <c r="G1026" s="2" t="s">
        <v>74</v>
      </c>
      <c r="H1026" s="2" t="s">
        <v>74</v>
      </c>
      <c r="I1026" s="2" t="s">
        <v>7186</v>
      </c>
      <c r="J1026" s="2" t="s">
        <v>1341</v>
      </c>
      <c r="K1026" s="2" t="s">
        <v>74</v>
      </c>
      <c r="L1026" s="2" t="s">
        <v>74</v>
      </c>
      <c r="M1026" s="2" t="s">
        <v>74</v>
      </c>
      <c r="N1026" s="2" t="s">
        <v>74</v>
      </c>
      <c r="O1026" s="2" t="s">
        <v>74</v>
      </c>
      <c r="P1026" s="2" t="s">
        <v>74</v>
      </c>
      <c r="Q1026" s="2" t="s">
        <v>74</v>
      </c>
      <c r="R1026" s="2" t="s">
        <v>74</v>
      </c>
      <c r="S1026" s="2" t="s">
        <v>74</v>
      </c>
      <c r="T1026" s="2" t="s">
        <v>74</v>
      </c>
      <c r="U1026" s="2" t="s">
        <v>74</v>
      </c>
      <c r="V1026" s="5" t="s">
        <v>7187</v>
      </c>
      <c r="W1026" s="2" t="s">
        <v>74</v>
      </c>
      <c r="X1026" s="2" t="s">
        <v>74</v>
      </c>
      <c r="Y1026" s="2" t="s">
        <v>74</v>
      </c>
      <c r="Z1026" s="2" t="s">
        <v>74</v>
      </c>
      <c r="AA1026" s="2" t="s">
        <v>74</v>
      </c>
      <c r="AB1026" s="2" t="s">
        <v>74</v>
      </c>
      <c r="AC1026" s="2" t="s">
        <v>74</v>
      </c>
      <c r="AD1026" s="2" t="s">
        <v>74</v>
      </c>
      <c r="AE1026" s="2" t="s">
        <v>74</v>
      </c>
      <c r="AF1026" s="2" t="s">
        <v>74</v>
      </c>
      <c r="AG1026" s="2" t="s">
        <v>74</v>
      </c>
      <c r="AH1026" s="2" t="s">
        <v>74</v>
      </c>
      <c r="AI1026" s="2" t="s">
        <v>74</v>
      </c>
      <c r="AJ1026" s="2" t="s">
        <v>74</v>
      </c>
      <c r="AK1026" s="2" t="s">
        <v>74</v>
      </c>
      <c r="AL1026" s="2" t="s">
        <v>74</v>
      </c>
      <c r="AM1026" s="2" t="s">
        <v>74</v>
      </c>
      <c r="AN1026" s="2" t="s">
        <v>74</v>
      </c>
      <c r="AO1026" s="2" t="s">
        <v>1343</v>
      </c>
      <c r="AP1026" s="2" t="s">
        <v>3686</v>
      </c>
      <c r="AQ1026" s="2" t="s">
        <v>74</v>
      </c>
      <c r="AR1026" s="2" t="s">
        <v>74</v>
      </c>
      <c r="AS1026" s="2" t="s">
        <v>74</v>
      </c>
      <c r="AT1026" s="2" t="s">
        <v>145</v>
      </c>
      <c r="AU1026" s="2">
        <v>2012</v>
      </c>
      <c r="AV1026" s="2">
        <v>58</v>
      </c>
      <c r="AW1026" s="2">
        <v>8</v>
      </c>
      <c r="AX1026" s="2" t="s">
        <v>74</v>
      </c>
      <c r="AY1026" s="2" t="s">
        <v>74</v>
      </c>
      <c r="AZ1026" s="2" t="s">
        <v>74</v>
      </c>
      <c r="BA1026" s="2" t="s">
        <v>74</v>
      </c>
      <c r="BB1026" s="2">
        <v>1060</v>
      </c>
      <c r="BC1026" s="2">
        <v>1071</v>
      </c>
      <c r="BD1026" s="2" t="s">
        <v>74</v>
      </c>
      <c r="BE1026" s="2" t="s">
        <v>7188</v>
      </c>
      <c r="BF1026" s="2" t="str">
        <f>HYPERLINK("http://dx.doi.org/10.1016/j.jinsphys.2012.04.005","http://dx.doi.org/10.1016/j.jinsphys.2012.04.005")</f>
        <v>http://dx.doi.org/10.1016/j.jinsphys.2012.04.005</v>
      </c>
      <c r="BG1026" s="2" t="s">
        <v>74</v>
      </c>
      <c r="BH1026" s="2" t="s">
        <v>74</v>
      </c>
      <c r="BI1026" s="2" t="s">
        <v>74</v>
      </c>
      <c r="BJ1026" s="2" t="s">
        <v>74</v>
      </c>
      <c r="BK1026" s="2" t="s">
        <v>74</v>
      </c>
      <c r="BL1026" s="2" t="s">
        <v>74</v>
      </c>
      <c r="BM1026" s="2" t="s">
        <v>74</v>
      </c>
      <c r="BN1026" s="2">
        <v>22546561</v>
      </c>
      <c r="BO1026" s="2" t="s">
        <v>74</v>
      </c>
      <c r="BP1026" s="2" t="s">
        <v>74</v>
      </c>
      <c r="BQ1026" s="2" t="s">
        <v>74</v>
      </c>
      <c r="BR1026" s="2" t="s">
        <v>74</v>
      </c>
      <c r="BS1026" s="2" t="s">
        <v>7189</v>
      </c>
      <c r="BT1026" s="2" t="str">
        <f>HYPERLINK("https%3A%2F%2Fwww.webofscience.com%2Fwos%2Fwoscc%2Ffull-record%2FWOS:000307154600004","View Full Record in Web of Science")</f>
        <v>View Full Record in Web of Science</v>
      </c>
    </row>
    <row r="1027" spans="1:72" s="2" customFormat="1" x14ac:dyDescent="0.4">
      <c r="A1027" s="2" t="s">
        <v>72</v>
      </c>
      <c r="B1027" s="2" t="s">
        <v>677</v>
      </c>
      <c r="C1027" s="2" t="s">
        <v>74</v>
      </c>
      <c r="D1027" s="2" t="s">
        <v>74</v>
      </c>
      <c r="E1027" s="2" t="s">
        <v>74</v>
      </c>
      <c r="F1027" s="2" t="s">
        <v>677</v>
      </c>
      <c r="G1027" s="2" t="s">
        <v>74</v>
      </c>
      <c r="H1027" s="2" t="s">
        <v>74</v>
      </c>
      <c r="I1027" s="2" t="s">
        <v>678</v>
      </c>
      <c r="J1027" s="2" t="s">
        <v>509</v>
      </c>
      <c r="K1027" s="2" t="s">
        <v>74</v>
      </c>
      <c r="L1027" s="2" t="s">
        <v>74</v>
      </c>
      <c r="M1027" s="2" t="s">
        <v>74</v>
      </c>
      <c r="N1027" s="2" t="s">
        <v>74</v>
      </c>
      <c r="O1027" s="2" t="s">
        <v>74</v>
      </c>
      <c r="P1027" s="2" t="s">
        <v>74</v>
      </c>
      <c r="Q1027" s="2" t="s">
        <v>74</v>
      </c>
      <c r="R1027" s="2" t="s">
        <v>74</v>
      </c>
      <c r="S1027" s="2" t="s">
        <v>74</v>
      </c>
      <c r="T1027" s="2" t="s">
        <v>74</v>
      </c>
      <c r="U1027" s="2" t="s">
        <v>74</v>
      </c>
      <c r="V1027" s="5" t="s">
        <v>679</v>
      </c>
      <c r="W1027" s="2" t="s">
        <v>74</v>
      </c>
      <c r="X1027" s="2" t="s">
        <v>74</v>
      </c>
      <c r="Y1027" s="2" t="s">
        <v>74</v>
      </c>
      <c r="Z1027" s="2" t="s">
        <v>74</v>
      </c>
      <c r="AA1027" s="2" t="s">
        <v>74</v>
      </c>
      <c r="AB1027" s="2" t="s">
        <v>74</v>
      </c>
      <c r="AC1027" s="2" t="s">
        <v>74</v>
      </c>
      <c r="AD1027" s="2" t="s">
        <v>74</v>
      </c>
      <c r="AE1027" s="2" t="s">
        <v>74</v>
      </c>
      <c r="AF1027" s="2" t="s">
        <v>74</v>
      </c>
      <c r="AG1027" s="2" t="s">
        <v>74</v>
      </c>
      <c r="AH1027" s="2" t="s">
        <v>74</v>
      </c>
      <c r="AI1027" s="2" t="s">
        <v>74</v>
      </c>
      <c r="AJ1027" s="2" t="s">
        <v>74</v>
      </c>
      <c r="AK1027" s="2" t="s">
        <v>74</v>
      </c>
      <c r="AL1027" s="2" t="s">
        <v>74</v>
      </c>
      <c r="AM1027" s="2" t="s">
        <v>74</v>
      </c>
      <c r="AN1027" s="2" t="s">
        <v>74</v>
      </c>
      <c r="AO1027" s="2" t="s">
        <v>511</v>
      </c>
      <c r="AP1027" s="2" t="s">
        <v>512</v>
      </c>
      <c r="AQ1027" s="2" t="s">
        <v>74</v>
      </c>
      <c r="AR1027" s="2" t="s">
        <v>74</v>
      </c>
      <c r="AS1027" s="2" t="s">
        <v>74</v>
      </c>
      <c r="AT1027" s="2" t="s">
        <v>102</v>
      </c>
      <c r="AU1027" s="2">
        <v>1987</v>
      </c>
      <c r="AV1027" s="2">
        <v>21</v>
      </c>
      <c r="AW1027" s="2">
        <v>2</v>
      </c>
      <c r="AX1027" s="2" t="s">
        <v>74</v>
      </c>
      <c r="AY1027" s="2" t="s">
        <v>74</v>
      </c>
      <c r="AZ1027" s="2" t="s">
        <v>74</v>
      </c>
      <c r="BA1027" s="2" t="s">
        <v>74</v>
      </c>
      <c r="BB1027" s="2">
        <v>234</v>
      </c>
      <c r="BC1027" s="2">
        <v>244</v>
      </c>
      <c r="BD1027" s="2" t="s">
        <v>74</v>
      </c>
      <c r="BE1027" s="2" t="s">
        <v>680</v>
      </c>
      <c r="BF1027" s="2" t="str">
        <f>HYPERLINK("http://dx.doi.org/10.1016/0018-506X(87)90048-1","http://dx.doi.org/10.1016/0018-506X(87)90048-1")</f>
        <v>http://dx.doi.org/10.1016/0018-506X(87)90048-1</v>
      </c>
      <c r="BG1027" s="2" t="s">
        <v>74</v>
      </c>
      <c r="BH1027" s="2" t="s">
        <v>74</v>
      </c>
      <c r="BI1027" s="2" t="s">
        <v>74</v>
      </c>
      <c r="BJ1027" s="2" t="s">
        <v>74</v>
      </c>
      <c r="BK1027" s="2" t="s">
        <v>74</v>
      </c>
      <c r="BL1027" s="2" t="s">
        <v>74</v>
      </c>
      <c r="BM1027" s="2" t="s">
        <v>74</v>
      </c>
      <c r="BN1027" s="2">
        <v>3610060</v>
      </c>
      <c r="BO1027" s="2" t="s">
        <v>74</v>
      </c>
      <c r="BP1027" s="2" t="s">
        <v>74</v>
      </c>
      <c r="BQ1027" s="2" t="s">
        <v>74</v>
      </c>
      <c r="BR1027" s="2" t="s">
        <v>74</v>
      </c>
      <c r="BS1027" s="2" t="s">
        <v>681</v>
      </c>
      <c r="BT1027" s="2" t="str">
        <f>HYPERLINK("https%3A%2F%2Fwww.webofscience.com%2Fwos%2Fwoscc%2Ffull-record%2FWOS:A1987H984200009","View Full Record in Web of Science")</f>
        <v>View Full Record in Web of Science</v>
      </c>
    </row>
    <row r="1028" spans="1:72" s="1" customFormat="1" x14ac:dyDescent="0.4">
      <c r="A1028" s="2" t="s">
        <v>72</v>
      </c>
      <c r="B1028" s="2" t="s">
        <v>978</v>
      </c>
      <c r="C1028" s="2" t="s">
        <v>74</v>
      </c>
      <c r="D1028" s="2" t="s">
        <v>74</v>
      </c>
      <c r="E1028" s="2" t="s">
        <v>74</v>
      </c>
      <c r="F1028" s="2" t="s">
        <v>978</v>
      </c>
      <c r="G1028" s="2" t="s">
        <v>74</v>
      </c>
      <c r="H1028" s="2" t="s">
        <v>74</v>
      </c>
      <c r="I1028" s="2" t="s">
        <v>979</v>
      </c>
      <c r="J1028" s="2" t="s">
        <v>691</v>
      </c>
      <c r="K1028" s="2" t="s">
        <v>74</v>
      </c>
      <c r="L1028" s="2" t="s">
        <v>74</v>
      </c>
      <c r="M1028" s="2" t="s">
        <v>74</v>
      </c>
      <c r="N1028" s="2" t="s">
        <v>74</v>
      </c>
      <c r="O1028" s="2" t="s">
        <v>74</v>
      </c>
      <c r="P1028" s="2" t="s">
        <v>74</v>
      </c>
      <c r="Q1028" s="2" t="s">
        <v>74</v>
      </c>
      <c r="R1028" s="2" t="s">
        <v>74</v>
      </c>
      <c r="S1028" s="2" t="s">
        <v>74</v>
      </c>
      <c r="T1028" s="2" t="s">
        <v>74</v>
      </c>
      <c r="U1028" s="2" t="s">
        <v>74</v>
      </c>
      <c r="V1028" s="5" t="s">
        <v>980</v>
      </c>
      <c r="W1028" s="2" t="s">
        <v>74</v>
      </c>
      <c r="X1028" s="2" t="s">
        <v>74</v>
      </c>
      <c r="Y1028" s="2" t="s">
        <v>74</v>
      </c>
      <c r="Z1028" s="2" t="s">
        <v>74</v>
      </c>
      <c r="AA1028" s="2" t="s">
        <v>74</v>
      </c>
      <c r="AB1028" s="2" t="s">
        <v>74</v>
      </c>
      <c r="AC1028" s="2" t="s">
        <v>74</v>
      </c>
      <c r="AD1028" s="2" t="s">
        <v>74</v>
      </c>
      <c r="AE1028" s="2" t="s">
        <v>74</v>
      </c>
      <c r="AF1028" s="2" t="s">
        <v>74</v>
      </c>
      <c r="AG1028" s="2" t="s">
        <v>74</v>
      </c>
      <c r="AH1028" s="2" t="s">
        <v>74</v>
      </c>
      <c r="AI1028" s="2" t="s">
        <v>74</v>
      </c>
      <c r="AJ1028" s="2" t="s">
        <v>74</v>
      </c>
      <c r="AK1028" s="2" t="s">
        <v>74</v>
      </c>
      <c r="AL1028" s="2" t="s">
        <v>74</v>
      </c>
      <c r="AM1028" s="2" t="s">
        <v>74</v>
      </c>
      <c r="AN1028" s="2" t="s">
        <v>74</v>
      </c>
      <c r="AO1028" s="2" t="s">
        <v>695</v>
      </c>
      <c r="AP1028" s="2" t="s">
        <v>981</v>
      </c>
      <c r="AQ1028" s="2" t="s">
        <v>74</v>
      </c>
      <c r="AR1028" s="2" t="s">
        <v>74</v>
      </c>
      <c r="AS1028" s="2" t="s">
        <v>74</v>
      </c>
      <c r="AT1028" s="2" t="s">
        <v>74</v>
      </c>
      <c r="AU1028" s="2">
        <v>1984</v>
      </c>
      <c r="AV1028" s="2">
        <v>32</v>
      </c>
      <c r="AW1028" s="2">
        <v>4</v>
      </c>
      <c r="AX1028" s="2" t="s">
        <v>74</v>
      </c>
      <c r="AY1028" s="2" t="s">
        <v>74</v>
      </c>
      <c r="AZ1028" s="2" t="s">
        <v>74</v>
      </c>
      <c r="BA1028" s="2" t="s">
        <v>74</v>
      </c>
      <c r="BB1028" s="2">
        <v>541</v>
      </c>
      <c r="BC1028" s="2">
        <v>546</v>
      </c>
      <c r="BD1028" s="2" t="s">
        <v>74</v>
      </c>
      <c r="BE1028" s="2" t="s">
        <v>982</v>
      </c>
      <c r="BF1028" s="2" t="str">
        <f>HYPERLINK("http://dx.doi.org/10.1016/0031-9384(84)90307-X","http://dx.doi.org/10.1016/0031-9384(84)90307-X")</f>
        <v>http://dx.doi.org/10.1016/0031-9384(84)90307-X</v>
      </c>
      <c r="BG1028" s="2" t="s">
        <v>74</v>
      </c>
      <c r="BH1028" s="2" t="s">
        <v>74</v>
      </c>
      <c r="BI1028" s="2" t="s">
        <v>74</v>
      </c>
      <c r="BJ1028" s="2" t="s">
        <v>74</v>
      </c>
      <c r="BK1028" s="2" t="s">
        <v>74</v>
      </c>
      <c r="BL1028" s="2" t="s">
        <v>74</v>
      </c>
      <c r="BM1028" s="2" t="s">
        <v>74</v>
      </c>
      <c r="BN1028" s="2">
        <v>6541348</v>
      </c>
      <c r="BO1028" s="2" t="s">
        <v>74</v>
      </c>
      <c r="BP1028" s="2" t="s">
        <v>74</v>
      </c>
      <c r="BQ1028" s="2" t="s">
        <v>74</v>
      </c>
      <c r="BR1028" s="2" t="s">
        <v>74</v>
      </c>
      <c r="BS1028" s="2" t="s">
        <v>983</v>
      </c>
      <c r="BT1028" s="2" t="str">
        <f>HYPERLINK("https%3A%2F%2Fwww.webofscience.com%2Fwos%2Fwoscc%2Ffull-record%2FWOS:A1984SV55800004","View Full Record in Web of Science")</f>
        <v>View Full Record in Web of Science</v>
      </c>
    </row>
    <row r="1029" spans="1:72" s="1" customFormat="1" x14ac:dyDescent="0.4">
      <c r="A1029" s="2" t="s">
        <v>72</v>
      </c>
      <c r="B1029" s="2" t="s">
        <v>3232</v>
      </c>
      <c r="C1029" s="2" t="s">
        <v>74</v>
      </c>
      <c r="D1029" s="2" t="s">
        <v>74</v>
      </c>
      <c r="E1029" s="2" t="s">
        <v>74</v>
      </c>
      <c r="F1029" s="2" t="s">
        <v>3232</v>
      </c>
      <c r="G1029" s="2" t="s">
        <v>74</v>
      </c>
      <c r="H1029" s="2" t="s">
        <v>74</v>
      </c>
      <c r="I1029" s="2" t="s">
        <v>3233</v>
      </c>
      <c r="J1029" s="2" t="s">
        <v>1126</v>
      </c>
      <c r="K1029" s="2" t="s">
        <v>74</v>
      </c>
      <c r="L1029" s="2" t="s">
        <v>74</v>
      </c>
      <c r="M1029" s="2" t="s">
        <v>74</v>
      </c>
      <c r="N1029" s="2" t="s">
        <v>74</v>
      </c>
      <c r="O1029" s="2" t="s">
        <v>74</v>
      </c>
      <c r="P1029" s="2" t="s">
        <v>74</v>
      </c>
      <c r="Q1029" s="2" t="s">
        <v>74</v>
      </c>
      <c r="R1029" s="2" t="s">
        <v>74</v>
      </c>
      <c r="S1029" s="2" t="s">
        <v>74</v>
      </c>
      <c r="T1029" s="2" t="s">
        <v>74</v>
      </c>
      <c r="U1029" s="2" t="s">
        <v>74</v>
      </c>
      <c r="V1029" s="5" t="s">
        <v>3234</v>
      </c>
      <c r="W1029" s="2" t="s">
        <v>74</v>
      </c>
      <c r="X1029" s="2" t="s">
        <v>74</v>
      </c>
      <c r="Y1029" s="2" t="s">
        <v>74</v>
      </c>
      <c r="Z1029" s="2" t="s">
        <v>74</v>
      </c>
      <c r="AA1029" s="2" t="s">
        <v>74</v>
      </c>
      <c r="AB1029" s="2" t="s">
        <v>74</v>
      </c>
      <c r="AC1029" s="2" t="s">
        <v>74</v>
      </c>
      <c r="AD1029" s="2" t="s">
        <v>74</v>
      </c>
      <c r="AE1029" s="2" t="s">
        <v>74</v>
      </c>
      <c r="AF1029" s="2" t="s">
        <v>74</v>
      </c>
      <c r="AG1029" s="2" t="s">
        <v>74</v>
      </c>
      <c r="AH1029" s="2" t="s">
        <v>74</v>
      </c>
      <c r="AI1029" s="2" t="s">
        <v>74</v>
      </c>
      <c r="AJ1029" s="2" t="s">
        <v>74</v>
      </c>
      <c r="AK1029" s="2" t="s">
        <v>74</v>
      </c>
      <c r="AL1029" s="2" t="s">
        <v>74</v>
      </c>
      <c r="AM1029" s="2" t="s">
        <v>74</v>
      </c>
      <c r="AN1029" s="2" t="s">
        <v>74</v>
      </c>
      <c r="AO1029" s="2" t="s">
        <v>1128</v>
      </c>
      <c r="AP1029" s="2" t="s">
        <v>1129</v>
      </c>
      <c r="AQ1029" s="2" t="s">
        <v>74</v>
      </c>
      <c r="AR1029" s="2" t="s">
        <v>74</v>
      </c>
      <c r="AS1029" s="2" t="s">
        <v>74</v>
      </c>
      <c r="AT1029" s="2" t="s">
        <v>1146</v>
      </c>
      <c r="AU1029" s="2">
        <v>1991</v>
      </c>
      <c r="AV1029" s="2" t="s">
        <v>74</v>
      </c>
      <c r="AW1029" s="2">
        <v>3</v>
      </c>
      <c r="AX1029" s="2" t="s">
        <v>74</v>
      </c>
      <c r="AY1029" s="2" t="s">
        <v>74</v>
      </c>
      <c r="AZ1029" s="2" t="s">
        <v>74</v>
      </c>
      <c r="BA1029" s="2" t="s">
        <v>74</v>
      </c>
      <c r="BB1029" s="2">
        <v>800</v>
      </c>
      <c r="BC1029" s="2">
        <v>809</v>
      </c>
      <c r="BD1029" s="2" t="s">
        <v>74</v>
      </c>
      <c r="BE1029" s="2" t="s">
        <v>74</v>
      </c>
      <c r="BF1029" s="2" t="s">
        <v>74</v>
      </c>
      <c r="BG1029" s="2" t="s">
        <v>74</v>
      </c>
      <c r="BH1029" s="2" t="s">
        <v>74</v>
      </c>
      <c r="BI1029" s="2" t="s">
        <v>74</v>
      </c>
      <c r="BJ1029" s="2" t="s">
        <v>74</v>
      </c>
      <c r="BK1029" s="2" t="s">
        <v>74</v>
      </c>
      <c r="BL1029" s="2" t="s">
        <v>74</v>
      </c>
      <c r="BM1029" s="2" t="s">
        <v>74</v>
      </c>
      <c r="BN1029" s="2" t="s">
        <v>74</v>
      </c>
      <c r="BO1029" s="2" t="s">
        <v>74</v>
      </c>
      <c r="BP1029" s="2" t="s">
        <v>74</v>
      </c>
      <c r="BQ1029" s="2" t="s">
        <v>74</v>
      </c>
      <c r="BR1029" s="2" t="s">
        <v>74</v>
      </c>
      <c r="BS1029" s="2" t="s">
        <v>3235</v>
      </c>
      <c r="BT1029" s="2" t="str">
        <f>HYPERLINK("https%3A%2F%2Fwww.webofscience.com%2Fwos%2Fwoscc%2Ffull-record%2FWOS:A1991FZ81200023","View Full Record in Web of Science")</f>
        <v>View Full Record in Web of Science</v>
      </c>
    </row>
    <row r="1030" spans="1:72" s="2" customFormat="1" x14ac:dyDescent="0.4">
      <c r="A1030" s="2" t="s">
        <v>72</v>
      </c>
      <c r="B1030" s="2" t="s">
        <v>3697</v>
      </c>
      <c r="C1030" s="2" t="s">
        <v>74</v>
      </c>
      <c r="D1030" s="2" t="s">
        <v>74</v>
      </c>
      <c r="E1030" s="2" t="s">
        <v>74</v>
      </c>
      <c r="F1030" s="2" t="s">
        <v>3698</v>
      </c>
      <c r="G1030" s="2" t="s">
        <v>74</v>
      </c>
      <c r="H1030" s="2" t="s">
        <v>74</v>
      </c>
      <c r="I1030" s="2" t="s">
        <v>3699</v>
      </c>
      <c r="J1030" s="2" t="s">
        <v>140</v>
      </c>
      <c r="K1030" s="2" t="s">
        <v>74</v>
      </c>
      <c r="L1030" s="2" t="s">
        <v>74</v>
      </c>
      <c r="M1030" s="2" t="s">
        <v>74</v>
      </c>
      <c r="N1030" s="2" t="s">
        <v>74</v>
      </c>
      <c r="O1030" s="2" t="s">
        <v>74</v>
      </c>
      <c r="P1030" s="2" t="s">
        <v>74</v>
      </c>
      <c r="Q1030" s="2" t="s">
        <v>74</v>
      </c>
      <c r="R1030" s="2" t="s">
        <v>74</v>
      </c>
      <c r="S1030" s="2" t="s">
        <v>74</v>
      </c>
      <c r="T1030" s="2" t="s">
        <v>74</v>
      </c>
      <c r="U1030" s="2" t="s">
        <v>74</v>
      </c>
      <c r="V1030" s="5" t="s">
        <v>3700</v>
      </c>
      <c r="W1030" s="2" t="s">
        <v>74</v>
      </c>
      <c r="X1030" s="2" t="s">
        <v>74</v>
      </c>
      <c r="Y1030" s="2" t="s">
        <v>74</v>
      </c>
      <c r="Z1030" s="2" t="s">
        <v>74</v>
      </c>
      <c r="AA1030" s="2" t="s">
        <v>74</v>
      </c>
      <c r="AB1030" s="2" t="s">
        <v>74</v>
      </c>
      <c r="AC1030" s="2" t="s">
        <v>74</v>
      </c>
      <c r="AD1030" s="2" t="s">
        <v>74</v>
      </c>
      <c r="AE1030" s="2" t="s">
        <v>74</v>
      </c>
      <c r="AF1030" s="2" t="s">
        <v>74</v>
      </c>
      <c r="AG1030" s="2" t="s">
        <v>74</v>
      </c>
      <c r="AH1030" s="2" t="s">
        <v>74</v>
      </c>
      <c r="AI1030" s="2" t="s">
        <v>74</v>
      </c>
      <c r="AJ1030" s="2" t="s">
        <v>74</v>
      </c>
      <c r="AK1030" s="2" t="s">
        <v>74</v>
      </c>
      <c r="AL1030" s="2" t="s">
        <v>74</v>
      </c>
      <c r="AM1030" s="2" t="s">
        <v>74</v>
      </c>
      <c r="AN1030" s="2" t="s">
        <v>74</v>
      </c>
      <c r="AO1030" s="2" t="s">
        <v>143</v>
      </c>
      <c r="AP1030" s="2" t="s">
        <v>144</v>
      </c>
      <c r="AQ1030" s="2" t="s">
        <v>74</v>
      </c>
      <c r="AR1030" s="2" t="s">
        <v>74</v>
      </c>
      <c r="AS1030" s="2" t="s">
        <v>74</v>
      </c>
      <c r="AT1030" s="2" t="s">
        <v>204</v>
      </c>
      <c r="AU1030" s="2">
        <v>2014</v>
      </c>
      <c r="AV1030" s="2">
        <v>93</v>
      </c>
      <c r="AW1030" s="2" t="s">
        <v>74</v>
      </c>
      <c r="AX1030" s="2" t="s">
        <v>74</v>
      </c>
      <c r="AY1030" s="2" t="s">
        <v>74</v>
      </c>
      <c r="AZ1030" s="2" t="s">
        <v>74</v>
      </c>
      <c r="BA1030" s="2" t="s">
        <v>74</v>
      </c>
      <c r="BB1030" s="2">
        <v>267</v>
      </c>
      <c r="BC1030" s="2">
        <v>278</v>
      </c>
      <c r="BD1030" s="2" t="s">
        <v>74</v>
      </c>
      <c r="BE1030" s="2" t="s">
        <v>3701</v>
      </c>
      <c r="BF1030" s="2" t="str">
        <f>HYPERLINK("http://dx.doi.org/10.1016/j.anbehav.2014.05.005","http://dx.doi.org/10.1016/j.anbehav.2014.05.005")</f>
        <v>http://dx.doi.org/10.1016/j.anbehav.2014.05.005</v>
      </c>
      <c r="BG1030" s="2" t="s">
        <v>74</v>
      </c>
      <c r="BH1030" s="2" t="s">
        <v>74</v>
      </c>
      <c r="BI1030" s="2" t="s">
        <v>74</v>
      </c>
      <c r="BJ1030" s="2" t="s">
        <v>74</v>
      </c>
      <c r="BK1030" s="2" t="s">
        <v>74</v>
      </c>
      <c r="BL1030" s="2" t="s">
        <v>74</v>
      </c>
      <c r="BM1030" s="2" t="s">
        <v>74</v>
      </c>
      <c r="BN1030" s="2" t="s">
        <v>74</v>
      </c>
      <c r="BO1030" s="2" t="s">
        <v>74</v>
      </c>
      <c r="BP1030" s="2" t="s">
        <v>74</v>
      </c>
      <c r="BQ1030" s="2" t="s">
        <v>74</v>
      </c>
      <c r="BR1030" s="2" t="s">
        <v>74</v>
      </c>
      <c r="BS1030" s="2" t="s">
        <v>3702</v>
      </c>
      <c r="BT1030" s="2" t="str">
        <f>HYPERLINK("https%3A%2F%2Fwww.webofscience.com%2Fwos%2Fwoscc%2Ffull-record%2FWOS:000338712900033","View Full Record in Web of Science")</f>
        <v>View Full Record in Web of Science</v>
      </c>
    </row>
    <row r="1031" spans="1:72" s="2" customFormat="1" x14ac:dyDescent="0.4">
      <c r="A1031" s="2" t="s">
        <v>72</v>
      </c>
      <c r="B1031" s="2" t="s">
        <v>7489</v>
      </c>
      <c r="C1031" s="2" t="s">
        <v>74</v>
      </c>
      <c r="D1031" s="2" t="s">
        <v>74</v>
      </c>
      <c r="E1031" s="2" t="s">
        <v>74</v>
      </c>
      <c r="F1031" s="2" t="s">
        <v>7490</v>
      </c>
      <c r="G1031" s="2" t="s">
        <v>74</v>
      </c>
      <c r="H1031" s="2" t="s">
        <v>74</v>
      </c>
      <c r="I1031" s="2" t="s">
        <v>7491</v>
      </c>
      <c r="J1031" s="2" t="s">
        <v>333</v>
      </c>
      <c r="K1031" s="2" t="s">
        <v>74</v>
      </c>
      <c r="L1031" s="2" t="s">
        <v>74</v>
      </c>
      <c r="M1031" s="2" t="s">
        <v>74</v>
      </c>
      <c r="N1031" s="2" t="s">
        <v>74</v>
      </c>
      <c r="O1031" s="2" t="s">
        <v>74</v>
      </c>
      <c r="P1031" s="2" t="s">
        <v>74</v>
      </c>
      <c r="Q1031" s="2" t="s">
        <v>74</v>
      </c>
      <c r="R1031" s="2" t="s">
        <v>74</v>
      </c>
      <c r="S1031" s="2" t="s">
        <v>74</v>
      </c>
      <c r="T1031" s="2" t="s">
        <v>74</v>
      </c>
      <c r="U1031" s="2" t="s">
        <v>74</v>
      </c>
      <c r="V1031" s="5" t="s">
        <v>7492</v>
      </c>
      <c r="W1031" s="2" t="s">
        <v>74</v>
      </c>
      <c r="X1031" s="2" t="s">
        <v>74</v>
      </c>
      <c r="Y1031" s="2" t="s">
        <v>74</v>
      </c>
      <c r="Z1031" s="2" t="s">
        <v>74</v>
      </c>
      <c r="AA1031" s="2" t="s">
        <v>74</v>
      </c>
      <c r="AB1031" s="2" t="s">
        <v>74</v>
      </c>
      <c r="AC1031" s="2" t="s">
        <v>74</v>
      </c>
      <c r="AD1031" s="2" t="s">
        <v>74</v>
      </c>
      <c r="AE1031" s="2" t="s">
        <v>74</v>
      </c>
      <c r="AF1031" s="2" t="s">
        <v>74</v>
      </c>
      <c r="AG1031" s="2" t="s">
        <v>74</v>
      </c>
      <c r="AH1031" s="2" t="s">
        <v>74</v>
      </c>
      <c r="AI1031" s="2" t="s">
        <v>74</v>
      </c>
      <c r="AJ1031" s="2" t="s">
        <v>74</v>
      </c>
      <c r="AK1031" s="2" t="s">
        <v>74</v>
      </c>
      <c r="AL1031" s="2" t="s">
        <v>74</v>
      </c>
      <c r="AM1031" s="2" t="s">
        <v>74</v>
      </c>
      <c r="AN1031" s="2" t="s">
        <v>74</v>
      </c>
      <c r="AO1031" s="2" t="s">
        <v>337</v>
      </c>
      <c r="AP1031" s="2" t="s">
        <v>338</v>
      </c>
      <c r="AQ1031" s="2" t="s">
        <v>74</v>
      </c>
      <c r="AR1031" s="2" t="s">
        <v>74</v>
      </c>
      <c r="AS1031" s="2" t="s">
        <v>74</v>
      </c>
      <c r="AT1031" s="2" t="s">
        <v>339</v>
      </c>
      <c r="AU1031" s="2">
        <v>2013</v>
      </c>
      <c r="AV1031" s="2">
        <v>24</v>
      </c>
      <c r="AW1031" s="2">
        <v>4</v>
      </c>
      <c r="AX1031" s="2" t="s">
        <v>74</v>
      </c>
      <c r="AY1031" s="2" t="s">
        <v>74</v>
      </c>
      <c r="AZ1031" s="2" t="s">
        <v>74</v>
      </c>
      <c r="BA1031" s="2" t="s">
        <v>74</v>
      </c>
      <c r="BB1031" s="2">
        <v>955</v>
      </c>
      <c r="BC1031" s="2">
        <v>967</v>
      </c>
      <c r="BD1031" s="2" t="s">
        <v>74</v>
      </c>
      <c r="BE1031" s="2" t="s">
        <v>7493</v>
      </c>
      <c r="BF1031" s="2" t="str">
        <f>HYPERLINK("http://dx.doi.org/10.1093/beheco/art011","http://dx.doi.org/10.1093/beheco/art011")</f>
        <v>http://dx.doi.org/10.1093/beheco/art011</v>
      </c>
      <c r="BG1031" s="2" t="s">
        <v>74</v>
      </c>
      <c r="BH1031" s="2" t="s">
        <v>74</v>
      </c>
      <c r="BI1031" s="2" t="s">
        <v>74</v>
      </c>
      <c r="BJ1031" s="2" t="s">
        <v>74</v>
      </c>
      <c r="BK1031" s="2" t="s">
        <v>74</v>
      </c>
      <c r="BL1031" s="2" t="s">
        <v>74</v>
      </c>
      <c r="BM1031" s="2" t="s">
        <v>74</v>
      </c>
      <c r="BN1031" s="2" t="s">
        <v>74</v>
      </c>
      <c r="BO1031" s="2" t="s">
        <v>74</v>
      </c>
      <c r="BP1031" s="2" t="s">
        <v>74</v>
      </c>
      <c r="BQ1031" s="2" t="s">
        <v>74</v>
      </c>
      <c r="BR1031" s="2" t="s">
        <v>74</v>
      </c>
      <c r="BS1031" s="2" t="s">
        <v>7494</v>
      </c>
      <c r="BT1031" s="2" t="str">
        <f>HYPERLINK("https%3A%2F%2Fwww.webofscience.com%2Fwos%2Fwoscc%2Ffull-record%2FWOS:000320409900027","View Full Record in Web of Science")</f>
        <v>View Full Record in Web of Science</v>
      </c>
    </row>
    <row r="1032" spans="1:72" s="1" customFormat="1" x14ac:dyDescent="0.4">
      <c r="A1032" s="2" t="s">
        <v>72</v>
      </c>
      <c r="B1032" s="2" t="s">
        <v>4870</v>
      </c>
      <c r="C1032" s="2" t="s">
        <v>74</v>
      </c>
      <c r="D1032" s="2" t="s">
        <v>74</v>
      </c>
      <c r="E1032" s="2" t="s">
        <v>74</v>
      </c>
      <c r="F1032" s="2" t="s">
        <v>4871</v>
      </c>
      <c r="G1032" s="2" t="s">
        <v>74</v>
      </c>
      <c r="H1032" s="2" t="s">
        <v>74</v>
      </c>
      <c r="I1032" s="2" t="s">
        <v>4872</v>
      </c>
      <c r="J1032" s="2" t="s">
        <v>763</v>
      </c>
      <c r="K1032" s="2" t="s">
        <v>74</v>
      </c>
      <c r="L1032" s="2" t="s">
        <v>74</v>
      </c>
      <c r="M1032" s="2" t="s">
        <v>74</v>
      </c>
      <c r="N1032" s="2" t="s">
        <v>74</v>
      </c>
      <c r="O1032" s="2" t="s">
        <v>74</v>
      </c>
      <c r="P1032" s="2" t="s">
        <v>74</v>
      </c>
      <c r="Q1032" s="2" t="s">
        <v>74</v>
      </c>
      <c r="R1032" s="2" t="s">
        <v>74</v>
      </c>
      <c r="S1032" s="2" t="s">
        <v>74</v>
      </c>
      <c r="T1032" s="2" t="s">
        <v>74</v>
      </c>
      <c r="U1032" s="2" t="s">
        <v>74</v>
      </c>
      <c r="V1032" s="5" t="s">
        <v>4873</v>
      </c>
      <c r="W1032" s="2" t="s">
        <v>74</v>
      </c>
      <c r="X1032" s="2" t="s">
        <v>74</v>
      </c>
      <c r="Y1032" s="2" t="s">
        <v>74</v>
      </c>
      <c r="Z1032" s="2" t="s">
        <v>74</v>
      </c>
      <c r="AA1032" s="2" t="s">
        <v>4874</v>
      </c>
      <c r="AB1032" s="2" t="s">
        <v>4875</v>
      </c>
      <c r="AC1032" s="2" t="s">
        <v>74</v>
      </c>
      <c r="AD1032" s="2" t="s">
        <v>74</v>
      </c>
      <c r="AE1032" s="2" t="s">
        <v>74</v>
      </c>
      <c r="AF1032" s="2" t="s">
        <v>74</v>
      </c>
      <c r="AG1032" s="2" t="s">
        <v>74</v>
      </c>
      <c r="AH1032" s="2" t="s">
        <v>74</v>
      </c>
      <c r="AI1032" s="2" t="s">
        <v>74</v>
      </c>
      <c r="AJ1032" s="2" t="s">
        <v>74</v>
      </c>
      <c r="AK1032" s="2" t="s">
        <v>74</v>
      </c>
      <c r="AL1032" s="2" t="s">
        <v>74</v>
      </c>
      <c r="AM1032" s="2" t="s">
        <v>74</v>
      </c>
      <c r="AN1032" s="2" t="s">
        <v>74</v>
      </c>
      <c r="AO1032" s="2" t="s">
        <v>767</v>
      </c>
      <c r="AP1032" s="2" t="s">
        <v>74</v>
      </c>
      <c r="AQ1032" s="2" t="s">
        <v>74</v>
      </c>
      <c r="AR1032" s="2" t="s">
        <v>74</v>
      </c>
      <c r="AS1032" s="2" t="s">
        <v>74</v>
      </c>
      <c r="AT1032" s="2" t="s">
        <v>134</v>
      </c>
      <c r="AU1032" s="2">
        <v>2013</v>
      </c>
      <c r="AV1032" s="2">
        <v>216</v>
      </c>
      <c r="AW1032" s="2">
        <v>9</v>
      </c>
      <c r="AX1032" s="2" t="s">
        <v>74</v>
      </c>
      <c r="AY1032" s="2" t="s">
        <v>74</v>
      </c>
      <c r="AZ1032" s="2" t="s">
        <v>74</v>
      </c>
      <c r="BA1032" s="2" t="s">
        <v>74</v>
      </c>
      <c r="BB1032" s="2">
        <v>1744</v>
      </c>
      <c r="BC1032" s="2">
        <v>1756</v>
      </c>
      <c r="BD1032" s="2" t="s">
        <v>74</v>
      </c>
      <c r="BE1032" s="2" t="s">
        <v>4876</v>
      </c>
      <c r="BF1032" s="2" t="str">
        <f>HYPERLINK("http://dx.doi.org/10.1242/jeb.071118","http://dx.doi.org/10.1242/jeb.071118")</f>
        <v>http://dx.doi.org/10.1242/jeb.071118</v>
      </c>
      <c r="BG1032" s="2" t="s">
        <v>74</v>
      </c>
      <c r="BH1032" s="2" t="s">
        <v>74</v>
      </c>
      <c r="BI1032" s="2" t="s">
        <v>74</v>
      </c>
      <c r="BJ1032" s="2" t="s">
        <v>74</v>
      </c>
      <c r="BK1032" s="2" t="s">
        <v>74</v>
      </c>
      <c r="BL1032" s="2" t="s">
        <v>74</v>
      </c>
      <c r="BM1032" s="2" t="s">
        <v>74</v>
      </c>
      <c r="BN1032" s="2">
        <v>23348952</v>
      </c>
      <c r="BO1032" s="2" t="s">
        <v>74</v>
      </c>
      <c r="BP1032" s="2" t="s">
        <v>74</v>
      </c>
      <c r="BQ1032" s="2" t="s">
        <v>74</v>
      </c>
      <c r="BR1032" s="2" t="s">
        <v>74</v>
      </c>
      <c r="BS1032" s="2" t="s">
        <v>4877</v>
      </c>
      <c r="BT1032" s="2" t="str">
        <f>HYPERLINK("https%3A%2F%2Fwww.webofscience.com%2Fwos%2Fwoscc%2Ffull-record%2FWOS:000317722700033","View Full Record in Web of Science")</f>
        <v>View Full Record in Web of Science</v>
      </c>
    </row>
    <row r="1033" spans="1:72" s="2" customFormat="1" x14ac:dyDescent="0.4">
      <c r="A1033" s="2" t="s">
        <v>72</v>
      </c>
      <c r="B1033" s="2" t="s">
        <v>821</v>
      </c>
      <c r="C1033" s="2" t="s">
        <v>74</v>
      </c>
      <c r="D1033" s="2" t="s">
        <v>74</v>
      </c>
      <c r="E1033" s="2" t="s">
        <v>74</v>
      </c>
      <c r="F1033" s="2" t="s">
        <v>822</v>
      </c>
      <c r="G1033" s="2" t="s">
        <v>74</v>
      </c>
      <c r="H1033" s="2" t="s">
        <v>74</v>
      </c>
      <c r="I1033" s="2" t="s">
        <v>823</v>
      </c>
      <c r="J1033" s="2" t="s">
        <v>824</v>
      </c>
      <c r="K1033" s="2" t="s">
        <v>74</v>
      </c>
      <c r="L1033" s="2" t="s">
        <v>74</v>
      </c>
      <c r="M1033" s="2" t="s">
        <v>74</v>
      </c>
      <c r="N1033" s="2" t="s">
        <v>74</v>
      </c>
      <c r="O1033" s="2" t="s">
        <v>74</v>
      </c>
      <c r="P1033" s="2" t="s">
        <v>74</v>
      </c>
      <c r="Q1033" s="2" t="s">
        <v>74</v>
      </c>
      <c r="R1033" s="2" t="s">
        <v>74</v>
      </c>
      <c r="S1033" s="2" t="s">
        <v>74</v>
      </c>
      <c r="T1033" s="2" t="s">
        <v>74</v>
      </c>
      <c r="U1033" s="2" t="s">
        <v>74</v>
      </c>
      <c r="V1033" s="5" t="s">
        <v>825</v>
      </c>
      <c r="W1033" s="2" t="s">
        <v>74</v>
      </c>
      <c r="X1033" s="2" t="s">
        <v>74</v>
      </c>
      <c r="Y1033" s="2" t="s">
        <v>74</v>
      </c>
      <c r="Z1033" s="2" t="s">
        <v>74</v>
      </c>
      <c r="AA1033" s="2" t="s">
        <v>826</v>
      </c>
      <c r="AB1033" s="2" t="s">
        <v>827</v>
      </c>
      <c r="AC1033" s="2" t="s">
        <v>74</v>
      </c>
      <c r="AD1033" s="2" t="s">
        <v>74</v>
      </c>
      <c r="AE1033" s="2" t="s">
        <v>74</v>
      </c>
      <c r="AF1033" s="2" t="s">
        <v>74</v>
      </c>
      <c r="AG1033" s="2" t="s">
        <v>74</v>
      </c>
      <c r="AH1033" s="2" t="s">
        <v>74</v>
      </c>
      <c r="AI1033" s="2" t="s">
        <v>74</v>
      </c>
      <c r="AJ1033" s="2" t="s">
        <v>74</v>
      </c>
      <c r="AK1033" s="2" t="s">
        <v>74</v>
      </c>
      <c r="AL1033" s="2" t="s">
        <v>74</v>
      </c>
      <c r="AM1033" s="2" t="s">
        <v>74</v>
      </c>
      <c r="AN1033" s="2" t="s">
        <v>74</v>
      </c>
      <c r="AO1033" s="2" t="s">
        <v>828</v>
      </c>
      <c r="AP1033" s="2" t="s">
        <v>829</v>
      </c>
      <c r="AQ1033" s="2" t="s">
        <v>74</v>
      </c>
      <c r="AR1033" s="2" t="s">
        <v>74</v>
      </c>
      <c r="AS1033" s="2" t="s">
        <v>74</v>
      </c>
      <c r="AT1033" s="2" t="s">
        <v>352</v>
      </c>
      <c r="AU1033" s="2">
        <v>2017</v>
      </c>
      <c r="AV1033" s="2">
        <v>86</v>
      </c>
      <c r="AW1033" s="2">
        <v>5</v>
      </c>
      <c r="AX1033" s="2" t="s">
        <v>74</v>
      </c>
      <c r="AY1033" s="2" t="s">
        <v>74</v>
      </c>
      <c r="AZ1033" s="2" t="s">
        <v>74</v>
      </c>
      <c r="BA1033" s="2" t="s">
        <v>74</v>
      </c>
      <c r="BB1033" s="2">
        <v>1074</v>
      </c>
      <c r="BC1033" s="2">
        <v>1081</v>
      </c>
      <c r="BD1033" s="2" t="s">
        <v>74</v>
      </c>
      <c r="BE1033" s="2" t="s">
        <v>830</v>
      </c>
      <c r="BF1033" s="2" t="str">
        <f>HYPERLINK("http://dx.doi.org/10.1111/1365-2656.12690","http://dx.doi.org/10.1111/1365-2656.12690")</f>
        <v>http://dx.doi.org/10.1111/1365-2656.12690</v>
      </c>
      <c r="BG1033" s="2" t="s">
        <v>74</v>
      </c>
      <c r="BH1033" s="2" t="s">
        <v>74</v>
      </c>
      <c r="BI1033" s="2" t="s">
        <v>74</v>
      </c>
      <c r="BJ1033" s="2" t="s">
        <v>74</v>
      </c>
      <c r="BK1033" s="2" t="s">
        <v>74</v>
      </c>
      <c r="BL1033" s="2" t="s">
        <v>74</v>
      </c>
      <c r="BM1033" s="2" t="s">
        <v>74</v>
      </c>
      <c r="BN1033" s="2">
        <v>28502084</v>
      </c>
      <c r="BO1033" s="2" t="s">
        <v>74</v>
      </c>
      <c r="BP1033" s="2" t="s">
        <v>74</v>
      </c>
      <c r="BQ1033" s="2" t="s">
        <v>74</v>
      </c>
      <c r="BR1033" s="2" t="s">
        <v>74</v>
      </c>
      <c r="BS1033" s="2" t="s">
        <v>831</v>
      </c>
      <c r="BT1033" s="2" t="str">
        <f>HYPERLINK("https%3A%2F%2Fwww.webofscience.com%2Fwos%2Fwoscc%2Ffull-record%2FWOS:000407320500010","View Full Record in Web of Science")</f>
        <v>View Full Record in Web of Science</v>
      </c>
    </row>
    <row r="1034" spans="1:72" s="2" customFormat="1" x14ac:dyDescent="0.4">
      <c r="A1034" s="2" t="s">
        <v>72</v>
      </c>
      <c r="B1034" s="2" t="s">
        <v>5895</v>
      </c>
      <c r="C1034" s="2" t="s">
        <v>74</v>
      </c>
      <c r="D1034" s="2" t="s">
        <v>74</v>
      </c>
      <c r="E1034" s="2" t="s">
        <v>74</v>
      </c>
      <c r="F1034" s="2" t="s">
        <v>5895</v>
      </c>
      <c r="G1034" s="2" t="s">
        <v>74</v>
      </c>
      <c r="H1034" s="2" t="s">
        <v>74</v>
      </c>
      <c r="I1034" s="2" t="s">
        <v>5896</v>
      </c>
      <c r="J1034" s="2" t="s">
        <v>5897</v>
      </c>
      <c r="K1034" s="2" t="s">
        <v>74</v>
      </c>
      <c r="L1034" s="2" t="s">
        <v>74</v>
      </c>
      <c r="M1034" s="2" t="s">
        <v>74</v>
      </c>
      <c r="N1034" s="2" t="s">
        <v>74</v>
      </c>
      <c r="O1034" s="2" t="s">
        <v>74</v>
      </c>
      <c r="P1034" s="2" t="s">
        <v>74</v>
      </c>
      <c r="Q1034" s="2" t="s">
        <v>74</v>
      </c>
      <c r="R1034" s="2" t="s">
        <v>74</v>
      </c>
      <c r="S1034" s="2" t="s">
        <v>74</v>
      </c>
      <c r="T1034" s="2" t="s">
        <v>74</v>
      </c>
      <c r="U1034" s="2" t="s">
        <v>74</v>
      </c>
      <c r="V1034" s="5" t="s">
        <v>5898</v>
      </c>
      <c r="W1034" s="2" t="s">
        <v>74</v>
      </c>
      <c r="X1034" s="2" t="s">
        <v>74</v>
      </c>
      <c r="Y1034" s="2" t="s">
        <v>74</v>
      </c>
      <c r="Z1034" s="2" t="s">
        <v>74</v>
      </c>
      <c r="AA1034" s="2" t="s">
        <v>74</v>
      </c>
      <c r="AB1034" s="2" t="s">
        <v>74</v>
      </c>
      <c r="AC1034" s="2" t="s">
        <v>74</v>
      </c>
      <c r="AD1034" s="2" t="s">
        <v>74</v>
      </c>
      <c r="AE1034" s="2" t="s">
        <v>74</v>
      </c>
      <c r="AF1034" s="2" t="s">
        <v>74</v>
      </c>
      <c r="AG1034" s="2" t="s">
        <v>74</v>
      </c>
      <c r="AH1034" s="2" t="s">
        <v>74</v>
      </c>
      <c r="AI1034" s="2" t="s">
        <v>74</v>
      </c>
      <c r="AJ1034" s="2" t="s">
        <v>74</v>
      </c>
      <c r="AK1034" s="2" t="s">
        <v>74</v>
      </c>
      <c r="AL1034" s="2" t="s">
        <v>74</v>
      </c>
      <c r="AM1034" s="2" t="s">
        <v>74</v>
      </c>
      <c r="AN1034" s="2" t="s">
        <v>74</v>
      </c>
      <c r="AO1034" s="2" t="s">
        <v>5899</v>
      </c>
      <c r="AP1034" s="2" t="s">
        <v>5900</v>
      </c>
      <c r="AQ1034" s="2" t="s">
        <v>74</v>
      </c>
      <c r="AR1034" s="2" t="s">
        <v>74</v>
      </c>
      <c r="AS1034" s="2" t="s">
        <v>74</v>
      </c>
      <c r="AT1034" s="2" t="s">
        <v>175</v>
      </c>
      <c r="AU1034" s="2">
        <v>1988</v>
      </c>
      <c r="AV1034" s="2">
        <v>61</v>
      </c>
      <c r="AW1034" s="2">
        <v>4</v>
      </c>
      <c r="AX1034" s="2" t="s">
        <v>74</v>
      </c>
      <c r="AY1034" s="2" t="s">
        <v>74</v>
      </c>
      <c r="AZ1034" s="2" t="s">
        <v>74</v>
      </c>
      <c r="BA1034" s="2" t="s">
        <v>74</v>
      </c>
      <c r="BB1034" s="2">
        <v>388</v>
      </c>
      <c r="BC1034" s="2">
        <v>395</v>
      </c>
      <c r="BD1034" s="2" t="s">
        <v>74</v>
      </c>
      <c r="BE1034" s="2" t="s">
        <v>74</v>
      </c>
      <c r="BF1034" s="2" t="s">
        <v>74</v>
      </c>
      <c r="BG1034" s="2" t="s">
        <v>74</v>
      </c>
      <c r="BH1034" s="2" t="s">
        <v>74</v>
      </c>
      <c r="BI1034" s="2" t="s">
        <v>74</v>
      </c>
      <c r="BJ1034" s="2" t="s">
        <v>74</v>
      </c>
      <c r="BK1034" s="2" t="s">
        <v>74</v>
      </c>
      <c r="BL1034" s="2" t="s">
        <v>74</v>
      </c>
      <c r="BM1034" s="2" t="s">
        <v>74</v>
      </c>
      <c r="BN1034" s="2" t="s">
        <v>74</v>
      </c>
      <c r="BO1034" s="2" t="s">
        <v>74</v>
      </c>
      <c r="BP1034" s="2" t="s">
        <v>74</v>
      </c>
      <c r="BQ1034" s="2" t="s">
        <v>74</v>
      </c>
      <c r="BR1034" s="2" t="s">
        <v>74</v>
      </c>
      <c r="BS1034" s="2" t="s">
        <v>5901</v>
      </c>
      <c r="BT1034" s="2" t="str">
        <f>HYPERLINK("https%3A%2F%2Fwww.webofscience.com%2Fwos%2Fwoscc%2Ffull-record%2FWOS:A1988T891300004","View Full Record in Web of Science")</f>
        <v>View Full Record in Web of Science</v>
      </c>
    </row>
    <row r="1035" spans="1:72" s="2" customFormat="1" x14ac:dyDescent="0.4">
      <c r="A1035" s="2" t="s">
        <v>72</v>
      </c>
      <c r="B1035" s="2" t="s">
        <v>8266</v>
      </c>
      <c r="C1035" s="2" t="s">
        <v>74</v>
      </c>
      <c r="D1035" s="2" t="s">
        <v>74</v>
      </c>
      <c r="E1035" s="2" t="s">
        <v>74</v>
      </c>
      <c r="F1035" s="2" t="s">
        <v>8267</v>
      </c>
      <c r="G1035" s="2" t="s">
        <v>74</v>
      </c>
      <c r="H1035" s="2" t="s">
        <v>74</v>
      </c>
      <c r="I1035" s="2" t="s">
        <v>8268</v>
      </c>
      <c r="J1035" s="2" t="s">
        <v>8269</v>
      </c>
      <c r="K1035" s="2" t="s">
        <v>74</v>
      </c>
      <c r="L1035" s="2" t="s">
        <v>74</v>
      </c>
      <c r="M1035" s="2" t="s">
        <v>74</v>
      </c>
      <c r="N1035" s="2" t="s">
        <v>74</v>
      </c>
      <c r="O1035" s="2" t="s">
        <v>74</v>
      </c>
      <c r="P1035" s="2" t="s">
        <v>74</v>
      </c>
      <c r="Q1035" s="2" t="s">
        <v>74</v>
      </c>
      <c r="R1035" s="2" t="s">
        <v>74</v>
      </c>
      <c r="S1035" s="2" t="s">
        <v>74</v>
      </c>
      <c r="T1035" s="2" t="s">
        <v>74</v>
      </c>
      <c r="U1035" s="2" t="s">
        <v>74</v>
      </c>
      <c r="V1035" s="5" t="s">
        <v>8270</v>
      </c>
      <c r="W1035" s="2" t="s">
        <v>74</v>
      </c>
      <c r="X1035" s="2" t="s">
        <v>74</v>
      </c>
      <c r="Y1035" s="2" t="s">
        <v>74</v>
      </c>
      <c r="Z1035" s="2" t="s">
        <v>74</v>
      </c>
      <c r="AA1035" s="2" t="s">
        <v>8271</v>
      </c>
      <c r="AB1035" s="2" t="s">
        <v>8272</v>
      </c>
      <c r="AC1035" s="2" t="s">
        <v>74</v>
      </c>
      <c r="AD1035" s="2" t="s">
        <v>74</v>
      </c>
      <c r="AE1035" s="2" t="s">
        <v>74</v>
      </c>
      <c r="AF1035" s="2" t="s">
        <v>74</v>
      </c>
      <c r="AG1035" s="2" t="s">
        <v>74</v>
      </c>
      <c r="AH1035" s="2" t="s">
        <v>74</v>
      </c>
      <c r="AI1035" s="2" t="s">
        <v>74</v>
      </c>
      <c r="AJ1035" s="2" t="s">
        <v>74</v>
      </c>
      <c r="AK1035" s="2" t="s">
        <v>74</v>
      </c>
      <c r="AL1035" s="2" t="s">
        <v>74</v>
      </c>
      <c r="AM1035" s="2" t="s">
        <v>74</v>
      </c>
      <c r="AN1035" s="2" t="s">
        <v>74</v>
      </c>
      <c r="AO1035" s="2" t="s">
        <v>8273</v>
      </c>
      <c r="AP1035" s="2" t="s">
        <v>74</v>
      </c>
      <c r="AQ1035" s="2" t="s">
        <v>74</v>
      </c>
      <c r="AR1035" s="2" t="s">
        <v>74</v>
      </c>
      <c r="AS1035" s="2" t="s">
        <v>74</v>
      </c>
      <c r="AT1035" s="2" t="s">
        <v>1090</v>
      </c>
      <c r="AU1035" s="2">
        <v>2014</v>
      </c>
      <c r="AV1035" s="2">
        <v>78</v>
      </c>
      <c r="AW1035" s="2" t="s">
        <v>74</v>
      </c>
      <c r="AX1035" s="2" t="s">
        <v>74</v>
      </c>
      <c r="AY1035" s="2" t="s">
        <v>74</v>
      </c>
      <c r="AZ1035" s="2" t="s">
        <v>74</v>
      </c>
      <c r="BA1035" s="2" t="s">
        <v>74</v>
      </c>
      <c r="BB1035" s="2" t="s">
        <v>74</v>
      </c>
      <c r="BC1035" s="2" t="s">
        <v>74</v>
      </c>
      <c r="BD1035" s="2" t="s">
        <v>74</v>
      </c>
      <c r="BE1035" s="2" t="s">
        <v>8274</v>
      </c>
      <c r="BF1035" s="2" t="str">
        <f>HYPERLINK("http://dx.doi.org/10.1399/eps.2013.1","http://dx.doi.org/10.1399/eps.2013.1")</f>
        <v>http://dx.doi.org/10.1399/eps.2013.1</v>
      </c>
      <c r="BG1035" s="2" t="s">
        <v>74</v>
      </c>
      <c r="BH1035" s="2" t="s">
        <v>74</v>
      </c>
      <c r="BI1035" s="2" t="s">
        <v>74</v>
      </c>
      <c r="BJ1035" s="2" t="s">
        <v>74</v>
      </c>
      <c r="BK1035" s="2" t="s">
        <v>74</v>
      </c>
      <c r="BL1035" s="2" t="s">
        <v>74</v>
      </c>
      <c r="BM1035" s="2" t="s">
        <v>74</v>
      </c>
      <c r="BN1035" s="2" t="s">
        <v>74</v>
      </c>
      <c r="BO1035" s="2" t="s">
        <v>74</v>
      </c>
      <c r="BP1035" s="2" t="s">
        <v>74</v>
      </c>
      <c r="BQ1035" s="2" t="s">
        <v>74</v>
      </c>
      <c r="BR1035" s="2" t="s">
        <v>74</v>
      </c>
      <c r="BS1035" s="2" t="s">
        <v>8275</v>
      </c>
      <c r="BT1035" s="2" t="str">
        <f>HYPERLINK("https%3A%2F%2Fwww.webofscience.com%2Fwos%2Fwoscc%2Ffull-record%2FWOS:000343648600001","View Full Record in Web of Science")</f>
        <v>View Full Record in Web of Science</v>
      </c>
    </row>
    <row r="1036" spans="1:72" s="2" customFormat="1" x14ac:dyDescent="0.4">
      <c r="A1036" s="2" t="s">
        <v>72</v>
      </c>
      <c r="B1036" s="2" t="s">
        <v>2464</v>
      </c>
      <c r="C1036" s="2" t="s">
        <v>74</v>
      </c>
      <c r="D1036" s="2" t="s">
        <v>74</v>
      </c>
      <c r="E1036" s="2" t="s">
        <v>74</v>
      </c>
      <c r="F1036" s="2" t="s">
        <v>2464</v>
      </c>
      <c r="G1036" s="2" t="s">
        <v>74</v>
      </c>
      <c r="H1036" s="2" t="s">
        <v>74</v>
      </c>
      <c r="I1036" s="2" t="s">
        <v>2465</v>
      </c>
      <c r="J1036" s="2" t="s">
        <v>2466</v>
      </c>
      <c r="K1036" s="2" t="s">
        <v>74</v>
      </c>
      <c r="L1036" s="2" t="s">
        <v>74</v>
      </c>
      <c r="M1036" s="2" t="s">
        <v>74</v>
      </c>
      <c r="N1036" s="2" t="s">
        <v>74</v>
      </c>
      <c r="O1036" s="2" t="s">
        <v>74</v>
      </c>
      <c r="P1036" s="2" t="s">
        <v>74</v>
      </c>
      <c r="Q1036" s="2" t="s">
        <v>74</v>
      </c>
      <c r="R1036" s="2" t="s">
        <v>74</v>
      </c>
      <c r="S1036" s="2" t="s">
        <v>74</v>
      </c>
      <c r="T1036" s="2" t="s">
        <v>74</v>
      </c>
      <c r="U1036" s="2" t="s">
        <v>74</v>
      </c>
      <c r="V1036" s="5" t="s">
        <v>2467</v>
      </c>
      <c r="W1036" s="2" t="s">
        <v>74</v>
      </c>
      <c r="X1036" s="2" t="s">
        <v>74</v>
      </c>
      <c r="Y1036" s="2" t="s">
        <v>74</v>
      </c>
      <c r="Z1036" s="2" t="s">
        <v>74</v>
      </c>
      <c r="AA1036" s="2" t="s">
        <v>2468</v>
      </c>
      <c r="AB1036" s="2" t="s">
        <v>2469</v>
      </c>
      <c r="AC1036" s="2" t="s">
        <v>74</v>
      </c>
      <c r="AD1036" s="2" t="s">
        <v>74</v>
      </c>
      <c r="AE1036" s="2" t="s">
        <v>74</v>
      </c>
      <c r="AF1036" s="2" t="s">
        <v>74</v>
      </c>
      <c r="AG1036" s="2" t="s">
        <v>74</v>
      </c>
      <c r="AH1036" s="2" t="s">
        <v>74</v>
      </c>
      <c r="AI1036" s="2" t="s">
        <v>74</v>
      </c>
      <c r="AJ1036" s="2" t="s">
        <v>74</v>
      </c>
      <c r="AK1036" s="2" t="s">
        <v>74</v>
      </c>
      <c r="AL1036" s="2" t="s">
        <v>74</v>
      </c>
      <c r="AM1036" s="2" t="s">
        <v>74</v>
      </c>
      <c r="AN1036" s="2" t="s">
        <v>74</v>
      </c>
      <c r="AO1036" s="2" t="s">
        <v>2470</v>
      </c>
      <c r="AP1036" s="2" t="s">
        <v>2471</v>
      </c>
      <c r="AQ1036" s="2" t="s">
        <v>74</v>
      </c>
      <c r="AR1036" s="2" t="s">
        <v>74</v>
      </c>
      <c r="AS1036" s="2" t="s">
        <v>74</v>
      </c>
      <c r="AT1036" s="2" t="s">
        <v>204</v>
      </c>
      <c r="AU1036" s="2">
        <v>2005</v>
      </c>
      <c r="AV1036" s="2">
        <v>83</v>
      </c>
      <c r="AW1036" s="2">
        <v>7</v>
      </c>
      <c r="AX1036" s="2" t="s">
        <v>74</v>
      </c>
      <c r="AY1036" s="2" t="s">
        <v>74</v>
      </c>
      <c r="AZ1036" s="2" t="s">
        <v>74</v>
      </c>
      <c r="BA1036" s="2" t="s">
        <v>74</v>
      </c>
      <c r="BB1036" s="2">
        <v>1664</v>
      </c>
      <c r="BC1036" s="2">
        <v>1672</v>
      </c>
      <c r="BD1036" s="2" t="s">
        <v>74</v>
      </c>
      <c r="BE1036" s="2" t="s">
        <v>74</v>
      </c>
      <c r="BF1036" s="2" t="s">
        <v>74</v>
      </c>
      <c r="BG1036" s="2" t="s">
        <v>74</v>
      </c>
      <c r="BH1036" s="2" t="s">
        <v>74</v>
      </c>
      <c r="BI1036" s="2" t="s">
        <v>74</v>
      </c>
      <c r="BJ1036" s="2" t="s">
        <v>74</v>
      </c>
      <c r="BK1036" s="2" t="s">
        <v>74</v>
      </c>
      <c r="BL1036" s="2" t="s">
        <v>74</v>
      </c>
      <c r="BM1036" s="2" t="s">
        <v>74</v>
      </c>
      <c r="BN1036" s="2">
        <v>15956475</v>
      </c>
      <c r="BO1036" s="2" t="s">
        <v>74</v>
      </c>
      <c r="BP1036" s="2" t="s">
        <v>74</v>
      </c>
      <c r="BQ1036" s="2" t="s">
        <v>74</v>
      </c>
      <c r="BR1036" s="2" t="s">
        <v>74</v>
      </c>
      <c r="BS1036" s="2" t="s">
        <v>2472</v>
      </c>
      <c r="BT1036" s="2" t="str">
        <f>HYPERLINK("https%3A%2F%2Fwww.webofscience.com%2Fwos%2Fwoscc%2Ffull-record%2FWOS:000235847500021","View Full Record in Web of Science")</f>
        <v>View Full Record in Web of Science</v>
      </c>
    </row>
    <row r="1037" spans="1:72" s="2" customFormat="1" x14ac:dyDescent="0.4">
      <c r="A1037" s="2" t="s">
        <v>72</v>
      </c>
      <c r="B1037" s="2" t="s">
        <v>5063</v>
      </c>
      <c r="C1037" s="2" t="s">
        <v>74</v>
      </c>
      <c r="D1037" s="2" t="s">
        <v>74</v>
      </c>
      <c r="E1037" s="2" t="s">
        <v>74</v>
      </c>
      <c r="F1037" s="2" t="s">
        <v>5063</v>
      </c>
      <c r="G1037" s="2" t="s">
        <v>74</v>
      </c>
      <c r="H1037" s="2" t="s">
        <v>74</v>
      </c>
      <c r="I1037" s="2" t="s">
        <v>5064</v>
      </c>
      <c r="J1037" s="2" t="s">
        <v>5065</v>
      </c>
      <c r="K1037" s="2" t="s">
        <v>74</v>
      </c>
      <c r="L1037" s="2" t="s">
        <v>74</v>
      </c>
      <c r="M1037" s="2" t="s">
        <v>74</v>
      </c>
      <c r="N1037" s="2" t="s">
        <v>74</v>
      </c>
      <c r="O1037" s="2" t="s">
        <v>74</v>
      </c>
      <c r="P1037" s="2" t="s">
        <v>74</v>
      </c>
      <c r="Q1037" s="2" t="s">
        <v>74</v>
      </c>
      <c r="R1037" s="2" t="s">
        <v>74</v>
      </c>
      <c r="S1037" s="2" t="s">
        <v>74</v>
      </c>
      <c r="T1037" s="2" t="s">
        <v>74</v>
      </c>
      <c r="U1037" s="2" t="s">
        <v>74</v>
      </c>
      <c r="V1037" s="5" t="s">
        <v>5066</v>
      </c>
      <c r="W1037" s="2" t="s">
        <v>74</v>
      </c>
      <c r="X1037" s="2" t="s">
        <v>74</v>
      </c>
      <c r="Y1037" s="2" t="s">
        <v>74</v>
      </c>
      <c r="Z1037" s="2" t="s">
        <v>74</v>
      </c>
      <c r="AA1037" s="2" t="s">
        <v>5067</v>
      </c>
      <c r="AB1037" s="2" t="s">
        <v>74</v>
      </c>
      <c r="AC1037" s="2" t="s">
        <v>74</v>
      </c>
      <c r="AD1037" s="2" t="s">
        <v>74</v>
      </c>
      <c r="AE1037" s="2" t="s">
        <v>74</v>
      </c>
      <c r="AF1037" s="2" t="s">
        <v>74</v>
      </c>
      <c r="AG1037" s="2" t="s">
        <v>74</v>
      </c>
      <c r="AH1037" s="2" t="s">
        <v>74</v>
      </c>
      <c r="AI1037" s="2" t="s">
        <v>74</v>
      </c>
      <c r="AJ1037" s="2" t="s">
        <v>74</v>
      </c>
      <c r="AK1037" s="2" t="s">
        <v>74</v>
      </c>
      <c r="AL1037" s="2" t="s">
        <v>74</v>
      </c>
      <c r="AM1037" s="2" t="s">
        <v>74</v>
      </c>
      <c r="AN1037" s="2" t="s">
        <v>74</v>
      </c>
      <c r="AO1037" s="2" t="s">
        <v>5068</v>
      </c>
      <c r="AP1037" s="2" t="s">
        <v>74</v>
      </c>
      <c r="AQ1037" s="2" t="s">
        <v>74</v>
      </c>
      <c r="AR1037" s="2" t="s">
        <v>74</v>
      </c>
      <c r="AS1037" s="2" t="s">
        <v>74</v>
      </c>
      <c r="AT1037" s="2" t="s">
        <v>74</v>
      </c>
      <c r="AU1037" s="2">
        <v>1979</v>
      </c>
      <c r="AV1037" s="2">
        <v>6</v>
      </c>
      <c r="AW1037" s="2">
        <v>2</v>
      </c>
      <c r="AX1037" s="2" t="s">
        <v>74</v>
      </c>
      <c r="AY1037" s="2" t="s">
        <v>74</v>
      </c>
      <c r="AZ1037" s="2" t="s">
        <v>74</v>
      </c>
      <c r="BA1037" s="2" t="s">
        <v>74</v>
      </c>
      <c r="BB1037" s="2">
        <v>83</v>
      </c>
      <c r="BC1037" s="2">
        <v>93</v>
      </c>
      <c r="BD1037" s="2" t="s">
        <v>74</v>
      </c>
      <c r="BE1037" s="2" t="s">
        <v>5069</v>
      </c>
      <c r="BF1037" s="2" t="str">
        <f>HYPERLINK("http://dx.doi.org/10.1080/10236247909378556","http://dx.doi.org/10.1080/10236247909378556")</f>
        <v>http://dx.doi.org/10.1080/10236247909378556</v>
      </c>
      <c r="BG1037" s="2" t="s">
        <v>74</v>
      </c>
      <c r="BH1037" s="2" t="s">
        <v>74</v>
      </c>
      <c r="BI1037" s="2" t="s">
        <v>74</v>
      </c>
      <c r="BJ1037" s="2" t="s">
        <v>74</v>
      </c>
      <c r="BK1037" s="2" t="s">
        <v>74</v>
      </c>
      <c r="BL1037" s="2" t="s">
        <v>74</v>
      </c>
      <c r="BM1037" s="2" t="s">
        <v>74</v>
      </c>
      <c r="BN1037" s="2" t="s">
        <v>74</v>
      </c>
      <c r="BO1037" s="2" t="s">
        <v>74</v>
      </c>
      <c r="BP1037" s="2" t="s">
        <v>74</v>
      </c>
      <c r="BQ1037" s="2" t="s">
        <v>74</v>
      </c>
      <c r="BR1037" s="2" t="s">
        <v>74</v>
      </c>
      <c r="BS1037" s="2" t="s">
        <v>5070</v>
      </c>
      <c r="BT1037" s="2" t="str">
        <f>HYPERLINK("https%3A%2F%2Fwww.webofscience.com%2Fwos%2Fwoscc%2Ffull-record%2FWOS:A1979HB35100001","View Full Record in Web of Science")</f>
        <v>View Full Record in Web of Science</v>
      </c>
    </row>
    <row r="1038" spans="1:72" s="2" customFormat="1" x14ac:dyDescent="0.4">
      <c r="A1038" s="2" t="s">
        <v>72</v>
      </c>
      <c r="B1038" s="2" t="s">
        <v>599</v>
      </c>
      <c r="C1038" s="2" t="s">
        <v>74</v>
      </c>
      <c r="D1038" s="2" t="s">
        <v>74</v>
      </c>
      <c r="E1038" s="2" t="s">
        <v>74</v>
      </c>
      <c r="F1038" s="2" t="s">
        <v>600</v>
      </c>
      <c r="G1038" s="2" t="s">
        <v>74</v>
      </c>
      <c r="H1038" s="2" t="s">
        <v>74</v>
      </c>
      <c r="I1038" s="2" t="s">
        <v>601</v>
      </c>
      <c r="J1038" s="2" t="s">
        <v>602</v>
      </c>
      <c r="K1038" s="2" t="s">
        <v>74</v>
      </c>
      <c r="L1038" s="2" t="s">
        <v>74</v>
      </c>
      <c r="M1038" s="2" t="s">
        <v>74</v>
      </c>
      <c r="N1038" s="2" t="s">
        <v>74</v>
      </c>
      <c r="O1038" s="2" t="s">
        <v>74</v>
      </c>
      <c r="P1038" s="2" t="s">
        <v>74</v>
      </c>
      <c r="Q1038" s="2" t="s">
        <v>74</v>
      </c>
      <c r="R1038" s="2" t="s">
        <v>74</v>
      </c>
      <c r="S1038" s="2" t="s">
        <v>74</v>
      </c>
      <c r="T1038" s="2" t="s">
        <v>74</v>
      </c>
      <c r="U1038" s="2" t="s">
        <v>74</v>
      </c>
      <c r="V1038" s="5" t="s">
        <v>603</v>
      </c>
      <c r="W1038" s="2" t="s">
        <v>74</v>
      </c>
      <c r="X1038" s="2" t="s">
        <v>74</v>
      </c>
      <c r="Y1038" s="2" t="s">
        <v>74</v>
      </c>
      <c r="Z1038" s="2" t="s">
        <v>74</v>
      </c>
      <c r="AA1038" s="2" t="s">
        <v>604</v>
      </c>
      <c r="AB1038" s="2" t="s">
        <v>74</v>
      </c>
      <c r="AC1038" s="2" t="s">
        <v>74</v>
      </c>
      <c r="AD1038" s="2" t="s">
        <v>74</v>
      </c>
      <c r="AE1038" s="2" t="s">
        <v>74</v>
      </c>
      <c r="AF1038" s="2" t="s">
        <v>74</v>
      </c>
      <c r="AG1038" s="2" t="s">
        <v>74</v>
      </c>
      <c r="AH1038" s="2" t="s">
        <v>74</v>
      </c>
      <c r="AI1038" s="2" t="s">
        <v>74</v>
      </c>
      <c r="AJ1038" s="2" t="s">
        <v>74</v>
      </c>
      <c r="AK1038" s="2" t="s">
        <v>74</v>
      </c>
      <c r="AL1038" s="2" t="s">
        <v>74</v>
      </c>
      <c r="AM1038" s="2" t="s">
        <v>74</v>
      </c>
      <c r="AN1038" s="2" t="s">
        <v>74</v>
      </c>
      <c r="AO1038" s="2" t="s">
        <v>605</v>
      </c>
      <c r="AP1038" s="2" t="s">
        <v>74</v>
      </c>
      <c r="AQ1038" s="2" t="s">
        <v>74</v>
      </c>
      <c r="AR1038" s="2" t="s">
        <v>74</v>
      </c>
      <c r="AS1038" s="2" t="s">
        <v>74</v>
      </c>
      <c r="AT1038" s="2" t="s">
        <v>74</v>
      </c>
      <c r="AU1038" s="2">
        <v>2011</v>
      </c>
      <c r="AV1038" s="2">
        <v>63</v>
      </c>
      <c r="AW1038" s="2" t="s">
        <v>74</v>
      </c>
      <c r="AX1038" s="2" t="s">
        <v>74</v>
      </c>
      <c r="AY1038" s="2" t="s">
        <v>74</v>
      </c>
      <c r="AZ1038" s="2" t="s">
        <v>74</v>
      </c>
      <c r="BA1038" s="2" t="s">
        <v>74</v>
      </c>
      <c r="BB1038" s="2" t="s">
        <v>74</v>
      </c>
      <c r="BC1038" s="2" t="s">
        <v>74</v>
      </c>
      <c r="BD1038" s="2">
        <v>532</v>
      </c>
      <c r="BE1038" s="2" t="s">
        <v>74</v>
      </c>
      <c r="BF1038" s="2" t="s">
        <v>74</v>
      </c>
      <c r="BG1038" s="2" t="s">
        <v>74</v>
      </c>
      <c r="BH1038" s="2" t="s">
        <v>74</v>
      </c>
      <c r="BI1038" s="2" t="s">
        <v>74</v>
      </c>
      <c r="BJ1038" s="2" t="s">
        <v>74</v>
      </c>
      <c r="BK1038" s="2" t="s">
        <v>74</v>
      </c>
      <c r="BL1038" s="2" t="s">
        <v>74</v>
      </c>
      <c r="BM1038" s="2" t="s">
        <v>74</v>
      </c>
      <c r="BN1038" s="2" t="s">
        <v>74</v>
      </c>
      <c r="BO1038" s="2" t="s">
        <v>74</v>
      </c>
      <c r="BP1038" s="2" t="s">
        <v>74</v>
      </c>
      <c r="BQ1038" s="2" t="s">
        <v>74</v>
      </c>
      <c r="BR1038" s="2" t="s">
        <v>74</v>
      </c>
      <c r="BS1038" s="2" t="s">
        <v>606</v>
      </c>
      <c r="BT1038" s="2" t="str">
        <f>HYPERLINK("https%3A%2F%2Fwww.webofscience.com%2Fwos%2Fwoscc%2Ffull-record%2FWOS:000296494000001","View Full Record in Web of Science")</f>
        <v>View Full Record in Web of Science</v>
      </c>
    </row>
    <row r="1039" spans="1:72" s="2" customFormat="1" x14ac:dyDescent="0.4">
      <c r="A1039" s="2" t="s">
        <v>72</v>
      </c>
      <c r="B1039" s="2" t="s">
        <v>4943</v>
      </c>
      <c r="C1039" s="2" t="s">
        <v>74</v>
      </c>
      <c r="D1039" s="2" t="s">
        <v>74</v>
      </c>
      <c r="E1039" s="2" t="s">
        <v>74</v>
      </c>
      <c r="F1039" s="2" t="s">
        <v>4944</v>
      </c>
      <c r="G1039" s="2" t="s">
        <v>74</v>
      </c>
      <c r="H1039" s="2" t="s">
        <v>74</v>
      </c>
      <c r="I1039" s="2" t="s">
        <v>4945</v>
      </c>
      <c r="J1039" s="2" t="s">
        <v>129</v>
      </c>
      <c r="K1039" s="2" t="s">
        <v>74</v>
      </c>
      <c r="L1039" s="2" t="s">
        <v>74</v>
      </c>
      <c r="M1039" s="2" t="s">
        <v>74</v>
      </c>
      <c r="N1039" s="2" t="s">
        <v>74</v>
      </c>
      <c r="O1039" s="2" t="s">
        <v>74</v>
      </c>
      <c r="P1039" s="2" t="s">
        <v>74</v>
      </c>
      <c r="Q1039" s="2" t="s">
        <v>74</v>
      </c>
      <c r="R1039" s="2" t="s">
        <v>74</v>
      </c>
      <c r="S1039" s="2" t="s">
        <v>74</v>
      </c>
      <c r="T1039" s="2" t="s">
        <v>74</v>
      </c>
      <c r="U1039" s="2" t="s">
        <v>74</v>
      </c>
      <c r="V1039" s="5" t="s">
        <v>4946</v>
      </c>
      <c r="W1039" s="2" t="s">
        <v>74</v>
      </c>
      <c r="X1039" s="2" t="s">
        <v>74</v>
      </c>
      <c r="Y1039" s="2" t="s">
        <v>74</v>
      </c>
      <c r="Z1039" s="2" t="s">
        <v>74</v>
      </c>
      <c r="AA1039" s="2" t="s">
        <v>74</v>
      </c>
      <c r="AB1039" s="2" t="s">
        <v>74</v>
      </c>
      <c r="AC1039" s="2" t="s">
        <v>74</v>
      </c>
      <c r="AD1039" s="2" t="s">
        <v>74</v>
      </c>
      <c r="AE1039" s="2" t="s">
        <v>74</v>
      </c>
      <c r="AF1039" s="2" t="s">
        <v>74</v>
      </c>
      <c r="AG1039" s="2" t="s">
        <v>74</v>
      </c>
      <c r="AH1039" s="2" t="s">
        <v>74</v>
      </c>
      <c r="AI1039" s="2" t="s">
        <v>74</v>
      </c>
      <c r="AJ1039" s="2" t="s">
        <v>74</v>
      </c>
      <c r="AK1039" s="2" t="s">
        <v>74</v>
      </c>
      <c r="AL1039" s="2" t="s">
        <v>74</v>
      </c>
      <c r="AM1039" s="2" t="s">
        <v>74</v>
      </c>
      <c r="AN1039" s="2" t="s">
        <v>74</v>
      </c>
      <c r="AO1039" s="2" t="s">
        <v>132</v>
      </c>
      <c r="AP1039" s="2" t="s">
        <v>133</v>
      </c>
      <c r="AQ1039" s="2" t="s">
        <v>74</v>
      </c>
      <c r="AR1039" s="2" t="s">
        <v>74</v>
      </c>
      <c r="AS1039" s="2" t="s">
        <v>74</v>
      </c>
      <c r="AT1039" s="2" t="s">
        <v>305</v>
      </c>
      <c r="AU1039" s="2">
        <v>2009</v>
      </c>
      <c r="AV1039" s="2">
        <v>64</v>
      </c>
      <c r="AW1039" s="2">
        <v>2</v>
      </c>
      <c r="AX1039" s="2" t="s">
        <v>74</v>
      </c>
      <c r="AY1039" s="2" t="s">
        <v>74</v>
      </c>
      <c r="AZ1039" s="2" t="s">
        <v>74</v>
      </c>
      <c r="BA1039" s="2" t="s">
        <v>74</v>
      </c>
      <c r="BB1039" s="2">
        <v>225</v>
      </c>
      <c r="BC1039" s="2">
        <v>236</v>
      </c>
      <c r="BD1039" s="2" t="s">
        <v>74</v>
      </c>
      <c r="BE1039" s="2" t="s">
        <v>4947</v>
      </c>
      <c r="BF1039" s="2" t="str">
        <f>HYPERLINK("http://dx.doi.org/10.1007/s00265-009-0839-x","http://dx.doi.org/10.1007/s00265-009-0839-x")</f>
        <v>http://dx.doi.org/10.1007/s00265-009-0839-x</v>
      </c>
      <c r="BG1039" s="2" t="s">
        <v>74</v>
      </c>
      <c r="BH1039" s="2" t="s">
        <v>74</v>
      </c>
      <c r="BI1039" s="2" t="s">
        <v>74</v>
      </c>
      <c r="BJ1039" s="2" t="s">
        <v>74</v>
      </c>
      <c r="BK1039" s="2" t="s">
        <v>74</v>
      </c>
      <c r="BL1039" s="2" t="s">
        <v>74</v>
      </c>
      <c r="BM1039" s="2" t="s">
        <v>74</v>
      </c>
      <c r="BN1039" s="2" t="s">
        <v>74</v>
      </c>
      <c r="BO1039" s="2" t="s">
        <v>74</v>
      </c>
      <c r="BP1039" s="2" t="s">
        <v>74</v>
      </c>
      <c r="BQ1039" s="2" t="s">
        <v>74</v>
      </c>
      <c r="BR1039" s="2" t="s">
        <v>74</v>
      </c>
      <c r="BS1039" s="2" t="s">
        <v>4948</v>
      </c>
      <c r="BT1039" s="2" t="str">
        <f>HYPERLINK("https%3A%2F%2Fwww.webofscience.com%2Fwos%2Fwoscc%2Ffull-record%2FWOS:000271978300008","View Full Record in Web of Science")</f>
        <v>View Full Record in Web of Science</v>
      </c>
    </row>
    <row r="1040" spans="1:72" s="2" customFormat="1" x14ac:dyDescent="0.4">
      <c r="A1040" s="2" t="s">
        <v>72</v>
      </c>
      <c r="B1040" s="2" t="s">
        <v>8576</v>
      </c>
      <c r="C1040" s="2" t="s">
        <v>74</v>
      </c>
      <c r="D1040" s="2" t="s">
        <v>74</v>
      </c>
      <c r="E1040" s="2" t="s">
        <v>74</v>
      </c>
      <c r="F1040" s="2" t="s">
        <v>8577</v>
      </c>
      <c r="G1040" s="2" t="s">
        <v>74</v>
      </c>
      <c r="H1040" s="2" t="s">
        <v>74</v>
      </c>
      <c r="I1040" s="2" t="s">
        <v>8578</v>
      </c>
      <c r="J1040" s="2" t="s">
        <v>420</v>
      </c>
      <c r="K1040" s="2" t="s">
        <v>74</v>
      </c>
      <c r="L1040" s="2" t="s">
        <v>74</v>
      </c>
      <c r="M1040" s="2" t="s">
        <v>74</v>
      </c>
      <c r="N1040" s="2" t="s">
        <v>74</v>
      </c>
      <c r="O1040" s="2" t="s">
        <v>74</v>
      </c>
      <c r="P1040" s="2" t="s">
        <v>74</v>
      </c>
      <c r="Q1040" s="2" t="s">
        <v>74</v>
      </c>
      <c r="R1040" s="2" t="s">
        <v>74</v>
      </c>
      <c r="S1040" s="2" t="s">
        <v>74</v>
      </c>
      <c r="T1040" s="2" t="s">
        <v>74</v>
      </c>
      <c r="U1040" s="2" t="s">
        <v>74</v>
      </c>
      <c r="V1040" s="5" t="s">
        <v>8579</v>
      </c>
      <c r="W1040" s="2" t="s">
        <v>74</v>
      </c>
      <c r="X1040" s="2" t="s">
        <v>74</v>
      </c>
      <c r="Y1040" s="2" t="s">
        <v>74</v>
      </c>
      <c r="Z1040" s="2" t="s">
        <v>74</v>
      </c>
      <c r="AA1040" s="2" t="s">
        <v>74</v>
      </c>
      <c r="AB1040" s="2" t="s">
        <v>8580</v>
      </c>
      <c r="AC1040" s="2" t="s">
        <v>74</v>
      </c>
      <c r="AD1040" s="2" t="s">
        <v>74</v>
      </c>
      <c r="AE1040" s="2" t="s">
        <v>74</v>
      </c>
      <c r="AF1040" s="2" t="s">
        <v>74</v>
      </c>
      <c r="AG1040" s="2" t="s">
        <v>74</v>
      </c>
      <c r="AH1040" s="2" t="s">
        <v>74</v>
      </c>
      <c r="AI1040" s="2" t="s">
        <v>74</v>
      </c>
      <c r="AJ1040" s="2" t="s">
        <v>74</v>
      </c>
      <c r="AK1040" s="2" t="s">
        <v>74</v>
      </c>
      <c r="AL1040" s="2" t="s">
        <v>74</v>
      </c>
      <c r="AM1040" s="2" t="s">
        <v>74</v>
      </c>
      <c r="AN1040" s="2" t="s">
        <v>74</v>
      </c>
      <c r="AO1040" s="2" t="s">
        <v>424</v>
      </c>
      <c r="AP1040" s="2" t="s">
        <v>74</v>
      </c>
      <c r="AQ1040" s="2" t="s">
        <v>74</v>
      </c>
      <c r="AR1040" s="2" t="s">
        <v>74</v>
      </c>
      <c r="AS1040" s="2" t="s">
        <v>74</v>
      </c>
      <c r="AT1040" s="2" t="s">
        <v>8581</v>
      </c>
      <c r="AU1040" s="2">
        <v>2015</v>
      </c>
      <c r="AV1040" s="2">
        <v>15</v>
      </c>
      <c r="AW1040" s="2" t="s">
        <v>74</v>
      </c>
      <c r="AX1040" s="2" t="s">
        <v>74</v>
      </c>
      <c r="AY1040" s="2" t="s">
        <v>74</v>
      </c>
      <c r="AZ1040" s="2" t="s">
        <v>74</v>
      </c>
      <c r="BA1040" s="2" t="s">
        <v>74</v>
      </c>
      <c r="BB1040" s="2" t="s">
        <v>74</v>
      </c>
      <c r="BC1040" s="2" t="s">
        <v>74</v>
      </c>
      <c r="BD1040" s="2">
        <v>200</v>
      </c>
      <c r="BE1040" s="2" t="s">
        <v>8582</v>
      </c>
      <c r="BF1040" s="2" t="str">
        <f>HYPERLINK("http://dx.doi.org/10.1186/s12862-015-0481-3","http://dx.doi.org/10.1186/s12862-015-0481-3")</f>
        <v>http://dx.doi.org/10.1186/s12862-015-0481-3</v>
      </c>
      <c r="BG1040" s="2" t="s">
        <v>74</v>
      </c>
      <c r="BH1040" s="2" t="s">
        <v>74</v>
      </c>
      <c r="BI1040" s="2" t="s">
        <v>74</v>
      </c>
      <c r="BJ1040" s="2" t="s">
        <v>74</v>
      </c>
      <c r="BK1040" s="2" t="s">
        <v>74</v>
      </c>
      <c r="BL1040" s="2" t="s">
        <v>74</v>
      </c>
      <c r="BM1040" s="2" t="s">
        <v>74</v>
      </c>
      <c r="BN1040" s="2">
        <v>26385337</v>
      </c>
      <c r="BO1040" s="2" t="s">
        <v>74</v>
      </c>
      <c r="BP1040" s="2" t="s">
        <v>74</v>
      </c>
      <c r="BQ1040" s="2" t="s">
        <v>74</v>
      </c>
      <c r="BR1040" s="2" t="s">
        <v>74</v>
      </c>
      <c r="BS1040" s="2" t="s">
        <v>8583</v>
      </c>
      <c r="BT1040" s="2" t="str">
        <f>HYPERLINK("https%3A%2F%2Fwww.webofscience.com%2Fwos%2Fwoscc%2Ffull-record%2FWOS:000361510800001","View Full Record in Web of Science")</f>
        <v>View Full Record in Web of Science</v>
      </c>
    </row>
    <row r="1041" spans="1:72" s="2" customFormat="1" x14ac:dyDescent="0.4">
      <c r="A1041" s="2" t="s">
        <v>72</v>
      </c>
      <c r="B1041" s="2" t="s">
        <v>5718</v>
      </c>
      <c r="C1041" s="2" t="s">
        <v>74</v>
      </c>
      <c r="D1041" s="2" t="s">
        <v>74</v>
      </c>
      <c r="E1041" s="2" t="s">
        <v>74</v>
      </c>
      <c r="F1041" s="2" t="s">
        <v>5719</v>
      </c>
      <c r="G1041" s="2" t="s">
        <v>74</v>
      </c>
      <c r="H1041" s="2" t="s">
        <v>74</v>
      </c>
      <c r="I1041" s="2" t="s">
        <v>5720</v>
      </c>
      <c r="J1041" s="2" t="s">
        <v>99</v>
      </c>
      <c r="K1041" s="2" t="s">
        <v>74</v>
      </c>
      <c r="L1041" s="2" t="s">
        <v>74</v>
      </c>
      <c r="M1041" s="2" t="s">
        <v>74</v>
      </c>
      <c r="N1041" s="2" t="s">
        <v>74</v>
      </c>
      <c r="O1041" s="2" t="s">
        <v>74</v>
      </c>
      <c r="P1041" s="2" t="s">
        <v>74</v>
      </c>
      <c r="Q1041" s="2" t="s">
        <v>74</v>
      </c>
      <c r="R1041" s="2" t="s">
        <v>74</v>
      </c>
      <c r="S1041" s="2" t="s">
        <v>74</v>
      </c>
      <c r="T1041" s="2" t="s">
        <v>74</v>
      </c>
      <c r="U1041" s="2" t="s">
        <v>74</v>
      </c>
      <c r="V1041" s="5" t="s">
        <v>5721</v>
      </c>
      <c r="W1041" s="2" t="s">
        <v>74</v>
      </c>
      <c r="X1041" s="2" t="s">
        <v>74</v>
      </c>
      <c r="Y1041" s="2" t="s">
        <v>74</v>
      </c>
      <c r="Z1041" s="2" t="s">
        <v>74</v>
      </c>
      <c r="AA1041" s="2" t="s">
        <v>74</v>
      </c>
      <c r="AB1041" s="2" t="s">
        <v>5722</v>
      </c>
      <c r="AC1041" s="2" t="s">
        <v>74</v>
      </c>
      <c r="AD1041" s="2" t="s">
        <v>74</v>
      </c>
      <c r="AE1041" s="2" t="s">
        <v>74</v>
      </c>
      <c r="AF1041" s="2" t="s">
        <v>74</v>
      </c>
      <c r="AG1041" s="2" t="s">
        <v>74</v>
      </c>
      <c r="AH1041" s="2" t="s">
        <v>74</v>
      </c>
      <c r="AI1041" s="2" t="s">
        <v>74</v>
      </c>
      <c r="AJ1041" s="2" t="s">
        <v>74</v>
      </c>
      <c r="AK1041" s="2" t="s">
        <v>74</v>
      </c>
      <c r="AL1041" s="2" t="s">
        <v>74</v>
      </c>
      <c r="AM1041" s="2" t="s">
        <v>74</v>
      </c>
      <c r="AN1041" s="2" t="s">
        <v>74</v>
      </c>
      <c r="AO1041" s="2" t="s">
        <v>101</v>
      </c>
      <c r="AP1041" s="2" t="s">
        <v>1218</v>
      </c>
      <c r="AQ1041" s="2" t="s">
        <v>74</v>
      </c>
      <c r="AR1041" s="2" t="s">
        <v>74</v>
      </c>
      <c r="AS1041" s="2" t="s">
        <v>74</v>
      </c>
      <c r="AT1041" s="2" t="s">
        <v>123</v>
      </c>
      <c r="AU1041" s="2">
        <v>2018</v>
      </c>
      <c r="AV1041" s="2">
        <v>130</v>
      </c>
      <c r="AW1041" s="2">
        <v>1</v>
      </c>
      <c r="AX1041" s="2" t="s">
        <v>74</v>
      </c>
      <c r="AY1041" s="2" t="s">
        <v>74</v>
      </c>
      <c r="AZ1041" s="2" t="s">
        <v>74</v>
      </c>
      <c r="BA1041" s="2" t="s">
        <v>74</v>
      </c>
      <c r="BB1041" s="2">
        <v>286</v>
      </c>
      <c r="BC1041" s="2">
        <v>296</v>
      </c>
      <c r="BD1041" s="2" t="s">
        <v>74</v>
      </c>
      <c r="BE1041" s="2" t="s">
        <v>74</v>
      </c>
      <c r="BF1041" s="2" t="s">
        <v>74</v>
      </c>
      <c r="BG1041" s="2" t="s">
        <v>74</v>
      </c>
      <c r="BH1041" s="2" t="s">
        <v>74</v>
      </c>
      <c r="BI1041" s="2" t="s">
        <v>74</v>
      </c>
      <c r="BJ1041" s="2" t="s">
        <v>74</v>
      </c>
      <c r="BK1041" s="2" t="s">
        <v>74</v>
      </c>
      <c r="BL1041" s="2" t="s">
        <v>74</v>
      </c>
      <c r="BM1041" s="2" t="s">
        <v>74</v>
      </c>
      <c r="BN1041" s="2" t="s">
        <v>74</v>
      </c>
      <c r="BO1041" s="2" t="s">
        <v>74</v>
      </c>
      <c r="BP1041" s="2" t="s">
        <v>74</v>
      </c>
      <c r="BQ1041" s="2" t="s">
        <v>74</v>
      </c>
      <c r="BR1041" s="2" t="s">
        <v>74</v>
      </c>
      <c r="BS1041" s="2" t="s">
        <v>5723</v>
      </c>
      <c r="BT1041" s="2" t="str">
        <f>HYPERLINK("https%3A%2F%2Fwww.webofscience.com%2Fwos%2Fwoscc%2Ffull-record%2FWOS:000430954100023","View Full Record in Web of Science")</f>
        <v>View Full Record in Web of Science</v>
      </c>
    </row>
    <row r="1042" spans="1:72" s="2" customFormat="1" x14ac:dyDescent="0.4">
      <c r="A1042" s="2" t="s">
        <v>72</v>
      </c>
      <c r="B1042" s="2" t="s">
        <v>4325</v>
      </c>
      <c r="C1042" s="2" t="s">
        <v>74</v>
      </c>
      <c r="D1042" s="2" t="s">
        <v>74</v>
      </c>
      <c r="E1042" s="2" t="s">
        <v>74</v>
      </c>
      <c r="F1042" s="2" t="s">
        <v>4326</v>
      </c>
      <c r="G1042" s="2" t="s">
        <v>74</v>
      </c>
      <c r="H1042" s="2" t="s">
        <v>74</v>
      </c>
      <c r="I1042" s="2" t="s">
        <v>4327</v>
      </c>
      <c r="J1042" s="2" t="s">
        <v>1673</v>
      </c>
      <c r="K1042" s="2" t="s">
        <v>74</v>
      </c>
      <c r="L1042" s="2" t="s">
        <v>74</v>
      </c>
      <c r="M1042" s="2" t="s">
        <v>74</v>
      </c>
      <c r="N1042" s="2" t="s">
        <v>74</v>
      </c>
      <c r="O1042" s="2" t="s">
        <v>74</v>
      </c>
      <c r="P1042" s="2" t="s">
        <v>74</v>
      </c>
      <c r="Q1042" s="2" t="s">
        <v>74</v>
      </c>
      <c r="R1042" s="2" t="s">
        <v>74</v>
      </c>
      <c r="S1042" s="2" t="s">
        <v>74</v>
      </c>
      <c r="T1042" s="2" t="s">
        <v>74</v>
      </c>
      <c r="U1042" s="2" t="s">
        <v>74</v>
      </c>
      <c r="V1042" s="5" t="s">
        <v>4328</v>
      </c>
      <c r="W1042" s="2" t="s">
        <v>74</v>
      </c>
      <c r="X1042" s="2" t="s">
        <v>74</v>
      </c>
      <c r="Y1042" s="2" t="s">
        <v>74</v>
      </c>
      <c r="Z1042" s="2" t="s">
        <v>74</v>
      </c>
      <c r="AA1042" s="2" t="s">
        <v>74</v>
      </c>
      <c r="AB1042" s="2" t="s">
        <v>74</v>
      </c>
      <c r="AC1042" s="2" t="s">
        <v>74</v>
      </c>
      <c r="AD1042" s="2" t="s">
        <v>74</v>
      </c>
      <c r="AE1042" s="2" t="s">
        <v>74</v>
      </c>
      <c r="AF1042" s="2" t="s">
        <v>74</v>
      </c>
      <c r="AG1042" s="2" t="s">
        <v>74</v>
      </c>
      <c r="AH1042" s="2" t="s">
        <v>74</v>
      </c>
      <c r="AI1042" s="2" t="s">
        <v>74</v>
      </c>
      <c r="AJ1042" s="2" t="s">
        <v>74</v>
      </c>
      <c r="AK1042" s="2" t="s">
        <v>74</v>
      </c>
      <c r="AL1042" s="2" t="s">
        <v>74</v>
      </c>
      <c r="AM1042" s="2" t="s">
        <v>74</v>
      </c>
      <c r="AN1042" s="2" t="s">
        <v>74</v>
      </c>
      <c r="AO1042" s="2" t="s">
        <v>1239</v>
      </c>
      <c r="AP1042" s="2" t="s">
        <v>1675</v>
      </c>
      <c r="AQ1042" s="2" t="s">
        <v>74</v>
      </c>
      <c r="AR1042" s="2" t="s">
        <v>74</v>
      </c>
      <c r="AS1042" s="2" t="s">
        <v>74</v>
      </c>
      <c r="AT1042" s="2" t="s">
        <v>213</v>
      </c>
      <c r="AU1042" s="2">
        <v>2022</v>
      </c>
      <c r="AV1042" s="2">
        <v>100</v>
      </c>
      <c r="AW1042" s="2">
        <v>11</v>
      </c>
      <c r="AX1042" s="2" t="s">
        <v>74</v>
      </c>
      <c r="AY1042" s="2" t="s">
        <v>74</v>
      </c>
      <c r="AZ1042" s="2" t="s">
        <v>74</v>
      </c>
      <c r="BA1042" s="2" t="s">
        <v>74</v>
      </c>
      <c r="BB1042" s="2">
        <v>747</v>
      </c>
      <c r="BC1042" s="2">
        <v>756</v>
      </c>
      <c r="BD1042" s="2" t="s">
        <v>74</v>
      </c>
      <c r="BE1042" s="2" t="s">
        <v>4329</v>
      </c>
      <c r="BF1042" s="2" t="str">
        <f>HYPERLINK("http://dx.doi.org/10.1139/cjz-2022-0064747","http://dx.doi.org/10.1139/cjz-2022-0064747")</f>
        <v>http://dx.doi.org/10.1139/cjz-2022-0064747</v>
      </c>
      <c r="BG1042" s="2" t="s">
        <v>74</v>
      </c>
      <c r="BH1042" s="2" t="s">
        <v>74</v>
      </c>
      <c r="BI1042" s="2" t="s">
        <v>74</v>
      </c>
      <c r="BJ1042" s="2" t="s">
        <v>74</v>
      </c>
      <c r="BK1042" s="2" t="s">
        <v>74</v>
      </c>
      <c r="BL1042" s="2" t="s">
        <v>74</v>
      </c>
      <c r="BM1042" s="2" t="s">
        <v>74</v>
      </c>
      <c r="BN1042" s="2" t="s">
        <v>74</v>
      </c>
      <c r="BO1042" s="2" t="s">
        <v>74</v>
      </c>
      <c r="BP1042" s="2" t="s">
        <v>74</v>
      </c>
      <c r="BQ1042" s="2" t="s">
        <v>74</v>
      </c>
      <c r="BR1042" s="2" t="s">
        <v>74</v>
      </c>
      <c r="BS1042" s="2" t="s">
        <v>4330</v>
      </c>
      <c r="BT1042" s="2" t="str">
        <f>HYPERLINK("https%3A%2F%2Fwww.webofscience.com%2Fwos%2Fwoscc%2Ffull-record%2FWOS:000879975200002","View Full Record in Web of Science")</f>
        <v>View Full Record in Web of Science</v>
      </c>
    </row>
    <row r="1043" spans="1:72" s="2" customFormat="1" x14ac:dyDescent="0.4">
      <c r="A1043" s="2" t="s">
        <v>72</v>
      </c>
      <c r="B1043" s="2" t="s">
        <v>4325</v>
      </c>
      <c r="C1043" s="2" t="s">
        <v>74</v>
      </c>
      <c r="D1043" s="2" t="s">
        <v>74</v>
      </c>
      <c r="E1043" s="2" t="s">
        <v>74</v>
      </c>
      <c r="F1043" s="2" t="s">
        <v>4326</v>
      </c>
      <c r="G1043" s="2" t="s">
        <v>74</v>
      </c>
      <c r="H1043" s="2" t="s">
        <v>74</v>
      </c>
      <c r="I1043" s="2" t="s">
        <v>4337</v>
      </c>
      <c r="J1043" s="2" t="s">
        <v>1673</v>
      </c>
      <c r="K1043" s="2" t="s">
        <v>74</v>
      </c>
      <c r="L1043" s="2" t="s">
        <v>74</v>
      </c>
      <c r="M1043" s="2" t="s">
        <v>74</v>
      </c>
      <c r="N1043" s="2" t="s">
        <v>74</v>
      </c>
      <c r="O1043" s="2" t="s">
        <v>74</v>
      </c>
      <c r="P1043" s="2" t="s">
        <v>74</v>
      </c>
      <c r="Q1043" s="2" t="s">
        <v>74</v>
      </c>
      <c r="R1043" s="2" t="s">
        <v>74</v>
      </c>
      <c r="S1043" s="2" t="s">
        <v>74</v>
      </c>
      <c r="T1043" s="2" t="s">
        <v>74</v>
      </c>
      <c r="U1043" s="2" t="s">
        <v>74</v>
      </c>
      <c r="V1043" s="5" t="s">
        <v>4328</v>
      </c>
      <c r="W1043" s="2" t="s">
        <v>74</v>
      </c>
      <c r="X1043" s="2" t="s">
        <v>74</v>
      </c>
      <c r="Y1043" s="2" t="s">
        <v>74</v>
      </c>
      <c r="Z1043" s="2" t="s">
        <v>74</v>
      </c>
      <c r="AA1043" s="2" t="s">
        <v>74</v>
      </c>
      <c r="AB1043" s="2" t="s">
        <v>74</v>
      </c>
      <c r="AC1043" s="2" t="s">
        <v>74</v>
      </c>
      <c r="AD1043" s="2" t="s">
        <v>74</v>
      </c>
      <c r="AE1043" s="2" t="s">
        <v>74</v>
      </c>
      <c r="AF1043" s="2" t="s">
        <v>74</v>
      </c>
      <c r="AG1043" s="2" t="s">
        <v>74</v>
      </c>
      <c r="AH1043" s="2" t="s">
        <v>74</v>
      </c>
      <c r="AI1043" s="2" t="s">
        <v>74</v>
      </c>
      <c r="AJ1043" s="2" t="s">
        <v>74</v>
      </c>
      <c r="AK1043" s="2" t="s">
        <v>74</v>
      </c>
      <c r="AL1043" s="2" t="s">
        <v>74</v>
      </c>
      <c r="AM1043" s="2" t="s">
        <v>74</v>
      </c>
      <c r="AN1043" s="2" t="s">
        <v>74</v>
      </c>
      <c r="AO1043" s="2" t="s">
        <v>1239</v>
      </c>
      <c r="AP1043" s="2" t="s">
        <v>1675</v>
      </c>
      <c r="AQ1043" s="2" t="s">
        <v>74</v>
      </c>
      <c r="AR1043" s="2" t="s">
        <v>74</v>
      </c>
      <c r="AS1043" s="2" t="s">
        <v>74</v>
      </c>
      <c r="AT1043" s="2" t="s">
        <v>4338</v>
      </c>
      <c r="AU1043" s="2">
        <v>2022</v>
      </c>
      <c r="AV1043" s="2" t="s">
        <v>74</v>
      </c>
      <c r="AW1043" s="2" t="s">
        <v>74</v>
      </c>
      <c r="AX1043" s="2" t="s">
        <v>74</v>
      </c>
      <c r="AY1043" s="2" t="s">
        <v>74</v>
      </c>
      <c r="AZ1043" s="2" t="s">
        <v>74</v>
      </c>
      <c r="BA1043" s="2" t="s">
        <v>74</v>
      </c>
      <c r="BB1043" s="2" t="s">
        <v>74</v>
      </c>
      <c r="BC1043" s="2" t="s">
        <v>74</v>
      </c>
      <c r="BD1043" s="2" t="s">
        <v>74</v>
      </c>
      <c r="BE1043" s="2" t="s">
        <v>4339</v>
      </c>
      <c r="BF1043" s="2" t="str">
        <f>HYPERLINK("http://dx.doi.org/10.1139/cjz-2022-0064","http://dx.doi.org/10.1139/cjz-2022-0064")</f>
        <v>http://dx.doi.org/10.1139/cjz-2022-0064</v>
      </c>
      <c r="BG1043" s="2" t="s">
        <v>74</v>
      </c>
      <c r="BH1043" s="2" t="s">
        <v>3406</v>
      </c>
      <c r="BI1043" s="2" t="s">
        <v>74</v>
      </c>
      <c r="BJ1043" s="2" t="s">
        <v>74</v>
      </c>
      <c r="BK1043" s="2" t="s">
        <v>74</v>
      </c>
      <c r="BL1043" s="2" t="s">
        <v>74</v>
      </c>
      <c r="BM1043" s="2" t="s">
        <v>74</v>
      </c>
      <c r="BN1043" s="2" t="s">
        <v>74</v>
      </c>
      <c r="BO1043" s="2" t="s">
        <v>74</v>
      </c>
      <c r="BP1043" s="2" t="s">
        <v>74</v>
      </c>
      <c r="BQ1043" s="2" t="s">
        <v>74</v>
      </c>
      <c r="BR1043" s="2" t="s">
        <v>74</v>
      </c>
      <c r="BS1043" s="2" t="s">
        <v>4340</v>
      </c>
      <c r="BT1043" s="2" t="str">
        <f>HYPERLINK("https%3A%2F%2Fwww.webofscience.com%2Fwos%2Fwoscc%2Ffull-record%2FWOS:000857570800001","View Full Record in Web of Science")</f>
        <v>View Full Record in Web of Science</v>
      </c>
    </row>
    <row r="1044" spans="1:72" s="2" customFormat="1" x14ac:dyDescent="0.4">
      <c r="A1044" s="2" t="s">
        <v>72</v>
      </c>
      <c r="B1044" s="2" t="s">
        <v>2014</v>
      </c>
      <c r="C1044" s="2" t="s">
        <v>74</v>
      </c>
      <c r="D1044" s="2" t="s">
        <v>74</v>
      </c>
      <c r="E1044" s="2" t="s">
        <v>74</v>
      </c>
      <c r="F1044" s="2" t="s">
        <v>2015</v>
      </c>
      <c r="G1044" s="2" t="s">
        <v>74</v>
      </c>
      <c r="H1044" s="2" t="s">
        <v>74</v>
      </c>
      <c r="I1044" s="2" t="s">
        <v>2016</v>
      </c>
      <c r="J1044" s="2" t="s">
        <v>2017</v>
      </c>
      <c r="K1044" s="2" t="s">
        <v>74</v>
      </c>
      <c r="L1044" s="2" t="s">
        <v>74</v>
      </c>
      <c r="M1044" s="2" t="s">
        <v>74</v>
      </c>
      <c r="N1044" s="2" t="s">
        <v>74</v>
      </c>
      <c r="O1044" s="2" t="s">
        <v>74</v>
      </c>
      <c r="P1044" s="2" t="s">
        <v>74</v>
      </c>
      <c r="Q1044" s="2" t="s">
        <v>74</v>
      </c>
      <c r="R1044" s="2" t="s">
        <v>74</v>
      </c>
      <c r="S1044" s="2" t="s">
        <v>74</v>
      </c>
      <c r="T1044" s="2" t="s">
        <v>74</v>
      </c>
      <c r="U1044" s="2" t="s">
        <v>74</v>
      </c>
      <c r="V1044" s="5" t="s">
        <v>2018</v>
      </c>
      <c r="W1044" s="2" t="s">
        <v>74</v>
      </c>
      <c r="X1044" s="2" t="s">
        <v>74</v>
      </c>
      <c r="Y1044" s="2" t="s">
        <v>74</v>
      </c>
      <c r="Z1044" s="2" t="s">
        <v>74</v>
      </c>
      <c r="AA1044" s="2" t="s">
        <v>2019</v>
      </c>
      <c r="AB1044" s="2" t="s">
        <v>2020</v>
      </c>
      <c r="AC1044" s="2" t="s">
        <v>74</v>
      </c>
      <c r="AD1044" s="2" t="s">
        <v>74</v>
      </c>
      <c r="AE1044" s="2" t="s">
        <v>74</v>
      </c>
      <c r="AF1044" s="2" t="s">
        <v>74</v>
      </c>
      <c r="AG1044" s="2" t="s">
        <v>74</v>
      </c>
      <c r="AH1044" s="2" t="s">
        <v>74</v>
      </c>
      <c r="AI1044" s="2" t="s">
        <v>74</v>
      </c>
      <c r="AJ1044" s="2" t="s">
        <v>74</v>
      </c>
      <c r="AK1044" s="2" t="s">
        <v>74</v>
      </c>
      <c r="AL1044" s="2" t="s">
        <v>74</v>
      </c>
      <c r="AM1044" s="2" t="s">
        <v>74</v>
      </c>
      <c r="AN1044" s="2" t="s">
        <v>74</v>
      </c>
      <c r="AO1044" s="2" t="s">
        <v>2021</v>
      </c>
      <c r="AP1044" s="2" t="s">
        <v>74</v>
      </c>
      <c r="AQ1044" s="2" t="s">
        <v>74</v>
      </c>
      <c r="AR1044" s="2" t="s">
        <v>74</v>
      </c>
      <c r="AS1044" s="2" t="s">
        <v>74</v>
      </c>
      <c r="AT1044" s="2" t="s">
        <v>2022</v>
      </c>
      <c r="AU1044" s="2">
        <v>2021</v>
      </c>
      <c r="AV1044" s="2">
        <v>9</v>
      </c>
      <c r="AW1044" s="2" t="s">
        <v>74</v>
      </c>
      <c r="AX1044" s="2" t="s">
        <v>74</v>
      </c>
      <c r="AY1044" s="2" t="s">
        <v>74</v>
      </c>
      <c r="AZ1044" s="2" t="s">
        <v>74</v>
      </c>
      <c r="BA1044" s="2" t="s">
        <v>74</v>
      </c>
      <c r="BB1044" s="2" t="s">
        <v>74</v>
      </c>
      <c r="BC1044" s="2" t="s">
        <v>74</v>
      </c>
      <c r="BD1044" s="2">
        <v>589781</v>
      </c>
      <c r="BE1044" s="2" t="s">
        <v>2023</v>
      </c>
      <c r="BF1044" s="2" t="str">
        <f>HYPERLINK("http://dx.doi.org/10.3389/fevo.2021.589781","http://dx.doi.org/10.3389/fevo.2021.589781")</f>
        <v>http://dx.doi.org/10.3389/fevo.2021.589781</v>
      </c>
      <c r="BG1044" s="2" t="s">
        <v>74</v>
      </c>
      <c r="BH1044" s="2" t="s">
        <v>74</v>
      </c>
      <c r="BI1044" s="2" t="s">
        <v>74</v>
      </c>
      <c r="BJ1044" s="2" t="s">
        <v>74</v>
      </c>
      <c r="BK1044" s="2" t="s">
        <v>74</v>
      </c>
      <c r="BL1044" s="2" t="s">
        <v>74</v>
      </c>
      <c r="BM1044" s="2" t="s">
        <v>74</v>
      </c>
      <c r="BN1044" s="2" t="s">
        <v>74</v>
      </c>
      <c r="BO1044" s="2" t="s">
        <v>74</v>
      </c>
      <c r="BP1044" s="2" t="s">
        <v>74</v>
      </c>
      <c r="BQ1044" s="2" t="s">
        <v>74</v>
      </c>
      <c r="BR1044" s="2" t="s">
        <v>74</v>
      </c>
      <c r="BS1044" s="2" t="s">
        <v>2024</v>
      </c>
      <c r="BT1044" s="2" t="str">
        <f>HYPERLINK("https%3A%2F%2Fwww.webofscience.com%2Fwos%2Fwoscc%2Ffull-record%2FWOS:000645123900001","View Full Record in Web of Science")</f>
        <v>View Full Record in Web of Science</v>
      </c>
    </row>
    <row r="1045" spans="1:72" s="2" customFormat="1" x14ac:dyDescent="0.4">
      <c r="A1045" s="2" t="s">
        <v>72</v>
      </c>
      <c r="B1045" s="2" t="s">
        <v>3835</v>
      </c>
      <c r="C1045" s="2" t="s">
        <v>74</v>
      </c>
      <c r="D1045" s="2" t="s">
        <v>74</v>
      </c>
      <c r="E1045" s="2" t="s">
        <v>74</v>
      </c>
      <c r="F1045" s="2" t="s">
        <v>3836</v>
      </c>
      <c r="G1045" s="2" t="s">
        <v>74</v>
      </c>
      <c r="H1045" s="2" t="s">
        <v>74</v>
      </c>
      <c r="I1045" s="2" t="s">
        <v>3837</v>
      </c>
      <c r="J1045" s="2" t="s">
        <v>824</v>
      </c>
      <c r="K1045" s="2" t="s">
        <v>74</v>
      </c>
      <c r="L1045" s="2" t="s">
        <v>74</v>
      </c>
      <c r="M1045" s="2" t="s">
        <v>74</v>
      </c>
      <c r="N1045" s="2" t="s">
        <v>74</v>
      </c>
      <c r="O1045" s="2" t="s">
        <v>74</v>
      </c>
      <c r="P1045" s="2" t="s">
        <v>74</v>
      </c>
      <c r="Q1045" s="2" t="s">
        <v>74</v>
      </c>
      <c r="R1045" s="2" t="s">
        <v>74</v>
      </c>
      <c r="S1045" s="2" t="s">
        <v>74</v>
      </c>
      <c r="T1045" s="2" t="s">
        <v>74</v>
      </c>
      <c r="U1045" s="2" t="s">
        <v>74</v>
      </c>
      <c r="V1045" s="5" t="s">
        <v>3838</v>
      </c>
      <c r="W1045" s="2" t="s">
        <v>74</v>
      </c>
      <c r="X1045" s="2" t="s">
        <v>74</v>
      </c>
      <c r="Y1045" s="2" t="s">
        <v>74</v>
      </c>
      <c r="Z1045" s="2" t="s">
        <v>74</v>
      </c>
      <c r="AA1045" s="2" t="s">
        <v>3839</v>
      </c>
      <c r="AB1045" s="2" t="s">
        <v>3840</v>
      </c>
      <c r="AC1045" s="2" t="s">
        <v>74</v>
      </c>
      <c r="AD1045" s="2" t="s">
        <v>74</v>
      </c>
      <c r="AE1045" s="2" t="s">
        <v>74</v>
      </c>
      <c r="AF1045" s="2" t="s">
        <v>74</v>
      </c>
      <c r="AG1045" s="2" t="s">
        <v>74</v>
      </c>
      <c r="AH1045" s="2" t="s">
        <v>74</v>
      </c>
      <c r="AI1045" s="2" t="s">
        <v>74</v>
      </c>
      <c r="AJ1045" s="2" t="s">
        <v>74</v>
      </c>
      <c r="AK1045" s="2" t="s">
        <v>74</v>
      </c>
      <c r="AL1045" s="2" t="s">
        <v>74</v>
      </c>
      <c r="AM1045" s="2" t="s">
        <v>74</v>
      </c>
      <c r="AN1045" s="2" t="s">
        <v>74</v>
      </c>
      <c r="AO1045" s="2" t="s">
        <v>828</v>
      </c>
      <c r="AP1045" s="2" t="s">
        <v>829</v>
      </c>
      <c r="AQ1045" s="2" t="s">
        <v>74</v>
      </c>
      <c r="AR1045" s="2" t="s">
        <v>74</v>
      </c>
      <c r="AS1045" s="2" t="s">
        <v>74</v>
      </c>
      <c r="AT1045" s="2" t="s">
        <v>352</v>
      </c>
      <c r="AU1045" s="2">
        <v>2017</v>
      </c>
      <c r="AV1045" s="2">
        <v>86</v>
      </c>
      <c r="AW1045" s="2">
        <v>5</v>
      </c>
      <c r="AX1045" s="2" t="s">
        <v>74</v>
      </c>
      <c r="AY1045" s="2" t="s">
        <v>74</v>
      </c>
      <c r="AZ1045" s="2" t="s">
        <v>74</v>
      </c>
      <c r="BA1045" s="2" t="s">
        <v>74</v>
      </c>
      <c r="BB1045" s="2">
        <v>1044</v>
      </c>
      <c r="BC1045" s="2">
        <v>1053</v>
      </c>
      <c r="BD1045" s="2" t="s">
        <v>74</v>
      </c>
      <c r="BE1045" s="2" t="s">
        <v>3841</v>
      </c>
      <c r="BF1045" s="2" t="str">
        <f>HYPERLINK("http://dx.doi.org/10.1111/1365-2656.12693","http://dx.doi.org/10.1111/1365-2656.12693")</f>
        <v>http://dx.doi.org/10.1111/1365-2656.12693</v>
      </c>
      <c r="BG1045" s="2" t="s">
        <v>74</v>
      </c>
      <c r="BH1045" s="2" t="s">
        <v>74</v>
      </c>
      <c r="BI1045" s="2" t="s">
        <v>74</v>
      </c>
      <c r="BJ1045" s="2" t="s">
        <v>74</v>
      </c>
      <c r="BK1045" s="2" t="s">
        <v>74</v>
      </c>
      <c r="BL1045" s="2" t="s">
        <v>74</v>
      </c>
      <c r="BM1045" s="2" t="s">
        <v>74</v>
      </c>
      <c r="BN1045" s="2">
        <v>28502118</v>
      </c>
      <c r="BO1045" s="2" t="s">
        <v>74</v>
      </c>
      <c r="BP1045" s="2" t="s">
        <v>74</v>
      </c>
      <c r="BQ1045" s="2" t="s">
        <v>74</v>
      </c>
      <c r="BR1045" s="2" t="s">
        <v>74</v>
      </c>
      <c r="BS1045" s="2" t="s">
        <v>3842</v>
      </c>
      <c r="BT1045" s="2" t="str">
        <f>HYPERLINK("https%3A%2F%2Fwww.webofscience.com%2Fwos%2Fwoscc%2Ffull-record%2FWOS:000407320500007","View Full Record in Web of Science")</f>
        <v>View Full Record in Web of Science</v>
      </c>
    </row>
    <row r="1046" spans="1:72" s="2" customFormat="1" x14ac:dyDescent="0.4">
      <c r="A1046" s="2" t="s">
        <v>72</v>
      </c>
      <c r="B1046" s="2" t="s">
        <v>1554</v>
      </c>
      <c r="C1046" s="2" t="s">
        <v>74</v>
      </c>
      <c r="D1046" s="2" t="s">
        <v>74</v>
      </c>
      <c r="E1046" s="2" t="s">
        <v>74</v>
      </c>
      <c r="F1046" s="2" t="s">
        <v>1555</v>
      </c>
      <c r="G1046" s="2" t="s">
        <v>74</v>
      </c>
      <c r="H1046" s="2" t="s">
        <v>74</v>
      </c>
      <c r="I1046" s="2" t="s">
        <v>1556</v>
      </c>
      <c r="J1046" s="2" t="s">
        <v>1557</v>
      </c>
      <c r="K1046" s="2" t="s">
        <v>74</v>
      </c>
      <c r="L1046" s="2" t="s">
        <v>74</v>
      </c>
      <c r="M1046" s="2" t="s">
        <v>74</v>
      </c>
      <c r="N1046" s="2" t="s">
        <v>74</v>
      </c>
      <c r="O1046" s="2" t="s">
        <v>74</v>
      </c>
      <c r="P1046" s="2" t="s">
        <v>74</v>
      </c>
      <c r="Q1046" s="2" t="s">
        <v>74</v>
      </c>
      <c r="R1046" s="2" t="s">
        <v>74</v>
      </c>
      <c r="S1046" s="2" t="s">
        <v>74</v>
      </c>
      <c r="T1046" s="2" t="s">
        <v>74</v>
      </c>
      <c r="U1046" s="2" t="s">
        <v>74</v>
      </c>
      <c r="V1046" s="5" t="s">
        <v>1558</v>
      </c>
      <c r="W1046" s="2" t="s">
        <v>74</v>
      </c>
      <c r="X1046" s="2" t="s">
        <v>74</v>
      </c>
      <c r="Y1046" s="2" t="s">
        <v>74</v>
      </c>
      <c r="Z1046" s="2" t="s">
        <v>74</v>
      </c>
      <c r="AA1046" s="2" t="s">
        <v>1559</v>
      </c>
      <c r="AB1046" s="2" t="s">
        <v>1560</v>
      </c>
      <c r="AC1046" s="2" t="s">
        <v>74</v>
      </c>
      <c r="AD1046" s="2" t="s">
        <v>74</v>
      </c>
      <c r="AE1046" s="2" t="s">
        <v>74</v>
      </c>
      <c r="AF1046" s="2" t="s">
        <v>74</v>
      </c>
      <c r="AG1046" s="2" t="s">
        <v>74</v>
      </c>
      <c r="AH1046" s="2" t="s">
        <v>74</v>
      </c>
      <c r="AI1046" s="2" t="s">
        <v>74</v>
      </c>
      <c r="AJ1046" s="2" t="s">
        <v>74</v>
      </c>
      <c r="AK1046" s="2" t="s">
        <v>74</v>
      </c>
      <c r="AL1046" s="2" t="s">
        <v>74</v>
      </c>
      <c r="AM1046" s="2" t="s">
        <v>74</v>
      </c>
      <c r="AN1046" s="2" t="s">
        <v>74</v>
      </c>
      <c r="AO1046" s="2" t="s">
        <v>1561</v>
      </c>
      <c r="AP1046" s="2" t="s">
        <v>1562</v>
      </c>
      <c r="AQ1046" s="2" t="s">
        <v>74</v>
      </c>
      <c r="AR1046" s="2" t="s">
        <v>74</v>
      </c>
      <c r="AS1046" s="2" t="s">
        <v>74</v>
      </c>
      <c r="AT1046" s="2" t="s">
        <v>361</v>
      </c>
      <c r="AU1046" s="2">
        <v>2013</v>
      </c>
      <c r="AV1046" s="2">
        <v>46</v>
      </c>
      <c r="AW1046" s="2">
        <v>3</v>
      </c>
      <c r="AX1046" s="2" t="s">
        <v>74</v>
      </c>
      <c r="AY1046" s="2" t="s">
        <v>74</v>
      </c>
      <c r="AZ1046" s="2" t="s">
        <v>74</v>
      </c>
      <c r="BA1046" s="2" t="s">
        <v>74</v>
      </c>
      <c r="BB1046" s="2">
        <v>183</v>
      </c>
      <c r="BC1046" s="2">
        <v>190</v>
      </c>
      <c r="BD1046" s="2" t="s">
        <v>74</v>
      </c>
      <c r="BE1046" s="2" t="s">
        <v>1563</v>
      </c>
      <c r="BF1046" s="2" t="str">
        <f>HYPERLINK("http://dx.doi.org/10.1080/10236244.2013.805053","http://dx.doi.org/10.1080/10236244.2013.805053")</f>
        <v>http://dx.doi.org/10.1080/10236244.2013.805053</v>
      </c>
      <c r="BG1046" s="2" t="s">
        <v>74</v>
      </c>
      <c r="BH1046" s="2" t="s">
        <v>74</v>
      </c>
      <c r="BI1046" s="2" t="s">
        <v>74</v>
      </c>
      <c r="BJ1046" s="2" t="s">
        <v>74</v>
      </c>
      <c r="BK1046" s="2" t="s">
        <v>74</v>
      </c>
      <c r="BL1046" s="2" t="s">
        <v>74</v>
      </c>
      <c r="BM1046" s="2" t="s">
        <v>74</v>
      </c>
      <c r="BN1046" s="2" t="s">
        <v>74</v>
      </c>
      <c r="BO1046" s="2" t="s">
        <v>74</v>
      </c>
      <c r="BP1046" s="2" t="s">
        <v>74</v>
      </c>
      <c r="BQ1046" s="2" t="s">
        <v>74</v>
      </c>
      <c r="BR1046" s="2" t="s">
        <v>74</v>
      </c>
      <c r="BS1046" s="2" t="s">
        <v>1564</v>
      </c>
      <c r="BT1046" s="2" t="str">
        <f>HYPERLINK("https%3A%2F%2Fwww.webofscience.com%2Fwos%2Fwoscc%2Ffull-record%2FWOS:000320570200004","View Full Record in Web of Science")</f>
        <v>View Full Record in Web of Science</v>
      </c>
    </row>
    <row r="1047" spans="1:72" s="2" customFormat="1" x14ac:dyDescent="0.4">
      <c r="A1047" s="2" t="s">
        <v>72</v>
      </c>
      <c r="B1047" s="2" t="s">
        <v>1283</v>
      </c>
      <c r="C1047" s="2" t="s">
        <v>74</v>
      </c>
      <c r="D1047" s="2" t="s">
        <v>74</v>
      </c>
      <c r="E1047" s="2" t="s">
        <v>74</v>
      </c>
      <c r="F1047" s="2" t="s">
        <v>1284</v>
      </c>
      <c r="G1047" s="2" t="s">
        <v>74</v>
      </c>
      <c r="H1047" s="2" t="s">
        <v>74</v>
      </c>
      <c r="I1047" s="2" t="s">
        <v>1285</v>
      </c>
      <c r="J1047" s="2" t="s">
        <v>654</v>
      </c>
      <c r="K1047" s="2" t="s">
        <v>74</v>
      </c>
      <c r="L1047" s="2" t="s">
        <v>74</v>
      </c>
      <c r="M1047" s="2" t="s">
        <v>74</v>
      </c>
      <c r="N1047" s="2" t="s">
        <v>74</v>
      </c>
      <c r="O1047" s="2" t="s">
        <v>74</v>
      </c>
      <c r="P1047" s="2" t="s">
        <v>74</v>
      </c>
      <c r="Q1047" s="2" t="s">
        <v>74</v>
      </c>
      <c r="R1047" s="2" t="s">
        <v>74</v>
      </c>
      <c r="S1047" s="2" t="s">
        <v>74</v>
      </c>
      <c r="T1047" s="2" t="s">
        <v>74</v>
      </c>
      <c r="U1047" s="2" t="s">
        <v>74</v>
      </c>
      <c r="V1047" s="5" t="s">
        <v>1286</v>
      </c>
      <c r="W1047" s="2" t="s">
        <v>74</v>
      </c>
      <c r="X1047" s="2" t="s">
        <v>74</v>
      </c>
      <c r="Y1047" s="2" t="s">
        <v>74</v>
      </c>
      <c r="Z1047" s="2" t="s">
        <v>74</v>
      </c>
      <c r="AA1047" s="2" t="s">
        <v>1287</v>
      </c>
      <c r="AB1047" s="2" t="s">
        <v>1288</v>
      </c>
      <c r="AC1047" s="2" t="s">
        <v>74</v>
      </c>
      <c r="AD1047" s="2" t="s">
        <v>74</v>
      </c>
      <c r="AE1047" s="2" t="s">
        <v>74</v>
      </c>
      <c r="AF1047" s="2" t="s">
        <v>74</v>
      </c>
      <c r="AG1047" s="2" t="s">
        <v>74</v>
      </c>
      <c r="AH1047" s="2" t="s">
        <v>74</v>
      </c>
      <c r="AI1047" s="2" t="s">
        <v>74</v>
      </c>
      <c r="AJ1047" s="2" t="s">
        <v>74</v>
      </c>
      <c r="AK1047" s="2" t="s">
        <v>74</v>
      </c>
      <c r="AL1047" s="2" t="s">
        <v>74</v>
      </c>
      <c r="AM1047" s="2" t="s">
        <v>74</v>
      </c>
      <c r="AN1047" s="2" t="s">
        <v>74</v>
      </c>
      <c r="AO1047" s="2" t="s">
        <v>658</v>
      </c>
      <c r="AP1047" s="2" t="s">
        <v>74</v>
      </c>
      <c r="AQ1047" s="2" t="s">
        <v>74</v>
      </c>
      <c r="AR1047" s="2" t="s">
        <v>74</v>
      </c>
      <c r="AS1047" s="2" t="s">
        <v>74</v>
      </c>
      <c r="AT1047" s="2" t="s">
        <v>145</v>
      </c>
      <c r="AU1047" s="2">
        <v>2023</v>
      </c>
      <c r="AV1047" s="2">
        <v>13</v>
      </c>
      <c r="AW1047" s="2">
        <v>8</v>
      </c>
      <c r="AX1047" s="2" t="s">
        <v>74</v>
      </c>
      <c r="AY1047" s="2" t="s">
        <v>74</v>
      </c>
      <c r="AZ1047" s="2" t="s">
        <v>74</v>
      </c>
      <c r="BA1047" s="2" t="s">
        <v>74</v>
      </c>
      <c r="BB1047" s="2" t="s">
        <v>74</v>
      </c>
      <c r="BC1047" s="2" t="s">
        <v>74</v>
      </c>
      <c r="BD1047" s="2" t="s">
        <v>74</v>
      </c>
      <c r="BE1047" s="2" t="s">
        <v>1289</v>
      </c>
      <c r="BF1047" s="2" t="str">
        <f>HYPERLINK("http://dx.doi.org/10.1002/ece3.10328","http://dx.doi.org/10.1002/ece3.10328")</f>
        <v>http://dx.doi.org/10.1002/ece3.10328</v>
      </c>
      <c r="BG1047" s="2" t="s">
        <v>74</v>
      </c>
      <c r="BH1047" s="2" t="s">
        <v>74</v>
      </c>
      <c r="BI1047" s="2" t="s">
        <v>74</v>
      </c>
      <c r="BJ1047" s="2" t="s">
        <v>74</v>
      </c>
      <c r="BK1047" s="2" t="s">
        <v>74</v>
      </c>
      <c r="BL1047" s="2" t="s">
        <v>74</v>
      </c>
      <c r="BM1047" s="2" t="s">
        <v>74</v>
      </c>
      <c r="BN1047" s="2">
        <v>37636865</v>
      </c>
      <c r="BO1047" s="2" t="s">
        <v>74</v>
      </c>
      <c r="BP1047" s="2" t="s">
        <v>74</v>
      </c>
      <c r="BQ1047" s="2" t="s">
        <v>74</v>
      </c>
      <c r="BR1047" s="2" t="s">
        <v>74</v>
      </c>
      <c r="BS1047" s="2" t="s">
        <v>1290</v>
      </c>
      <c r="BT1047" s="2" t="str">
        <f>HYPERLINK("https%3A%2F%2Fwww.webofscience.com%2Fwos%2Fwoscc%2Ffull-record%2FWOS:001054792900001","View Full Record in Web of Science")</f>
        <v>View Full Record in Web of Science</v>
      </c>
    </row>
    <row r="1048" spans="1:72" s="2" customFormat="1" x14ac:dyDescent="0.4">
      <c r="A1048" s="2" t="s">
        <v>72</v>
      </c>
      <c r="B1048" s="2" t="s">
        <v>5811</v>
      </c>
      <c r="C1048" s="2" t="s">
        <v>74</v>
      </c>
      <c r="D1048" s="2" t="s">
        <v>74</v>
      </c>
      <c r="E1048" s="2" t="s">
        <v>74</v>
      </c>
      <c r="F1048" s="2" t="s">
        <v>5812</v>
      </c>
      <c r="G1048" s="2" t="s">
        <v>74</v>
      </c>
      <c r="H1048" s="2" t="s">
        <v>74</v>
      </c>
      <c r="I1048" s="2" t="s">
        <v>5813</v>
      </c>
      <c r="J1048" s="2" t="s">
        <v>5814</v>
      </c>
      <c r="K1048" s="2" t="s">
        <v>74</v>
      </c>
      <c r="L1048" s="2" t="s">
        <v>74</v>
      </c>
      <c r="M1048" s="2" t="s">
        <v>74</v>
      </c>
      <c r="N1048" s="2" t="s">
        <v>74</v>
      </c>
      <c r="O1048" s="2" t="s">
        <v>74</v>
      </c>
      <c r="P1048" s="2" t="s">
        <v>74</v>
      </c>
      <c r="Q1048" s="2" t="s">
        <v>74</v>
      </c>
      <c r="R1048" s="2" t="s">
        <v>74</v>
      </c>
      <c r="S1048" s="2" t="s">
        <v>74</v>
      </c>
      <c r="T1048" s="2" t="s">
        <v>74</v>
      </c>
      <c r="U1048" s="2" t="s">
        <v>74</v>
      </c>
      <c r="V1048" s="5" t="s">
        <v>5815</v>
      </c>
      <c r="W1048" s="2" t="s">
        <v>74</v>
      </c>
      <c r="X1048" s="2" t="s">
        <v>74</v>
      </c>
      <c r="Y1048" s="2" t="s">
        <v>74</v>
      </c>
      <c r="Z1048" s="2" t="s">
        <v>74</v>
      </c>
      <c r="AA1048" s="2" t="s">
        <v>5816</v>
      </c>
      <c r="AB1048" s="2" t="s">
        <v>5817</v>
      </c>
      <c r="AC1048" s="2" t="s">
        <v>74</v>
      </c>
      <c r="AD1048" s="2" t="s">
        <v>74</v>
      </c>
      <c r="AE1048" s="2" t="s">
        <v>74</v>
      </c>
      <c r="AF1048" s="2" t="s">
        <v>74</v>
      </c>
      <c r="AG1048" s="2" t="s">
        <v>74</v>
      </c>
      <c r="AH1048" s="2" t="s">
        <v>74</v>
      </c>
      <c r="AI1048" s="2" t="s">
        <v>74</v>
      </c>
      <c r="AJ1048" s="2" t="s">
        <v>74</v>
      </c>
      <c r="AK1048" s="2" t="s">
        <v>74</v>
      </c>
      <c r="AL1048" s="2" t="s">
        <v>74</v>
      </c>
      <c r="AM1048" s="2" t="s">
        <v>74</v>
      </c>
      <c r="AN1048" s="2" t="s">
        <v>74</v>
      </c>
      <c r="AO1048" s="2" t="s">
        <v>74</v>
      </c>
      <c r="AP1048" s="2" t="s">
        <v>5818</v>
      </c>
      <c r="AQ1048" s="2" t="s">
        <v>74</v>
      </c>
      <c r="AR1048" s="2" t="s">
        <v>74</v>
      </c>
      <c r="AS1048" s="2" t="s">
        <v>74</v>
      </c>
      <c r="AT1048" s="2" t="s">
        <v>5819</v>
      </c>
      <c r="AU1048" s="2">
        <v>2007</v>
      </c>
      <c r="AV1048" s="2">
        <v>104</v>
      </c>
      <c r="AW1048" s="2">
        <v>1</v>
      </c>
      <c r="AX1048" s="2" t="s">
        <v>74</v>
      </c>
      <c r="AY1048" s="2" t="s">
        <v>74</v>
      </c>
      <c r="AZ1048" s="2" t="s">
        <v>74</v>
      </c>
      <c r="BA1048" s="2" t="s">
        <v>74</v>
      </c>
      <c r="BB1048" s="2">
        <v>57</v>
      </c>
      <c r="BC1048" s="2">
        <v>65</v>
      </c>
      <c r="BD1048" s="2" t="s">
        <v>74</v>
      </c>
      <c r="BE1048" s="2" t="s">
        <v>5820</v>
      </c>
      <c r="BF1048" s="2" t="str">
        <f>HYPERLINK("http://dx.doi.org/10.14411/eje.2007.009","http://dx.doi.org/10.14411/eje.2007.009")</f>
        <v>http://dx.doi.org/10.14411/eje.2007.009</v>
      </c>
      <c r="BG1048" s="2" t="s">
        <v>74</v>
      </c>
      <c r="BH1048" s="2" t="s">
        <v>74</v>
      </c>
      <c r="BI1048" s="2" t="s">
        <v>74</v>
      </c>
      <c r="BJ1048" s="2" t="s">
        <v>74</v>
      </c>
      <c r="BK1048" s="2" t="s">
        <v>74</v>
      </c>
      <c r="BL1048" s="2" t="s">
        <v>74</v>
      </c>
      <c r="BM1048" s="2" t="s">
        <v>74</v>
      </c>
      <c r="BN1048" s="2" t="s">
        <v>74</v>
      </c>
      <c r="BO1048" s="2" t="s">
        <v>74</v>
      </c>
      <c r="BP1048" s="2" t="s">
        <v>74</v>
      </c>
      <c r="BQ1048" s="2" t="s">
        <v>74</v>
      </c>
      <c r="BR1048" s="2" t="s">
        <v>74</v>
      </c>
      <c r="BS1048" s="2" t="s">
        <v>5821</v>
      </c>
      <c r="BT1048" s="2" t="str">
        <f>HYPERLINK("https%3A%2F%2Fwww.webofscience.com%2Fwos%2Fwoscc%2Ffull-record%2FWOS:000243077100009","View Full Record in Web of Science")</f>
        <v>View Full Record in Web of Science</v>
      </c>
    </row>
    <row r="1049" spans="1:72" s="2" customFormat="1" x14ac:dyDescent="0.4">
      <c r="A1049" s="2" t="s">
        <v>72</v>
      </c>
      <c r="B1049" s="2" t="s">
        <v>2779</v>
      </c>
      <c r="C1049" s="2" t="s">
        <v>74</v>
      </c>
      <c r="D1049" s="2" t="s">
        <v>74</v>
      </c>
      <c r="E1049" s="2" t="s">
        <v>74</v>
      </c>
      <c r="F1049" s="2" t="s">
        <v>2780</v>
      </c>
      <c r="G1049" s="2" t="s">
        <v>74</v>
      </c>
      <c r="H1049" s="2" t="s">
        <v>74</v>
      </c>
      <c r="I1049" s="2" t="s">
        <v>2781</v>
      </c>
      <c r="J1049" s="2" t="s">
        <v>824</v>
      </c>
      <c r="K1049" s="2" t="s">
        <v>74</v>
      </c>
      <c r="L1049" s="2" t="s">
        <v>74</v>
      </c>
      <c r="M1049" s="2" t="s">
        <v>74</v>
      </c>
      <c r="N1049" s="2" t="s">
        <v>74</v>
      </c>
      <c r="O1049" s="2" t="s">
        <v>74</v>
      </c>
      <c r="P1049" s="2" t="s">
        <v>74</v>
      </c>
      <c r="Q1049" s="2" t="s">
        <v>74</v>
      </c>
      <c r="R1049" s="2" t="s">
        <v>74</v>
      </c>
      <c r="S1049" s="2" t="s">
        <v>74</v>
      </c>
      <c r="T1049" s="2" t="s">
        <v>74</v>
      </c>
      <c r="U1049" s="2" t="s">
        <v>74</v>
      </c>
      <c r="V1049" s="5" t="s">
        <v>2782</v>
      </c>
      <c r="W1049" s="2" t="s">
        <v>74</v>
      </c>
      <c r="X1049" s="2" t="s">
        <v>74</v>
      </c>
      <c r="Y1049" s="2" t="s">
        <v>74</v>
      </c>
      <c r="Z1049" s="2" t="s">
        <v>74</v>
      </c>
      <c r="AA1049" s="2" t="s">
        <v>74</v>
      </c>
      <c r="AB1049" s="2" t="s">
        <v>2783</v>
      </c>
      <c r="AC1049" s="2" t="s">
        <v>74</v>
      </c>
      <c r="AD1049" s="2" t="s">
        <v>74</v>
      </c>
      <c r="AE1049" s="2" t="s">
        <v>74</v>
      </c>
      <c r="AF1049" s="2" t="s">
        <v>74</v>
      </c>
      <c r="AG1049" s="2" t="s">
        <v>74</v>
      </c>
      <c r="AH1049" s="2" t="s">
        <v>74</v>
      </c>
      <c r="AI1049" s="2" t="s">
        <v>74</v>
      </c>
      <c r="AJ1049" s="2" t="s">
        <v>74</v>
      </c>
      <c r="AK1049" s="2" t="s">
        <v>74</v>
      </c>
      <c r="AL1049" s="2" t="s">
        <v>74</v>
      </c>
      <c r="AM1049" s="2" t="s">
        <v>74</v>
      </c>
      <c r="AN1049" s="2" t="s">
        <v>74</v>
      </c>
      <c r="AO1049" s="2" t="s">
        <v>828</v>
      </c>
      <c r="AP1049" s="2" t="s">
        <v>74</v>
      </c>
      <c r="AQ1049" s="2" t="s">
        <v>74</v>
      </c>
      <c r="AR1049" s="2" t="s">
        <v>74</v>
      </c>
      <c r="AS1049" s="2" t="s">
        <v>74</v>
      </c>
      <c r="AT1049" s="2" t="s">
        <v>255</v>
      </c>
      <c r="AU1049" s="2">
        <v>2011</v>
      </c>
      <c r="AV1049" s="2">
        <v>80</v>
      </c>
      <c r="AW1049" s="2">
        <v>1</v>
      </c>
      <c r="AX1049" s="2" t="s">
        <v>74</v>
      </c>
      <c r="AY1049" s="2" t="s">
        <v>74</v>
      </c>
      <c r="AZ1049" s="2" t="s">
        <v>74</v>
      </c>
      <c r="BA1049" s="2" t="s">
        <v>74</v>
      </c>
      <c r="BB1049" s="2">
        <v>79</v>
      </c>
      <c r="BC1049" s="2">
        <v>88</v>
      </c>
      <c r="BD1049" s="2" t="s">
        <v>74</v>
      </c>
      <c r="BE1049" s="2" t="s">
        <v>2784</v>
      </c>
      <c r="BF1049" s="2" t="str">
        <f>HYPERLINK("http://dx.doi.org/10.1111/j.1365-2656.2010.01765.x","http://dx.doi.org/10.1111/j.1365-2656.2010.01765.x")</f>
        <v>http://dx.doi.org/10.1111/j.1365-2656.2010.01765.x</v>
      </c>
      <c r="BG1049" s="2" t="s">
        <v>74</v>
      </c>
      <c r="BH1049" s="2" t="s">
        <v>74</v>
      </c>
      <c r="BI1049" s="2" t="s">
        <v>74</v>
      </c>
      <c r="BJ1049" s="2" t="s">
        <v>74</v>
      </c>
      <c r="BK1049" s="2" t="s">
        <v>74</v>
      </c>
      <c r="BL1049" s="2" t="s">
        <v>74</v>
      </c>
      <c r="BM1049" s="2" t="s">
        <v>74</v>
      </c>
      <c r="BN1049" s="2">
        <v>20964684</v>
      </c>
      <c r="BO1049" s="2" t="s">
        <v>74</v>
      </c>
      <c r="BP1049" s="2" t="s">
        <v>74</v>
      </c>
      <c r="BQ1049" s="2" t="s">
        <v>74</v>
      </c>
      <c r="BR1049" s="2" t="s">
        <v>74</v>
      </c>
      <c r="BS1049" s="2" t="s">
        <v>2785</v>
      </c>
      <c r="BT1049" s="2" t="str">
        <f>HYPERLINK("https%3A%2F%2Fwww.webofscience.com%2Fwos%2Fwoscc%2Ffull-record%2FWOS:000285110600008","View Full Record in Web of Science")</f>
        <v>View Full Record in Web of Science</v>
      </c>
    </row>
    <row r="1050" spans="1:72" s="2" customFormat="1" x14ac:dyDescent="0.4">
      <c r="A1050" s="2" t="s">
        <v>72</v>
      </c>
      <c r="B1050" s="2" t="s">
        <v>5624</v>
      </c>
      <c r="C1050" s="2" t="s">
        <v>74</v>
      </c>
      <c r="D1050" s="2" t="s">
        <v>74</v>
      </c>
      <c r="E1050" s="2" t="s">
        <v>74</v>
      </c>
      <c r="F1050" s="2" t="s">
        <v>5625</v>
      </c>
      <c r="G1050" s="2" t="s">
        <v>74</v>
      </c>
      <c r="H1050" s="2" t="s">
        <v>74</v>
      </c>
      <c r="I1050" s="2" t="s">
        <v>5626</v>
      </c>
      <c r="J1050" s="2" t="s">
        <v>281</v>
      </c>
      <c r="K1050" s="2" t="s">
        <v>74</v>
      </c>
      <c r="L1050" s="2" t="s">
        <v>74</v>
      </c>
      <c r="M1050" s="2" t="s">
        <v>74</v>
      </c>
      <c r="N1050" s="2" t="s">
        <v>74</v>
      </c>
      <c r="O1050" s="2" t="s">
        <v>74</v>
      </c>
      <c r="P1050" s="2" t="s">
        <v>74</v>
      </c>
      <c r="Q1050" s="2" t="s">
        <v>74</v>
      </c>
      <c r="R1050" s="2" t="s">
        <v>74</v>
      </c>
      <c r="S1050" s="2" t="s">
        <v>74</v>
      </c>
      <c r="T1050" s="2" t="s">
        <v>74</v>
      </c>
      <c r="U1050" s="2" t="s">
        <v>74</v>
      </c>
      <c r="V1050" s="5" t="s">
        <v>5627</v>
      </c>
      <c r="W1050" s="2" t="s">
        <v>74</v>
      </c>
      <c r="X1050" s="2" t="s">
        <v>74</v>
      </c>
      <c r="Y1050" s="2" t="s">
        <v>74</v>
      </c>
      <c r="Z1050" s="2" t="s">
        <v>74</v>
      </c>
      <c r="AA1050" s="2" t="s">
        <v>74</v>
      </c>
      <c r="AB1050" s="2" t="s">
        <v>5628</v>
      </c>
      <c r="AC1050" s="2" t="s">
        <v>74</v>
      </c>
      <c r="AD1050" s="2" t="s">
        <v>74</v>
      </c>
      <c r="AE1050" s="2" t="s">
        <v>74</v>
      </c>
      <c r="AF1050" s="2" t="s">
        <v>74</v>
      </c>
      <c r="AG1050" s="2" t="s">
        <v>74</v>
      </c>
      <c r="AH1050" s="2" t="s">
        <v>74</v>
      </c>
      <c r="AI1050" s="2" t="s">
        <v>74</v>
      </c>
      <c r="AJ1050" s="2" t="s">
        <v>74</v>
      </c>
      <c r="AK1050" s="2" t="s">
        <v>74</v>
      </c>
      <c r="AL1050" s="2" t="s">
        <v>74</v>
      </c>
      <c r="AM1050" s="2" t="s">
        <v>74</v>
      </c>
      <c r="AN1050" s="2" t="s">
        <v>74</v>
      </c>
      <c r="AO1050" s="2" t="s">
        <v>285</v>
      </c>
      <c r="AP1050" s="2" t="s">
        <v>286</v>
      </c>
      <c r="AQ1050" s="2" t="s">
        <v>74</v>
      </c>
      <c r="AR1050" s="2" t="s">
        <v>74</v>
      </c>
      <c r="AS1050" s="2" t="s">
        <v>74</v>
      </c>
      <c r="AT1050" s="2" t="s">
        <v>964</v>
      </c>
      <c r="AU1050" s="2">
        <v>2022</v>
      </c>
      <c r="AV1050" s="2">
        <v>25</v>
      </c>
      <c r="AW1050" s="2">
        <v>1</v>
      </c>
      <c r="AX1050" s="2" t="s">
        <v>74</v>
      </c>
      <c r="AY1050" s="2" t="s">
        <v>74</v>
      </c>
      <c r="AZ1050" s="2" t="s">
        <v>74</v>
      </c>
      <c r="BA1050" s="2" t="s">
        <v>74</v>
      </c>
      <c r="BB1050" s="2">
        <v>205</v>
      </c>
      <c r="BC1050" s="2">
        <v>216</v>
      </c>
      <c r="BD1050" s="2" t="s">
        <v>74</v>
      </c>
      <c r="BE1050" s="2" t="s">
        <v>5629</v>
      </c>
      <c r="BF1050" s="2" t="str">
        <f>HYPERLINK("http://dx.doi.org/10.1007/s10071-021-01548-7","http://dx.doi.org/10.1007/s10071-021-01548-7")</f>
        <v>http://dx.doi.org/10.1007/s10071-021-01548-7</v>
      </c>
      <c r="BG1050" s="2" t="s">
        <v>74</v>
      </c>
      <c r="BH1050" s="2" t="s">
        <v>4990</v>
      </c>
      <c r="BI1050" s="2" t="s">
        <v>74</v>
      </c>
      <c r="BJ1050" s="2" t="s">
        <v>74</v>
      </c>
      <c r="BK1050" s="2" t="s">
        <v>74</v>
      </c>
      <c r="BL1050" s="2" t="s">
        <v>74</v>
      </c>
      <c r="BM1050" s="2" t="s">
        <v>74</v>
      </c>
      <c r="BN1050" s="2">
        <v>34383151</v>
      </c>
      <c r="BO1050" s="2" t="s">
        <v>74</v>
      </c>
      <c r="BP1050" s="2" t="s">
        <v>74</v>
      </c>
      <c r="BQ1050" s="2" t="s">
        <v>74</v>
      </c>
      <c r="BR1050" s="2" t="s">
        <v>74</v>
      </c>
      <c r="BS1050" s="2" t="s">
        <v>5630</v>
      </c>
      <c r="BT1050" s="2" t="str">
        <f>HYPERLINK("https%3A%2F%2Fwww.webofscience.com%2Fwos%2Fwoscc%2Ffull-record%2FWOS:000684460500001","View Full Record in Web of Science")</f>
        <v>View Full Record in Web of Science</v>
      </c>
    </row>
    <row r="1051" spans="1:72" s="2" customFormat="1" x14ac:dyDescent="0.4">
      <c r="A1051" s="2" t="s">
        <v>72</v>
      </c>
      <c r="B1051" s="2" t="s">
        <v>2100</v>
      </c>
      <c r="C1051" s="2" t="s">
        <v>74</v>
      </c>
      <c r="D1051" s="2" t="s">
        <v>74</v>
      </c>
      <c r="E1051" s="2" t="s">
        <v>74</v>
      </c>
      <c r="F1051" s="2" t="s">
        <v>2101</v>
      </c>
      <c r="G1051" s="2" t="s">
        <v>74</v>
      </c>
      <c r="H1051" s="2" t="s">
        <v>74</v>
      </c>
      <c r="I1051" s="2" t="s">
        <v>2102</v>
      </c>
      <c r="J1051" s="2" t="s">
        <v>2017</v>
      </c>
      <c r="K1051" s="2" t="s">
        <v>74</v>
      </c>
      <c r="L1051" s="2" t="s">
        <v>74</v>
      </c>
      <c r="M1051" s="2" t="s">
        <v>74</v>
      </c>
      <c r="N1051" s="2" t="s">
        <v>74</v>
      </c>
      <c r="O1051" s="2" t="s">
        <v>74</v>
      </c>
      <c r="P1051" s="2" t="s">
        <v>74</v>
      </c>
      <c r="Q1051" s="2" t="s">
        <v>74</v>
      </c>
      <c r="R1051" s="2" t="s">
        <v>74</v>
      </c>
      <c r="S1051" s="2" t="s">
        <v>74</v>
      </c>
      <c r="T1051" s="2" t="s">
        <v>74</v>
      </c>
      <c r="U1051" s="2" t="s">
        <v>74</v>
      </c>
      <c r="V1051" s="5" t="s">
        <v>2103</v>
      </c>
      <c r="W1051" s="2" t="s">
        <v>74</v>
      </c>
      <c r="X1051" s="2" t="s">
        <v>74</v>
      </c>
      <c r="Y1051" s="2" t="s">
        <v>74</v>
      </c>
      <c r="Z1051" s="2" t="s">
        <v>74</v>
      </c>
      <c r="AA1051" s="2" t="s">
        <v>2104</v>
      </c>
      <c r="AB1051" s="2" t="s">
        <v>2105</v>
      </c>
      <c r="AC1051" s="2" t="s">
        <v>74</v>
      </c>
      <c r="AD1051" s="2" t="s">
        <v>74</v>
      </c>
      <c r="AE1051" s="2" t="s">
        <v>74</v>
      </c>
      <c r="AF1051" s="2" t="s">
        <v>74</v>
      </c>
      <c r="AG1051" s="2" t="s">
        <v>74</v>
      </c>
      <c r="AH1051" s="2" t="s">
        <v>74</v>
      </c>
      <c r="AI1051" s="2" t="s">
        <v>74</v>
      </c>
      <c r="AJ1051" s="2" t="s">
        <v>74</v>
      </c>
      <c r="AK1051" s="2" t="s">
        <v>74</v>
      </c>
      <c r="AL1051" s="2" t="s">
        <v>74</v>
      </c>
      <c r="AM1051" s="2" t="s">
        <v>74</v>
      </c>
      <c r="AN1051" s="2" t="s">
        <v>74</v>
      </c>
      <c r="AO1051" s="2" t="s">
        <v>2021</v>
      </c>
      <c r="AP1051" s="2" t="s">
        <v>74</v>
      </c>
      <c r="AQ1051" s="2" t="s">
        <v>74</v>
      </c>
      <c r="AR1051" s="2" t="s">
        <v>74</v>
      </c>
      <c r="AS1051" s="2" t="s">
        <v>74</v>
      </c>
      <c r="AT1051" s="2" t="s">
        <v>1253</v>
      </c>
      <c r="AU1051" s="2">
        <v>2019</v>
      </c>
      <c r="AV1051" s="2">
        <v>7</v>
      </c>
      <c r="AW1051" s="2" t="s">
        <v>74</v>
      </c>
      <c r="AX1051" s="2" t="s">
        <v>74</v>
      </c>
      <c r="AY1051" s="2" t="s">
        <v>74</v>
      </c>
      <c r="AZ1051" s="2" t="s">
        <v>74</v>
      </c>
      <c r="BA1051" s="2" t="s">
        <v>74</v>
      </c>
      <c r="BB1051" s="2" t="s">
        <v>74</v>
      </c>
      <c r="BC1051" s="2" t="s">
        <v>74</v>
      </c>
      <c r="BD1051" s="2">
        <v>292</v>
      </c>
      <c r="BE1051" s="2" t="s">
        <v>2106</v>
      </c>
      <c r="BF1051" s="2" t="str">
        <f>HYPERLINK("http://dx.doi.org/10.3389/fevo.2019.00292","http://dx.doi.org/10.3389/fevo.2019.00292")</f>
        <v>http://dx.doi.org/10.3389/fevo.2019.00292</v>
      </c>
      <c r="BG1051" s="2" t="s">
        <v>74</v>
      </c>
      <c r="BH1051" s="2" t="s">
        <v>74</v>
      </c>
      <c r="BI1051" s="2" t="s">
        <v>74</v>
      </c>
      <c r="BJ1051" s="2" t="s">
        <v>74</v>
      </c>
      <c r="BK1051" s="2" t="s">
        <v>74</v>
      </c>
      <c r="BL1051" s="2" t="s">
        <v>74</v>
      </c>
      <c r="BM1051" s="2" t="s">
        <v>74</v>
      </c>
      <c r="BN1051" s="2" t="s">
        <v>74</v>
      </c>
      <c r="BO1051" s="2" t="s">
        <v>74</v>
      </c>
      <c r="BP1051" s="2" t="s">
        <v>74</v>
      </c>
      <c r="BQ1051" s="2" t="s">
        <v>74</v>
      </c>
      <c r="BR1051" s="2" t="s">
        <v>74</v>
      </c>
      <c r="BS1051" s="2" t="s">
        <v>2107</v>
      </c>
      <c r="BT1051" s="2" t="str">
        <f>HYPERLINK("https%3A%2F%2Fwww.webofscience.com%2Fwos%2Fwoscc%2Ffull-record%2FWOS:000479067400001","View Full Record in Web of Science")</f>
        <v>View Full Record in Web of Science</v>
      </c>
    </row>
    <row r="1052" spans="1:72" s="2" customFormat="1" x14ac:dyDescent="0.4">
      <c r="A1052" s="2" t="s">
        <v>72</v>
      </c>
      <c r="B1052" s="2" t="s">
        <v>3288</v>
      </c>
      <c r="C1052" s="2" t="s">
        <v>74</v>
      </c>
      <c r="D1052" s="2" t="s">
        <v>74</v>
      </c>
      <c r="E1052" s="2" t="s">
        <v>74</v>
      </c>
      <c r="F1052" s="2" t="s">
        <v>3289</v>
      </c>
      <c r="G1052" s="2" t="s">
        <v>74</v>
      </c>
      <c r="H1052" s="2" t="s">
        <v>74</v>
      </c>
      <c r="I1052" s="2" t="s">
        <v>3290</v>
      </c>
      <c r="J1052" s="2" t="s">
        <v>3291</v>
      </c>
      <c r="K1052" s="2" t="s">
        <v>74</v>
      </c>
      <c r="L1052" s="2" t="s">
        <v>74</v>
      </c>
      <c r="M1052" s="2" t="s">
        <v>74</v>
      </c>
      <c r="N1052" s="2" t="s">
        <v>74</v>
      </c>
      <c r="O1052" s="2" t="s">
        <v>74</v>
      </c>
      <c r="P1052" s="2" t="s">
        <v>74</v>
      </c>
      <c r="Q1052" s="2" t="s">
        <v>74</v>
      </c>
      <c r="R1052" s="2" t="s">
        <v>74</v>
      </c>
      <c r="S1052" s="2" t="s">
        <v>74</v>
      </c>
      <c r="T1052" s="2" t="s">
        <v>74</v>
      </c>
      <c r="U1052" s="2" t="s">
        <v>74</v>
      </c>
      <c r="V1052" s="5" t="s">
        <v>3292</v>
      </c>
      <c r="W1052" s="2" t="s">
        <v>74</v>
      </c>
      <c r="X1052" s="2" t="s">
        <v>74</v>
      </c>
      <c r="Y1052" s="2" t="s">
        <v>74</v>
      </c>
      <c r="Z1052" s="2" t="s">
        <v>74</v>
      </c>
      <c r="AA1052" s="2" t="s">
        <v>3293</v>
      </c>
      <c r="AB1052" s="2" t="s">
        <v>3294</v>
      </c>
      <c r="AC1052" s="2" t="s">
        <v>74</v>
      </c>
      <c r="AD1052" s="2" t="s">
        <v>74</v>
      </c>
      <c r="AE1052" s="2" t="s">
        <v>74</v>
      </c>
      <c r="AF1052" s="2" t="s">
        <v>74</v>
      </c>
      <c r="AG1052" s="2" t="s">
        <v>74</v>
      </c>
      <c r="AH1052" s="2" t="s">
        <v>74</v>
      </c>
      <c r="AI1052" s="2" t="s">
        <v>74</v>
      </c>
      <c r="AJ1052" s="2" t="s">
        <v>74</v>
      </c>
      <c r="AK1052" s="2" t="s">
        <v>74</v>
      </c>
      <c r="AL1052" s="2" t="s">
        <v>74</v>
      </c>
      <c r="AM1052" s="2" t="s">
        <v>74</v>
      </c>
      <c r="AN1052" s="2" t="s">
        <v>74</v>
      </c>
      <c r="AO1052" s="2" t="s">
        <v>3295</v>
      </c>
      <c r="AP1052" s="2" t="s">
        <v>74</v>
      </c>
      <c r="AQ1052" s="2" t="s">
        <v>74</v>
      </c>
      <c r="AR1052" s="2" t="s">
        <v>74</v>
      </c>
      <c r="AS1052" s="2" t="s">
        <v>74</v>
      </c>
      <c r="AT1052" s="2" t="s">
        <v>1641</v>
      </c>
      <c r="AU1052" s="2">
        <v>2013</v>
      </c>
      <c r="AV1052" s="2">
        <v>10</v>
      </c>
      <c r="AW1052" s="2" t="s">
        <v>74</v>
      </c>
      <c r="AX1052" s="2" t="s">
        <v>74</v>
      </c>
      <c r="AY1052" s="2" t="s">
        <v>74</v>
      </c>
      <c r="AZ1052" s="2" t="s">
        <v>74</v>
      </c>
      <c r="BA1052" s="2" t="s">
        <v>74</v>
      </c>
      <c r="BB1052" s="2" t="s">
        <v>74</v>
      </c>
      <c r="BC1052" s="2" t="s">
        <v>74</v>
      </c>
      <c r="BD1052" s="2">
        <v>25</v>
      </c>
      <c r="BE1052" s="2" t="s">
        <v>3296</v>
      </c>
      <c r="BF1052" s="2" t="str">
        <f>HYPERLINK("http://dx.doi.org/10.1186/1742-9994-10-25","http://dx.doi.org/10.1186/1742-9994-10-25")</f>
        <v>http://dx.doi.org/10.1186/1742-9994-10-25</v>
      </c>
      <c r="BG1052" s="2" t="s">
        <v>74</v>
      </c>
      <c r="BH1052" s="2" t="s">
        <v>74</v>
      </c>
      <c r="BI1052" s="2" t="s">
        <v>74</v>
      </c>
      <c r="BJ1052" s="2" t="s">
        <v>74</v>
      </c>
      <c r="BK1052" s="2" t="s">
        <v>74</v>
      </c>
      <c r="BL1052" s="2" t="s">
        <v>74</v>
      </c>
      <c r="BM1052" s="2" t="s">
        <v>74</v>
      </c>
      <c r="BN1052" s="2">
        <v>23663311</v>
      </c>
      <c r="BO1052" s="2" t="s">
        <v>74</v>
      </c>
      <c r="BP1052" s="2" t="s">
        <v>74</v>
      </c>
      <c r="BQ1052" s="2" t="s">
        <v>74</v>
      </c>
      <c r="BR1052" s="2" t="s">
        <v>74</v>
      </c>
      <c r="BS1052" s="2" t="s">
        <v>3297</v>
      </c>
      <c r="BT1052" s="2" t="str">
        <f>HYPERLINK("https%3A%2F%2Fwww.webofscience.com%2Fwos%2Fwoscc%2Ffull-record%2FWOS:000319151500001","View Full Record in Web of Science")</f>
        <v>View Full Record in Web of Science</v>
      </c>
    </row>
    <row r="1053" spans="1:72" s="2" customFormat="1" x14ac:dyDescent="0.4">
      <c r="A1053" s="2" t="s">
        <v>72</v>
      </c>
      <c r="B1053" s="2" t="s">
        <v>5442</v>
      </c>
      <c r="C1053" s="2" t="s">
        <v>74</v>
      </c>
      <c r="D1053" s="2" t="s">
        <v>74</v>
      </c>
      <c r="E1053" s="2" t="s">
        <v>74</v>
      </c>
      <c r="F1053" s="2" t="s">
        <v>5443</v>
      </c>
      <c r="G1053" s="2" t="s">
        <v>74</v>
      </c>
      <c r="H1053" s="2" t="s">
        <v>74</v>
      </c>
      <c r="I1053" s="2" t="s">
        <v>5444</v>
      </c>
      <c r="J1053" s="2" t="s">
        <v>333</v>
      </c>
      <c r="K1053" s="2" t="s">
        <v>74</v>
      </c>
      <c r="L1053" s="2" t="s">
        <v>74</v>
      </c>
      <c r="M1053" s="2" t="s">
        <v>74</v>
      </c>
      <c r="N1053" s="2" t="s">
        <v>74</v>
      </c>
      <c r="O1053" s="2" t="s">
        <v>74</v>
      </c>
      <c r="P1053" s="2" t="s">
        <v>74</v>
      </c>
      <c r="Q1053" s="2" t="s">
        <v>74</v>
      </c>
      <c r="R1053" s="2" t="s">
        <v>74</v>
      </c>
      <c r="S1053" s="2" t="s">
        <v>74</v>
      </c>
      <c r="T1053" s="2" t="s">
        <v>74</v>
      </c>
      <c r="U1053" s="2" t="s">
        <v>74</v>
      </c>
      <c r="V1053" s="5" t="s">
        <v>5445</v>
      </c>
      <c r="W1053" s="2" t="s">
        <v>74</v>
      </c>
      <c r="X1053" s="2" t="s">
        <v>74</v>
      </c>
      <c r="Y1053" s="2" t="s">
        <v>74</v>
      </c>
      <c r="Z1053" s="2" t="s">
        <v>74</v>
      </c>
      <c r="AA1053" s="2" t="s">
        <v>74</v>
      </c>
      <c r="AB1053" s="2" t="s">
        <v>74</v>
      </c>
      <c r="AC1053" s="2" t="s">
        <v>74</v>
      </c>
      <c r="AD1053" s="2" t="s">
        <v>74</v>
      </c>
      <c r="AE1053" s="2" t="s">
        <v>74</v>
      </c>
      <c r="AF1053" s="2" t="s">
        <v>74</v>
      </c>
      <c r="AG1053" s="2" t="s">
        <v>74</v>
      </c>
      <c r="AH1053" s="2" t="s">
        <v>74</v>
      </c>
      <c r="AI1053" s="2" t="s">
        <v>74</v>
      </c>
      <c r="AJ1053" s="2" t="s">
        <v>74</v>
      </c>
      <c r="AK1053" s="2" t="s">
        <v>74</v>
      </c>
      <c r="AL1053" s="2" t="s">
        <v>74</v>
      </c>
      <c r="AM1053" s="2" t="s">
        <v>74</v>
      </c>
      <c r="AN1053" s="2" t="s">
        <v>74</v>
      </c>
      <c r="AO1053" s="2" t="s">
        <v>337</v>
      </c>
      <c r="AP1053" s="2" t="s">
        <v>338</v>
      </c>
      <c r="AQ1053" s="2" t="s">
        <v>74</v>
      </c>
      <c r="AR1053" s="2" t="s">
        <v>74</v>
      </c>
      <c r="AS1053" s="2" t="s">
        <v>74</v>
      </c>
      <c r="AT1053" s="2" t="s">
        <v>1013</v>
      </c>
      <c r="AU1053" s="2">
        <v>2018</v>
      </c>
      <c r="AV1053" s="2">
        <v>29</v>
      </c>
      <c r="AW1053" s="2">
        <v>5</v>
      </c>
      <c r="AX1053" s="2" t="s">
        <v>74</v>
      </c>
      <c r="AY1053" s="2" t="s">
        <v>74</v>
      </c>
      <c r="AZ1053" s="2" t="s">
        <v>74</v>
      </c>
      <c r="BA1053" s="2" t="s">
        <v>74</v>
      </c>
      <c r="BB1053" s="2">
        <v>1046</v>
      </c>
      <c r="BC1053" s="2">
        <v>1055</v>
      </c>
      <c r="BD1053" s="2" t="s">
        <v>74</v>
      </c>
      <c r="BE1053" s="2" t="s">
        <v>5446</v>
      </c>
      <c r="BF1053" s="2" t="str">
        <f>HYPERLINK("http://dx.doi.org/10.1093/beheco/ary078","http://dx.doi.org/10.1093/beheco/ary078")</f>
        <v>http://dx.doi.org/10.1093/beheco/ary078</v>
      </c>
      <c r="BG1053" s="2" t="s">
        <v>74</v>
      </c>
      <c r="BH1053" s="2" t="s">
        <v>74</v>
      </c>
      <c r="BI1053" s="2" t="s">
        <v>74</v>
      </c>
      <c r="BJ1053" s="2" t="s">
        <v>74</v>
      </c>
      <c r="BK1053" s="2" t="s">
        <v>74</v>
      </c>
      <c r="BL1053" s="2" t="s">
        <v>74</v>
      </c>
      <c r="BM1053" s="2" t="s">
        <v>74</v>
      </c>
      <c r="BN1053" s="2" t="s">
        <v>74</v>
      </c>
      <c r="BO1053" s="2" t="s">
        <v>74</v>
      </c>
      <c r="BP1053" s="2" t="s">
        <v>74</v>
      </c>
      <c r="BQ1053" s="2" t="s">
        <v>74</v>
      </c>
      <c r="BR1053" s="2" t="s">
        <v>74</v>
      </c>
      <c r="BS1053" s="2" t="s">
        <v>5447</v>
      </c>
      <c r="BT1053" s="2" t="str">
        <f>HYPERLINK("https%3A%2F%2Fwww.webofscience.com%2Fwos%2Fwoscc%2Ffull-record%2FWOS:000444301900012","View Full Record in Web of Science")</f>
        <v>View Full Record in Web of Science</v>
      </c>
    </row>
    <row r="1054" spans="1:72" s="2" customFormat="1" x14ac:dyDescent="0.4">
      <c r="A1054" s="2" t="s">
        <v>72</v>
      </c>
      <c r="B1054" s="2" t="s">
        <v>7257</v>
      </c>
      <c r="C1054" s="2" t="s">
        <v>74</v>
      </c>
      <c r="D1054" s="2" t="s">
        <v>74</v>
      </c>
      <c r="E1054" s="2" t="s">
        <v>74</v>
      </c>
      <c r="F1054" s="2" t="s">
        <v>7257</v>
      </c>
      <c r="G1054" s="2" t="s">
        <v>74</v>
      </c>
      <c r="H1054" s="2" t="s">
        <v>74</v>
      </c>
      <c r="I1054" s="2" t="s">
        <v>7258</v>
      </c>
      <c r="J1054" s="2" t="s">
        <v>5577</v>
      </c>
      <c r="K1054" s="2" t="s">
        <v>74</v>
      </c>
      <c r="L1054" s="2" t="s">
        <v>74</v>
      </c>
      <c r="M1054" s="2" t="s">
        <v>74</v>
      </c>
      <c r="N1054" s="2" t="s">
        <v>74</v>
      </c>
      <c r="O1054" s="2" t="s">
        <v>74</v>
      </c>
      <c r="P1054" s="2" t="s">
        <v>74</v>
      </c>
      <c r="Q1054" s="2" t="s">
        <v>74</v>
      </c>
      <c r="R1054" s="2" t="s">
        <v>74</v>
      </c>
      <c r="S1054" s="2" t="s">
        <v>74</v>
      </c>
      <c r="T1054" s="2" t="s">
        <v>74</v>
      </c>
      <c r="U1054" s="2" t="s">
        <v>74</v>
      </c>
      <c r="V1054" s="5" t="s">
        <v>7259</v>
      </c>
      <c r="W1054" s="2" t="s">
        <v>74</v>
      </c>
      <c r="X1054" s="2" t="s">
        <v>74</v>
      </c>
      <c r="Y1054" s="2" t="s">
        <v>74</v>
      </c>
      <c r="Z1054" s="2" t="s">
        <v>74</v>
      </c>
      <c r="AA1054" s="2" t="s">
        <v>7260</v>
      </c>
      <c r="AB1054" s="2" t="s">
        <v>74</v>
      </c>
      <c r="AC1054" s="2" t="s">
        <v>74</v>
      </c>
      <c r="AD1054" s="2" t="s">
        <v>74</v>
      </c>
      <c r="AE1054" s="2" t="s">
        <v>74</v>
      </c>
      <c r="AF1054" s="2" t="s">
        <v>74</v>
      </c>
      <c r="AG1054" s="2" t="s">
        <v>74</v>
      </c>
      <c r="AH1054" s="2" t="s">
        <v>74</v>
      </c>
      <c r="AI1054" s="2" t="s">
        <v>74</v>
      </c>
      <c r="AJ1054" s="2" t="s">
        <v>74</v>
      </c>
      <c r="AK1054" s="2" t="s">
        <v>74</v>
      </c>
      <c r="AL1054" s="2" t="s">
        <v>74</v>
      </c>
      <c r="AM1054" s="2" t="s">
        <v>74</v>
      </c>
      <c r="AN1054" s="2" t="s">
        <v>74</v>
      </c>
      <c r="AO1054" s="2" t="s">
        <v>5579</v>
      </c>
      <c r="AP1054" s="2" t="s">
        <v>74</v>
      </c>
      <c r="AQ1054" s="2" t="s">
        <v>74</v>
      </c>
      <c r="AR1054" s="2" t="s">
        <v>74</v>
      </c>
      <c r="AS1054" s="2" t="s">
        <v>74</v>
      </c>
      <c r="AT1054" s="2" t="s">
        <v>145</v>
      </c>
      <c r="AU1054" s="2">
        <v>2002</v>
      </c>
      <c r="AV1054" s="2">
        <v>81</v>
      </c>
      <c r="AW1054" s="2">
        <v>8</v>
      </c>
      <c r="AX1054" s="2" t="s">
        <v>74</v>
      </c>
      <c r="AY1054" s="2" t="s">
        <v>74</v>
      </c>
      <c r="AZ1054" s="2" t="s">
        <v>74</v>
      </c>
      <c r="BA1054" s="2" t="s">
        <v>74</v>
      </c>
      <c r="BB1054" s="2">
        <v>970</v>
      </c>
      <c r="BC1054" s="2">
        <v>977</v>
      </c>
      <c r="BD1054" s="2" t="s">
        <v>74</v>
      </c>
      <c r="BE1054" s="2" t="s">
        <v>74</v>
      </c>
      <c r="BF1054" s="2" t="s">
        <v>74</v>
      </c>
      <c r="BG1054" s="2" t="s">
        <v>74</v>
      </c>
      <c r="BH1054" s="2" t="s">
        <v>74</v>
      </c>
      <c r="BI1054" s="2" t="s">
        <v>74</v>
      </c>
      <c r="BJ1054" s="2" t="s">
        <v>74</v>
      </c>
      <c r="BK1054" s="2" t="s">
        <v>74</v>
      </c>
      <c r="BL1054" s="2" t="s">
        <v>74</v>
      </c>
      <c r="BM1054" s="2" t="s">
        <v>74</v>
      </c>
      <c r="BN1054" s="2" t="s">
        <v>74</v>
      </c>
      <c r="BO1054" s="2" t="s">
        <v>74</v>
      </c>
      <c r="BP1054" s="2" t="s">
        <v>74</v>
      </c>
      <c r="BQ1054" s="2" t="s">
        <v>74</v>
      </c>
      <c r="BR1054" s="2" t="s">
        <v>74</v>
      </c>
      <c r="BS1054" s="2" t="s">
        <v>7261</v>
      </c>
      <c r="BT1054" s="2" t="str">
        <f>HYPERLINK("https%3A%2F%2Fwww.webofscience.com%2Fwos%2Fwoscc%2Ffull-record%2FWOS:000178048000009","View Full Record in Web of Science")</f>
        <v>View Full Record in Web of Science</v>
      </c>
    </row>
    <row r="1055" spans="1:72" s="2" customFormat="1" x14ac:dyDescent="0.4">
      <c r="A1055" s="2" t="s">
        <v>72</v>
      </c>
      <c r="B1055" s="2" t="s">
        <v>389</v>
      </c>
      <c r="C1055" s="2" t="s">
        <v>74</v>
      </c>
      <c r="D1055" s="2" t="s">
        <v>74</v>
      </c>
      <c r="E1055" s="2" t="s">
        <v>74</v>
      </c>
      <c r="F1055" s="2" t="s">
        <v>389</v>
      </c>
      <c r="G1055" s="2" t="s">
        <v>74</v>
      </c>
      <c r="H1055" s="2" t="s">
        <v>74</v>
      </c>
      <c r="I1055" s="2" t="s">
        <v>390</v>
      </c>
      <c r="J1055" s="2" t="s">
        <v>151</v>
      </c>
      <c r="K1055" s="2" t="s">
        <v>74</v>
      </c>
      <c r="L1055" s="2" t="s">
        <v>74</v>
      </c>
      <c r="M1055" s="2" t="s">
        <v>74</v>
      </c>
      <c r="N1055" s="2" t="s">
        <v>74</v>
      </c>
      <c r="O1055" s="2" t="s">
        <v>74</v>
      </c>
      <c r="P1055" s="2" t="s">
        <v>74</v>
      </c>
      <c r="Q1055" s="2" t="s">
        <v>74</v>
      </c>
      <c r="R1055" s="2" t="s">
        <v>74</v>
      </c>
      <c r="S1055" s="2" t="s">
        <v>74</v>
      </c>
      <c r="T1055" s="2" t="s">
        <v>74</v>
      </c>
      <c r="U1055" s="2" t="s">
        <v>74</v>
      </c>
      <c r="V1055" s="5" t="s">
        <v>391</v>
      </c>
      <c r="W1055" s="2" t="s">
        <v>74</v>
      </c>
      <c r="X1055" s="2" t="s">
        <v>74</v>
      </c>
      <c r="Y1055" s="2" t="s">
        <v>74</v>
      </c>
      <c r="Z1055" s="2" t="s">
        <v>74</v>
      </c>
      <c r="AA1055" s="2" t="s">
        <v>74</v>
      </c>
      <c r="AB1055" s="2" t="s">
        <v>74</v>
      </c>
      <c r="AC1055" s="2" t="s">
        <v>74</v>
      </c>
      <c r="AD1055" s="2" t="s">
        <v>74</v>
      </c>
      <c r="AE1055" s="2" t="s">
        <v>74</v>
      </c>
      <c r="AF1055" s="2" t="s">
        <v>74</v>
      </c>
      <c r="AG1055" s="2" t="s">
        <v>74</v>
      </c>
      <c r="AH1055" s="2" t="s">
        <v>74</v>
      </c>
      <c r="AI1055" s="2" t="s">
        <v>74</v>
      </c>
      <c r="AJ1055" s="2" t="s">
        <v>74</v>
      </c>
      <c r="AK1055" s="2" t="s">
        <v>74</v>
      </c>
      <c r="AL1055" s="2" t="s">
        <v>74</v>
      </c>
      <c r="AM1055" s="2" t="s">
        <v>74</v>
      </c>
      <c r="AN1055" s="2" t="s">
        <v>74</v>
      </c>
      <c r="AO1055" s="2" t="s">
        <v>155</v>
      </c>
      <c r="AP1055" s="2" t="s">
        <v>74</v>
      </c>
      <c r="AQ1055" s="2" t="s">
        <v>74</v>
      </c>
      <c r="AR1055" s="2" t="s">
        <v>74</v>
      </c>
      <c r="AS1055" s="2" t="s">
        <v>74</v>
      </c>
      <c r="AT1055" s="2" t="s">
        <v>74</v>
      </c>
      <c r="AU1055" s="2">
        <v>2003</v>
      </c>
      <c r="AV1055" s="2">
        <v>247</v>
      </c>
      <c r="AW1055" s="2" t="s">
        <v>74</v>
      </c>
      <c r="AX1055" s="2" t="s">
        <v>74</v>
      </c>
      <c r="AY1055" s="2" t="s">
        <v>74</v>
      </c>
      <c r="AZ1055" s="2" t="s">
        <v>74</v>
      </c>
      <c r="BA1055" s="2" t="s">
        <v>74</v>
      </c>
      <c r="BB1055" s="2">
        <v>85</v>
      </c>
      <c r="BC1055" s="2">
        <v>92</v>
      </c>
      <c r="BD1055" s="2" t="s">
        <v>74</v>
      </c>
      <c r="BE1055" s="2" t="s">
        <v>392</v>
      </c>
      <c r="BF1055" s="2" t="str">
        <f>HYPERLINK("http://dx.doi.org/10.3354/meps247085","http://dx.doi.org/10.3354/meps247085")</f>
        <v>http://dx.doi.org/10.3354/meps247085</v>
      </c>
      <c r="BG1055" s="2" t="s">
        <v>74</v>
      </c>
      <c r="BH1055" s="2" t="s">
        <v>74</v>
      </c>
      <c r="BI1055" s="2" t="s">
        <v>74</v>
      </c>
      <c r="BJ1055" s="2" t="s">
        <v>74</v>
      </c>
      <c r="BK1055" s="2" t="s">
        <v>74</v>
      </c>
      <c r="BL1055" s="2" t="s">
        <v>74</v>
      </c>
      <c r="BM1055" s="2" t="s">
        <v>74</v>
      </c>
      <c r="BN1055" s="2" t="s">
        <v>74</v>
      </c>
      <c r="BO1055" s="2" t="s">
        <v>74</v>
      </c>
      <c r="BP1055" s="2" t="s">
        <v>74</v>
      </c>
      <c r="BQ1055" s="2" t="s">
        <v>74</v>
      </c>
      <c r="BR1055" s="2" t="s">
        <v>74</v>
      </c>
      <c r="BS1055" s="2" t="s">
        <v>393</v>
      </c>
      <c r="BT1055" s="2" t="str">
        <f>HYPERLINK("https%3A%2F%2Fwww.webofscience.com%2Fwos%2Fwoscc%2Ffull-record%2FWOS:000181318700008","View Full Record in Web of Science")</f>
        <v>View Full Record in Web of Science</v>
      </c>
    </row>
    <row r="1056" spans="1:72" s="2" customFormat="1" x14ac:dyDescent="0.4">
      <c r="A1056" s="2" t="s">
        <v>72</v>
      </c>
      <c r="B1056" s="2" t="s">
        <v>669</v>
      </c>
      <c r="C1056" s="2" t="s">
        <v>74</v>
      </c>
      <c r="D1056" s="2" t="s">
        <v>74</v>
      </c>
      <c r="E1056" s="2" t="s">
        <v>74</v>
      </c>
      <c r="F1056" s="2" t="s">
        <v>670</v>
      </c>
      <c r="G1056" s="2" t="s">
        <v>74</v>
      </c>
      <c r="H1056" s="2" t="s">
        <v>74</v>
      </c>
      <c r="I1056" s="2" t="s">
        <v>671</v>
      </c>
      <c r="J1056" s="2" t="s">
        <v>218</v>
      </c>
      <c r="K1056" s="2" t="s">
        <v>74</v>
      </c>
      <c r="L1056" s="2" t="s">
        <v>74</v>
      </c>
      <c r="M1056" s="2" t="s">
        <v>74</v>
      </c>
      <c r="N1056" s="2" t="s">
        <v>74</v>
      </c>
      <c r="O1056" s="2" t="s">
        <v>74</v>
      </c>
      <c r="P1056" s="2" t="s">
        <v>74</v>
      </c>
      <c r="Q1056" s="2" t="s">
        <v>74</v>
      </c>
      <c r="R1056" s="2" t="s">
        <v>74</v>
      </c>
      <c r="S1056" s="2" t="s">
        <v>74</v>
      </c>
      <c r="T1056" s="2" t="s">
        <v>74</v>
      </c>
      <c r="U1056" s="2" t="s">
        <v>74</v>
      </c>
      <c r="V1056" s="5" t="s">
        <v>672</v>
      </c>
      <c r="W1056" s="2" t="s">
        <v>74</v>
      </c>
      <c r="X1056" s="2" t="s">
        <v>74</v>
      </c>
      <c r="Y1056" s="2" t="s">
        <v>74</v>
      </c>
      <c r="Z1056" s="2" t="s">
        <v>74</v>
      </c>
      <c r="AA1056" s="2" t="s">
        <v>74</v>
      </c>
      <c r="AB1056" s="2" t="s">
        <v>673</v>
      </c>
      <c r="AC1056" s="2" t="s">
        <v>74</v>
      </c>
      <c r="AD1056" s="2" t="s">
        <v>74</v>
      </c>
      <c r="AE1056" s="2" t="s">
        <v>74</v>
      </c>
      <c r="AF1056" s="2" t="s">
        <v>74</v>
      </c>
      <c r="AG1056" s="2" t="s">
        <v>74</v>
      </c>
      <c r="AH1056" s="2" t="s">
        <v>74</v>
      </c>
      <c r="AI1056" s="2" t="s">
        <v>74</v>
      </c>
      <c r="AJ1056" s="2" t="s">
        <v>74</v>
      </c>
      <c r="AK1056" s="2" t="s">
        <v>74</v>
      </c>
      <c r="AL1056" s="2" t="s">
        <v>74</v>
      </c>
      <c r="AM1056" s="2" t="s">
        <v>74</v>
      </c>
      <c r="AN1056" s="2" t="s">
        <v>74</v>
      </c>
      <c r="AO1056" s="2" t="s">
        <v>221</v>
      </c>
      <c r="AP1056" s="2" t="s">
        <v>222</v>
      </c>
      <c r="AQ1056" s="2" t="s">
        <v>74</v>
      </c>
      <c r="AR1056" s="2" t="s">
        <v>74</v>
      </c>
      <c r="AS1056" s="2" t="s">
        <v>74</v>
      </c>
      <c r="AT1056" s="2" t="s">
        <v>213</v>
      </c>
      <c r="AU1056" s="2">
        <v>2021</v>
      </c>
      <c r="AV1056" s="2">
        <v>34</v>
      </c>
      <c r="AW1056" s="2">
        <v>11</v>
      </c>
      <c r="AX1056" s="2" t="s">
        <v>74</v>
      </c>
      <c r="AY1056" s="2" t="s">
        <v>74</v>
      </c>
      <c r="AZ1056" s="2" t="s">
        <v>74</v>
      </c>
      <c r="BA1056" s="2" t="s">
        <v>74</v>
      </c>
      <c r="BB1056" s="2">
        <v>1678</v>
      </c>
      <c r="BC1056" s="2">
        <v>1690</v>
      </c>
      <c r="BD1056" s="2" t="s">
        <v>74</v>
      </c>
      <c r="BE1056" s="2" t="s">
        <v>674</v>
      </c>
      <c r="BF1056" s="2" t="str">
        <f>HYPERLINK("http://dx.doi.org/10.1111/jeb.13929","http://dx.doi.org/10.1111/jeb.13929")</f>
        <v>http://dx.doi.org/10.1111/jeb.13929</v>
      </c>
      <c r="BG1056" s="2" t="s">
        <v>74</v>
      </c>
      <c r="BH1056" s="2" t="s">
        <v>675</v>
      </c>
      <c r="BI1056" s="2" t="s">
        <v>74</v>
      </c>
      <c r="BJ1056" s="2" t="s">
        <v>74</v>
      </c>
      <c r="BK1056" s="2" t="s">
        <v>74</v>
      </c>
      <c r="BL1056" s="2" t="s">
        <v>74</v>
      </c>
      <c r="BM1056" s="2" t="s">
        <v>74</v>
      </c>
      <c r="BN1056" s="2">
        <v>34528321</v>
      </c>
      <c r="BO1056" s="2" t="s">
        <v>74</v>
      </c>
      <c r="BP1056" s="2" t="s">
        <v>74</v>
      </c>
      <c r="BQ1056" s="2" t="s">
        <v>74</v>
      </c>
      <c r="BR1056" s="2" t="s">
        <v>74</v>
      </c>
      <c r="BS1056" s="2" t="s">
        <v>676</v>
      </c>
      <c r="BT1056" s="2" t="str">
        <f>HYPERLINK("https%3A%2F%2Fwww.webofscience.com%2Fwos%2Fwoscc%2Ffull-record%2FWOS:000698957000001","View Full Record in Web of Science")</f>
        <v>View Full Record in Web of Science</v>
      </c>
    </row>
    <row r="1057" spans="1:72" s="2" customFormat="1" x14ac:dyDescent="0.4">
      <c r="A1057" s="2" t="s">
        <v>72</v>
      </c>
      <c r="B1057" s="2" t="s">
        <v>2364</v>
      </c>
      <c r="C1057" s="2" t="s">
        <v>74</v>
      </c>
      <c r="D1057" s="2" t="s">
        <v>74</v>
      </c>
      <c r="E1057" s="2" t="s">
        <v>74</v>
      </c>
      <c r="F1057" s="2" t="s">
        <v>2365</v>
      </c>
      <c r="G1057" s="2" t="s">
        <v>74</v>
      </c>
      <c r="H1057" s="2" t="s">
        <v>74</v>
      </c>
      <c r="I1057" s="2" t="s">
        <v>2366</v>
      </c>
      <c r="J1057" s="2" t="s">
        <v>408</v>
      </c>
      <c r="K1057" s="2" t="s">
        <v>74</v>
      </c>
      <c r="L1057" s="2" t="s">
        <v>74</v>
      </c>
      <c r="M1057" s="2" t="s">
        <v>74</v>
      </c>
      <c r="N1057" s="2" t="s">
        <v>74</v>
      </c>
      <c r="O1057" s="2" t="s">
        <v>74</v>
      </c>
      <c r="P1057" s="2" t="s">
        <v>74</v>
      </c>
      <c r="Q1057" s="2" t="s">
        <v>74</v>
      </c>
      <c r="R1057" s="2" t="s">
        <v>74</v>
      </c>
      <c r="S1057" s="2" t="s">
        <v>74</v>
      </c>
      <c r="T1057" s="2" t="s">
        <v>74</v>
      </c>
      <c r="U1057" s="2" t="s">
        <v>74</v>
      </c>
      <c r="V1057" s="5" t="s">
        <v>2367</v>
      </c>
      <c r="W1057" s="2" t="s">
        <v>74</v>
      </c>
      <c r="X1057" s="2" t="s">
        <v>74</v>
      </c>
      <c r="Y1057" s="2" t="s">
        <v>74</v>
      </c>
      <c r="Z1057" s="2" t="s">
        <v>74</v>
      </c>
      <c r="AA1057" s="2" t="s">
        <v>74</v>
      </c>
      <c r="AB1057" s="2" t="s">
        <v>2368</v>
      </c>
      <c r="AC1057" s="2" t="s">
        <v>74</v>
      </c>
      <c r="AD1057" s="2" t="s">
        <v>74</v>
      </c>
      <c r="AE1057" s="2" t="s">
        <v>74</v>
      </c>
      <c r="AF1057" s="2" t="s">
        <v>74</v>
      </c>
      <c r="AG1057" s="2" t="s">
        <v>74</v>
      </c>
      <c r="AH1057" s="2" t="s">
        <v>74</v>
      </c>
      <c r="AI1057" s="2" t="s">
        <v>74</v>
      </c>
      <c r="AJ1057" s="2" t="s">
        <v>74</v>
      </c>
      <c r="AK1057" s="2" t="s">
        <v>74</v>
      </c>
      <c r="AL1057" s="2" t="s">
        <v>74</v>
      </c>
      <c r="AM1057" s="2" t="s">
        <v>74</v>
      </c>
      <c r="AN1057" s="2" t="s">
        <v>74</v>
      </c>
      <c r="AO1057" s="2" t="s">
        <v>412</v>
      </c>
      <c r="AP1057" s="2" t="s">
        <v>413</v>
      </c>
      <c r="AQ1057" s="2" t="s">
        <v>74</v>
      </c>
      <c r="AR1057" s="2" t="s">
        <v>74</v>
      </c>
      <c r="AS1057" s="2" t="s">
        <v>74</v>
      </c>
      <c r="AT1057" s="2" t="s">
        <v>352</v>
      </c>
      <c r="AU1057" s="2">
        <v>2013</v>
      </c>
      <c r="AV1057" s="2">
        <v>110</v>
      </c>
      <c r="AW1057" s="2">
        <v>1</v>
      </c>
      <c r="AX1057" s="2" t="s">
        <v>74</v>
      </c>
      <c r="AY1057" s="2" t="s">
        <v>74</v>
      </c>
      <c r="AZ1057" s="2" t="s">
        <v>74</v>
      </c>
      <c r="BA1057" s="2" t="s">
        <v>74</v>
      </c>
      <c r="BB1057" s="2">
        <v>180</v>
      </c>
      <c r="BC1057" s="2">
        <v>188</v>
      </c>
      <c r="BD1057" s="2" t="s">
        <v>74</v>
      </c>
      <c r="BE1057" s="2" t="s">
        <v>2369</v>
      </c>
      <c r="BF1057" s="2" t="str">
        <f>HYPERLINK("http://dx.doi.org/10.1111/bij.12105","http://dx.doi.org/10.1111/bij.12105")</f>
        <v>http://dx.doi.org/10.1111/bij.12105</v>
      </c>
      <c r="BG1057" s="2" t="s">
        <v>74</v>
      </c>
      <c r="BH1057" s="2" t="s">
        <v>74</v>
      </c>
      <c r="BI1057" s="2" t="s">
        <v>74</v>
      </c>
      <c r="BJ1057" s="2" t="s">
        <v>74</v>
      </c>
      <c r="BK1057" s="2" t="s">
        <v>74</v>
      </c>
      <c r="BL1057" s="2" t="s">
        <v>74</v>
      </c>
      <c r="BM1057" s="2" t="s">
        <v>74</v>
      </c>
      <c r="BN1057" s="2" t="s">
        <v>74</v>
      </c>
      <c r="BO1057" s="2" t="s">
        <v>74</v>
      </c>
      <c r="BP1057" s="2" t="s">
        <v>74</v>
      </c>
      <c r="BQ1057" s="2" t="s">
        <v>74</v>
      </c>
      <c r="BR1057" s="2" t="s">
        <v>74</v>
      </c>
      <c r="BS1057" s="2" t="s">
        <v>2370</v>
      </c>
      <c r="BT1057" s="2" t="str">
        <f>HYPERLINK("https%3A%2F%2Fwww.webofscience.com%2Fwos%2Fwoscc%2Ffull-record%2FWOS:000323040200013","View Full Record in Web of Science")</f>
        <v>View Full Record in Web of Science</v>
      </c>
    </row>
    <row r="1058" spans="1:72" s="2" customFormat="1" x14ac:dyDescent="0.4">
      <c r="A1058" s="2" t="s">
        <v>72</v>
      </c>
      <c r="B1058" s="2" t="s">
        <v>4041</v>
      </c>
      <c r="C1058" s="2" t="s">
        <v>74</v>
      </c>
      <c r="D1058" s="2" t="s">
        <v>74</v>
      </c>
      <c r="E1058" s="2" t="s">
        <v>74</v>
      </c>
      <c r="F1058" s="2" t="s">
        <v>4042</v>
      </c>
      <c r="G1058" s="2" t="s">
        <v>74</v>
      </c>
      <c r="H1058" s="2" t="s">
        <v>74</v>
      </c>
      <c r="I1058" s="2" t="s">
        <v>4043</v>
      </c>
      <c r="J1058" s="2" t="s">
        <v>129</v>
      </c>
      <c r="K1058" s="2" t="s">
        <v>74</v>
      </c>
      <c r="L1058" s="2" t="s">
        <v>74</v>
      </c>
      <c r="M1058" s="2" t="s">
        <v>74</v>
      </c>
      <c r="N1058" s="2" t="s">
        <v>74</v>
      </c>
      <c r="O1058" s="2" t="s">
        <v>74</v>
      </c>
      <c r="P1058" s="2" t="s">
        <v>74</v>
      </c>
      <c r="Q1058" s="2" t="s">
        <v>74</v>
      </c>
      <c r="R1058" s="2" t="s">
        <v>74</v>
      </c>
      <c r="S1058" s="2" t="s">
        <v>74</v>
      </c>
      <c r="T1058" s="2" t="s">
        <v>74</v>
      </c>
      <c r="U1058" s="2" t="s">
        <v>74</v>
      </c>
      <c r="V1058" s="5" t="s">
        <v>4044</v>
      </c>
      <c r="W1058" s="2" t="s">
        <v>74</v>
      </c>
      <c r="X1058" s="2" t="s">
        <v>74</v>
      </c>
      <c r="Y1058" s="2" t="s">
        <v>74</v>
      </c>
      <c r="Z1058" s="2" t="s">
        <v>74</v>
      </c>
      <c r="AA1058" s="2" t="s">
        <v>74</v>
      </c>
      <c r="AB1058" s="2" t="s">
        <v>74</v>
      </c>
      <c r="AC1058" s="2" t="s">
        <v>74</v>
      </c>
      <c r="AD1058" s="2" t="s">
        <v>74</v>
      </c>
      <c r="AE1058" s="2" t="s">
        <v>74</v>
      </c>
      <c r="AF1058" s="2" t="s">
        <v>74</v>
      </c>
      <c r="AG1058" s="2" t="s">
        <v>74</v>
      </c>
      <c r="AH1058" s="2" t="s">
        <v>74</v>
      </c>
      <c r="AI1058" s="2" t="s">
        <v>74</v>
      </c>
      <c r="AJ1058" s="2" t="s">
        <v>74</v>
      </c>
      <c r="AK1058" s="2" t="s">
        <v>74</v>
      </c>
      <c r="AL1058" s="2" t="s">
        <v>74</v>
      </c>
      <c r="AM1058" s="2" t="s">
        <v>74</v>
      </c>
      <c r="AN1058" s="2" t="s">
        <v>74</v>
      </c>
      <c r="AO1058" s="2" t="s">
        <v>132</v>
      </c>
      <c r="AP1058" s="2" t="s">
        <v>133</v>
      </c>
      <c r="AQ1058" s="2" t="s">
        <v>74</v>
      </c>
      <c r="AR1058" s="2" t="s">
        <v>74</v>
      </c>
      <c r="AS1058" s="2" t="s">
        <v>74</v>
      </c>
      <c r="AT1058" s="2" t="s">
        <v>123</v>
      </c>
      <c r="AU1058" s="2">
        <v>2024</v>
      </c>
      <c r="AV1058" s="2">
        <v>78</v>
      </c>
      <c r="AW1058" s="2">
        <v>3</v>
      </c>
      <c r="AX1058" s="2" t="s">
        <v>74</v>
      </c>
      <c r="AY1058" s="2" t="s">
        <v>74</v>
      </c>
      <c r="AZ1058" s="2" t="s">
        <v>74</v>
      </c>
      <c r="BA1058" s="2" t="s">
        <v>74</v>
      </c>
      <c r="BB1058" s="2" t="s">
        <v>74</v>
      </c>
      <c r="BC1058" s="2" t="s">
        <v>74</v>
      </c>
      <c r="BD1058" s="2">
        <v>43</v>
      </c>
      <c r="BE1058" s="2" t="s">
        <v>4045</v>
      </c>
      <c r="BF1058" s="2" t="str">
        <f>HYPERLINK("http://dx.doi.org/10.1007/s00265-024-03453-8","http://dx.doi.org/10.1007/s00265-024-03453-8")</f>
        <v>http://dx.doi.org/10.1007/s00265-024-03453-8</v>
      </c>
      <c r="BG1058" s="2" t="s">
        <v>74</v>
      </c>
      <c r="BH1058" s="2" t="s">
        <v>74</v>
      </c>
      <c r="BI1058" s="2" t="s">
        <v>74</v>
      </c>
      <c r="BJ1058" s="2" t="s">
        <v>74</v>
      </c>
      <c r="BK1058" s="2" t="s">
        <v>74</v>
      </c>
      <c r="BL1058" s="2" t="s">
        <v>74</v>
      </c>
      <c r="BM1058" s="2" t="s">
        <v>74</v>
      </c>
      <c r="BN1058" s="2" t="s">
        <v>74</v>
      </c>
      <c r="BO1058" s="2" t="s">
        <v>74</v>
      </c>
      <c r="BP1058" s="2" t="s">
        <v>74</v>
      </c>
      <c r="BQ1058" s="2" t="s">
        <v>74</v>
      </c>
      <c r="BR1058" s="2" t="s">
        <v>74</v>
      </c>
      <c r="BS1058" s="2" t="s">
        <v>4046</v>
      </c>
      <c r="BT1058" s="2" t="str">
        <f>HYPERLINK("https%3A%2F%2Fwww.webofscience.com%2Fwos%2Fwoscc%2Ffull-record%2FWOS:001190569600001","View Full Record in Web of Science")</f>
        <v>View Full Record in Web of Science</v>
      </c>
    </row>
    <row r="1059" spans="1:72" s="2" customFormat="1" x14ac:dyDescent="0.4">
      <c r="A1059" s="2" t="s">
        <v>72</v>
      </c>
      <c r="B1059" s="2" t="s">
        <v>5262</v>
      </c>
      <c r="C1059" s="2" t="s">
        <v>74</v>
      </c>
      <c r="D1059" s="2" t="s">
        <v>74</v>
      </c>
      <c r="E1059" s="2" t="s">
        <v>74</v>
      </c>
      <c r="F1059" s="2" t="s">
        <v>5263</v>
      </c>
      <c r="G1059" s="2" t="s">
        <v>74</v>
      </c>
      <c r="H1059" s="2" t="s">
        <v>74</v>
      </c>
      <c r="I1059" s="2" t="s">
        <v>5264</v>
      </c>
      <c r="J1059" s="2" t="s">
        <v>5265</v>
      </c>
      <c r="K1059" s="2" t="s">
        <v>74</v>
      </c>
      <c r="L1059" s="2" t="s">
        <v>74</v>
      </c>
      <c r="M1059" s="2" t="s">
        <v>74</v>
      </c>
      <c r="N1059" s="2" t="s">
        <v>74</v>
      </c>
      <c r="O1059" s="2" t="s">
        <v>74</v>
      </c>
      <c r="P1059" s="2" t="s">
        <v>74</v>
      </c>
      <c r="Q1059" s="2" t="s">
        <v>74</v>
      </c>
      <c r="R1059" s="2" t="s">
        <v>74</v>
      </c>
      <c r="S1059" s="2" t="s">
        <v>74</v>
      </c>
      <c r="T1059" s="2" t="s">
        <v>74</v>
      </c>
      <c r="U1059" s="2" t="s">
        <v>74</v>
      </c>
      <c r="V1059" s="5" t="s">
        <v>5266</v>
      </c>
      <c r="W1059" s="2" t="s">
        <v>74</v>
      </c>
      <c r="X1059" s="2" t="s">
        <v>74</v>
      </c>
      <c r="Y1059" s="2" t="s">
        <v>74</v>
      </c>
      <c r="Z1059" s="2" t="s">
        <v>74</v>
      </c>
      <c r="AA1059" s="2" t="s">
        <v>5267</v>
      </c>
      <c r="AB1059" s="2" t="s">
        <v>5268</v>
      </c>
      <c r="AC1059" s="2" t="s">
        <v>74</v>
      </c>
      <c r="AD1059" s="2" t="s">
        <v>74</v>
      </c>
      <c r="AE1059" s="2" t="s">
        <v>74</v>
      </c>
      <c r="AF1059" s="2" t="s">
        <v>74</v>
      </c>
      <c r="AG1059" s="2" t="s">
        <v>74</v>
      </c>
      <c r="AH1059" s="2" t="s">
        <v>74</v>
      </c>
      <c r="AI1059" s="2" t="s">
        <v>74</v>
      </c>
      <c r="AJ1059" s="2" t="s">
        <v>74</v>
      </c>
      <c r="AK1059" s="2" t="s">
        <v>74</v>
      </c>
      <c r="AL1059" s="2" t="s">
        <v>74</v>
      </c>
      <c r="AM1059" s="2" t="s">
        <v>74</v>
      </c>
      <c r="AN1059" s="2" t="s">
        <v>74</v>
      </c>
      <c r="AO1059" s="2" t="s">
        <v>5269</v>
      </c>
      <c r="AP1059" s="2" t="s">
        <v>74</v>
      </c>
      <c r="AQ1059" s="2" t="s">
        <v>74</v>
      </c>
      <c r="AR1059" s="2" t="s">
        <v>74</v>
      </c>
      <c r="AS1059" s="2" t="s">
        <v>74</v>
      </c>
      <c r="AT1059" s="2" t="s">
        <v>5270</v>
      </c>
      <c r="AU1059" s="2">
        <v>2018</v>
      </c>
      <c r="AV1059" s="2">
        <v>42</v>
      </c>
      <c r="AW1059" s="2">
        <v>3</v>
      </c>
      <c r="AX1059" s="2" t="s">
        <v>74</v>
      </c>
      <c r="AY1059" s="2" t="s">
        <v>74</v>
      </c>
      <c r="AZ1059" s="2" t="s">
        <v>74</v>
      </c>
      <c r="BA1059" s="2" t="s">
        <v>74</v>
      </c>
      <c r="BB1059" s="2">
        <v>229</v>
      </c>
      <c r="BC1059" s="2">
        <v>256</v>
      </c>
      <c r="BD1059" s="2" t="s">
        <v>74</v>
      </c>
      <c r="BE1059" s="2" t="s">
        <v>74</v>
      </c>
      <c r="BF1059" s="2" t="s">
        <v>74</v>
      </c>
      <c r="BG1059" s="2" t="s">
        <v>74</v>
      </c>
      <c r="BH1059" s="2" t="s">
        <v>74</v>
      </c>
      <c r="BI1059" s="2" t="s">
        <v>74</v>
      </c>
      <c r="BJ1059" s="2" t="s">
        <v>74</v>
      </c>
      <c r="BK1059" s="2" t="s">
        <v>74</v>
      </c>
      <c r="BL1059" s="2" t="s">
        <v>74</v>
      </c>
      <c r="BM1059" s="2" t="s">
        <v>74</v>
      </c>
      <c r="BN1059" s="2" t="s">
        <v>74</v>
      </c>
      <c r="BO1059" s="2" t="s">
        <v>74</v>
      </c>
      <c r="BP1059" s="2" t="s">
        <v>74</v>
      </c>
      <c r="BQ1059" s="2" t="s">
        <v>74</v>
      </c>
      <c r="BR1059" s="2" t="s">
        <v>74</v>
      </c>
      <c r="BS1059" s="2" t="s">
        <v>5271</v>
      </c>
      <c r="BT1059" s="2" t="str">
        <f>HYPERLINK("https%3A%2F%2Fwww.webofscience.com%2Fwos%2Fwoscc%2Ffull-record%2FWOS:000449238000002","View Full Record in Web of Science")</f>
        <v>View Full Record in Web of Science</v>
      </c>
    </row>
    <row r="1060" spans="1:72" s="2" customFormat="1" x14ac:dyDescent="0.4">
      <c r="A1060" s="2" t="s">
        <v>72</v>
      </c>
      <c r="B1060" s="2" t="s">
        <v>7857</v>
      </c>
      <c r="C1060" s="2" t="s">
        <v>74</v>
      </c>
      <c r="D1060" s="2" t="s">
        <v>74</v>
      </c>
      <c r="E1060" s="2" t="s">
        <v>74</v>
      </c>
      <c r="F1060" s="2" t="s">
        <v>7858</v>
      </c>
      <c r="G1060" s="2" t="s">
        <v>74</v>
      </c>
      <c r="H1060" s="2" t="s">
        <v>74</v>
      </c>
      <c r="I1060" s="2" t="s">
        <v>7859</v>
      </c>
      <c r="J1060" s="2" t="s">
        <v>108</v>
      </c>
      <c r="K1060" s="2" t="s">
        <v>74</v>
      </c>
      <c r="L1060" s="2" t="s">
        <v>74</v>
      </c>
      <c r="M1060" s="2" t="s">
        <v>74</v>
      </c>
      <c r="N1060" s="2" t="s">
        <v>74</v>
      </c>
      <c r="O1060" s="2" t="s">
        <v>74</v>
      </c>
      <c r="P1060" s="2" t="s">
        <v>74</v>
      </c>
      <c r="Q1060" s="2" t="s">
        <v>74</v>
      </c>
      <c r="R1060" s="2" t="s">
        <v>74</v>
      </c>
      <c r="S1060" s="2" t="s">
        <v>74</v>
      </c>
      <c r="T1060" s="2" t="s">
        <v>74</v>
      </c>
      <c r="U1060" s="2" t="s">
        <v>74</v>
      </c>
      <c r="V1060" s="5" t="s">
        <v>7860</v>
      </c>
      <c r="W1060" s="2" t="s">
        <v>74</v>
      </c>
      <c r="X1060" s="2" t="s">
        <v>74</v>
      </c>
      <c r="Y1060" s="2" t="s">
        <v>74</v>
      </c>
      <c r="Z1060" s="2" t="s">
        <v>74</v>
      </c>
      <c r="AA1060" s="2" t="s">
        <v>7861</v>
      </c>
      <c r="AB1060" s="2" t="s">
        <v>7862</v>
      </c>
      <c r="AC1060" s="2" t="s">
        <v>74</v>
      </c>
      <c r="AD1060" s="2" t="s">
        <v>74</v>
      </c>
      <c r="AE1060" s="2" t="s">
        <v>74</v>
      </c>
      <c r="AF1060" s="2" t="s">
        <v>74</v>
      </c>
      <c r="AG1060" s="2" t="s">
        <v>74</v>
      </c>
      <c r="AH1060" s="2" t="s">
        <v>74</v>
      </c>
      <c r="AI1060" s="2" t="s">
        <v>74</v>
      </c>
      <c r="AJ1060" s="2" t="s">
        <v>74</v>
      </c>
      <c r="AK1060" s="2" t="s">
        <v>74</v>
      </c>
      <c r="AL1060" s="2" t="s">
        <v>74</v>
      </c>
      <c r="AM1060" s="2" t="s">
        <v>74</v>
      </c>
      <c r="AN1060" s="2" t="s">
        <v>74</v>
      </c>
      <c r="AO1060" s="2" t="s">
        <v>111</v>
      </c>
      <c r="AP1060" s="2" t="s">
        <v>112</v>
      </c>
      <c r="AQ1060" s="2" t="s">
        <v>74</v>
      </c>
      <c r="AR1060" s="2" t="s">
        <v>74</v>
      </c>
      <c r="AS1060" s="2" t="s">
        <v>74</v>
      </c>
      <c r="AT1060" s="2" t="s">
        <v>3105</v>
      </c>
      <c r="AU1060" s="2">
        <v>2019</v>
      </c>
      <c r="AV1060" s="2">
        <v>286</v>
      </c>
      <c r="AW1060" s="2">
        <v>1914</v>
      </c>
      <c r="AX1060" s="2" t="s">
        <v>74</v>
      </c>
      <c r="AY1060" s="2" t="s">
        <v>74</v>
      </c>
      <c r="AZ1060" s="2" t="s">
        <v>74</v>
      </c>
      <c r="BA1060" s="2" t="s">
        <v>74</v>
      </c>
      <c r="BB1060" s="2" t="s">
        <v>74</v>
      </c>
      <c r="BC1060" s="2" t="s">
        <v>74</v>
      </c>
      <c r="BD1060" s="2">
        <v>20192075</v>
      </c>
      <c r="BE1060" s="2" t="s">
        <v>7863</v>
      </c>
      <c r="BF1060" s="2" t="str">
        <f>HYPERLINK("http://dx.doi.org/10.1098/rspb.2019.2075","http://dx.doi.org/10.1098/rspb.2019.2075")</f>
        <v>http://dx.doi.org/10.1098/rspb.2019.2075</v>
      </c>
      <c r="BG1060" s="2" t="s">
        <v>74</v>
      </c>
      <c r="BH1060" s="2" t="s">
        <v>74</v>
      </c>
      <c r="BI1060" s="2" t="s">
        <v>74</v>
      </c>
      <c r="BJ1060" s="2" t="s">
        <v>74</v>
      </c>
      <c r="BK1060" s="2" t="s">
        <v>74</v>
      </c>
      <c r="BL1060" s="2" t="s">
        <v>74</v>
      </c>
      <c r="BM1060" s="2" t="s">
        <v>74</v>
      </c>
      <c r="BN1060" s="2">
        <v>31690236</v>
      </c>
      <c r="BO1060" s="2" t="s">
        <v>74</v>
      </c>
      <c r="BP1060" s="2" t="s">
        <v>74</v>
      </c>
      <c r="BQ1060" s="2" t="s">
        <v>74</v>
      </c>
      <c r="BR1060" s="2" t="s">
        <v>74</v>
      </c>
      <c r="BS1060" s="2" t="s">
        <v>7864</v>
      </c>
      <c r="BT1060" s="2" t="str">
        <f>HYPERLINK("https%3A%2F%2Fwww.webofscience.com%2Fwos%2Fwoscc%2Ffull-record%2FWOS:000504858100018","View Full Record in Web of Science")</f>
        <v>View Full Record in Web of Science</v>
      </c>
    </row>
    <row r="1061" spans="1:72" s="2" customFormat="1" x14ac:dyDescent="0.4">
      <c r="A1061" s="2" t="s">
        <v>72</v>
      </c>
      <c r="B1061" s="2" t="s">
        <v>2926</v>
      </c>
      <c r="C1061" s="2" t="s">
        <v>74</v>
      </c>
      <c r="D1061" s="2" t="s">
        <v>74</v>
      </c>
      <c r="E1061" s="2" t="s">
        <v>74</v>
      </c>
      <c r="F1061" s="2" t="s">
        <v>2927</v>
      </c>
      <c r="G1061" s="2" t="s">
        <v>74</v>
      </c>
      <c r="H1061" s="2" t="s">
        <v>74</v>
      </c>
      <c r="I1061" s="2" t="s">
        <v>2928</v>
      </c>
      <c r="J1061" s="2" t="s">
        <v>2929</v>
      </c>
      <c r="K1061" s="2" t="s">
        <v>74</v>
      </c>
      <c r="L1061" s="2" t="s">
        <v>74</v>
      </c>
      <c r="M1061" s="2" t="s">
        <v>74</v>
      </c>
      <c r="N1061" s="2" t="s">
        <v>74</v>
      </c>
      <c r="O1061" s="2" t="s">
        <v>74</v>
      </c>
      <c r="P1061" s="2" t="s">
        <v>74</v>
      </c>
      <c r="Q1061" s="2" t="s">
        <v>74</v>
      </c>
      <c r="R1061" s="2" t="s">
        <v>74</v>
      </c>
      <c r="S1061" s="2" t="s">
        <v>74</v>
      </c>
      <c r="T1061" s="2" t="s">
        <v>74</v>
      </c>
      <c r="U1061" s="2" t="s">
        <v>74</v>
      </c>
      <c r="V1061" s="5" t="s">
        <v>2930</v>
      </c>
      <c r="W1061" s="2" t="s">
        <v>74</v>
      </c>
      <c r="X1061" s="2" t="s">
        <v>74</v>
      </c>
      <c r="Y1061" s="2" t="s">
        <v>74</v>
      </c>
      <c r="Z1061" s="2" t="s">
        <v>74</v>
      </c>
      <c r="AA1061" s="2" t="s">
        <v>74</v>
      </c>
      <c r="AB1061" s="2" t="s">
        <v>2931</v>
      </c>
      <c r="AC1061" s="2" t="s">
        <v>74</v>
      </c>
      <c r="AD1061" s="2" t="s">
        <v>74</v>
      </c>
      <c r="AE1061" s="2" t="s">
        <v>74</v>
      </c>
      <c r="AF1061" s="2" t="s">
        <v>74</v>
      </c>
      <c r="AG1061" s="2" t="s">
        <v>74</v>
      </c>
      <c r="AH1061" s="2" t="s">
        <v>74</v>
      </c>
      <c r="AI1061" s="2" t="s">
        <v>74</v>
      </c>
      <c r="AJ1061" s="2" t="s">
        <v>74</v>
      </c>
      <c r="AK1061" s="2" t="s">
        <v>74</v>
      </c>
      <c r="AL1061" s="2" t="s">
        <v>74</v>
      </c>
      <c r="AM1061" s="2" t="s">
        <v>74</v>
      </c>
      <c r="AN1061" s="2" t="s">
        <v>74</v>
      </c>
      <c r="AO1061" s="2" t="s">
        <v>2932</v>
      </c>
      <c r="AP1061" s="2" t="s">
        <v>74</v>
      </c>
      <c r="AQ1061" s="2" t="s">
        <v>74</v>
      </c>
      <c r="AR1061" s="2" t="s">
        <v>74</v>
      </c>
      <c r="AS1061" s="2" t="s">
        <v>74</v>
      </c>
      <c r="AT1061" s="2" t="s">
        <v>305</v>
      </c>
      <c r="AU1061" s="2">
        <v>2021</v>
      </c>
      <c r="AV1061" s="2">
        <v>21</v>
      </c>
      <c r="AW1061" s="2">
        <v>1</v>
      </c>
      <c r="AX1061" s="2" t="s">
        <v>74</v>
      </c>
      <c r="AY1061" s="2" t="s">
        <v>74</v>
      </c>
      <c r="AZ1061" s="2" t="s">
        <v>74</v>
      </c>
      <c r="BA1061" s="2" t="s">
        <v>74</v>
      </c>
      <c r="BB1061" s="2">
        <v>80</v>
      </c>
      <c r="BC1061" s="2">
        <v>84</v>
      </c>
      <c r="BD1061" s="2" t="s">
        <v>74</v>
      </c>
      <c r="BE1061" s="2" t="s">
        <v>2933</v>
      </c>
      <c r="BF1061" s="2" t="str">
        <f>HYPERLINK("http://dx.doi.org/10.2994/SAJH-D-20-00015.1","http://dx.doi.org/10.2994/SAJH-D-20-00015.1")</f>
        <v>http://dx.doi.org/10.2994/SAJH-D-20-00015.1</v>
      </c>
      <c r="BG1061" s="2" t="s">
        <v>74</v>
      </c>
      <c r="BH1061" s="2" t="s">
        <v>74</v>
      </c>
      <c r="BI1061" s="2" t="s">
        <v>74</v>
      </c>
      <c r="BJ1061" s="2" t="s">
        <v>74</v>
      </c>
      <c r="BK1061" s="2" t="s">
        <v>74</v>
      </c>
      <c r="BL1061" s="2" t="s">
        <v>74</v>
      </c>
      <c r="BM1061" s="2" t="s">
        <v>74</v>
      </c>
      <c r="BN1061" s="2" t="s">
        <v>74</v>
      </c>
      <c r="BO1061" s="2" t="s">
        <v>74</v>
      </c>
      <c r="BP1061" s="2" t="s">
        <v>74</v>
      </c>
      <c r="BQ1061" s="2" t="s">
        <v>74</v>
      </c>
      <c r="BR1061" s="2" t="s">
        <v>74</v>
      </c>
      <c r="BS1061" s="2" t="s">
        <v>2934</v>
      </c>
      <c r="BT1061" s="2" t="str">
        <f>HYPERLINK("https%3A%2F%2Fwww.webofscience.com%2Fwos%2Fwoscc%2Ffull-record%2FWOS:000739788300008","View Full Record in Web of Science")</f>
        <v>View Full Record in Web of Science</v>
      </c>
    </row>
    <row r="1062" spans="1:72" s="2" customFormat="1" x14ac:dyDescent="0.4">
      <c r="A1062" s="2" t="s">
        <v>72</v>
      </c>
      <c r="B1062" s="2" t="s">
        <v>5251</v>
      </c>
      <c r="C1062" s="2" t="s">
        <v>74</v>
      </c>
      <c r="D1062" s="2" t="s">
        <v>74</v>
      </c>
      <c r="E1062" s="2" t="s">
        <v>74</v>
      </c>
      <c r="F1062" s="2" t="s">
        <v>5252</v>
      </c>
      <c r="G1062" s="2" t="s">
        <v>74</v>
      </c>
      <c r="H1062" s="2" t="s">
        <v>74</v>
      </c>
      <c r="I1062" s="2" t="s">
        <v>5253</v>
      </c>
      <c r="J1062" s="2" t="s">
        <v>129</v>
      </c>
      <c r="K1062" s="2" t="s">
        <v>74</v>
      </c>
      <c r="L1062" s="2" t="s">
        <v>74</v>
      </c>
      <c r="M1062" s="2" t="s">
        <v>74</v>
      </c>
      <c r="N1062" s="2" t="s">
        <v>74</v>
      </c>
      <c r="O1062" s="2" t="s">
        <v>74</v>
      </c>
      <c r="P1062" s="2" t="s">
        <v>74</v>
      </c>
      <c r="Q1062" s="2" t="s">
        <v>74</v>
      </c>
      <c r="R1062" s="2" t="s">
        <v>74</v>
      </c>
      <c r="S1062" s="2" t="s">
        <v>74</v>
      </c>
      <c r="T1062" s="2" t="s">
        <v>74</v>
      </c>
      <c r="U1062" s="2" t="s">
        <v>74</v>
      </c>
      <c r="V1062" s="5" t="s">
        <v>5254</v>
      </c>
      <c r="W1062" s="2" t="s">
        <v>74</v>
      </c>
      <c r="X1062" s="2" t="s">
        <v>74</v>
      </c>
      <c r="Y1062" s="2" t="s">
        <v>74</v>
      </c>
      <c r="Z1062" s="2" t="s">
        <v>74</v>
      </c>
      <c r="AA1062" s="2" t="s">
        <v>74</v>
      </c>
      <c r="AB1062" s="2" t="s">
        <v>322</v>
      </c>
      <c r="AC1062" s="2" t="s">
        <v>74</v>
      </c>
      <c r="AD1062" s="2" t="s">
        <v>74</v>
      </c>
      <c r="AE1062" s="2" t="s">
        <v>74</v>
      </c>
      <c r="AF1062" s="2" t="s">
        <v>74</v>
      </c>
      <c r="AG1062" s="2" t="s">
        <v>74</v>
      </c>
      <c r="AH1062" s="2" t="s">
        <v>74</v>
      </c>
      <c r="AI1062" s="2" t="s">
        <v>74</v>
      </c>
      <c r="AJ1062" s="2" t="s">
        <v>74</v>
      </c>
      <c r="AK1062" s="2" t="s">
        <v>74</v>
      </c>
      <c r="AL1062" s="2" t="s">
        <v>74</v>
      </c>
      <c r="AM1062" s="2" t="s">
        <v>74</v>
      </c>
      <c r="AN1062" s="2" t="s">
        <v>74</v>
      </c>
      <c r="AO1062" s="2" t="s">
        <v>132</v>
      </c>
      <c r="AP1062" s="2" t="s">
        <v>133</v>
      </c>
      <c r="AQ1062" s="2" t="s">
        <v>74</v>
      </c>
      <c r="AR1062" s="2" t="s">
        <v>74</v>
      </c>
      <c r="AS1062" s="2" t="s">
        <v>74</v>
      </c>
      <c r="AT1062" s="2" t="s">
        <v>352</v>
      </c>
      <c r="AU1062" s="2">
        <v>2013</v>
      </c>
      <c r="AV1062" s="2">
        <v>67</v>
      </c>
      <c r="AW1062" s="2">
        <v>9</v>
      </c>
      <c r="AX1062" s="2" t="s">
        <v>74</v>
      </c>
      <c r="AY1062" s="2" t="s">
        <v>74</v>
      </c>
      <c r="AZ1062" s="2" t="s">
        <v>848</v>
      </c>
      <c r="BA1062" s="2" t="s">
        <v>74</v>
      </c>
      <c r="BB1062" s="2">
        <v>1499</v>
      </c>
      <c r="BC1062" s="2">
        <v>1511</v>
      </c>
      <c r="BD1062" s="2" t="s">
        <v>74</v>
      </c>
      <c r="BE1062" s="2" t="s">
        <v>5255</v>
      </c>
      <c r="BF1062" s="2" t="str">
        <f>HYPERLINK("http://dx.doi.org/10.1007/s00265-013-1492-y","http://dx.doi.org/10.1007/s00265-013-1492-y")</f>
        <v>http://dx.doi.org/10.1007/s00265-013-1492-y</v>
      </c>
      <c r="BG1062" s="2" t="s">
        <v>74</v>
      </c>
      <c r="BH1062" s="2" t="s">
        <v>74</v>
      </c>
      <c r="BI1062" s="2" t="s">
        <v>74</v>
      </c>
      <c r="BJ1062" s="2" t="s">
        <v>74</v>
      </c>
      <c r="BK1062" s="2" t="s">
        <v>74</v>
      </c>
      <c r="BL1062" s="2" t="s">
        <v>74</v>
      </c>
      <c r="BM1062" s="2" t="s">
        <v>74</v>
      </c>
      <c r="BN1062" s="2" t="s">
        <v>74</v>
      </c>
      <c r="BO1062" s="2" t="s">
        <v>74</v>
      </c>
      <c r="BP1062" s="2" t="s">
        <v>74</v>
      </c>
      <c r="BQ1062" s="2" t="s">
        <v>74</v>
      </c>
      <c r="BR1062" s="2" t="s">
        <v>74</v>
      </c>
      <c r="BS1062" s="2" t="s">
        <v>5256</v>
      </c>
      <c r="BT1062" s="2" t="str">
        <f>HYPERLINK("https%3A%2F%2Fwww.webofscience.com%2Fwos%2Fwoscc%2Ffull-record%2FWOS:000323103400012","View Full Record in Web of Science")</f>
        <v>View Full Record in Web of Science</v>
      </c>
    </row>
    <row r="1063" spans="1:72" s="2" customFormat="1" x14ac:dyDescent="0.4">
      <c r="A1063" s="2" t="s">
        <v>72</v>
      </c>
      <c r="B1063" s="2" t="s">
        <v>7746</v>
      </c>
      <c r="C1063" s="2" t="s">
        <v>74</v>
      </c>
      <c r="D1063" s="2" t="s">
        <v>74</v>
      </c>
      <c r="E1063" s="2" t="s">
        <v>74</v>
      </c>
      <c r="F1063" s="2" t="s">
        <v>7747</v>
      </c>
      <c r="G1063" s="2" t="s">
        <v>74</v>
      </c>
      <c r="H1063" s="2" t="s">
        <v>74</v>
      </c>
      <c r="I1063" s="2" t="s">
        <v>7748</v>
      </c>
      <c r="J1063" s="2" t="s">
        <v>2017</v>
      </c>
      <c r="K1063" s="2" t="s">
        <v>74</v>
      </c>
      <c r="L1063" s="2" t="s">
        <v>74</v>
      </c>
      <c r="M1063" s="2" t="s">
        <v>74</v>
      </c>
      <c r="N1063" s="2" t="s">
        <v>74</v>
      </c>
      <c r="O1063" s="2" t="s">
        <v>74</v>
      </c>
      <c r="P1063" s="2" t="s">
        <v>74</v>
      </c>
      <c r="Q1063" s="2" t="s">
        <v>74</v>
      </c>
      <c r="R1063" s="2" t="s">
        <v>74</v>
      </c>
      <c r="S1063" s="2" t="s">
        <v>74</v>
      </c>
      <c r="T1063" s="2" t="s">
        <v>74</v>
      </c>
      <c r="U1063" s="2" t="s">
        <v>74</v>
      </c>
      <c r="V1063" s="5" t="s">
        <v>7749</v>
      </c>
      <c r="W1063" s="2" t="s">
        <v>74</v>
      </c>
      <c r="X1063" s="2" t="s">
        <v>74</v>
      </c>
      <c r="Y1063" s="2" t="s">
        <v>74</v>
      </c>
      <c r="Z1063" s="2" t="s">
        <v>74</v>
      </c>
      <c r="AA1063" s="2" t="s">
        <v>7750</v>
      </c>
      <c r="AB1063" s="2" t="s">
        <v>7751</v>
      </c>
      <c r="AC1063" s="2" t="s">
        <v>74</v>
      </c>
      <c r="AD1063" s="2" t="s">
        <v>74</v>
      </c>
      <c r="AE1063" s="2" t="s">
        <v>74</v>
      </c>
      <c r="AF1063" s="2" t="s">
        <v>74</v>
      </c>
      <c r="AG1063" s="2" t="s">
        <v>74</v>
      </c>
      <c r="AH1063" s="2" t="s">
        <v>74</v>
      </c>
      <c r="AI1063" s="2" t="s">
        <v>74</v>
      </c>
      <c r="AJ1063" s="2" t="s">
        <v>74</v>
      </c>
      <c r="AK1063" s="2" t="s">
        <v>74</v>
      </c>
      <c r="AL1063" s="2" t="s">
        <v>74</v>
      </c>
      <c r="AM1063" s="2" t="s">
        <v>74</v>
      </c>
      <c r="AN1063" s="2" t="s">
        <v>74</v>
      </c>
      <c r="AO1063" s="2" t="s">
        <v>2021</v>
      </c>
      <c r="AP1063" s="2" t="s">
        <v>74</v>
      </c>
      <c r="AQ1063" s="2" t="s">
        <v>74</v>
      </c>
      <c r="AR1063" s="2" t="s">
        <v>74</v>
      </c>
      <c r="AS1063" s="2" t="s">
        <v>74</v>
      </c>
      <c r="AT1063" s="2" t="s">
        <v>493</v>
      </c>
      <c r="AU1063" s="2">
        <v>2022</v>
      </c>
      <c r="AV1063" s="2">
        <v>10</v>
      </c>
      <c r="AW1063" s="2" t="s">
        <v>74</v>
      </c>
      <c r="AX1063" s="2" t="s">
        <v>74</v>
      </c>
      <c r="AY1063" s="2" t="s">
        <v>74</v>
      </c>
      <c r="AZ1063" s="2" t="s">
        <v>74</v>
      </c>
      <c r="BA1063" s="2" t="s">
        <v>74</v>
      </c>
      <c r="BB1063" s="2" t="s">
        <v>74</v>
      </c>
      <c r="BC1063" s="2" t="s">
        <v>74</v>
      </c>
      <c r="BD1063" s="2">
        <v>890874</v>
      </c>
      <c r="BE1063" s="2" t="s">
        <v>7752</v>
      </c>
      <c r="BF1063" s="2" t="str">
        <f>HYPERLINK("http://dx.doi.org/10.3389/fevo.2022.890874","http://dx.doi.org/10.3389/fevo.2022.890874")</f>
        <v>http://dx.doi.org/10.3389/fevo.2022.890874</v>
      </c>
      <c r="BG1063" s="2" t="s">
        <v>74</v>
      </c>
      <c r="BH1063" s="2" t="s">
        <v>74</v>
      </c>
      <c r="BI1063" s="2" t="s">
        <v>74</v>
      </c>
      <c r="BJ1063" s="2" t="s">
        <v>74</v>
      </c>
      <c r="BK1063" s="2" t="s">
        <v>74</v>
      </c>
      <c r="BL1063" s="2" t="s">
        <v>74</v>
      </c>
      <c r="BM1063" s="2" t="s">
        <v>74</v>
      </c>
      <c r="BN1063" s="2" t="s">
        <v>74</v>
      </c>
      <c r="BO1063" s="2" t="s">
        <v>74</v>
      </c>
      <c r="BP1063" s="2" t="s">
        <v>74</v>
      </c>
      <c r="BQ1063" s="2" t="s">
        <v>74</v>
      </c>
      <c r="BR1063" s="2" t="s">
        <v>74</v>
      </c>
      <c r="BS1063" s="2" t="s">
        <v>7753</v>
      </c>
      <c r="BT1063" s="2" t="str">
        <f>HYPERLINK("https%3A%2F%2Fwww.webofscience.com%2Fwos%2Fwoscc%2Ffull-record%2FWOS:000837071500001","View Full Record in Web of Science")</f>
        <v>View Full Record in Web of Science</v>
      </c>
    </row>
    <row r="1064" spans="1:72" s="2" customFormat="1" x14ac:dyDescent="0.4">
      <c r="A1064" s="2" t="s">
        <v>72</v>
      </c>
      <c r="B1064" s="2" t="s">
        <v>8731</v>
      </c>
      <c r="C1064" s="2" t="s">
        <v>74</v>
      </c>
      <c r="D1064" s="2" t="s">
        <v>74</v>
      </c>
      <c r="E1064" s="2" t="s">
        <v>74</v>
      </c>
      <c r="F1064" s="2" t="s">
        <v>8732</v>
      </c>
      <c r="G1064" s="2" t="s">
        <v>74</v>
      </c>
      <c r="H1064" s="2" t="s">
        <v>74</v>
      </c>
      <c r="I1064" s="2" t="s">
        <v>8733</v>
      </c>
      <c r="J1064" s="2" t="s">
        <v>171</v>
      </c>
      <c r="K1064" s="2" t="s">
        <v>74</v>
      </c>
      <c r="L1064" s="2" t="s">
        <v>74</v>
      </c>
      <c r="M1064" s="2" t="s">
        <v>74</v>
      </c>
      <c r="N1064" s="2" t="s">
        <v>74</v>
      </c>
      <c r="O1064" s="2" t="s">
        <v>74</v>
      </c>
      <c r="P1064" s="2" t="s">
        <v>74</v>
      </c>
      <c r="Q1064" s="2" t="s">
        <v>74</v>
      </c>
      <c r="R1064" s="2" t="s">
        <v>74</v>
      </c>
      <c r="S1064" s="2" t="s">
        <v>74</v>
      </c>
      <c r="T1064" s="2" t="s">
        <v>74</v>
      </c>
      <c r="U1064" s="2" t="s">
        <v>74</v>
      </c>
      <c r="V1064" s="5" t="s">
        <v>8734</v>
      </c>
      <c r="W1064" s="2" t="s">
        <v>74</v>
      </c>
      <c r="X1064" s="2" t="s">
        <v>74</v>
      </c>
      <c r="Y1064" s="2" t="s">
        <v>74</v>
      </c>
      <c r="Z1064" s="2" t="s">
        <v>74</v>
      </c>
      <c r="AA1064" s="2" t="s">
        <v>8735</v>
      </c>
      <c r="AB1064" s="2" t="s">
        <v>8736</v>
      </c>
      <c r="AC1064" s="2" t="s">
        <v>74</v>
      </c>
      <c r="AD1064" s="2" t="s">
        <v>74</v>
      </c>
      <c r="AE1064" s="2" t="s">
        <v>74</v>
      </c>
      <c r="AF1064" s="2" t="s">
        <v>74</v>
      </c>
      <c r="AG1064" s="2" t="s">
        <v>74</v>
      </c>
      <c r="AH1064" s="2" t="s">
        <v>74</v>
      </c>
      <c r="AI1064" s="2" t="s">
        <v>74</v>
      </c>
      <c r="AJ1064" s="2" t="s">
        <v>74</v>
      </c>
      <c r="AK1064" s="2" t="s">
        <v>74</v>
      </c>
      <c r="AL1064" s="2" t="s">
        <v>74</v>
      </c>
      <c r="AM1064" s="2" t="s">
        <v>74</v>
      </c>
      <c r="AN1064" s="2" t="s">
        <v>74</v>
      </c>
      <c r="AO1064" s="2" t="s">
        <v>173</v>
      </c>
      <c r="AP1064" s="2" t="s">
        <v>174</v>
      </c>
      <c r="AQ1064" s="2" t="s">
        <v>74</v>
      </c>
      <c r="AR1064" s="2" t="s">
        <v>74</v>
      </c>
      <c r="AS1064" s="2" t="s">
        <v>74</v>
      </c>
      <c r="AT1064" s="2" t="s">
        <v>633</v>
      </c>
      <c r="AU1064" s="2">
        <v>2012</v>
      </c>
      <c r="AV1064" s="2">
        <v>66</v>
      </c>
      <c r="AW1064" s="2">
        <v>4</v>
      </c>
      <c r="AX1064" s="2" t="s">
        <v>74</v>
      </c>
      <c r="AY1064" s="2" t="s">
        <v>74</v>
      </c>
      <c r="AZ1064" s="2" t="s">
        <v>74</v>
      </c>
      <c r="BA1064" s="2" t="s">
        <v>74</v>
      </c>
      <c r="BB1064" s="2">
        <v>1167</v>
      </c>
      <c r="BC1064" s="2">
        <v>1179</v>
      </c>
      <c r="BD1064" s="2" t="s">
        <v>74</v>
      </c>
      <c r="BE1064" s="2" t="s">
        <v>8737</v>
      </c>
      <c r="BF1064" s="2" t="str">
        <f>HYPERLINK("http://dx.doi.org/10.1111/j.1558-5646.2011.01518.x","http://dx.doi.org/10.1111/j.1558-5646.2011.01518.x")</f>
        <v>http://dx.doi.org/10.1111/j.1558-5646.2011.01518.x</v>
      </c>
      <c r="BG1064" s="2" t="s">
        <v>74</v>
      </c>
      <c r="BH1064" s="2" t="s">
        <v>74</v>
      </c>
      <c r="BI1064" s="2" t="s">
        <v>74</v>
      </c>
      <c r="BJ1064" s="2" t="s">
        <v>74</v>
      </c>
      <c r="BK1064" s="2" t="s">
        <v>74</v>
      </c>
      <c r="BL1064" s="2" t="s">
        <v>74</v>
      </c>
      <c r="BM1064" s="2" t="s">
        <v>74</v>
      </c>
      <c r="BN1064" s="2">
        <v>22486696</v>
      </c>
      <c r="BO1064" s="2" t="s">
        <v>74</v>
      </c>
      <c r="BP1064" s="2" t="s">
        <v>74</v>
      </c>
      <c r="BQ1064" s="2" t="s">
        <v>74</v>
      </c>
      <c r="BR1064" s="2" t="s">
        <v>74</v>
      </c>
      <c r="BS1064" s="2" t="s">
        <v>8738</v>
      </c>
      <c r="BT1064" s="2" t="str">
        <f>HYPERLINK("https%3A%2F%2Fwww.webofscience.com%2Fwos%2Fwoscc%2Ffull-record%2FWOS:000302546700016","View Full Record in Web of Science")</f>
        <v>View Full Record in Web of Science</v>
      </c>
    </row>
    <row r="1065" spans="1:72" s="2" customFormat="1" x14ac:dyDescent="0.4">
      <c r="A1065" s="2" t="s">
        <v>72</v>
      </c>
      <c r="B1065" s="2" t="s">
        <v>2540</v>
      </c>
      <c r="C1065" s="2" t="s">
        <v>74</v>
      </c>
      <c r="D1065" s="2" t="s">
        <v>74</v>
      </c>
      <c r="E1065" s="2" t="s">
        <v>74</v>
      </c>
      <c r="F1065" s="2" t="s">
        <v>2541</v>
      </c>
      <c r="G1065" s="2" t="s">
        <v>74</v>
      </c>
      <c r="H1065" s="2" t="s">
        <v>74</v>
      </c>
      <c r="I1065" s="2" t="s">
        <v>2542</v>
      </c>
      <c r="J1065" s="2" t="s">
        <v>775</v>
      </c>
      <c r="K1065" s="2" t="s">
        <v>74</v>
      </c>
      <c r="L1065" s="2" t="s">
        <v>74</v>
      </c>
      <c r="M1065" s="2" t="s">
        <v>74</v>
      </c>
      <c r="N1065" s="2" t="s">
        <v>74</v>
      </c>
      <c r="O1065" s="2" t="s">
        <v>74</v>
      </c>
      <c r="P1065" s="2" t="s">
        <v>74</v>
      </c>
      <c r="Q1065" s="2" t="s">
        <v>74</v>
      </c>
      <c r="R1065" s="2" t="s">
        <v>74</v>
      </c>
      <c r="S1065" s="2" t="s">
        <v>74</v>
      </c>
      <c r="T1065" s="2" t="s">
        <v>74</v>
      </c>
      <c r="U1065" s="2" t="s">
        <v>74</v>
      </c>
      <c r="V1065" s="5" t="s">
        <v>2543</v>
      </c>
      <c r="W1065" s="2" t="s">
        <v>74</v>
      </c>
      <c r="X1065" s="2" t="s">
        <v>74</v>
      </c>
      <c r="Y1065" s="2" t="s">
        <v>74</v>
      </c>
      <c r="Z1065" s="2" t="s">
        <v>74</v>
      </c>
      <c r="AA1065" s="2" t="s">
        <v>2544</v>
      </c>
      <c r="AB1065" s="2" t="s">
        <v>1704</v>
      </c>
      <c r="AC1065" s="2" t="s">
        <v>74</v>
      </c>
      <c r="AD1065" s="2" t="s">
        <v>74</v>
      </c>
      <c r="AE1065" s="2" t="s">
        <v>74</v>
      </c>
      <c r="AF1065" s="2" t="s">
        <v>74</v>
      </c>
      <c r="AG1065" s="2" t="s">
        <v>74</v>
      </c>
      <c r="AH1065" s="2" t="s">
        <v>74</v>
      </c>
      <c r="AI1065" s="2" t="s">
        <v>74</v>
      </c>
      <c r="AJ1065" s="2" t="s">
        <v>74</v>
      </c>
      <c r="AK1065" s="2" t="s">
        <v>74</v>
      </c>
      <c r="AL1065" s="2" t="s">
        <v>74</v>
      </c>
      <c r="AM1065" s="2" t="s">
        <v>74</v>
      </c>
      <c r="AN1065" s="2" t="s">
        <v>74</v>
      </c>
      <c r="AO1065" s="2" t="s">
        <v>778</v>
      </c>
      <c r="AP1065" s="2" t="s">
        <v>74</v>
      </c>
      <c r="AQ1065" s="2" t="s">
        <v>74</v>
      </c>
      <c r="AR1065" s="2" t="s">
        <v>74</v>
      </c>
      <c r="AS1065" s="2" t="s">
        <v>74</v>
      </c>
      <c r="AT1065" s="2" t="s">
        <v>74</v>
      </c>
      <c r="AU1065" s="2">
        <v>2013</v>
      </c>
      <c r="AV1065" s="2">
        <v>59</v>
      </c>
      <c r="AW1065" s="2">
        <v>2</v>
      </c>
      <c r="AX1065" s="2" t="s">
        <v>74</v>
      </c>
      <c r="AY1065" s="2" t="s">
        <v>74</v>
      </c>
      <c r="AZ1065" s="2" t="s">
        <v>74</v>
      </c>
      <c r="BA1065" s="2" t="s">
        <v>74</v>
      </c>
      <c r="BB1065" s="2">
        <v>221</v>
      </c>
      <c r="BC1065" s="2">
        <v>229</v>
      </c>
      <c r="BD1065" s="2" t="s">
        <v>74</v>
      </c>
      <c r="BE1065" s="2" t="s">
        <v>2545</v>
      </c>
      <c r="BF1065" s="2" t="str">
        <f>HYPERLINK("http://dx.doi.org/10.1093/czoolo/59.2.221","http://dx.doi.org/10.1093/czoolo/59.2.221")</f>
        <v>http://dx.doi.org/10.1093/czoolo/59.2.221</v>
      </c>
      <c r="BG1065" s="2" t="s">
        <v>74</v>
      </c>
      <c r="BH1065" s="2" t="s">
        <v>74</v>
      </c>
      <c r="BI1065" s="2" t="s">
        <v>74</v>
      </c>
      <c r="BJ1065" s="2" t="s">
        <v>74</v>
      </c>
      <c r="BK1065" s="2" t="s">
        <v>74</v>
      </c>
      <c r="BL1065" s="2" t="s">
        <v>74</v>
      </c>
      <c r="BM1065" s="2" t="s">
        <v>74</v>
      </c>
      <c r="BN1065" s="2" t="s">
        <v>74</v>
      </c>
      <c r="BO1065" s="2" t="s">
        <v>74</v>
      </c>
      <c r="BP1065" s="2" t="s">
        <v>74</v>
      </c>
      <c r="BQ1065" s="2" t="s">
        <v>74</v>
      </c>
      <c r="BR1065" s="2" t="s">
        <v>74</v>
      </c>
      <c r="BS1065" s="2" t="s">
        <v>2546</v>
      </c>
      <c r="BT1065" s="2" t="str">
        <f>HYPERLINK("https%3A%2F%2Fwww.webofscience.com%2Fwos%2Fwoscc%2Ffull-record%2FWOS:000315813200009","View Full Record in Web of Science")</f>
        <v>View Full Record in Web of Science</v>
      </c>
    </row>
    <row r="1066" spans="1:72" s="2" customFormat="1" x14ac:dyDescent="0.4">
      <c r="A1066" s="2" t="s">
        <v>72</v>
      </c>
      <c r="B1066" s="2" t="s">
        <v>7820</v>
      </c>
      <c r="C1066" s="2" t="s">
        <v>74</v>
      </c>
      <c r="D1066" s="2" t="s">
        <v>74</v>
      </c>
      <c r="E1066" s="2" t="s">
        <v>74</v>
      </c>
      <c r="F1066" s="2" t="s">
        <v>7821</v>
      </c>
      <c r="G1066" s="2" t="s">
        <v>74</v>
      </c>
      <c r="H1066" s="2" t="s">
        <v>74</v>
      </c>
      <c r="I1066" s="2" t="s">
        <v>7822</v>
      </c>
      <c r="J1066" s="2" t="s">
        <v>1237</v>
      </c>
      <c r="K1066" s="2" t="s">
        <v>74</v>
      </c>
      <c r="L1066" s="2" t="s">
        <v>74</v>
      </c>
      <c r="M1066" s="2" t="s">
        <v>74</v>
      </c>
      <c r="N1066" s="2" t="s">
        <v>74</v>
      </c>
      <c r="O1066" s="2" t="s">
        <v>74</v>
      </c>
      <c r="P1066" s="2" t="s">
        <v>74</v>
      </c>
      <c r="Q1066" s="2" t="s">
        <v>74</v>
      </c>
      <c r="R1066" s="2" t="s">
        <v>74</v>
      </c>
      <c r="S1066" s="2" t="s">
        <v>74</v>
      </c>
      <c r="T1066" s="2" t="s">
        <v>74</v>
      </c>
      <c r="U1066" s="2" t="s">
        <v>74</v>
      </c>
      <c r="V1066" s="5" t="s">
        <v>7823</v>
      </c>
      <c r="W1066" s="2" t="s">
        <v>74</v>
      </c>
      <c r="X1066" s="2" t="s">
        <v>74</v>
      </c>
      <c r="Y1066" s="2" t="s">
        <v>74</v>
      </c>
      <c r="Z1066" s="2" t="s">
        <v>74</v>
      </c>
      <c r="AA1066" s="2" t="s">
        <v>6718</v>
      </c>
      <c r="AB1066" s="2" t="s">
        <v>6719</v>
      </c>
      <c r="AC1066" s="2" t="s">
        <v>74</v>
      </c>
      <c r="AD1066" s="2" t="s">
        <v>74</v>
      </c>
      <c r="AE1066" s="2" t="s">
        <v>74</v>
      </c>
      <c r="AF1066" s="2" t="s">
        <v>74</v>
      </c>
      <c r="AG1066" s="2" t="s">
        <v>74</v>
      </c>
      <c r="AH1066" s="2" t="s">
        <v>74</v>
      </c>
      <c r="AI1066" s="2" t="s">
        <v>74</v>
      </c>
      <c r="AJ1066" s="2" t="s">
        <v>74</v>
      </c>
      <c r="AK1066" s="2" t="s">
        <v>74</v>
      </c>
      <c r="AL1066" s="2" t="s">
        <v>74</v>
      </c>
      <c r="AM1066" s="2" t="s">
        <v>74</v>
      </c>
      <c r="AN1066" s="2" t="s">
        <v>74</v>
      </c>
      <c r="AO1066" s="2" t="s">
        <v>1239</v>
      </c>
      <c r="AP1066" s="2" t="s">
        <v>74</v>
      </c>
      <c r="AQ1066" s="2" t="s">
        <v>74</v>
      </c>
      <c r="AR1066" s="2" t="s">
        <v>74</v>
      </c>
      <c r="AS1066" s="2" t="s">
        <v>74</v>
      </c>
      <c r="AT1066" s="2" t="s">
        <v>175</v>
      </c>
      <c r="AU1066" s="2">
        <v>2008</v>
      </c>
      <c r="AV1066" s="2">
        <v>86</v>
      </c>
      <c r="AW1066" s="2">
        <v>10</v>
      </c>
      <c r="AX1066" s="2" t="s">
        <v>74</v>
      </c>
      <c r="AY1066" s="2" t="s">
        <v>74</v>
      </c>
      <c r="AZ1066" s="2" t="s">
        <v>74</v>
      </c>
      <c r="BA1066" s="2" t="s">
        <v>74</v>
      </c>
      <c r="BB1066" s="2">
        <v>1131</v>
      </c>
      <c r="BC1066" s="2">
        <v>1138</v>
      </c>
      <c r="BD1066" s="2" t="s">
        <v>74</v>
      </c>
      <c r="BE1066" s="2" t="s">
        <v>7824</v>
      </c>
      <c r="BF1066" s="2" t="str">
        <f>HYPERLINK("http://dx.doi.org/10.1139/Z08-091","http://dx.doi.org/10.1139/Z08-091")</f>
        <v>http://dx.doi.org/10.1139/Z08-091</v>
      </c>
      <c r="BG1066" s="2" t="s">
        <v>74</v>
      </c>
      <c r="BH1066" s="2" t="s">
        <v>74</v>
      </c>
      <c r="BI1066" s="2" t="s">
        <v>74</v>
      </c>
      <c r="BJ1066" s="2" t="s">
        <v>74</v>
      </c>
      <c r="BK1066" s="2" t="s">
        <v>74</v>
      </c>
      <c r="BL1066" s="2" t="s">
        <v>74</v>
      </c>
      <c r="BM1066" s="2" t="s">
        <v>74</v>
      </c>
      <c r="BN1066" s="2" t="s">
        <v>74</v>
      </c>
      <c r="BO1066" s="2" t="s">
        <v>74</v>
      </c>
      <c r="BP1066" s="2" t="s">
        <v>74</v>
      </c>
      <c r="BQ1066" s="2" t="s">
        <v>74</v>
      </c>
      <c r="BR1066" s="2" t="s">
        <v>74</v>
      </c>
      <c r="BS1066" s="2" t="s">
        <v>7825</v>
      </c>
      <c r="BT1066" s="2" t="str">
        <f>HYPERLINK("https%3A%2F%2Fwww.webofscience.com%2Fwos%2Fwoscc%2Ffull-record%2FWOS:000260166800006","View Full Record in Web of Science")</f>
        <v>View Full Record in Web of Science</v>
      </c>
    </row>
    <row r="1067" spans="1:72" s="2" customFormat="1" x14ac:dyDescent="0.4">
      <c r="A1067" s="2" t="s">
        <v>72</v>
      </c>
      <c r="B1067" s="2" t="s">
        <v>593</v>
      </c>
      <c r="C1067" s="2" t="s">
        <v>74</v>
      </c>
      <c r="D1067" s="2" t="s">
        <v>74</v>
      </c>
      <c r="E1067" s="2" t="s">
        <v>74</v>
      </c>
      <c r="F1067" s="2" t="s">
        <v>593</v>
      </c>
      <c r="G1067" s="2" t="s">
        <v>74</v>
      </c>
      <c r="H1067" s="2" t="s">
        <v>74</v>
      </c>
      <c r="I1067" s="2" t="s">
        <v>594</v>
      </c>
      <c r="J1067" s="2" t="s">
        <v>129</v>
      </c>
      <c r="K1067" s="2" t="s">
        <v>74</v>
      </c>
      <c r="L1067" s="2" t="s">
        <v>74</v>
      </c>
      <c r="M1067" s="2" t="s">
        <v>74</v>
      </c>
      <c r="N1067" s="2" t="s">
        <v>74</v>
      </c>
      <c r="O1067" s="2" t="s">
        <v>74</v>
      </c>
      <c r="P1067" s="2" t="s">
        <v>74</v>
      </c>
      <c r="Q1067" s="2" t="s">
        <v>74</v>
      </c>
      <c r="R1067" s="2" t="s">
        <v>74</v>
      </c>
      <c r="S1067" s="2" t="s">
        <v>74</v>
      </c>
      <c r="T1067" s="2" t="s">
        <v>74</v>
      </c>
      <c r="U1067" s="2" t="s">
        <v>74</v>
      </c>
      <c r="V1067" s="5" t="s">
        <v>595</v>
      </c>
      <c r="W1067" s="2" t="s">
        <v>74</v>
      </c>
      <c r="X1067" s="2" t="s">
        <v>74</v>
      </c>
      <c r="Y1067" s="2" t="s">
        <v>74</v>
      </c>
      <c r="Z1067" s="2" t="s">
        <v>74</v>
      </c>
      <c r="AA1067" s="2" t="s">
        <v>596</v>
      </c>
      <c r="AB1067" s="2" t="s">
        <v>597</v>
      </c>
      <c r="AC1067" s="2" t="s">
        <v>74</v>
      </c>
      <c r="AD1067" s="2" t="s">
        <v>74</v>
      </c>
      <c r="AE1067" s="2" t="s">
        <v>74</v>
      </c>
      <c r="AF1067" s="2" t="s">
        <v>74</v>
      </c>
      <c r="AG1067" s="2" t="s">
        <v>74</v>
      </c>
      <c r="AH1067" s="2" t="s">
        <v>74</v>
      </c>
      <c r="AI1067" s="2" t="s">
        <v>74</v>
      </c>
      <c r="AJ1067" s="2" t="s">
        <v>74</v>
      </c>
      <c r="AK1067" s="2" t="s">
        <v>74</v>
      </c>
      <c r="AL1067" s="2" t="s">
        <v>74</v>
      </c>
      <c r="AM1067" s="2" t="s">
        <v>74</v>
      </c>
      <c r="AN1067" s="2" t="s">
        <v>74</v>
      </c>
      <c r="AO1067" s="2" t="s">
        <v>132</v>
      </c>
      <c r="AP1067" s="2" t="s">
        <v>133</v>
      </c>
      <c r="AQ1067" s="2" t="s">
        <v>74</v>
      </c>
      <c r="AR1067" s="2" t="s">
        <v>74</v>
      </c>
      <c r="AS1067" s="2" t="s">
        <v>74</v>
      </c>
      <c r="AT1067" s="2" t="s">
        <v>305</v>
      </c>
      <c r="AU1067" s="2">
        <v>2001</v>
      </c>
      <c r="AV1067" s="2">
        <v>51</v>
      </c>
      <c r="AW1067" s="2">
        <v>1</v>
      </c>
      <c r="AX1067" s="2" t="s">
        <v>74</v>
      </c>
      <c r="AY1067" s="2" t="s">
        <v>74</v>
      </c>
      <c r="AZ1067" s="2" t="s">
        <v>74</v>
      </c>
      <c r="BA1067" s="2" t="s">
        <v>74</v>
      </c>
      <c r="BB1067" s="2">
        <v>69</v>
      </c>
      <c r="BC1067" s="2">
        <v>75</v>
      </c>
      <c r="BD1067" s="2" t="s">
        <v>74</v>
      </c>
      <c r="BE1067" s="2" t="s">
        <v>74</v>
      </c>
      <c r="BF1067" s="2" t="s">
        <v>74</v>
      </c>
      <c r="BG1067" s="2" t="s">
        <v>74</v>
      </c>
      <c r="BH1067" s="2" t="s">
        <v>74</v>
      </c>
      <c r="BI1067" s="2" t="s">
        <v>74</v>
      </c>
      <c r="BJ1067" s="2" t="s">
        <v>74</v>
      </c>
      <c r="BK1067" s="2" t="s">
        <v>74</v>
      </c>
      <c r="BL1067" s="2" t="s">
        <v>74</v>
      </c>
      <c r="BM1067" s="2" t="s">
        <v>74</v>
      </c>
      <c r="BN1067" s="2" t="s">
        <v>74</v>
      </c>
      <c r="BO1067" s="2" t="s">
        <v>74</v>
      </c>
      <c r="BP1067" s="2" t="s">
        <v>74</v>
      </c>
      <c r="BQ1067" s="2" t="s">
        <v>74</v>
      </c>
      <c r="BR1067" s="2" t="s">
        <v>74</v>
      </c>
      <c r="BS1067" s="2" t="s">
        <v>598</v>
      </c>
      <c r="BT1067" s="2" t="str">
        <f>HYPERLINK("https%3A%2F%2Fwww.webofscience.com%2Fwos%2Fwoscc%2Ffull-record%2FWOS:000173034800009","View Full Record in Web of Science")</f>
        <v>View Full Record in Web of Science</v>
      </c>
    </row>
    <row r="1068" spans="1:72" s="2" customFormat="1" x14ac:dyDescent="0.4">
      <c r="A1068" s="2" t="s">
        <v>72</v>
      </c>
      <c r="B1068" s="2" t="s">
        <v>593</v>
      </c>
      <c r="C1068" s="2" t="s">
        <v>74</v>
      </c>
      <c r="D1068" s="2" t="s">
        <v>74</v>
      </c>
      <c r="E1068" s="2" t="s">
        <v>74</v>
      </c>
      <c r="F1068" s="2" t="s">
        <v>593</v>
      </c>
      <c r="G1068" s="2" t="s">
        <v>74</v>
      </c>
      <c r="H1068" s="2" t="s">
        <v>74</v>
      </c>
      <c r="I1068" s="2" t="s">
        <v>3183</v>
      </c>
      <c r="J1068" s="2" t="s">
        <v>408</v>
      </c>
      <c r="K1068" s="2" t="s">
        <v>74</v>
      </c>
      <c r="L1068" s="2" t="s">
        <v>74</v>
      </c>
      <c r="M1068" s="2" t="s">
        <v>74</v>
      </c>
      <c r="N1068" s="2" t="s">
        <v>74</v>
      </c>
      <c r="O1068" s="2" t="s">
        <v>74</v>
      </c>
      <c r="P1068" s="2" t="s">
        <v>74</v>
      </c>
      <c r="Q1068" s="2" t="s">
        <v>74</v>
      </c>
      <c r="R1068" s="2" t="s">
        <v>74</v>
      </c>
      <c r="S1068" s="2" t="s">
        <v>74</v>
      </c>
      <c r="T1068" s="2" t="s">
        <v>74</v>
      </c>
      <c r="U1068" s="2" t="s">
        <v>74</v>
      </c>
      <c r="V1068" s="5" t="s">
        <v>3184</v>
      </c>
      <c r="W1068" s="2" t="s">
        <v>74</v>
      </c>
      <c r="X1068" s="2" t="s">
        <v>74</v>
      </c>
      <c r="Y1068" s="2" t="s">
        <v>74</v>
      </c>
      <c r="Z1068" s="2" t="s">
        <v>74</v>
      </c>
      <c r="AA1068" s="2" t="s">
        <v>2525</v>
      </c>
      <c r="AB1068" s="2" t="s">
        <v>597</v>
      </c>
      <c r="AC1068" s="2" t="s">
        <v>74</v>
      </c>
      <c r="AD1068" s="2" t="s">
        <v>74</v>
      </c>
      <c r="AE1068" s="2" t="s">
        <v>74</v>
      </c>
      <c r="AF1068" s="2" t="s">
        <v>74</v>
      </c>
      <c r="AG1068" s="2" t="s">
        <v>74</v>
      </c>
      <c r="AH1068" s="2" t="s">
        <v>74</v>
      </c>
      <c r="AI1068" s="2" t="s">
        <v>74</v>
      </c>
      <c r="AJ1068" s="2" t="s">
        <v>74</v>
      </c>
      <c r="AK1068" s="2" t="s">
        <v>74</v>
      </c>
      <c r="AL1068" s="2" t="s">
        <v>74</v>
      </c>
      <c r="AM1068" s="2" t="s">
        <v>74</v>
      </c>
      <c r="AN1068" s="2" t="s">
        <v>74</v>
      </c>
      <c r="AO1068" s="2" t="s">
        <v>412</v>
      </c>
      <c r="AP1068" s="2" t="s">
        <v>74</v>
      </c>
      <c r="AQ1068" s="2" t="s">
        <v>74</v>
      </c>
      <c r="AR1068" s="2" t="s">
        <v>74</v>
      </c>
      <c r="AS1068" s="2" t="s">
        <v>74</v>
      </c>
      <c r="AT1068" s="2" t="s">
        <v>305</v>
      </c>
      <c r="AU1068" s="2">
        <v>2005</v>
      </c>
      <c r="AV1068" s="2">
        <v>86</v>
      </c>
      <c r="AW1068" s="2">
        <v>4</v>
      </c>
      <c r="AX1068" s="2" t="s">
        <v>74</v>
      </c>
      <c r="AY1068" s="2" t="s">
        <v>74</v>
      </c>
      <c r="AZ1068" s="2" t="s">
        <v>74</v>
      </c>
      <c r="BA1068" s="2" t="s">
        <v>74</v>
      </c>
      <c r="BB1068" s="2">
        <v>515</v>
      </c>
      <c r="BC1068" s="2">
        <v>523</v>
      </c>
      <c r="BD1068" s="2" t="s">
        <v>74</v>
      </c>
      <c r="BE1068" s="2" t="s">
        <v>3185</v>
      </c>
      <c r="BF1068" s="2" t="str">
        <f>HYPERLINK("http://dx.doi.org/10.1111/j.1095-8312.2005.00551.x","http://dx.doi.org/10.1111/j.1095-8312.2005.00551.x")</f>
        <v>http://dx.doi.org/10.1111/j.1095-8312.2005.00551.x</v>
      </c>
      <c r="BG1068" s="2" t="s">
        <v>74</v>
      </c>
      <c r="BH1068" s="2" t="s">
        <v>74</v>
      </c>
      <c r="BI1068" s="2" t="s">
        <v>74</v>
      </c>
      <c r="BJ1068" s="2" t="s">
        <v>74</v>
      </c>
      <c r="BK1068" s="2" t="s">
        <v>74</v>
      </c>
      <c r="BL1068" s="2" t="s">
        <v>74</v>
      </c>
      <c r="BM1068" s="2" t="s">
        <v>74</v>
      </c>
      <c r="BN1068" s="2" t="s">
        <v>74</v>
      </c>
      <c r="BO1068" s="2" t="s">
        <v>74</v>
      </c>
      <c r="BP1068" s="2" t="s">
        <v>74</v>
      </c>
      <c r="BQ1068" s="2" t="s">
        <v>74</v>
      </c>
      <c r="BR1068" s="2" t="s">
        <v>74</v>
      </c>
      <c r="BS1068" s="2" t="s">
        <v>3186</v>
      </c>
      <c r="BT1068" s="2" t="str">
        <f>HYPERLINK("https%3A%2F%2Fwww.webofscience.com%2Fwos%2Fwoscc%2Ffull-record%2FWOS:000233621200008","View Full Record in Web of Science")</f>
        <v>View Full Record in Web of Science</v>
      </c>
    </row>
    <row r="1069" spans="1:72" s="2" customFormat="1" x14ac:dyDescent="0.4">
      <c r="A1069" s="2" t="s">
        <v>72</v>
      </c>
      <c r="B1069" s="2" t="s">
        <v>2522</v>
      </c>
      <c r="C1069" s="2" t="s">
        <v>74</v>
      </c>
      <c r="D1069" s="2" t="s">
        <v>74</v>
      </c>
      <c r="E1069" s="2" t="s">
        <v>74</v>
      </c>
      <c r="F1069" s="2" t="s">
        <v>2522</v>
      </c>
      <c r="G1069" s="2" t="s">
        <v>74</v>
      </c>
      <c r="H1069" s="2" t="s">
        <v>74</v>
      </c>
      <c r="I1069" s="2" t="s">
        <v>2523</v>
      </c>
      <c r="J1069" s="2" t="s">
        <v>140</v>
      </c>
      <c r="K1069" s="2" t="s">
        <v>74</v>
      </c>
      <c r="L1069" s="2" t="s">
        <v>74</v>
      </c>
      <c r="M1069" s="2" t="s">
        <v>74</v>
      </c>
      <c r="N1069" s="2" t="s">
        <v>74</v>
      </c>
      <c r="O1069" s="2" t="s">
        <v>74</v>
      </c>
      <c r="P1069" s="2" t="s">
        <v>74</v>
      </c>
      <c r="Q1069" s="2" t="s">
        <v>74</v>
      </c>
      <c r="R1069" s="2" t="s">
        <v>74</v>
      </c>
      <c r="S1069" s="2" t="s">
        <v>74</v>
      </c>
      <c r="T1069" s="2" t="s">
        <v>74</v>
      </c>
      <c r="U1069" s="2" t="s">
        <v>74</v>
      </c>
      <c r="V1069" s="5" t="s">
        <v>2524</v>
      </c>
      <c r="W1069" s="2" t="s">
        <v>74</v>
      </c>
      <c r="X1069" s="2" t="s">
        <v>74</v>
      </c>
      <c r="Y1069" s="2" t="s">
        <v>74</v>
      </c>
      <c r="Z1069" s="2" t="s">
        <v>74</v>
      </c>
      <c r="AA1069" s="2" t="s">
        <v>2525</v>
      </c>
      <c r="AB1069" s="2" t="s">
        <v>2526</v>
      </c>
      <c r="AC1069" s="2" t="s">
        <v>74</v>
      </c>
      <c r="AD1069" s="2" t="s">
        <v>74</v>
      </c>
      <c r="AE1069" s="2" t="s">
        <v>74</v>
      </c>
      <c r="AF1069" s="2" t="s">
        <v>74</v>
      </c>
      <c r="AG1069" s="2" t="s">
        <v>74</v>
      </c>
      <c r="AH1069" s="2" t="s">
        <v>74</v>
      </c>
      <c r="AI1069" s="2" t="s">
        <v>74</v>
      </c>
      <c r="AJ1069" s="2" t="s">
        <v>74</v>
      </c>
      <c r="AK1069" s="2" t="s">
        <v>74</v>
      </c>
      <c r="AL1069" s="2" t="s">
        <v>74</v>
      </c>
      <c r="AM1069" s="2" t="s">
        <v>74</v>
      </c>
      <c r="AN1069" s="2" t="s">
        <v>74</v>
      </c>
      <c r="AO1069" s="2" t="s">
        <v>143</v>
      </c>
      <c r="AP1069" s="2" t="s">
        <v>74</v>
      </c>
      <c r="AQ1069" s="2" t="s">
        <v>74</v>
      </c>
      <c r="AR1069" s="2" t="s">
        <v>74</v>
      </c>
      <c r="AS1069" s="2" t="s">
        <v>74</v>
      </c>
      <c r="AT1069" s="2" t="s">
        <v>102</v>
      </c>
      <c r="AU1069" s="2">
        <v>1999</v>
      </c>
      <c r="AV1069" s="2">
        <v>57</v>
      </c>
      <c r="AW1069" s="2" t="s">
        <v>74</v>
      </c>
      <c r="AX1069" s="2">
        <v>6</v>
      </c>
      <c r="AY1069" s="2" t="s">
        <v>74</v>
      </c>
      <c r="AZ1069" s="2" t="s">
        <v>74</v>
      </c>
      <c r="BA1069" s="2" t="s">
        <v>74</v>
      </c>
      <c r="BB1069" s="2">
        <v>1229</v>
      </c>
      <c r="BC1069" s="2">
        <v>1232</v>
      </c>
      <c r="BD1069" s="2" t="s">
        <v>74</v>
      </c>
      <c r="BE1069" s="2" t="s">
        <v>2527</v>
      </c>
      <c r="BF1069" s="2" t="str">
        <f>HYPERLINK("http://dx.doi.org/10.1006/anbe.1999.1100","http://dx.doi.org/10.1006/anbe.1999.1100")</f>
        <v>http://dx.doi.org/10.1006/anbe.1999.1100</v>
      </c>
      <c r="BG1069" s="2" t="s">
        <v>74</v>
      </c>
      <c r="BH1069" s="2" t="s">
        <v>74</v>
      </c>
      <c r="BI1069" s="2" t="s">
        <v>74</v>
      </c>
      <c r="BJ1069" s="2" t="s">
        <v>74</v>
      </c>
      <c r="BK1069" s="2" t="s">
        <v>74</v>
      </c>
      <c r="BL1069" s="2" t="s">
        <v>74</v>
      </c>
      <c r="BM1069" s="2" t="s">
        <v>74</v>
      </c>
      <c r="BN1069" s="2">
        <v>10373255</v>
      </c>
      <c r="BO1069" s="2" t="s">
        <v>74</v>
      </c>
      <c r="BP1069" s="2" t="s">
        <v>74</v>
      </c>
      <c r="BQ1069" s="2" t="s">
        <v>74</v>
      </c>
      <c r="BR1069" s="2" t="s">
        <v>74</v>
      </c>
      <c r="BS1069" s="2" t="s">
        <v>2528</v>
      </c>
      <c r="BT1069" s="2" t="str">
        <f>HYPERLINK("https%3A%2F%2Fwww.webofscience.com%2Fwos%2Fwoscc%2Ffull-record%2FWOS:000080973100007","View Full Record in Web of Science")</f>
        <v>View Full Record in Web of Science</v>
      </c>
    </row>
    <row r="1070" spans="1:72" s="1" customFormat="1" x14ac:dyDescent="0.4">
      <c r="A1070" s="2" t="s">
        <v>72</v>
      </c>
      <c r="B1070" s="2" t="s">
        <v>6794</v>
      </c>
      <c r="C1070" s="2" t="s">
        <v>74</v>
      </c>
      <c r="D1070" s="2" t="s">
        <v>74</v>
      </c>
      <c r="E1070" s="2" t="s">
        <v>74</v>
      </c>
      <c r="F1070" s="2" t="s">
        <v>6795</v>
      </c>
      <c r="G1070" s="2" t="s">
        <v>74</v>
      </c>
      <c r="H1070" s="2" t="s">
        <v>74</v>
      </c>
      <c r="I1070" s="2" t="s">
        <v>6796</v>
      </c>
      <c r="J1070" s="2" t="s">
        <v>2087</v>
      </c>
      <c r="K1070" s="2" t="s">
        <v>74</v>
      </c>
      <c r="L1070" s="2" t="s">
        <v>74</v>
      </c>
      <c r="M1070" s="2" t="s">
        <v>74</v>
      </c>
      <c r="N1070" s="2" t="s">
        <v>74</v>
      </c>
      <c r="O1070" s="2" t="s">
        <v>74</v>
      </c>
      <c r="P1070" s="2" t="s">
        <v>74</v>
      </c>
      <c r="Q1070" s="2" t="s">
        <v>74</v>
      </c>
      <c r="R1070" s="2" t="s">
        <v>74</v>
      </c>
      <c r="S1070" s="2" t="s">
        <v>74</v>
      </c>
      <c r="T1070" s="2" t="s">
        <v>74</v>
      </c>
      <c r="U1070" s="2" t="s">
        <v>74</v>
      </c>
      <c r="V1070" s="5" t="s">
        <v>6797</v>
      </c>
      <c r="W1070" s="2" t="s">
        <v>74</v>
      </c>
      <c r="X1070" s="2" t="s">
        <v>74</v>
      </c>
      <c r="Y1070" s="2" t="s">
        <v>74</v>
      </c>
      <c r="Z1070" s="2" t="s">
        <v>74</v>
      </c>
      <c r="AA1070" s="2" t="s">
        <v>6718</v>
      </c>
      <c r="AB1070" s="2" t="s">
        <v>6719</v>
      </c>
      <c r="AC1070" s="2" t="s">
        <v>74</v>
      </c>
      <c r="AD1070" s="2" t="s">
        <v>74</v>
      </c>
      <c r="AE1070" s="2" t="s">
        <v>74</v>
      </c>
      <c r="AF1070" s="2" t="s">
        <v>74</v>
      </c>
      <c r="AG1070" s="2" t="s">
        <v>74</v>
      </c>
      <c r="AH1070" s="2" t="s">
        <v>74</v>
      </c>
      <c r="AI1070" s="2" t="s">
        <v>74</v>
      </c>
      <c r="AJ1070" s="2" t="s">
        <v>74</v>
      </c>
      <c r="AK1070" s="2" t="s">
        <v>74</v>
      </c>
      <c r="AL1070" s="2" t="s">
        <v>74</v>
      </c>
      <c r="AM1070" s="2" t="s">
        <v>74</v>
      </c>
      <c r="AN1070" s="2" t="s">
        <v>74</v>
      </c>
      <c r="AO1070" s="2" t="s">
        <v>2089</v>
      </c>
      <c r="AP1070" s="2" t="s">
        <v>74</v>
      </c>
      <c r="AQ1070" s="2" t="s">
        <v>74</v>
      </c>
      <c r="AR1070" s="2" t="s">
        <v>74</v>
      </c>
      <c r="AS1070" s="2" t="s">
        <v>74</v>
      </c>
      <c r="AT1070" s="2" t="s">
        <v>74</v>
      </c>
      <c r="AU1070" s="2">
        <v>2007</v>
      </c>
      <c r="AV1070" s="2">
        <v>14</v>
      </c>
      <c r="AW1070" s="2">
        <v>1</v>
      </c>
      <c r="AX1070" s="2" t="s">
        <v>74</v>
      </c>
      <c r="AY1070" s="2" t="s">
        <v>74</v>
      </c>
      <c r="AZ1070" s="2" t="s">
        <v>74</v>
      </c>
      <c r="BA1070" s="2" t="s">
        <v>74</v>
      </c>
      <c r="BB1070" s="2">
        <v>1</v>
      </c>
      <c r="BC1070" s="2">
        <v>7</v>
      </c>
      <c r="BD1070" s="2" t="s">
        <v>74</v>
      </c>
      <c r="BE1070" s="2" t="s">
        <v>6798</v>
      </c>
      <c r="BF1070" s="2" t="str">
        <f>HYPERLINK("http://dx.doi.org/10.2980/1195-6860(2007)14[1:RIBNDS]2.0.CO;2","http://dx.doi.org/10.2980/1195-6860(2007)14[1:RIBNDS]2.0.CO;2")</f>
        <v>http://dx.doi.org/10.2980/1195-6860(2007)14[1:RIBNDS]2.0.CO;2</v>
      </c>
      <c r="BG1070" s="2" t="s">
        <v>74</v>
      </c>
      <c r="BH1070" s="2" t="s">
        <v>74</v>
      </c>
      <c r="BI1070" s="2" t="s">
        <v>74</v>
      </c>
      <c r="BJ1070" s="2" t="s">
        <v>74</v>
      </c>
      <c r="BK1070" s="2" t="s">
        <v>74</v>
      </c>
      <c r="BL1070" s="2" t="s">
        <v>74</v>
      </c>
      <c r="BM1070" s="2" t="s">
        <v>74</v>
      </c>
      <c r="BN1070" s="2" t="s">
        <v>74</v>
      </c>
      <c r="BO1070" s="2" t="s">
        <v>74</v>
      </c>
      <c r="BP1070" s="2" t="s">
        <v>74</v>
      </c>
      <c r="BQ1070" s="2" t="s">
        <v>74</v>
      </c>
      <c r="BR1070" s="2" t="s">
        <v>74</v>
      </c>
      <c r="BS1070" s="2" t="s">
        <v>6799</v>
      </c>
      <c r="BT1070" s="2" t="str">
        <f>HYPERLINK("https%3A%2F%2Fwww.webofscience.com%2Fwos%2Fwoscc%2Ffull-record%2FWOS:000245364700001","View Full Record in Web of Science")</f>
        <v>View Full Record in Web of Science</v>
      </c>
    </row>
    <row r="1071" spans="1:72" s="2" customFormat="1" x14ac:dyDescent="0.4">
      <c r="A1071" s="2" t="s">
        <v>72</v>
      </c>
      <c r="B1071" s="2" t="s">
        <v>1159</v>
      </c>
      <c r="C1071" s="2" t="s">
        <v>74</v>
      </c>
      <c r="D1071" s="2" t="s">
        <v>74</v>
      </c>
      <c r="E1071" s="2" t="s">
        <v>74</v>
      </c>
      <c r="F1071" s="2" t="s">
        <v>1160</v>
      </c>
      <c r="G1071" s="2" t="s">
        <v>74</v>
      </c>
      <c r="H1071" s="2" t="s">
        <v>74</v>
      </c>
      <c r="I1071" s="2" t="s">
        <v>1161</v>
      </c>
      <c r="J1071" s="2" t="s">
        <v>576</v>
      </c>
      <c r="K1071" s="2" t="s">
        <v>74</v>
      </c>
      <c r="L1071" s="2" t="s">
        <v>74</v>
      </c>
      <c r="M1071" s="2" t="s">
        <v>74</v>
      </c>
      <c r="N1071" s="2" t="s">
        <v>74</v>
      </c>
      <c r="O1071" s="2" t="s">
        <v>74</v>
      </c>
      <c r="P1071" s="2" t="s">
        <v>74</v>
      </c>
      <c r="Q1071" s="2" t="s">
        <v>74</v>
      </c>
      <c r="R1071" s="2" t="s">
        <v>74</v>
      </c>
      <c r="S1071" s="2" t="s">
        <v>74</v>
      </c>
      <c r="T1071" s="2" t="s">
        <v>74</v>
      </c>
      <c r="U1071" s="2" t="s">
        <v>74</v>
      </c>
      <c r="V1071" s="5" t="s">
        <v>1162</v>
      </c>
      <c r="W1071" s="2" t="s">
        <v>74</v>
      </c>
      <c r="X1071" s="2" t="s">
        <v>74</v>
      </c>
      <c r="Y1071" s="2" t="s">
        <v>74</v>
      </c>
      <c r="Z1071" s="2" t="s">
        <v>74</v>
      </c>
      <c r="AA1071" s="2" t="s">
        <v>74</v>
      </c>
      <c r="AB1071" s="2" t="s">
        <v>1163</v>
      </c>
      <c r="AC1071" s="2" t="s">
        <v>74</v>
      </c>
      <c r="AD1071" s="2" t="s">
        <v>74</v>
      </c>
      <c r="AE1071" s="2" t="s">
        <v>74</v>
      </c>
      <c r="AF1071" s="2" t="s">
        <v>74</v>
      </c>
      <c r="AG1071" s="2" t="s">
        <v>74</v>
      </c>
      <c r="AH1071" s="2" t="s">
        <v>74</v>
      </c>
      <c r="AI1071" s="2" t="s">
        <v>74</v>
      </c>
      <c r="AJ1071" s="2" t="s">
        <v>74</v>
      </c>
      <c r="AK1071" s="2" t="s">
        <v>74</v>
      </c>
      <c r="AL1071" s="2" t="s">
        <v>74</v>
      </c>
      <c r="AM1071" s="2" t="s">
        <v>74</v>
      </c>
      <c r="AN1071" s="2" t="s">
        <v>74</v>
      </c>
      <c r="AO1071" s="2" t="s">
        <v>579</v>
      </c>
      <c r="AP1071" s="2" t="s">
        <v>74</v>
      </c>
      <c r="AQ1071" s="2" t="s">
        <v>74</v>
      </c>
      <c r="AR1071" s="2" t="s">
        <v>74</v>
      </c>
      <c r="AS1071" s="2" t="s">
        <v>74</v>
      </c>
      <c r="AT1071" s="2" t="s">
        <v>255</v>
      </c>
      <c r="AU1071" s="2">
        <v>2011</v>
      </c>
      <c r="AV1071" s="2">
        <v>25</v>
      </c>
      <c r="AW1071" s="2">
        <v>1</v>
      </c>
      <c r="AX1071" s="2" t="s">
        <v>74</v>
      </c>
      <c r="AY1071" s="2" t="s">
        <v>74</v>
      </c>
      <c r="AZ1071" s="2" t="s">
        <v>74</v>
      </c>
      <c r="BA1071" s="2" t="s">
        <v>74</v>
      </c>
      <c r="BB1071" s="2">
        <v>139</v>
      </c>
      <c r="BC1071" s="2">
        <v>154</v>
      </c>
      <c r="BD1071" s="2" t="s">
        <v>74</v>
      </c>
      <c r="BE1071" s="2" t="s">
        <v>1164</v>
      </c>
      <c r="BF1071" s="2" t="str">
        <f>HYPERLINK("http://dx.doi.org/10.1007/s10682-010-9388-z","http://dx.doi.org/10.1007/s10682-010-9388-z")</f>
        <v>http://dx.doi.org/10.1007/s10682-010-9388-z</v>
      </c>
      <c r="BG1071" s="2" t="s">
        <v>74</v>
      </c>
      <c r="BH1071" s="2" t="s">
        <v>74</v>
      </c>
      <c r="BI1071" s="2" t="s">
        <v>74</v>
      </c>
      <c r="BJ1071" s="2" t="s">
        <v>74</v>
      </c>
      <c r="BK1071" s="2" t="s">
        <v>74</v>
      </c>
      <c r="BL1071" s="2" t="s">
        <v>74</v>
      </c>
      <c r="BM1071" s="2" t="s">
        <v>74</v>
      </c>
      <c r="BN1071" s="2" t="s">
        <v>74</v>
      </c>
      <c r="BO1071" s="2" t="s">
        <v>74</v>
      </c>
      <c r="BP1071" s="2" t="s">
        <v>74</v>
      </c>
      <c r="BQ1071" s="2" t="s">
        <v>74</v>
      </c>
      <c r="BR1071" s="2" t="s">
        <v>74</v>
      </c>
      <c r="BS1071" s="2" t="s">
        <v>1165</v>
      </c>
      <c r="BT1071" s="2" t="str">
        <f>HYPERLINK("https%3A%2F%2Fwww.webofscience.com%2Fwos%2Fwoscc%2Ffull-record%2FWOS:000287600500010","View Full Record in Web of Science")</f>
        <v>View Full Record in Web of Science</v>
      </c>
    </row>
    <row r="1072" spans="1:72" s="2" customFormat="1" x14ac:dyDescent="0.4">
      <c r="A1072" s="2" t="s">
        <v>72</v>
      </c>
      <c r="B1072" s="2" t="s">
        <v>1993</v>
      </c>
      <c r="C1072" s="2" t="s">
        <v>74</v>
      </c>
      <c r="D1072" s="2" t="s">
        <v>74</v>
      </c>
      <c r="E1072" s="2" t="s">
        <v>74</v>
      </c>
      <c r="F1072" s="2" t="s">
        <v>1993</v>
      </c>
      <c r="G1072" s="2" t="s">
        <v>74</v>
      </c>
      <c r="H1072" s="2" t="s">
        <v>74</v>
      </c>
      <c r="I1072" s="2" t="s">
        <v>1994</v>
      </c>
      <c r="J1072" s="2" t="s">
        <v>1995</v>
      </c>
      <c r="K1072" s="2" t="s">
        <v>74</v>
      </c>
      <c r="L1072" s="2" t="s">
        <v>74</v>
      </c>
      <c r="M1072" s="2" t="s">
        <v>74</v>
      </c>
      <c r="N1072" s="2" t="s">
        <v>74</v>
      </c>
      <c r="O1072" s="2" t="s">
        <v>74</v>
      </c>
      <c r="P1072" s="2" t="s">
        <v>74</v>
      </c>
      <c r="Q1072" s="2" t="s">
        <v>74</v>
      </c>
      <c r="R1072" s="2" t="s">
        <v>74</v>
      </c>
      <c r="S1072" s="2" t="s">
        <v>74</v>
      </c>
      <c r="T1072" s="2" t="s">
        <v>74</v>
      </c>
      <c r="U1072" s="2" t="s">
        <v>74</v>
      </c>
      <c r="V1072" s="5" t="s">
        <v>1996</v>
      </c>
      <c r="W1072" s="2" t="s">
        <v>74</v>
      </c>
      <c r="X1072" s="2" t="s">
        <v>74</v>
      </c>
      <c r="Y1072" s="2" t="s">
        <v>74</v>
      </c>
      <c r="Z1072" s="2" t="s">
        <v>74</v>
      </c>
      <c r="AA1072" s="2" t="s">
        <v>74</v>
      </c>
      <c r="AB1072" s="2" t="s">
        <v>74</v>
      </c>
      <c r="AC1072" s="2" t="s">
        <v>74</v>
      </c>
      <c r="AD1072" s="2" t="s">
        <v>74</v>
      </c>
      <c r="AE1072" s="2" t="s">
        <v>74</v>
      </c>
      <c r="AF1072" s="2" t="s">
        <v>74</v>
      </c>
      <c r="AG1072" s="2" t="s">
        <v>74</v>
      </c>
      <c r="AH1072" s="2" t="s">
        <v>74</v>
      </c>
      <c r="AI1072" s="2" t="s">
        <v>74</v>
      </c>
      <c r="AJ1072" s="2" t="s">
        <v>74</v>
      </c>
      <c r="AK1072" s="2" t="s">
        <v>74</v>
      </c>
      <c r="AL1072" s="2" t="s">
        <v>74</v>
      </c>
      <c r="AM1072" s="2" t="s">
        <v>74</v>
      </c>
      <c r="AN1072" s="2" t="s">
        <v>74</v>
      </c>
      <c r="AO1072" s="2" t="s">
        <v>1997</v>
      </c>
      <c r="AP1072" s="2" t="s">
        <v>74</v>
      </c>
      <c r="AQ1072" s="2" t="s">
        <v>74</v>
      </c>
      <c r="AR1072" s="2" t="s">
        <v>74</v>
      </c>
      <c r="AS1072" s="2" t="s">
        <v>74</v>
      </c>
      <c r="AT1072" s="2" t="s">
        <v>1998</v>
      </c>
      <c r="AU1072" s="2">
        <v>2003</v>
      </c>
      <c r="AV1072" s="2">
        <v>74</v>
      </c>
      <c r="AW1072" s="2">
        <v>4</v>
      </c>
      <c r="AX1072" s="2" t="s">
        <v>74</v>
      </c>
      <c r="AY1072" s="2" t="s">
        <v>74</v>
      </c>
      <c r="AZ1072" s="2" t="s">
        <v>74</v>
      </c>
      <c r="BA1072" s="2" t="s">
        <v>74</v>
      </c>
      <c r="BB1072" s="2">
        <v>406</v>
      </c>
      <c r="BC1072" s="2">
        <v>415</v>
      </c>
      <c r="BD1072" s="2" t="s">
        <v>74</v>
      </c>
      <c r="BE1072" s="2" t="s">
        <v>1999</v>
      </c>
      <c r="BF1072" s="2" t="str">
        <f>HYPERLINK("http://dx.doi.org/10.1648/0273-8570-74.4.406","http://dx.doi.org/10.1648/0273-8570-74.4.406")</f>
        <v>http://dx.doi.org/10.1648/0273-8570-74.4.406</v>
      </c>
      <c r="BG1072" s="2" t="s">
        <v>74</v>
      </c>
      <c r="BH1072" s="2" t="s">
        <v>74</v>
      </c>
      <c r="BI1072" s="2" t="s">
        <v>74</v>
      </c>
      <c r="BJ1072" s="2" t="s">
        <v>74</v>
      </c>
      <c r="BK1072" s="2" t="s">
        <v>74</v>
      </c>
      <c r="BL1072" s="2" t="s">
        <v>74</v>
      </c>
      <c r="BM1072" s="2" t="s">
        <v>74</v>
      </c>
      <c r="BN1072" s="2" t="s">
        <v>74</v>
      </c>
      <c r="BO1072" s="2" t="s">
        <v>74</v>
      </c>
      <c r="BP1072" s="2" t="s">
        <v>74</v>
      </c>
      <c r="BQ1072" s="2" t="s">
        <v>74</v>
      </c>
      <c r="BR1072" s="2" t="s">
        <v>74</v>
      </c>
      <c r="BS1072" s="2" t="s">
        <v>2000</v>
      </c>
      <c r="BT1072" s="2" t="str">
        <f>HYPERLINK("https%3A%2F%2Fwww.webofscience.com%2Fwos%2Fwoscc%2Ffull-record%2FWOS:000186208600011","View Full Record in Web of Science")</f>
        <v>View Full Record in Web of Science</v>
      </c>
    </row>
    <row r="1073" spans="1:72" s="2" customFormat="1" x14ac:dyDescent="0.4">
      <c r="A1073" s="2" t="s">
        <v>72</v>
      </c>
      <c r="B1073" s="2" t="s">
        <v>7384</v>
      </c>
      <c r="C1073" s="2" t="s">
        <v>74</v>
      </c>
      <c r="D1073" s="2" t="s">
        <v>74</v>
      </c>
      <c r="E1073" s="2" t="s">
        <v>74</v>
      </c>
      <c r="F1073" s="2" t="s">
        <v>7385</v>
      </c>
      <c r="G1073" s="2" t="s">
        <v>74</v>
      </c>
      <c r="H1073" s="2" t="s">
        <v>74</v>
      </c>
      <c r="I1073" s="2" t="s">
        <v>7386</v>
      </c>
      <c r="J1073" s="2" t="s">
        <v>1526</v>
      </c>
      <c r="K1073" s="2" t="s">
        <v>74</v>
      </c>
      <c r="L1073" s="2" t="s">
        <v>74</v>
      </c>
      <c r="M1073" s="2" t="s">
        <v>74</v>
      </c>
      <c r="N1073" s="2" t="s">
        <v>74</v>
      </c>
      <c r="O1073" s="2" t="s">
        <v>74</v>
      </c>
      <c r="P1073" s="2" t="s">
        <v>74</v>
      </c>
      <c r="Q1073" s="2" t="s">
        <v>74</v>
      </c>
      <c r="R1073" s="2" t="s">
        <v>74</v>
      </c>
      <c r="S1073" s="2" t="s">
        <v>74</v>
      </c>
      <c r="T1073" s="2" t="s">
        <v>74</v>
      </c>
      <c r="U1073" s="2" t="s">
        <v>74</v>
      </c>
      <c r="V1073" s="5" t="s">
        <v>7387</v>
      </c>
      <c r="W1073" s="2" t="s">
        <v>74</v>
      </c>
      <c r="X1073" s="2" t="s">
        <v>74</v>
      </c>
      <c r="Y1073" s="2" t="s">
        <v>74</v>
      </c>
      <c r="Z1073" s="2" t="s">
        <v>74</v>
      </c>
      <c r="AA1073" s="2" t="s">
        <v>74</v>
      </c>
      <c r="AB1073" s="2" t="s">
        <v>74</v>
      </c>
      <c r="AC1073" s="2" t="s">
        <v>74</v>
      </c>
      <c r="AD1073" s="2" t="s">
        <v>74</v>
      </c>
      <c r="AE1073" s="2" t="s">
        <v>74</v>
      </c>
      <c r="AF1073" s="2" t="s">
        <v>74</v>
      </c>
      <c r="AG1073" s="2" t="s">
        <v>74</v>
      </c>
      <c r="AH1073" s="2" t="s">
        <v>74</v>
      </c>
      <c r="AI1073" s="2" t="s">
        <v>74</v>
      </c>
      <c r="AJ1073" s="2" t="s">
        <v>74</v>
      </c>
      <c r="AK1073" s="2" t="s">
        <v>74</v>
      </c>
      <c r="AL1073" s="2" t="s">
        <v>74</v>
      </c>
      <c r="AM1073" s="2" t="s">
        <v>74</v>
      </c>
      <c r="AN1073" s="2" t="s">
        <v>74</v>
      </c>
      <c r="AO1073" s="2" t="s">
        <v>1528</v>
      </c>
      <c r="AP1073" s="2" t="s">
        <v>2131</v>
      </c>
      <c r="AQ1073" s="2" t="s">
        <v>74</v>
      </c>
      <c r="AR1073" s="2" t="s">
        <v>74</v>
      </c>
      <c r="AS1073" s="2" t="s">
        <v>74</v>
      </c>
      <c r="AT1073" s="2" t="s">
        <v>134</v>
      </c>
      <c r="AU1073" s="2">
        <v>2008</v>
      </c>
      <c r="AV1073" s="2">
        <v>110</v>
      </c>
      <c r="AW1073" s="2">
        <v>2</v>
      </c>
      <c r="AX1073" s="2" t="s">
        <v>74</v>
      </c>
      <c r="AY1073" s="2" t="s">
        <v>74</v>
      </c>
      <c r="AZ1073" s="2" t="s">
        <v>74</v>
      </c>
      <c r="BA1073" s="2" t="s">
        <v>74</v>
      </c>
      <c r="BB1073" s="2">
        <v>241</v>
      </c>
      <c r="BC1073" s="2">
        <v>250</v>
      </c>
      <c r="BD1073" s="2" t="s">
        <v>74</v>
      </c>
      <c r="BE1073" s="2" t="s">
        <v>7388</v>
      </c>
      <c r="BF1073" s="2" t="str">
        <f>HYPERLINK("http://dx.doi.org/10.1525/cond.2008.8476","http://dx.doi.org/10.1525/cond.2008.8476")</f>
        <v>http://dx.doi.org/10.1525/cond.2008.8476</v>
      </c>
      <c r="BG1073" s="2" t="s">
        <v>74</v>
      </c>
      <c r="BH1073" s="2" t="s">
        <v>74</v>
      </c>
      <c r="BI1073" s="2" t="s">
        <v>74</v>
      </c>
      <c r="BJ1073" s="2" t="s">
        <v>74</v>
      </c>
      <c r="BK1073" s="2" t="s">
        <v>74</v>
      </c>
      <c r="BL1073" s="2" t="s">
        <v>74</v>
      </c>
      <c r="BM1073" s="2" t="s">
        <v>74</v>
      </c>
      <c r="BN1073" s="2" t="s">
        <v>74</v>
      </c>
      <c r="BO1073" s="2" t="s">
        <v>74</v>
      </c>
      <c r="BP1073" s="2" t="s">
        <v>74</v>
      </c>
      <c r="BQ1073" s="2" t="s">
        <v>74</v>
      </c>
      <c r="BR1073" s="2" t="s">
        <v>74</v>
      </c>
      <c r="BS1073" s="2" t="s">
        <v>7389</v>
      </c>
      <c r="BT1073" s="2" t="str">
        <f>HYPERLINK("https%3A%2F%2Fwww.webofscience.com%2Fwos%2Fwoscc%2Ffull-record%2FWOS:000258851900004","View Full Record in Web of Science")</f>
        <v>View Full Record in Web of Science</v>
      </c>
    </row>
    <row r="1074" spans="1:72" s="7" customFormat="1" x14ac:dyDescent="0.4">
      <c r="A1074" s="2" t="s">
        <v>72</v>
      </c>
      <c r="B1074" s="2" t="s">
        <v>8428</v>
      </c>
      <c r="C1074" s="2" t="s">
        <v>74</v>
      </c>
      <c r="D1074" s="2" t="s">
        <v>74</v>
      </c>
      <c r="E1074" s="2" t="s">
        <v>74</v>
      </c>
      <c r="F1074" s="2" t="s">
        <v>8429</v>
      </c>
      <c r="G1074" s="2" t="s">
        <v>74</v>
      </c>
      <c r="H1074" s="2" t="s">
        <v>74</v>
      </c>
      <c r="I1074" s="2" t="s">
        <v>8430</v>
      </c>
      <c r="J1074" s="2" t="s">
        <v>1480</v>
      </c>
      <c r="K1074" s="2" t="s">
        <v>74</v>
      </c>
      <c r="L1074" s="2" t="s">
        <v>74</v>
      </c>
      <c r="M1074" s="2" t="s">
        <v>74</v>
      </c>
      <c r="N1074" s="2" t="s">
        <v>74</v>
      </c>
      <c r="O1074" s="2" t="s">
        <v>74</v>
      </c>
      <c r="P1074" s="2" t="s">
        <v>74</v>
      </c>
      <c r="Q1074" s="2" t="s">
        <v>74</v>
      </c>
      <c r="R1074" s="2" t="s">
        <v>74</v>
      </c>
      <c r="S1074" s="2" t="s">
        <v>74</v>
      </c>
      <c r="T1074" s="2" t="s">
        <v>74</v>
      </c>
      <c r="U1074" s="2" t="s">
        <v>74</v>
      </c>
      <c r="V1074" s="5" t="s">
        <v>8431</v>
      </c>
      <c r="W1074" s="2" t="s">
        <v>74</v>
      </c>
      <c r="X1074" s="2" t="s">
        <v>74</v>
      </c>
      <c r="Y1074" s="2" t="s">
        <v>74</v>
      </c>
      <c r="Z1074" s="2" t="s">
        <v>74</v>
      </c>
      <c r="AA1074" s="2" t="s">
        <v>74</v>
      </c>
      <c r="AB1074" s="2" t="s">
        <v>74</v>
      </c>
      <c r="AC1074" s="2" t="s">
        <v>74</v>
      </c>
      <c r="AD1074" s="2" t="s">
        <v>74</v>
      </c>
      <c r="AE1074" s="2" t="s">
        <v>74</v>
      </c>
      <c r="AF1074" s="2" t="s">
        <v>74</v>
      </c>
      <c r="AG1074" s="2" t="s">
        <v>74</v>
      </c>
      <c r="AH1074" s="2" t="s">
        <v>74</v>
      </c>
      <c r="AI1074" s="2" t="s">
        <v>74</v>
      </c>
      <c r="AJ1074" s="2" t="s">
        <v>74</v>
      </c>
      <c r="AK1074" s="2" t="s">
        <v>74</v>
      </c>
      <c r="AL1074" s="2" t="s">
        <v>74</v>
      </c>
      <c r="AM1074" s="2" t="s">
        <v>74</v>
      </c>
      <c r="AN1074" s="2" t="s">
        <v>74</v>
      </c>
      <c r="AO1074" s="2" t="s">
        <v>1482</v>
      </c>
      <c r="AP1074" s="2" t="s">
        <v>6949</v>
      </c>
      <c r="AQ1074" s="2" t="s">
        <v>74</v>
      </c>
      <c r="AR1074" s="2" t="s">
        <v>74</v>
      </c>
      <c r="AS1074" s="2" t="s">
        <v>74</v>
      </c>
      <c r="AT1074" s="2" t="s">
        <v>175</v>
      </c>
      <c r="AU1074" s="2">
        <v>2023</v>
      </c>
      <c r="AV1074" s="2">
        <v>102</v>
      </c>
      <c r="AW1074" s="2">
        <v>10</v>
      </c>
      <c r="AX1074" s="2" t="s">
        <v>74</v>
      </c>
      <c r="AY1074" s="2" t="s">
        <v>74</v>
      </c>
      <c r="AZ1074" s="2" t="s">
        <v>74</v>
      </c>
      <c r="BA1074" s="2" t="s">
        <v>74</v>
      </c>
      <c r="BB1074" s="2" t="s">
        <v>74</v>
      </c>
      <c r="BC1074" s="2" t="s">
        <v>74</v>
      </c>
      <c r="BD1074" s="2">
        <v>102927</v>
      </c>
      <c r="BE1074" s="2" t="s">
        <v>8432</v>
      </c>
      <c r="BF1074" s="2" t="str">
        <f>HYPERLINK("http://dx.doi.org/10.1016/j.psj.2023.102927","http://dx.doi.org/10.1016/j.psj.2023.102927")</f>
        <v>http://dx.doi.org/10.1016/j.psj.2023.102927</v>
      </c>
      <c r="BG1074" s="2" t="s">
        <v>74</v>
      </c>
      <c r="BH1074" s="2" t="s">
        <v>2726</v>
      </c>
      <c r="BI1074" s="2" t="s">
        <v>74</v>
      </c>
      <c r="BJ1074" s="2" t="s">
        <v>74</v>
      </c>
      <c r="BK1074" s="2" t="s">
        <v>74</v>
      </c>
      <c r="BL1074" s="2" t="s">
        <v>74</v>
      </c>
      <c r="BM1074" s="2" t="s">
        <v>74</v>
      </c>
      <c r="BN1074" s="2">
        <v>37494809</v>
      </c>
      <c r="BO1074" s="2" t="s">
        <v>74</v>
      </c>
      <c r="BP1074" s="2" t="s">
        <v>74</v>
      </c>
      <c r="BQ1074" s="2" t="s">
        <v>74</v>
      </c>
      <c r="BR1074" s="2" t="s">
        <v>74</v>
      </c>
      <c r="BS1074" s="2" t="s">
        <v>8433</v>
      </c>
      <c r="BT1074" s="2" t="str">
        <f>HYPERLINK("https%3A%2F%2Fwww.webofscience.com%2Fwos%2Fwoscc%2Ffull-record%2FWOS:001046665000001","View Full Record in Web of Science")</f>
        <v>View Full Record in Web of Science</v>
      </c>
    </row>
    <row r="1075" spans="1:72" s="2" customFormat="1" x14ac:dyDescent="0.4">
      <c r="A1075" s="2" t="s">
        <v>72</v>
      </c>
      <c r="B1075" s="2" t="s">
        <v>8534</v>
      </c>
      <c r="C1075" s="2" t="s">
        <v>74</v>
      </c>
      <c r="D1075" s="2" t="s">
        <v>74</v>
      </c>
      <c r="E1075" s="2" t="s">
        <v>74</v>
      </c>
      <c r="F1075" s="2" t="s">
        <v>8534</v>
      </c>
      <c r="G1075" s="2" t="s">
        <v>74</v>
      </c>
      <c r="H1075" s="2" t="s">
        <v>74</v>
      </c>
      <c r="I1075" s="2" t="s">
        <v>8535</v>
      </c>
      <c r="J1075" s="2" t="s">
        <v>77</v>
      </c>
      <c r="K1075" s="2" t="s">
        <v>74</v>
      </c>
      <c r="L1075" s="2" t="s">
        <v>74</v>
      </c>
      <c r="M1075" s="2" t="s">
        <v>74</v>
      </c>
      <c r="N1075" s="2" t="s">
        <v>74</v>
      </c>
      <c r="O1075" s="2" t="s">
        <v>74</v>
      </c>
      <c r="P1075" s="2" t="s">
        <v>74</v>
      </c>
      <c r="Q1075" s="2" t="s">
        <v>74</v>
      </c>
      <c r="R1075" s="2" t="s">
        <v>74</v>
      </c>
      <c r="S1075" s="2" t="s">
        <v>74</v>
      </c>
      <c r="T1075" s="2" t="s">
        <v>74</v>
      </c>
      <c r="U1075" s="2" t="s">
        <v>74</v>
      </c>
      <c r="V1075" s="5" t="s">
        <v>8536</v>
      </c>
      <c r="W1075" s="2" t="s">
        <v>74</v>
      </c>
      <c r="X1075" s="2" t="s">
        <v>74</v>
      </c>
      <c r="Y1075" s="2" t="s">
        <v>74</v>
      </c>
      <c r="Z1075" s="2" t="s">
        <v>74</v>
      </c>
      <c r="AA1075" s="2" t="s">
        <v>74</v>
      </c>
      <c r="AB1075" s="2" t="s">
        <v>74</v>
      </c>
      <c r="AC1075" s="2" t="s">
        <v>74</v>
      </c>
      <c r="AD1075" s="2" t="s">
        <v>74</v>
      </c>
      <c r="AE1075" s="2" t="s">
        <v>74</v>
      </c>
      <c r="AF1075" s="2" t="s">
        <v>74</v>
      </c>
      <c r="AG1075" s="2" t="s">
        <v>74</v>
      </c>
      <c r="AH1075" s="2" t="s">
        <v>74</v>
      </c>
      <c r="AI1075" s="2" t="s">
        <v>74</v>
      </c>
      <c r="AJ1075" s="2" t="s">
        <v>74</v>
      </c>
      <c r="AK1075" s="2" t="s">
        <v>74</v>
      </c>
      <c r="AL1075" s="2" t="s">
        <v>74</v>
      </c>
      <c r="AM1075" s="2" t="s">
        <v>74</v>
      </c>
      <c r="AN1075" s="2" t="s">
        <v>74</v>
      </c>
      <c r="AO1075" s="2" t="s">
        <v>81</v>
      </c>
      <c r="AP1075" s="2" t="s">
        <v>82</v>
      </c>
      <c r="AQ1075" s="2" t="s">
        <v>74</v>
      </c>
      <c r="AR1075" s="2" t="s">
        <v>74</v>
      </c>
      <c r="AS1075" s="2" t="s">
        <v>74</v>
      </c>
      <c r="AT1075" s="2" t="s">
        <v>305</v>
      </c>
      <c r="AU1075" s="2">
        <v>1993</v>
      </c>
      <c r="AV1075" s="2">
        <v>127</v>
      </c>
      <c r="AW1075" s="2" t="s">
        <v>74</v>
      </c>
      <c r="AX1075" s="2" t="s">
        <v>1276</v>
      </c>
      <c r="AY1075" s="2" t="s">
        <v>74</v>
      </c>
      <c r="AZ1075" s="2" t="s">
        <v>74</v>
      </c>
      <c r="BA1075" s="2" t="s">
        <v>74</v>
      </c>
      <c r="BB1075" s="2">
        <v>247</v>
      </c>
      <c r="BC1075" s="2">
        <v>263</v>
      </c>
      <c r="BD1075" s="2" t="s">
        <v>74</v>
      </c>
      <c r="BE1075" s="2" t="s">
        <v>8537</v>
      </c>
      <c r="BF1075" s="2" t="str">
        <f>HYPERLINK("http://dx.doi.org/10.1163/156853993X00047","http://dx.doi.org/10.1163/156853993X00047")</f>
        <v>http://dx.doi.org/10.1163/156853993X00047</v>
      </c>
      <c r="BG1075" s="2" t="s">
        <v>74</v>
      </c>
      <c r="BH1075" s="2" t="s">
        <v>74</v>
      </c>
      <c r="BI1075" s="2" t="s">
        <v>74</v>
      </c>
      <c r="BJ1075" s="2" t="s">
        <v>74</v>
      </c>
      <c r="BK1075" s="2" t="s">
        <v>74</v>
      </c>
      <c r="BL1075" s="2" t="s">
        <v>74</v>
      </c>
      <c r="BM1075" s="2" t="s">
        <v>74</v>
      </c>
      <c r="BN1075" s="2" t="s">
        <v>74</v>
      </c>
      <c r="BO1075" s="2" t="s">
        <v>74</v>
      </c>
      <c r="BP1075" s="2" t="s">
        <v>74</v>
      </c>
      <c r="BQ1075" s="2" t="s">
        <v>74</v>
      </c>
      <c r="BR1075" s="2" t="s">
        <v>74</v>
      </c>
      <c r="BS1075" s="2" t="s">
        <v>8538</v>
      </c>
      <c r="BT1075" s="2" t="str">
        <f>HYPERLINK("https%3A%2F%2Fwww.webofscience.com%2Fwos%2Fwoscc%2Ffull-record%2FWOS:A1993NH18400004","View Full Record in Web of Science")</f>
        <v>View Full Record in Web of Science</v>
      </c>
    </row>
    <row r="1076" spans="1:72" s="2" customFormat="1" x14ac:dyDescent="0.4">
      <c r="A1076" s="2" t="s">
        <v>72</v>
      </c>
      <c r="B1076" s="2" t="s">
        <v>5169</v>
      </c>
      <c r="C1076" s="2" t="s">
        <v>74</v>
      </c>
      <c r="D1076" s="2" t="s">
        <v>74</v>
      </c>
      <c r="E1076" s="2" t="s">
        <v>74</v>
      </c>
      <c r="F1076" s="2" t="s">
        <v>5170</v>
      </c>
      <c r="G1076" s="2" t="s">
        <v>74</v>
      </c>
      <c r="H1076" s="2" t="s">
        <v>74</v>
      </c>
      <c r="I1076" s="2" t="s">
        <v>5171</v>
      </c>
      <c r="J1076" s="2" t="s">
        <v>1803</v>
      </c>
      <c r="K1076" s="2" t="s">
        <v>74</v>
      </c>
      <c r="L1076" s="2" t="s">
        <v>74</v>
      </c>
      <c r="M1076" s="2" t="s">
        <v>74</v>
      </c>
      <c r="N1076" s="2" t="s">
        <v>74</v>
      </c>
      <c r="O1076" s="2" t="s">
        <v>74</v>
      </c>
      <c r="P1076" s="2" t="s">
        <v>74</v>
      </c>
      <c r="Q1076" s="2" t="s">
        <v>74</v>
      </c>
      <c r="R1076" s="2" t="s">
        <v>74</v>
      </c>
      <c r="S1076" s="2" t="s">
        <v>74</v>
      </c>
      <c r="T1076" s="2" t="s">
        <v>74</v>
      </c>
      <c r="U1076" s="2" t="s">
        <v>74</v>
      </c>
      <c r="V1076" s="5" t="s">
        <v>5172</v>
      </c>
      <c r="W1076" s="2" t="s">
        <v>74</v>
      </c>
      <c r="X1076" s="2" t="s">
        <v>74</v>
      </c>
      <c r="Y1076" s="2" t="s">
        <v>74</v>
      </c>
      <c r="Z1076" s="2" t="s">
        <v>74</v>
      </c>
      <c r="AA1076" s="2" t="s">
        <v>5173</v>
      </c>
      <c r="AB1076" s="2" t="s">
        <v>5174</v>
      </c>
      <c r="AC1076" s="2" t="s">
        <v>74</v>
      </c>
      <c r="AD1076" s="2" t="s">
        <v>74</v>
      </c>
      <c r="AE1076" s="2" t="s">
        <v>74</v>
      </c>
      <c r="AF1076" s="2" t="s">
        <v>74</v>
      </c>
      <c r="AG1076" s="2" t="s">
        <v>74</v>
      </c>
      <c r="AH1076" s="2" t="s">
        <v>74</v>
      </c>
      <c r="AI1076" s="2" t="s">
        <v>74</v>
      </c>
      <c r="AJ1076" s="2" t="s">
        <v>74</v>
      </c>
      <c r="AK1076" s="2" t="s">
        <v>74</v>
      </c>
      <c r="AL1076" s="2" t="s">
        <v>74</v>
      </c>
      <c r="AM1076" s="2" t="s">
        <v>74</v>
      </c>
      <c r="AN1076" s="2" t="s">
        <v>74</v>
      </c>
      <c r="AO1076" s="2" t="s">
        <v>1807</v>
      </c>
      <c r="AP1076" s="2" t="s">
        <v>1808</v>
      </c>
      <c r="AQ1076" s="2" t="s">
        <v>74</v>
      </c>
      <c r="AR1076" s="2" t="s">
        <v>74</v>
      </c>
      <c r="AS1076" s="2" t="s">
        <v>74</v>
      </c>
      <c r="AT1076" s="2" t="s">
        <v>633</v>
      </c>
      <c r="AU1076" s="2">
        <v>2010</v>
      </c>
      <c r="AV1076" s="2">
        <v>24</v>
      </c>
      <c r="AW1076" s="2">
        <v>2</v>
      </c>
      <c r="AX1076" s="2" t="s">
        <v>74</v>
      </c>
      <c r="AY1076" s="2" t="s">
        <v>74</v>
      </c>
      <c r="AZ1076" s="2" t="s">
        <v>74</v>
      </c>
      <c r="BA1076" s="2" t="s">
        <v>74</v>
      </c>
      <c r="BB1076" s="2">
        <v>417</v>
      </c>
      <c r="BC1076" s="2">
        <v>425</v>
      </c>
      <c r="BD1076" s="2" t="s">
        <v>74</v>
      </c>
      <c r="BE1076" s="2" t="s">
        <v>5175</v>
      </c>
      <c r="BF1076" s="2" t="str">
        <f>HYPERLINK("http://dx.doi.org/10.1111/j.1365-2435.2009.01660.x","http://dx.doi.org/10.1111/j.1365-2435.2009.01660.x")</f>
        <v>http://dx.doi.org/10.1111/j.1365-2435.2009.01660.x</v>
      </c>
      <c r="BG1076" s="2" t="s">
        <v>74</v>
      </c>
      <c r="BH1076" s="2" t="s">
        <v>74</v>
      </c>
      <c r="BI1076" s="2" t="s">
        <v>74</v>
      </c>
      <c r="BJ1076" s="2" t="s">
        <v>74</v>
      </c>
      <c r="BK1076" s="2" t="s">
        <v>74</v>
      </c>
      <c r="BL1076" s="2" t="s">
        <v>74</v>
      </c>
      <c r="BM1076" s="2" t="s">
        <v>74</v>
      </c>
      <c r="BN1076" s="2" t="s">
        <v>74</v>
      </c>
      <c r="BO1076" s="2" t="s">
        <v>74</v>
      </c>
      <c r="BP1076" s="2" t="s">
        <v>74</v>
      </c>
      <c r="BQ1076" s="2" t="s">
        <v>74</v>
      </c>
      <c r="BR1076" s="2" t="s">
        <v>74</v>
      </c>
      <c r="BS1076" s="2" t="s">
        <v>5176</v>
      </c>
      <c r="BT1076" s="2" t="str">
        <f>HYPERLINK("https%3A%2F%2Fwww.webofscience.com%2Fwos%2Fwoscc%2Ffull-record%2FWOS:000274952600020","View Full Record in Web of Science")</f>
        <v>View Full Record in Web of Science</v>
      </c>
    </row>
    <row r="1077" spans="1:72" s="2" customFormat="1" x14ac:dyDescent="0.4">
      <c r="A1077" s="2" t="s">
        <v>72</v>
      </c>
      <c r="B1077" s="2" t="s">
        <v>7937</v>
      </c>
      <c r="C1077" s="2" t="s">
        <v>74</v>
      </c>
      <c r="D1077" s="2" t="s">
        <v>74</v>
      </c>
      <c r="E1077" s="2" t="s">
        <v>74</v>
      </c>
      <c r="F1077" s="2" t="s">
        <v>7937</v>
      </c>
      <c r="G1077" s="2" t="s">
        <v>74</v>
      </c>
      <c r="H1077" s="2" t="s">
        <v>74</v>
      </c>
      <c r="I1077" s="2" t="s">
        <v>7938</v>
      </c>
      <c r="J1077" s="2" t="s">
        <v>129</v>
      </c>
      <c r="K1077" s="2" t="s">
        <v>74</v>
      </c>
      <c r="L1077" s="2" t="s">
        <v>74</v>
      </c>
      <c r="M1077" s="2" t="s">
        <v>74</v>
      </c>
      <c r="N1077" s="2" t="s">
        <v>74</v>
      </c>
      <c r="O1077" s="2" t="s">
        <v>74</v>
      </c>
      <c r="P1077" s="2" t="s">
        <v>74</v>
      </c>
      <c r="Q1077" s="2" t="s">
        <v>74</v>
      </c>
      <c r="R1077" s="2" t="s">
        <v>74</v>
      </c>
      <c r="S1077" s="2" t="s">
        <v>74</v>
      </c>
      <c r="T1077" s="2" t="s">
        <v>74</v>
      </c>
      <c r="U1077" s="2" t="s">
        <v>74</v>
      </c>
      <c r="V1077" s="5" t="s">
        <v>7939</v>
      </c>
      <c r="W1077" s="2" t="s">
        <v>74</v>
      </c>
      <c r="X1077" s="2" t="s">
        <v>74</v>
      </c>
      <c r="Y1077" s="2" t="s">
        <v>74</v>
      </c>
      <c r="Z1077" s="2" t="s">
        <v>74</v>
      </c>
      <c r="AA1077" s="2" t="s">
        <v>7940</v>
      </c>
      <c r="AB1077" s="2" t="s">
        <v>74</v>
      </c>
      <c r="AC1077" s="2" t="s">
        <v>74</v>
      </c>
      <c r="AD1077" s="2" t="s">
        <v>74</v>
      </c>
      <c r="AE1077" s="2" t="s">
        <v>74</v>
      </c>
      <c r="AF1077" s="2" t="s">
        <v>74</v>
      </c>
      <c r="AG1077" s="2" t="s">
        <v>74</v>
      </c>
      <c r="AH1077" s="2" t="s">
        <v>74</v>
      </c>
      <c r="AI1077" s="2" t="s">
        <v>74</v>
      </c>
      <c r="AJ1077" s="2" t="s">
        <v>74</v>
      </c>
      <c r="AK1077" s="2" t="s">
        <v>74</v>
      </c>
      <c r="AL1077" s="2" t="s">
        <v>74</v>
      </c>
      <c r="AM1077" s="2" t="s">
        <v>74</v>
      </c>
      <c r="AN1077" s="2" t="s">
        <v>74</v>
      </c>
      <c r="AO1077" s="2" t="s">
        <v>132</v>
      </c>
      <c r="AP1077" s="2" t="s">
        <v>133</v>
      </c>
      <c r="AQ1077" s="2" t="s">
        <v>74</v>
      </c>
      <c r="AR1077" s="2" t="s">
        <v>74</v>
      </c>
      <c r="AS1077" s="2" t="s">
        <v>74</v>
      </c>
      <c r="AT1077" s="2" t="s">
        <v>213</v>
      </c>
      <c r="AU1077" s="2">
        <v>1996</v>
      </c>
      <c r="AV1077" s="2">
        <v>39</v>
      </c>
      <c r="AW1077" s="2">
        <v>5</v>
      </c>
      <c r="AX1077" s="2" t="s">
        <v>74</v>
      </c>
      <c r="AY1077" s="2" t="s">
        <v>74</v>
      </c>
      <c r="AZ1077" s="2" t="s">
        <v>74</v>
      </c>
      <c r="BA1077" s="2" t="s">
        <v>74</v>
      </c>
      <c r="BB1077" s="2">
        <v>345</v>
      </c>
      <c r="BC1077" s="2">
        <v>352</v>
      </c>
      <c r="BD1077" s="2" t="s">
        <v>74</v>
      </c>
      <c r="BE1077" s="2" t="s">
        <v>7941</v>
      </c>
      <c r="BF1077" s="2" t="str">
        <f>HYPERLINK("http://dx.doi.org/10.1007/s002650050299","http://dx.doi.org/10.1007/s002650050299")</f>
        <v>http://dx.doi.org/10.1007/s002650050299</v>
      </c>
      <c r="BG1077" s="2" t="s">
        <v>74</v>
      </c>
      <c r="BH1077" s="2" t="s">
        <v>74</v>
      </c>
      <c r="BI1077" s="2" t="s">
        <v>74</v>
      </c>
      <c r="BJ1077" s="2" t="s">
        <v>74</v>
      </c>
      <c r="BK1077" s="2" t="s">
        <v>74</v>
      </c>
      <c r="BL1077" s="2" t="s">
        <v>74</v>
      </c>
      <c r="BM1077" s="2" t="s">
        <v>74</v>
      </c>
      <c r="BN1077" s="2" t="s">
        <v>74</v>
      </c>
      <c r="BO1077" s="2" t="s">
        <v>74</v>
      </c>
      <c r="BP1077" s="2" t="s">
        <v>74</v>
      </c>
      <c r="BQ1077" s="2" t="s">
        <v>74</v>
      </c>
      <c r="BR1077" s="2" t="s">
        <v>74</v>
      </c>
      <c r="BS1077" s="2" t="s">
        <v>7942</v>
      </c>
      <c r="BT1077" s="2" t="str">
        <f>HYPERLINK("https%3A%2F%2Fwww.webofscience.com%2Fwos%2Fwoscc%2Ffull-record%2FWOS:A1996VW21300009","View Full Record in Web of Science")</f>
        <v>View Full Record in Web of Science</v>
      </c>
    </row>
    <row r="1078" spans="1:72" s="2" customFormat="1" x14ac:dyDescent="0.4">
      <c r="A1078" s="2" t="s">
        <v>72</v>
      </c>
      <c r="B1078" s="2" t="s">
        <v>8557</v>
      </c>
      <c r="C1078" s="2" t="s">
        <v>74</v>
      </c>
      <c r="D1078" s="2" t="s">
        <v>74</v>
      </c>
      <c r="E1078" s="2" t="s">
        <v>74</v>
      </c>
      <c r="F1078" s="2" t="s">
        <v>8557</v>
      </c>
      <c r="G1078" s="2" t="s">
        <v>74</v>
      </c>
      <c r="H1078" s="2" t="s">
        <v>74</v>
      </c>
      <c r="I1078" s="2" t="s">
        <v>8558</v>
      </c>
      <c r="J1078" s="2" t="s">
        <v>129</v>
      </c>
      <c r="K1078" s="2" t="s">
        <v>74</v>
      </c>
      <c r="L1078" s="2" t="s">
        <v>74</v>
      </c>
      <c r="M1078" s="2" t="s">
        <v>74</v>
      </c>
      <c r="N1078" s="2" t="s">
        <v>74</v>
      </c>
      <c r="O1078" s="2" t="s">
        <v>74</v>
      </c>
      <c r="P1078" s="2" t="s">
        <v>74</v>
      </c>
      <c r="Q1078" s="2" t="s">
        <v>74</v>
      </c>
      <c r="R1078" s="2" t="s">
        <v>74</v>
      </c>
      <c r="S1078" s="2" t="s">
        <v>74</v>
      </c>
      <c r="T1078" s="2" t="s">
        <v>74</v>
      </c>
      <c r="U1078" s="2" t="s">
        <v>74</v>
      </c>
      <c r="V1078" s="5" t="s">
        <v>8559</v>
      </c>
      <c r="W1078" s="2" t="s">
        <v>74</v>
      </c>
      <c r="X1078" s="2" t="s">
        <v>74</v>
      </c>
      <c r="Y1078" s="2" t="s">
        <v>74</v>
      </c>
      <c r="Z1078" s="2" t="s">
        <v>74</v>
      </c>
      <c r="AA1078" s="2" t="s">
        <v>8560</v>
      </c>
      <c r="AB1078" s="2" t="s">
        <v>1934</v>
      </c>
      <c r="AC1078" s="2" t="s">
        <v>74</v>
      </c>
      <c r="AD1078" s="2" t="s">
        <v>74</v>
      </c>
      <c r="AE1078" s="2" t="s">
        <v>74</v>
      </c>
      <c r="AF1078" s="2" t="s">
        <v>74</v>
      </c>
      <c r="AG1078" s="2" t="s">
        <v>74</v>
      </c>
      <c r="AH1078" s="2" t="s">
        <v>74</v>
      </c>
      <c r="AI1078" s="2" t="s">
        <v>74</v>
      </c>
      <c r="AJ1078" s="2" t="s">
        <v>74</v>
      </c>
      <c r="AK1078" s="2" t="s">
        <v>74</v>
      </c>
      <c r="AL1078" s="2" t="s">
        <v>74</v>
      </c>
      <c r="AM1078" s="2" t="s">
        <v>74</v>
      </c>
      <c r="AN1078" s="2" t="s">
        <v>74</v>
      </c>
      <c r="AO1078" s="2" t="s">
        <v>132</v>
      </c>
      <c r="AP1078" s="2" t="s">
        <v>133</v>
      </c>
      <c r="AQ1078" s="2" t="s">
        <v>74</v>
      </c>
      <c r="AR1078" s="2" t="s">
        <v>74</v>
      </c>
      <c r="AS1078" s="2" t="s">
        <v>74</v>
      </c>
      <c r="AT1078" s="2" t="s">
        <v>352</v>
      </c>
      <c r="AU1078" s="2">
        <v>1997</v>
      </c>
      <c r="AV1078" s="2">
        <v>41</v>
      </c>
      <c r="AW1078" s="2">
        <v>3</v>
      </c>
      <c r="AX1078" s="2" t="s">
        <v>74</v>
      </c>
      <c r="AY1078" s="2" t="s">
        <v>74</v>
      </c>
      <c r="AZ1078" s="2" t="s">
        <v>74</v>
      </c>
      <c r="BA1078" s="2" t="s">
        <v>74</v>
      </c>
      <c r="BB1078" s="2">
        <v>171</v>
      </c>
      <c r="BC1078" s="2">
        <v>176</v>
      </c>
      <c r="BD1078" s="2" t="s">
        <v>74</v>
      </c>
      <c r="BE1078" s="2" t="s">
        <v>8561</v>
      </c>
      <c r="BF1078" s="2" t="str">
        <f>HYPERLINK("http://dx.doi.org/10.1007/s002650050376","http://dx.doi.org/10.1007/s002650050376")</f>
        <v>http://dx.doi.org/10.1007/s002650050376</v>
      </c>
      <c r="BG1078" s="2" t="s">
        <v>74</v>
      </c>
      <c r="BH1078" s="2" t="s">
        <v>74</v>
      </c>
      <c r="BI1078" s="2" t="s">
        <v>74</v>
      </c>
      <c r="BJ1078" s="2" t="s">
        <v>74</v>
      </c>
      <c r="BK1078" s="2" t="s">
        <v>74</v>
      </c>
      <c r="BL1078" s="2" t="s">
        <v>74</v>
      </c>
      <c r="BM1078" s="2" t="s">
        <v>74</v>
      </c>
      <c r="BN1078" s="2" t="s">
        <v>74</v>
      </c>
      <c r="BO1078" s="2" t="s">
        <v>74</v>
      </c>
      <c r="BP1078" s="2" t="s">
        <v>74</v>
      </c>
      <c r="BQ1078" s="2" t="s">
        <v>74</v>
      </c>
      <c r="BR1078" s="2" t="s">
        <v>74</v>
      </c>
      <c r="BS1078" s="2" t="s">
        <v>8562</v>
      </c>
      <c r="BT1078" s="2" t="str">
        <f>HYPERLINK("https%3A%2F%2Fwww.webofscience.com%2Fwos%2Fwoscc%2Ffull-record%2FWOS:A1997XY71100004","View Full Record in Web of Science")</f>
        <v>View Full Record in Web of Science</v>
      </c>
    </row>
    <row r="1079" spans="1:72" s="2" customFormat="1" x14ac:dyDescent="0.4">
      <c r="A1079" s="2" t="s">
        <v>72</v>
      </c>
      <c r="B1079" s="2" t="s">
        <v>8201</v>
      </c>
      <c r="C1079" s="2" t="s">
        <v>74</v>
      </c>
      <c r="D1079" s="2" t="s">
        <v>74</v>
      </c>
      <c r="E1079" s="2" t="s">
        <v>74</v>
      </c>
      <c r="F1079" s="2" t="s">
        <v>8202</v>
      </c>
      <c r="G1079" s="2" t="s">
        <v>74</v>
      </c>
      <c r="H1079" s="2" t="s">
        <v>74</v>
      </c>
      <c r="I1079" s="2" t="s">
        <v>8203</v>
      </c>
      <c r="J1079" s="2" t="s">
        <v>775</v>
      </c>
      <c r="K1079" s="2" t="s">
        <v>74</v>
      </c>
      <c r="L1079" s="2" t="s">
        <v>74</v>
      </c>
      <c r="M1079" s="2" t="s">
        <v>74</v>
      </c>
      <c r="N1079" s="2" t="s">
        <v>74</v>
      </c>
      <c r="O1079" s="2" t="s">
        <v>74</v>
      </c>
      <c r="P1079" s="2" t="s">
        <v>74</v>
      </c>
      <c r="Q1079" s="2" t="s">
        <v>74</v>
      </c>
      <c r="R1079" s="2" t="s">
        <v>74</v>
      </c>
      <c r="S1079" s="2" t="s">
        <v>74</v>
      </c>
      <c r="T1079" s="2" t="s">
        <v>74</v>
      </c>
      <c r="U1079" s="2" t="s">
        <v>74</v>
      </c>
      <c r="V1079" s="5" t="s">
        <v>8204</v>
      </c>
      <c r="W1079" s="2" t="s">
        <v>74</v>
      </c>
      <c r="X1079" s="2" t="s">
        <v>74</v>
      </c>
      <c r="Y1079" s="2" t="s">
        <v>74</v>
      </c>
      <c r="Z1079" s="2" t="s">
        <v>74</v>
      </c>
      <c r="AA1079" s="2" t="s">
        <v>8205</v>
      </c>
      <c r="AB1079" s="2" t="s">
        <v>8206</v>
      </c>
      <c r="AC1079" s="2" t="s">
        <v>74</v>
      </c>
      <c r="AD1079" s="2" t="s">
        <v>74</v>
      </c>
      <c r="AE1079" s="2" t="s">
        <v>74</v>
      </c>
      <c r="AF1079" s="2" t="s">
        <v>74</v>
      </c>
      <c r="AG1079" s="2" t="s">
        <v>74</v>
      </c>
      <c r="AH1079" s="2" t="s">
        <v>74</v>
      </c>
      <c r="AI1079" s="2" t="s">
        <v>74</v>
      </c>
      <c r="AJ1079" s="2" t="s">
        <v>74</v>
      </c>
      <c r="AK1079" s="2" t="s">
        <v>74</v>
      </c>
      <c r="AL1079" s="2" t="s">
        <v>74</v>
      </c>
      <c r="AM1079" s="2" t="s">
        <v>74</v>
      </c>
      <c r="AN1079" s="2" t="s">
        <v>74</v>
      </c>
      <c r="AO1079" s="2" t="s">
        <v>778</v>
      </c>
      <c r="AP1079" s="2" t="s">
        <v>74</v>
      </c>
      <c r="AQ1079" s="2" t="s">
        <v>74</v>
      </c>
      <c r="AR1079" s="2" t="s">
        <v>74</v>
      </c>
      <c r="AS1079" s="2" t="s">
        <v>74</v>
      </c>
      <c r="AT1079" s="2" t="s">
        <v>74</v>
      </c>
      <c r="AU1079" s="2">
        <v>2011</v>
      </c>
      <c r="AV1079" s="2">
        <v>57</v>
      </c>
      <c r="AW1079" s="2">
        <v>2</v>
      </c>
      <c r="AX1079" s="2" t="s">
        <v>74</v>
      </c>
      <c r="AY1079" s="2" t="s">
        <v>74</v>
      </c>
      <c r="AZ1079" s="2" t="s">
        <v>74</v>
      </c>
      <c r="BA1079" s="2" t="s">
        <v>74</v>
      </c>
      <c r="BB1079" s="2">
        <v>162</v>
      </c>
      <c r="BC1079" s="2">
        <v>174</v>
      </c>
      <c r="BD1079" s="2" t="s">
        <v>74</v>
      </c>
      <c r="BE1079" s="2" t="s">
        <v>8207</v>
      </c>
      <c r="BF1079" s="2" t="str">
        <f>HYPERLINK("http://dx.doi.org/10.1093/czoolo/57.2.162","http://dx.doi.org/10.1093/czoolo/57.2.162")</f>
        <v>http://dx.doi.org/10.1093/czoolo/57.2.162</v>
      </c>
      <c r="BG1079" s="2" t="s">
        <v>74</v>
      </c>
      <c r="BH1079" s="2" t="s">
        <v>74</v>
      </c>
      <c r="BI1079" s="2" t="s">
        <v>74</v>
      </c>
      <c r="BJ1079" s="2" t="s">
        <v>74</v>
      </c>
      <c r="BK1079" s="2" t="s">
        <v>74</v>
      </c>
      <c r="BL1079" s="2" t="s">
        <v>74</v>
      </c>
      <c r="BM1079" s="2" t="s">
        <v>74</v>
      </c>
      <c r="BN1079" s="2" t="s">
        <v>74</v>
      </c>
      <c r="BO1079" s="2" t="s">
        <v>74</v>
      </c>
      <c r="BP1079" s="2" t="s">
        <v>74</v>
      </c>
      <c r="BQ1079" s="2" t="s">
        <v>74</v>
      </c>
      <c r="BR1079" s="2" t="s">
        <v>74</v>
      </c>
      <c r="BS1079" s="2" t="s">
        <v>8208</v>
      </c>
      <c r="BT1079" s="2" t="str">
        <f>HYPERLINK("https%3A%2F%2Fwww.webofscience.com%2Fwos%2Fwoscc%2Ffull-record%2FWOS:000288848200005","View Full Record in Web of Science")</f>
        <v>View Full Record in Web of Science</v>
      </c>
    </row>
    <row r="1080" spans="1:72" s="2" customFormat="1" x14ac:dyDescent="0.4">
      <c r="A1080" s="2" t="s">
        <v>72</v>
      </c>
      <c r="B1080" s="2" t="s">
        <v>5512</v>
      </c>
      <c r="C1080" s="2" t="s">
        <v>74</v>
      </c>
      <c r="D1080" s="2" t="s">
        <v>74</v>
      </c>
      <c r="E1080" s="2" t="s">
        <v>74</v>
      </c>
      <c r="F1080" s="2" t="s">
        <v>5513</v>
      </c>
      <c r="G1080" s="2" t="s">
        <v>74</v>
      </c>
      <c r="H1080" s="2" t="s">
        <v>74</v>
      </c>
      <c r="I1080" s="2" t="s">
        <v>5514</v>
      </c>
      <c r="J1080" s="2" t="s">
        <v>140</v>
      </c>
      <c r="K1080" s="2" t="s">
        <v>74</v>
      </c>
      <c r="L1080" s="2" t="s">
        <v>74</v>
      </c>
      <c r="M1080" s="2" t="s">
        <v>74</v>
      </c>
      <c r="N1080" s="2" t="s">
        <v>74</v>
      </c>
      <c r="O1080" s="2" t="s">
        <v>74</v>
      </c>
      <c r="P1080" s="2" t="s">
        <v>74</v>
      </c>
      <c r="Q1080" s="2" t="s">
        <v>74</v>
      </c>
      <c r="R1080" s="2" t="s">
        <v>74</v>
      </c>
      <c r="S1080" s="2" t="s">
        <v>74</v>
      </c>
      <c r="T1080" s="2" t="s">
        <v>74</v>
      </c>
      <c r="U1080" s="2" t="s">
        <v>74</v>
      </c>
      <c r="V1080" s="5" t="s">
        <v>5515</v>
      </c>
      <c r="W1080" s="2" t="s">
        <v>74</v>
      </c>
      <c r="X1080" s="2" t="s">
        <v>74</v>
      </c>
      <c r="Y1080" s="2" t="s">
        <v>74</v>
      </c>
      <c r="Z1080" s="2" t="s">
        <v>74</v>
      </c>
      <c r="AA1080" s="2" t="s">
        <v>5516</v>
      </c>
      <c r="AB1080" s="2" t="s">
        <v>5517</v>
      </c>
      <c r="AC1080" s="2" t="s">
        <v>74</v>
      </c>
      <c r="AD1080" s="2" t="s">
        <v>74</v>
      </c>
      <c r="AE1080" s="2" t="s">
        <v>74</v>
      </c>
      <c r="AF1080" s="2" t="s">
        <v>74</v>
      </c>
      <c r="AG1080" s="2" t="s">
        <v>74</v>
      </c>
      <c r="AH1080" s="2" t="s">
        <v>74</v>
      </c>
      <c r="AI1080" s="2" t="s">
        <v>74</v>
      </c>
      <c r="AJ1080" s="2" t="s">
        <v>74</v>
      </c>
      <c r="AK1080" s="2" t="s">
        <v>74</v>
      </c>
      <c r="AL1080" s="2" t="s">
        <v>74</v>
      </c>
      <c r="AM1080" s="2" t="s">
        <v>74</v>
      </c>
      <c r="AN1080" s="2" t="s">
        <v>74</v>
      </c>
      <c r="AO1080" s="2" t="s">
        <v>143</v>
      </c>
      <c r="AP1080" s="2" t="s">
        <v>144</v>
      </c>
      <c r="AQ1080" s="2" t="s">
        <v>74</v>
      </c>
      <c r="AR1080" s="2" t="s">
        <v>74</v>
      </c>
      <c r="AS1080" s="2" t="s">
        <v>74</v>
      </c>
      <c r="AT1080" s="2" t="s">
        <v>305</v>
      </c>
      <c r="AU1080" s="2">
        <v>2023</v>
      </c>
      <c r="AV1080" s="2">
        <v>206</v>
      </c>
      <c r="AW1080" s="2" t="s">
        <v>74</v>
      </c>
      <c r="AX1080" s="2" t="s">
        <v>74</v>
      </c>
      <c r="AY1080" s="2" t="s">
        <v>74</v>
      </c>
      <c r="AZ1080" s="2" t="s">
        <v>74</v>
      </c>
      <c r="BA1080" s="2" t="s">
        <v>74</v>
      </c>
      <c r="BB1080" s="2">
        <v>99</v>
      </c>
      <c r="BC1080" s="2">
        <v>123</v>
      </c>
      <c r="BD1080" s="2" t="s">
        <v>74</v>
      </c>
      <c r="BE1080" s="2" t="s">
        <v>5518</v>
      </c>
      <c r="BF1080" s="2" t="str">
        <f>HYPERLINK("http://dx.doi.org/10.1016/j.anbehav.2023.09.013","http://dx.doi.org/10.1016/j.anbehav.2023.09.013")</f>
        <v>http://dx.doi.org/10.1016/j.anbehav.2023.09.013</v>
      </c>
      <c r="BG1080" s="2" t="s">
        <v>74</v>
      </c>
      <c r="BH1080" s="2" t="s">
        <v>5519</v>
      </c>
      <c r="BI1080" s="2" t="s">
        <v>74</v>
      </c>
      <c r="BJ1080" s="2" t="s">
        <v>74</v>
      </c>
      <c r="BK1080" s="2" t="s">
        <v>74</v>
      </c>
      <c r="BL1080" s="2" t="s">
        <v>74</v>
      </c>
      <c r="BM1080" s="2" t="s">
        <v>74</v>
      </c>
      <c r="BN1080" s="2" t="s">
        <v>74</v>
      </c>
      <c r="BO1080" s="2" t="s">
        <v>74</v>
      </c>
      <c r="BP1080" s="2" t="s">
        <v>74</v>
      </c>
      <c r="BQ1080" s="2" t="s">
        <v>74</v>
      </c>
      <c r="BR1080" s="2" t="s">
        <v>74</v>
      </c>
      <c r="BS1080" s="2" t="s">
        <v>5520</v>
      </c>
      <c r="BT1080" s="2" t="str">
        <f>HYPERLINK("https%3A%2F%2Fwww.webofscience.com%2Fwos%2Fwoscc%2Ffull-record%2FWOS:001113029100001","View Full Record in Web of Science")</f>
        <v>View Full Record in Web of Science</v>
      </c>
    </row>
    <row r="1081" spans="1:72" s="2" customFormat="1" x14ac:dyDescent="0.4">
      <c r="A1081" s="2" t="s">
        <v>72</v>
      </c>
      <c r="B1081" s="2" t="s">
        <v>2316</v>
      </c>
      <c r="C1081" s="2" t="s">
        <v>74</v>
      </c>
      <c r="D1081" s="2" t="s">
        <v>74</v>
      </c>
      <c r="E1081" s="2" t="s">
        <v>74</v>
      </c>
      <c r="F1081" s="2" t="s">
        <v>2316</v>
      </c>
      <c r="G1081" s="2" t="s">
        <v>74</v>
      </c>
      <c r="H1081" s="2" t="s">
        <v>74</v>
      </c>
      <c r="I1081" s="2" t="s">
        <v>2317</v>
      </c>
      <c r="J1081" s="2" t="s">
        <v>2207</v>
      </c>
      <c r="K1081" s="2" t="s">
        <v>74</v>
      </c>
      <c r="L1081" s="2" t="s">
        <v>74</v>
      </c>
      <c r="M1081" s="2" t="s">
        <v>74</v>
      </c>
      <c r="N1081" s="2" t="s">
        <v>74</v>
      </c>
      <c r="O1081" s="2" t="s">
        <v>74</v>
      </c>
      <c r="P1081" s="2" t="s">
        <v>74</v>
      </c>
      <c r="Q1081" s="2" t="s">
        <v>74</v>
      </c>
      <c r="R1081" s="2" t="s">
        <v>74</v>
      </c>
      <c r="S1081" s="2" t="s">
        <v>74</v>
      </c>
      <c r="T1081" s="2" t="s">
        <v>74</v>
      </c>
      <c r="U1081" s="2" t="s">
        <v>74</v>
      </c>
      <c r="V1081" s="5" t="s">
        <v>2318</v>
      </c>
      <c r="W1081" s="2" t="s">
        <v>74</v>
      </c>
      <c r="X1081" s="2" t="s">
        <v>74</v>
      </c>
      <c r="Y1081" s="2" t="s">
        <v>74</v>
      </c>
      <c r="Z1081" s="2" t="s">
        <v>74</v>
      </c>
      <c r="AA1081" s="2" t="s">
        <v>74</v>
      </c>
      <c r="AB1081" s="2" t="s">
        <v>74</v>
      </c>
      <c r="AC1081" s="2" t="s">
        <v>74</v>
      </c>
      <c r="AD1081" s="2" t="s">
        <v>74</v>
      </c>
      <c r="AE1081" s="2" t="s">
        <v>74</v>
      </c>
      <c r="AF1081" s="2" t="s">
        <v>74</v>
      </c>
      <c r="AG1081" s="2" t="s">
        <v>74</v>
      </c>
      <c r="AH1081" s="2" t="s">
        <v>74</v>
      </c>
      <c r="AI1081" s="2" t="s">
        <v>74</v>
      </c>
      <c r="AJ1081" s="2" t="s">
        <v>74</v>
      </c>
      <c r="AK1081" s="2" t="s">
        <v>74</v>
      </c>
      <c r="AL1081" s="2" t="s">
        <v>74</v>
      </c>
      <c r="AM1081" s="2" t="s">
        <v>74</v>
      </c>
      <c r="AN1081" s="2" t="s">
        <v>74</v>
      </c>
      <c r="AO1081" s="2" t="s">
        <v>2211</v>
      </c>
      <c r="AP1081" s="2" t="s">
        <v>74</v>
      </c>
      <c r="AQ1081" s="2" t="s">
        <v>74</v>
      </c>
      <c r="AR1081" s="2" t="s">
        <v>74</v>
      </c>
      <c r="AS1081" s="2" t="s">
        <v>74</v>
      </c>
      <c r="AT1081" s="2" t="s">
        <v>352</v>
      </c>
      <c r="AU1081" s="2">
        <v>1996</v>
      </c>
      <c r="AV1081" s="2">
        <v>27</v>
      </c>
      <c r="AW1081" s="2">
        <v>3</v>
      </c>
      <c r="AX1081" s="2" t="s">
        <v>74</v>
      </c>
      <c r="AY1081" s="2" t="s">
        <v>74</v>
      </c>
      <c r="AZ1081" s="2" t="s">
        <v>74</v>
      </c>
      <c r="BA1081" s="2" t="s">
        <v>74</v>
      </c>
      <c r="BB1081" s="2">
        <v>257</v>
      </c>
      <c r="BC1081" s="2">
        <v>259</v>
      </c>
      <c r="BD1081" s="2" t="s">
        <v>74</v>
      </c>
      <c r="BE1081" s="2" t="s">
        <v>2319</v>
      </c>
      <c r="BF1081" s="2" t="str">
        <f>HYPERLINK("http://dx.doi.org/10.2307/3677231","http://dx.doi.org/10.2307/3677231")</f>
        <v>http://dx.doi.org/10.2307/3677231</v>
      </c>
      <c r="BG1081" s="2" t="s">
        <v>74</v>
      </c>
      <c r="BH1081" s="2" t="s">
        <v>74</v>
      </c>
      <c r="BI1081" s="2" t="s">
        <v>74</v>
      </c>
      <c r="BJ1081" s="2" t="s">
        <v>74</v>
      </c>
      <c r="BK1081" s="2" t="s">
        <v>74</v>
      </c>
      <c r="BL1081" s="2" t="s">
        <v>74</v>
      </c>
      <c r="BM1081" s="2" t="s">
        <v>74</v>
      </c>
      <c r="BN1081" s="2" t="s">
        <v>74</v>
      </c>
      <c r="BO1081" s="2" t="s">
        <v>74</v>
      </c>
      <c r="BP1081" s="2" t="s">
        <v>74</v>
      </c>
      <c r="BQ1081" s="2" t="s">
        <v>74</v>
      </c>
      <c r="BR1081" s="2" t="s">
        <v>74</v>
      </c>
      <c r="BS1081" s="2" t="s">
        <v>2320</v>
      </c>
      <c r="BT1081" s="2" t="str">
        <f>HYPERLINK("https%3A%2F%2Fwww.webofscience.com%2Fwos%2Fwoscc%2Ffull-record%2FWOS:A1996VQ62800012","View Full Record in Web of Science")</f>
        <v>View Full Record in Web of Science</v>
      </c>
    </row>
    <row r="1082" spans="1:72" s="2" customFormat="1" x14ac:dyDescent="0.4">
      <c r="A1082" s="2" t="s">
        <v>72</v>
      </c>
      <c r="B1082" s="2" t="s">
        <v>7456</v>
      </c>
      <c r="C1082" s="2" t="s">
        <v>74</v>
      </c>
      <c r="D1082" s="2" t="s">
        <v>74</v>
      </c>
      <c r="E1082" s="2" t="s">
        <v>74</v>
      </c>
      <c r="F1082" s="2" t="s">
        <v>7456</v>
      </c>
      <c r="G1082" s="2" t="s">
        <v>74</v>
      </c>
      <c r="H1082" s="2" t="s">
        <v>74</v>
      </c>
      <c r="I1082" s="2" t="s">
        <v>7457</v>
      </c>
      <c r="J1082" s="2" t="s">
        <v>610</v>
      </c>
      <c r="K1082" s="2" t="s">
        <v>74</v>
      </c>
      <c r="L1082" s="2" t="s">
        <v>74</v>
      </c>
      <c r="M1082" s="2" t="s">
        <v>74</v>
      </c>
      <c r="N1082" s="2" t="s">
        <v>74</v>
      </c>
      <c r="O1082" s="2" t="s">
        <v>74</v>
      </c>
      <c r="P1082" s="2" t="s">
        <v>74</v>
      </c>
      <c r="Q1082" s="2" t="s">
        <v>74</v>
      </c>
      <c r="R1082" s="2" t="s">
        <v>74</v>
      </c>
      <c r="S1082" s="2" t="s">
        <v>74</v>
      </c>
      <c r="T1082" s="2" t="s">
        <v>74</v>
      </c>
      <c r="U1082" s="2" t="s">
        <v>74</v>
      </c>
      <c r="V1082" s="5" t="s">
        <v>7458</v>
      </c>
      <c r="W1082" s="2" t="s">
        <v>74</v>
      </c>
      <c r="X1082" s="2" t="s">
        <v>74</v>
      </c>
      <c r="Y1082" s="2" t="s">
        <v>74</v>
      </c>
      <c r="Z1082" s="2" t="s">
        <v>74</v>
      </c>
      <c r="AA1082" s="2" t="s">
        <v>74</v>
      </c>
      <c r="AB1082" s="2" t="s">
        <v>74</v>
      </c>
      <c r="AC1082" s="2" t="s">
        <v>74</v>
      </c>
      <c r="AD1082" s="2" t="s">
        <v>74</v>
      </c>
      <c r="AE1082" s="2" t="s">
        <v>74</v>
      </c>
      <c r="AF1082" s="2" t="s">
        <v>74</v>
      </c>
      <c r="AG1082" s="2" t="s">
        <v>74</v>
      </c>
      <c r="AH1082" s="2" t="s">
        <v>74</v>
      </c>
      <c r="AI1082" s="2" t="s">
        <v>74</v>
      </c>
      <c r="AJ1082" s="2" t="s">
        <v>74</v>
      </c>
      <c r="AK1082" s="2" t="s">
        <v>74</v>
      </c>
      <c r="AL1082" s="2" t="s">
        <v>74</v>
      </c>
      <c r="AM1082" s="2" t="s">
        <v>74</v>
      </c>
      <c r="AN1082" s="2" t="s">
        <v>74</v>
      </c>
      <c r="AO1082" s="2" t="s">
        <v>614</v>
      </c>
      <c r="AP1082" s="2" t="s">
        <v>74</v>
      </c>
      <c r="AQ1082" s="2" t="s">
        <v>74</v>
      </c>
      <c r="AR1082" s="2" t="s">
        <v>74</v>
      </c>
      <c r="AS1082" s="2" t="s">
        <v>74</v>
      </c>
      <c r="AT1082" s="2" t="s">
        <v>255</v>
      </c>
      <c r="AU1082" s="2">
        <v>1993</v>
      </c>
      <c r="AV1082" s="2">
        <v>93</v>
      </c>
      <c r="AW1082" s="2">
        <v>1</v>
      </c>
      <c r="AX1082" s="2" t="s">
        <v>74</v>
      </c>
      <c r="AY1082" s="2" t="s">
        <v>74</v>
      </c>
      <c r="AZ1082" s="2" t="s">
        <v>74</v>
      </c>
      <c r="BA1082" s="2" t="s">
        <v>74</v>
      </c>
      <c r="BB1082" s="2">
        <v>3</v>
      </c>
      <c r="BC1082" s="2">
        <v>20</v>
      </c>
      <c r="BD1082" s="2" t="s">
        <v>74</v>
      </c>
      <c r="BE1082" s="2" t="s">
        <v>74</v>
      </c>
      <c r="BF1082" s="2" t="s">
        <v>74</v>
      </c>
      <c r="BG1082" s="2" t="s">
        <v>74</v>
      </c>
      <c r="BH1082" s="2" t="s">
        <v>74</v>
      </c>
      <c r="BI1082" s="2" t="s">
        <v>74</v>
      </c>
      <c r="BJ1082" s="2" t="s">
        <v>74</v>
      </c>
      <c r="BK1082" s="2" t="s">
        <v>74</v>
      </c>
      <c r="BL1082" s="2" t="s">
        <v>74</v>
      </c>
      <c r="BM1082" s="2" t="s">
        <v>74</v>
      </c>
      <c r="BN1082" s="2" t="s">
        <v>74</v>
      </c>
      <c r="BO1082" s="2" t="s">
        <v>74</v>
      </c>
      <c r="BP1082" s="2" t="s">
        <v>74</v>
      </c>
      <c r="BQ1082" s="2" t="s">
        <v>74</v>
      </c>
      <c r="BR1082" s="2" t="s">
        <v>74</v>
      </c>
      <c r="BS1082" s="2" t="s">
        <v>7459</v>
      </c>
      <c r="BT1082" s="2" t="str">
        <f>HYPERLINK("https%3A%2F%2Fwww.webofscience.com%2Fwos%2Fwoscc%2Ffull-record%2FWOS:A1993KM66900002","View Full Record in Web of Science")</f>
        <v>View Full Record in Web of Science</v>
      </c>
    </row>
    <row r="1083" spans="1:72" s="2" customFormat="1" x14ac:dyDescent="0.4">
      <c r="A1083" s="2" t="s">
        <v>72</v>
      </c>
      <c r="B1083" s="2" t="s">
        <v>4440</v>
      </c>
      <c r="C1083" s="2" t="s">
        <v>74</v>
      </c>
      <c r="D1083" s="2" t="s">
        <v>74</v>
      </c>
      <c r="E1083" s="2" t="s">
        <v>74</v>
      </c>
      <c r="F1083" s="2" t="s">
        <v>4440</v>
      </c>
      <c r="G1083" s="2" t="s">
        <v>74</v>
      </c>
      <c r="H1083" s="2" t="s">
        <v>74</v>
      </c>
      <c r="I1083" s="2" t="s">
        <v>4441</v>
      </c>
      <c r="J1083" s="2" t="s">
        <v>140</v>
      </c>
      <c r="K1083" s="2" t="s">
        <v>74</v>
      </c>
      <c r="L1083" s="2" t="s">
        <v>74</v>
      </c>
      <c r="M1083" s="2" t="s">
        <v>74</v>
      </c>
      <c r="N1083" s="2" t="s">
        <v>74</v>
      </c>
      <c r="O1083" s="2" t="s">
        <v>74</v>
      </c>
      <c r="P1083" s="2" t="s">
        <v>74</v>
      </c>
      <c r="Q1083" s="2" t="s">
        <v>74</v>
      </c>
      <c r="R1083" s="2" t="s">
        <v>74</v>
      </c>
      <c r="S1083" s="2" t="s">
        <v>74</v>
      </c>
      <c r="T1083" s="2" t="s">
        <v>74</v>
      </c>
      <c r="U1083" s="2" t="s">
        <v>74</v>
      </c>
      <c r="V1083" s="5" t="s">
        <v>4442</v>
      </c>
      <c r="W1083" s="2" t="s">
        <v>74</v>
      </c>
      <c r="X1083" s="2" t="s">
        <v>74</v>
      </c>
      <c r="Y1083" s="2" t="s">
        <v>74</v>
      </c>
      <c r="Z1083" s="2" t="s">
        <v>74</v>
      </c>
      <c r="AA1083" s="2" t="s">
        <v>74</v>
      </c>
      <c r="AB1083" s="2" t="s">
        <v>74</v>
      </c>
      <c r="AC1083" s="2" t="s">
        <v>74</v>
      </c>
      <c r="AD1083" s="2" t="s">
        <v>74</v>
      </c>
      <c r="AE1083" s="2" t="s">
        <v>74</v>
      </c>
      <c r="AF1083" s="2" t="s">
        <v>74</v>
      </c>
      <c r="AG1083" s="2" t="s">
        <v>74</v>
      </c>
      <c r="AH1083" s="2" t="s">
        <v>74</v>
      </c>
      <c r="AI1083" s="2" t="s">
        <v>74</v>
      </c>
      <c r="AJ1083" s="2" t="s">
        <v>74</v>
      </c>
      <c r="AK1083" s="2" t="s">
        <v>74</v>
      </c>
      <c r="AL1083" s="2" t="s">
        <v>74</v>
      </c>
      <c r="AM1083" s="2" t="s">
        <v>74</v>
      </c>
      <c r="AN1083" s="2" t="s">
        <v>74</v>
      </c>
      <c r="AO1083" s="2" t="s">
        <v>143</v>
      </c>
      <c r="AP1083" s="2" t="s">
        <v>144</v>
      </c>
      <c r="AQ1083" s="2" t="s">
        <v>74</v>
      </c>
      <c r="AR1083" s="2" t="s">
        <v>74</v>
      </c>
      <c r="AS1083" s="2" t="s">
        <v>74</v>
      </c>
      <c r="AT1083" s="2" t="s">
        <v>352</v>
      </c>
      <c r="AU1083" s="2">
        <v>1995</v>
      </c>
      <c r="AV1083" s="2">
        <v>50</v>
      </c>
      <c r="AW1083" s="2" t="s">
        <v>74</v>
      </c>
      <c r="AX1083" s="2">
        <v>3</v>
      </c>
      <c r="AY1083" s="2" t="s">
        <v>74</v>
      </c>
      <c r="AZ1083" s="2" t="s">
        <v>74</v>
      </c>
      <c r="BA1083" s="2" t="s">
        <v>74</v>
      </c>
      <c r="BB1083" s="2">
        <v>645</v>
      </c>
      <c r="BC1083" s="2">
        <v>653</v>
      </c>
      <c r="BD1083" s="2" t="s">
        <v>74</v>
      </c>
      <c r="BE1083" s="2" t="s">
        <v>4443</v>
      </c>
      <c r="BF1083" s="2" t="str">
        <f>HYPERLINK("http://dx.doi.org/10.1016/0003-3472(95)80126-X","http://dx.doi.org/10.1016/0003-3472(95)80126-X")</f>
        <v>http://dx.doi.org/10.1016/0003-3472(95)80126-X</v>
      </c>
      <c r="BG1083" s="2" t="s">
        <v>74</v>
      </c>
      <c r="BH1083" s="2" t="s">
        <v>74</v>
      </c>
      <c r="BI1083" s="2" t="s">
        <v>74</v>
      </c>
      <c r="BJ1083" s="2" t="s">
        <v>74</v>
      </c>
      <c r="BK1083" s="2" t="s">
        <v>74</v>
      </c>
      <c r="BL1083" s="2" t="s">
        <v>74</v>
      </c>
      <c r="BM1083" s="2" t="s">
        <v>74</v>
      </c>
      <c r="BN1083" s="2" t="s">
        <v>74</v>
      </c>
      <c r="BO1083" s="2" t="s">
        <v>74</v>
      </c>
      <c r="BP1083" s="2" t="s">
        <v>74</v>
      </c>
      <c r="BQ1083" s="2" t="s">
        <v>74</v>
      </c>
      <c r="BR1083" s="2" t="s">
        <v>74</v>
      </c>
      <c r="BS1083" s="2" t="s">
        <v>4444</v>
      </c>
      <c r="BT1083" s="2" t="str">
        <f>HYPERLINK("https%3A%2F%2Fwww.webofscience.com%2Fwos%2Fwoscc%2Ffull-record%2FWOS:A1995RV28100007","View Full Record in Web of Science")</f>
        <v>View Full Record in Web of Science</v>
      </c>
    </row>
    <row r="1084" spans="1:72" s="2" customFormat="1" x14ac:dyDescent="0.4">
      <c r="A1084" s="2" t="s">
        <v>72</v>
      </c>
      <c r="B1084" s="2" t="s">
        <v>4440</v>
      </c>
      <c r="C1084" s="2" t="s">
        <v>74</v>
      </c>
      <c r="D1084" s="2" t="s">
        <v>74</v>
      </c>
      <c r="E1084" s="2" t="s">
        <v>74</v>
      </c>
      <c r="F1084" s="2" t="s">
        <v>4440</v>
      </c>
      <c r="G1084" s="2" t="s">
        <v>74</v>
      </c>
      <c r="H1084" s="2" t="s">
        <v>74</v>
      </c>
      <c r="I1084" s="2" t="s">
        <v>6340</v>
      </c>
      <c r="J1084" s="2" t="s">
        <v>77</v>
      </c>
      <c r="K1084" s="2" t="s">
        <v>74</v>
      </c>
      <c r="L1084" s="2" t="s">
        <v>74</v>
      </c>
      <c r="M1084" s="2" t="s">
        <v>74</v>
      </c>
      <c r="N1084" s="2" t="s">
        <v>74</v>
      </c>
      <c r="O1084" s="2" t="s">
        <v>74</v>
      </c>
      <c r="P1084" s="2" t="s">
        <v>74</v>
      </c>
      <c r="Q1084" s="2" t="s">
        <v>74</v>
      </c>
      <c r="R1084" s="2" t="s">
        <v>74</v>
      </c>
      <c r="S1084" s="2" t="s">
        <v>74</v>
      </c>
      <c r="T1084" s="2" t="s">
        <v>74</v>
      </c>
      <c r="U1084" s="2" t="s">
        <v>74</v>
      </c>
      <c r="V1084" s="5" t="s">
        <v>6341</v>
      </c>
      <c r="W1084" s="2" t="s">
        <v>74</v>
      </c>
      <c r="X1084" s="2" t="s">
        <v>74</v>
      </c>
      <c r="Y1084" s="2" t="s">
        <v>74</v>
      </c>
      <c r="Z1084" s="2" t="s">
        <v>74</v>
      </c>
      <c r="AA1084" s="2" t="s">
        <v>74</v>
      </c>
      <c r="AB1084" s="2" t="s">
        <v>74</v>
      </c>
      <c r="AC1084" s="2" t="s">
        <v>74</v>
      </c>
      <c r="AD1084" s="2" t="s">
        <v>74</v>
      </c>
      <c r="AE1084" s="2" t="s">
        <v>74</v>
      </c>
      <c r="AF1084" s="2" t="s">
        <v>74</v>
      </c>
      <c r="AG1084" s="2" t="s">
        <v>74</v>
      </c>
      <c r="AH1084" s="2" t="s">
        <v>74</v>
      </c>
      <c r="AI1084" s="2" t="s">
        <v>74</v>
      </c>
      <c r="AJ1084" s="2" t="s">
        <v>74</v>
      </c>
      <c r="AK1084" s="2" t="s">
        <v>74</v>
      </c>
      <c r="AL1084" s="2" t="s">
        <v>74</v>
      </c>
      <c r="AM1084" s="2" t="s">
        <v>74</v>
      </c>
      <c r="AN1084" s="2" t="s">
        <v>74</v>
      </c>
      <c r="AO1084" s="2" t="s">
        <v>81</v>
      </c>
      <c r="AP1084" s="2" t="s">
        <v>74</v>
      </c>
      <c r="AQ1084" s="2" t="s">
        <v>74</v>
      </c>
      <c r="AR1084" s="2" t="s">
        <v>74</v>
      </c>
      <c r="AS1084" s="2" t="s">
        <v>74</v>
      </c>
      <c r="AT1084" s="2" t="s">
        <v>964</v>
      </c>
      <c r="AU1084" s="2">
        <v>1994</v>
      </c>
      <c r="AV1084" s="2">
        <v>128</v>
      </c>
      <c r="AW1084" s="2" t="s">
        <v>74</v>
      </c>
      <c r="AX1084" s="2" t="s">
        <v>548</v>
      </c>
      <c r="AY1084" s="2" t="s">
        <v>74</v>
      </c>
      <c r="AZ1084" s="2" t="s">
        <v>74</v>
      </c>
      <c r="BA1084" s="2" t="s">
        <v>74</v>
      </c>
      <c r="BB1084" s="2">
        <v>1</v>
      </c>
      <c r="BC1084" s="2">
        <v>14</v>
      </c>
      <c r="BD1084" s="2" t="s">
        <v>74</v>
      </c>
      <c r="BE1084" s="2" t="s">
        <v>6342</v>
      </c>
      <c r="BF1084" s="2" t="str">
        <f>HYPERLINK("http://dx.doi.org/10.1163/156853994X00019","http://dx.doi.org/10.1163/156853994X00019")</f>
        <v>http://dx.doi.org/10.1163/156853994X00019</v>
      </c>
      <c r="BG1084" s="2" t="s">
        <v>74</v>
      </c>
      <c r="BH1084" s="2" t="s">
        <v>74</v>
      </c>
      <c r="BI1084" s="2" t="s">
        <v>74</v>
      </c>
      <c r="BJ1084" s="2" t="s">
        <v>74</v>
      </c>
      <c r="BK1084" s="2" t="s">
        <v>74</v>
      </c>
      <c r="BL1084" s="2" t="s">
        <v>74</v>
      </c>
      <c r="BM1084" s="2" t="s">
        <v>74</v>
      </c>
      <c r="BN1084" s="2" t="s">
        <v>74</v>
      </c>
      <c r="BO1084" s="2" t="s">
        <v>74</v>
      </c>
      <c r="BP1084" s="2" t="s">
        <v>74</v>
      </c>
      <c r="BQ1084" s="2" t="s">
        <v>74</v>
      </c>
      <c r="BR1084" s="2" t="s">
        <v>74</v>
      </c>
      <c r="BS1084" s="2" t="s">
        <v>6343</v>
      </c>
      <c r="BT1084" s="2" t="str">
        <f>HYPERLINK("https%3A%2F%2Fwww.webofscience.com%2Fwos%2Fwoscc%2Ffull-record%2FWOS:A1994NV35400001","View Full Record in Web of Science")</f>
        <v>View Full Record in Web of Science</v>
      </c>
    </row>
    <row r="1085" spans="1:72" s="2" customFormat="1" x14ac:dyDescent="0.4">
      <c r="A1085" s="2" t="s">
        <v>72</v>
      </c>
      <c r="B1085" s="2" t="s">
        <v>3458</v>
      </c>
      <c r="C1085" s="2" t="s">
        <v>74</v>
      </c>
      <c r="D1085" s="2" t="s">
        <v>74</v>
      </c>
      <c r="E1085" s="2" t="s">
        <v>74</v>
      </c>
      <c r="F1085" s="2" t="s">
        <v>3458</v>
      </c>
      <c r="G1085" s="2" t="s">
        <v>74</v>
      </c>
      <c r="H1085" s="2" t="s">
        <v>74</v>
      </c>
      <c r="I1085" s="2" t="s">
        <v>3459</v>
      </c>
      <c r="J1085" s="2" t="s">
        <v>108</v>
      </c>
      <c r="K1085" s="2" t="s">
        <v>74</v>
      </c>
      <c r="L1085" s="2" t="s">
        <v>74</v>
      </c>
      <c r="M1085" s="2" t="s">
        <v>74</v>
      </c>
      <c r="N1085" s="2" t="s">
        <v>74</v>
      </c>
      <c r="O1085" s="2" t="s">
        <v>74</v>
      </c>
      <c r="P1085" s="2" t="s">
        <v>74</v>
      </c>
      <c r="Q1085" s="2" t="s">
        <v>74</v>
      </c>
      <c r="R1085" s="2" t="s">
        <v>74</v>
      </c>
      <c r="S1085" s="2" t="s">
        <v>74</v>
      </c>
      <c r="T1085" s="2" t="s">
        <v>74</v>
      </c>
      <c r="U1085" s="2" t="s">
        <v>74</v>
      </c>
      <c r="V1085" s="5" t="s">
        <v>3460</v>
      </c>
      <c r="W1085" s="2" t="s">
        <v>74</v>
      </c>
      <c r="X1085" s="2" t="s">
        <v>74</v>
      </c>
      <c r="Y1085" s="2" t="s">
        <v>74</v>
      </c>
      <c r="Z1085" s="2" t="s">
        <v>74</v>
      </c>
      <c r="AA1085" s="2" t="s">
        <v>3461</v>
      </c>
      <c r="AB1085" s="2" t="s">
        <v>3462</v>
      </c>
      <c r="AC1085" s="2" t="s">
        <v>74</v>
      </c>
      <c r="AD1085" s="2" t="s">
        <v>74</v>
      </c>
      <c r="AE1085" s="2" t="s">
        <v>74</v>
      </c>
      <c r="AF1085" s="2" t="s">
        <v>74</v>
      </c>
      <c r="AG1085" s="2" t="s">
        <v>74</v>
      </c>
      <c r="AH1085" s="2" t="s">
        <v>74</v>
      </c>
      <c r="AI1085" s="2" t="s">
        <v>74</v>
      </c>
      <c r="AJ1085" s="2" t="s">
        <v>74</v>
      </c>
      <c r="AK1085" s="2" t="s">
        <v>74</v>
      </c>
      <c r="AL1085" s="2" t="s">
        <v>74</v>
      </c>
      <c r="AM1085" s="2" t="s">
        <v>74</v>
      </c>
      <c r="AN1085" s="2" t="s">
        <v>74</v>
      </c>
      <c r="AO1085" s="2" t="s">
        <v>111</v>
      </c>
      <c r="AP1085" s="2" t="s">
        <v>3463</v>
      </c>
      <c r="AQ1085" s="2" t="s">
        <v>74</v>
      </c>
      <c r="AR1085" s="2" t="s">
        <v>74</v>
      </c>
      <c r="AS1085" s="2" t="s">
        <v>74</v>
      </c>
      <c r="AT1085" s="2" t="s">
        <v>493</v>
      </c>
      <c r="AU1085" s="2">
        <v>1999</v>
      </c>
      <c r="AV1085" s="2">
        <v>266</v>
      </c>
      <c r="AW1085" s="2">
        <v>1427</v>
      </c>
      <c r="AX1085" s="2" t="s">
        <v>74</v>
      </c>
      <c r="AY1085" s="2" t="s">
        <v>74</v>
      </c>
      <c r="AZ1085" s="2" t="s">
        <v>74</v>
      </c>
      <c r="BA1085" s="2" t="s">
        <v>74</v>
      </c>
      <c r="BB1085" s="2">
        <v>1403</v>
      </c>
      <c r="BC1085" s="2">
        <v>1411</v>
      </c>
      <c r="BD1085" s="2" t="s">
        <v>74</v>
      </c>
      <c r="BE1085" s="2" t="s">
        <v>3464</v>
      </c>
      <c r="BF1085" s="2" t="str">
        <f>HYPERLINK("http://dx.doi.org/10.1098/rspb.1999.0794","http://dx.doi.org/10.1098/rspb.1999.0794")</f>
        <v>http://dx.doi.org/10.1098/rspb.1999.0794</v>
      </c>
      <c r="BG1085" s="2" t="s">
        <v>74</v>
      </c>
      <c r="BH1085" s="2" t="s">
        <v>74</v>
      </c>
      <c r="BI1085" s="2" t="s">
        <v>74</v>
      </c>
      <c r="BJ1085" s="2" t="s">
        <v>74</v>
      </c>
      <c r="BK1085" s="2" t="s">
        <v>74</v>
      </c>
      <c r="BL1085" s="2" t="s">
        <v>74</v>
      </c>
      <c r="BM1085" s="2" t="s">
        <v>74</v>
      </c>
      <c r="BN1085" s="2" t="s">
        <v>74</v>
      </c>
      <c r="BO1085" s="2" t="s">
        <v>74</v>
      </c>
      <c r="BP1085" s="2" t="s">
        <v>74</v>
      </c>
      <c r="BQ1085" s="2" t="s">
        <v>74</v>
      </c>
      <c r="BR1085" s="2" t="s">
        <v>74</v>
      </c>
      <c r="BS1085" s="2" t="s">
        <v>3465</v>
      </c>
      <c r="BT1085" s="2" t="str">
        <f>HYPERLINK("https%3A%2F%2Fwww.webofscience.com%2Fwos%2Fwoscc%2Ffull-record%2FWOS:000081833200001","View Full Record in Web of Science")</f>
        <v>View Full Record in Web of Science</v>
      </c>
    </row>
    <row r="1086" spans="1:72" s="2" customFormat="1" x14ac:dyDescent="0.4">
      <c r="A1086" s="2" t="s">
        <v>72</v>
      </c>
      <c r="B1086" s="2" t="s">
        <v>5080</v>
      </c>
      <c r="C1086" s="2" t="s">
        <v>74</v>
      </c>
      <c r="D1086" s="2" t="s">
        <v>74</v>
      </c>
      <c r="E1086" s="2" t="s">
        <v>74</v>
      </c>
      <c r="F1086" s="2" t="s">
        <v>5081</v>
      </c>
      <c r="G1086" s="2" t="s">
        <v>74</v>
      </c>
      <c r="H1086" s="2" t="s">
        <v>74</v>
      </c>
      <c r="I1086" s="2" t="s">
        <v>5082</v>
      </c>
      <c r="J1086" s="2" t="s">
        <v>333</v>
      </c>
      <c r="K1086" s="2" t="s">
        <v>74</v>
      </c>
      <c r="L1086" s="2" t="s">
        <v>74</v>
      </c>
      <c r="M1086" s="2" t="s">
        <v>74</v>
      </c>
      <c r="N1086" s="2" t="s">
        <v>74</v>
      </c>
      <c r="O1086" s="2" t="s">
        <v>74</v>
      </c>
      <c r="P1086" s="2" t="s">
        <v>74</v>
      </c>
      <c r="Q1086" s="2" t="s">
        <v>74</v>
      </c>
      <c r="R1086" s="2" t="s">
        <v>74</v>
      </c>
      <c r="S1086" s="2" t="s">
        <v>74</v>
      </c>
      <c r="T1086" s="2" t="s">
        <v>74</v>
      </c>
      <c r="U1086" s="2" t="s">
        <v>74</v>
      </c>
      <c r="V1086" s="5" t="s">
        <v>5083</v>
      </c>
      <c r="W1086" s="2" t="s">
        <v>74</v>
      </c>
      <c r="X1086" s="2" t="s">
        <v>74</v>
      </c>
      <c r="Y1086" s="2" t="s">
        <v>74</v>
      </c>
      <c r="Z1086" s="2" t="s">
        <v>74</v>
      </c>
      <c r="AA1086" s="2" t="s">
        <v>5084</v>
      </c>
      <c r="AB1086" s="2" t="s">
        <v>5085</v>
      </c>
      <c r="AC1086" s="2" t="s">
        <v>74</v>
      </c>
      <c r="AD1086" s="2" t="s">
        <v>74</v>
      </c>
      <c r="AE1086" s="2" t="s">
        <v>74</v>
      </c>
      <c r="AF1086" s="2" t="s">
        <v>74</v>
      </c>
      <c r="AG1086" s="2" t="s">
        <v>74</v>
      </c>
      <c r="AH1086" s="2" t="s">
        <v>74</v>
      </c>
      <c r="AI1086" s="2" t="s">
        <v>74</v>
      </c>
      <c r="AJ1086" s="2" t="s">
        <v>74</v>
      </c>
      <c r="AK1086" s="2" t="s">
        <v>74</v>
      </c>
      <c r="AL1086" s="2" t="s">
        <v>74</v>
      </c>
      <c r="AM1086" s="2" t="s">
        <v>74</v>
      </c>
      <c r="AN1086" s="2" t="s">
        <v>74</v>
      </c>
      <c r="AO1086" s="2" t="s">
        <v>337</v>
      </c>
      <c r="AP1086" s="2" t="s">
        <v>338</v>
      </c>
      <c r="AQ1086" s="2" t="s">
        <v>74</v>
      </c>
      <c r="AR1086" s="2" t="s">
        <v>74</v>
      </c>
      <c r="AS1086" s="2" t="s">
        <v>74</v>
      </c>
      <c r="AT1086" s="2" t="s">
        <v>1013</v>
      </c>
      <c r="AU1086" s="2">
        <v>2016</v>
      </c>
      <c r="AV1086" s="2">
        <v>27</v>
      </c>
      <c r="AW1086" s="2">
        <v>5</v>
      </c>
      <c r="AX1086" s="2" t="s">
        <v>74</v>
      </c>
      <c r="AY1086" s="2" t="s">
        <v>74</v>
      </c>
      <c r="AZ1086" s="2" t="s">
        <v>74</v>
      </c>
      <c r="BA1086" s="2" t="s">
        <v>74</v>
      </c>
      <c r="BB1086" s="2">
        <v>1331</v>
      </c>
      <c r="BC1086" s="2">
        <v>1342</v>
      </c>
      <c r="BD1086" s="2" t="s">
        <v>74</v>
      </c>
      <c r="BE1086" s="2" t="s">
        <v>5086</v>
      </c>
      <c r="BF1086" s="2" t="str">
        <f>HYPERLINK("http://dx.doi.org/10.1093/beheco/arw050","http://dx.doi.org/10.1093/beheco/arw050")</f>
        <v>http://dx.doi.org/10.1093/beheco/arw050</v>
      </c>
      <c r="BG1086" s="2" t="s">
        <v>74</v>
      </c>
      <c r="BH1086" s="2" t="s">
        <v>74</v>
      </c>
      <c r="BI1086" s="2" t="s">
        <v>74</v>
      </c>
      <c r="BJ1086" s="2" t="s">
        <v>74</v>
      </c>
      <c r="BK1086" s="2" t="s">
        <v>74</v>
      </c>
      <c r="BL1086" s="2" t="s">
        <v>74</v>
      </c>
      <c r="BM1086" s="2" t="s">
        <v>74</v>
      </c>
      <c r="BN1086" s="2" t="s">
        <v>74</v>
      </c>
      <c r="BO1086" s="2" t="s">
        <v>74</v>
      </c>
      <c r="BP1086" s="2" t="s">
        <v>74</v>
      </c>
      <c r="BQ1086" s="2" t="s">
        <v>74</v>
      </c>
      <c r="BR1086" s="2" t="s">
        <v>74</v>
      </c>
      <c r="BS1086" s="2" t="s">
        <v>5087</v>
      </c>
      <c r="BT1086" s="2" t="str">
        <f>HYPERLINK("https%3A%2F%2Fwww.webofscience.com%2Fwos%2Fwoscc%2Ffull-record%2FWOS:000384650600013","View Full Record in Web of Science")</f>
        <v>View Full Record in Web of Science</v>
      </c>
    </row>
    <row r="1087" spans="1:72" s="2" customFormat="1" x14ac:dyDescent="0.4">
      <c r="A1087" s="2" t="s">
        <v>72</v>
      </c>
      <c r="B1087" s="2" t="s">
        <v>4196</v>
      </c>
      <c r="C1087" s="2" t="s">
        <v>74</v>
      </c>
      <c r="D1087" s="2" t="s">
        <v>74</v>
      </c>
      <c r="E1087" s="2" t="s">
        <v>74</v>
      </c>
      <c r="F1087" s="2" t="s">
        <v>4197</v>
      </c>
      <c r="G1087" s="2" t="s">
        <v>74</v>
      </c>
      <c r="H1087" s="2" t="s">
        <v>74</v>
      </c>
      <c r="I1087" s="2" t="s">
        <v>4198</v>
      </c>
      <c r="J1087" s="2" t="s">
        <v>763</v>
      </c>
      <c r="K1087" s="2" t="s">
        <v>74</v>
      </c>
      <c r="L1087" s="2" t="s">
        <v>74</v>
      </c>
      <c r="M1087" s="2" t="s">
        <v>74</v>
      </c>
      <c r="N1087" s="2" t="s">
        <v>74</v>
      </c>
      <c r="O1087" s="2" t="s">
        <v>74</v>
      </c>
      <c r="P1087" s="2" t="s">
        <v>74</v>
      </c>
      <c r="Q1087" s="2" t="s">
        <v>74</v>
      </c>
      <c r="R1087" s="2" t="s">
        <v>74</v>
      </c>
      <c r="S1087" s="2" t="s">
        <v>74</v>
      </c>
      <c r="T1087" s="2" t="s">
        <v>74</v>
      </c>
      <c r="U1087" s="2" t="s">
        <v>74</v>
      </c>
      <c r="V1087" s="5" t="s">
        <v>4199</v>
      </c>
      <c r="W1087" s="2" t="s">
        <v>74</v>
      </c>
      <c r="X1087" s="2" t="s">
        <v>74</v>
      </c>
      <c r="Y1087" s="2" t="s">
        <v>74</v>
      </c>
      <c r="Z1087" s="2" t="s">
        <v>74</v>
      </c>
      <c r="AA1087" s="2" t="s">
        <v>74</v>
      </c>
      <c r="AB1087" s="2" t="s">
        <v>4200</v>
      </c>
      <c r="AC1087" s="2" t="s">
        <v>74</v>
      </c>
      <c r="AD1087" s="2" t="s">
        <v>74</v>
      </c>
      <c r="AE1087" s="2" t="s">
        <v>74</v>
      </c>
      <c r="AF1087" s="2" t="s">
        <v>74</v>
      </c>
      <c r="AG1087" s="2" t="s">
        <v>74</v>
      </c>
      <c r="AH1087" s="2" t="s">
        <v>74</v>
      </c>
      <c r="AI1087" s="2" t="s">
        <v>74</v>
      </c>
      <c r="AJ1087" s="2" t="s">
        <v>74</v>
      </c>
      <c r="AK1087" s="2" t="s">
        <v>74</v>
      </c>
      <c r="AL1087" s="2" t="s">
        <v>74</v>
      </c>
      <c r="AM1087" s="2" t="s">
        <v>74</v>
      </c>
      <c r="AN1087" s="2" t="s">
        <v>74</v>
      </c>
      <c r="AO1087" s="2" t="s">
        <v>767</v>
      </c>
      <c r="AP1087" s="2" t="s">
        <v>768</v>
      </c>
      <c r="AQ1087" s="2" t="s">
        <v>74</v>
      </c>
      <c r="AR1087" s="2" t="s">
        <v>74</v>
      </c>
      <c r="AS1087" s="2" t="s">
        <v>74</v>
      </c>
      <c r="AT1087" s="2" t="s">
        <v>145</v>
      </c>
      <c r="AU1087" s="2">
        <v>2020</v>
      </c>
      <c r="AV1087" s="2">
        <v>223</v>
      </c>
      <c r="AW1087" s="2">
        <v>16</v>
      </c>
      <c r="AX1087" s="2" t="s">
        <v>74</v>
      </c>
      <c r="AY1087" s="2" t="s">
        <v>74</v>
      </c>
      <c r="AZ1087" s="2" t="s">
        <v>74</v>
      </c>
      <c r="BA1087" s="2" t="s">
        <v>74</v>
      </c>
      <c r="BB1087" s="2" t="s">
        <v>74</v>
      </c>
      <c r="BC1087" s="2" t="s">
        <v>74</v>
      </c>
      <c r="BD1087" s="2" t="s">
        <v>4201</v>
      </c>
      <c r="BE1087" s="2" t="s">
        <v>4202</v>
      </c>
      <c r="BF1087" s="2" t="str">
        <f>HYPERLINK("http://dx.doi.org/10.1242/jeb.226340","http://dx.doi.org/10.1242/jeb.226340")</f>
        <v>http://dx.doi.org/10.1242/jeb.226340</v>
      </c>
      <c r="BG1087" s="2" t="s">
        <v>74</v>
      </c>
      <c r="BH1087" s="2" t="s">
        <v>74</v>
      </c>
      <c r="BI1087" s="2" t="s">
        <v>74</v>
      </c>
      <c r="BJ1087" s="2" t="s">
        <v>74</v>
      </c>
      <c r="BK1087" s="2" t="s">
        <v>74</v>
      </c>
      <c r="BL1087" s="2" t="s">
        <v>74</v>
      </c>
      <c r="BM1087" s="2" t="s">
        <v>74</v>
      </c>
      <c r="BN1087" s="2">
        <v>32748795</v>
      </c>
      <c r="BO1087" s="2" t="s">
        <v>74</v>
      </c>
      <c r="BP1087" s="2" t="s">
        <v>74</v>
      </c>
      <c r="BQ1087" s="2" t="s">
        <v>74</v>
      </c>
      <c r="BR1087" s="2" t="s">
        <v>74</v>
      </c>
      <c r="BS1087" s="2" t="s">
        <v>4203</v>
      </c>
      <c r="BT1087" s="2" t="str">
        <f>HYPERLINK("https%3A%2F%2Fwww.webofscience.com%2Fwos%2Fwoscc%2Ffull-record%2FWOS:000576694400015","View Full Record in Web of Science")</f>
        <v>View Full Record in Web of Science</v>
      </c>
    </row>
    <row r="1088" spans="1:72" s="2" customFormat="1" x14ac:dyDescent="0.4">
      <c r="A1088" s="2" t="s">
        <v>72</v>
      </c>
      <c r="B1088" s="2" t="s">
        <v>2114</v>
      </c>
      <c r="C1088" s="2" t="s">
        <v>74</v>
      </c>
      <c r="D1088" s="2" t="s">
        <v>74</v>
      </c>
      <c r="E1088" s="2" t="s">
        <v>74</v>
      </c>
      <c r="F1088" s="2" t="s">
        <v>2114</v>
      </c>
      <c r="G1088" s="2" t="s">
        <v>74</v>
      </c>
      <c r="H1088" s="2" t="s">
        <v>74</v>
      </c>
      <c r="I1088" s="2" t="s">
        <v>2115</v>
      </c>
      <c r="J1088" s="2" t="s">
        <v>2116</v>
      </c>
      <c r="K1088" s="2" t="s">
        <v>74</v>
      </c>
      <c r="L1088" s="2" t="s">
        <v>74</v>
      </c>
      <c r="M1088" s="2" t="s">
        <v>74</v>
      </c>
      <c r="N1088" s="2" t="s">
        <v>74</v>
      </c>
      <c r="O1088" s="2" t="s">
        <v>74</v>
      </c>
      <c r="P1088" s="2" t="s">
        <v>74</v>
      </c>
      <c r="Q1088" s="2" t="s">
        <v>74</v>
      </c>
      <c r="R1088" s="2" t="s">
        <v>74</v>
      </c>
      <c r="S1088" s="2" t="s">
        <v>74</v>
      </c>
      <c r="T1088" s="2" t="s">
        <v>74</v>
      </c>
      <c r="U1088" s="2" t="s">
        <v>74</v>
      </c>
      <c r="V1088" s="5" t="s">
        <v>2117</v>
      </c>
      <c r="W1088" s="2" t="s">
        <v>74</v>
      </c>
      <c r="X1088" s="2" t="s">
        <v>74</v>
      </c>
      <c r="Y1088" s="2" t="s">
        <v>74</v>
      </c>
      <c r="Z1088" s="2" t="s">
        <v>74</v>
      </c>
      <c r="AA1088" s="2" t="s">
        <v>74</v>
      </c>
      <c r="AB1088" s="2" t="s">
        <v>74</v>
      </c>
      <c r="AC1088" s="2" t="s">
        <v>74</v>
      </c>
      <c r="AD1088" s="2" t="s">
        <v>74</v>
      </c>
      <c r="AE1088" s="2" t="s">
        <v>74</v>
      </c>
      <c r="AF1088" s="2" t="s">
        <v>74</v>
      </c>
      <c r="AG1088" s="2" t="s">
        <v>74</v>
      </c>
      <c r="AH1088" s="2" t="s">
        <v>74</v>
      </c>
      <c r="AI1088" s="2" t="s">
        <v>74</v>
      </c>
      <c r="AJ1088" s="2" t="s">
        <v>74</v>
      </c>
      <c r="AK1088" s="2" t="s">
        <v>74</v>
      </c>
      <c r="AL1088" s="2" t="s">
        <v>74</v>
      </c>
      <c r="AM1088" s="2" t="s">
        <v>74</v>
      </c>
      <c r="AN1088" s="2" t="s">
        <v>74</v>
      </c>
      <c r="AO1088" s="2" t="s">
        <v>2118</v>
      </c>
      <c r="AP1088" s="2" t="s">
        <v>2119</v>
      </c>
      <c r="AQ1088" s="2" t="s">
        <v>74</v>
      </c>
      <c r="AR1088" s="2" t="s">
        <v>74</v>
      </c>
      <c r="AS1088" s="2" t="s">
        <v>74</v>
      </c>
      <c r="AT1088" s="2" t="s">
        <v>74</v>
      </c>
      <c r="AU1088" s="2">
        <v>1976</v>
      </c>
      <c r="AV1088" s="2">
        <v>11</v>
      </c>
      <c r="AW1088" s="2">
        <v>4</v>
      </c>
      <c r="AX1088" s="2" t="s">
        <v>74</v>
      </c>
      <c r="AY1088" s="2" t="s">
        <v>74</v>
      </c>
      <c r="AZ1088" s="2" t="s">
        <v>74</v>
      </c>
      <c r="BA1088" s="2" t="s">
        <v>74</v>
      </c>
      <c r="BB1088" s="2">
        <v>302</v>
      </c>
      <c r="BC1088" s="2">
        <v>311</v>
      </c>
      <c r="BD1088" s="2" t="s">
        <v>74</v>
      </c>
      <c r="BE1088" s="2" t="s">
        <v>74</v>
      </c>
      <c r="BF1088" s="2" t="s">
        <v>74</v>
      </c>
      <c r="BG1088" s="2" t="s">
        <v>74</v>
      </c>
      <c r="BH1088" s="2" t="s">
        <v>74</v>
      </c>
      <c r="BI1088" s="2" t="s">
        <v>74</v>
      </c>
      <c r="BJ1088" s="2" t="s">
        <v>74</v>
      </c>
      <c r="BK1088" s="2" t="s">
        <v>74</v>
      </c>
      <c r="BL1088" s="2" t="s">
        <v>74</v>
      </c>
      <c r="BM1088" s="2" t="s">
        <v>74</v>
      </c>
      <c r="BN1088" s="2" t="s">
        <v>74</v>
      </c>
      <c r="BO1088" s="2" t="s">
        <v>74</v>
      </c>
      <c r="BP1088" s="2" t="s">
        <v>74</v>
      </c>
      <c r="BQ1088" s="2" t="s">
        <v>74</v>
      </c>
      <c r="BR1088" s="2" t="s">
        <v>74</v>
      </c>
      <c r="BS1088" s="2" t="s">
        <v>2120</v>
      </c>
      <c r="BT1088" s="2" t="str">
        <f>HYPERLINK("https%3A%2F%2Fwww.webofscience.com%2Fwos%2Fwoscc%2Ffull-record%2FWOS:A1976CY45000005","View Full Record in Web of Science")</f>
        <v>View Full Record in Web of Science</v>
      </c>
    </row>
    <row r="1089" spans="1:72" s="2" customFormat="1" x14ac:dyDescent="0.4">
      <c r="A1089" s="2" t="s">
        <v>72</v>
      </c>
      <c r="B1089" s="2" t="s">
        <v>1188</v>
      </c>
      <c r="C1089" s="2" t="s">
        <v>74</v>
      </c>
      <c r="D1089" s="2" t="s">
        <v>74</v>
      </c>
      <c r="E1089" s="2" t="s">
        <v>74</v>
      </c>
      <c r="F1089" s="2" t="s">
        <v>1189</v>
      </c>
      <c r="G1089" s="2" t="s">
        <v>74</v>
      </c>
      <c r="H1089" s="2" t="s">
        <v>74</v>
      </c>
      <c r="I1089" s="2" t="s">
        <v>1190</v>
      </c>
      <c r="J1089" s="2" t="s">
        <v>201</v>
      </c>
      <c r="K1089" s="2" t="s">
        <v>74</v>
      </c>
      <c r="L1089" s="2" t="s">
        <v>74</v>
      </c>
      <c r="M1089" s="2" t="s">
        <v>74</v>
      </c>
      <c r="N1089" s="2" t="s">
        <v>74</v>
      </c>
      <c r="O1089" s="2" t="s">
        <v>74</v>
      </c>
      <c r="P1089" s="2" t="s">
        <v>74</v>
      </c>
      <c r="Q1089" s="2" t="s">
        <v>74</v>
      </c>
      <c r="R1089" s="2" t="s">
        <v>74</v>
      </c>
      <c r="S1089" s="2" t="s">
        <v>74</v>
      </c>
      <c r="T1089" s="2" t="s">
        <v>74</v>
      </c>
      <c r="U1089" s="2" t="s">
        <v>74</v>
      </c>
      <c r="V1089" s="5" t="s">
        <v>1191</v>
      </c>
      <c r="W1089" s="2" t="s">
        <v>74</v>
      </c>
      <c r="X1089" s="2" t="s">
        <v>74</v>
      </c>
      <c r="Y1089" s="2" t="s">
        <v>74</v>
      </c>
      <c r="Z1089" s="2" t="s">
        <v>74</v>
      </c>
      <c r="AA1089" s="2" t="s">
        <v>74</v>
      </c>
      <c r="AB1089" s="2" t="s">
        <v>74</v>
      </c>
      <c r="AC1089" s="2" t="s">
        <v>74</v>
      </c>
      <c r="AD1089" s="2" t="s">
        <v>74</v>
      </c>
      <c r="AE1089" s="2" t="s">
        <v>74</v>
      </c>
      <c r="AF1089" s="2" t="s">
        <v>74</v>
      </c>
      <c r="AG1089" s="2" t="s">
        <v>74</v>
      </c>
      <c r="AH1089" s="2" t="s">
        <v>74</v>
      </c>
      <c r="AI1089" s="2" t="s">
        <v>74</v>
      </c>
      <c r="AJ1089" s="2" t="s">
        <v>74</v>
      </c>
      <c r="AK1089" s="2" t="s">
        <v>74</v>
      </c>
      <c r="AL1089" s="2" t="s">
        <v>74</v>
      </c>
      <c r="AM1089" s="2" t="s">
        <v>74</v>
      </c>
      <c r="AN1089" s="2" t="s">
        <v>74</v>
      </c>
      <c r="AO1089" s="2" t="s">
        <v>203</v>
      </c>
      <c r="AP1089" s="2" t="s">
        <v>1192</v>
      </c>
      <c r="AQ1089" s="2" t="s">
        <v>74</v>
      </c>
      <c r="AR1089" s="2" t="s">
        <v>74</v>
      </c>
      <c r="AS1089" s="2" t="s">
        <v>74</v>
      </c>
      <c r="AT1089" s="2" t="s">
        <v>134</v>
      </c>
      <c r="AU1089" s="2">
        <v>2009</v>
      </c>
      <c r="AV1089" s="2">
        <v>74</v>
      </c>
      <c r="AW1089" s="2">
        <v>8</v>
      </c>
      <c r="AX1089" s="2" t="s">
        <v>74</v>
      </c>
      <c r="AY1089" s="2" t="s">
        <v>74</v>
      </c>
      <c r="AZ1089" s="2" t="s">
        <v>74</v>
      </c>
      <c r="BA1089" s="2" t="s">
        <v>74</v>
      </c>
      <c r="BB1089" s="2">
        <v>1804</v>
      </c>
      <c r="BC1089" s="2">
        <v>1815</v>
      </c>
      <c r="BD1089" s="2" t="s">
        <v>74</v>
      </c>
      <c r="BE1089" s="2" t="s">
        <v>1193</v>
      </c>
      <c r="BF1089" s="2" t="str">
        <f>HYPERLINK("http://dx.doi.org/10.1111/j.1095-8649.2009.02256.x","http://dx.doi.org/10.1111/j.1095-8649.2009.02256.x")</f>
        <v>http://dx.doi.org/10.1111/j.1095-8649.2009.02256.x</v>
      </c>
      <c r="BG1089" s="2" t="s">
        <v>74</v>
      </c>
      <c r="BH1089" s="2" t="s">
        <v>74</v>
      </c>
      <c r="BI1089" s="2" t="s">
        <v>74</v>
      </c>
      <c r="BJ1089" s="2" t="s">
        <v>74</v>
      </c>
      <c r="BK1089" s="2" t="s">
        <v>74</v>
      </c>
      <c r="BL1089" s="2" t="s">
        <v>74</v>
      </c>
      <c r="BM1089" s="2" t="s">
        <v>74</v>
      </c>
      <c r="BN1089" s="2">
        <v>20735672</v>
      </c>
      <c r="BO1089" s="2" t="s">
        <v>74</v>
      </c>
      <c r="BP1089" s="2" t="s">
        <v>74</v>
      </c>
      <c r="BQ1089" s="2" t="s">
        <v>74</v>
      </c>
      <c r="BR1089" s="2" t="s">
        <v>74</v>
      </c>
      <c r="BS1089" s="2" t="s">
        <v>1194</v>
      </c>
      <c r="BT1089" s="2" t="str">
        <f>HYPERLINK("https%3A%2F%2Fwww.webofscience.com%2Fwos%2Fwoscc%2Ffull-record%2FWOS:000266243100006","View Full Record in Web of Science")</f>
        <v>View Full Record in Web of Science</v>
      </c>
    </row>
    <row r="1090" spans="1:72" s="2" customFormat="1" x14ac:dyDescent="0.4">
      <c r="A1090" s="2" t="s">
        <v>72</v>
      </c>
      <c r="B1090" s="2" t="s">
        <v>3167</v>
      </c>
      <c r="C1090" s="2" t="s">
        <v>74</v>
      </c>
      <c r="D1090" s="2" t="s">
        <v>74</v>
      </c>
      <c r="E1090" s="2" t="s">
        <v>74</v>
      </c>
      <c r="F1090" s="2" t="s">
        <v>3168</v>
      </c>
      <c r="G1090" s="2" t="s">
        <v>74</v>
      </c>
      <c r="H1090" s="2" t="s">
        <v>74</v>
      </c>
      <c r="I1090" s="2" t="s">
        <v>3169</v>
      </c>
      <c r="J1090" s="2" t="s">
        <v>3170</v>
      </c>
      <c r="K1090" s="2" t="s">
        <v>74</v>
      </c>
      <c r="L1090" s="2" t="s">
        <v>74</v>
      </c>
      <c r="M1090" s="2" t="s">
        <v>74</v>
      </c>
      <c r="N1090" s="2" t="s">
        <v>74</v>
      </c>
      <c r="O1090" s="2" t="s">
        <v>74</v>
      </c>
      <c r="P1090" s="2" t="s">
        <v>74</v>
      </c>
      <c r="Q1090" s="2" t="s">
        <v>74</v>
      </c>
      <c r="R1090" s="2" t="s">
        <v>74</v>
      </c>
      <c r="S1090" s="2" t="s">
        <v>74</v>
      </c>
      <c r="T1090" s="2" t="s">
        <v>74</v>
      </c>
      <c r="U1090" s="2" t="s">
        <v>74</v>
      </c>
      <c r="V1090" s="5" t="s">
        <v>3171</v>
      </c>
      <c r="W1090" s="2" t="s">
        <v>74</v>
      </c>
      <c r="X1090" s="2" t="s">
        <v>74</v>
      </c>
      <c r="Y1090" s="2" t="s">
        <v>74</v>
      </c>
      <c r="Z1090" s="2" t="s">
        <v>74</v>
      </c>
      <c r="AA1090" s="2" t="s">
        <v>3172</v>
      </c>
      <c r="AB1090" s="2" t="s">
        <v>3173</v>
      </c>
      <c r="AC1090" s="2" t="s">
        <v>74</v>
      </c>
      <c r="AD1090" s="2" t="s">
        <v>74</v>
      </c>
      <c r="AE1090" s="2" t="s">
        <v>74</v>
      </c>
      <c r="AF1090" s="2" t="s">
        <v>74</v>
      </c>
      <c r="AG1090" s="2" t="s">
        <v>74</v>
      </c>
      <c r="AH1090" s="2" t="s">
        <v>74</v>
      </c>
      <c r="AI1090" s="2" t="s">
        <v>74</v>
      </c>
      <c r="AJ1090" s="2" t="s">
        <v>74</v>
      </c>
      <c r="AK1090" s="2" t="s">
        <v>74</v>
      </c>
      <c r="AL1090" s="2" t="s">
        <v>74</v>
      </c>
      <c r="AM1090" s="2" t="s">
        <v>74</v>
      </c>
      <c r="AN1090" s="2" t="s">
        <v>74</v>
      </c>
      <c r="AO1090" s="2" t="s">
        <v>3174</v>
      </c>
      <c r="AP1090" s="2" t="s">
        <v>3175</v>
      </c>
      <c r="AQ1090" s="2" t="s">
        <v>74</v>
      </c>
      <c r="AR1090" s="2" t="s">
        <v>74</v>
      </c>
      <c r="AS1090" s="2" t="s">
        <v>74</v>
      </c>
      <c r="AT1090" s="2" t="s">
        <v>145</v>
      </c>
      <c r="AU1090" s="2">
        <v>2021</v>
      </c>
      <c r="AV1090" s="2">
        <v>38</v>
      </c>
      <c r="AW1090" s="2">
        <v>8</v>
      </c>
      <c r="AX1090" s="2" t="s">
        <v>74</v>
      </c>
      <c r="AY1090" s="2" t="s">
        <v>74</v>
      </c>
      <c r="AZ1090" s="2" t="s">
        <v>74</v>
      </c>
      <c r="BA1090" s="2" t="s">
        <v>74</v>
      </c>
      <c r="BB1090" s="2">
        <v>3383</v>
      </c>
      <c r="BC1090" s="2">
        <v>3396</v>
      </c>
      <c r="BD1090" s="2" t="s">
        <v>74</v>
      </c>
      <c r="BE1090" s="2" t="s">
        <v>3176</v>
      </c>
      <c r="BF1090" s="2" t="str">
        <f>HYPERLINK("http://dx.doi.org/10.1093/molbev/msab110","http://dx.doi.org/10.1093/molbev/msab110")</f>
        <v>http://dx.doi.org/10.1093/molbev/msab110</v>
      </c>
      <c r="BG1090" s="2" t="s">
        <v>74</v>
      </c>
      <c r="BH1090" s="2" t="s">
        <v>1051</v>
      </c>
      <c r="BI1090" s="2" t="s">
        <v>74</v>
      </c>
      <c r="BJ1090" s="2" t="s">
        <v>74</v>
      </c>
      <c r="BK1090" s="2" t="s">
        <v>74</v>
      </c>
      <c r="BL1090" s="2" t="s">
        <v>74</v>
      </c>
      <c r="BM1090" s="2" t="s">
        <v>74</v>
      </c>
      <c r="BN1090" s="2">
        <v>33871625</v>
      </c>
      <c r="BO1090" s="2" t="s">
        <v>74</v>
      </c>
      <c r="BP1090" s="2" t="s">
        <v>74</v>
      </c>
      <c r="BQ1090" s="2" t="s">
        <v>74</v>
      </c>
      <c r="BR1090" s="2" t="s">
        <v>74</v>
      </c>
      <c r="BS1090" s="2" t="s">
        <v>3177</v>
      </c>
      <c r="BT1090" s="2" t="str">
        <f>HYPERLINK("https%3A%2F%2Fwww.webofscience.com%2Fwos%2Fwoscc%2Ffull-record%2FWOS:000693740300024","View Full Record in Web of Science")</f>
        <v>View Full Record in Web of Science</v>
      </c>
    </row>
    <row r="1091" spans="1:72" s="2" customFormat="1" x14ac:dyDescent="0.4">
      <c r="A1091" s="2" t="s">
        <v>72</v>
      </c>
      <c r="B1091" s="2" t="s">
        <v>2054</v>
      </c>
      <c r="C1091" s="2" t="s">
        <v>74</v>
      </c>
      <c r="D1091" s="2" t="s">
        <v>74</v>
      </c>
      <c r="E1091" s="2" t="s">
        <v>74</v>
      </c>
      <c r="F1091" s="2" t="s">
        <v>2055</v>
      </c>
      <c r="G1091" s="2" t="s">
        <v>74</v>
      </c>
      <c r="H1091" s="2" t="s">
        <v>74</v>
      </c>
      <c r="I1091" s="2" t="s">
        <v>2056</v>
      </c>
      <c r="J1091" s="2" t="s">
        <v>77</v>
      </c>
      <c r="K1091" s="2" t="s">
        <v>74</v>
      </c>
      <c r="L1091" s="2" t="s">
        <v>74</v>
      </c>
      <c r="M1091" s="2" t="s">
        <v>74</v>
      </c>
      <c r="N1091" s="2" t="s">
        <v>74</v>
      </c>
      <c r="O1091" s="2" t="s">
        <v>74</v>
      </c>
      <c r="P1091" s="2" t="s">
        <v>74</v>
      </c>
      <c r="Q1091" s="2" t="s">
        <v>74</v>
      </c>
      <c r="R1091" s="2" t="s">
        <v>74</v>
      </c>
      <c r="S1091" s="2" t="s">
        <v>74</v>
      </c>
      <c r="T1091" s="2" t="s">
        <v>74</v>
      </c>
      <c r="U1091" s="2" t="s">
        <v>74</v>
      </c>
      <c r="V1091" s="5" t="s">
        <v>2057</v>
      </c>
      <c r="W1091" s="2" t="s">
        <v>74</v>
      </c>
      <c r="X1091" s="2" t="s">
        <v>74</v>
      </c>
      <c r="Y1091" s="2" t="s">
        <v>74</v>
      </c>
      <c r="Z1091" s="2" t="s">
        <v>74</v>
      </c>
      <c r="AA1091" s="2" t="s">
        <v>2058</v>
      </c>
      <c r="AB1091" s="2" t="s">
        <v>1610</v>
      </c>
      <c r="AC1091" s="2" t="s">
        <v>74</v>
      </c>
      <c r="AD1091" s="2" t="s">
        <v>74</v>
      </c>
      <c r="AE1091" s="2" t="s">
        <v>74</v>
      </c>
      <c r="AF1091" s="2" t="s">
        <v>74</v>
      </c>
      <c r="AG1091" s="2" t="s">
        <v>74</v>
      </c>
      <c r="AH1091" s="2" t="s">
        <v>74</v>
      </c>
      <c r="AI1091" s="2" t="s">
        <v>74</v>
      </c>
      <c r="AJ1091" s="2" t="s">
        <v>74</v>
      </c>
      <c r="AK1091" s="2" t="s">
        <v>74</v>
      </c>
      <c r="AL1091" s="2" t="s">
        <v>74</v>
      </c>
      <c r="AM1091" s="2" t="s">
        <v>74</v>
      </c>
      <c r="AN1091" s="2" t="s">
        <v>74</v>
      </c>
      <c r="AO1091" s="2" t="s">
        <v>81</v>
      </c>
      <c r="AP1091" s="2" t="s">
        <v>74</v>
      </c>
      <c r="AQ1091" s="2" t="s">
        <v>74</v>
      </c>
      <c r="AR1091" s="2" t="s">
        <v>74</v>
      </c>
      <c r="AS1091" s="2" t="s">
        <v>74</v>
      </c>
      <c r="AT1091" s="2" t="s">
        <v>74</v>
      </c>
      <c r="AU1091" s="2">
        <v>2013</v>
      </c>
      <c r="AV1091" s="2">
        <v>150</v>
      </c>
      <c r="AW1091" s="2">
        <v>2</v>
      </c>
      <c r="AX1091" s="2" t="s">
        <v>74</v>
      </c>
      <c r="AY1091" s="2" t="s">
        <v>74</v>
      </c>
      <c r="AZ1091" s="2" t="s">
        <v>74</v>
      </c>
      <c r="BA1091" s="2" t="s">
        <v>74</v>
      </c>
      <c r="BB1091" s="2">
        <v>215</v>
      </c>
      <c r="BC1091" s="2">
        <v>223</v>
      </c>
      <c r="BD1091" s="2" t="s">
        <v>74</v>
      </c>
      <c r="BE1091" s="2" t="s">
        <v>2059</v>
      </c>
      <c r="BF1091" s="2" t="str">
        <f>HYPERLINK("http://dx.doi.org/10.1163/1568539X-00003046","http://dx.doi.org/10.1163/1568539X-00003046")</f>
        <v>http://dx.doi.org/10.1163/1568539X-00003046</v>
      </c>
      <c r="BG1091" s="2" t="s">
        <v>74</v>
      </c>
      <c r="BH1091" s="2" t="s">
        <v>74</v>
      </c>
      <c r="BI1091" s="2" t="s">
        <v>74</v>
      </c>
      <c r="BJ1091" s="2" t="s">
        <v>74</v>
      </c>
      <c r="BK1091" s="2" t="s">
        <v>74</v>
      </c>
      <c r="BL1091" s="2" t="s">
        <v>74</v>
      </c>
      <c r="BM1091" s="2" t="s">
        <v>74</v>
      </c>
      <c r="BN1091" s="2" t="s">
        <v>74</v>
      </c>
      <c r="BO1091" s="2" t="s">
        <v>74</v>
      </c>
      <c r="BP1091" s="2" t="s">
        <v>74</v>
      </c>
      <c r="BQ1091" s="2" t="s">
        <v>74</v>
      </c>
      <c r="BR1091" s="2" t="s">
        <v>74</v>
      </c>
      <c r="BS1091" s="2" t="s">
        <v>2060</v>
      </c>
      <c r="BT1091" s="2" t="str">
        <f>HYPERLINK("https%3A%2F%2Fwww.webofscience.com%2Fwos%2Fwoscc%2Ffull-record%2FWOS:000318051100006","View Full Record in Web of Science")</f>
        <v>View Full Record in Web of Science</v>
      </c>
    </row>
    <row r="1092" spans="1:72" s="2" customFormat="1" x14ac:dyDescent="0.4">
      <c r="A1092" s="2" t="s">
        <v>72</v>
      </c>
      <c r="B1092" s="2" t="s">
        <v>1753</v>
      </c>
      <c r="C1092" s="2" t="s">
        <v>74</v>
      </c>
      <c r="D1092" s="2" t="s">
        <v>74</v>
      </c>
      <c r="E1092" s="2" t="s">
        <v>74</v>
      </c>
      <c r="F1092" s="2" t="s">
        <v>1753</v>
      </c>
      <c r="G1092" s="2" t="s">
        <v>74</v>
      </c>
      <c r="H1092" s="2" t="s">
        <v>74</v>
      </c>
      <c r="I1092" s="2" t="s">
        <v>1754</v>
      </c>
      <c r="J1092" s="2" t="s">
        <v>1755</v>
      </c>
      <c r="K1092" s="2" t="s">
        <v>74</v>
      </c>
      <c r="L1092" s="2" t="s">
        <v>74</v>
      </c>
      <c r="M1092" s="2" t="s">
        <v>74</v>
      </c>
      <c r="N1092" s="2" t="s">
        <v>74</v>
      </c>
      <c r="O1092" s="2" t="s">
        <v>74</v>
      </c>
      <c r="P1092" s="2" t="s">
        <v>74</v>
      </c>
      <c r="Q1092" s="2" t="s">
        <v>74</v>
      </c>
      <c r="R1092" s="2" t="s">
        <v>74</v>
      </c>
      <c r="S1092" s="2" t="s">
        <v>74</v>
      </c>
      <c r="T1092" s="2" t="s">
        <v>74</v>
      </c>
      <c r="U1092" s="2" t="s">
        <v>74</v>
      </c>
      <c r="V1092" s="5" t="s">
        <v>1756</v>
      </c>
      <c r="W1092" s="2" t="s">
        <v>74</v>
      </c>
      <c r="X1092" s="2" t="s">
        <v>74</v>
      </c>
      <c r="Y1092" s="2" t="s">
        <v>74</v>
      </c>
      <c r="Z1092" s="2" t="s">
        <v>74</v>
      </c>
      <c r="AA1092" s="2" t="s">
        <v>1757</v>
      </c>
      <c r="AB1092" s="2" t="s">
        <v>1758</v>
      </c>
      <c r="AC1092" s="2" t="s">
        <v>74</v>
      </c>
      <c r="AD1092" s="2" t="s">
        <v>74</v>
      </c>
      <c r="AE1092" s="2" t="s">
        <v>74</v>
      </c>
      <c r="AF1092" s="2" t="s">
        <v>74</v>
      </c>
      <c r="AG1092" s="2" t="s">
        <v>74</v>
      </c>
      <c r="AH1092" s="2" t="s">
        <v>74</v>
      </c>
      <c r="AI1092" s="2" t="s">
        <v>74</v>
      </c>
      <c r="AJ1092" s="2" t="s">
        <v>74</v>
      </c>
      <c r="AK1092" s="2" t="s">
        <v>74</v>
      </c>
      <c r="AL1092" s="2" t="s">
        <v>74</v>
      </c>
      <c r="AM1092" s="2" t="s">
        <v>74</v>
      </c>
      <c r="AN1092" s="2" t="s">
        <v>74</v>
      </c>
      <c r="AO1092" s="2" t="s">
        <v>1759</v>
      </c>
      <c r="AP1092" s="2" t="s">
        <v>1760</v>
      </c>
      <c r="AQ1092" s="2" t="s">
        <v>74</v>
      </c>
      <c r="AR1092" s="2" t="s">
        <v>74</v>
      </c>
      <c r="AS1092" s="2" t="s">
        <v>74</v>
      </c>
      <c r="AT1092" s="2" t="s">
        <v>352</v>
      </c>
      <c r="AU1092" s="2">
        <v>2002</v>
      </c>
      <c r="AV1092" s="2">
        <v>15</v>
      </c>
      <c r="AW1092" s="2">
        <v>5</v>
      </c>
      <c r="AX1092" s="2" t="s">
        <v>74</v>
      </c>
      <c r="AY1092" s="2" t="s">
        <v>74</v>
      </c>
      <c r="AZ1092" s="2" t="s">
        <v>74</v>
      </c>
      <c r="BA1092" s="2" t="s">
        <v>74</v>
      </c>
      <c r="BB1092" s="2">
        <v>675</v>
      </c>
      <c r="BC1092" s="2">
        <v>687</v>
      </c>
      <c r="BD1092" s="2" t="s">
        <v>74</v>
      </c>
      <c r="BE1092" s="2" t="s">
        <v>1761</v>
      </c>
      <c r="BF1092" s="2" t="str">
        <f>HYPERLINK("http://dx.doi.org/10.1023/A:1020747907490","http://dx.doi.org/10.1023/A:1020747907490")</f>
        <v>http://dx.doi.org/10.1023/A:1020747907490</v>
      </c>
      <c r="BG1092" s="2" t="s">
        <v>74</v>
      </c>
      <c r="BH1092" s="2" t="s">
        <v>74</v>
      </c>
      <c r="BI1092" s="2" t="s">
        <v>74</v>
      </c>
      <c r="BJ1092" s="2" t="s">
        <v>74</v>
      </c>
      <c r="BK1092" s="2" t="s">
        <v>74</v>
      </c>
      <c r="BL1092" s="2" t="s">
        <v>74</v>
      </c>
      <c r="BM1092" s="2" t="s">
        <v>74</v>
      </c>
      <c r="BN1092" s="2" t="s">
        <v>74</v>
      </c>
      <c r="BO1092" s="2" t="s">
        <v>74</v>
      </c>
      <c r="BP1092" s="2" t="s">
        <v>74</v>
      </c>
      <c r="BQ1092" s="2" t="s">
        <v>74</v>
      </c>
      <c r="BR1092" s="2" t="s">
        <v>74</v>
      </c>
      <c r="BS1092" s="2" t="s">
        <v>1762</v>
      </c>
      <c r="BT1092" s="2" t="str">
        <f>HYPERLINK("https%3A%2F%2Fwww.webofscience.com%2Fwos%2Fwoscc%2Ffull-record%2FWOS:000178788900005","View Full Record in Web of Science")</f>
        <v>View Full Record in Web of Science</v>
      </c>
    </row>
    <row r="1093" spans="1:72" s="2" customFormat="1" x14ac:dyDescent="0.4">
      <c r="A1093" s="2" t="s">
        <v>72</v>
      </c>
      <c r="B1093" s="2" t="s">
        <v>8222</v>
      </c>
      <c r="C1093" s="2" t="s">
        <v>74</v>
      </c>
      <c r="D1093" s="2" t="s">
        <v>74</v>
      </c>
      <c r="E1093" s="2" t="s">
        <v>74</v>
      </c>
      <c r="F1093" s="2" t="s">
        <v>8222</v>
      </c>
      <c r="G1093" s="2" t="s">
        <v>74</v>
      </c>
      <c r="H1093" s="2" t="s">
        <v>74</v>
      </c>
      <c r="I1093" s="2" t="s">
        <v>8223</v>
      </c>
      <c r="J1093" s="2" t="s">
        <v>140</v>
      </c>
      <c r="K1093" s="2" t="s">
        <v>74</v>
      </c>
      <c r="L1093" s="2" t="s">
        <v>74</v>
      </c>
      <c r="M1093" s="2" t="s">
        <v>74</v>
      </c>
      <c r="N1093" s="2" t="s">
        <v>74</v>
      </c>
      <c r="O1093" s="2" t="s">
        <v>74</v>
      </c>
      <c r="P1093" s="2" t="s">
        <v>74</v>
      </c>
      <c r="Q1093" s="2" t="s">
        <v>74</v>
      </c>
      <c r="R1093" s="2" t="s">
        <v>74</v>
      </c>
      <c r="S1093" s="2" t="s">
        <v>74</v>
      </c>
      <c r="T1093" s="2" t="s">
        <v>74</v>
      </c>
      <c r="U1093" s="2" t="s">
        <v>74</v>
      </c>
      <c r="V1093" s="5" t="s">
        <v>8224</v>
      </c>
      <c r="W1093" s="2" t="s">
        <v>74</v>
      </c>
      <c r="X1093" s="2" t="s">
        <v>74</v>
      </c>
      <c r="Y1093" s="2" t="s">
        <v>74</v>
      </c>
      <c r="Z1093" s="2" t="s">
        <v>74</v>
      </c>
      <c r="AA1093" s="2" t="s">
        <v>74</v>
      </c>
      <c r="AB1093" s="2" t="s">
        <v>74</v>
      </c>
      <c r="AC1093" s="2" t="s">
        <v>74</v>
      </c>
      <c r="AD1093" s="2" t="s">
        <v>74</v>
      </c>
      <c r="AE1093" s="2" t="s">
        <v>74</v>
      </c>
      <c r="AF1093" s="2" t="s">
        <v>74</v>
      </c>
      <c r="AG1093" s="2" t="s">
        <v>74</v>
      </c>
      <c r="AH1093" s="2" t="s">
        <v>74</v>
      </c>
      <c r="AI1093" s="2" t="s">
        <v>74</v>
      </c>
      <c r="AJ1093" s="2" t="s">
        <v>74</v>
      </c>
      <c r="AK1093" s="2" t="s">
        <v>74</v>
      </c>
      <c r="AL1093" s="2" t="s">
        <v>74</v>
      </c>
      <c r="AM1093" s="2" t="s">
        <v>74</v>
      </c>
      <c r="AN1093" s="2" t="s">
        <v>74</v>
      </c>
      <c r="AO1093" s="2" t="s">
        <v>143</v>
      </c>
      <c r="AP1093" s="2" t="s">
        <v>74</v>
      </c>
      <c r="AQ1093" s="2" t="s">
        <v>74</v>
      </c>
      <c r="AR1093" s="2" t="s">
        <v>74</v>
      </c>
      <c r="AS1093" s="2" t="s">
        <v>74</v>
      </c>
      <c r="AT1093" s="2" t="s">
        <v>145</v>
      </c>
      <c r="AU1093" s="2">
        <v>1996</v>
      </c>
      <c r="AV1093" s="2">
        <v>52</v>
      </c>
      <c r="AW1093" s="2" t="s">
        <v>74</v>
      </c>
      <c r="AX1093" s="2">
        <v>2</v>
      </c>
      <c r="AY1093" s="2" t="s">
        <v>74</v>
      </c>
      <c r="AZ1093" s="2" t="s">
        <v>74</v>
      </c>
      <c r="BA1093" s="2" t="s">
        <v>74</v>
      </c>
      <c r="BB1093" s="2">
        <v>371</v>
      </c>
      <c r="BC1093" s="2">
        <v>378</v>
      </c>
      <c r="BD1093" s="2" t="s">
        <v>74</v>
      </c>
      <c r="BE1093" s="2" t="s">
        <v>8225</v>
      </c>
      <c r="BF1093" s="2" t="str">
        <f>HYPERLINK("http://dx.doi.org/10.1006/anbe.1996.0181","http://dx.doi.org/10.1006/anbe.1996.0181")</f>
        <v>http://dx.doi.org/10.1006/anbe.1996.0181</v>
      </c>
      <c r="BG1093" s="2" t="s">
        <v>74</v>
      </c>
      <c r="BH1093" s="2" t="s">
        <v>74</v>
      </c>
      <c r="BI1093" s="2" t="s">
        <v>74</v>
      </c>
      <c r="BJ1093" s="2" t="s">
        <v>74</v>
      </c>
      <c r="BK1093" s="2" t="s">
        <v>74</v>
      </c>
      <c r="BL1093" s="2" t="s">
        <v>74</v>
      </c>
      <c r="BM1093" s="2" t="s">
        <v>74</v>
      </c>
      <c r="BN1093" s="2" t="s">
        <v>74</v>
      </c>
      <c r="BO1093" s="2" t="s">
        <v>74</v>
      </c>
      <c r="BP1093" s="2" t="s">
        <v>74</v>
      </c>
      <c r="BQ1093" s="2" t="s">
        <v>74</v>
      </c>
      <c r="BR1093" s="2" t="s">
        <v>74</v>
      </c>
      <c r="BS1093" s="2" t="s">
        <v>8226</v>
      </c>
      <c r="BT1093" s="2" t="str">
        <f>HYPERLINK("https%3A%2F%2Fwww.webofscience.com%2Fwos%2Fwoscc%2Ffull-record%2FWOS:A1996VH71700013","View Full Record in Web of Science")</f>
        <v>View Full Record in Web of Science</v>
      </c>
    </row>
    <row r="1094" spans="1:72" s="2" customFormat="1" x14ac:dyDescent="0.4">
      <c r="A1094" s="2" t="s">
        <v>72</v>
      </c>
      <c r="B1094" s="2" t="s">
        <v>3466</v>
      </c>
      <c r="C1094" s="2" t="s">
        <v>74</v>
      </c>
      <c r="D1094" s="2" t="s">
        <v>74</v>
      </c>
      <c r="E1094" s="2" t="s">
        <v>74</v>
      </c>
      <c r="F1094" s="2" t="s">
        <v>3466</v>
      </c>
      <c r="G1094" s="2" t="s">
        <v>74</v>
      </c>
      <c r="H1094" s="2" t="s">
        <v>74</v>
      </c>
      <c r="I1094" s="2" t="s">
        <v>3467</v>
      </c>
      <c r="J1094" s="2" t="s">
        <v>77</v>
      </c>
      <c r="K1094" s="2" t="s">
        <v>74</v>
      </c>
      <c r="L1094" s="2" t="s">
        <v>74</v>
      </c>
      <c r="M1094" s="2" t="s">
        <v>74</v>
      </c>
      <c r="N1094" s="2" t="s">
        <v>74</v>
      </c>
      <c r="O1094" s="2" t="s">
        <v>74</v>
      </c>
      <c r="P1094" s="2" t="s">
        <v>74</v>
      </c>
      <c r="Q1094" s="2" t="s">
        <v>74</v>
      </c>
      <c r="R1094" s="2" t="s">
        <v>74</v>
      </c>
      <c r="S1094" s="2" t="s">
        <v>74</v>
      </c>
      <c r="T1094" s="2" t="s">
        <v>74</v>
      </c>
      <c r="U1094" s="2" t="s">
        <v>74</v>
      </c>
      <c r="V1094" s="5" t="s">
        <v>3468</v>
      </c>
      <c r="W1094" s="2" t="s">
        <v>74</v>
      </c>
      <c r="X1094" s="2" t="s">
        <v>74</v>
      </c>
      <c r="Y1094" s="2" t="s">
        <v>74</v>
      </c>
      <c r="Z1094" s="2" t="s">
        <v>74</v>
      </c>
      <c r="AA1094" s="2" t="s">
        <v>74</v>
      </c>
      <c r="AB1094" s="2" t="s">
        <v>74</v>
      </c>
      <c r="AC1094" s="2" t="s">
        <v>74</v>
      </c>
      <c r="AD1094" s="2" t="s">
        <v>74</v>
      </c>
      <c r="AE1094" s="2" t="s">
        <v>74</v>
      </c>
      <c r="AF1094" s="2" t="s">
        <v>74</v>
      </c>
      <c r="AG1094" s="2" t="s">
        <v>74</v>
      </c>
      <c r="AH1094" s="2" t="s">
        <v>74</v>
      </c>
      <c r="AI1094" s="2" t="s">
        <v>74</v>
      </c>
      <c r="AJ1094" s="2" t="s">
        <v>74</v>
      </c>
      <c r="AK1094" s="2" t="s">
        <v>74</v>
      </c>
      <c r="AL1094" s="2" t="s">
        <v>74</v>
      </c>
      <c r="AM1094" s="2" t="s">
        <v>74</v>
      </c>
      <c r="AN1094" s="2" t="s">
        <v>74</v>
      </c>
      <c r="AO1094" s="2" t="s">
        <v>81</v>
      </c>
      <c r="AP1094" s="2" t="s">
        <v>82</v>
      </c>
      <c r="AQ1094" s="2" t="s">
        <v>74</v>
      </c>
      <c r="AR1094" s="2" t="s">
        <v>74</v>
      </c>
      <c r="AS1094" s="2" t="s">
        <v>74</v>
      </c>
      <c r="AT1094" s="2" t="s">
        <v>255</v>
      </c>
      <c r="AU1094" s="2">
        <v>2006</v>
      </c>
      <c r="AV1094" s="2">
        <v>143</v>
      </c>
      <c r="AW1094" s="2" t="s">
        <v>74</v>
      </c>
      <c r="AX1094" s="2">
        <v>1</v>
      </c>
      <c r="AY1094" s="2" t="s">
        <v>74</v>
      </c>
      <c r="AZ1094" s="2" t="s">
        <v>74</v>
      </c>
      <c r="BA1094" s="2" t="s">
        <v>74</v>
      </c>
      <c r="BB1094" s="2">
        <v>33</v>
      </c>
      <c r="BC1094" s="2">
        <v>56</v>
      </c>
      <c r="BD1094" s="2" t="s">
        <v>74</v>
      </c>
      <c r="BE1094" s="2" t="s">
        <v>3469</v>
      </c>
      <c r="BF1094" s="2" t="str">
        <f>HYPERLINK("http://dx.doi.org/10.1163/156853906775133623","http://dx.doi.org/10.1163/156853906775133623")</f>
        <v>http://dx.doi.org/10.1163/156853906775133623</v>
      </c>
      <c r="BG1094" s="2" t="s">
        <v>74</v>
      </c>
      <c r="BH1094" s="2" t="s">
        <v>74</v>
      </c>
      <c r="BI1094" s="2" t="s">
        <v>74</v>
      </c>
      <c r="BJ1094" s="2" t="s">
        <v>74</v>
      </c>
      <c r="BK1094" s="2" t="s">
        <v>74</v>
      </c>
      <c r="BL1094" s="2" t="s">
        <v>74</v>
      </c>
      <c r="BM1094" s="2" t="s">
        <v>74</v>
      </c>
      <c r="BN1094" s="2" t="s">
        <v>74</v>
      </c>
      <c r="BO1094" s="2" t="s">
        <v>74</v>
      </c>
      <c r="BP1094" s="2" t="s">
        <v>74</v>
      </c>
      <c r="BQ1094" s="2" t="s">
        <v>74</v>
      </c>
      <c r="BR1094" s="2" t="s">
        <v>74</v>
      </c>
      <c r="BS1094" s="2" t="s">
        <v>3470</v>
      </c>
      <c r="BT1094" s="2" t="str">
        <f>HYPERLINK("https%3A%2F%2Fwww.webofscience.com%2Fwos%2Fwoscc%2Ffull-record%2FWOS:000235545400003","View Full Record in Web of Science")</f>
        <v>View Full Record in Web of Science</v>
      </c>
    </row>
    <row r="1095" spans="1:72" s="2" customFormat="1" x14ac:dyDescent="0.4">
      <c r="A1095" s="2" t="s">
        <v>72</v>
      </c>
      <c r="B1095" s="2" t="s">
        <v>7876</v>
      </c>
      <c r="C1095" s="2" t="s">
        <v>74</v>
      </c>
      <c r="D1095" s="2" t="s">
        <v>74</v>
      </c>
      <c r="E1095" s="2" t="s">
        <v>74</v>
      </c>
      <c r="F1095" s="2" t="s">
        <v>7876</v>
      </c>
      <c r="G1095" s="2" t="s">
        <v>74</v>
      </c>
      <c r="H1095" s="2" t="s">
        <v>74</v>
      </c>
      <c r="I1095" s="2" t="s">
        <v>7877</v>
      </c>
      <c r="J1095" s="2" t="s">
        <v>171</v>
      </c>
      <c r="K1095" s="2" t="s">
        <v>74</v>
      </c>
      <c r="L1095" s="2" t="s">
        <v>74</v>
      </c>
      <c r="M1095" s="2" t="s">
        <v>74</v>
      </c>
      <c r="N1095" s="2" t="s">
        <v>74</v>
      </c>
      <c r="O1095" s="2" t="s">
        <v>74</v>
      </c>
      <c r="P1095" s="2" t="s">
        <v>74</v>
      </c>
      <c r="Q1095" s="2" t="s">
        <v>74</v>
      </c>
      <c r="R1095" s="2" t="s">
        <v>74</v>
      </c>
      <c r="S1095" s="2" t="s">
        <v>74</v>
      </c>
      <c r="T1095" s="2" t="s">
        <v>74</v>
      </c>
      <c r="U1095" s="2" t="s">
        <v>74</v>
      </c>
      <c r="V1095" s="5" t="s">
        <v>7878</v>
      </c>
      <c r="W1095" s="2" t="s">
        <v>74</v>
      </c>
      <c r="X1095" s="2" t="s">
        <v>74</v>
      </c>
      <c r="Y1095" s="2" t="s">
        <v>74</v>
      </c>
      <c r="Z1095" s="2" t="s">
        <v>74</v>
      </c>
      <c r="AA1095" s="2" t="s">
        <v>7879</v>
      </c>
      <c r="AB1095" s="2" t="s">
        <v>7880</v>
      </c>
      <c r="AC1095" s="2" t="s">
        <v>74</v>
      </c>
      <c r="AD1095" s="2" t="s">
        <v>74</v>
      </c>
      <c r="AE1095" s="2" t="s">
        <v>74</v>
      </c>
      <c r="AF1095" s="2" t="s">
        <v>74</v>
      </c>
      <c r="AG1095" s="2" t="s">
        <v>74</v>
      </c>
      <c r="AH1095" s="2" t="s">
        <v>74</v>
      </c>
      <c r="AI1095" s="2" t="s">
        <v>74</v>
      </c>
      <c r="AJ1095" s="2" t="s">
        <v>74</v>
      </c>
      <c r="AK1095" s="2" t="s">
        <v>74</v>
      </c>
      <c r="AL1095" s="2" t="s">
        <v>74</v>
      </c>
      <c r="AM1095" s="2" t="s">
        <v>74</v>
      </c>
      <c r="AN1095" s="2" t="s">
        <v>74</v>
      </c>
      <c r="AO1095" s="2" t="s">
        <v>173</v>
      </c>
      <c r="AP1095" s="2" t="s">
        <v>174</v>
      </c>
      <c r="AQ1095" s="2" t="s">
        <v>74</v>
      </c>
      <c r="AR1095" s="2" t="s">
        <v>74</v>
      </c>
      <c r="AS1095" s="2" t="s">
        <v>74</v>
      </c>
      <c r="AT1095" s="2" t="s">
        <v>175</v>
      </c>
      <c r="AU1095" s="2">
        <v>1992</v>
      </c>
      <c r="AV1095" s="2">
        <v>46</v>
      </c>
      <c r="AW1095" s="2">
        <v>5</v>
      </c>
      <c r="AX1095" s="2" t="s">
        <v>74</v>
      </c>
      <c r="AY1095" s="2" t="s">
        <v>74</v>
      </c>
      <c r="AZ1095" s="2" t="s">
        <v>74</v>
      </c>
      <c r="BA1095" s="2" t="s">
        <v>74</v>
      </c>
      <c r="BB1095" s="2">
        <v>1421</v>
      </c>
      <c r="BC1095" s="2">
        <v>1442</v>
      </c>
      <c r="BD1095" s="2" t="s">
        <v>74</v>
      </c>
      <c r="BE1095" s="2" t="s">
        <v>7881</v>
      </c>
      <c r="BF1095" s="2" t="str">
        <f>HYPERLINK("http://dx.doi.org/10.2307/2409947","http://dx.doi.org/10.2307/2409947")</f>
        <v>http://dx.doi.org/10.2307/2409947</v>
      </c>
      <c r="BG1095" s="2" t="s">
        <v>74</v>
      </c>
      <c r="BH1095" s="2" t="s">
        <v>74</v>
      </c>
      <c r="BI1095" s="2" t="s">
        <v>74</v>
      </c>
      <c r="BJ1095" s="2" t="s">
        <v>74</v>
      </c>
      <c r="BK1095" s="2" t="s">
        <v>74</v>
      </c>
      <c r="BL1095" s="2" t="s">
        <v>74</v>
      </c>
      <c r="BM1095" s="2" t="s">
        <v>74</v>
      </c>
      <c r="BN1095" s="2">
        <v>28569004</v>
      </c>
      <c r="BO1095" s="2" t="s">
        <v>74</v>
      </c>
      <c r="BP1095" s="2" t="s">
        <v>74</v>
      </c>
      <c r="BQ1095" s="2" t="s">
        <v>74</v>
      </c>
      <c r="BR1095" s="2" t="s">
        <v>74</v>
      </c>
      <c r="BS1095" s="2" t="s">
        <v>7882</v>
      </c>
      <c r="BT1095" s="2" t="str">
        <f>HYPERLINK("https%3A%2F%2Fwww.webofscience.com%2Fwos%2Fwoscc%2Ffull-record%2FWOS:A1992JV37100013","View Full Record in Web of Science")</f>
        <v>View Full Record in Web of Science</v>
      </c>
    </row>
    <row r="1096" spans="1:72" s="2" customFormat="1" x14ac:dyDescent="0.4">
      <c r="A1096" s="2" t="s">
        <v>72</v>
      </c>
      <c r="B1096" s="2" t="s">
        <v>3853</v>
      </c>
      <c r="C1096" s="2" t="s">
        <v>74</v>
      </c>
      <c r="D1096" s="2" t="s">
        <v>74</v>
      </c>
      <c r="E1096" s="2" t="s">
        <v>74</v>
      </c>
      <c r="F1096" s="2" t="s">
        <v>3853</v>
      </c>
      <c r="G1096" s="2" t="s">
        <v>74</v>
      </c>
      <c r="H1096" s="2" t="s">
        <v>74</v>
      </c>
      <c r="I1096" s="2" t="s">
        <v>3854</v>
      </c>
      <c r="J1096" s="2" t="s">
        <v>3855</v>
      </c>
      <c r="K1096" s="2" t="s">
        <v>74</v>
      </c>
      <c r="L1096" s="2" t="s">
        <v>74</v>
      </c>
      <c r="M1096" s="2" t="s">
        <v>74</v>
      </c>
      <c r="N1096" s="2" t="s">
        <v>74</v>
      </c>
      <c r="O1096" s="2" t="s">
        <v>74</v>
      </c>
      <c r="P1096" s="2" t="s">
        <v>74</v>
      </c>
      <c r="Q1096" s="2" t="s">
        <v>74</v>
      </c>
      <c r="R1096" s="2" t="s">
        <v>74</v>
      </c>
      <c r="S1096" s="2" t="s">
        <v>74</v>
      </c>
      <c r="T1096" s="2" t="s">
        <v>74</v>
      </c>
      <c r="U1096" s="2" t="s">
        <v>74</v>
      </c>
      <c r="V1096" s="5" t="s">
        <v>3856</v>
      </c>
      <c r="W1096" s="2" t="s">
        <v>74</v>
      </c>
      <c r="X1096" s="2" t="s">
        <v>74</v>
      </c>
      <c r="Y1096" s="2" t="s">
        <v>74</v>
      </c>
      <c r="Z1096" s="2" t="s">
        <v>74</v>
      </c>
      <c r="AA1096" s="2" t="s">
        <v>74</v>
      </c>
      <c r="AB1096" s="2" t="s">
        <v>74</v>
      </c>
      <c r="AC1096" s="2" t="s">
        <v>74</v>
      </c>
      <c r="AD1096" s="2" t="s">
        <v>74</v>
      </c>
      <c r="AE1096" s="2" t="s">
        <v>74</v>
      </c>
      <c r="AF1096" s="2" t="s">
        <v>74</v>
      </c>
      <c r="AG1096" s="2" t="s">
        <v>74</v>
      </c>
      <c r="AH1096" s="2" t="s">
        <v>74</v>
      </c>
      <c r="AI1096" s="2" t="s">
        <v>74</v>
      </c>
      <c r="AJ1096" s="2" t="s">
        <v>74</v>
      </c>
      <c r="AK1096" s="2" t="s">
        <v>74</v>
      </c>
      <c r="AL1096" s="2" t="s">
        <v>74</v>
      </c>
      <c r="AM1096" s="2" t="s">
        <v>74</v>
      </c>
      <c r="AN1096" s="2" t="s">
        <v>74</v>
      </c>
      <c r="AO1096" s="2" t="s">
        <v>3857</v>
      </c>
      <c r="AP1096" s="2" t="s">
        <v>74</v>
      </c>
      <c r="AQ1096" s="2" t="s">
        <v>74</v>
      </c>
      <c r="AR1096" s="2" t="s">
        <v>74</v>
      </c>
      <c r="AS1096" s="2" t="s">
        <v>74</v>
      </c>
      <c r="AT1096" s="2" t="s">
        <v>213</v>
      </c>
      <c r="AU1096" s="2">
        <v>1991</v>
      </c>
      <c r="AV1096" s="2">
        <v>9</v>
      </c>
      <c r="AW1096" s="2" t="s">
        <v>548</v>
      </c>
      <c r="AX1096" s="2" t="s">
        <v>74</v>
      </c>
      <c r="AY1096" s="2" t="s">
        <v>74</v>
      </c>
      <c r="AZ1096" s="2" t="s">
        <v>74</v>
      </c>
      <c r="BA1096" s="2" t="s">
        <v>74</v>
      </c>
      <c r="BB1096" s="2">
        <v>20</v>
      </c>
      <c r="BC1096" s="2">
        <v>29</v>
      </c>
      <c r="BD1096" s="2" t="s">
        <v>74</v>
      </c>
      <c r="BE1096" s="2" t="s">
        <v>3858</v>
      </c>
      <c r="BF1096" s="2" t="str">
        <f>HYPERLINK("http://dx.doi.org/10.3727/015613890791749136","http://dx.doi.org/10.3727/015613890791749136")</f>
        <v>http://dx.doi.org/10.3727/015613890791749136</v>
      </c>
      <c r="BG1096" s="2" t="s">
        <v>74</v>
      </c>
      <c r="BH1096" s="2" t="s">
        <v>74</v>
      </c>
      <c r="BI1096" s="2" t="s">
        <v>74</v>
      </c>
      <c r="BJ1096" s="2" t="s">
        <v>74</v>
      </c>
      <c r="BK1096" s="2" t="s">
        <v>74</v>
      </c>
      <c r="BL1096" s="2" t="s">
        <v>74</v>
      </c>
      <c r="BM1096" s="2" t="s">
        <v>74</v>
      </c>
      <c r="BN1096" s="2" t="s">
        <v>74</v>
      </c>
      <c r="BO1096" s="2" t="s">
        <v>74</v>
      </c>
      <c r="BP1096" s="2" t="s">
        <v>74</v>
      </c>
      <c r="BQ1096" s="2" t="s">
        <v>74</v>
      </c>
      <c r="BR1096" s="2" t="s">
        <v>74</v>
      </c>
      <c r="BS1096" s="2" t="s">
        <v>3859</v>
      </c>
      <c r="BT1096" s="2" t="str">
        <f>HYPERLINK("https%3A%2F%2Fwww.webofscience.com%2Fwos%2Fwoscc%2Ffull-record%2FWOS:A1991HW66600004","View Full Record in Web of Science")</f>
        <v>View Full Record in Web of Science</v>
      </c>
    </row>
    <row r="1097" spans="1:72" s="2" customFormat="1" x14ac:dyDescent="0.4">
      <c r="A1097" s="2" t="s">
        <v>72</v>
      </c>
      <c r="B1097" s="2" t="s">
        <v>5926</v>
      </c>
      <c r="C1097" s="2" t="s">
        <v>74</v>
      </c>
      <c r="D1097" s="2" t="s">
        <v>74</v>
      </c>
      <c r="E1097" s="2" t="s">
        <v>74</v>
      </c>
      <c r="F1097" s="2" t="s">
        <v>5927</v>
      </c>
      <c r="G1097" s="2" t="s">
        <v>74</v>
      </c>
      <c r="H1097" s="2" t="s">
        <v>74</v>
      </c>
      <c r="I1097" s="2" t="s">
        <v>5928</v>
      </c>
      <c r="J1097" s="2" t="s">
        <v>333</v>
      </c>
      <c r="K1097" s="2" t="s">
        <v>74</v>
      </c>
      <c r="L1097" s="2" t="s">
        <v>74</v>
      </c>
      <c r="M1097" s="2" t="s">
        <v>74</v>
      </c>
      <c r="N1097" s="2" t="s">
        <v>74</v>
      </c>
      <c r="O1097" s="2" t="s">
        <v>74</v>
      </c>
      <c r="P1097" s="2" t="s">
        <v>74</v>
      </c>
      <c r="Q1097" s="2" t="s">
        <v>74</v>
      </c>
      <c r="R1097" s="2" t="s">
        <v>74</v>
      </c>
      <c r="S1097" s="2" t="s">
        <v>74</v>
      </c>
      <c r="T1097" s="2" t="s">
        <v>74</v>
      </c>
      <c r="U1097" s="2" t="s">
        <v>74</v>
      </c>
      <c r="V1097" s="5" t="s">
        <v>5929</v>
      </c>
      <c r="W1097" s="2" t="s">
        <v>74</v>
      </c>
      <c r="X1097" s="2" t="s">
        <v>74</v>
      </c>
      <c r="Y1097" s="2" t="s">
        <v>74</v>
      </c>
      <c r="Z1097" s="2" t="s">
        <v>74</v>
      </c>
      <c r="AA1097" s="2" t="s">
        <v>5930</v>
      </c>
      <c r="AB1097" s="2" t="s">
        <v>5931</v>
      </c>
      <c r="AC1097" s="2" t="s">
        <v>74</v>
      </c>
      <c r="AD1097" s="2" t="s">
        <v>74</v>
      </c>
      <c r="AE1097" s="2" t="s">
        <v>74</v>
      </c>
      <c r="AF1097" s="2" t="s">
        <v>74</v>
      </c>
      <c r="AG1097" s="2" t="s">
        <v>74</v>
      </c>
      <c r="AH1097" s="2" t="s">
        <v>74</v>
      </c>
      <c r="AI1097" s="2" t="s">
        <v>74</v>
      </c>
      <c r="AJ1097" s="2" t="s">
        <v>74</v>
      </c>
      <c r="AK1097" s="2" t="s">
        <v>74</v>
      </c>
      <c r="AL1097" s="2" t="s">
        <v>74</v>
      </c>
      <c r="AM1097" s="2" t="s">
        <v>74</v>
      </c>
      <c r="AN1097" s="2" t="s">
        <v>74</v>
      </c>
      <c r="AO1097" s="2" t="s">
        <v>337</v>
      </c>
      <c r="AP1097" s="2" t="s">
        <v>338</v>
      </c>
      <c r="AQ1097" s="2" t="s">
        <v>74</v>
      </c>
      <c r="AR1097" s="2" t="s">
        <v>74</v>
      </c>
      <c r="AS1097" s="2" t="s">
        <v>74</v>
      </c>
      <c r="AT1097" s="2" t="s">
        <v>808</v>
      </c>
      <c r="AU1097" s="2">
        <v>2015</v>
      </c>
      <c r="AV1097" s="2">
        <v>26</v>
      </c>
      <c r="AW1097" s="2">
        <v>3</v>
      </c>
      <c r="AX1097" s="2" t="s">
        <v>74</v>
      </c>
      <c r="AY1097" s="2" t="s">
        <v>74</v>
      </c>
      <c r="AZ1097" s="2" t="s">
        <v>74</v>
      </c>
      <c r="BA1097" s="2" t="s">
        <v>74</v>
      </c>
      <c r="BB1097" s="2">
        <v>820</v>
      </c>
      <c r="BC1097" s="2">
        <v>827</v>
      </c>
      <c r="BD1097" s="2" t="s">
        <v>74</v>
      </c>
      <c r="BE1097" s="2" t="s">
        <v>5932</v>
      </c>
      <c r="BF1097" s="2" t="str">
        <f>HYPERLINK("http://dx.doi.org/10.1093/beheco/arv019","http://dx.doi.org/10.1093/beheco/arv019")</f>
        <v>http://dx.doi.org/10.1093/beheco/arv019</v>
      </c>
      <c r="BG1097" s="2" t="s">
        <v>74</v>
      </c>
      <c r="BH1097" s="2" t="s">
        <v>74</v>
      </c>
      <c r="BI1097" s="2" t="s">
        <v>74</v>
      </c>
      <c r="BJ1097" s="2" t="s">
        <v>74</v>
      </c>
      <c r="BK1097" s="2" t="s">
        <v>74</v>
      </c>
      <c r="BL1097" s="2" t="s">
        <v>74</v>
      </c>
      <c r="BM1097" s="2" t="s">
        <v>74</v>
      </c>
      <c r="BN1097" s="2" t="s">
        <v>74</v>
      </c>
      <c r="BO1097" s="2" t="s">
        <v>74</v>
      </c>
      <c r="BP1097" s="2" t="s">
        <v>74</v>
      </c>
      <c r="BQ1097" s="2" t="s">
        <v>74</v>
      </c>
      <c r="BR1097" s="2" t="s">
        <v>74</v>
      </c>
      <c r="BS1097" s="2" t="s">
        <v>5933</v>
      </c>
      <c r="BT1097" s="2" t="str">
        <f>HYPERLINK("https%3A%2F%2Fwww.webofscience.com%2Fwos%2Fwoscc%2Ffull-record%2FWOS:000356585100024","View Full Record in Web of Science")</f>
        <v>View Full Record in Web of Science</v>
      </c>
    </row>
    <row r="1098" spans="1:72" s="2" customFormat="1" x14ac:dyDescent="0.4">
      <c r="A1098" s="2" t="s">
        <v>72</v>
      </c>
      <c r="B1098" s="2" t="s">
        <v>5105</v>
      </c>
      <c r="C1098" s="2" t="s">
        <v>74</v>
      </c>
      <c r="D1098" s="2" t="s">
        <v>74</v>
      </c>
      <c r="E1098" s="2" t="s">
        <v>74</v>
      </c>
      <c r="F1098" s="2" t="s">
        <v>5105</v>
      </c>
      <c r="G1098" s="2" t="s">
        <v>74</v>
      </c>
      <c r="H1098" s="2" t="s">
        <v>74</v>
      </c>
      <c r="I1098" s="2" t="s">
        <v>5106</v>
      </c>
      <c r="J1098" s="2" t="s">
        <v>5107</v>
      </c>
      <c r="K1098" s="2" t="s">
        <v>74</v>
      </c>
      <c r="L1098" s="2" t="s">
        <v>74</v>
      </c>
      <c r="M1098" s="2" t="s">
        <v>74</v>
      </c>
      <c r="N1098" s="2" t="s">
        <v>74</v>
      </c>
      <c r="O1098" s="2" t="s">
        <v>74</v>
      </c>
      <c r="P1098" s="2" t="s">
        <v>74</v>
      </c>
      <c r="Q1098" s="2" t="s">
        <v>74</v>
      </c>
      <c r="R1098" s="2" t="s">
        <v>74</v>
      </c>
      <c r="S1098" s="2" t="s">
        <v>74</v>
      </c>
      <c r="T1098" s="2" t="s">
        <v>74</v>
      </c>
      <c r="U1098" s="2" t="s">
        <v>74</v>
      </c>
      <c r="V1098" s="5" t="s">
        <v>5108</v>
      </c>
      <c r="W1098" s="2" t="s">
        <v>74</v>
      </c>
      <c r="X1098" s="2" t="s">
        <v>74</v>
      </c>
      <c r="Y1098" s="2" t="s">
        <v>74</v>
      </c>
      <c r="Z1098" s="2" t="s">
        <v>74</v>
      </c>
      <c r="AA1098" s="2" t="s">
        <v>74</v>
      </c>
      <c r="AB1098" s="2" t="s">
        <v>74</v>
      </c>
      <c r="AC1098" s="2" t="s">
        <v>74</v>
      </c>
      <c r="AD1098" s="2" t="s">
        <v>74</v>
      </c>
      <c r="AE1098" s="2" t="s">
        <v>74</v>
      </c>
      <c r="AF1098" s="2" t="s">
        <v>74</v>
      </c>
      <c r="AG1098" s="2" t="s">
        <v>74</v>
      </c>
      <c r="AH1098" s="2" t="s">
        <v>74</v>
      </c>
      <c r="AI1098" s="2" t="s">
        <v>74</v>
      </c>
      <c r="AJ1098" s="2" t="s">
        <v>74</v>
      </c>
      <c r="AK1098" s="2" t="s">
        <v>74</v>
      </c>
      <c r="AL1098" s="2" t="s">
        <v>74</v>
      </c>
      <c r="AM1098" s="2" t="s">
        <v>74</v>
      </c>
      <c r="AN1098" s="2" t="s">
        <v>74</v>
      </c>
      <c r="AO1098" s="2" t="s">
        <v>5109</v>
      </c>
      <c r="AP1098" s="2" t="s">
        <v>5110</v>
      </c>
      <c r="AQ1098" s="2" t="s">
        <v>74</v>
      </c>
      <c r="AR1098" s="2" t="s">
        <v>74</v>
      </c>
      <c r="AS1098" s="2" t="s">
        <v>74</v>
      </c>
      <c r="AT1098" s="2" t="s">
        <v>633</v>
      </c>
      <c r="AU1098" s="2">
        <v>1996</v>
      </c>
      <c r="AV1098" s="2">
        <v>6</v>
      </c>
      <c r="AW1098" s="2">
        <v>2</v>
      </c>
      <c r="AX1098" s="2" t="s">
        <v>74</v>
      </c>
      <c r="AY1098" s="2" t="s">
        <v>74</v>
      </c>
      <c r="AZ1098" s="2" t="s">
        <v>74</v>
      </c>
      <c r="BA1098" s="2" t="s">
        <v>74</v>
      </c>
      <c r="BB1098" s="2">
        <v>245</v>
      </c>
      <c r="BC1098" s="2">
        <v>252</v>
      </c>
      <c r="BD1098" s="2" t="s">
        <v>74</v>
      </c>
      <c r="BE1098" s="2" t="s">
        <v>5111</v>
      </c>
      <c r="BF1098" s="2" t="str">
        <f>HYPERLINK("http://dx.doi.org/10.1006/bcon.1996.0031","http://dx.doi.org/10.1006/bcon.1996.0031")</f>
        <v>http://dx.doi.org/10.1006/bcon.1996.0031</v>
      </c>
      <c r="BG1098" s="2" t="s">
        <v>74</v>
      </c>
      <c r="BH1098" s="2" t="s">
        <v>74</v>
      </c>
      <c r="BI1098" s="2" t="s">
        <v>74</v>
      </c>
      <c r="BJ1098" s="2" t="s">
        <v>74</v>
      </c>
      <c r="BK1098" s="2" t="s">
        <v>74</v>
      </c>
      <c r="BL1098" s="2" t="s">
        <v>74</v>
      </c>
      <c r="BM1098" s="2" t="s">
        <v>74</v>
      </c>
      <c r="BN1098" s="2" t="s">
        <v>74</v>
      </c>
      <c r="BO1098" s="2" t="s">
        <v>74</v>
      </c>
      <c r="BP1098" s="2" t="s">
        <v>74</v>
      </c>
      <c r="BQ1098" s="2" t="s">
        <v>74</v>
      </c>
      <c r="BR1098" s="2" t="s">
        <v>74</v>
      </c>
      <c r="BS1098" s="2" t="s">
        <v>5112</v>
      </c>
      <c r="BT1098" s="2" t="str">
        <f>HYPERLINK("https%3A%2F%2Fwww.webofscience.com%2Fwos%2Fwoscc%2Ffull-record%2FWOS:A1996UC68700014","View Full Record in Web of Science")</f>
        <v>View Full Record in Web of Science</v>
      </c>
    </row>
    <row r="1099" spans="1:72" s="2" customFormat="1" x14ac:dyDescent="0.4">
      <c r="A1099" s="2" t="s">
        <v>72</v>
      </c>
      <c r="B1099" s="2" t="s">
        <v>4903</v>
      </c>
      <c r="C1099" s="2" t="s">
        <v>74</v>
      </c>
      <c r="D1099" s="2" t="s">
        <v>74</v>
      </c>
      <c r="E1099" s="2" t="s">
        <v>74</v>
      </c>
      <c r="F1099" s="2" t="s">
        <v>4904</v>
      </c>
      <c r="G1099" s="2" t="s">
        <v>74</v>
      </c>
      <c r="H1099" s="2" t="s">
        <v>74</v>
      </c>
      <c r="I1099" s="2" t="s">
        <v>4905</v>
      </c>
      <c r="J1099" s="2" t="s">
        <v>140</v>
      </c>
      <c r="K1099" s="2" t="s">
        <v>74</v>
      </c>
      <c r="L1099" s="2" t="s">
        <v>74</v>
      </c>
      <c r="M1099" s="2" t="s">
        <v>74</v>
      </c>
      <c r="N1099" s="2" t="s">
        <v>74</v>
      </c>
      <c r="O1099" s="2" t="s">
        <v>74</v>
      </c>
      <c r="P1099" s="2" t="s">
        <v>74</v>
      </c>
      <c r="Q1099" s="2" t="s">
        <v>74</v>
      </c>
      <c r="R1099" s="2" t="s">
        <v>74</v>
      </c>
      <c r="S1099" s="2" t="s">
        <v>74</v>
      </c>
      <c r="T1099" s="2" t="s">
        <v>74</v>
      </c>
      <c r="U1099" s="2" t="s">
        <v>74</v>
      </c>
      <c r="V1099" s="5" t="s">
        <v>4906</v>
      </c>
      <c r="W1099" s="2" t="s">
        <v>74</v>
      </c>
      <c r="X1099" s="2" t="s">
        <v>74</v>
      </c>
      <c r="Y1099" s="2" t="s">
        <v>74</v>
      </c>
      <c r="Z1099" s="2" t="s">
        <v>74</v>
      </c>
      <c r="AA1099" s="2" t="s">
        <v>4216</v>
      </c>
      <c r="AB1099" s="2" t="s">
        <v>4217</v>
      </c>
      <c r="AC1099" s="2" t="s">
        <v>74</v>
      </c>
      <c r="AD1099" s="2" t="s">
        <v>74</v>
      </c>
      <c r="AE1099" s="2" t="s">
        <v>74</v>
      </c>
      <c r="AF1099" s="2" t="s">
        <v>74</v>
      </c>
      <c r="AG1099" s="2" t="s">
        <v>74</v>
      </c>
      <c r="AH1099" s="2" t="s">
        <v>74</v>
      </c>
      <c r="AI1099" s="2" t="s">
        <v>74</v>
      </c>
      <c r="AJ1099" s="2" t="s">
        <v>74</v>
      </c>
      <c r="AK1099" s="2" t="s">
        <v>74</v>
      </c>
      <c r="AL1099" s="2" t="s">
        <v>74</v>
      </c>
      <c r="AM1099" s="2" t="s">
        <v>74</v>
      </c>
      <c r="AN1099" s="2" t="s">
        <v>74</v>
      </c>
      <c r="AO1099" s="2" t="s">
        <v>143</v>
      </c>
      <c r="AP1099" s="2" t="s">
        <v>144</v>
      </c>
      <c r="AQ1099" s="2" t="s">
        <v>74</v>
      </c>
      <c r="AR1099" s="2" t="s">
        <v>74</v>
      </c>
      <c r="AS1099" s="2" t="s">
        <v>74</v>
      </c>
      <c r="AT1099" s="2" t="s">
        <v>352</v>
      </c>
      <c r="AU1099" s="2">
        <v>2018</v>
      </c>
      <c r="AV1099" s="2">
        <v>143</v>
      </c>
      <c r="AW1099" s="2" t="s">
        <v>74</v>
      </c>
      <c r="AX1099" s="2" t="s">
        <v>74</v>
      </c>
      <c r="AY1099" s="2" t="s">
        <v>74</v>
      </c>
      <c r="AZ1099" s="2" t="s">
        <v>74</v>
      </c>
      <c r="BA1099" s="2" t="s">
        <v>74</v>
      </c>
      <c r="BB1099" s="2">
        <v>167</v>
      </c>
      <c r="BC1099" s="2">
        <v>176</v>
      </c>
      <c r="BD1099" s="2" t="s">
        <v>74</v>
      </c>
      <c r="BE1099" s="2" t="s">
        <v>4907</v>
      </c>
      <c r="BF1099" s="2" t="str">
        <f>HYPERLINK("http://dx.doi.org/10.1016/j.anbehav.2017.12.006","http://dx.doi.org/10.1016/j.anbehav.2017.12.006")</f>
        <v>http://dx.doi.org/10.1016/j.anbehav.2017.12.006</v>
      </c>
      <c r="BG1099" s="2" t="s">
        <v>74</v>
      </c>
      <c r="BH1099" s="2" t="s">
        <v>74</v>
      </c>
      <c r="BI1099" s="2" t="s">
        <v>74</v>
      </c>
      <c r="BJ1099" s="2" t="s">
        <v>74</v>
      </c>
      <c r="BK1099" s="2" t="s">
        <v>74</v>
      </c>
      <c r="BL1099" s="2" t="s">
        <v>74</v>
      </c>
      <c r="BM1099" s="2" t="s">
        <v>74</v>
      </c>
      <c r="BN1099" s="2" t="s">
        <v>74</v>
      </c>
      <c r="BO1099" s="2" t="s">
        <v>74</v>
      </c>
      <c r="BP1099" s="2" t="s">
        <v>74</v>
      </c>
      <c r="BQ1099" s="2" t="s">
        <v>74</v>
      </c>
      <c r="BR1099" s="2" t="s">
        <v>74</v>
      </c>
      <c r="BS1099" s="2" t="s">
        <v>4908</v>
      </c>
      <c r="BT1099" s="2" t="str">
        <f>HYPERLINK("https%3A%2F%2Fwww.webofscience.com%2Fwos%2Fwoscc%2Ffull-record%2FWOS:000443386600017","View Full Record in Web of Science")</f>
        <v>View Full Record in Web of Science</v>
      </c>
    </row>
    <row r="1100" spans="1:72" s="2" customFormat="1" x14ac:dyDescent="0.4">
      <c r="A1100" s="2" t="s">
        <v>72</v>
      </c>
      <c r="B1100" s="2" t="s">
        <v>2562</v>
      </c>
      <c r="C1100" s="2" t="s">
        <v>74</v>
      </c>
      <c r="D1100" s="2" t="s">
        <v>74</v>
      </c>
      <c r="E1100" s="2" t="s">
        <v>74</v>
      </c>
      <c r="F1100" s="2" t="s">
        <v>2562</v>
      </c>
      <c r="G1100" s="2" t="s">
        <v>74</v>
      </c>
      <c r="H1100" s="2" t="s">
        <v>74</v>
      </c>
      <c r="I1100" s="2" t="s">
        <v>4923</v>
      </c>
      <c r="J1100" s="2" t="s">
        <v>610</v>
      </c>
      <c r="K1100" s="2" t="s">
        <v>74</v>
      </c>
      <c r="L1100" s="2" t="s">
        <v>74</v>
      </c>
      <c r="M1100" s="2" t="s">
        <v>74</v>
      </c>
      <c r="N1100" s="2" t="s">
        <v>74</v>
      </c>
      <c r="O1100" s="2" t="s">
        <v>74</v>
      </c>
      <c r="P1100" s="2" t="s">
        <v>74</v>
      </c>
      <c r="Q1100" s="2" t="s">
        <v>74</v>
      </c>
      <c r="R1100" s="2" t="s">
        <v>74</v>
      </c>
      <c r="S1100" s="2" t="s">
        <v>74</v>
      </c>
      <c r="T1100" s="2" t="s">
        <v>74</v>
      </c>
      <c r="U1100" s="2" t="s">
        <v>74</v>
      </c>
      <c r="V1100" s="5" t="s">
        <v>4924</v>
      </c>
      <c r="W1100" s="2" t="s">
        <v>74</v>
      </c>
      <c r="X1100" s="2" t="s">
        <v>74</v>
      </c>
      <c r="Y1100" s="2" t="s">
        <v>74</v>
      </c>
      <c r="Z1100" s="2" t="s">
        <v>74</v>
      </c>
      <c r="AA1100" s="2" t="s">
        <v>2566</v>
      </c>
      <c r="AB1100" s="2" t="s">
        <v>2567</v>
      </c>
      <c r="AC1100" s="2" t="s">
        <v>74</v>
      </c>
      <c r="AD1100" s="2" t="s">
        <v>74</v>
      </c>
      <c r="AE1100" s="2" t="s">
        <v>74</v>
      </c>
      <c r="AF1100" s="2" t="s">
        <v>74</v>
      </c>
      <c r="AG1100" s="2" t="s">
        <v>74</v>
      </c>
      <c r="AH1100" s="2" t="s">
        <v>74</v>
      </c>
      <c r="AI1100" s="2" t="s">
        <v>74</v>
      </c>
      <c r="AJ1100" s="2" t="s">
        <v>74</v>
      </c>
      <c r="AK1100" s="2" t="s">
        <v>74</v>
      </c>
      <c r="AL1100" s="2" t="s">
        <v>74</v>
      </c>
      <c r="AM1100" s="2" t="s">
        <v>74</v>
      </c>
      <c r="AN1100" s="2" t="s">
        <v>74</v>
      </c>
      <c r="AO1100" s="2" t="s">
        <v>614</v>
      </c>
      <c r="AP1100" s="2" t="s">
        <v>74</v>
      </c>
      <c r="AQ1100" s="2" t="s">
        <v>74</v>
      </c>
      <c r="AR1100" s="2" t="s">
        <v>74</v>
      </c>
      <c r="AS1100" s="2" t="s">
        <v>74</v>
      </c>
      <c r="AT1100" s="2" t="s">
        <v>352</v>
      </c>
      <c r="AU1100" s="2">
        <v>2002</v>
      </c>
      <c r="AV1100" s="2">
        <v>108</v>
      </c>
      <c r="AW1100" s="2">
        <v>9</v>
      </c>
      <c r="AX1100" s="2" t="s">
        <v>74</v>
      </c>
      <c r="AY1100" s="2" t="s">
        <v>74</v>
      </c>
      <c r="AZ1100" s="2" t="s">
        <v>74</v>
      </c>
      <c r="BA1100" s="2" t="s">
        <v>74</v>
      </c>
      <c r="BB1100" s="2">
        <v>793</v>
      </c>
      <c r="BC1100" s="2">
        <v>813</v>
      </c>
      <c r="BD1100" s="2" t="s">
        <v>74</v>
      </c>
      <c r="BE1100" s="2" t="s">
        <v>4925</v>
      </c>
      <c r="BF1100" s="2" t="str">
        <f>HYPERLINK("http://dx.doi.org/10.1046/j.1439-0310.2002.00819.x","http://dx.doi.org/10.1046/j.1439-0310.2002.00819.x")</f>
        <v>http://dx.doi.org/10.1046/j.1439-0310.2002.00819.x</v>
      </c>
      <c r="BG1100" s="2" t="s">
        <v>74</v>
      </c>
      <c r="BH1100" s="2" t="s">
        <v>74</v>
      </c>
      <c r="BI1100" s="2" t="s">
        <v>74</v>
      </c>
      <c r="BJ1100" s="2" t="s">
        <v>74</v>
      </c>
      <c r="BK1100" s="2" t="s">
        <v>74</v>
      </c>
      <c r="BL1100" s="2" t="s">
        <v>74</v>
      </c>
      <c r="BM1100" s="2" t="s">
        <v>74</v>
      </c>
      <c r="BN1100" s="2" t="s">
        <v>74</v>
      </c>
      <c r="BO1100" s="2" t="s">
        <v>74</v>
      </c>
      <c r="BP1100" s="2" t="s">
        <v>74</v>
      </c>
      <c r="BQ1100" s="2" t="s">
        <v>74</v>
      </c>
      <c r="BR1100" s="2" t="s">
        <v>74</v>
      </c>
      <c r="BS1100" s="2" t="s">
        <v>4926</v>
      </c>
      <c r="BT1100" s="2" t="str">
        <f>HYPERLINK("https%3A%2F%2Fwww.webofscience.com%2Fwos%2Fwoscc%2Ffull-record%2FWOS:000177775300004","View Full Record in Web of Science")</f>
        <v>View Full Record in Web of Science</v>
      </c>
    </row>
    <row r="1101" spans="1:72" s="2" customFormat="1" x14ac:dyDescent="0.4">
      <c r="A1101" s="2" t="s">
        <v>72</v>
      </c>
      <c r="B1101" s="2" t="s">
        <v>2562</v>
      </c>
      <c r="C1101" s="2" t="s">
        <v>74</v>
      </c>
      <c r="D1101" s="2" t="s">
        <v>74</v>
      </c>
      <c r="E1101" s="2" t="s">
        <v>74</v>
      </c>
      <c r="F1101" s="2" t="s">
        <v>2563</v>
      </c>
      <c r="G1101" s="2" t="s">
        <v>74</v>
      </c>
      <c r="H1101" s="2" t="s">
        <v>74</v>
      </c>
      <c r="I1101" s="2" t="s">
        <v>2564</v>
      </c>
      <c r="J1101" s="2" t="s">
        <v>333</v>
      </c>
      <c r="K1101" s="2" t="s">
        <v>74</v>
      </c>
      <c r="L1101" s="2" t="s">
        <v>74</v>
      </c>
      <c r="M1101" s="2" t="s">
        <v>74</v>
      </c>
      <c r="N1101" s="2" t="s">
        <v>74</v>
      </c>
      <c r="O1101" s="2" t="s">
        <v>74</v>
      </c>
      <c r="P1101" s="2" t="s">
        <v>74</v>
      </c>
      <c r="Q1101" s="2" t="s">
        <v>74</v>
      </c>
      <c r="R1101" s="2" t="s">
        <v>74</v>
      </c>
      <c r="S1101" s="2" t="s">
        <v>74</v>
      </c>
      <c r="T1101" s="2" t="s">
        <v>74</v>
      </c>
      <c r="U1101" s="2" t="s">
        <v>74</v>
      </c>
      <c r="V1101" s="5" t="s">
        <v>2565</v>
      </c>
      <c r="W1101" s="2" t="s">
        <v>74</v>
      </c>
      <c r="X1101" s="2" t="s">
        <v>74</v>
      </c>
      <c r="Y1101" s="2" t="s">
        <v>74</v>
      </c>
      <c r="Z1101" s="2" t="s">
        <v>74</v>
      </c>
      <c r="AA1101" s="2" t="s">
        <v>2566</v>
      </c>
      <c r="AB1101" s="2" t="s">
        <v>2567</v>
      </c>
      <c r="AC1101" s="2" t="s">
        <v>74</v>
      </c>
      <c r="AD1101" s="2" t="s">
        <v>74</v>
      </c>
      <c r="AE1101" s="2" t="s">
        <v>74</v>
      </c>
      <c r="AF1101" s="2" t="s">
        <v>74</v>
      </c>
      <c r="AG1101" s="2" t="s">
        <v>74</v>
      </c>
      <c r="AH1101" s="2" t="s">
        <v>74</v>
      </c>
      <c r="AI1101" s="2" t="s">
        <v>74</v>
      </c>
      <c r="AJ1101" s="2" t="s">
        <v>74</v>
      </c>
      <c r="AK1101" s="2" t="s">
        <v>74</v>
      </c>
      <c r="AL1101" s="2" t="s">
        <v>74</v>
      </c>
      <c r="AM1101" s="2" t="s">
        <v>74</v>
      </c>
      <c r="AN1101" s="2" t="s">
        <v>74</v>
      </c>
      <c r="AO1101" s="2" t="s">
        <v>337</v>
      </c>
      <c r="AP1101" s="2" t="s">
        <v>338</v>
      </c>
      <c r="AQ1101" s="2" t="s">
        <v>74</v>
      </c>
      <c r="AR1101" s="2" t="s">
        <v>74</v>
      </c>
      <c r="AS1101" s="2" t="s">
        <v>74</v>
      </c>
      <c r="AT1101" s="2" t="s">
        <v>1013</v>
      </c>
      <c r="AU1101" s="2">
        <v>2006</v>
      </c>
      <c r="AV1101" s="2">
        <v>17</v>
      </c>
      <c r="AW1101" s="2">
        <v>5</v>
      </c>
      <c r="AX1101" s="2" t="s">
        <v>74</v>
      </c>
      <c r="AY1101" s="2" t="s">
        <v>74</v>
      </c>
      <c r="AZ1101" s="2" t="s">
        <v>74</v>
      </c>
      <c r="BA1101" s="2" t="s">
        <v>74</v>
      </c>
      <c r="BB1101" s="2">
        <v>726</v>
      </c>
      <c r="BC1101" s="2">
        <v>732</v>
      </c>
      <c r="BD1101" s="2" t="s">
        <v>74</v>
      </c>
      <c r="BE1101" s="2" t="s">
        <v>2568</v>
      </c>
      <c r="BF1101" s="2" t="str">
        <f>HYPERLINK("http://dx.doi.org/10.1093/beheco/arl001","http://dx.doi.org/10.1093/beheco/arl001")</f>
        <v>http://dx.doi.org/10.1093/beheco/arl001</v>
      </c>
      <c r="BG1101" s="2" t="s">
        <v>74</v>
      </c>
      <c r="BH1101" s="2" t="s">
        <v>74</v>
      </c>
      <c r="BI1101" s="2" t="s">
        <v>74</v>
      </c>
      <c r="BJ1101" s="2" t="s">
        <v>74</v>
      </c>
      <c r="BK1101" s="2" t="s">
        <v>74</v>
      </c>
      <c r="BL1101" s="2" t="s">
        <v>74</v>
      </c>
      <c r="BM1101" s="2" t="s">
        <v>74</v>
      </c>
      <c r="BN1101" s="2" t="s">
        <v>74</v>
      </c>
      <c r="BO1101" s="2" t="s">
        <v>74</v>
      </c>
      <c r="BP1101" s="2" t="s">
        <v>74</v>
      </c>
      <c r="BQ1101" s="2" t="s">
        <v>74</v>
      </c>
      <c r="BR1101" s="2" t="s">
        <v>74</v>
      </c>
      <c r="BS1101" s="2" t="s">
        <v>2569</v>
      </c>
      <c r="BT1101" s="2" t="str">
        <f>HYPERLINK("https%3A%2F%2Fwww.webofscience.com%2Fwos%2Fwoscc%2Ffull-record%2FWOS:000239899500005","View Full Record in Web of Science")</f>
        <v>View Full Record in Web of Science</v>
      </c>
    </row>
    <row r="1102" spans="1:72" s="2" customFormat="1" x14ac:dyDescent="0.4">
      <c r="A1102" s="2" t="s">
        <v>72</v>
      </c>
      <c r="B1102" s="2" t="s">
        <v>4078</v>
      </c>
      <c r="C1102" s="2" t="s">
        <v>74</v>
      </c>
      <c r="D1102" s="2" t="s">
        <v>74</v>
      </c>
      <c r="E1102" s="2" t="s">
        <v>74</v>
      </c>
      <c r="F1102" s="2" t="s">
        <v>4079</v>
      </c>
      <c r="G1102" s="2" t="s">
        <v>74</v>
      </c>
      <c r="H1102" s="2" t="s">
        <v>74</v>
      </c>
      <c r="I1102" s="2" t="s">
        <v>4080</v>
      </c>
      <c r="J1102" s="2" t="s">
        <v>775</v>
      </c>
      <c r="K1102" s="2" t="s">
        <v>74</v>
      </c>
      <c r="L1102" s="2" t="s">
        <v>74</v>
      </c>
      <c r="M1102" s="2" t="s">
        <v>74</v>
      </c>
      <c r="N1102" s="2" t="s">
        <v>74</v>
      </c>
      <c r="O1102" s="2" t="s">
        <v>74</v>
      </c>
      <c r="P1102" s="2" t="s">
        <v>74</v>
      </c>
      <c r="Q1102" s="2" t="s">
        <v>74</v>
      </c>
      <c r="R1102" s="2" t="s">
        <v>74</v>
      </c>
      <c r="S1102" s="2" t="s">
        <v>74</v>
      </c>
      <c r="T1102" s="2" t="s">
        <v>74</v>
      </c>
      <c r="U1102" s="2" t="s">
        <v>74</v>
      </c>
      <c r="V1102" s="5" t="s">
        <v>4081</v>
      </c>
      <c r="W1102" s="2" t="s">
        <v>74</v>
      </c>
      <c r="X1102" s="2" t="s">
        <v>74</v>
      </c>
      <c r="Y1102" s="2" t="s">
        <v>74</v>
      </c>
      <c r="Z1102" s="2" t="s">
        <v>74</v>
      </c>
      <c r="AA1102" s="2" t="s">
        <v>2566</v>
      </c>
      <c r="AB1102" s="2" t="s">
        <v>2567</v>
      </c>
      <c r="AC1102" s="2" t="s">
        <v>74</v>
      </c>
      <c r="AD1102" s="2" t="s">
        <v>74</v>
      </c>
      <c r="AE1102" s="2" t="s">
        <v>74</v>
      </c>
      <c r="AF1102" s="2" t="s">
        <v>74</v>
      </c>
      <c r="AG1102" s="2" t="s">
        <v>74</v>
      </c>
      <c r="AH1102" s="2" t="s">
        <v>74</v>
      </c>
      <c r="AI1102" s="2" t="s">
        <v>74</v>
      </c>
      <c r="AJ1102" s="2" t="s">
        <v>74</v>
      </c>
      <c r="AK1102" s="2" t="s">
        <v>74</v>
      </c>
      <c r="AL1102" s="2" t="s">
        <v>74</v>
      </c>
      <c r="AM1102" s="2" t="s">
        <v>74</v>
      </c>
      <c r="AN1102" s="2" t="s">
        <v>74</v>
      </c>
      <c r="AO1102" s="2" t="s">
        <v>778</v>
      </c>
      <c r="AP1102" s="2" t="s">
        <v>779</v>
      </c>
      <c r="AQ1102" s="2" t="s">
        <v>74</v>
      </c>
      <c r="AR1102" s="2" t="s">
        <v>74</v>
      </c>
      <c r="AS1102" s="2" t="s">
        <v>74</v>
      </c>
      <c r="AT1102" s="2" t="s">
        <v>102</v>
      </c>
      <c r="AU1102" s="2">
        <v>2018</v>
      </c>
      <c r="AV1102" s="2">
        <v>64</v>
      </c>
      <c r="AW1102" s="2">
        <v>3</v>
      </c>
      <c r="AX1102" s="2" t="s">
        <v>74</v>
      </c>
      <c r="AY1102" s="2" t="s">
        <v>74</v>
      </c>
      <c r="AZ1102" s="2" t="s">
        <v>74</v>
      </c>
      <c r="BA1102" s="2" t="s">
        <v>74</v>
      </c>
      <c r="BB1102" s="2">
        <v>335</v>
      </c>
      <c r="BC1102" s="2">
        <v>344</v>
      </c>
      <c r="BD1102" s="2" t="s">
        <v>74</v>
      </c>
      <c r="BE1102" s="2" t="s">
        <v>4082</v>
      </c>
      <c r="BF1102" s="2" t="str">
        <f>HYPERLINK("http://dx.doi.org/10.1093/cz/zoy023","http://dx.doi.org/10.1093/cz/zoy023")</f>
        <v>http://dx.doi.org/10.1093/cz/zoy023</v>
      </c>
      <c r="BG1102" s="2" t="s">
        <v>74</v>
      </c>
      <c r="BH1102" s="2" t="s">
        <v>74</v>
      </c>
      <c r="BI1102" s="2" t="s">
        <v>74</v>
      </c>
      <c r="BJ1102" s="2" t="s">
        <v>74</v>
      </c>
      <c r="BK1102" s="2" t="s">
        <v>74</v>
      </c>
      <c r="BL1102" s="2" t="s">
        <v>74</v>
      </c>
      <c r="BM1102" s="2" t="s">
        <v>74</v>
      </c>
      <c r="BN1102" s="2">
        <v>30402076</v>
      </c>
      <c r="BO1102" s="2" t="s">
        <v>74</v>
      </c>
      <c r="BP1102" s="2" t="s">
        <v>74</v>
      </c>
      <c r="BQ1102" s="2" t="s">
        <v>74</v>
      </c>
      <c r="BR1102" s="2" t="s">
        <v>74</v>
      </c>
      <c r="BS1102" s="2" t="s">
        <v>4083</v>
      </c>
      <c r="BT1102" s="2" t="str">
        <f>HYPERLINK("https%3A%2F%2Fwww.webofscience.com%2Fwos%2Fwoscc%2Ffull-record%2FWOS:000436421000010","View Full Record in Web of Science")</f>
        <v>View Full Record in Web of Science</v>
      </c>
    </row>
    <row r="1103" spans="1:72" s="2" customFormat="1" x14ac:dyDescent="0.4">
      <c r="A1103" s="2" t="s">
        <v>72</v>
      </c>
      <c r="B1103" s="2" t="s">
        <v>2955</v>
      </c>
      <c r="C1103" s="2" t="s">
        <v>74</v>
      </c>
      <c r="D1103" s="2" t="s">
        <v>74</v>
      </c>
      <c r="E1103" s="2" t="s">
        <v>74</v>
      </c>
      <c r="F1103" s="2" t="s">
        <v>2956</v>
      </c>
      <c r="G1103" s="2" t="s">
        <v>74</v>
      </c>
      <c r="H1103" s="2" t="s">
        <v>74</v>
      </c>
      <c r="I1103" s="2" t="s">
        <v>2957</v>
      </c>
      <c r="J1103" s="2" t="s">
        <v>192</v>
      </c>
      <c r="K1103" s="2" t="s">
        <v>74</v>
      </c>
      <c r="L1103" s="2" t="s">
        <v>74</v>
      </c>
      <c r="M1103" s="2" t="s">
        <v>74</v>
      </c>
      <c r="N1103" s="2" t="s">
        <v>74</v>
      </c>
      <c r="O1103" s="2" t="s">
        <v>74</v>
      </c>
      <c r="P1103" s="2" t="s">
        <v>74</v>
      </c>
      <c r="Q1103" s="2" t="s">
        <v>74</v>
      </c>
      <c r="R1103" s="2" t="s">
        <v>74</v>
      </c>
      <c r="S1103" s="2" t="s">
        <v>74</v>
      </c>
      <c r="T1103" s="2" t="s">
        <v>74</v>
      </c>
      <c r="U1103" s="2" t="s">
        <v>74</v>
      </c>
      <c r="V1103" s="5" t="s">
        <v>2958</v>
      </c>
      <c r="W1103" s="2" t="s">
        <v>74</v>
      </c>
      <c r="X1103" s="2" t="s">
        <v>74</v>
      </c>
      <c r="Y1103" s="2" t="s">
        <v>74</v>
      </c>
      <c r="Z1103" s="2" t="s">
        <v>74</v>
      </c>
      <c r="AA1103" s="2" t="s">
        <v>2959</v>
      </c>
      <c r="AB1103" s="2" t="s">
        <v>2960</v>
      </c>
      <c r="AC1103" s="2" t="s">
        <v>74</v>
      </c>
      <c r="AD1103" s="2" t="s">
        <v>74</v>
      </c>
      <c r="AE1103" s="2" t="s">
        <v>74</v>
      </c>
      <c r="AF1103" s="2" t="s">
        <v>74</v>
      </c>
      <c r="AG1103" s="2" t="s">
        <v>74</v>
      </c>
      <c r="AH1103" s="2" t="s">
        <v>74</v>
      </c>
      <c r="AI1103" s="2" t="s">
        <v>74</v>
      </c>
      <c r="AJ1103" s="2" t="s">
        <v>74</v>
      </c>
      <c r="AK1103" s="2" t="s">
        <v>74</v>
      </c>
      <c r="AL1103" s="2" t="s">
        <v>74</v>
      </c>
      <c r="AM1103" s="2" t="s">
        <v>74</v>
      </c>
      <c r="AN1103" s="2" t="s">
        <v>74</v>
      </c>
      <c r="AO1103" s="2" t="s">
        <v>195</v>
      </c>
      <c r="AP1103" s="2" t="s">
        <v>196</v>
      </c>
      <c r="AQ1103" s="2" t="s">
        <v>74</v>
      </c>
      <c r="AR1103" s="2" t="s">
        <v>74</v>
      </c>
      <c r="AS1103" s="2" t="s">
        <v>74</v>
      </c>
      <c r="AT1103" s="2" t="s">
        <v>352</v>
      </c>
      <c r="AU1103" s="2">
        <v>2021</v>
      </c>
      <c r="AV1103" s="2">
        <v>848</v>
      </c>
      <c r="AW1103" s="2">
        <v>16</v>
      </c>
      <c r="AX1103" s="2" t="s">
        <v>74</v>
      </c>
      <c r="AY1103" s="2" t="s">
        <v>74</v>
      </c>
      <c r="AZ1103" s="2" t="s">
        <v>848</v>
      </c>
      <c r="BA1103" s="2" t="s">
        <v>74</v>
      </c>
      <c r="BB1103" s="2">
        <v>3667</v>
      </c>
      <c r="BC1103" s="2">
        <v>3681</v>
      </c>
      <c r="BD1103" s="2" t="s">
        <v>74</v>
      </c>
      <c r="BE1103" s="2" t="s">
        <v>2961</v>
      </c>
      <c r="BF1103" s="2" t="str">
        <f>HYPERLINK("http://dx.doi.org/10.1007/s10750-020-04475-9","http://dx.doi.org/10.1007/s10750-020-04475-9")</f>
        <v>http://dx.doi.org/10.1007/s10750-020-04475-9</v>
      </c>
      <c r="BG1103" s="2" t="s">
        <v>74</v>
      </c>
      <c r="BH1103" s="2" t="s">
        <v>2962</v>
      </c>
      <c r="BI1103" s="2" t="s">
        <v>74</v>
      </c>
      <c r="BJ1103" s="2" t="s">
        <v>74</v>
      </c>
      <c r="BK1103" s="2" t="s">
        <v>74</v>
      </c>
      <c r="BL1103" s="2" t="s">
        <v>74</v>
      </c>
      <c r="BM1103" s="2" t="s">
        <v>74</v>
      </c>
      <c r="BN1103" s="2" t="s">
        <v>74</v>
      </c>
      <c r="BO1103" s="2" t="s">
        <v>74</v>
      </c>
      <c r="BP1103" s="2" t="s">
        <v>74</v>
      </c>
      <c r="BQ1103" s="2" t="s">
        <v>74</v>
      </c>
      <c r="BR1103" s="2" t="s">
        <v>74</v>
      </c>
      <c r="BS1103" s="2" t="s">
        <v>2963</v>
      </c>
      <c r="BT1103" s="2" t="str">
        <f>HYPERLINK("https%3A%2F%2Fwww.webofscience.com%2Fwos%2Fwoscc%2Ffull-record%2FWOS:000604160900002","View Full Record in Web of Science")</f>
        <v>View Full Record in Web of Science</v>
      </c>
    </row>
    <row r="1104" spans="1:72" s="2" customFormat="1" x14ac:dyDescent="0.4">
      <c r="A1104" s="2" t="s">
        <v>72</v>
      </c>
      <c r="B1104" s="2" t="s">
        <v>5764</v>
      </c>
      <c r="C1104" s="2" t="s">
        <v>74</v>
      </c>
      <c r="D1104" s="2" t="s">
        <v>74</v>
      </c>
      <c r="E1104" s="2" t="s">
        <v>74</v>
      </c>
      <c r="F1104" s="2" t="s">
        <v>5765</v>
      </c>
      <c r="G1104" s="2" t="s">
        <v>74</v>
      </c>
      <c r="H1104" s="2" t="s">
        <v>74</v>
      </c>
      <c r="I1104" s="2" t="s">
        <v>5766</v>
      </c>
      <c r="J1104" s="2" t="s">
        <v>775</v>
      </c>
      <c r="K1104" s="2" t="s">
        <v>74</v>
      </c>
      <c r="L1104" s="2" t="s">
        <v>74</v>
      </c>
      <c r="M1104" s="2" t="s">
        <v>74</v>
      </c>
      <c r="N1104" s="2" t="s">
        <v>74</v>
      </c>
      <c r="O1104" s="2" t="s">
        <v>74</v>
      </c>
      <c r="P1104" s="2" t="s">
        <v>74</v>
      </c>
      <c r="Q1104" s="2" t="s">
        <v>74</v>
      </c>
      <c r="R1104" s="2" t="s">
        <v>74</v>
      </c>
      <c r="S1104" s="2" t="s">
        <v>74</v>
      </c>
      <c r="T1104" s="2" t="s">
        <v>74</v>
      </c>
      <c r="U1104" s="2" t="s">
        <v>74</v>
      </c>
      <c r="V1104" s="5" t="s">
        <v>5767</v>
      </c>
      <c r="W1104" s="2" t="s">
        <v>74</v>
      </c>
      <c r="X1104" s="2" t="s">
        <v>74</v>
      </c>
      <c r="Y1104" s="2" t="s">
        <v>74</v>
      </c>
      <c r="Z1104" s="2" t="s">
        <v>74</v>
      </c>
      <c r="AA1104" s="2" t="s">
        <v>74</v>
      </c>
      <c r="AB1104" s="2" t="s">
        <v>74</v>
      </c>
      <c r="AC1104" s="2" t="s">
        <v>74</v>
      </c>
      <c r="AD1104" s="2" t="s">
        <v>74</v>
      </c>
      <c r="AE1104" s="2" t="s">
        <v>74</v>
      </c>
      <c r="AF1104" s="2" t="s">
        <v>74</v>
      </c>
      <c r="AG1104" s="2" t="s">
        <v>74</v>
      </c>
      <c r="AH1104" s="2" t="s">
        <v>74</v>
      </c>
      <c r="AI1104" s="2" t="s">
        <v>74</v>
      </c>
      <c r="AJ1104" s="2" t="s">
        <v>74</v>
      </c>
      <c r="AK1104" s="2" t="s">
        <v>74</v>
      </c>
      <c r="AL1104" s="2" t="s">
        <v>74</v>
      </c>
      <c r="AM1104" s="2" t="s">
        <v>74</v>
      </c>
      <c r="AN1104" s="2" t="s">
        <v>74</v>
      </c>
      <c r="AO1104" s="2" t="s">
        <v>778</v>
      </c>
      <c r="AP1104" s="2" t="s">
        <v>779</v>
      </c>
      <c r="AQ1104" s="2" t="s">
        <v>74</v>
      </c>
      <c r="AR1104" s="2" t="s">
        <v>74</v>
      </c>
      <c r="AS1104" s="2" t="s">
        <v>74</v>
      </c>
      <c r="AT1104" s="2" t="s">
        <v>5768</v>
      </c>
      <c r="AU1104" s="2">
        <v>2022</v>
      </c>
      <c r="AV1104" s="2">
        <v>68</v>
      </c>
      <c r="AW1104" s="2">
        <v>5</v>
      </c>
      <c r="AX1104" s="2" t="s">
        <v>74</v>
      </c>
      <c r="AY1104" s="2" t="s">
        <v>74</v>
      </c>
      <c r="AZ1104" s="2" t="s">
        <v>74</v>
      </c>
      <c r="BA1104" s="2" t="s">
        <v>74</v>
      </c>
      <c r="BB1104" s="2">
        <v>600</v>
      </c>
      <c r="BC1104" s="2">
        <v>607</v>
      </c>
      <c r="BD1104" s="2" t="s">
        <v>74</v>
      </c>
      <c r="BE1104" s="2" t="s">
        <v>5769</v>
      </c>
      <c r="BF1104" s="2" t="str">
        <f>HYPERLINK("http://dx.doi.org/10.1093/cz/zoab087","http://dx.doi.org/10.1093/cz/zoab087")</f>
        <v>http://dx.doi.org/10.1093/cz/zoab087</v>
      </c>
      <c r="BG1104" s="2" t="s">
        <v>74</v>
      </c>
      <c r="BH1104" s="2" t="s">
        <v>5103</v>
      </c>
      <c r="BI1104" s="2" t="s">
        <v>74</v>
      </c>
      <c r="BJ1104" s="2" t="s">
        <v>74</v>
      </c>
      <c r="BK1104" s="2" t="s">
        <v>74</v>
      </c>
      <c r="BL1104" s="2" t="s">
        <v>74</v>
      </c>
      <c r="BM1104" s="2" t="s">
        <v>74</v>
      </c>
      <c r="BN1104" s="2">
        <v>36324536</v>
      </c>
      <c r="BO1104" s="2" t="s">
        <v>74</v>
      </c>
      <c r="BP1104" s="2" t="s">
        <v>74</v>
      </c>
      <c r="BQ1104" s="2" t="s">
        <v>74</v>
      </c>
      <c r="BR1104" s="2" t="s">
        <v>74</v>
      </c>
      <c r="BS1104" s="2" t="s">
        <v>5770</v>
      </c>
      <c r="BT1104" s="2" t="str">
        <f>HYPERLINK("https%3A%2F%2Fwww.webofscience.com%2Fwos%2Fwoscc%2Ffull-record%2FWOS:000789358100001","View Full Record in Web of Science")</f>
        <v>View Full Record in Web of Science</v>
      </c>
    </row>
    <row r="1105" spans="1:72" s="2" customFormat="1" x14ac:dyDescent="0.4">
      <c r="A1105" s="2" t="s">
        <v>72</v>
      </c>
      <c r="B1105" s="2" t="s">
        <v>5744</v>
      </c>
      <c r="C1105" s="2" t="s">
        <v>74</v>
      </c>
      <c r="D1105" s="2" t="s">
        <v>74</v>
      </c>
      <c r="E1105" s="2" t="s">
        <v>74</v>
      </c>
      <c r="F1105" s="2" t="s">
        <v>5745</v>
      </c>
      <c r="G1105" s="2" t="s">
        <v>74</v>
      </c>
      <c r="H1105" s="2" t="s">
        <v>74</v>
      </c>
      <c r="I1105" s="2" t="s">
        <v>5746</v>
      </c>
      <c r="J1105" s="2" t="s">
        <v>2042</v>
      </c>
      <c r="K1105" s="2" t="s">
        <v>74</v>
      </c>
      <c r="L1105" s="2" t="s">
        <v>74</v>
      </c>
      <c r="M1105" s="2" t="s">
        <v>74</v>
      </c>
      <c r="N1105" s="2" t="s">
        <v>74</v>
      </c>
      <c r="O1105" s="2" t="s">
        <v>74</v>
      </c>
      <c r="P1105" s="2" t="s">
        <v>74</v>
      </c>
      <c r="Q1105" s="2" t="s">
        <v>74</v>
      </c>
      <c r="R1105" s="2" t="s">
        <v>74</v>
      </c>
      <c r="S1105" s="2" t="s">
        <v>74</v>
      </c>
      <c r="T1105" s="2" t="s">
        <v>74</v>
      </c>
      <c r="U1105" s="2" t="s">
        <v>74</v>
      </c>
      <c r="V1105" s="5" t="s">
        <v>5747</v>
      </c>
      <c r="W1105" s="2" t="s">
        <v>74</v>
      </c>
      <c r="X1105" s="2" t="s">
        <v>74</v>
      </c>
      <c r="Y1105" s="2" t="s">
        <v>74</v>
      </c>
      <c r="Z1105" s="2" t="s">
        <v>74</v>
      </c>
      <c r="AA1105" s="2" t="s">
        <v>5748</v>
      </c>
      <c r="AB1105" s="2" t="s">
        <v>5749</v>
      </c>
      <c r="AC1105" s="2" t="s">
        <v>74</v>
      </c>
      <c r="AD1105" s="2" t="s">
        <v>74</v>
      </c>
      <c r="AE1105" s="2" t="s">
        <v>74</v>
      </c>
      <c r="AF1105" s="2" t="s">
        <v>74</v>
      </c>
      <c r="AG1105" s="2" t="s">
        <v>74</v>
      </c>
      <c r="AH1105" s="2" t="s">
        <v>74</v>
      </c>
      <c r="AI1105" s="2" t="s">
        <v>74</v>
      </c>
      <c r="AJ1105" s="2" t="s">
        <v>74</v>
      </c>
      <c r="AK1105" s="2" t="s">
        <v>74</v>
      </c>
      <c r="AL1105" s="2" t="s">
        <v>74</v>
      </c>
      <c r="AM1105" s="2" t="s">
        <v>74</v>
      </c>
      <c r="AN1105" s="2" t="s">
        <v>74</v>
      </c>
      <c r="AO1105" s="2" t="s">
        <v>2045</v>
      </c>
      <c r="AP1105" s="2" t="s">
        <v>2046</v>
      </c>
      <c r="AQ1105" s="2" t="s">
        <v>74</v>
      </c>
      <c r="AR1105" s="2" t="s">
        <v>74</v>
      </c>
      <c r="AS1105" s="2" t="s">
        <v>74</v>
      </c>
      <c r="AT1105" s="2" t="s">
        <v>255</v>
      </c>
      <c r="AU1105" s="2">
        <v>2016</v>
      </c>
      <c r="AV1105" s="2">
        <v>63</v>
      </c>
      <c r="AW1105" s="2">
        <v>1</v>
      </c>
      <c r="AX1105" s="2" t="s">
        <v>74</v>
      </c>
      <c r="AY1105" s="2" t="s">
        <v>74</v>
      </c>
      <c r="AZ1105" s="2" t="s">
        <v>74</v>
      </c>
      <c r="BA1105" s="2" t="s">
        <v>74</v>
      </c>
      <c r="BB1105" s="2">
        <v>94</v>
      </c>
      <c r="BC1105" s="2">
        <v>109</v>
      </c>
      <c r="BD1105" s="2" t="s">
        <v>74</v>
      </c>
      <c r="BE1105" s="2" t="s">
        <v>5750</v>
      </c>
      <c r="BF1105" s="2" t="str">
        <f>HYPERLINK("http://dx.doi.org/10.1007/s10228-015-0480-9","http://dx.doi.org/10.1007/s10228-015-0480-9")</f>
        <v>http://dx.doi.org/10.1007/s10228-015-0480-9</v>
      </c>
      <c r="BG1105" s="2" t="s">
        <v>74</v>
      </c>
      <c r="BH1105" s="2" t="s">
        <v>74</v>
      </c>
      <c r="BI1105" s="2" t="s">
        <v>74</v>
      </c>
      <c r="BJ1105" s="2" t="s">
        <v>74</v>
      </c>
      <c r="BK1105" s="2" t="s">
        <v>74</v>
      </c>
      <c r="BL1105" s="2" t="s">
        <v>74</v>
      </c>
      <c r="BM1105" s="2" t="s">
        <v>74</v>
      </c>
      <c r="BN1105" s="2" t="s">
        <v>74</v>
      </c>
      <c r="BO1105" s="2" t="s">
        <v>74</v>
      </c>
      <c r="BP1105" s="2" t="s">
        <v>74</v>
      </c>
      <c r="BQ1105" s="2" t="s">
        <v>74</v>
      </c>
      <c r="BR1105" s="2" t="s">
        <v>74</v>
      </c>
      <c r="BS1105" s="2" t="s">
        <v>5751</v>
      </c>
      <c r="BT1105" s="2" t="str">
        <f>HYPERLINK("https%3A%2F%2Fwww.webofscience.com%2Fwos%2Fwoscc%2Ffull-record%2FWOS:000367602100010","View Full Record in Web of Science")</f>
        <v>View Full Record in Web of Science</v>
      </c>
    </row>
    <row r="1106" spans="1:72" s="2" customFormat="1" x14ac:dyDescent="0.4">
      <c r="A1106" s="2" t="s">
        <v>72</v>
      </c>
      <c r="B1106" s="2" t="s">
        <v>2394</v>
      </c>
      <c r="C1106" s="2" t="s">
        <v>74</v>
      </c>
      <c r="D1106" s="2" t="s">
        <v>74</v>
      </c>
      <c r="E1106" s="2" t="s">
        <v>74</v>
      </c>
      <c r="F1106" s="2" t="s">
        <v>2395</v>
      </c>
      <c r="G1106" s="2" t="s">
        <v>74</v>
      </c>
      <c r="H1106" s="2" t="s">
        <v>74</v>
      </c>
      <c r="I1106" s="2" t="s">
        <v>2396</v>
      </c>
      <c r="J1106" s="2" t="s">
        <v>140</v>
      </c>
      <c r="K1106" s="2" t="s">
        <v>74</v>
      </c>
      <c r="L1106" s="2" t="s">
        <v>74</v>
      </c>
      <c r="M1106" s="2" t="s">
        <v>74</v>
      </c>
      <c r="N1106" s="2" t="s">
        <v>74</v>
      </c>
      <c r="O1106" s="2" t="s">
        <v>74</v>
      </c>
      <c r="P1106" s="2" t="s">
        <v>74</v>
      </c>
      <c r="Q1106" s="2" t="s">
        <v>74</v>
      </c>
      <c r="R1106" s="2" t="s">
        <v>74</v>
      </c>
      <c r="S1106" s="2" t="s">
        <v>74</v>
      </c>
      <c r="T1106" s="2" t="s">
        <v>74</v>
      </c>
      <c r="U1106" s="2" t="s">
        <v>74</v>
      </c>
      <c r="V1106" s="5" t="s">
        <v>2397</v>
      </c>
      <c r="W1106" s="2" t="s">
        <v>74</v>
      </c>
      <c r="X1106" s="2" t="s">
        <v>74</v>
      </c>
      <c r="Y1106" s="2" t="s">
        <v>74</v>
      </c>
      <c r="Z1106" s="2" t="s">
        <v>74</v>
      </c>
      <c r="AA1106" s="2" t="s">
        <v>2398</v>
      </c>
      <c r="AB1106" s="2" t="s">
        <v>2399</v>
      </c>
      <c r="AC1106" s="2" t="s">
        <v>74</v>
      </c>
      <c r="AD1106" s="2" t="s">
        <v>74</v>
      </c>
      <c r="AE1106" s="2" t="s">
        <v>74</v>
      </c>
      <c r="AF1106" s="2" t="s">
        <v>74</v>
      </c>
      <c r="AG1106" s="2" t="s">
        <v>74</v>
      </c>
      <c r="AH1106" s="2" t="s">
        <v>74</v>
      </c>
      <c r="AI1106" s="2" t="s">
        <v>74</v>
      </c>
      <c r="AJ1106" s="2" t="s">
        <v>74</v>
      </c>
      <c r="AK1106" s="2" t="s">
        <v>74</v>
      </c>
      <c r="AL1106" s="2" t="s">
        <v>74</v>
      </c>
      <c r="AM1106" s="2" t="s">
        <v>74</v>
      </c>
      <c r="AN1106" s="2" t="s">
        <v>74</v>
      </c>
      <c r="AO1106" s="2" t="s">
        <v>143</v>
      </c>
      <c r="AP1106" s="2" t="s">
        <v>144</v>
      </c>
      <c r="AQ1106" s="2" t="s">
        <v>74</v>
      </c>
      <c r="AR1106" s="2" t="s">
        <v>74</v>
      </c>
      <c r="AS1106" s="2" t="s">
        <v>74</v>
      </c>
      <c r="AT1106" s="2" t="s">
        <v>145</v>
      </c>
      <c r="AU1106" s="2">
        <v>2006</v>
      </c>
      <c r="AV1106" s="2">
        <v>72</v>
      </c>
      <c r="AW1106" s="2" t="s">
        <v>74</v>
      </c>
      <c r="AX1106" s="2">
        <v>2</v>
      </c>
      <c r="AY1106" s="2" t="s">
        <v>74</v>
      </c>
      <c r="AZ1106" s="2" t="s">
        <v>74</v>
      </c>
      <c r="BA1106" s="2" t="s">
        <v>74</v>
      </c>
      <c r="BB1106" s="2">
        <v>353</v>
      </c>
      <c r="BC1106" s="2">
        <v>363</v>
      </c>
      <c r="BD1106" s="2" t="s">
        <v>74</v>
      </c>
      <c r="BE1106" s="2" t="s">
        <v>2400</v>
      </c>
      <c r="BF1106" s="2" t="str">
        <f>HYPERLINK("http://dx.doi.org/10.1016/j.anbehav.2005.10.018","http://dx.doi.org/10.1016/j.anbehav.2005.10.018")</f>
        <v>http://dx.doi.org/10.1016/j.anbehav.2005.10.018</v>
      </c>
      <c r="BG1106" s="2" t="s">
        <v>74</v>
      </c>
      <c r="BH1106" s="2" t="s">
        <v>74</v>
      </c>
      <c r="BI1106" s="2" t="s">
        <v>74</v>
      </c>
      <c r="BJ1106" s="2" t="s">
        <v>74</v>
      </c>
      <c r="BK1106" s="2" t="s">
        <v>74</v>
      </c>
      <c r="BL1106" s="2" t="s">
        <v>74</v>
      </c>
      <c r="BM1106" s="2" t="s">
        <v>74</v>
      </c>
      <c r="BN1106" s="2" t="s">
        <v>74</v>
      </c>
      <c r="BO1106" s="2" t="s">
        <v>74</v>
      </c>
      <c r="BP1106" s="2" t="s">
        <v>74</v>
      </c>
      <c r="BQ1106" s="2" t="s">
        <v>74</v>
      </c>
      <c r="BR1106" s="2" t="s">
        <v>74</v>
      </c>
      <c r="BS1106" s="2" t="s">
        <v>2401</v>
      </c>
      <c r="BT1106" s="2" t="str">
        <f>HYPERLINK("https%3A%2F%2Fwww.webofscience.com%2Fwos%2Fwoscc%2Ffull-record%2FWOS:000240217300011","View Full Record in Web of Science")</f>
        <v>View Full Record in Web of Science</v>
      </c>
    </row>
    <row r="1107" spans="1:72" s="2" customFormat="1" x14ac:dyDescent="0.4">
      <c r="A1107" s="2" t="s">
        <v>72</v>
      </c>
      <c r="B1107" s="2" t="s">
        <v>6659</v>
      </c>
      <c r="C1107" s="2" t="s">
        <v>74</v>
      </c>
      <c r="D1107" s="2" t="s">
        <v>74</v>
      </c>
      <c r="E1107" s="2" t="s">
        <v>74</v>
      </c>
      <c r="F1107" s="2" t="s">
        <v>6660</v>
      </c>
      <c r="G1107" s="2" t="s">
        <v>74</v>
      </c>
      <c r="H1107" s="2" t="s">
        <v>74</v>
      </c>
      <c r="I1107" s="2" t="s">
        <v>6661</v>
      </c>
      <c r="J1107" s="2" t="s">
        <v>2017</v>
      </c>
      <c r="K1107" s="2" t="s">
        <v>74</v>
      </c>
      <c r="L1107" s="2" t="s">
        <v>74</v>
      </c>
      <c r="M1107" s="2" t="s">
        <v>74</v>
      </c>
      <c r="N1107" s="2" t="s">
        <v>74</v>
      </c>
      <c r="O1107" s="2" t="s">
        <v>74</v>
      </c>
      <c r="P1107" s="2" t="s">
        <v>74</v>
      </c>
      <c r="Q1107" s="2" t="s">
        <v>74</v>
      </c>
      <c r="R1107" s="2" t="s">
        <v>74</v>
      </c>
      <c r="S1107" s="2" t="s">
        <v>74</v>
      </c>
      <c r="T1107" s="2" t="s">
        <v>74</v>
      </c>
      <c r="U1107" s="2" t="s">
        <v>74</v>
      </c>
      <c r="V1107" s="5" t="s">
        <v>6662</v>
      </c>
      <c r="W1107" s="2" t="s">
        <v>74</v>
      </c>
      <c r="X1107" s="2" t="s">
        <v>74</v>
      </c>
      <c r="Y1107" s="2" t="s">
        <v>74</v>
      </c>
      <c r="Z1107" s="2" t="s">
        <v>74</v>
      </c>
      <c r="AA1107" s="2" t="s">
        <v>6663</v>
      </c>
      <c r="AB1107" s="2" t="s">
        <v>6664</v>
      </c>
      <c r="AC1107" s="2" t="s">
        <v>74</v>
      </c>
      <c r="AD1107" s="2" t="s">
        <v>74</v>
      </c>
      <c r="AE1107" s="2" t="s">
        <v>74</v>
      </c>
      <c r="AF1107" s="2" t="s">
        <v>74</v>
      </c>
      <c r="AG1107" s="2" t="s">
        <v>74</v>
      </c>
      <c r="AH1107" s="2" t="s">
        <v>74</v>
      </c>
      <c r="AI1107" s="2" t="s">
        <v>74</v>
      </c>
      <c r="AJ1107" s="2" t="s">
        <v>74</v>
      </c>
      <c r="AK1107" s="2" t="s">
        <v>74</v>
      </c>
      <c r="AL1107" s="2" t="s">
        <v>74</v>
      </c>
      <c r="AM1107" s="2" t="s">
        <v>74</v>
      </c>
      <c r="AN1107" s="2" t="s">
        <v>74</v>
      </c>
      <c r="AO1107" s="2" t="s">
        <v>2021</v>
      </c>
      <c r="AP1107" s="2" t="s">
        <v>74</v>
      </c>
      <c r="AQ1107" s="2" t="s">
        <v>74</v>
      </c>
      <c r="AR1107" s="2" t="s">
        <v>74</v>
      </c>
      <c r="AS1107" s="2" t="s">
        <v>74</v>
      </c>
      <c r="AT1107" s="2" t="s">
        <v>6665</v>
      </c>
      <c r="AU1107" s="2">
        <v>2018</v>
      </c>
      <c r="AV1107" s="2">
        <v>6</v>
      </c>
      <c r="AW1107" s="2" t="s">
        <v>74</v>
      </c>
      <c r="AX1107" s="2" t="s">
        <v>74</v>
      </c>
      <c r="AY1107" s="2" t="s">
        <v>74</v>
      </c>
      <c r="AZ1107" s="2" t="s">
        <v>74</v>
      </c>
      <c r="BA1107" s="2" t="s">
        <v>74</v>
      </c>
      <c r="BB1107" s="2" t="s">
        <v>74</v>
      </c>
      <c r="BC1107" s="2" t="s">
        <v>74</v>
      </c>
      <c r="BD1107" s="2">
        <v>70</v>
      </c>
      <c r="BE1107" s="2" t="s">
        <v>6666</v>
      </c>
      <c r="BF1107" s="2" t="str">
        <f>HYPERLINK("http://dx.doi.org/10.3389/fevo.2018.00070","http://dx.doi.org/10.3389/fevo.2018.00070")</f>
        <v>http://dx.doi.org/10.3389/fevo.2018.00070</v>
      </c>
      <c r="BG1107" s="2" t="s">
        <v>74</v>
      </c>
      <c r="BH1107" s="2" t="s">
        <v>74</v>
      </c>
      <c r="BI1107" s="2" t="s">
        <v>74</v>
      </c>
      <c r="BJ1107" s="2" t="s">
        <v>74</v>
      </c>
      <c r="BK1107" s="2" t="s">
        <v>74</v>
      </c>
      <c r="BL1107" s="2" t="s">
        <v>74</v>
      </c>
      <c r="BM1107" s="2" t="s">
        <v>74</v>
      </c>
      <c r="BN1107" s="2" t="s">
        <v>74</v>
      </c>
      <c r="BO1107" s="2" t="s">
        <v>74</v>
      </c>
      <c r="BP1107" s="2" t="s">
        <v>74</v>
      </c>
      <c r="BQ1107" s="2" t="s">
        <v>74</v>
      </c>
      <c r="BR1107" s="2" t="s">
        <v>74</v>
      </c>
      <c r="BS1107" s="2" t="s">
        <v>6667</v>
      </c>
      <c r="BT1107" s="2" t="str">
        <f>HYPERLINK("https%3A%2F%2Fwww.webofscience.com%2Fwos%2Fwoscc%2Ffull-record%2FWOS:000451666100001","View Full Record in Web of Science")</f>
        <v>View Full Record in Web of Science</v>
      </c>
    </row>
    <row r="1108" spans="1:72" s="2" customFormat="1" x14ac:dyDescent="0.4">
      <c r="A1108" s="2" t="s">
        <v>72</v>
      </c>
      <c r="B1108" s="2" t="s">
        <v>7262</v>
      </c>
      <c r="C1108" s="2" t="s">
        <v>74</v>
      </c>
      <c r="D1108" s="2" t="s">
        <v>74</v>
      </c>
      <c r="E1108" s="2" t="s">
        <v>74</v>
      </c>
      <c r="F1108" s="2" t="s">
        <v>7262</v>
      </c>
      <c r="G1108" s="2" t="s">
        <v>74</v>
      </c>
      <c r="H1108" s="2" t="s">
        <v>74</v>
      </c>
      <c r="I1108" s="2" t="s">
        <v>7263</v>
      </c>
      <c r="J1108" s="2" t="s">
        <v>129</v>
      </c>
      <c r="K1108" s="2" t="s">
        <v>74</v>
      </c>
      <c r="L1108" s="2" t="s">
        <v>74</v>
      </c>
      <c r="M1108" s="2" t="s">
        <v>74</v>
      </c>
      <c r="N1108" s="2" t="s">
        <v>74</v>
      </c>
      <c r="O1108" s="2" t="s">
        <v>74</v>
      </c>
      <c r="P1108" s="2" t="s">
        <v>74</v>
      </c>
      <c r="Q1108" s="2" t="s">
        <v>74</v>
      </c>
      <c r="R1108" s="2" t="s">
        <v>74</v>
      </c>
      <c r="S1108" s="2" t="s">
        <v>74</v>
      </c>
      <c r="T1108" s="2" t="s">
        <v>74</v>
      </c>
      <c r="U1108" s="2" t="s">
        <v>74</v>
      </c>
      <c r="V1108" s="5" t="s">
        <v>7264</v>
      </c>
      <c r="W1108" s="2" t="s">
        <v>74</v>
      </c>
      <c r="X1108" s="2" t="s">
        <v>74</v>
      </c>
      <c r="Y1108" s="2" t="s">
        <v>74</v>
      </c>
      <c r="Z1108" s="2" t="s">
        <v>74</v>
      </c>
      <c r="AA1108" s="2" t="s">
        <v>3138</v>
      </c>
      <c r="AB1108" s="2" t="s">
        <v>7265</v>
      </c>
      <c r="AC1108" s="2" t="s">
        <v>74</v>
      </c>
      <c r="AD1108" s="2" t="s">
        <v>74</v>
      </c>
      <c r="AE1108" s="2" t="s">
        <v>74</v>
      </c>
      <c r="AF1108" s="2" t="s">
        <v>74</v>
      </c>
      <c r="AG1108" s="2" t="s">
        <v>74</v>
      </c>
      <c r="AH1108" s="2" t="s">
        <v>74</v>
      </c>
      <c r="AI1108" s="2" t="s">
        <v>74</v>
      </c>
      <c r="AJ1108" s="2" t="s">
        <v>74</v>
      </c>
      <c r="AK1108" s="2" t="s">
        <v>74</v>
      </c>
      <c r="AL1108" s="2" t="s">
        <v>74</v>
      </c>
      <c r="AM1108" s="2" t="s">
        <v>74</v>
      </c>
      <c r="AN1108" s="2" t="s">
        <v>74</v>
      </c>
      <c r="AO1108" s="2" t="s">
        <v>132</v>
      </c>
      <c r="AP1108" s="2" t="s">
        <v>74</v>
      </c>
      <c r="AQ1108" s="2" t="s">
        <v>74</v>
      </c>
      <c r="AR1108" s="2" t="s">
        <v>74</v>
      </c>
      <c r="AS1108" s="2" t="s">
        <v>74</v>
      </c>
      <c r="AT1108" s="2" t="s">
        <v>145</v>
      </c>
      <c r="AU1108" s="2">
        <v>1999</v>
      </c>
      <c r="AV1108" s="2">
        <v>46</v>
      </c>
      <c r="AW1108" s="2">
        <v>3</v>
      </c>
      <c r="AX1108" s="2" t="s">
        <v>74</v>
      </c>
      <c r="AY1108" s="2" t="s">
        <v>74</v>
      </c>
      <c r="AZ1108" s="2" t="s">
        <v>74</v>
      </c>
      <c r="BA1108" s="2" t="s">
        <v>74</v>
      </c>
      <c r="BB1108" s="2">
        <v>210</v>
      </c>
      <c r="BC1108" s="2">
        <v>214</v>
      </c>
      <c r="BD1108" s="2" t="s">
        <v>74</v>
      </c>
      <c r="BE1108" s="2" t="s">
        <v>7266</v>
      </c>
      <c r="BF1108" s="2" t="str">
        <f>HYPERLINK("http://dx.doi.org/10.1007/s002650050611","http://dx.doi.org/10.1007/s002650050611")</f>
        <v>http://dx.doi.org/10.1007/s002650050611</v>
      </c>
      <c r="BG1108" s="2" t="s">
        <v>74</v>
      </c>
      <c r="BH1108" s="2" t="s">
        <v>74</v>
      </c>
      <c r="BI1108" s="2" t="s">
        <v>74</v>
      </c>
      <c r="BJ1108" s="2" t="s">
        <v>74</v>
      </c>
      <c r="BK1108" s="2" t="s">
        <v>74</v>
      </c>
      <c r="BL1108" s="2" t="s">
        <v>74</v>
      </c>
      <c r="BM1108" s="2" t="s">
        <v>74</v>
      </c>
      <c r="BN1108" s="2" t="s">
        <v>74</v>
      </c>
      <c r="BO1108" s="2" t="s">
        <v>74</v>
      </c>
      <c r="BP1108" s="2" t="s">
        <v>74</v>
      </c>
      <c r="BQ1108" s="2" t="s">
        <v>74</v>
      </c>
      <c r="BR1108" s="2" t="s">
        <v>74</v>
      </c>
      <c r="BS1108" s="2" t="s">
        <v>7267</v>
      </c>
      <c r="BT1108" s="2" t="str">
        <f>HYPERLINK("https%3A%2F%2Fwww.webofscience.com%2Fwos%2Fwoscc%2Ffull-record%2FWOS:000082141200009","View Full Record in Web of Science")</f>
        <v>View Full Record in Web of Science</v>
      </c>
    </row>
    <row r="1109" spans="1:72" s="2" customFormat="1" x14ac:dyDescent="0.4">
      <c r="A1109" s="2" t="s">
        <v>72</v>
      </c>
      <c r="B1109" s="2" t="s">
        <v>2834</v>
      </c>
      <c r="C1109" s="2" t="s">
        <v>74</v>
      </c>
      <c r="D1109" s="2" t="s">
        <v>74</v>
      </c>
      <c r="E1109" s="2" t="s">
        <v>74</v>
      </c>
      <c r="F1109" s="2" t="s">
        <v>2835</v>
      </c>
      <c r="G1109" s="2" t="s">
        <v>74</v>
      </c>
      <c r="H1109" s="2" t="s">
        <v>74</v>
      </c>
      <c r="I1109" s="2" t="s">
        <v>2836</v>
      </c>
      <c r="J1109" s="2" t="s">
        <v>367</v>
      </c>
      <c r="K1109" s="2" t="s">
        <v>74</v>
      </c>
      <c r="L1109" s="2" t="s">
        <v>74</v>
      </c>
      <c r="M1109" s="2" t="s">
        <v>74</v>
      </c>
      <c r="N1109" s="2" t="s">
        <v>74</v>
      </c>
      <c r="O1109" s="2" t="s">
        <v>74</v>
      </c>
      <c r="P1109" s="2" t="s">
        <v>74</v>
      </c>
      <c r="Q1109" s="2" t="s">
        <v>74</v>
      </c>
      <c r="R1109" s="2" t="s">
        <v>74</v>
      </c>
      <c r="S1109" s="2" t="s">
        <v>74</v>
      </c>
      <c r="T1109" s="2" t="s">
        <v>74</v>
      </c>
      <c r="U1109" s="2" t="s">
        <v>74</v>
      </c>
      <c r="V1109" s="5" t="s">
        <v>2837</v>
      </c>
      <c r="W1109" s="2" t="s">
        <v>74</v>
      </c>
      <c r="X1109" s="2" t="s">
        <v>74</v>
      </c>
      <c r="Y1109" s="2" t="s">
        <v>74</v>
      </c>
      <c r="Z1109" s="2" t="s">
        <v>74</v>
      </c>
      <c r="AA1109" s="2" t="s">
        <v>2838</v>
      </c>
      <c r="AB1109" s="2" t="s">
        <v>2839</v>
      </c>
      <c r="AC1109" s="2" t="s">
        <v>74</v>
      </c>
      <c r="AD1109" s="2" t="s">
        <v>74</v>
      </c>
      <c r="AE1109" s="2" t="s">
        <v>74</v>
      </c>
      <c r="AF1109" s="2" t="s">
        <v>74</v>
      </c>
      <c r="AG1109" s="2" t="s">
        <v>74</v>
      </c>
      <c r="AH1109" s="2" t="s">
        <v>74</v>
      </c>
      <c r="AI1109" s="2" t="s">
        <v>74</v>
      </c>
      <c r="AJ1109" s="2" t="s">
        <v>74</v>
      </c>
      <c r="AK1109" s="2" t="s">
        <v>74</v>
      </c>
      <c r="AL1109" s="2" t="s">
        <v>74</v>
      </c>
      <c r="AM1109" s="2" t="s">
        <v>74</v>
      </c>
      <c r="AN1109" s="2" t="s">
        <v>74</v>
      </c>
      <c r="AO1109" s="2" t="s">
        <v>371</v>
      </c>
      <c r="AP1109" s="2" t="s">
        <v>372</v>
      </c>
      <c r="AQ1109" s="2" t="s">
        <v>74</v>
      </c>
      <c r="AR1109" s="2" t="s">
        <v>74</v>
      </c>
      <c r="AS1109" s="2" t="s">
        <v>74</v>
      </c>
      <c r="AT1109" s="2" t="s">
        <v>2840</v>
      </c>
      <c r="AU1109" s="2">
        <v>2024</v>
      </c>
      <c r="AV1109" s="2" t="s">
        <v>74</v>
      </c>
      <c r="AW1109" s="2" t="s">
        <v>74</v>
      </c>
      <c r="AX1109" s="2" t="s">
        <v>74</v>
      </c>
      <c r="AY1109" s="2" t="s">
        <v>74</v>
      </c>
      <c r="AZ1109" s="2" t="s">
        <v>74</v>
      </c>
      <c r="BA1109" s="2" t="s">
        <v>74</v>
      </c>
      <c r="BB1109" s="2" t="s">
        <v>74</v>
      </c>
      <c r="BC1109" s="2" t="s">
        <v>74</v>
      </c>
      <c r="BD1109" s="2" t="s">
        <v>74</v>
      </c>
      <c r="BE1109" s="2" t="s">
        <v>2841</v>
      </c>
      <c r="BF1109" s="2" t="str">
        <f>HYPERLINK("http://dx.doi.org/10.1037/com0000374","http://dx.doi.org/10.1037/com0000374")</f>
        <v>http://dx.doi.org/10.1037/com0000374</v>
      </c>
      <c r="BG1109" s="2" t="s">
        <v>74</v>
      </c>
      <c r="BH1109" s="2" t="s">
        <v>2842</v>
      </c>
      <c r="BI1109" s="2" t="s">
        <v>74</v>
      </c>
      <c r="BJ1109" s="2" t="s">
        <v>74</v>
      </c>
      <c r="BK1109" s="2" t="s">
        <v>74</v>
      </c>
      <c r="BL1109" s="2" t="s">
        <v>74</v>
      </c>
      <c r="BM1109" s="2" t="s">
        <v>74</v>
      </c>
      <c r="BN1109" s="2">
        <v>38330314</v>
      </c>
      <c r="BO1109" s="2" t="s">
        <v>74</v>
      </c>
      <c r="BP1109" s="2" t="s">
        <v>74</v>
      </c>
      <c r="BQ1109" s="2" t="s">
        <v>74</v>
      </c>
      <c r="BR1109" s="2" t="s">
        <v>74</v>
      </c>
      <c r="BS1109" s="2" t="s">
        <v>2843</v>
      </c>
      <c r="BT1109" s="2" t="str">
        <f>HYPERLINK("https%3A%2F%2Fwww.webofscience.com%2Fwos%2Fwoscc%2Ffull-record%2FWOS:001158763200001","View Full Record in Web of Science")</f>
        <v>View Full Record in Web of Science</v>
      </c>
    </row>
    <row r="1110" spans="1:72" s="2" customFormat="1" x14ac:dyDescent="0.4">
      <c r="A1110" s="2" t="s">
        <v>72</v>
      </c>
      <c r="B1110" s="2" t="s">
        <v>3740</v>
      </c>
      <c r="C1110" s="2" t="s">
        <v>74</v>
      </c>
      <c r="D1110" s="2" t="s">
        <v>74</v>
      </c>
      <c r="E1110" s="2" t="s">
        <v>74</v>
      </c>
      <c r="F1110" s="2" t="s">
        <v>3740</v>
      </c>
      <c r="G1110" s="2" t="s">
        <v>74</v>
      </c>
      <c r="H1110" s="2" t="s">
        <v>74</v>
      </c>
      <c r="I1110" s="2" t="s">
        <v>3741</v>
      </c>
      <c r="J1110" s="2" t="s">
        <v>77</v>
      </c>
      <c r="K1110" s="2" t="s">
        <v>74</v>
      </c>
      <c r="L1110" s="2" t="s">
        <v>74</v>
      </c>
      <c r="M1110" s="2" t="s">
        <v>74</v>
      </c>
      <c r="N1110" s="2" t="s">
        <v>74</v>
      </c>
      <c r="O1110" s="2" t="s">
        <v>74</v>
      </c>
      <c r="P1110" s="2" t="s">
        <v>74</v>
      </c>
      <c r="Q1110" s="2" t="s">
        <v>74</v>
      </c>
      <c r="R1110" s="2" t="s">
        <v>74</v>
      </c>
      <c r="S1110" s="2" t="s">
        <v>74</v>
      </c>
      <c r="T1110" s="2" t="s">
        <v>74</v>
      </c>
      <c r="U1110" s="2" t="s">
        <v>74</v>
      </c>
      <c r="V1110" s="5" t="s">
        <v>3742</v>
      </c>
      <c r="W1110" s="2" t="s">
        <v>74</v>
      </c>
      <c r="X1110" s="2" t="s">
        <v>74</v>
      </c>
      <c r="Y1110" s="2" t="s">
        <v>74</v>
      </c>
      <c r="Z1110" s="2" t="s">
        <v>74</v>
      </c>
      <c r="AA1110" s="2" t="s">
        <v>74</v>
      </c>
      <c r="AB1110" s="2" t="s">
        <v>74</v>
      </c>
      <c r="AC1110" s="2" t="s">
        <v>74</v>
      </c>
      <c r="AD1110" s="2" t="s">
        <v>74</v>
      </c>
      <c r="AE1110" s="2" t="s">
        <v>74</v>
      </c>
      <c r="AF1110" s="2" t="s">
        <v>74</v>
      </c>
      <c r="AG1110" s="2" t="s">
        <v>74</v>
      </c>
      <c r="AH1110" s="2" t="s">
        <v>74</v>
      </c>
      <c r="AI1110" s="2" t="s">
        <v>74</v>
      </c>
      <c r="AJ1110" s="2" t="s">
        <v>74</v>
      </c>
      <c r="AK1110" s="2" t="s">
        <v>74</v>
      </c>
      <c r="AL1110" s="2" t="s">
        <v>74</v>
      </c>
      <c r="AM1110" s="2" t="s">
        <v>74</v>
      </c>
      <c r="AN1110" s="2" t="s">
        <v>74</v>
      </c>
      <c r="AO1110" s="2" t="s">
        <v>81</v>
      </c>
      <c r="AP1110" s="2" t="s">
        <v>82</v>
      </c>
      <c r="AQ1110" s="2" t="s">
        <v>74</v>
      </c>
      <c r="AR1110" s="2" t="s">
        <v>74</v>
      </c>
      <c r="AS1110" s="2" t="s">
        <v>74</v>
      </c>
      <c r="AT1110" s="2" t="s">
        <v>305</v>
      </c>
      <c r="AU1110" s="2">
        <v>1989</v>
      </c>
      <c r="AV1110" s="2">
        <v>111</v>
      </c>
      <c r="AW1110" s="2" t="s">
        <v>74</v>
      </c>
      <c r="AX1110" s="2" t="s">
        <v>3743</v>
      </c>
      <c r="AY1110" s="2" t="s">
        <v>74</v>
      </c>
      <c r="AZ1110" s="2" t="s">
        <v>74</v>
      </c>
      <c r="BA1110" s="2" t="s">
        <v>74</v>
      </c>
      <c r="BB1110" s="2">
        <v>220</v>
      </c>
      <c r="BC1110" s="2">
        <v>233</v>
      </c>
      <c r="BD1110" s="2" t="s">
        <v>74</v>
      </c>
      <c r="BE1110" s="2" t="s">
        <v>3744</v>
      </c>
      <c r="BF1110" s="2" t="str">
        <f>HYPERLINK("http://dx.doi.org/10.1163/156853989X00673","http://dx.doi.org/10.1163/156853989X00673")</f>
        <v>http://dx.doi.org/10.1163/156853989X00673</v>
      </c>
      <c r="BG1110" s="2" t="s">
        <v>74</v>
      </c>
      <c r="BH1110" s="2" t="s">
        <v>74</v>
      </c>
      <c r="BI1110" s="2" t="s">
        <v>74</v>
      </c>
      <c r="BJ1110" s="2" t="s">
        <v>74</v>
      </c>
      <c r="BK1110" s="2" t="s">
        <v>74</v>
      </c>
      <c r="BL1110" s="2" t="s">
        <v>74</v>
      </c>
      <c r="BM1110" s="2" t="s">
        <v>74</v>
      </c>
      <c r="BN1110" s="2" t="s">
        <v>74</v>
      </c>
      <c r="BO1110" s="2" t="s">
        <v>74</v>
      </c>
      <c r="BP1110" s="2" t="s">
        <v>74</v>
      </c>
      <c r="BQ1110" s="2" t="s">
        <v>74</v>
      </c>
      <c r="BR1110" s="2" t="s">
        <v>74</v>
      </c>
      <c r="BS1110" s="2" t="s">
        <v>3745</v>
      </c>
      <c r="BT1110" s="2" t="str">
        <f>HYPERLINK("https%3A%2F%2Fwww.webofscience.com%2Fwos%2Fwoscc%2Ffull-record%2FWOS:A1989CT62800014","View Full Record in Web of Science")</f>
        <v>View Full Record in Web of Science</v>
      </c>
    </row>
    <row r="1111" spans="1:72" s="1" customFormat="1" x14ac:dyDescent="0.4">
      <c r="A1111" s="2" t="s">
        <v>72</v>
      </c>
      <c r="B1111" s="2" t="s">
        <v>651</v>
      </c>
      <c r="C1111" s="2" t="s">
        <v>74</v>
      </c>
      <c r="D1111" s="2" t="s">
        <v>74</v>
      </c>
      <c r="E1111" s="2" t="s">
        <v>74</v>
      </c>
      <c r="F1111" s="2" t="s">
        <v>652</v>
      </c>
      <c r="G1111" s="2" t="s">
        <v>74</v>
      </c>
      <c r="H1111" s="2" t="s">
        <v>74</v>
      </c>
      <c r="I1111" s="2" t="s">
        <v>653</v>
      </c>
      <c r="J1111" s="2" t="s">
        <v>654</v>
      </c>
      <c r="K1111" s="2" t="s">
        <v>74</v>
      </c>
      <c r="L1111" s="2" t="s">
        <v>74</v>
      </c>
      <c r="M1111" s="2" t="s">
        <v>74</v>
      </c>
      <c r="N1111" s="2" t="s">
        <v>74</v>
      </c>
      <c r="O1111" s="2" t="s">
        <v>74</v>
      </c>
      <c r="P1111" s="2" t="s">
        <v>74</v>
      </c>
      <c r="Q1111" s="2" t="s">
        <v>74</v>
      </c>
      <c r="R1111" s="2" t="s">
        <v>74</v>
      </c>
      <c r="S1111" s="2" t="s">
        <v>74</v>
      </c>
      <c r="T1111" s="2" t="s">
        <v>74</v>
      </c>
      <c r="U1111" s="2" t="s">
        <v>74</v>
      </c>
      <c r="V1111" s="5" t="s">
        <v>655</v>
      </c>
      <c r="W1111" s="2" t="s">
        <v>74</v>
      </c>
      <c r="X1111" s="2" t="s">
        <v>74</v>
      </c>
      <c r="Y1111" s="2" t="s">
        <v>74</v>
      </c>
      <c r="Z1111" s="2" t="s">
        <v>74</v>
      </c>
      <c r="AA1111" s="2" t="s">
        <v>656</v>
      </c>
      <c r="AB1111" s="2" t="s">
        <v>657</v>
      </c>
      <c r="AC1111" s="2" t="s">
        <v>74</v>
      </c>
      <c r="AD1111" s="2" t="s">
        <v>74</v>
      </c>
      <c r="AE1111" s="2" t="s">
        <v>74</v>
      </c>
      <c r="AF1111" s="2" t="s">
        <v>74</v>
      </c>
      <c r="AG1111" s="2" t="s">
        <v>74</v>
      </c>
      <c r="AH1111" s="2" t="s">
        <v>74</v>
      </c>
      <c r="AI1111" s="2" t="s">
        <v>74</v>
      </c>
      <c r="AJ1111" s="2" t="s">
        <v>74</v>
      </c>
      <c r="AK1111" s="2" t="s">
        <v>74</v>
      </c>
      <c r="AL1111" s="2" t="s">
        <v>74</v>
      </c>
      <c r="AM1111" s="2" t="s">
        <v>74</v>
      </c>
      <c r="AN1111" s="2" t="s">
        <v>74</v>
      </c>
      <c r="AO1111" s="2" t="s">
        <v>658</v>
      </c>
      <c r="AP1111" s="2" t="s">
        <v>74</v>
      </c>
      <c r="AQ1111" s="2" t="s">
        <v>74</v>
      </c>
      <c r="AR1111" s="2" t="s">
        <v>74</v>
      </c>
      <c r="AS1111" s="2" t="s">
        <v>74</v>
      </c>
      <c r="AT1111" s="2" t="s">
        <v>305</v>
      </c>
      <c r="AU1111" s="2">
        <v>2023</v>
      </c>
      <c r="AV1111" s="2">
        <v>13</v>
      </c>
      <c r="AW1111" s="2">
        <v>12</v>
      </c>
      <c r="AX1111" s="2" t="s">
        <v>74</v>
      </c>
      <c r="AY1111" s="2" t="s">
        <v>74</v>
      </c>
      <c r="AZ1111" s="2" t="s">
        <v>74</v>
      </c>
      <c r="BA1111" s="2" t="s">
        <v>74</v>
      </c>
      <c r="BB1111" s="2" t="s">
        <v>74</v>
      </c>
      <c r="BC1111" s="2" t="s">
        <v>74</v>
      </c>
      <c r="BD1111" s="2" t="s">
        <v>659</v>
      </c>
      <c r="BE1111" s="2" t="s">
        <v>660</v>
      </c>
      <c r="BF1111" s="2" t="str">
        <f>HYPERLINK("http://dx.doi.org/10.1002/ece3.10735","http://dx.doi.org/10.1002/ece3.10735")</f>
        <v>http://dx.doi.org/10.1002/ece3.10735</v>
      </c>
      <c r="BG1111" s="2" t="s">
        <v>74</v>
      </c>
      <c r="BH1111" s="2" t="s">
        <v>74</v>
      </c>
      <c r="BI1111" s="2" t="s">
        <v>74</v>
      </c>
      <c r="BJ1111" s="2" t="s">
        <v>74</v>
      </c>
      <c r="BK1111" s="2" t="s">
        <v>74</v>
      </c>
      <c r="BL1111" s="2" t="s">
        <v>74</v>
      </c>
      <c r="BM1111" s="2" t="s">
        <v>74</v>
      </c>
      <c r="BN1111" s="2">
        <v>38077506</v>
      </c>
      <c r="BO1111" s="2" t="s">
        <v>74</v>
      </c>
      <c r="BP1111" s="2" t="s">
        <v>74</v>
      </c>
      <c r="BQ1111" s="2" t="s">
        <v>74</v>
      </c>
      <c r="BR1111" s="2" t="s">
        <v>74</v>
      </c>
      <c r="BS1111" s="2" t="s">
        <v>661</v>
      </c>
      <c r="BT1111" s="2" t="str">
        <f>HYPERLINK("https%3A%2F%2Fwww.webofscience.com%2Fwos%2Fwoscc%2Ffull-record%2FWOS:001114381400001","View Full Record in Web of Science")</f>
        <v>View Full Record in Web of Science</v>
      </c>
    </row>
    <row r="1112" spans="1:72" s="2" customFormat="1" x14ac:dyDescent="0.4">
      <c r="A1112" s="2" t="s">
        <v>72</v>
      </c>
      <c r="B1112" s="2" t="s">
        <v>355</v>
      </c>
      <c r="C1112" s="2" t="s">
        <v>74</v>
      </c>
      <c r="D1112" s="2" t="s">
        <v>74</v>
      </c>
      <c r="E1112" s="2" t="s">
        <v>74</v>
      </c>
      <c r="F1112" s="2" t="s">
        <v>356</v>
      </c>
      <c r="G1112" s="2" t="s">
        <v>74</v>
      </c>
      <c r="H1112" s="2" t="s">
        <v>74</v>
      </c>
      <c r="I1112" s="2" t="s">
        <v>357</v>
      </c>
      <c r="J1112" s="2" t="s">
        <v>88</v>
      </c>
      <c r="K1112" s="2" t="s">
        <v>74</v>
      </c>
      <c r="L1112" s="2" t="s">
        <v>74</v>
      </c>
      <c r="M1112" s="2" t="s">
        <v>74</v>
      </c>
      <c r="N1112" s="2" t="s">
        <v>74</v>
      </c>
      <c r="O1112" s="2" t="s">
        <v>74</v>
      </c>
      <c r="P1112" s="2" t="s">
        <v>74</v>
      </c>
      <c r="Q1112" s="2" t="s">
        <v>74</v>
      </c>
      <c r="R1112" s="2" t="s">
        <v>74</v>
      </c>
      <c r="S1112" s="2" t="s">
        <v>74</v>
      </c>
      <c r="T1112" s="2" t="s">
        <v>74</v>
      </c>
      <c r="U1112" s="2" t="s">
        <v>74</v>
      </c>
      <c r="V1112" s="5" t="s">
        <v>358</v>
      </c>
      <c r="W1112" s="2" t="s">
        <v>74</v>
      </c>
      <c r="X1112" s="2" t="s">
        <v>74</v>
      </c>
      <c r="Y1112" s="2" t="s">
        <v>74</v>
      </c>
      <c r="Z1112" s="2" t="s">
        <v>74</v>
      </c>
      <c r="AA1112" s="2" t="s">
        <v>359</v>
      </c>
      <c r="AB1112" s="2" t="s">
        <v>360</v>
      </c>
      <c r="AC1112" s="2" t="s">
        <v>74</v>
      </c>
      <c r="AD1112" s="2" t="s">
        <v>74</v>
      </c>
      <c r="AE1112" s="2" t="s">
        <v>74</v>
      </c>
      <c r="AF1112" s="2" t="s">
        <v>74</v>
      </c>
      <c r="AG1112" s="2" t="s">
        <v>74</v>
      </c>
      <c r="AH1112" s="2" t="s">
        <v>74</v>
      </c>
      <c r="AI1112" s="2" t="s">
        <v>74</v>
      </c>
      <c r="AJ1112" s="2" t="s">
        <v>74</v>
      </c>
      <c r="AK1112" s="2" t="s">
        <v>74</v>
      </c>
      <c r="AL1112" s="2" t="s">
        <v>74</v>
      </c>
      <c r="AM1112" s="2" t="s">
        <v>74</v>
      </c>
      <c r="AN1112" s="2" t="s">
        <v>74</v>
      </c>
      <c r="AO1112" s="2" t="s">
        <v>91</v>
      </c>
      <c r="AP1112" s="2" t="s">
        <v>92</v>
      </c>
      <c r="AQ1112" s="2" t="s">
        <v>74</v>
      </c>
      <c r="AR1112" s="2" t="s">
        <v>74</v>
      </c>
      <c r="AS1112" s="2" t="s">
        <v>74</v>
      </c>
      <c r="AT1112" s="2" t="s">
        <v>361</v>
      </c>
      <c r="AU1112" s="2">
        <v>2015</v>
      </c>
      <c r="AV1112" s="2">
        <v>11</v>
      </c>
      <c r="AW1112" s="2">
        <v>5</v>
      </c>
      <c r="AX1112" s="2" t="s">
        <v>74</v>
      </c>
      <c r="AY1112" s="2" t="s">
        <v>74</v>
      </c>
      <c r="AZ1112" s="2" t="s">
        <v>74</v>
      </c>
      <c r="BA1112" s="2" t="s">
        <v>74</v>
      </c>
      <c r="BB1112" s="2" t="s">
        <v>74</v>
      </c>
      <c r="BC1112" s="2" t="s">
        <v>74</v>
      </c>
      <c r="BD1112" s="2">
        <v>20150166</v>
      </c>
      <c r="BE1112" s="2" t="s">
        <v>362</v>
      </c>
      <c r="BF1112" s="2" t="str">
        <f>HYPERLINK("http://dx.doi.org/10.1098/rsbl.2015.0166","http://dx.doi.org/10.1098/rsbl.2015.0166")</f>
        <v>http://dx.doi.org/10.1098/rsbl.2015.0166</v>
      </c>
      <c r="BG1112" s="2" t="s">
        <v>74</v>
      </c>
      <c r="BH1112" s="2" t="s">
        <v>74</v>
      </c>
      <c r="BI1112" s="2" t="s">
        <v>74</v>
      </c>
      <c r="BJ1112" s="2" t="s">
        <v>74</v>
      </c>
      <c r="BK1112" s="2" t="s">
        <v>74</v>
      </c>
      <c r="BL1112" s="2" t="s">
        <v>74</v>
      </c>
      <c r="BM1112" s="2" t="s">
        <v>74</v>
      </c>
      <c r="BN1112" s="2">
        <v>25972401</v>
      </c>
      <c r="BO1112" s="2" t="s">
        <v>74</v>
      </c>
      <c r="BP1112" s="2" t="s">
        <v>74</v>
      </c>
      <c r="BQ1112" s="2" t="s">
        <v>74</v>
      </c>
      <c r="BR1112" s="2" t="s">
        <v>74</v>
      </c>
      <c r="BS1112" s="2" t="s">
        <v>363</v>
      </c>
      <c r="BT1112" s="2" t="str">
        <f>HYPERLINK("https%3A%2F%2Fwww.webofscience.com%2Fwos%2Fwoscc%2Ffull-record%2FWOS:000357684200014","View Full Record in Web of Science")</f>
        <v>View Full Record in Web of Science</v>
      </c>
    </row>
    <row r="1113" spans="1:72" s="2" customFormat="1" x14ac:dyDescent="0.4">
      <c r="A1113" s="2" t="s">
        <v>72</v>
      </c>
      <c r="B1113" s="2" t="s">
        <v>6049</v>
      </c>
      <c r="C1113" s="2" t="s">
        <v>74</v>
      </c>
      <c r="D1113" s="2" t="s">
        <v>74</v>
      </c>
      <c r="E1113" s="2" t="s">
        <v>74</v>
      </c>
      <c r="F1113" s="2" t="s">
        <v>6049</v>
      </c>
      <c r="G1113" s="2" t="s">
        <v>74</v>
      </c>
      <c r="H1113" s="2" t="s">
        <v>74</v>
      </c>
      <c r="I1113" s="2" t="s">
        <v>6050</v>
      </c>
      <c r="J1113" s="2" t="s">
        <v>171</v>
      </c>
      <c r="K1113" s="2" t="s">
        <v>74</v>
      </c>
      <c r="L1113" s="2" t="s">
        <v>74</v>
      </c>
      <c r="M1113" s="2" t="s">
        <v>74</v>
      </c>
      <c r="N1113" s="2" t="s">
        <v>74</v>
      </c>
      <c r="O1113" s="2" t="s">
        <v>74</v>
      </c>
      <c r="P1113" s="2" t="s">
        <v>74</v>
      </c>
      <c r="Q1113" s="2" t="s">
        <v>74</v>
      </c>
      <c r="R1113" s="2" t="s">
        <v>74</v>
      </c>
      <c r="S1113" s="2" t="s">
        <v>74</v>
      </c>
      <c r="T1113" s="2" t="s">
        <v>74</v>
      </c>
      <c r="U1113" s="2" t="s">
        <v>74</v>
      </c>
      <c r="V1113" s="5" t="s">
        <v>6051</v>
      </c>
      <c r="W1113" s="2" t="s">
        <v>74</v>
      </c>
      <c r="X1113" s="2" t="s">
        <v>74</v>
      </c>
      <c r="Y1113" s="2" t="s">
        <v>74</v>
      </c>
      <c r="Z1113" s="2" t="s">
        <v>74</v>
      </c>
      <c r="AA1113" s="2" t="s">
        <v>74</v>
      </c>
      <c r="AB1113" s="2" t="s">
        <v>6052</v>
      </c>
      <c r="AC1113" s="2" t="s">
        <v>74</v>
      </c>
      <c r="AD1113" s="2" t="s">
        <v>74</v>
      </c>
      <c r="AE1113" s="2" t="s">
        <v>74</v>
      </c>
      <c r="AF1113" s="2" t="s">
        <v>74</v>
      </c>
      <c r="AG1113" s="2" t="s">
        <v>74</v>
      </c>
      <c r="AH1113" s="2" t="s">
        <v>74</v>
      </c>
      <c r="AI1113" s="2" t="s">
        <v>74</v>
      </c>
      <c r="AJ1113" s="2" t="s">
        <v>74</v>
      </c>
      <c r="AK1113" s="2" t="s">
        <v>74</v>
      </c>
      <c r="AL1113" s="2" t="s">
        <v>74</v>
      </c>
      <c r="AM1113" s="2" t="s">
        <v>74</v>
      </c>
      <c r="AN1113" s="2" t="s">
        <v>74</v>
      </c>
      <c r="AO1113" s="2" t="s">
        <v>173</v>
      </c>
      <c r="AP1113" s="2" t="s">
        <v>174</v>
      </c>
      <c r="AQ1113" s="2" t="s">
        <v>74</v>
      </c>
      <c r="AR1113" s="2" t="s">
        <v>74</v>
      </c>
      <c r="AS1113" s="2" t="s">
        <v>74</v>
      </c>
      <c r="AT1113" s="2" t="s">
        <v>305</v>
      </c>
      <c r="AU1113" s="2">
        <v>1999</v>
      </c>
      <c r="AV1113" s="2">
        <v>53</v>
      </c>
      <c r="AW1113" s="2">
        <v>6</v>
      </c>
      <c r="AX1113" s="2" t="s">
        <v>74</v>
      </c>
      <c r="AY1113" s="2" t="s">
        <v>74</v>
      </c>
      <c r="AZ1113" s="2" t="s">
        <v>74</v>
      </c>
      <c r="BA1113" s="2" t="s">
        <v>74</v>
      </c>
      <c r="BB1113" s="2">
        <v>1884</v>
      </c>
      <c r="BC1113" s="2">
        <v>1897</v>
      </c>
      <c r="BD1113" s="2" t="s">
        <v>74</v>
      </c>
      <c r="BE1113" s="2" t="s">
        <v>6053</v>
      </c>
      <c r="BF1113" s="2" t="str">
        <f>HYPERLINK("http://dx.doi.org/10.2307/2640448","http://dx.doi.org/10.2307/2640448")</f>
        <v>http://dx.doi.org/10.2307/2640448</v>
      </c>
      <c r="BG1113" s="2" t="s">
        <v>74</v>
      </c>
      <c r="BH1113" s="2" t="s">
        <v>74</v>
      </c>
      <c r="BI1113" s="2" t="s">
        <v>74</v>
      </c>
      <c r="BJ1113" s="2" t="s">
        <v>74</v>
      </c>
      <c r="BK1113" s="2" t="s">
        <v>74</v>
      </c>
      <c r="BL1113" s="2" t="s">
        <v>74</v>
      </c>
      <c r="BM1113" s="2" t="s">
        <v>74</v>
      </c>
      <c r="BN1113" s="2">
        <v>28565467</v>
      </c>
      <c r="BO1113" s="2" t="s">
        <v>74</v>
      </c>
      <c r="BP1113" s="2" t="s">
        <v>74</v>
      </c>
      <c r="BQ1113" s="2" t="s">
        <v>74</v>
      </c>
      <c r="BR1113" s="2" t="s">
        <v>74</v>
      </c>
      <c r="BS1113" s="2" t="s">
        <v>6054</v>
      </c>
      <c r="BT1113" s="2" t="str">
        <f>HYPERLINK("https%3A%2F%2Fwww.webofscience.com%2Fwos%2Fwoscc%2Ffull-record%2FWOS:000084703100021","View Full Record in Web of Science")</f>
        <v>View Full Record in Web of Science</v>
      </c>
    </row>
    <row r="1114" spans="1:72" s="2" customFormat="1" x14ac:dyDescent="0.4">
      <c r="A1114" s="2" t="s">
        <v>72</v>
      </c>
      <c r="B1114" s="2" t="s">
        <v>4733</v>
      </c>
      <c r="C1114" s="2" t="s">
        <v>74</v>
      </c>
      <c r="D1114" s="2" t="s">
        <v>74</v>
      </c>
      <c r="E1114" s="2" t="s">
        <v>74</v>
      </c>
      <c r="F1114" s="2" t="s">
        <v>4734</v>
      </c>
      <c r="G1114" s="2" t="s">
        <v>74</v>
      </c>
      <c r="H1114" s="2" t="s">
        <v>74</v>
      </c>
      <c r="I1114" s="2" t="s">
        <v>4735</v>
      </c>
      <c r="J1114" s="2" t="s">
        <v>77</v>
      </c>
      <c r="K1114" s="2" t="s">
        <v>74</v>
      </c>
      <c r="L1114" s="2" t="s">
        <v>74</v>
      </c>
      <c r="M1114" s="2" t="s">
        <v>74</v>
      </c>
      <c r="N1114" s="2" t="s">
        <v>74</v>
      </c>
      <c r="O1114" s="2" t="s">
        <v>74</v>
      </c>
      <c r="P1114" s="2" t="s">
        <v>74</v>
      </c>
      <c r="Q1114" s="2" t="s">
        <v>74</v>
      </c>
      <c r="R1114" s="2" t="s">
        <v>74</v>
      </c>
      <c r="S1114" s="2" t="s">
        <v>74</v>
      </c>
      <c r="T1114" s="2" t="s">
        <v>74</v>
      </c>
      <c r="U1114" s="2" t="s">
        <v>74</v>
      </c>
      <c r="V1114" s="5" t="s">
        <v>4736</v>
      </c>
      <c r="W1114" s="2" t="s">
        <v>74</v>
      </c>
      <c r="X1114" s="2" t="s">
        <v>74</v>
      </c>
      <c r="Y1114" s="2" t="s">
        <v>74</v>
      </c>
      <c r="Z1114" s="2" t="s">
        <v>74</v>
      </c>
      <c r="AA1114" s="2" t="s">
        <v>4737</v>
      </c>
      <c r="AB1114" s="2" t="s">
        <v>74</v>
      </c>
      <c r="AC1114" s="2" t="s">
        <v>74</v>
      </c>
      <c r="AD1114" s="2" t="s">
        <v>74</v>
      </c>
      <c r="AE1114" s="2" t="s">
        <v>74</v>
      </c>
      <c r="AF1114" s="2" t="s">
        <v>74</v>
      </c>
      <c r="AG1114" s="2" t="s">
        <v>74</v>
      </c>
      <c r="AH1114" s="2" t="s">
        <v>74</v>
      </c>
      <c r="AI1114" s="2" t="s">
        <v>74</v>
      </c>
      <c r="AJ1114" s="2" t="s">
        <v>74</v>
      </c>
      <c r="AK1114" s="2" t="s">
        <v>74</v>
      </c>
      <c r="AL1114" s="2" t="s">
        <v>74</v>
      </c>
      <c r="AM1114" s="2" t="s">
        <v>74</v>
      </c>
      <c r="AN1114" s="2" t="s">
        <v>74</v>
      </c>
      <c r="AO1114" s="2" t="s">
        <v>81</v>
      </c>
      <c r="AP1114" s="2" t="s">
        <v>82</v>
      </c>
      <c r="AQ1114" s="2" t="s">
        <v>74</v>
      </c>
      <c r="AR1114" s="2" t="s">
        <v>74</v>
      </c>
      <c r="AS1114" s="2" t="s">
        <v>74</v>
      </c>
      <c r="AT1114" s="2" t="s">
        <v>74</v>
      </c>
      <c r="AU1114" s="2">
        <v>2015</v>
      </c>
      <c r="AV1114" s="2">
        <v>152</v>
      </c>
      <c r="AW1114" s="2">
        <v>5</v>
      </c>
      <c r="AX1114" s="2" t="s">
        <v>74</v>
      </c>
      <c r="AY1114" s="2" t="s">
        <v>74</v>
      </c>
      <c r="AZ1114" s="2" t="s">
        <v>74</v>
      </c>
      <c r="BA1114" s="2" t="s">
        <v>74</v>
      </c>
      <c r="BB1114" s="2">
        <v>563</v>
      </c>
      <c r="BC1114" s="2">
        <v>591</v>
      </c>
      <c r="BD1114" s="2" t="s">
        <v>74</v>
      </c>
      <c r="BE1114" s="2" t="s">
        <v>4738</v>
      </c>
      <c r="BF1114" s="2" t="str">
        <f>HYPERLINK("http://dx.doi.org/10.1163/1568539X-00003243","http://dx.doi.org/10.1163/1568539X-00003243")</f>
        <v>http://dx.doi.org/10.1163/1568539X-00003243</v>
      </c>
      <c r="BG1114" s="2" t="s">
        <v>74</v>
      </c>
      <c r="BH1114" s="2" t="s">
        <v>74</v>
      </c>
      <c r="BI1114" s="2" t="s">
        <v>74</v>
      </c>
      <c r="BJ1114" s="2" t="s">
        <v>74</v>
      </c>
      <c r="BK1114" s="2" t="s">
        <v>74</v>
      </c>
      <c r="BL1114" s="2" t="s">
        <v>74</v>
      </c>
      <c r="BM1114" s="2" t="s">
        <v>74</v>
      </c>
      <c r="BN1114" s="2" t="s">
        <v>74</v>
      </c>
      <c r="BO1114" s="2" t="s">
        <v>74</v>
      </c>
      <c r="BP1114" s="2" t="s">
        <v>74</v>
      </c>
      <c r="BQ1114" s="2" t="s">
        <v>74</v>
      </c>
      <c r="BR1114" s="2" t="s">
        <v>74</v>
      </c>
      <c r="BS1114" s="2" t="s">
        <v>4739</v>
      </c>
      <c r="BT1114" s="2" t="str">
        <f>HYPERLINK("https%3A%2F%2Fwww.webofscience.com%2Fwos%2Fwoscc%2Ffull-record%2FWOS:000351364600001","View Full Record in Web of Science")</f>
        <v>View Full Record in Web of Science</v>
      </c>
    </row>
    <row r="1115" spans="1:72" s="2" customFormat="1" x14ac:dyDescent="0.4">
      <c r="A1115" s="2" t="s">
        <v>72</v>
      </c>
      <c r="B1115" s="2" t="s">
        <v>6864</v>
      </c>
      <c r="C1115" s="2" t="s">
        <v>74</v>
      </c>
      <c r="D1115" s="2" t="s">
        <v>74</v>
      </c>
      <c r="E1115" s="2" t="s">
        <v>74</v>
      </c>
      <c r="F1115" s="2" t="s">
        <v>6865</v>
      </c>
      <c r="G1115" s="2" t="s">
        <v>74</v>
      </c>
      <c r="H1115" s="2" t="s">
        <v>74</v>
      </c>
      <c r="I1115" s="2" t="s">
        <v>6866</v>
      </c>
      <c r="J1115" s="2" t="s">
        <v>6867</v>
      </c>
      <c r="K1115" s="2" t="s">
        <v>74</v>
      </c>
      <c r="L1115" s="2" t="s">
        <v>74</v>
      </c>
      <c r="M1115" s="2" t="s">
        <v>74</v>
      </c>
      <c r="N1115" s="2" t="s">
        <v>74</v>
      </c>
      <c r="O1115" s="2" t="s">
        <v>74</v>
      </c>
      <c r="P1115" s="2" t="s">
        <v>74</v>
      </c>
      <c r="Q1115" s="2" t="s">
        <v>74</v>
      </c>
      <c r="R1115" s="2" t="s">
        <v>74</v>
      </c>
      <c r="S1115" s="2" t="s">
        <v>74</v>
      </c>
      <c r="T1115" s="2" t="s">
        <v>74</v>
      </c>
      <c r="U1115" s="2" t="s">
        <v>74</v>
      </c>
      <c r="V1115" s="5" t="s">
        <v>6868</v>
      </c>
      <c r="W1115" s="2" t="s">
        <v>74</v>
      </c>
      <c r="X1115" s="2" t="s">
        <v>74</v>
      </c>
      <c r="Y1115" s="2" t="s">
        <v>74</v>
      </c>
      <c r="Z1115" s="2" t="s">
        <v>74</v>
      </c>
      <c r="AA1115" s="2" t="s">
        <v>6869</v>
      </c>
      <c r="AB1115" s="2" t="s">
        <v>6870</v>
      </c>
      <c r="AC1115" s="2" t="s">
        <v>74</v>
      </c>
      <c r="AD1115" s="2" t="s">
        <v>74</v>
      </c>
      <c r="AE1115" s="2" t="s">
        <v>74</v>
      </c>
      <c r="AF1115" s="2" t="s">
        <v>74</v>
      </c>
      <c r="AG1115" s="2" t="s">
        <v>74</v>
      </c>
      <c r="AH1115" s="2" t="s">
        <v>74</v>
      </c>
      <c r="AI1115" s="2" t="s">
        <v>74</v>
      </c>
      <c r="AJ1115" s="2" t="s">
        <v>74</v>
      </c>
      <c r="AK1115" s="2" t="s">
        <v>74</v>
      </c>
      <c r="AL1115" s="2" t="s">
        <v>74</v>
      </c>
      <c r="AM1115" s="2" t="s">
        <v>74</v>
      </c>
      <c r="AN1115" s="2" t="s">
        <v>74</v>
      </c>
      <c r="AO1115" s="2" t="s">
        <v>6871</v>
      </c>
      <c r="AP1115" s="2" t="s">
        <v>6872</v>
      </c>
      <c r="AQ1115" s="2" t="s">
        <v>74</v>
      </c>
      <c r="AR1115" s="2" t="s">
        <v>74</v>
      </c>
      <c r="AS1115" s="2" t="s">
        <v>74</v>
      </c>
      <c r="AT1115" s="2" t="s">
        <v>175</v>
      </c>
      <c r="AU1115" s="2">
        <v>2020</v>
      </c>
      <c r="AV1115" s="2">
        <v>53</v>
      </c>
      <c r="AW1115" s="2" t="s">
        <v>74</v>
      </c>
      <c r="AX1115" s="2" t="s">
        <v>74</v>
      </c>
      <c r="AY1115" s="2" t="s">
        <v>74</v>
      </c>
      <c r="AZ1115" s="2" t="s">
        <v>74</v>
      </c>
      <c r="BA1115" s="2" t="s">
        <v>74</v>
      </c>
      <c r="BB1115" s="2" t="s">
        <v>74</v>
      </c>
      <c r="BC1115" s="2" t="s">
        <v>74</v>
      </c>
      <c r="BD1115" s="2">
        <v>100753</v>
      </c>
      <c r="BE1115" s="2" t="s">
        <v>6873</v>
      </c>
      <c r="BF1115" s="2" t="str">
        <f>HYPERLINK("http://dx.doi.org/10.1016/j.margen.2020.100753","http://dx.doi.org/10.1016/j.margen.2020.100753")</f>
        <v>http://dx.doi.org/10.1016/j.margen.2020.100753</v>
      </c>
      <c r="BG1115" s="2" t="s">
        <v>74</v>
      </c>
      <c r="BH1115" s="2" t="s">
        <v>74</v>
      </c>
      <c r="BI1115" s="2" t="s">
        <v>74</v>
      </c>
      <c r="BJ1115" s="2" t="s">
        <v>74</v>
      </c>
      <c r="BK1115" s="2" t="s">
        <v>74</v>
      </c>
      <c r="BL1115" s="2" t="s">
        <v>74</v>
      </c>
      <c r="BM1115" s="2" t="s">
        <v>74</v>
      </c>
      <c r="BN1115" s="2">
        <v>32057717</v>
      </c>
      <c r="BO1115" s="2" t="s">
        <v>74</v>
      </c>
      <c r="BP1115" s="2" t="s">
        <v>74</v>
      </c>
      <c r="BQ1115" s="2" t="s">
        <v>74</v>
      </c>
      <c r="BR1115" s="2" t="s">
        <v>74</v>
      </c>
      <c r="BS1115" s="2" t="s">
        <v>6874</v>
      </c>
      <c r="BT1115" s="2" t="str">
        <f>HYPERLINK("https%3A%2F%2Fwww.webofscience.com%2Fwos%2Fwoscc%2Ffull-record%2FWOS:000567844300003","View Full Record in Web of Science")</f>
        <v>View Full Record in Web of Science</v>
      </c>
    </row>
    <row r="1116" spans="1:72" s="2" customFormat="1" x14ac:dyDescent="0.4">
      <c r="A1116" s="2" t="s">
        <v>72</v>
      </c>
      <c r="B1116" s="2" t="s">
        <v>800</v>
      </c>
      <c r="C1116" s="2" t="s">
        <v>74</v>
      </c>
      <c r="D1116" s="2" t="s">
        <v>74</v>
      </c>
      <c r="E1116" s="2" t="s">
        <v>74</v>
      </c>
      <c r="F1116" s="2" t="s">
        <v>801</v>
      </c>
      <c r="G1116" s="2" t="s">
        <v>74</v>
      </c>
      <c r="H1116" s="2" t="s">
        <v>74</v>
      </c>
      <c r="I1116" s="2" t="s">
        <v>802</v>
      </c>
      <c r="J1116" s="2" t="s">
        <v>803</v>
      </c>
      <c r="K1116" s="2" t="s">
        <v>74</v>
      </c>
      <c r="L1116" s="2" t="s">
        <v>74</v>
      </c>
      <c r="M1116" s="2" t="s">
        <v>74</v>
      </c>
      <c r="N1116" s="2" t="s">
        <v>74</v>
      </c>
      <c r="O1116" s="2" t="s">
        <v>74</v>
      </c>
      <c r="P1116" s="2" t="s">
        <v>74</v>
      </c>
      <c r="Q1116" s="2" t="s">
        <v>74</v>
      </c>
      <c r="R1116" s="2" t="s">
        <v>74</v>
      </c>
      <c r="S1116" s="2" t="s">
        <v>74</v>
      </c>
      <c r="T1116" s="2" t="s">
        <v>74</v>
      </c>
      <c r="U1116" s="2" t="s">
        <v>74</v>
      </c>
      <c r="V1116" s="5" t="s">
        <v>804</v>
      </c>
      <c r="W1116" s="2" t="s">
        <v>74</v>
      </c>
      <c r="X1116" s="2" t="s">
        <v>74</v>
      </c>
      <c r="Y1116" s="2" t="s">
        <v>74</v>
      </c>
      <c r="Z1116" s="2" t="s">
        <v>74</v>
      </c>
      <c r="AA1116" s="2" t="s">
        <v>805</v>
      </c>
      <c r="AB1116" s="2" t="s">
        <v>74</v>
      </c>
      <c r="AC1116" s="2" t="s">
        <v>74</v>
      </c>
      <c r="AD1116" s="2" t="s">
        <v>74</v>
      </c>
      <c r="AE1116" s="2" t="s">
        <v>74</v>
      </c>
      <c r="AF1116" s="2" t="s">
        <v>74</v>
      </c>
      <c r="AG1116" s="2" t="s">
        <v>74</v>
      </c>
      <c r="AH1116" s="2" t="s">
        <v>74</v>
      </c>
      <c r="AI1116" s="2" t="s">
        <v>74</v>
      </c>
      <c r="AJ1116" s="2" t="s">
        <v>74</v>
      </c>
      <c r="AK1116" s="2" t="s">
        <v>74</v>
      </c>
      <c r="AL1116" s="2" t="s">
        <v>74</v>
      </c>
      <c r="AM1116" s="2" t="s">
        <v>74</v>
      </c>
      <c r="AN1116" s="2" t="s">
        <v>74</v>
      </c>
      <c r="AO1116" s="2" t="s">
        <v>806</v>
      </c>
      <c r="AP1116" s="2" t="s">
        <v>807</v>
      </c>
      <c r="AQ1116" s="2" t="s">
        <v>74</v>
      </c>
      <c r="AR1116" s="2" t="s">
        <v>74</v>
      </c>
      <c r="AS1116" s="2" t="s">
        <v>74</v>
      </c>
      <c r="AT1116" s="2" t="s">
        <v>808</v>
      </c>
      <c r="AU1116" s="2">
        <v>2016</v>
      </c>
      <c r="AV1116" s="2">
        <v>13</v>
      </c>
      <c r="AW1116" s="2" t="s">
        <v>74</v>
      </c>
      <c r="AX1116" s="2" t="s">
        <v>74</v>
      </c>
      <c r="AY1116" s="2" t="s">
        <v>74</v>
      </c>
      <c r="AZ1116" s="2" t="s">
        <v>74</v>
      </c>
      <c r="BA1116" s="2" t="s">
        <v>74</v>
      </c>
      <c r="BB1116" s="2">
        <v>80</v>
      </c>
      <c r="BC1116" s="2">
        <v>87</v>
      </c>
      <c r="BD1116" s="2" t="s">
        <v>74</v>
      </c>
      <c r="BE1116" s="2" t="s">
        <v>809</v>
      </c>
      <c r="BF1116" s="2" t="str">
        <f>HYPERLINK("http://dx.doi.org/10.1016/j.jveb.2016.03.009","http://dx.doi.org/10.1016/j.jveb.2016.03.009")</f>
        <v>http://dx.doi.org/10.1016/j.jveb.2016.03.009</v>
      </c>
      <c r="BG1116" s="2" t="s">
        <v>74</v>
      </c>
      <c r="BH1116" s="2" t="s">
        <v>74</v>
      </c>
      <c r="BI1116" s="2" t="s">
        <v>74</v>
      </c>
      <c r="BJ1116" s="2" t="s">
        <v>74</v>
      </c>
      <c r="BK1116" s="2" t="s">
        <v>74</v>
      </c>
      <c r="BL1116" s="2" t="s">
        <v>74</v>
      </c>
      <c r="BM1116" s="2" t="s">
        <v>74</v>
      </c>
      <c r="BN1116" s="2" t="s">
        <v>74</v>
      </c>
      <c r="BO1116" s="2" t="s">
        <v>74</v>
      </c>
      <c r="BP1116" s="2" t="s">
        <v>74</v>
      </c>
      <c r="BQ1116" s="2" t="s">
        <v>74</v>
      </c>
      <c r="BR1116" s="2" t="s">
        <v>74</v>
      </c>
      <c r="BS1116" s="2" t="s">
        <v>810</v>
      </c>
      <c r="BT1116" s="2" t="str">
        <f>HYPERLINK("https%3A%2F%2Fwww.webofscience.com%2Fwos%2Fwoscc%2Ffull-record%2FWOS:000378094700013","View Full Record in Web of Science")</f>
        <v>View Full Record in Web of Science</v>
      </c>
    </row>
    <row r="1117" spans="1:72" s="2" customFormat="1" x14ac:dyDescent="0.4">
      <c r="A1117" s="2" t="s">
        <v>72</v>
      </c>
      <c r="B1117" s="2" t="s">
        <v>6187</v>
      </c>
      <c r="C1117" s="2" t="s">
        <v>74</v>
      </c>
      <c r="D1117" s="2" t="s">
        <v>74</v>
      </c>
      <c r="E1117" s="2" t="s">
        <v>74</v>
      </c>
      <c r="F1117" s="2" t="s">
        <v>6188</v>
      </c>
      <c r="G1117" s="2" t="s">
        <v>74</v>
      </c>
      <c r="H1117" s="2" t="s">
        <v>74</v>
      </c>
      <c r="I1117" s="2" t="s">
        <v>6189</v>
      </c>
      <c r="J1117" s="2" t="s">
        <v>6190</v>
      </c>
      <c r="K1117" s="2" t="s">
        <v>74</v>
      </c>
      <c r="L1117" s="2" t="s">
        <v>74</v>
      </c>
      <c r="M1117" s="2" t="s">
        <v>74</v>
      </c>
      <c r="N1117" s="2" t="s">
        <v>74</v>
      </c>
      <c r="O1117" s="2" t="s">
        <v>74</v>
      </c>
      <c r="P1117" s="2" t="s">
        <v>74</v>
      </c>
      <c r="Q1117" s="2" t="s">
        <v>74</v>
      </c>
      <c r="R1117" s="2" t="s">
        <v>74</v>
      </c>
      <c r="S1117" s="2" t="s">
        <v>74</v>
      </c>
      <c r="T1117" s="2" t="s">
        <v>74</v>
      </c>
      <c r="U1117" s="2" t="s">
        <v>74</v>
      </c>
      <c r="V1117" s="5" t="s">
        <v>6191</v>
      </c>
      <c r="W1117" s="2" t="s">
        <v>74</v>
      </c>
      <c r="X1117" s="2" t="s">
        <v>74</v>
      </c>
      <c r="Y1117" s="2" t="s">
        <v>74</v>
      </c>
      <c r="Z1117" s="2" t="s">
        <v>74</v>
      </c>
      <c r="AA1117" s="2" t="s">
        <v>6192</v>
      </c>
      <c r="AB1117" s="2" t="s">
        <v>6193</v>
      </c>
      <c r="AC1117" s="2" t="s">
        <v>74</v>
      </c>
      <c r="AD1117" s="2" t="s">
        <v>74</v>
      </c>
      <c r="AE1117" s="2" t="s">
        <v>74</v>
      </c>
      <c r="AF1117" s="2" t="s">
        <v>74</v>
      </c>
      <c r="AG1117" s="2" t="s">
        <v>74</v>
      </c>
      <c r="AH1117" s="2" t="s">
        <v>74</v>
      </c>
      <c r="AI1117" s="2" t="s">
        <v>74</v>
      </c>
      <c r="AJ1117" s="2" t="s">
        <v>74</v>
      </c>
      <c r="AK1117" s="2" t="s">
        <v>74</v>
      </c>
      <c r="AL1117" s="2" t="s">
        <v>74</v>
      </c>
      <c r="AM1117" s="2" t="s">
        <v>74</v>
      </c>
      <c r="AN1117" s="2" t="s">
        <v>74</v>
      </c>
      <c r="AO1117" s="2" t="s">
        <v>6194</v>
      </c>
      <c r="AP1117" s="2" t="s">
        <v>6195</v>
      </c>
      <c r="AQ1117" s="2" t="s">
        <v>74</v>
      </c>
      <c r="AR1117" s="2" t="s">
        <v>74</v>
      </c>
      <c r="AS1117" s="2" t="s">
        <v>74</v>
      </c>
      <c r="AT1117" s="2" t="s">
        <v>134</v>
      </c>
      <c r="AU1117" s="2">
        <v>2022</v>
      </c>
      <c r="AV1117" s="2">
        <v>61</v>
      </c>
      <c r="AW1117" s="2">
        <v>2</v>
      </c>
      <c r="AX1117" s="2" t="s">
        <v>74</v>
      </c>
      <c r="AY1117" s="2" t="s">
        <v>74</v>
      </c>
      <c r="AZ1117" s="2" t="s">
        <v>74</v>
      </c>
      <c r="BA1117" s="2" t="s">
        <v>74</v>
      </c>
      <c r="BB1117" s="2">
        <v>137</v>
      </c>
      <c r="BC1117" s="2">
        <v>155</v>
      </c>
      <c r="BD1117" s="2" t="s">
        <v>74</v>
      </c>
      <c r="BE1117" s="2" t="s">
        <v>6196</v>
      </c>
      <c r="BF1117" s="2" t="str">
        <f>HYPERLINK("http://dx.doi.org/10.1111/aen.12596","http://dx.doi.org/10.1111/aen.12596")</f>
        <v>http://dx.doi.org/10.1111/aen.12596</v>
      </c>
      <c r="BG1117" s="2" t="s">
        <v>74</v>
      </c>
      <c r="BH1117" s="2" t="s">
        <v>74</v>
      </c>
      <c r="BI1117" s="2" t="s">
        <v>74</v>
      </c>
      <c r="BJ1117" s="2" t="s">
        <v>74</v>
      </c>
      <c r="BK1117" s="2" t="s">
        <v>74</v>
      </c>
      <c r="BL1117" s="2" t="s">
        <v>74</v>
      </c>
      <c r="BM1117" s="2" t="s">
        <v>74</v>
      </c>
      <c r="BN1117" s="2" t="s">
        <v>74</v>
      </c>
      <c r="BO1117" s="2" t="s">
        <v>74</v>
      </c>
      <c r="BP1117" s="2" t="s">
        <v>74</v>
      </c>
      <c r="BQ1117" s="2" t="s">
        <v>74</v>
      </c>
      <c r="BR1117" s="2" t="s">
        <v>74</v>
      </c>
      <c r="BS1117" s="2" t="s">
        <v>6197</v>
      </c>
      <c r="BT1117" s="2" t="str">
        <f>HYPERLINK("https%3A%2F%2Fwww.webofscience.com%2Fwos%2Fwoscc%2Ffull-record%2FWOS:000805597200003","View Full Record in Web of Science")</f>
        <v>View Full Record in Web of Science</v>
      </c>
    </row>
    <row r="1118" spans="1:72" s="2" customFormat="1" x14ac:dyDescent="0.4">
      <c r="A1118" s="2" t="s">
        <v>72</v>
      </c>
      <c r="B1118" s="2" t="s">
        <v>8021</v>
      </c>
      <c r="C1118" s="2" t="s">
        <v>74</v>
      </c>
      <c r="D1118" s="2" t="s">
        <v>74</v>
      </c>
      <c r="E1118" s="2" t="s">
        <v>74</v>
      </c>
      <c r="F1118" s="2" t="s">
        <v>8022</v>
      </c>
      <c r="G1118" s="2" t="s">
        <v>74</v>
      </c>
      <c r="H1118" s="2" t="s">
        <v>74</v>
      </c>
      <c r="I1118" s="2" t="s">
        <v>8023</v>
      </c>
      <c r="J1118" s="2" t="s">
        <v>1656</v>
      </c>
      <c r="K1118" s="2" t="s">
        <v>74</v>
      </c>
      <c r="L1118" s="2" t="s">
        <v>74</v>
      </c>
      <c r="M1118" s="2" t="s">
        <v>74</v>
      </c>
      <c r="N1118" s="2" t="s">
        <v>74</v>
      </c>
      <c r="O1118" s="2" t="s">
        <v>74</v>
      </c>
      <c r="P1118" s="2" t="s">
        <v>74</v>
      </c>
      <c r="Q1118" s="2" t="s">
        <v>74</v>
      </c>
      <c r="R1118" s="2" t="s">
        <v>74</v>
      </c>
      <c r="S1118" s="2" t="s">
        <v>74</v>
      </c>
      <c r="T1118" s="2" t="s">
        <v>74</v>
      </c>
      <c r="U1118" s="2" t="s">
        <v>74</v>
      </c>
      <c r="V1118" s="5" t="s">
        <v>8024</v>
      </c>
      <c r="W1118" s="2" t="s">
        <v>74</v>
      </c>
      <c r="X1118" s="2" t="s">
        <v>74</v>
      </c>
      <c r="Y1118" s="2" t="s">
        <v>74</v>
      </c>
      <c r="Z1118" s="2" t="s">
        <v>74</v>
      </c>
      <c r="AA1118" s="2" t="s">
        <v>8025</v>
      </c>
      <c r="AB1118" s="2" t="s">
        <v>8026</v>
      </c>
      <c r="AC1118" s="2" t="s">
        <v>74</v>
      </c>
      <c r="AD1118" s="2" t="s">
        <v>74</v>
      </c>
      <c r="AE1118" s="2" t="s">
        <v>74</v>
      </c>
      <c r="AF1118" s="2" t="s">
        <v>74</v>
      </c>
      <c r="AG1118" s="2" t="s">
        <v>74</v>
      </c>
      <c r="AH1118" s="2" t="s">
        <v>74</v>
      </c>
      <c r="AI1118" s="2" t="s">
        <v>74</v>
      </c>
      <c r="AJ1118" s="2" t="s">
        <v>74</v>
      </c>
      <c r="AK1118" s="2" t="s">
        <v>74</v>
      </c>
      <c r="AL1118" s="2" t="s">
        <v>74</v>
      </c>
      <c r="AM1118" s="2" t="s">
        <v>74</v>
      </c>
      <c r="AN1118" s="2" t="s">
        <v>74</v>
      </c>
      <c r="AO1118" s="2" t="s">
        <v>1658</v>
      </c>
      <c r="AP1118" s="2" t="s">
        <v>1659</v>
      </c>
      <c r="AQ1118" s="2" t="s">
        <v>74</v>
      </c>
      <c r="AR1118" s="2" t="s">
        <v>74</v>
      </c>
      <c r="AS1118" s="2" t="s">
        <v>74</v>
      </c>
      <c r="AT1118" s="2" t="s">
        <v>5887</v>
      </c>
      <c r="AU1118" s="2">
        <v>2019</v>
      </c>
      <c r="AV1118" s="2">
        <v>4625</v>
      </c>
      <c r="AW1118" s="2">
        <v>1</v>
      </c>
      <c r="AX1118" s="2" t="s">
        <v>74</v>
      </c>
      <c r="AY1118" s="2" t="s">
        <v>74</v>
      </c>
      <c r="AZ1118" s="2" t="s">
        <v>74</v>
      </c>
      <c r="BA1118" s="2" t="s">
        <v>74</v>
      </c>
      <c r="BB1118" s="2">
        <v>1</v>
      </c>
      <c r="BC1118" s="2">
        <v>68</v>
      </c>
      <c r="BD1118" s="2" t="s">
        <v>74</v>
      </c>
      <c r="BE1118" s="2" t="s">
        <v>8027</v>
      </c>
      <c r="BF1118" s="2" t="str">
        <f>HYPERLINK("http://dx.doi.org/10.11646/zootaxa.4625.1.1","http://dx.doi.org/10.11646/zootaxa.4625.1.1")</f>
        <v>http://dx.doi.org/10.11646/zootaxa.4625.1.1</v>
      </c>
      <c r="BG1118" s="2" t="s">
        <v>74</v>
      </c>
      <c r="BH1118" s="2" t="s">
        <v>74</v>
      </c>
      <c r="BI1118" s="2" t="s">
        <v>74</v>
      </c>
      <c r="BJ1118" s="2" t="s">
        <v>74</v>
      </c>
      <c r="BK1118" s="2" t="s">
        <v>74</v>
      </c>
      <c r="BL1118" s="2" t="s">
        <v>74</v>
      </c>
      <c r="BM1118" s="2" t="s">
        <v>74</v>
      </c>
      <c r="BN1118" s="2">
        <v>31712545</v>
      </c>
      <c r="BO1118" s="2" t="s">
        <v>74</v>
      </c>
      <c r="BP1118" s="2" t="s">
        <v>74</v>
      </c>
      <c r="BQ1118" s="2" t="s">
        <v>74</v>
      </c>
      <c r="BR1118" s="2" t="s">
        <v>74</v>
      </c>
      <c r="BS1118" s="2" t="s">
        <v>8028</v>
      </c>
      <c r="BT1118" s="2" t="str">
        <f>HYPERLINK("https%3A%2F%2Fwww.webofscience.com%2Fwos%2Fwoscc%2Ffull-record%2FWOS:000473734300001","View Full Record in Web of Science")</f>
        <v>View Full Record in Web of Science</v>
      </c>
    </row>
    <row r="1119" spans="1:72" s="2" customFormat="1" x14ac:dyDescent="0.4">
      <c r="A1119" s="2" t="s">
        <v>72</v>
      </c>
      <c r="B1119" s="2" t="s">
        <v>4915</v>
      </c>
      <c r="C1119" s="2" t="s">
        <v>74</v>
      </c>
      <c r="D1119" s="2" t="s">
        <v>74</v>
      </c>
      <c r="E1119" s="2" t="s">
        <v>74</v>
      </c>
      <c r="F1119" s="2" t="s">
        <v>4916</v>
      </c>
      <c r="G1119" s="2" t="s">
        <v>74</v>
      </c>
      <c r="H1119" s="2" t="s">
        <v>74</v>
      </c>
      <c r="I1119" s="2" t="s">
        <v>4917</v>
      </c>
      <c r="J1119" s="2" t="s">
        <v>3374</v>
      </c>
      <c r="K1119" s="2" t="s">
        <v>74</v>
      </c>
      <c r="L1119" s="2" t="s">
        <v>74</v>
      </c>
      <c r="M1119" s="2" t="s">
        <v>74</v>
      </c>
      <c r="N1119" s="2" t="s">
        <v>74</v>
      </c>
      <c r="O1119" s="2" t="s">
        <v>74</v>
      </c>
      <c r="P1119" s="2" t="s">
        <v>74</v>
      </c>
      <c r="Q1119" s="2" t="s">
        <v>74</v>
      </c>
      <c r="R1119" s="2" t="s">
        <v>74</v>
      </c>
      <c r="S1119" s="2" t="s">
        <v>74</v>
      </c>
      <c r="T1119" s="2" t="s">
        <v>74</v>
      </c>
      <c r="U1119" s="2" t="s">
        <v>74</v>
      </c>
      <c r="V1119" s="5" t="s">
        <v>4918</v>
      </c>
      <c r="W1119" s="2" t="s">
        <v>74</v>
      </c>
      <c r="X1119" s="2" t="s">
        <v>74</v>
      </c>
      <c r="Y1119" s="2" t="s">
        <v>74</v>
      </c>
      <c r="Z1119" s="2" t="s">
        <v>74</v>
      </c>
      <c r="AA1119" s="2" t="s">
        <v>4919</v>
      </c>
      <c r="AB1119" s="2" t="s">
        <v>4920</v>
      </c>
      <c r="AC1119" s="2" t="s">
        <v>74</v>
      </c>
      <c r="AD1119" s="2" t="s">
        <v>74</v>
      </c>
      <c r="AE1119" s="2" t="s">
        <v>74</v>
      </c>
      <c r="AF1119" s="2" t="s">
        <v>74</v>
      </c>
      <c r="AG1119" s="2" t="s">
        <v>74</v>
      </c>
      <c r="AH1119" s="2" t="s">
        <v>74</v>
      </c>
      <c r="AI1119" s="2" t="s">
        <v>74</v>
      </c>
      <c r="AJ1119" s="2" t="s">
        <v>74</v>
      </c>
      <c r="AK1119" s="2" t="s">
        <v>74</v>
      </c>
      <c r="AL1119" s="2" t="s">
        <v>74</v>
      </c>
      <c r="AM1119" s="2" t="s">
        <v>74</v>
      </c>
      <c r="AN1119" s="2" t="s">
        <v>74</v>
      </c>
      <c r="AO1119" s="2" t="s">
        <v>3378</v>
      </c>
      <c r="AP1119" s="2" t="s">
        <v>3379</v>
      </c>
      <c r="AQ1119" s="2" t="s">
        <v>74</v>
      </c>
      <c r="AR1119" s="2" t="s">
        <v>74</v>
      </c>
      <c r="AS1119" s="2" t="s">
        <v>74</v>
      </c>
      <c r="AT1119" s="2" t="s">
        <v>123</v>
      </c>
      <c r="AU1119" s="2">
        <v>2013</v>
      </c>
      <c r="AV1119" s="2">
        <v>44</v>
      </c>
      <c r="AW1119" s="2">
        <v>2</v>
      </c>
      <c r="AX1119" s="2" t="s">
        <v>74</v>
      </c>
      <c r="AY1119" s="2" t="s">
        <v>74</v>
      </c>
      <c r="AZ1119" s="2" t="s">
        <v>74</v>
      </c>
      <c r="BA1119" s="2" t="s">
        <v>74</v>
      </c>
      <c r="BB1119" s="2">
        <v>121</v>
      </c>
      <c r="BC1119" s="2">
        <v>132</v>
      </c>
      <c r="BD1119" s="2" t="s">
        <v>74</v>
      </c>
      <c r="BE1119" s="2" t="s">
        <v>4921</v>
      </c>
      <c r="BF1119" s="2" t="str">
        <f>HYPERLINK("http://dx.doi.org/10.1007/s13592-012-0161-x","http://dx.doi.org/10.1007/s13592-012-0161-x")</f>
        <v>http://dx.doi.org/10.1007/s13592-012-0161-x</v>
      </c>
      <c r="BG1119" s="2" t="s">
        <v>74</v>
      </c>
      <c r="BH1119" s="2" t="s">
        <v>74</v>
      </c>
      <c r="BI1119" s="2" t="s">
        <v>74</v>
      </c>
      <c r="BJ1119" s="2" t="s">
        <v>74</v>
      </c>
      <c r="BK1119" s="2" t="s">
        <v>74</v>
      </c>
      <c r="BL1119" s="2" t="s">
        <v>74</v>
      </c>
      <c r="BM1119" s="2" t="s">
        <v>74</v>
      </c>
      <c r="BN1119" s="2" t="s">
        <v>74</v>
      </c>
      <c r="BO1119" s="2" t="s">
        <v>74</v>
      </c>
      <c r="BP1119" s="2" t="s">
        <v>74</v>
      </c>
      <c r="BQ1119" s="2" t="s">
        <v>74</v>
      </c>
      <c r="BR1119" s="2" t="s">
        <v>74</v>
      </c>
      <c r="BS1119" s="2" t="s">
        <v>4922</v>
      </c>
      <c r="BT1119" s="2" t="str">
        <f>HYPERLINK("https%3A%2F%2Fwww.webofscience.com%2Fwos%2Fwoscc%2Ffull-record%2FWOS:000314882300001","View Full Record in Web of Science")</f>
        <v>View Full Record in Web of Science</v>
      </c>
    </row>
    <row r="1120" spans="1:72" s="2" customFormat="1" x14ac:dyDescent="0.4">
      <c r="A1120" s="2" t="s">
        <v>72</v>
      </c>
      <c r="B1120" s="2" t="s">
        <v>4519</v>
      </c>
      <c r="C1120" s="2" t="s">
        <v>74</v>
      </c>
      <c r="D1120" s="2" t="s">
        <v>74</v>
      </c>
      <c r="E1120" s="2" t="s">
        <v>74</v>
      </c>
      <c r="F1120" s="2" t="s">
        <v>4520</v>
      </c>
      <c r="G1120" s="2" t="s">
        <v>74</v>
      </c>
      <c r="H1120" s="2" t="s">
        <v>74</v>
      </c>
      <c r="I1120" s="2" t="s">
        <v>4521</v>
      </c>
      <c r="J1120" s="2" t="s">
        <v>4522</v>
      </c>
      <c r="K1120" s="2" t="s">
        <v>74</v>
      </c>
      <c r="L1120" s="2" t="s">
        <v>74</v>
      </c>
      <c r="M1120" s="2" t="s">
        <v>74</v>
      </c>
      <c r="N1120" s="2" t="s">
        <v>74</v>
      </c>
      <c r="O1120" s="2" t="s">
        <v>74</v>
      </c>
      <c r="P1120" s="2" t="s">
        <v>74</v>
      </c>
      <c r="Q1120" s="2" t="s">
        <v>74</v>
      </c>
      <c r="R1120" s="2" t="s">
        <v>74</v>
      </c>
      <c r="S1120" s="2" t="s">
        <v>74</v>
      </c>
      <c r="T1120" s="2" t="s">
        <v>74</v>
      </c>
      <c r="U1120" s="2" t="s">
        <v>74</v>
      </c>
      <c r="V1120" s="5" t="s">
        <v>4523</v>
      </c>
      <c r="W1120" s="2" t="s">
        <v>74</v>
      </c>
      <c r="X1120" s="2" t="s">
        <v>74</v>
      </c>
      <c r="Y1120" s="2" t="s">
        <v>74</v>
      </c>
      <c r="Z1120" s="2" t="s">
        <v>74</v>
      </c>
      <c r="AA1120" s="2" t="s">
        <v>4524</v>
      </c>
      <c r="AB1120" s="2" t="s">
        <v>4525</v>
      </c>
      <c r="AC1120" s="2" t="s">
        <v>74</v>
      </c>
      <c r="AD1120" s="2" t="s">
        <v>74</v>
      </c>
      <c r="AE1120" s="2" t="s">
        <v>74</v>
      </c>
      <c r="AF1120" s="2" t="s">
        <v>74</v>
      </c>
      <c r="AG1120" s="2" t="s">
        <v>74</v>
      </c>
      <c r="AH1120" s="2" t="s">
        <v>74</v>
      </c>
      <c r="AI1120" s="2" t="s">
        <v>74</v>
      </c>
      <c r="AJ1120" s="2" t="s">
        <v>74</v>
      </c>
      <c r="AK1120" s="2" t="s">
        <v>74</v>
      </c>
      <c r="AL1120" s="2" t="s">
        <v>74</v>
      </c>
      <c r="AM1120" s="2" t="s">
        <v>74</v>
      </c>
      <c r="AN1120" s="2" t="s">
        <v>74</v>
      </c>
      <c r="AO1120" s="2" t="s">
        <v>4526</v>
      </c>
      <c r="AP1120" s="2" t="s">
        <v>4527</v>
      </c>
      <c r="AQ1120" s="2" t="s">
        <v>74</v>
      </c>
      <c r="AR1120" s="2" t="s">
        <v>74</v>
      </c>
      <c r="AS1120" s="2" t="s">
        <v>74</v>
      </c>
      <c r="AT1120" s="2" t="s">
        <v>4528</v>
      </c>
      <c r="AU1120" s="2">
        <v>2022</v>
      </c>
      <c r="AV1120" s="2">
        <v>56</v>
      </c>
      <c r="AW1120" s="2" t="s">
        <v>4529</v>
      </c>
      <c r="AX1120" s="2" t="s">
        <v>74</v>
      </c>
      <c r="AY1120" s="2" t="s">
        <v>74</v>
      </c>
      <c r="AZ1120" s="2" t="s">
        <v>74</v>
      </c>
      <c r="BA1120" s="2" t="s">
        <v>74</v>
      </c>
      <c r="BB1120" s="2">
        <v>435</v>
      </c>
      <c r="BC1120" s="2">
        <v>447</v>
      </c>
      <c r="BD1120" s="2" t="s">
        <v>74</v>
      </c>
      <c r="BE1120" s="2" t="s">
        <v>4530</v>
      </c>
      <c r="BF1120" s="2" t="str">
        <f>HYPERLINK("http://dx.doi.org/10.1080/00222933.2022.2052991","http://dx.doi.org/10.1080/00222933.2022.2052991")</f>
        <v>http://dx.doi.org/10.1080/00222933.2022.2052991</v>
      </c>
      <c r="BG1120" s="2" t="s">
        <v>74</v>
      </c>
      <c r="BH1120" s="2" t="s">
        <v>74</v>
      </c>
      <c r="BI1120" s="2" t="s">
        <v>74</v>
      </c>
      <c r="BJ1120" s="2" t="s">
        <v>74</v>
      </c>
      <c r="BK1120" s="2" t="s">
        <v>74</v>
      </c>
      <c r="BL1120" s="2" t="s">
        <v>74</v>
      </c>
      <c r="BM1120" s="2" t="s">
        <v>74</v>
      </c>
      <c r="BN1120" s="2" t="s">
        <v>74</v>
      </c>
      <c r="BO1120" s="2" t="s">
        <v>74</v>
      </c>
      <c r="BP1120" s="2" t="s">
        <v>74</v>
      </c>
      <c r="BQ1120" s="2" t="s">
        <v>74</v>
      </c>
      <c r="BR1120" s="2" t="s">
        <v>74</v>
      </c>
      <c r="BS1120" s="2" t="s">
        <v>4531</v>
      </c>
      <c r="BT1120" s="2" t="str">
        <f>HYPERLINK("https%3A%2F%2Fwww.webofscience.com%2Fwos%2Fwoscc%2Ffull-record%2FWOS:000819303900001","View Full Record in Web of Science")</f>
        <v>View Full Record in Web of Science</v>
      </c>
    </row>
    <row r="1121" spans="1:72" s="2" customFormat="1" x14ac:dyDescent="0.4">
      <c r="A1121" s="2" t="s">
        <v>72</v>
      </c>
      <c r="B1121" s="2" t="s">
        <v>3505</v>
      </c>
      <c r="C1121" s="2" t="s">
        <v>74</v>
      </c>
      <c r="D1121" s="2" t="s">
        <v>74</v>
      </c>
      <c r="E1121" s="2" t="s">
        <v>74</v>
      </c>
      <c r="F1121" s="2" t="s">
        <v>3506</v>
      </c>
      <c r="G1121" s="2" t="s">
        <v>74</v>
      </c>
      <c r="H1121" s="2" t="s">
        <v>74</v>
      </c>
      <c r="I1121" s="2" t="s">
        <v>3507</v>
      </c>
      <c r="J1121" s="2" t="s">
        <v>333</v>
      </c>
      <c r="K1121" s="2" t="s">
        <v>74</v>
      </c>
      <c r="L1121" s="2" t="s">
        <v>74</v>
      </c>
      <c r="M1121" s="2" t="s">
        <v>74</v>
      </c>
      <c r="N1121" s="2" t="s">
        <v>74</v>
      </c>
      <c r="O1121" s="2" t="s">
        <v>74</v>
      </c>
      <c r="P1121" s="2" t="s">
        <v>74</v>
      </c>
      <c r="Q1121" s="2" t="s">
        <v>74</v>
      </c>
      <c r="R1121" s="2" t="s">
        <v>74</v>
      </c>
      <c r="S1121" s="2" t="s">
        <v>74</v>
      </c>
      <c r="T1121" s="2" t="s">
        <v>74</v>
      </c>
      <c r="U1121" s="2" t="s">
        <v>74</v>
      </c>
      <c r="V1121" s="5" t="s">
        <v>3508</v>
      </c>
      <c r="W1121" s="2" t="s">
        <v>74</v>
      </c>
      <c r="X1121" s="2" t="s">
        <v>74</v>
      </c>
      <c r="Y1121" s="2" t="s">
        <v>74</v>
      </c>
      <c r="Z1121" s="2" t="s">
        <v>74</v>
      </c>
      <c r="AA1121" s="2" t="s">
        <v>379</v>
      </c>
      <c r="AB1121" s="2" t="s">
        <v>74</v>
      </c>
      <c r="AC1121" s="2" t="s">
        <v>74</v>
      </c>
      <c r="AD1121" s="2" t="s">
        <v>74</v>
      </c>
      <c r="AE1121" s="2" t="s">
        <v>74</v>
      </c>
      <c r="AF1121" s="2" t="s">
        <v>74</v>
      </c>
      <c r="AG1121" s="2" t="s">
        <v>74</v>
      </c>
      <c r="AH1121" s="2" t="s">
        <v>74</v>
      </c>
      <c r="AI1121" s="2" t="s">
        <v>74</v>
      </c>
      <c r="AJ1121" s="2" t="s">
        <v>74</v>
      </c>
      <c r="AK1121" s="2" t="s">
        <v>74</v>
      </c>
      <c r="AL1121" s="2" t="s">
        <v>74</v>
      </c>
      <c r="AM1121" s="2" t="s">
        <v>74</v>
      </c>
      <c r="AN1121" s="2" t="s">
        <v>74</v>
      </c>
      <c r="AO1121" s="2" t="s">
        <v>337</v>
      </c>
      <c r="AP1121" s="2" t="s">
        <v>338</v>
      </c>
      <c r="AQ1121" s="2" t="s">
        <v>74</v>
      </c>
      <c r="AR1121" s="2" t="s">
        <v>74</v>
      </c>
      <c r="AS1121" s="2" t="s">
        <v>74</v>
      </c>
      <c r="AT1121" s="2" t="s">
        <v>1075</v>
      </c>
      <c r="AU1121" s="2">
        <v>2013</v>
      </c>
      <c r="AV1121" s="2">
        <v>24</v>
      </c>
      <c r="AW1121" s="2">
        <v>6</v>
      </c>
      <c r="AX1121" s="2" t="s">
        <v>74</v>
      </c>
      <c r="AY1121" s="2" t="s">
        <v>74</v>
      </c>
      <c r="AZ1121" s="2" t="s">
        <v>74</v>
      </c>
      <c r="BA1121" s="2" t="s">
        <v>74</v>
      </c>
      <c r="BB1121" s="2">
        <v>1407</v>
      </c>
      <c r="BC1121" s="2">
        <v>1414</v>
      </c>
      <c r="BD1121" s="2" t="s">
        <v>74</v>
      </c>
      <c r="BE1121" s="2" t="s">
        <v>3509</v>
      </c>
      <c r="BF1121" s="2" t="str">
        <f>HYPERLINK("http://dx.doi.org/10.1093/beheco/art080","http://dx.doi.org/10.1093/beheco/art080")</f>
        <v>http://dx.doi.org/10.1093/beheco/art080</v>
      </c>
      <c r="BG1121" s="2" t="s">
        <v>74</v>
      </c>
      <c r="BH1121" s="2" t="s">
        <v>74</v>
      </c>
      <c r="BI1121" s="2" t="s">
        <v>74</v>
      </c>
      <c r="BJ1121" s="2" t="s">
        <v>74</v>
      </c>
      <c r="BK1121" s="2" t="s">
        <v>74</v>
      </c>
      <c r="BL1121" s="2" t="s">
        <v>74</v>
      </c>
      <c r="BM1121" s="2" t="s">
        <v>74</v>
      </c>
      <c r="BN1121" s="2" t="s">
        <v>74</v>
      </c>
      <c r="BO1121" s="2" t="s">
        <v>74</v>
      </c>
      <c r="BP1121" s="2" t="s">
        <v>74</v>
      </c>
      <c r="BQ1121" s="2" t="s">
        <v>74</v>
      </c>
      <c r="BR1121" s="2" t="s">
        <v>74</v>
      </c>
      <c r="BS1121" s="2" t="s">
        <v>3510</v>
      </c>
      <c r="BT1121" s="2" t="str">
        <f>HYPERLINK("https%3A%2F%2Fwww.webofscience.com%2Fwos%2Fwoscc%2Ffull-record%2FWOS:000325995900018","View Full Record in Web of Science")</f>
        <v>View Full Record in Web of Science</v>
      </c>
    </row>
    <row r="1122" spans="1:72" s="2" customFormat="1" x14ac:dyDescent="0.4">
      <c r="A1122" s="2" t="s">
        <v>72</v>
      </c>
      <c r="B1122" s="2" t="s">
        <v>375</v>
      </c>
      <c r="C1122" s="2" t="s">
        <v>74</v>
      </c>
      <c r="D1122" s="2" t="s">
        <v>74</v>
      </c>
      <c r="E1122" s="2" t="s">
        <v>74</v>
      </c>
      <c r="F1122" s="2" t="s">
        <v>376</v>
      </c>
      <c r="G1122" s="2" t="s">
        <v>74</v>
      </c>
      <c r="H1122" s="2" t="s">
        <v>74</v>
      </c>
      <c r="I1122" s="2" t="s">
        <v>377</v>
      </c>
      <c r="J1122" s="2" t="s">
        <v>140</v>
      </c>
      <c r="K1122" s="2" t="s">
        <v>74</v>
      </c>
      <c r="L1122" s="2" t="s">
        <v>74</v>
      </c>
      <c r="M1122" s="2" t="s">
        <v>74</v>
      </c>
      <c r="N1122" s="2" t="s">
        <v>74</v>
      </c>
      <c r="O1122" s="2" t="s">
        <v>74</v>
      </c>
      <c r="P1122" s="2" t="s">
        <v>74</v>
      </c>
      <c r="Q1122" s="2" t="s">
        <v>74</v>
      </c>
      <c r="R1122" s="2" t="s">
        <v>74</v>
      </c>
      <c r="S1122" s="2" t="s">
        <v>74</v>
      </c>
      <c r="T1122" s="2" t="s">
        <v>74</v>
      </c>
      <c r="U1122" s="2" t="s">
        <v>74</v>
      </c>
      <c r="V1122" s="5" t="s">
        <v>378</v>
      </c>
      <c r="W1122" s="2" t="s">
        <v>74</v>
      </c>
      <c r="X1122" s="2" t="s">
        <v>74</v>
      </c>
      <c r="Y1122" s="2" t="s">
        <v>74</v>
      </c>
      <c r="Z1122" s="2" t="s">
        <v>74</v>
      </c>
      <c r="AA1122" s="2" t="s">
        <v>379</v>
      </c>
      <c r="AB1122" s="2" t="s">
        <v>74</v>
      </c>
      <c r="AC1122" s="2" t="s">
        <v>74</v>
      </c>
      <c r="AD1122" s="2" t="s">
        <v>74</v>
      </c>
      <c r="AE1122" s="2" t="s">
        <v>74</v>
      </c>
      <c r="AF1122" s="2" t="s">
        <v>74</v>
      </c>
      <c r="AG1122" s="2" t="s">
        <v>74</v>
      </c>
      <c r="AH1122" s="2" t="s">
        <v>74</v>
      </c>
      <c r="AI1122" s="2" t="s">
        <v>74</v>
      </c>
      <c r="AJ1122" s="2" t="s">
        <v>74</v>
      </c>
      <c r="AK1122" s="2" t="s">
        <v>74</v>
      </c>
      <c r="AL1122" s="2" t="s">
        <v>74</v>
      </c>
      <c r="AM1122" s="2" t="s">
        <v>74</v>
      </c>
      <c r="AN1122" s="2" t="s">
        <v>74</v>
      </c>
      <c r="AO1122" s="2" t="s">
        <v>143</v>
      </c>
      <c r="AP1122" s="2" t="s">
        <v>144</v>
      </c>
      <c r="AQ1122" s="2" t="s">
        <v>74</v>
      </c>
      <c r="AR1122" s="2" t="s">
        <v>74</v>
      </c>
      <c r="AS1122" s="2" t="s">
        <v>74</v>
      </c>
      <c r="AT1122" s="2" t="s">
        <v>102</v>
      </c>
      <c r="AU1122" s="2">
        <v>2013</v>
      </c>
      <c r="AV1122" s="2">
        <v>85</v>
      </c>
      <c r="AW1122" s="2">
        <v>6</v>
      </c>
      <c r="AX1122" s="2" t="s">
        <v>74</v>
      </c>
      <c r="AY1122" s="2" t="s">
        <v>74</v>
      </c>
      <c r="AZ1122" s="2" t="s">
        <v>74</v>
      </c>
      <c r="BA1122" s="2" t="s">
        <v>74</v>
      </c>
      <c r="BB1122" s="2">
        <v>1251</v>
      </c>
      <c r="BC1122" s="2">
        <v>1259</v>
      </c>
      <c r="BD1122" s="2" t="s">
        <v>74</v>
      </c>
      <c r="BE1122" s="2" t="s">
        <v>380</v>
      </c>
      <c r="BF1122" s="2" t="str">
        <f>HYPERLINK("http://dx.doi.org/10.1016/j.anbehav.2013.03.012","http://dx.doi.org/10.1016/j.anbehav.2013.03.012")</f>
        <v>http://dx.doi.org/10.1016/j.anbehav.2013.03.012</v>
      </c>
      <c r="BG1122" s="2" t="s">
        <v>74</v>
      </c>
      <c r="BH1122" s="2" t="s">
        <v>74</v>
      </c>
      <c r="BI1122" s="2" t="s">
        <v>74</v>
      </c>
      <c r="BJ1122" s="2" t="s">
        <v>74</v>
      </c>
      <c r="BK1122" s="2" t="s">
        <v>74</v>
      </c>
      <c r="BL1122" s="2" t="s">
        <v>74</v>
      </c>
      <c r="BM1122" s="2" t="s">
        <v>74</v>
      </c>
      <c r="BN1122" s="2" t="s">
        <v>74</v>
      </c>
      <c r="BO1122" s="2" t="s">
        <v>74</v>
      </c>
      <c r="BP1122" s="2" t="s">
        <v>74</v>
      </c>
      <c r="BQ1122" s="2" t="s">
        <v>74</v>
      </c>
      <c r="BR1122" s="2" t="s">
        <v>74</v>
      </c>
      <c r="BS1122" s="2" t="s">
        <v>381</v>
      </c>
      <c r="BT1122" s="2" t="str">
        <f>HYPERLINK("https%3A%2F%2Fwww.webofscience.com%2Fwos%2Fwoscc%2Ffull-record%2FWOS:000320651200015","View Full Record in Web of Science")</f>
        <v>View Full Record in Web of Science</v>
      </c>
    </row>
    <row r="1123" spans="1:72" s="2" customFormat="1" x14ac:dyDescent="0.4">
      <c r="A1123" s="2" t="s">
        <v>72</v>
      </c>
      <c r="B1123" s="2" t="s">
        <v>375</v>
      </c>
      <c r="C1123" s="2" t="s">
        <v>74</v>
      </c>
      <c r="D1123" s="2" t="s">
        <v>74</v>
      </c>
      <c r="E1123" s="2" t="s">
        <v>74</v>
      </c>
      <c r="F1123" s="2" t="s">
        <v>376</v>
      </c>
      <c r="G1123" s="2" t="s">
        <v>74</v>
      </c>
      <c r="H1123" s="2" t="s">
        <v>74</v>
      </c>
      <c r="I1123" s="2" t="s">
        <v>2371</v>
      </c>
      <c r="J1123" s="2" t="s">
        <v>140</v>
      </c>
      <c r="K1123" s="2" t="s">
        <v>74</v>
      </c>
      <c r="L1123" s="2" t="s">
        <v>74</v>
      </c>
      <c r="M1123" s="2" t="s">
        <v>74</v>
      </c>
      <c r="N1123" s="2" t="s">
        <v>74</v>
      </c>
      <c r="O1123" s="2" t="s">
        <v>74</v>
      </c>
      <c r="P1123" s="2" t="s">
        <v>74</v>
      </c>
      <c r="Q1123" s="2" t="s">
        <v>74</v>
      </c>
      <c r="R1123" s="2" t="s">
        <v>74</v>
      </c>
      <c r="S1123" s="2" t="s">
        <v>74</v>
      </c>
      <c r="T1123" s="2" t="s">
        <v>74</v>
      </c>
      <c r="U1123" s="2" t="s">
        <v>74</v>
      </c>
      <c r="V1123" s="5" t="s">
        <v>2372</v>
      </c>
      <c r="W1123" s="2" t="s">
        <v>74</v>
      </c>
      <c r="X1123" s="2" t="s">
        <v>74</v>
      </c>
      <c r="Y1123" s="2" t="s">
        <v>74</v>
      </c>
      <c r="Z1123" s="2" t="s">
        <v>74</v>
      </c>
      <c r="AA1123" s="2" t="s">
        <v>379</v>
      </c>
      <c r="AB1123" s="2" t="s">
        <v>74</v>
      </c>
      <c r="AC1123" s="2" t="s">
        <v>74</v>
      </c>
      <c r="AD1123" s="2" t="s">
        <v>74</v>
      </c>
      <c r="AE1123" s="2" t="s">
        <v>74</v>
      </c>
      <c r="AF1123" s="2" t="s">
        <v>74</v>
      </c>
      <c r="AG1123" s="2" t="s">
        <v>74</v>
      </c>
      <c r="AH1123" s="2" t="s">
        <v>74</v>
      </c>
      <c r="AI1123" s="2" t="s">
        <v>74</v>
      </c>
      <c r="AJ1123" s="2" t="s">
        <v>74</v>
      </c>
      <c r="AK1123" s="2" t="s">
        <v>74</v>
      </c>
      <c r="AL1123" s="2" t="s">
        <v>74</v>
      </c>
      <c r="AM1123" s="2" t="s">
        <v>74</v>
      </c>
      <c r="AN1123" s="2" t="s">
        <v>74</v>
      </c>
      <c r="AO1123" s="2" t="s">
        <v>143</v>
      </c>
      <c r="AP1123" s="2" t="s">
        <v>144</v>
      </c>
      <c r="AQ1123" s="2" t="s">
        <v>74</v>
      </c>
      <c r="AR1123" s="2" t="s">
        <v>74</v>
      </c>
      <c r="AS1123" s="2" t="s">
        <v>74</v>
      </c>
      <c r="AT1123" s="2" t="s">
        <v>175</v>
      </c>
      <c r="AU1123" s="2">
        <v>2011</v>
      </c>
      <c r="AV1123" s="2">
        <v>82</v>
      </c>
      <c r="AW1123" s="2">
        <v>4</v>
      </c>
      <c r="AX1123" s="2" t="s">
        <v>74</v>
      </c>
      <c r="AY1123" s="2" t="s">
        <v>74</v>
      </c>
      <c r="AZ1123" s="2" t="s">
        <v>74</v>
      </c>
      <c r="BA1123" s="2" t="s">
        <v>74</v>
      </c>
      <c r="BB1123" s="2">
        <v>683</v>
      </c>
      <c r="BC1123" s="2">
        <v>689</v>
      </c>
      <c r="BD1123" s="2" t="s">
        <v>74</v>
      </c>
      <c r="BE1123" s="2" t="s">
        <v>2373</v>
      </c>
      <c r="BF1123" s="2" t="str">
        <f>HYPERLINK("http://dx.doi.org/10.1016/j.anbehav.2011.06.023","http://dx.doi.org/10.1016/j.anbehav.2011.06.023")</f>
        <v>http://dx.doi.org/10.1016/j.anbehav.2011.06.023</v>
      </c>
      <c r="BG1123" s="2" t="s">
        <v>74</v>
      </c>
      <c r="BH1123" s="2" t="s">
        <v>74</v>
      </c>
      <c r="BI1123" s="2" t="s">
        <v>74</v>
      </c>
      <c r="BJ1123" s="2" t="s">
        <v>74</v>
      </c>
      <c r="BK1123" s="2" t="s">
        <v>74</v>
      </c>
      <c r="BL1123" s="2" t="s">
        <v>74</v>
      </c>
      <c r="BM1123" s="2" t="s">
        <v>74</v>
      </c>
      <c r="BN1123" s="2" t="s">
        <v>74</v>
      </c>
      <c r="BO1123" s="2" t="s">
        <v>74</v>
      </c>
      <c r="BP1123" s="2" t="s">
        <v>74</v>
      </c>
      <c r="BQ1123" s="2" t="s">
        <v>74</v>
      </c>
      <c r="BR1123" s="2" t="s">
        <v>74</v>
      </c>
      <c r="BS1123" s="2" t="s">
        <v>2374</v>
      </c>
      <c r="BT1123" s="2" t="str">
        <f>HYPERLINK("https%3A%2F%2Fwww.webofscience.com%2Fwos%2Fwoscc%2Ffull-record%2FWOS:000295262800012","View Full Record in Web of Science")</f>
        <v>View Full Record in Web of Science</v>
      </c>
    </row>
    <row r="1124" spans="1:72" s="2" customFormat="1" x14ac:dyDescent="0.4">
      <c r="A1124" s="2" t="s">
        <v>72</v>
      </c>
      <c r="B1124" s="2" t="s">
        <v>375</v>
      </c>
      <c r="C1124" s="2" t="s">
        <v>74</v>
      </c>
      <c r="D1124" s="2" t="s">
        <v>74</v>
      </c>
      <c r="E1124" s="2" t="s">
        <v>74</v>
      </c>
      <c r="F1124" s="2" t="s">
        <v>376</v>
      </c>
      <c r="G1124" s="2" t="s">
        <v>74</v>
      </c>
      <c r="H1124" s="2" t="s">
        <v>74</v>
      </c>
      <c r="I1124" s="2" t="s">
        <v>5944</v>
      </c>
      <c r="J1124" s="2" t="s">
        <v>610</v>
      </c>
      <c r="K1124" s="2" t="s">
        <v>74</v>
      </c>
      <c r="L1124" s="2" t="s">
        <v>74</v>
      </c>
      <c r="M1124" s="2" t="s">
        <v>74</v>
      </c>
      <c r="N1124" s="2" t="s">
        <v>74</v>
      </c>
      <c r="O1124" s="2" t="s">
        <v>74</v>
      </c>
      <c r="P1124" s="2" t="s">
        <v>74</v>
      </c>
      <c r="Q1124" s="2" t="s">
        <v>74</v>
      </c>
      <c r="R1124" s="2" t="s">
        <v>74</v>
      </c>
      <c r="S1124" s="2" t="s">
        <v>74</v>
      </c>
      <c r="T1124" s="2" t="s">
        <v>74</v>
      </c>
      <c r="U1124" s="2" t="s">
        <v>74</v>
      </c>
      <c r="V1124" s="5" t="s">
        <v>5945</v>
      </c>
      <c r="W1124" s="2" t="s">
        <v>74</v>
      </c>
      <c r="X1124" s="2" t="s">
        <v>74</v>
      </c>
      <c r="Y1124" s="2" t="s">
        <v>74</v>
      </c>
      <c r="Z1124" s="2" t="s">
        <v>74</v>
      </c>
      <c r="AA1124" s="2" t="s">
        <v>379</v>
      </c>
      <c r="AB1124" s="2" t="s">
        <v>74</v>
      </c>
      <c r="AC1124" s="2" t="s">
        <v>74</v>
      </c>
      <c r="AD1124" s="2" t="s">
        <v>74</v>
      </c>
      <c r="AE1124" s="2" t="s">
        <v>74</v>
      </c>
      <c r="AF1124" s="2" t="s">
        <v>74</v>
      </c>
      <c r="AG1124" s="2" t="s">
        <v>74</v>
      </c>
      <c r="AH1124" s="2" t="s">
        <v>74</v>
      </c>
      <c r="AI1124" s="2" t="s">
        <v>74</v>
      </c>
      <c r="AJ1124" s="2" t="s">
        <v>74</v>
      </c>
      <c r="AK1124" s="2" t="s">
        <v>74</v>
      </c>
      <c r="AL1124" s="2" t="s">
        <v>74</v>
      </c>
      <c r="AM1124" s="2" t="s">
        <v>74</v>
      </c>
      <c r="AN1124" s="2" t="s">
        <v>74</v>
      </c>
      <c r="AO1124" s="2" t="s">
        <v>614</v>
      </c>
      <c r="AP1124" s="2" t="s">
        <v>615</v>
      </c>
      <c r="AQ1124" s="2" t="s">
        <v>74</v>
      </c>
      <c r="AR1124" s="2" t="s">
        <v>74</v>
      </c>
      <c r="AS1124" s="2" t="s">
        <v>74</v>
      </c>
      <c r="AT1124" s="2" t="s">
        <v>213</v>
      </c>
      <c r="AU1124" s="2">
        <v>2010</v>
      </c>
      <c r="AV1124" s="2">
        <v>116</v>
      </c>
      <c r="AW1124" s="2">
        <v>11</v>
      </c>
      <c r="AX1124" s="2" t="s">
        <v>74</v>
      </c>
      <c r="AY1124" s="2" t="s">
        <v>74</v>
      </c>
      <c r="AZ1124" s="2" t="s">
        <v>74</v>
      </c>
      <c r="BA1124" s="2" t="s">
        <v>74</v>
      </c>
      <c r="BB1124" s="2">
        <v>1038</v>
      </c>
      <c r="BC1124" s="2">
        <v>1049</v>
      </c>
      <c r="BD1124" s="2" t="s">
        <v>74</v>
      </c>
      <c r="BE1124" s="2" t="s">
        <v>5946</v>
      </c>
      <c r="BF1124" s="2" t="str">
        <f>HYPERLINK("http://dx.doi.org/10.1111/j.1439-0310.2010.01816.x","http://dx.doi.org/10.1111/j.1439-0310.2010.01816.x")</f>
        <v>http://dx.doi.org/10.1111/j.1439-0310.2010.01816.x</v>
      </c>
      <c r="BG1124" s="2" t="s">
        <v>74</v>
      </c>
      <c r="BH1124" s="2" t="s">
        <v>74</v>
      </c>
      <c r="BI1124" s="2" t="s">
        <v>74</v>
      </c>
      <c r="BJ1124" s="2" t="s">
        <v>74</v>
      </c>
      <c r="BK1124" s="2" t="s">
        <v>74</v>
      </c>
      <c r="BL1124" s="2" t="s">
        <v>74</v>
      </c>
      <c r="BM1124" s="2" t="s">
        <v>74</v>
      </c>
      <c r="BN1124" s="2" t="s">
        <v>74</v>
      </c>
      <c r="BO1124" s="2" t="s">
        <v>74</v>
      </c>
      <c r="BP1124" s="2" t="s">
        <v>74</v>
      </c>
      <c r="BQ1124" s="2" t="s">
        <v>74</v>
      </c>
      <c r="BR1124" s="2" t="s">
        <v>74</v>
      </c>
      <c r="BS1124" s="2" t="s">
        <v>5947</v>
      </c>
      <c r="BT1124" s="2" t="str">
        <f>HYPERLINK("https%3A%2F%2Fwww.webofscience.com%2Fwos%2Fwoscc%2Ffull-record%2FWOS:000282821900005","View Full Record in Web of Science")</f>
        <v>View Full Record in Web of Science</v>
      </c>
    </row>
    <row r="1125" spans="1:72" s="2" customFormat="1" x14ac:dyDescent="0.4">
      <c r="A1125" s="2" t="s">
        <v>72</v>
      </c>
      <c r="B1125" s="2" t="s">
        <v>4820</v>
      </c>
      <c r="C1125" s="2" t="s">
        <v>74</v>
      </c>
      <c r="D1125" s="2" t="s">
        <v>74</v>
      </c>
      <c r="E1125" s="2" t="s">
        <v>74</v>
      </c>
      <c r="F1125" s="2" t="s">
        <v>4820</v>
      </c>
      <c r="G1125" s="2" t="s">
        <v>74</v>
      </c>
      <c r="H1125" s="2" t="s">
        <v>74</v>
      </c>
      <c r="I1125" s="2" t="s">
        <v>4821</v>
      </c>
      <c r="J1125" s="2" t="s">
        <v>1526</v>
      </c>
      <c r="K1125" s="2" t="s">
        <v>74</v>
      </c>
      <c r="L1125" s="2" t="s">
        <v>74</v>
      </c>
      <c r="M1125" s="2" t="s">
        <v>74</v>
      </c>
      <c r="N1125" s="2" t="s">
        <v>74</v>
      </c>
      <c r="O1125" s="2" t="s">
        <v>74</v>
      </c>
      <c r="P1125" s="2" t="s">
        <v>74</v>
      </c>
      <c r="Q1125" s="2" t="s">
        <v>74</v>
      </c>
      <c r="R1125" s="2" t="s">
        <v>74</v>
      </c>
      <c r="S1125" s="2" t="s">
        <v>74</v>
      </c>
      <c r="T1125" s="2" t="s">
        <v>74</v>
      </c>
      <c r="U1125" s="2" t="s">
        <v>74</v>
      </c>
      <c r="V1125" s="5" t="s">
        <v>4822</v>
      </c>
      <c r="W1125" s="2" t="s">
        <v>74</v>
      </c>
      <c r="X1125" s="2" t="s">
        <v>74</v>
      </c>
      <c r="Y1125" s="2" t="s">
        <v>74</v>
      </c>
      <c r="Z1125" s="2" t="s">
        <v>74</v>
      </c>
      <c r="AA1125" s="2" t="s">
        <v>74</v>
      </c>
      <c r="AB1125" s="2" t="s">
        <v>74</v>
      </c>
      <c r="AC1125" s="2" t="s">
        <v>74</v>
      </c>
      <c r="AD1125" s="2" t="s">
        <v>74</v>
      </c>
      <c r="AE1125" s="2" t="s">
        <v>74</v>
      </c>
      <c r="AF1125" s="2" t="s">
        <v>74</v>
      </c>
      <c r="AG1125" s="2" t="s">
        <v>74</v>
      </c>
      <c r="AH1125" s="2" t="s">
        <v>74</v>
      </c>
      <c r="AI1125" s="2" t="s">
        <v>74</v>
      </c>
      <c r="AJ1125" s="2" t="s">
        <v>74</v>
      </c>
      <c r="AK1125" s="2" t="s">
        <v>74</v>
      </c>
      <c r="AL1125" s="2" t="s">
        <v>74</v>
      </c>
      <c r="AM1125" s="2" t="s">
        <v>74</v>
      </c>
      <c r="AN1125" s="2" t="s">
        <v>74</v>
      </c>
      <c r="AO1125" s="2" t="s">
        <v>1528</v>
      </c>
      <c r="AP1125" s="2" t="s">
        <v>74</v>
      </c>
      <c r="AQ1125" s="2" t="s">
        <v>74</v>
      </c>
      <c r="AR1125" s="2" t="s">
        <v>74</v>
      </c>
      <c r="AS1125" s="2" t="s">
        <v>74</v>
      </c>
      <c r="AT1125" s="2" t="s">
        <v>145</v>
      </c>
      <c r="AU1125" s="2">
        <v>1993</v>
      </c>
      <c r="AV1125" s="2">
        <v>95</v>
      </c>
      <c r="AW1125" s="2">
        <v>3</v>
      </c>
      <c r="AX1125" s="2" t="s">
        <v>74</v>
      </c>
      <c r="AY1125" s="2" t="s">
        <v>74</v>
      </c>
      <c r="AZ1125" s="2" t="s">
        <v>74</v>
      </c>
      <c r="BA1125" s="2" t="s">
        <v>74</v>
      </c>
      <c r="BB1125" s="2">
        <v>596</v>
      </c>
      <c r="BC1125" s="2">
        <v>615</v>
      </c>
      <c r="BD1125" s="2" t="s">
        <v>74</v>
      </c>
      <c r="BE1125" s="2" t="s">
        <v>4823</v>
      </c>
      <c r="BF1125" s="2" t="str">
        <f>HYPERLINK("http://dx.doi.org/10.2307/1369604","http://dx.doi.org/10.2307/1369604")</f>
        <v>http://dx.doi.org/10.2307/1369604</v>
      </c>
      <c r="BG1125" s="2" t="s">
        <v>74</v>
      </c>
      <c r="BH1125" s="2" t="s">
        <v>74</v>
      </c>
      <c r="BI1125" s="2" t="s">
        <v>74</v>
      </c>
      <c r="BJ1125" s="2" t="s">
        <v>74</v>
      </c>
      <c r="BK1125" s="2" t="s">
        <v>74</v>
      </c>
      <c r="BL1125" s="2" t="s">
        <v>74</v>
      </c>
      <c r="BM1125" s="2" t="s">
        <v>74</v>
      </c>
      <c r="BN1125" s="2" t="s">
        <v>74</v>
      </c>
      <c r="BO1125" s="2" t="s">
        <v>74</v>
      </c>
      <c r="BP1125" s="2" t="s">
        <v>74</v>
      </c>
      <c r="BQ1125" s="2" t="s">
        <v>74</v>
      </c>
      <c r="BR1125" s="2" t="s">
        <v>74</v>
      </c>
      <c r="BS1125" s="2" t="s">
        <v>4824</v>
      </c>
      <c r="BT1125" s="2" t="str">
        <f>HYPERLINK("https%3A%2F%2Fwww.webofscience.com%2Fwos%2Fwoscc%2Ffull-record%2FWOS:A1993LU78000012","View Full Record in Web of Science")</f>
        <v>View Full Record in Web of Science</v>
      </c>
    </row>
    <row r="1126" spans="1:72" s="2" customFormat="1" x14ac:dyDescent="0.4">
      <c r="A1126" s="2" t="s">
        <v>72</v>
      </c>
      <c r="B1126" s="2" t="s">
        <v>8120</v>
      </c>
      <c r="C1126" s="2" t="s">
        <v>74</v>
      </c>
      <c r="D1126" s="2" t="s">
        <v>74</v>
      </c>
      <c r="E1126" s="2" t="s">
        <v>74</v>
      </c>
      <c r="F1126" s="2" t="s">
        <v>8121</v>
      </c>
      <c r="G1126" s="2" t="s">
        <v>74</v>
      </c>
      <c r="H1126" s="2" t="s">
        <v>74</v>
      </c>
      <c r="I1126" s="2" t="s">
        <v>8122</v>
      </c>
      <c r="J1126" s="2" t="s">
        <v>2629</v>
      </c>
      <c r="K1126" s="2" t="s">
        <v>74</v>
      </c>
      <c r="L1126" s="2" t="s">
        <v>74</v>
      </c>
      <c r="M1126" s="2" t="s">
        <v>74</v>
      </c>
      <c r="N1126" s="2" t="s">
        <v>74</v>
      </c>
      <c r="O1126" s="2" t="s">
        <v>74</v>
      </c>
      <c r="P1126" s="2" t="s">
        <v>74</v>
      </c>
      <c r="Q1126" s="2" t="s">
        <v>74</v>
      </c>
      <c r="R1126" s="2" t="s">
        <v>74</v>
      </c>
      <c r="S1126" s="2" t="s">
        <v>74</v>
      </c>
      <c r="T1126" s="2" t="s">
        <v>74</v>
      </c>
      <c r="U1126" s="2" t="s">
        <v>74</v>
      </c>
      <c r="V1126" s="5" t="s">
        <v>8123</v>
      </c>
      <c r="W1126" s="2" t="s">
        <v>74</v>
      </c>
      <c r="X1126" s="2" t="s">
        <v>74</v>
      </c>
      <c r="Y1126" s="2" t="s">
        <v>74</v>
      </c>
      <c r="Z1126" s="2" t="s">
        <v>74</v>
      </c>
      <c r="AA1126" s="2" t="s">
        <v>74</v>
      </c>
      <c r="AB1126" s="2" t="s">
        <v>74</v>
      </c>
      <c r="AC1126" s="2" t="s">
        <v>74</v>
      </c>
      <c r="AD1126" s="2" t="s">
        <v>74</v>
      </c>
      <c r="AE1126" s="2" t="s">
        <v>74</v>
      </c>
      <c r="AF1126" s="2" t="s">
        <v>74</v>
      </c>
      <c r="AG1126" s="2" t="s">
        <v>74</v>
      </c>
      <c r="AH1126" s="2" t="s">
        <v>74</v>
      </c>
      <c r="AI1126" s="2" t="s">
        <v>74</v>
      </c>
      <c r="AJ1126" s="2" t="s">
        <v>74</v>
      </c>
      <c r="AK1126" s="2" t="s">
        <v>74</v>
      </c>
      <c r="AL1126" s="2" t="s">
        <v>74</v>
      </c>
      <c r="AM1126" s="2" t="s">
        <v>74</v>
      </c>
      <c r="AN1126" s="2" t="s">
        <v>74</v>
      </c>
      <c r="AO1126" s="2" t="s">
        <v>2632</v>
      </c>
      <c r="AP1126" s="2" t="s">
        <v>2633</v>
      </c>
      <c r="AQ1126" s="2" t="s">
        <v>74</v>
      </c>
      <c r="AR1126" s="2" t="s">
        <v>74</v>
      </c>
      <c r="AS1126" s="2" t="s">
        <v>74</v>
      </c>
      <c r="AT1126" s="2" t="s">
        <v>74</v>
      </c>
      <c r="AU1126" s="2">
        <v>2020</v>
      </c>
      <c r="AV1126" s="2">
        <v>68</v>
      </c>
      <c r="AW1126" s="2">
        <v>2</v>
      </c>
      <c r="AX1126" s="2" t="s">
        <v>74</v>
      </c>
      <c r="AY1126" s="2" t="s">
        <v>74</v>
      </c>
      <c r="AZ1126" s="2" t="s">
        <v>74</v>
      </c>
      <c r="BA1126" s="2" t="s">
        <v>74</v>
      </c>
      <c r="BB1126" s="2">
        <v>85</v>
      </c>
      <c r="BC1126" s="2">
        <v>97</v>
      </c>
      <c r="BD1126" s="2" t="s">
        <v>74</v>
      </c>
      <c r="BE1126" s="2" t="s">
        <v>8124</v>
      </c>
      <c r="BF1126" s="2" t="str">
        <f>HYPERLINK("http://dx.doi.org/10.1071/ZO20091","http://dx.doi.org/10.1071/ZO20091")</f>
        <v>http://dx.doi.org/10.1071/ZO20091</v>
      </c>
      <c r="BG1126" s="2" t="s">
        <v>74</v>
      </c>
      <c r="BH1126" s="2" t="s">
        <v>224</v>
      </c>
      <c r="BI1126" s="2" t="s">
        <v>74</v>
      </c>
      <c r="BJ1126" s="2" t="s">
        <v>74</v>
      </c>
      <c r="BK1126" s="2" t="s">
        <v>74</v>
      </c>
      <c r="BL1126" s="2" t="s">
        <v>74</v>
      </c>
      <c r="BM1126" s="2" t="s">
        <v>74</v>
      </c>
      <c r="BN1126" s="2" t="s">
        <v>74</v>
      </c>
      <c r="BO1126" s="2" t="s">
        <v>74</v>
      </c>
      <c r="BP1126" s="2" t="s">
        <v>74</v>
      </c>
      <c r="BQ1126" s="2" t="s">
        <v>74</v>
      </c>
      <c r="BR1126" s="2" t="s">
        <v>74</v>
      </c>
      <c r="BS1126" s="2" t="s">
        <v>8125</v>
      </c>
      <c r="BT1126" s="2" t="str">
        <f>HYPERLINK("https%3A%2F%2Fwww.webofscience.com%2Fwos%2Fwoscc%2Ffull-record%2FWOS:000657370700001","View Full Record in Web of Science")</f>
        <v>View Full Record in Web of Science</v>
      </c>
    </row>
    <row r="1127" spans="1:72" s="2" customFormat="1" x14ac:dyDescent="0.4">
      <c r="A1127" s="2" t="s">
        <v>72</v>
      </c>
      <c r="B1127" s="2" t="s">
        <v>4167</v>
      </c>
      <c r="C1127" s="2" t="s">
        <v>74</v>
      </c>
      <c r="D1127" s="2" t="s">
        <v>74</v>
      </c>
      <c r="E1127" s="2" t="s">
        <v>74</v>
      </c>
      <c r="F1127" s="2" t="s">
        <v>4167</v>
      </c>
      <c r="G1127" s="2" t="s">
        <v>74</v>
      </c>
      <c r="H1127" s="2" t="s">
        <v>74</v>
      </c>
      <c r="I1127" s="2" t="s">
        <v>4168</v>
      </c>
      <c r="J1127" s="2" t="s">
        <v>691</v>
      </c>
      <c r="K1127" s="2" t="s">
        <v>74</v>
      </c>
      <c r="L1127" s="2" t="s">
        <v>74</v>
      </c>
      <c r="M1127" s="2" t="s">
        <v>74</v>
      </c>
      <c r="N1127" s="2" t="s">
        <v>74</v>
      </c>
      <c r="O1127" s="2" t="s">
        <v>74</v>
      </c>
      <c r="P1127" s="2" t="s">
        <v>74</v>
      </c>
      <c r="Q1127" s="2" t="s">
        <v>74</v>
      </c>
      <c r="R1127" s="2" t="s">
        <v>74</v>
      </c>
      <c r="S1127" s="2" t="s">
        <v>74</v>
      </c>
      <c r="T1127" s="2" t="s">
        <v>74</v>
      </c>
      <c r="U1127" s="2" t="s">
        <v>74</v>
      </c>
      <c r="V1127" s="5" t="s">
        <v>4169</v>
      </c>
      <c r="W1127" s="2" t="s">
        <v>74</v>
      </c>
      <c r="X1127" s="2" t="s">
        <v>74</v>
      </c>
      <c r="Y1127" s="2" t="s">
        <v>74</v>
      </c>
      <c r="Z1127" s="2" t="s">
        <v>74</v>
      </c>
      <c r="AA1127" s="2" t="s">
        <v>74</v>
      </c>
      <c r="AB1127" s="2" t="s">
        <v>74</v>
      </c>
      <c r="AC1127" s="2" t="s">
        <v>74</v>
      </c>
      <c r="AD1127" s="2" t="s">
        <v>74</v>
      </c>
      <c r="AE1127" s="2" t="s">
        <v>74</v>
      </c>
      <c r="AF1127" s="2" t="s">
        <v>74</v>
      </c>
      <c r="AG1127" s="2" t="s">
        <v>74</v>
      </c>
      <c r="AH1127" s="2" t="s">
        <v>74</v>
      </c>
      <c r="AI1127" s="2" t="s">
        <v>74</v>
      </c>
      <c r="AJ1127" s="2" t="s">
        <v>74</v>
      </c>
      <c r="AK1127" s="2" t="s">
        <v>74</v>
      </c>
      <c r="AL1127" s="2" t="s">
        <v>74</v>
      </c>
      <c r="AM1127" s="2" t="s">
        <v>74</v>
      </c>
      <c r="AN1127" s="2" t="s">
        <v>74</v>
      </c>
      <c r="AO1127" s="2" t="s">
        <v>695</v>
      </c>
      <c r="AP1127" s="2" t="s">
        <v>981</v>
      </c>
      <c r="AQ1127" s="2" t="s">
        <v>74</v>
      </c>
      <c r="AR1127" s="2" t="s">
        <v>74</v>
      </c>
      <c r="AS1127" s="2" t="s">
        <v>74</v>
      </c>
      <c r="AT1127" s="2" t="s">
        <v>305</v>
      </c>
      <c r="AU1127" s="2">
        <v>1989</v>
      </c>
      <c r="AV1127" s="2">
        <v>46</v>
      </c>
      <c r="AW1127" s="2">
        <v>6</v>
      </c>
      <c r="AX1127" s="2" t="s">
        <v>74</v>
      </c>
      <c r="AY1127" s="2" t="s">
        <v>74</v>
      </c>
      <c r="AZ1127" s="2" t="s">
        <v>74</v>
      </c>
      <c r="BA1127" s="2" t="s">
        <v>74</v>
      </c>
      <c r="BB1127" s="2">
        <v>977</v>
      </c>
      <c r="BC1127" s="2">
        <v>982</v>
      </c>
      <c r="BD1127" s="2" t="s">
        <v>74</v>
      </c>
      <c r="BE1127" s="2" t="s">
        <v>4170</v>
      </c>
      <c r="BF1127" s="2" t="str">
        <f>HYPERLINK("http://dx.doi.org/10.1016/0031-9384(89)90201-1","http://dx.doi.org/10.1016/0031-9384(89)90201-1")</f>
        <v>http://dx.doi.org/10.1016/0031-9384(89)90201-1</v>
      </c>
      <c r="BG1127" s="2" t="s">
        <v>74</v>
      </c>
      <c r="BH1127" s="2" t="s">
        <v>74</v>
      </c>
      <c r="BI1127" s="2" t="s">
        <v>74</v>
      </c>
      <c r="BJ1127" s="2" t="s">
        <v>74</v>
      </c>
      <c r="BK1127" s="2" t="s">
        <v>74</v>
      </c>
      <c r="BL1127" s="2" t="s">
        <v>74</v>
      </c>
      <c r="BM1127" s="2" t="s">
        <v>74</v>
      </c>
      <c r="BN1127" s="2">
        <v>2634263</v>
      </c>
      <c r="BO1127" s="2" t="s">
        <v>74</v>
      </c>
      <c r="BP1127" s="2" t="s">
        <v>74</v>
      </c>
      <c r="BQ1127" s="2" t="s">
        <v>74</v>
      </c>
      <c r="BR1127" s="2" t="s">
        <v>74</v>
      </c>
      <c r="BS1127" s="2" t="s">
        <v>4171</v>
      </c>
      <c r="BT1127" s="2" t="str">
        <f>HYPERLINK("https%3A%2F%2Fwww.webofscience.com%2Fwos%2Fwoscc%2Ffull-record%2FWOS:A1989CE14400011","View Full Record in Web of Science")</f>
        <v>View Full Record in Web of Science</v>
      </c>
    </row>
    <row r="1128" spans="1:72" s="2" customFormat="1" x14ac:dyDescent="0.4">
      <c r="A1128" s="2" t="s">
        <v>72</v>
      </c>
      <c r="B1128" s="2" t="s">
        <v>5563</v>
      </c>
      <c r="C1128" s="2" t="s">
        <v>74</v>
      </c>
      <c r="D1128" s="2" t="s">
        <v>74</v>
      </c>
      <c r="E1128" s="2" t="s">
        <v>74</v>
      </c>
      <c r="F1128" s="2" t="s">
        <v>5563</v>
      </c>
      <c r="G1128" s="2" t="s">
        <v>74</v>
      </c>
      <c r="H1128" s="2" t="s">
        <v>74</v>
      </c>
      <c r="I1128" s="2" t="s">
        <v>5564</v>
      </c>
      <c r="J1128" s="2" t="s">
        <v>5333</v>
      </c>
      <c r="K1128" s="2" t="s">
        <v>74</v>
      </c>
      <c r="L1128" s="2" t="s">
        <v>74</v>
      </c>
      <c r="M1128" s="2" t="s">
        <v>74</v>
      </c>
      <c r="N1128" s="2" t="s">
        <v>74</v>
      </c>
      <c r="O1128" s="2" t="s">
        <v>74</v>
      </c>
      <c r="P1128" s="2" t="s">
        <v>74</v>
      </c>
      <c r="Q1128" s="2" t="s">
        <v>74</v>
      </c>
      <c r="R1128" s="2" t="s">
        <v>74</v>
      </c>
      <c r="S1128" s="2" t="s">
        <v>74</v>
      </c>
      <c r="T1128" s="2" t="s">
        <v>74</v>
      </c>
      <c r="U1128" s="2" t="s">
        <v>74</v>
      </c>
      <c r="V1128" s="5" t="s">
        <v>5565</v>
      </c>
      <c r="W1128" s="2" t="s">
        <v>74</v>
      </c>
      <c r="X1128" s="2" t="s">
        <v>74</v>
      </c>
      <c r="Y1128" s="2" t="s">
        <v>74</v>
      </c>
      <c r="Z1128" s="2" t="s">
        <v>74</v>
      </c>
      <c r="AA1128" s="2" t="s">
        <v>74</v>
      </c>
      <c r="AB1128" s="2" t="s">
        <v>74</v>
      </c>
      <c r="AC1128" s="2" t="s">
        <v>74</v>
      </c>
      <c r="AD1128" s="2" t="s">
        <v>74</v>
      </c>
      <c r="AE1128" s="2" t="s">
        <v>74</v>
      </c>
      <c r="AF1128" s="2" t="s">
        <v>74</v>
      </c>
      <c r="AG1128" s="2" t="s">
        <v>74</v>
      </c>
      <c r="AH1128" s="2" t="s">
        <v>74</v>
      </c>
      <c r="AI1128" s="2" t="s">
        <v>74</v>
      </c>
      <c r="AJ1128" s="2" t="s">
        <v>74</v>
      </c>
      <c r="AK1128" s="2" t="s">
        <v>74</v>
      </c>
      <c r="AL1128" s="2" t="s">
        <v>74</v>
      </c>
      <c r="AM1128" s="2" t="s">
        <v>74</v>
      </c>
      <c r="AN1128" s="2" t="s">
        <v>74</v>
      </c>
      <c r="AO1128" s="2" t="s">
        <v>5335</v>
      </c>
      <c r="AP1128" s="2" t="s">
        <v>74</v>
      </c>
      <c r="AQ1128" s="2" t="s">
        <v>74</v>
      </c>
      <c r="AR1128" s="2" t="s">
        <v>74</v>
      </c>
      <c r="AS1128" s="2" t="s">
        <v>74</v>
      </c>
      <c r="AT1128" s="2" t="s">
        <v>74</v>
      </c>
      <c r="AU1128" s="2">
        <v>1985</v>
      </c>
      <c r="AV1128" s="2">
        <v>50</v>
      </c>
      <c r="AW1128" s="2">
        <v>3</v>
      </c>
      <c r="AX1128" s="2" t="s">
        <v>74</v>
      </c>
      <c r="AY1128" s="2" t="s">
        <v>74</v>
      </c>
      <c r="AZ1128" s="2" t="s">
        <v>74</v>
      </c>
      <c r="BA1128" s="2" t="s">
        <v>74</v>
      </c>
      <c r="BB1128" s="2">
        <v>166</v>
      </c>
      <c r="BC1128" s="2">
        <v>174</v>
      </c>
      <c r="BD1128" s="2" t="s">
        <v>74</v>
      </c>
      <c r="BE1128" s="2" t="s">
        <v>74</v>
      </c>
      <c r="BF1128" s="2" t="s">
        <v>74</v>
      </c>
      <c r="BG1128" s="2" t="s">
        <v>74</v>
      </c>
      <c r="BH1128" s="2" t="s">
        <v>74</v>
      </c>
      <c r="BI1128" s="2" t="s">
        <v>74</v>
      </c>
      <c r="BJ1128" s="2" t="s">
        <v>74</v>
      </c>
      <c r="BK1128" s="2" t="s">
        <v>74</v>
      </c>
      <c r="BL1128" s="2" t="s">
        <v>74</v>
      </c>
      <c r="BM1128" s="2" t="s">
        <v>74</v>
      </c>
      <c r="BN1128" s="2" t="s">
        <v>74</v>
      </c>
      <c r="BO1128" s="2" t="s">
        <v>74</v>
      </c>
      <c r="BP1128" s="2" t="s">
        <v>74</v>
      </c>
      <c r="BQ1128" s="2" t="s">
        <v>74</v>
      </c>
      <c r="BR1128" s="2" t="s">
        <v>74</v>
      </c>
      <c r="BS1128" s="2" t="s">
        <v>5566</v>
      </c>
      <c r="BT1128" s="2" t="str">
        <f>HYPERLINK("https%3A%2F%2Fwww.webofscience.com%2Fwos%2Fwoscc%2Ffull-record%2FWOS:A1985ALJ2100004","View Full Record in Web of Science")</f>
        <v>View Full Record in Web of Science</v>
      </c>
    </row>
    <row r="1129" spans="1:72" s="2" customFormat="1" x14ac:dyDescent="0.4">
      <c r="A1129" s="2" t="s">
        <v>72</v>
      </c>
      <c r="B1129" s="2" t="s">
        <v>8162</v>
      </c>
      <c r="C1129" s="2" t="s">
        <v>74</v>
      </c>
      <c r="D1129" s="2" t="s">
        <v>74</v>
      </c>
      <c r="E1129" s="2" t="s">
        <v>74</v>
      </c>
      <c r="F1129" s="2" t="s">
        <v>8162</v>
      </c>
      <c r="G1129" s="2" t="s">
        <v>74</v>
      </c>
      <c r="H1129" s="2" t="s">
        <v>74</v>
      </c>
      <c r="I1129" s="2" t="s">
        <v>8163</v>
      </c>
      <c r="J1129" s="2" t="s">
        <v>241</v>
      </c>
      <c r="K1129" s="2" t="s">
        <v>74</v>
      </c>
      <c r="L1129" s="2" t="s">
        <v>74</v>
      </c>
      <c r="M1129" s="2" t="s">
        <v>74</v>
      </c>
      <c r="N1129" s="2" t="s">
        <v>74</v>
      </c>
      <c r="O1129" s="2" t="s">
        <v>74</v>
      </c>
      <c r="P1129" s="2" t="s">
        <v>74</v>
      </c>
      <c r="Q1129" s="2" t="s">
        <v>74</v>
      </c>
      <c r="R1129" s="2" t="s">
        <v>74</v>
      </c>
      <c r="S1129" s="2" t="s">
        <v>74</v>
      </c>
      <c r="T1129" s="2" t="s">
        <v>74</v>
      </c>
      <c r="U1129" s="2" t="s">
        <v>74</v>
      </c>
      <c r="V1129" s="5" t="s">
        <v>8164</v>
      </c>
      <c r="W1129" s="2" t="s">
        <v>74</v>
      </c>
      <c r="X1129" s="2" t="s">
        <v>74</v>
      </c>
      <c r="Y1129" s="2" t="s">
        <v>74</v>
      </c>
      <c r="Z1129" s="2" t="s">
        <v>74</v>
      </c>
      <c r="AA1129" s="2" t="s">
        <v>6473</v>
      </c>
      <c r="AB1129" s="2" t="s">
        <v>8165</v>
      </c>
      <c r="AC1129" s="2" t="s">
        <v>74</v>
      </c>
      <c r="AD1129" s="2" t="s">
        <v>74</v>
      </c>
      <c r="AE1129" s="2" t="s">
        <v>74</v>
      </c>
      <c r="AF1129" s="2" t="s">
        <v>74</v>
      </c>
      <c r="AG1129" s="2" t="s">
        <v>74</v>
      </c>
      <c r="AH1129" s="2" t="s">
        <v>74</v>
      </c>
      <c r="AI1129" s="2" t="s">
        <v>74</v>
      </c>
      <c r="AJ1129" s="2" t="s">
        <v>74</v>
      </c>
      <c r="AK1129" s="2" t="s">
        <v>74</v>
      </c>
      <c r="AL1129" s="2" t="s">
        <v>74</v>
      </c>
      <c r="AM1129" s="2" t="s">
        <v>74</v>
      </c>
      <c r="AN1129" s="2" t="s">
        <v>74</v>
      </c>
      <c r="AO1129" s="2" t="s">
        <v>245</v>
      </c>
      <c r="AP1129" s="2" t="s">
        <v>74</v>
      </c>
      <c r="AQ1129" s="2" t="s">
        <v>74</v>
      </c>
      <c r="AR1129" s="2" t="s">
        <v>74</v>
      </c>
      <c r="AS1129" s="2" t="s">
        <v>74</v>
      </c>
      <c r="AT1129" s="2" t="s">
        <v>145</v>
      </c>
      <c r="AU1129" s="2">
        <v>1993</v>
      </c>
      <c r="AV1129" s="2">
        <v>95</v>
      </c>
      <c r="AW1129" s="2">
        <v>2</v>
      </c>
      <c r="AX1129" s="2" t="s">
        <v>74</v>
      </c>
      <c r="AY1129" s="2" t="s">
        <v>74</v>
      </c>
      <c r="AZ1129" s="2" t="s">
        <v>74</v>
      </c>
      <c r="BA1129" s="2" t="s">
        <v>74</v>
      </c>
      <c r="BB1129" s="2">
        <v>266</v>
      </c>
      <c r="BC1129" s="2">
        <v>276</v>
      </c>
      <c r="BD1129" s="2" t="s">
        <v>74</v>
      </c>
      <c r="BE1129" s="2" t="s">
        <v>8166</v>
      </c>
      <c r="BF1129" s="2" t="str">
        <f>HYPERLINK("http://dx.doi.org/10.1007/BF00323499","http://dx.doi.org/10.1007/BF00323499")</f>
        <v>http://dx.doi.org/10.1007/BF00323499</v>
      </c>
      <c r="BG1129" s="2" t="s">
        <v>74</v>
      </c>
      <c r="BH1129" s="2" t="s">
        <v>74</v>
      </c>
      <c r="BI1129" s="2" t="s">
        <v>74</v>
      </c>
      <c r="BJ1129" s="2" t="s">
        <v>74</v>
      </c>
      <c r="BK1129" s="2" t="s">
        <v>74</v>
      </c>
      <c r="BL1129" s="2" t="s">
        <v>74</v>
      </c>
      <c r="BM1129" s="2" t="s">
        <v>74</v>
      </c>
      <c r="BN1129" s="2">
        <v>28312951</v>
      </c>
      <c r="BO1129" s="2" t="s">
        <v>74</v>
      </c>
      <c r="BP1129" s="2" t="s">
        <v>74</v>
      </c>
      <c r="BQ1129" s="2" t="s">
        <v>74</v>
      </c>
      <c r="BR1129" s="2" t="s">
        <v>74</v>
      </c>
      <c r="BS1129" s="2" t="s">
        <v>8167</v>
      </c>
      <c r="BT1129" s="2" t="str">
        <f>HYPERLINK("https%3A%2F%2Fwww.webofscience.com%2Fwos%2Fwoscc%2Ffull-record%2FWOS:A1993LV56400015","View Full Record in Web of Science")</f>
        <v>View Full Record in Web of Science</v>
      </c>
    </row>
    <row r="1130" spans="1:72" s="2" customFormat="1" x14ac:dyDescent="0.4">
      <c r="A1130" s="2" t="s">
        <v>72</v>
      </c>
      <c r="B1130" s="2" t="s">
        <v>6081</v>
      </c>
      <c r="C1130" s="2" t="s">
        <v>74</v>
      </c>
      <c r="D1130" s="2" t="s">
        <v>74</v>
      </c>
      <c r="E1130" s="2" t="s">
        <v>74</v>
      </c>
      <c r="F1130" s="2" t="s">
        <v>6082</v>
      </c>
      <c r="G1130" s="2" t="s">
        <v>74</v>
      </c>
      <c r="H1130" s="2" t="s">
        <v>74</v>
      </c>
      <c r="I1130" s="2" t="s">
        <v>6083</v>
      </c>
      <c r="J1130" s="2" t="s">
        <v>6084</v>
      </c>
      <c r="K1130" s="2" t="s">
        <v>74</v>
      </c>
      <c r="L1130" s="2" t="s">
        <v>74</v>
      </c>
      <c r="M1130" s="2" t="s">
        <v>74</v>
      </c>
      <c r="N1130" s="2" t="s">
        <v>74</v>
      </c>
      <c r="O1130" s="2" t="s">
        <v>74</v>
      </c>
      <c r="P1130" s="2" t="s">
        <v>74</v>
      </c>
      <c r="Q1130" s="2" t="s">
        <v>74</v>
      </c>
      <c r="R1130" s="2" t="s">
        <v>74</v>
      </c>
      <c r="S1130" s="2" t="s">
        <v>74</v>
      </c>
      <c r="T1130" s="2" t="s">
        <v>74</v>
      </c>
      <c r="U1130" s="2" t="s">
        <v>74</v>
      </c>
      <c r="V1130" s="5" t="s">
        <v>6085</v>
      </c>
      <c r="W1130" s="2" t="s">
        <v>74</v>
      </c>
      <c r="X1130" s="2" t="s">
        <v>74</v>
      </c>
      <c r="Y1130" s="2" t="s">
        <v>74</v>
      </c>
      <c r="Z1130" s="2" t="s">
        <v>74</v>
      </c>
      <c r="AA1130" s="2" t="s">
        <v>2989</v>
      </c>
      <c r="AB1130" s="2" t="s">
        <v>6086</v>
      </c>
      <c r="AC1130" s="2" t="s">
        <v>74</v>
      </c>
      <c r="AD1130" s="2" t="s">
        <v>74</v>
      </c>
      <c r="AE1130" s="2" t="s">
        <v>74</v>
      </c>
      <c r="AF1130" s="2" t="s">
        <v>74</v>
      </c>
      <c r="AG1130" s="2" t="s">
        <v>74</v>
      </c>
      <c r="AH1130" s="2" t="s">
        <v>74</v>
      </c>
      <c r="AI1130" s="2" t="s">
        <v>74</v>
      </c>
      <c r="AJ1130" s="2" t="s">
        <v>74</v>
      </c>
      <c r="AK1130" s="2" t="s">
        <v>74</v>
      </c>
      <c r="AL1130" s="2" t="s">
        <v>74</v>
      </c>
      <c r="AM1130" s="2" t="s">
        <v>74</v>
      </c>
      <c r="AN1130" s="2" t="s">
        <v>74</v>
      </c>
      <c r="AO1130" s="2" t="s">
        <v>6087</v>
      </c>
      <c r="AP1130" s="2" t="s">
        <v>6088</v>
      </c>
      <c r="AQ1130" s="2" t="s">
        <v>74</v>
      </c>
      <c r="AR1130" s="2" t="s">
        <v>74</v>
      </c>
      <c r="AS1130" s="2" t="s">
        <v>74</v>
      </c>
      <c r="AT1130" s="2" t="s">
        <v>74</v>
      </c>
      <c r="AU1130" s="2">
        <v>2017</v>
      </c>
      <c r="AV1130" s="2">
        <v>20</v>
      </c>
      <c r="AW1130" s="2">
        <v>1</v>
      </c>
      <c r="AX1130" s="2" t="s">
        <v>74</v>
      </c>
      <c r="AY1130" s="2" t="s">
        <v>74</v>
      </c>
      <c r="AZ1130" s="2" t="s">
        <v>74</v>
      </c>
      <c r="BA1130" s="2" t="s">
        <v>74</v>
      </c>
      <c r="BB1130" s="2">
        <v>43</v>
      </c>
      <c r="BC1130" s="2">
        <v>52</v>
      </c>
      <c r="BD1130" s="2" t="s">
        <v>74</v>
      </c>
      <c r="BE1130" s="2" t="s">
        <v>6089</v>
      </c>
      <c r="BF1130" s="2" t="str">
        <f>HYPERLINK("http://dx.doi.org/10.1080/13887890.2017.1297259","http://dx.doi.org/10.1080/13887890.2017.1297259")</f>
        <v>http://dx.doi.org/10.1080/13887890.2017.1297259</v>
      </c>
      <c r="BG1130" s="2" t="s">
        <v>74</v>
      </c>
      <c r="BH1130" s="2" t="s">
        <v>74</v>
      </c>
      <c r="BI1130" s="2" t="s">
        <v>74</v>
      </c>
      <c r="BJ1130" s="2" t="s">
        <v>74</v>
      </c>
      <c r="BK1130" s="2" t="s">
        <v>74</v>
      </c>
      <c r="BL1130" s="2" t="s">
        <v>74</v>
      </c>
      <c r="BM1130" s="2" t="s">
        <v>74</v>
      </c>
      <c r="BN1130" s="2" t="s">
        <v>74</v>
      </c>
      <c r="BO1130" s="2" t="s">
        <v>74</v>
      </c>
      <c r="BP1130" s="2" t="s">
        <v>74</v>
      </c>
      <c r="BQ1130" s="2" t="s">
        <v>74</v>
      </c>
      <c r="BR1130" s="2" t="s">
        <v>74</v>
      </c>
      <c r="BS1130" s="2" t="s">
        <v>6090</v>
      </c>
      <c r="BT1130" s="2" t="str">
        <f>HYPERLINK("https%3A%2F%2Fwww.webofscience.com%2Fwos%2Fwoscc%2Ffull-record%2FWOS:000398096300004","View Full Record in Web of Science")</f>
        <v>View Full Record in Web of Science</v>
      </c>
    </row>
    <row r="1131" spans="1:72" s="2" customFormat="1" x14ac:dyDescent="0.4">
      <c r="A1131" s="2" t="s">
        <v>72</v>
      </c>
      <c r="B1131" s="2" t="s">
        <v>8292</v>
      </c>
      <c r="C1131" s="2" t="s">
        <v>74</v>
      </c>
      <c r="D1131" s="2" t="s">
        <v>74</v>
      </c>
      <c r="E1131" s="2" t="s">
        <v>74</v>
      </c>
      <c r="F1131" s="2" t="s">
        <v>8292</v>
      </c>
      <c r="G1131" s="2" t="s">
        <v>74</v>
      </c>
      <c r="H1131" s="2" t="s">
        <v>74</v>
      </c>
      <c r="I1131" s="2" t="s">
        <v>8293</v>
      </c>
      <c r="J1131" s="2" t="s">
        <v>456</v>
      </c>
      <c r="K1131" s="2" t="s">
        <v>74</v>
      </c>
      <c r="L1131" s="2" t="s">
        <v>74</v>
      </c>
      <c r="M1131" s="2" t="s">
        <v>74</v>
      </c>
      <c r="N1131" s="2" t="s">
        <v>74</v>
      </c>
      <c r="O1131" s="2" t="s">
        <v>74</v>
      </c>
      <c r="P1131" s="2" t="s">
        <v>74</v>
      </c>
      <c r="Q1131" s="2" t="s">
        <v>74</v>
      </c>
      <c r="R1131" s="2" t="s">
        <v>74</v>
      </c>
      <c r="S1131" s="2" t="s">
        <v>74</v>
      </c>
      <c r="T1131" s="2" t="s">
        <v>74</v>
      </c>
      <c r="U1131" s="2" t="s">
        <v>74</v>
      </c>
      <c r="V1131" s="5" t="s">
        <v>8294</v>
      </c>
      <c r="W1131" s="2" t="s">
        <v>74</v>
      </c>
      <c r="X1131" s="2" t="s">
        <v>74</v>
      </c>
      <c r="Y1131" s="2" t="s">
        <v>74</v>
      </c>
      <c r="Z1131" s="2" t="s">
        <v>74</v>
      </c>
      <c r="AA1131" s="2" t="s">
        <v>74</v>
      </c>
      <c r="AB1131" s="2" t="s">
        <v>74</v>
      </c>
      <c r="AC1131" s="2" t="s">
        <v>74</v>
      </c>
      <c r="AD1131" s="2" t="s">
        <v>74</v>
      </c>
      <c r="AE1131" s="2" t="s">
        <v>74</v>
      </c>
      <c r="AF1131" s="2" t="s">
        <v>74</v>
      </c>
      <c r="AG1131" s="2" t="s">
        <v>74</v>
      </c>
      <c r="AH1131" s="2" t="s">
        <v>74</v>
      </c>
      <c r="AI1131" s="2" t="s">
        <v>74</v>
      </c>
      <c r="AJ1131" s="2" t="s">
        <v>74</v>
      </c>
      <c r="AK1131" s="2" t="s">
        <v>74</v>
      </c>
      <c r="AL1131" s="2" t="s">
        <v>74</v>
      </c>
      <c r="AM1131" s="2" t="s">
        <v>74</v>
      </c>
      <c r="AN1131" s="2" t="s">
        <v>74</v>
      </c>
      <c r="AO1131" s="2" t="s">
        <v>460</v>
      </c>
      <c r="AP1131" s="2" t="s">
        <v>74</v>
      </c>
      <c r="AQ1131" s="2" t="s">
        <v>74</v>
      </c>
      <c r="AR1131" s="2" t="s">
        <v>74</v>
      </c>
      <c r="AS1131" s="2" t="s">
        <v>74</v>
      </c>
      <c r="AT1131" s="2" t="s">
        <v>352</v>
      </c>
      <c r="AU1131" s="2">
        <v>1991</v>
      </c>
      <c r="AV1131" s="2">
        <v>225</v>
      </c>
      <c r="AW1131" s="2" t="s">
        <v>74</v>
      </c>
      <c r="AX1131" s="2">
        <v>1</v>
      </c>
      <c r="AY1131" s="2" t="s">
        <v>74</v>
      </c>
      <c r="AZ1131" s="2" t="s">
        <v>74</v>
      </c>
      <c r="BA1131" s="2" t="s">
        <v>74</v>
      </c>
      <c r="BB1131" s="2">
        <v>43</v>
      </c>
      <c r="BC1131" s="2">
        <v>58</v>
      </c>
      <c r="BD1131" s="2" t="s">
        <v>74</v>
      </c>
      <c r="BE1131" s="2" t="s">
        <v>8295</v>
      </c>
      <c r="BF1131" s="2" t="str">
        <f>HYPERLINK("http://dx.doi.org/10.1111/j.1469-7998.1991.tb03800.x","http://dx.doi.org/10.1111/j.1469-7998.1991.tb03800.x")</f>
        <v>http://dx.doi.org/10.1111/j.1469-7998.1991.tb03800.x</v>
      </c>
      <c r="BG1131" s="2" t="s">
        <v>74</v>
      </c>
      <c r="BH1131" s="2" t="s">
        <v>74</v>
      </c>
      <c r="BI1131" s="2" t="s">
        <v>74</v>
      </c>
      <c r="BJ1131" s="2" t="s">
        <v>74</v>
      </c>
      <c r="BK1131" s="2" t="s">
        <v>74</v>
      </c>
      <c r="BL1131" s="2" t="s">
        <v>74</v>
      </c>
      <c r="BM1131" s="2" t="s">
        <v>74</v>
      </c>
      <c r="BN1131" s="2" t="s">
        <v>74</v>
      </c>
      <c r="BO1131" s="2" t="s">
        <v>74</v>
      </c>
      <c r="BP1131" s="2" t="s">
        <v>74</v>
      </c>
      <c r="BQ1131" s="2" t="s">
        <v>74</v>
      </c>
      <c r="BR1131" s="2" t="s">
        <v>74</v>
      </c>
      <c r="BS1131" s="2" t="s">
        <v>8296</v>
      </c>
      <c r="BT1131" s="2" t="str">
        <f>HYPERLINK("https%3A%2F%2Fwww.webofscience.com%2Fwos%2Fwoscc%2Ffull-record%2FWOS:A1991GK01600004","View Full Record in Web of Science")</f>
        <v>View Full Record in Web of Science</v>
      </c>
    </row>
    <row r="1132" spans="1:72" s="2" customFormat="1" x14ac:dyDescent="0.4">
      <c r="A1132" s="2" t="s">
        <v>72</v>
      </c>
      <c r="B1132" s="2" t="s">
        <v>4938</v>
      </c>
      <c r="C1132" s="2" t="s">
        <v>74</v>
      </c>
      <c r="D1132" s="2" t="s">
        <v>74</v>
      </c>
      <c r="E1132" s="2" t="s">
        <v>74</v>
      </c>
      <c r="F1132" s="2" t="s">
        <v>4938</v>
      </c>
      <c r="G1132" s="2" t="s">
        <v>74</v>
      </c>
      <c r="H1132" s="2" t="s">
        <v>74</v>
      </c>
      <c r="I1132" s="2" t="s">
        <v>4939</v>
      </c>
      <c r="J1132" s="2" t="s">
        <v>4522</v>
      </c>
      <c r="K1132" s="2" t="s">
        <v>74</v>
      </c>
      <c r="L1132" s="2" t="s">
        <v>74</v>
      </c>
      <c r="M1132" s="2" t="s">
        <v>74</v>
      </c>
      <c r="N1132" s="2" t="s">
        <v>74</v>
      </c>
      <c r="O1132" s="2" t="s">
        <v>74</v>
      </c>
      <c r="P1132" s="2" t="s">
        <v>74</v>
      </c>
      <c r="Q1132" s="2" t="s">
        <v>74</v>
      </c>
      <c r="R1132" s="2" t="s">
        <v>74</v>
      </c>
      <c r="S1132" s="2" t="s">
        <v>74</v>
      </c>
      <c r="T1132" s="2" t="s">
        <v>74</v>
      </c>
      <c r="U1132" s="2" t="s">
        <v>74</v>
      </c>
      <c r="V1132" s="5" t="s">
        <v>4940</v>
      </c>
      <c r="W1132" s="2" t="s">
        <v>74</v>
      </c>
      <c r="X1132" s="2" t="s">
        <v>74</v>
      </c>
      <c r="Y1132" s="2" t="s">
        <v>74</v>
      </c>
      <c r="Z1132" s="2" t="s">
        <v>74</v>
      </c>
      <c r="AA1132" s="2" t="s">
        <v>74</v>
      </c>
      <c r="AB1132" s="2" t="s">
        <v>74</v>
      </c>
      <c r="AC1132" s="2" t="s">
        <v>74</v>
      </c>
      <c r="AD1132" s="2" t="s">
        <v>74</v>
      </c>
      <c r="AE1132" s="2" t="s">
        <v>74</v>
      </c>
      <c r="AF1132" s="2" t="s">
        <v>74</v>
      </c>
      <c r="AG1132" s="2" t="s">
        <v>74</v>
      </c>
      <c r="AH1132" s="2" t="s">
        <v>74</v>
      </c>
      <c r="AI1132" s="2" t="s">
        <v>74</v>
      </c>
      <c r="AJ1132" s="2" t="s">
        <v>74</v>
      </c>
      <c r="AK1132" s="2" t="s">
        <v>74</v>
      </c>
      <c r="AL1132" s="2" t="s">
        <v>74</v>
      </c>
      <c r="AM1132" s="2" t="s">
        <v>74</v>
      </c>
      <c r="AN1132" s="2" t="s">
        <v>74</v>
      </c>
      <c r="AO1132" s="2" t="s">
        <v>4526</v>
      </c>
      <c r="AP1132" s="2" t="s">
        <v>4527</v>
      </c>
      <c r="AQ1132" s="2" t="s">
        <v>74</v>
      </c>
      <c r="AR1132" s="2" t="s">
        <v>74</v>
      </c>
      <c r="AS1132" s="2" t="s">
        <v>74</v>
      </c>
      <c r="AT1132" s="2" t="s">
        <v>1075</v>
      </c>
      <c r="AU1132" s="2">
        <v>1990</v>
      </c>
      <c r="AV1132" s="2">
        <v>24</v>
      </c>
      <c r="AW1132" s="2">
        <v>6</v>
      </c>
      <c r="AX1132" s="2" t="s">
        <v>74</v>
      </c>
      <c r="AY1132" s="2" t="s">
        <v>74</v>
      </c>
      <c r="AZ1132" s="2" t="s">
        <v>74</v>
      </c>
      <c r="BA1132" s="2" t="s">
        <v>74</v>
      </c>
      <c r="BB1132" s="2">
        <v>1617</v>
      </c>
      <c r="BC1132" s="2">
        <v>1627</v>
      </c>
      <c r="BD1132" s="2" t="s">
        <v>74</v>
      </c>
      <c r="BE1132" s="2" t="s">
        <v>4941</v>
      </c>
      <c r="BF1132" s="2" t="str">
        <f>HYPERLINK("http://dx.doi.org/10.1080/00222939000770931","http://dx.doi.org/10.1080/00222939000770931")</f>
        <v>http://dx.doi.org/10.1080/00222939000770931</v>
      </c>
      <c r="BG1132" s="2" t="s">
        <v>74</v>
      </c>
      <c r="BH1132" s="2" t="s">
        <v>74</v>
      </c>
      <c r="BI1132" s="2" t="s">
        <v>74</v>
      </c>
      <c r="BJ1132" s="2" t="s">
        <v>74</v>
      </c>
      <c r="BK1132" s="2" t="s">
        <v>74</v>
      </c>
      <c r="BL1132" s="2" t="s">
        <v>74</v>
      </c>
      <c r="BM1132" s="2" t="s">
        <v>74</v>
      </c>
      <c r="BN1132" s="2" t="s">
        <v>74</v>
      </c>
      <c r="BO1132" s="2" t="s">
        <v>74</v>
      </c>
      <c r="BP1132" s="2" t="s">
        <v>74</v>
      </c>
      <c r="BQ1132" s="2" t="s">
        <v>74</v>
      </c>
      <c r="BR1132" s="2" t="s">
        <v>74</v>
      </c>
      <c r="BS1132" s="2" t="s">
        <v>4942</v>
      </c>
      <c r="BT1132" s="2" t="str">
        <f>HYPERLINK("https%3A%2F%2Fwww.webofscience.com%2Fwos%2Fwoscc%2Ffull-record%2FWOS:A1990EH88300013","View Full Record in Web of Science")</f>
        <v>View Full Record in Web of Science</v>
      </c>
    </row>
    <row r="1133" spans="1:72" s="2" customFormat="1" x14ac:dyDescent="0.4">
      <c r="A1133" s="2" t="s">
        <v>72</v>
      </c>
      <c r="B1133" s="2" t="s">
        <v>7883</v>
      </c>
      <c r="C1133" s="2" t="s">
        <v>74</v>
      </c>
      <c r="D1133" s="2" t="s">
        <v>74</v>
      </c>
      <c r="E1133" s="2" t="s">
        <v>74</v>
      </c>
      <c r="F1133" s="2" t="s">
        <v>7883</v>
      </c>
      <c r="G1133" s="2" t="s">
        <v>74</v>
      </c>
      <c r="H1133" s="2" t="s">
        <v>74</v>
      </c>
      <c r="I1133" s="2" t="s">
        <v>7884</v>
      </c>
      <c r="J1133" s="2" t="s">
        <v>610</v>
      </c>
      <c r="K1133" s="2" t="s">
        <v>74</v>
      </c>
      <c r="L1133" s="2" t="s">
        <v>74</v>
      </c>
      <c r="M1133" s="2" t="s">
        <v>74</v>
      </c>
      <c r="N1133" s="2" t="s">
        <v>74</v>
      </c>
      <c r="O1133" s="2" t="s">
        <v>74</v>
      </c>
      <c r="P1133" s="2" t="s">
        <v>74</v>
      </c>
      <c r="Q1133" s="2" t="s">
        <v>74</v>
      </c>
      <c r="R1133" s="2" t="s">
        <v>74</v>
      </c>
      <c r="S1133" s="2" t="s">
        <v>74</v>
      </c>
      <c r="T1133" s="2" t="s">
        <v>74</v>
      </c>
      <c r="U1133" s="2" t="s">
        <v>74</v>
      </c>
      <c r="V1133" s="5" t="s">
        <v>7885</v>
      </c>
      <c r="W1133" s="2" t="s">
        <v>74</v>
      </c>
      <c r="X1133" s="2" t="s">
        <v>74</v>
      </c>
      <c r="Y1133" s="2" t="s">
        <v>74</v>
      </c>
      <c r="Z1133" s="2" t="s">
        <v>74</v>
      </c>
      <c r="AA1133" s="2" t="s">
        <v>74</v>
      </c>
      <c r="AB1133" s="2" t="s">
        <v>74</v>
      </c>
      <c r="AC1133" s="2" t="s">
        <v>74</v>
      </c>
      <c r="AD1133" s="2" t="s">
        <v>74</v>
      </c>
      <c r="AE1133" s="2" t="s">
        <v>74</v>
      </c>
      <c r="AF1133" s="2" t="s">
        <v>74</v>
      </c>
      <c r="AG1133" s="2" t="s">
        <v>74</v>
      </c>
      <c r="AH1133" s="2" t="s">
        <v>74</v>
      </c>
      <c r="AI1133" s="2" t="s">
        <v>74</v>
      </c>
      <c r="AJ1133" s="2" t="s">
        <v>74</v>
      </c>
      <c r="AK1133" s="2" t="s">
        <v>74</v>
      </c>
      <c r="AL1133" s="2" t="s">
        <v>74</v>
      </c>
      <c r="AM1133" s="2" t="s">
        <v>74</v>
      </c>
      <c r="AN1133" s="2" t="s">
        <v>74</v>
      </c>
      <c r="AO1133" s="2" t="s">
        <v>614</v>
      </c>
      <c r="AP1133" s="2" t="s">
        <v>615</v>
      </c>
      <c r="AQ1133" s="2" t="s">
        <v>74</v>
      </c>
      <c r="AR1133" s="2" t="s">
        <v>74</v>
      </c>
      <c r="AS1133" s="2" t="s">
        <v>74</v>
      </c>
      <c r="AT1133" s="2" t="s">
        <v>633</v>
      </c>
      <c r="AU1133" s="2">
        <v>2000</v>
      </c>
      <c r="AV1133" s="2">
        <v>106</v>
      </c>
      <c r="AW1133" s="2">
        <v>4</v>
      </c>
      <c r="AX1133" s="2" t="s">
        <v>74</v>
      </c>
      <c r="AY1133" s="2" t="s">
        <v>74</v>
      </c>
      <c r="AZ1133" s="2" t="s">
        <v>74</v>
      </c>
      <c r="BA1133" s="2" t="s">
        <v>74</v>
      </c>
      <c r="BB1133" s="2">
        <v>349</v>
      </c>
      <c r="BC1133" s="2">
        <v>363</v>
      </c>
      <c r="BD1133" s="2" t="s">
        <v>74</v>
      </c>
      <c r="BE1133" s="2" t="s">
        <v>7886</v>
      </c>
      <c r="BF1133" s="2" t="str">
        <f>HYPERLINK("http://dx.doi.org/10.1046/j.1439-0310.2000.00558.x","http://dx.doi.org/10.1046/j.1439-0310.2000.00558.x")</f>
        <v>http://dx.doi.org/10.1046/j.1439-0310.2000.00558.x</v>
      </c>
      <c r="BG1133" s="2" t="s">
        <v>74</v>
      </c>
      <c r="BH1133" s="2" t="s">
        <v>74</v>
      </c>
      <c r="BI1133" s="2" t="s">
        <v>74</v>
      </c>
      <c r="BJ1133" s="2" t="s">
        <v>74</v>
      </c>
      <c r="BK1133" s="2" t="s">
        <v>74</v>
      </c>
      <c r="BL1133" s="2" t="s">
        <v>74</v>
      </c>
      <c r="BM1133" s="2" t="s">
        <v>74</v>
      </c>
      <c r="BN1133" s="2" t="s">
        <v>74</v>
      </c>
      <c r="BO1133" s="2" t="s">
        <v>74</v>
      </c>
      <c r="BP1133" s="2" t="s">
        <v>74</v>
      </c>
      <c r="BQ1133" s="2" t="s">
        <v>74</v>
      </c>
      <c r="BR1133" s="2" t="s">
        <v>74</v>
      </c>
      <c r="BS1133" s="2" t="s">
        <v>7887</v>
      </c>
      <c r="BT1133" s="2" t="str">
        <f>HYPERLINK("https%3A%2F%2Fwww.webofscience.com%2Fwos%2Fwoscc%2Ffull-record%2FWOS:000086783400005","View Full Record in Web of Science")</f>
        <v>View Full Record in Web of Science</v>
      </c>
    </row>
    <row r="1134" spans="1:72" s="2" customFormat="1" x14ac:dyDescent="0.4">
      <c r="A1134" s="2" t="s">
        <v>72</v>
      </c>
      <c r="B1134" s="2" t="s">
        <v>4507</v>
      </c>
      <c r="C1134" s="2" t="s">
        <v>74</v>
      </c>
      <c r="D1134" s="2" t="s">
        <v>74</v>
      </c>
      <c r="E1134" s="2" t="s">
        <v>74</v>
      </c>
      <c r="F1134" s="2" t="s">
        <v>4507</v>
      </c>
      <c r="G1134" s="2" t="s">
        <v>74</v>
      </c>
      <c r="H1134" s="2" t="s">
        <v>74</v>
      </c>
      <c r="I1134" s="2" t="s">
        <v>4508</v>
      </c>
      <c r="J1134" s="2" t="s">
        <v>77</v>
      </c>
      <c r="K1134" s="2" t="s">
        <v>74</v>
      </c>
      <c r="L1134" s="2" t="s">
        <v>74</v>
      </c>
      <c r="M1134" s="2" t="s">
        <v>74</v>
      </c>
      <c r="N1134" s="2" t="s">
        <v>74</v>
      </c>
      <c r="O1134" s="2" t="s">
        <v>74</v>
      </c>
      <c r="P1134" s="2" t="s">
        <v>74</v>
      </c>
      <c r="Q1134" s="2" t="s">
        <v>74</v>
      </c>
      <c r="R1134" s="2" t="s">
        <v>74</v>
      </c>
      <c r="S1134" s="2" t="s">
        <v>74</v>
      </c>
      <c r="T1134" s="2" t="s">
        <v>74</v>
      </c>
      <c r="U1134" s="2" t="s">
        <v>74</v>
      </c>
      <c r="V1134" s="5" t="s">
        <v>4509</v>
      </c>
      <c r="W1134" s="2" t="s">
        <v>74</v>
      </c>
      <c r="X1134" s="2" t="s">
        <v>74</v>
      </c>
      <c r="Y1134" s="2" t="s">
        <v>74</v>
      </c>
      <c r="Z1134" s="2" t="s">
        <v>74</v>
      </c>
      <c r="AA1134" s="2" t="s">
        <v>74</v>
      </c>
      <c r="AB1134" s="2" t="s">
        <v>74</v>
      </c>
      <c r="AC1134" s="2" t="s">
        <v>74</v>
      </c>
      <c r="AD1134" s="2" t="s">
        <v>74</v>
      </c>
      <c r="AE1134" s="2" t="s">
        <v>74</v>
      </c>
      <c r="AF1134" s="2" t="s">
        <v>74</v>
      </c>
      <c r="AG1134" s="2" t="s">
        <v>74</v>
      </c>
      <c r="AH1134" s="2" t="s">
        <v>74</v>
      </c>
      <c r="AI1134" s="2" t="s">
        <v>74</v>
      </c>
      <c r="AJ1134" s="2" t="s">
        <v>74</v>
      </c>
      <c r="AK1134" s="2" t="s">
        <v>74</v>
      </c>
      <c r="AL1134" s="2" t="s">
        <v>74</v>
      </c>
      <c r="AM1134" s="2" t="s">
        <v>74</v>
      </c>
      <c r="AN1134" s="2" t="s">
        <v>74</v>
      </c>
      <c r="AO1134" s="2" t="s">
        <v>81</v>
      </c>
      <c r="AP1134" s="2" t="s">
        <v>82</v>
      </c>
      <c r="AQ1134" s="2" t="s">
        <v>74</v>
      </c>
      <c r="AR1134" s="2" t="s">
        <v>74</v>
      </c>
      <c r="AS1134" s="2" t="s">
        <v>74</v>
      </c>
      <c r="AT1134" s="2" t="s">
        <v>123</v>
      </c>
      <c r="AU1134" s="2">
        <v>2005</v>
      </c>
      <c r="AV1134" s="2">
        <v>142</v>
      </c>
      <c r="AW1134" s="2" t="s">
        <v>74</v>
      </c>
      <c r="AX1134" s="2">
        <v>3</v>
      </c>
      <c r="AY1134" s="2" t="s">
        <v>74</v>
      </c>
      <c r="AZ1134" s="2" t="s">
        <v>74</v>
      </c>
      <c r="BA1134" s="2" t="s">
        <v>74</v>
      </c>
      <c r="BB1134" s="2">
        <v>283</v>
      </c>
      <c r="BC1134" s="2">
        <v>303</v>
      </c>
      <c r="BD1134" s="2" t="s">
        <v>74</v>
      </c>
      <c r="BE1134" s="2" t="s">
        <v>4510</v>
      </c>
      <c r="BF1134" s="2" t="str">
        <f>HYPERLINK("http://dx.doi.org/10.1163/1568539053778292","http://dx.doi.org/10.1163/1568539053778292")</f>
        <v>http://dx.doi.org/10.1163/1568539053778292</v>
      </c>
      <c r="BG1134" s="2" t="s">
        <v>74</v>
      </c>
      <c r="BH1134" s="2" t="s">
        <v>74</v>
      </c>
      <c r="BI1134" s="2" t="s">
        <v>74</v>
      </c>
      <c r="BJ1134" s="2" t="s">
        <v>74</v>
      </c>
      <c r="BK1134" s="2" t="s">
        <v>74</v>
      </c>
      <c r="BL1134" s="2" t="s">
        <v>74</v>
      </c>
      <c r="BM1134" s="2" t="s">
        <v>74</v>
      </c>
      <c r="BN1134" s="2" t="s">
        <v>74</v>
      </c>
      <c r="BO1134" s="2" t="s">
        <v>74</v>
      </c>
      <c r="BP1134" s="2" t="s">
        <v>74</v>
      </c>
      <c r="BQ1134" s="2" t="s">
        <v>74</v>
      </c>
      <c r="BR1134" s="2" t="s">
        <v>74</v>
      </c>
      <c r="BS1134" s="2" t="s">
        <v>4511</v>
      </c>
      <c r="BT1134" s="2" t="str">
        <f>HYPERLINK("https%3A%2F%2Fwww.webofscience.com%2Fwos%2Fwoscc%2Ffull-record%2FWOS:000230357500002","View Full Record in Web of Science")</f>
        <v>View Full Record in Web of Science</v>
      </c>
    </row>
    <row r="1135" spans="1:72" s="2" customFormat="1" x14ac:dyDescent="0.4">
      <c r="A1135" s="2" t="s">
        <v>72</v>
      </c>
      <c r="B1135" s="2" t="s">
        <v>7296</v>
      </c>
      <c r="C1135" s="2" t="s">
        <v>74</v>
      </c>
      <c r="D1135" s="2" t="s">
        <v>74</v>
      </c>
      <c r="E1135" s="2" t="s">
        <v>74</v>
      </c>
      <c r="F1135" s="2" t="s">
        <v>7296</v>
      </c>
      <c r="G1135" s="2" t="s">
        <v>74</v>
      </c>
      <c r="H1135" s="2" t="s">
        <v>74</v>
      </c>
      <c r="I1135" s="2" t="s">
        <v>7297</v>
      </c>
      <c r="J1135" s="2" t="s">
        <v>3374</v>
      </c>
      <c r="K1135" s="2" t="s">
        <v>74</v>
      </c>
      <c r="L1135" s="2" t="s">
        <v>74</v>
      </c>
      <c r="M1135" s="2" t="s">
        <v>74</v>
      </c>
      <c r="N1135" s="2" t="s">
        <v>74</v>
      </c>
      <c r="O1135" s="2" t="s">
        <v>74</v>
      </c>
      <c r="P1135" s="2" t="s">
        <v>74</v>
      </c>
      <c r="Q1135" s="2" t="s">
        <v>74</v>
      </c>
      <c r="R1135" s="2" t="s">
        <v>74</v>
      </c>
      <c r="S1135" s="2" t="s">
        <v>74</v>
      </c>
      <c r="T1135" s="2" t="s">
        <v>74</v>
      </c>
      <c r="U1135" s="2" t="s">
        <v>74</v>
      </c>
      <c r="V1135" s="5" t="s">
        <v>7298</v>
      </c>
      <c r="W1135" s="2" t="s">
        <v>74</v>
      </c>
      <c r="X1135" s="2" t="s">
        <v>74</v>
      </c>
      <c r="Y1135" s="2" t="s">
        <v>74</v>
      </c>
      <c r="Z1135" s="2" t="s">
        <v>74</v>
      </c>
      <c r="AA1135" s="2" t="s">
        <v>7299</v>
      </c>
      <c r="AB1135" s="2" t="s">
        <v>7300</v>
      </c>
      <c r="AC1135" s="2" t="s">
        <v>74</v>
      </c>
      <c r="AD1135" s="2" t="s">
        <v>74</v>
      </c>
      <c r="AE1135" s="2" t="s">
        <v>74</v>
      </c>
      <c r="AF1135" s="2" t="s">
        <v>74</v>
      </c>
      <c r="AG1135" s="2" t="s">
        <v>74</v>
      </c>
      <c r="AH1135" s="2" t="s">
        <v>74</v>
      </c>
      <c r="AI1135" s="2" t="s">
        <v>74</v>
      </c>
      <c r="AJ1135" s="2" t="s">
        <v>74</v>
      </c>
      <c r="AK1135" s="2" t="s">
        <v>74</v>
      </c>
      <c r="AL1135" s="2" t="s">
        <v>74</v>
      </c>
      <c r="AM1135" s="2" t="s">
        <v>74</v>
      </c>
      <c r="AN1135" s="2" t="s">
        <v>74</v>
      </c>
      <c r="AO1135" s="2" t="s">
        <v>3378</v>
      </c>
      <c r="AP1135" s="2" t="s">
        <v>74</v>
      </c>
      <c r="AQ1135" s="2" t="s">
        <v>74</v>
      </c>
      <c r="AR1135" s="2" t="s">
        <v>74</v>
      </c>
      <c r="AS1135" s="2" t="s">
        <v>74</v>
      </c>
      <c r="AT1135" s="2" t="s">
        <v>1013</v>
      </c>
      <c r="AU1135" s="2">
        <v>2004</v>
      </c>
      <c r="AV1135" s="2">
        <v>35</v>
      </c>
      <c r="AW1135" s="2">
        <v>5</v>
      </c>
      <c r="AX1135" s="2" t="s">
        <v>74</v>
      </c>
      <c r="AY1135" s="2" t="s">
        <v>74</v>
      </c>
      <c r="AZ1135" s="2" t="s">
        <v>74</v>
      </c>
      <c r="BA1135" s="2" t="s">
        <v>74</v>
      </c>
      <c r="BB1135" s="2">
        <v>461</v>
      </c>
      <c r="BC1135" s="2">
        <v>468</v>
      </c>
      <c r="BD1135" s="2" t="s">
        <v>74</v>
      </c>
      <c r="BE1135" s="2" t="s">
        <v>7301</v>
      </c>
      <c r="BF1135" s="2" t="str">
        <f>HYPERLINK("http://dx.doi.org/10.1051/apido:2004040","http://dx.doi.org/10.1051/apido:2004040")</f>
        <v>http://dx.doi.org/10.1051/apido:2004040</v>
      </c>
      <c r="BG1135" s="2" t="s">
        <v>74</v>
      </c>
      <c r="BH1135" s="2" t="s">
        <v>74</v>
      </c>
      <c r="BI1135" s="2" t="s">
        <v>74</v>
      </c>
      <c r="BJ1135" s="2" t="s">
        <v>74</v>
      </c>
      <c r="BK1135" s="2" t="s">
        <v>74</v>
      </c>
      <c r="BL1135" s="2" t="s">
        <v>74</v>
      </c>
      <c r="BM1135" s="2" t="s">
        <v>74</v>
      </c>
      <c r="BN1135" s="2" t="s">
        <v>74</v>
      </c>
      <c r="BO1135" s="2" t="s">
        <v>74</v>
      </c>
      <c r="BP1135" s="2" t="s">
        <v>74</v>
      </c>
      <c r="BQ1135" s="2" t="s">
        <v>74</v>
      </c>
      <c r="BR1135" s="2" t="s">
        <v>74</v>
      </c>
      <c r="BS1135" s="2" t="s">
        <v>7302</v>
      </c>
      <c r="BT1135" s="2" t="str">
        <f>HYPERLINK("https%3A%2F%2Fwww.webofscience.com%2Fwos%2Fwoscc%2Ffull-record%2FWOS:000224957200002","View Full Record in Web of Science")</f>
        <v>View Full Record in Web of Science</v>
      </c>
    </row>
    <row r="1136" spans="1:72" s="2" customFormat="1" x14ac:dyDescent="0.4">
      <c r="A1136" s="2" t="s">
        <v>72</v>
      </c>
      <c r="B1136" s="2" t="s">
        <v>7340</v>
      </c>
      <c r="C1136" s="2" t="s">
        <v>74</v>
      </c>
      <c r="D1136" s="2" t="s">
        <v>74</v>
      </c>
      <c r="E1136" s="2" t="s">
        <v>74</v>
      </c>
      <c r="F1136" s="2" t="s">
        <v>7340</v>
      </c>
      <c r="G1136" s="2" t="s">
        <v>74</v>
      </c>
      <c r="H1136" s="2" t="s">
        <v>74</v>
      </c>
      <c r="I1136" s="2" t="s">
        <v>7341</v>
      </c>
      <c r="J1136" s="2" t="s">
        <v>1526</v>
      </c>
      <c r="K1136" s="2" t="s">
        <v>74</v>
      </c>
      <c r="L1136" s="2" t="s">
        <v>74</v>
      </c>
      <c r="M1136" s="2" t="s">
        <v>74</v>
      </c>
      <c r="N1136" s="2" t="s">
        <v>74</v>
      </c>
      <c r="O1136" s="2" t="s">
        <v>74</v>
      </c>
      <c r="P1136" s="2" t="s">
        <v>74</v>
      </c>
      <c r="Q1136" s="2" t="s">
        <v>74</v>
      </c>
      <c r="R1136" s="2" t="s">
        <v>74</v>
      </c>
      <c r="S1136" s="2" t="s">
        <v>74</v>
      </c>
      <c r="T1136" s="2" t="s">
        <v>74</v>
      </c>
      <c r="U1136" s="2" t="s">
        <v>74</v>
      </c>
      <c r="V1136" s="5" t="s">
        <v>7342</v>
      </c>
      <c r="W1136" s="2" t="s">
        <v>74</v>
      </c>
      <c r="X1136" s="2" t="s">
        <v>74</v>
      </c>
      <c r="Y1136" s="2" t="s">
        <v>74</v>
      </c>
      <c r="Z1136" s="2" t="s">
        <v>74</v>
      </c>
      <c r="AA1136" s="2" t="s">
        <v>74</v>
      </c>
      <c r="AB1136" s="2" t="s">
        <v>74</v>
      </c>
      <c r="AC1136" s="2" t="s">
        <v>74</v>
      </c>
      <c r="AD1136" s="2" t="s">
        <v>74</v>
      </c>
      <c r="AE1136" s="2" t="s">
        <v>74</v>
      </c>
      <c r="AF1136" s="2" t="s">
        <v>74</v>
      </c>
      <c r="AG1136" s="2" t="s">
        <v>74</v>
      </c>
      <c r="AH1136" s="2" t="s">
        <v>74</v>
      </c>
      <c r="AI1136" s="2" t="s">
        <v>74</v>
      </c>
      <c r="AJ1136" s="2" t="s">
        <v>74</v>
      </c>
      <c r="AK1136" s="2" t="s">
        <v>74</v>
      </c>
      <c r="AL1136" s="2" t="s">
        <v>74</v>
      </c>
      <c r="AM1136" s="2" t="s">
        <v>74</v>
      </c>
      <c r="AN1136" s="2" t="s">
        <v>74</v>
      </c>
      <c r="AO1136" s="2" t="s">
        <v>74</v>
      </c>
      <c r="AP1136" s="2" t="s">
        <v>2131</v>
      </c>
      <c r="AQ1136" s="2" t="s">
        <v>74</v>
      </c>
      <c r="AR1136" s="2" t="s">
        <v>74</v>
      </c>
      <c r="AS1136" s="2" t="s">
        <v>74</v>
      </c>
      <c r="AT1136" s="2" t="s">
        <v>74</v>
      </c>
      <c r="AU1136" s="2">
        <v>1977</v>
      </c>
      <c r="AV1136" s="2">
        <v>79</v>
      </c>
      <c r="AW1136" s="2">
        <v>1</v>
      </c>
      <c r="AX1136" s="2" t="s">
        <v>74</v>
      </c>
      <c r="AY1136" s="2" t="s">
        <v>74</v>
      </c>
      <c r="AZ1136" s="2" t="s">
        <v>74</v>
      </c>
      <c r="BA1136" s="2" t="s">
        <v>74</v>
      </c>
      <c r="BB1136" s="2">
        <v>1</v>
      </c>
      <c r="BC1136" s="2">
        <v>12</v>
      </c>
      <c r="BD1136" s="2" t="s">
        <v>74</v>
      </c>
      <c r="BE1136" s="2" t="s">
        <v>7343</v>
      </c>
      <c r="BF1136" s="2" t="str">
        <f>HYPERLINK("http://dx.doi.org/10.2307/1367524","http://dx.doi.org/10.2307/1367524")</f>
        <v>http://dx.doi.org/10.2307/1367524</v>
      </c>
      <c r="BG1136" s="2" t="s">
        <v>74</v>
      </c>
      <c r="BH1136" s="2" t="s">
        <v>74</v>
      </c>
      <c r="BI1136" s="2" t="s">
        <v>74</v>
      </c>
      <c r="BJ1136" s="2" t="s">
        <v>74</v>
      </c>
      <c r="BK1136" s="2" t="s">
        <v>74</v>
      </c>
      <c r="BL1136" s="2" t="s">
        <v>74</v>
      </c>
      <c r="BM1136" s="2" t="s">
        <v>74</v>
      </c>
      <c r="BN1136" s="2" t="s">
        <v>74</v>
      </c>
      <c r="BO1136" s="2" t="s">
        <v>74</v>
      </c>
      <c r="BP1136" s="2" t="s">
        <v>74</v>
      </c>
      <c r="BQ1136" s="2" t="s">
        <v>74</v>
      </c>
      <c r="BR1136" s="2" t="s">
        <v>74</v>
      </c>
      <c r="BS1136" s="2" t="s">
        <v>7344</v>
      </c>
      <c r="BT1136" s="2" t="str">
        <f>HYPERLINK("https%3A%2F%2Fwww.webofscience.com%2Fwos%2Fwoscc%2Ffull-record%2FWOS:A1977DN61900001","View Full Record in Web of Science")</f>
        <v>View Full Record in Web of Science</v>
      </c>
    </row>
    <row r="1137" spans="1:72" s="2" customFormat="1" x14ac:dyDescent="0.4">
      <c r="A1137" s="2" t="s">
        <v>72</v>
      </c>
      <c r="B1137" s="2" t="s">
        <v>496</v>
      </c>
      <c r="C1137" s="2" t="s">
        <v>74</v>
      </c>
      <c r="D1137" s="2" t="s">
        <v>74</v>
      </c>
      <c r="E1137" s="2" t="s">
        <v>74</v>
      </c>
      <c r="F1137" s="2" t="s">
        <v>497</v>
      </c>
      <c r="G1137" s="2" t="s">
        <v>74</v>
      </c>
      <c r="H1137" s="2" t="s">
        <v>74</v>
      </c>
      <c r="I1137" s="2" t="s">
        <v>498</v>
      </c>
      <c r="J1137" s="2" t="s">
        <v>499</v>
      </c>
      <c r="K1137" s="2" t="s">
        <v>74</v>
      </c>
      <c r="L1137" s="2" t="s">
        <v>74</v>
      </c>
      <c r="M1137" s="2" t="s">
        <v>74</v>
      </c>
      <c r="N1137" s="2" t="s">
        <v>74</v>
      </c>
      <c r="O1137" s="2" t="s">
        <v>74</v>
      </c>
      <c r="P1137" s="2" t="s">
        <v>74</v>
      </c>
      <c r="Q1137" s="2" t="s">
        <v>74</v>
      </c>
      <c r="R1137" s="2" t="s">
        <v>74</v>
      </c>
      <c r="S1137" s="2" t="s">
        <v>74</v>
      </c>
      <c r="T1137" s="2" t="s">
        <v>74</v>
      </c>
      <c r="U1137" s="2" t="s">
        <v>74</v>
      </c>
      <c r="V1137" s="5" t="s">
        <v>500</v>
      </c>
      <c r="W1137" s="2" t="s">
        <v>74</v>
      </c>
      <c r="X1137" s="2" t="s">
        <v>74</v>
      </c>
      <c r="Y1137" s="2" t="s">
        <v>74</v>
      </c>
      <c r="Z1137" s="2" t="s">
        <v>74</v>
      </c>
      <c r="AA1137" s="2" t="s">
        <v>501</v>
      </c>
      <c r="AB1137" s="2" t="s">
        <v>502</v>
      </c>
      <c r="AC1137" s="2" t="s">
        <v>74</v>
      </c>
      <c r="AD1137" s="2" t="s">
        <v>74</v>
      </c>
      <c r="AE1137" s="2" t="s">
        <v>74</v>
      </c>
      <c r="AF1137" s="2" t="s">
        <v>74</v>
      </c>
      <c r="AG1137" s="2" t="s">
        <v>74</v>
      </c>
      <c r="AH1137" s="2" t="s">
        <v>74</v>
      </c>
      <c r="AI1137" s="2" t="s">
        <v>74</v>
      </c>
      <c r="AJ1137" s="2" t="s">
        <v>74</v>
      </c>
      <c r="AK1137" s="2" t="s">
        <v>74</v>
      </c>
      <c r="AL1137" s="2" t="s">
        <v>74</v>
      </c>
      <c r="AM1137" s="2" t="s">
        <v>74</v>
      </c>
      <c r="AN1137" s="2" t="s">
        <v>74</v>
      </c>
      <c r="AO1137" s="2" t="s">
        <v>503</v>
      </c>
      <c r="AP1137" s="2" t="s">
        <v>504</v>
      </c>
      <c r="AQ1137" s="2" t="s">
        <v>74</v>
      </c>
      <c r="AR1137" s="2" t="s">
        <v>74</v>
      </c>
      <c r="AS1137" s="2" t="s">
        <v>74</v>
      </c>
      <c r="AT1137" s="2" t="s">
        <v>134</v>
      </c>
      <c r="AU1137" s="2">
        <v>2016</v>
      </c>
      <c r="AV1137" s="2">
        <v>17</v>
      </c>
      <c r="AW1137" s="2">
        <v>3</v>
      </c>
      <c r="AX1137" s="2" t="s">
        <v>74</v>
      </c>
      <c r="AY1137" s="2" t="s">
        <v>74</v>
      </c>
      <c r="AZ1137" s="2" t="s">
        <v>74</v>
      </c>
      <c r="BA1137" s="2" t="s">
        <v>74</v>
      </c>
      <c r="BB1137" s="2">
        <v>407</v>
      </c>
      <c r="BC1137" s="2">
        <v>418</v>
      </c>
      <c r="BD1137" s="2" t="s">
        <v>74</v>
      </c>
      <c r="BE1137" s="2" t="s">
        <v>74</v>
      </c>
      <c r="BF1137" s="2" t="s">
        <v>74</v>
      </c>
      <c r="BG1137" s="2" t="s">
        <v>74</v>
      </c>
      <c r="BH1137" s="2" t="s">
        <v>74</v>
      </c>
      <c r="BI1137" s="2" t="s">
        <v>74</v>
      </c>
      <c r="BJ1137" s="2" t="s">
        <v>74</v>
      </c>
      <c r="BK1137" s="2" t="s">
        <v>74</v>
      </c>
      <c r="BL1137" s="2" t="s">
        <v>74</v>
      </c>
      <c r="BM1137" s="2" t="s">
        <v>74</v>
      </c>
      <c r="BN1137" s="2" t="s">
        <v>74</v>
      </c>
      <c r="BO1137" s="2" t="s">
        <v>74</v>
      </c>
      <c r="BP1137" s="2" t="s">
        <v>74</v>
      </c>
      <c r="BQ1137" s="2" t="s">
        <v>74</v>
      </c>
      <c r="BR1137" s="2" t="s">
        <v>74</v>
      </c>
      <c r="BS1137" s="2" t="s">
        <v>505</v>
      </c>
      <c r="BT1137" s="2" t="str">
        <f>HYPERLINK("https%3A%2F%2Fwww.webofscience.com%2Fwos%2Fwoscc%2Ffull-record%2FWOS:000378168300007","View Full Record in Web of Science")</f>
        <v>View Full Record in Web of Science</v>
      </c>
    </row>
    <row r="1138" spans="1:72" s="2" customFormat="1" x14ac:dyDescent="0.4">
      <c r="A1138" s="2" t="s">
        <v>72</v>
      </c>
      <c r="B1138" s="2" t="s">
        <v>4601</v>
      </c>
      <c r="C1138" s="2" t="s">
        <v>74</v>
      </c>
      <c r="D1138" s="2" t="s">
        <v>74</v>
      </c>
      <c r="E1138" s="2" t="s">
        <v>74</v>
      </c>
      <c r="F1138" s="2" t="s">
        <v>4601</v>
      </c>
      <c r="G1138" s="2" t="s">
        <v>74</v>
      </c>
      <c r="H1138" s="2" t="s">
        <v>74</v>
      </c>
      <c r="I1138" s="2" t="s">
        <v>4602</v>
      </c>
      <c r="J1138" s="2" t="s">
        <v>4603</v>
      </c>
      <c r="K1138" s="2" t="s">
        <v>74</v>
      </c>
      <c r="L1138" s="2" t="s">
        <v>74</v>
      </c>
      <c r="M1138" s="2" t="s">
        <v>74</v>
      </c>
      <c r="N1138" s="2" t="s">
        <v>74</v>
      </c>
      <c r="O1138" s="2" t="s">
        <v>74</v>
      </c>
      <c r="P1138" s="2" t="s">
        <v>74</v>
      </c>
      <c r="Q1138" s="2" t="s">
        <v>74</v>
      </c>
      <c r="R1138" s="2" t="s">
        <v>74</v>
      </c>
      <c r="S1138" s="2" t="s">
        <v>74</v>
      </c>
      <c r="T1138" s="2" t="s">
        <v>74</v>
      </c>
      <c r="U1138" s="2" t="s">
        <v>74</v>
      </c>
      <c r="V1138" s="5" t="s">
        <v>4604</v>
      </c>
      <c r="W1138" s="2" t="s">
        <v>74</v>
      </c>
      <c r="X1138" s="2" t="s">
        <v>74</v>
      </c>
      <c r="Y1138" s="2" t="s">
        <v>74</v>
      </c>
      <c r="Z1138" s="2" t="s">
        <v>74</v>
      </c>
      <c r="AA1138" s="2" t="s">
        <v>4605</v>
      </c>
      <c r="AB1138" s="2" t="s">
        <v>4606</v>
      </c>
      <c r="AC1138" s="2" t="s">
        <v>74</v>
      </c>
      <c r="AD1138" s="2" t="s">
        <v>74</v>
      </c>
      <c r="AE1138" s="2" t="s">
        <v>74</v>
      </c>
      <c r="AF1138" s="2" t="s">
        <v>74</v>
      </c>
      <c r="AG1138" s="2" t="s">
        <v>74</v>
      </c>
      <c r="AH1138" s="2" t="s">
        <v>74</v>
      </c>
      <c r="AI1138" s="2" t="s">
        <v>74</v>
      </c>
      <c r="AJ1138" s="2" t="s">
        <v>74</v>
      </c>
      <c r="AK1138" s="2" t="s">
        <v>74</v>
      </c>
      <c r="AL1138" s="2" t="s">
        <v>74</v>
      </c>
      <c r="AM1138" s="2" t="s">
        <v>74</v>
      </c>
      <c r="AN1138" s="2" t="s">
        <v>74</v>
      </c>
      <c r="AO1138" s="2" t="s">
        <v>4607</v>
      </c>
      <c r="AP1138" s="2" t="s">
        <v>74</v>
      </c>
      <c r="AQ1138" s="2" t="s">
        <v>74</v>
      </c>
      <c r="AR1138" s="2" t="s">
        <v>74</v>
      </c>
      <c r="AS1138" s="2" t="s">
        <v>74</v>
      </c>
      <c r="AT1138" s="2" t="s">
        <v>175</v>
      </c>
      <c r="AU1138" s="2">
        <v>2001</v>
      </c>
      <c r="AV1138" s="2">
        <v>11</v>
      </c>
      <c r="AW1138" s="2">
        <v>4</v>
      </c>
      <c r="AX1138" s="2" t="s">
        <v>74</v>
      </c>
      <c r="AY1138" s="2" t="s">
        <v>74</v>
      </c>
      <c r="AZ1138" s="2" t="s">
        <v>74</v>
      </c>
      <c r="BA1138" s="2" t="s">
        <v>74</v>
      </c>
      <c r="BB1138" s="2">
        <v>157</v>
      </c>
      <c r="BC1138" s="2">
        <v>165</v>
      </c>
      <c r="BD1138" s="2" t="s">
        <v>74</v>
      </c>
      <c r="BE1138" s="2" t="s">
        <v>74</v>
      </c>
      <c r="BF1138" s="2" t="s">
        <v>74</v>
      </c>
      <c r="BG1138" s="2" t="s">
        <v>74</v>
      </c>
      <c r="BH1138" s="2" t="s">
        <v>74</v>
      </c>
      <c r="BI1138" s="2" t="s">
        <v>74</v>
      </c>
      <c r="BJ1138" s="2" t="s">
        <v>74</v>
      </c>
      <c r="BK1138" s="2" t="s">
        <v>74</v>
      </c>
      <c r="BL1138" s="2" t="s">
        <v>74</v>
      </c>
      <c r="BM1138" s="2" t="s">
        <v>74</v>
      </c>
      <c r="BN1138" s="2" t="s">
        <v>74</v>
      </c>
      <c r="BO1138" s="2" t="s">
        <v>74</v>
      </c>
      <c r="BP1138" s="2" t="s">
        <v>74</v>
      </c>
      <c r="BQ1138" s="2" t="s">
        <v>74</v>
      </c>
      <c r="BR1138" s="2" t="s">
        <v>74</v>
      </c>
      <c r="BS1138" s="2" t="s">
        <v>4608</v>
      </c>
      <c r="BT1138" s="2" t="str">
        <f>HYPERLINK("https%3A%2F%2Fwww.webofscience.com%2Fwos%2Fwoscc%2Ffull-record%2FWOS:000174693400004","View Full Record in Web of Science")</f>
        <v>View Full Record in Web of Science</v>
      </c>
    </row>
    <row r="1139" spans="1:72" s="2" customFormat="1" x14ac:dyDescent="0.4">
      <c r="A1139" s="2" t="s">
        <v>72</v>
      </c>
      <c r="B1139" s="2" t="s">
        <v>3552</v>
      </c>
      <c r="C1139" s="2" t="s">
        <v>74</v>
      </c>
      <c r="D1139" s="2" t="s">
        <v>74</v>
      </c>
      <c r="E1139" s="2" t="s">
        <v>74</v>
      </c>
      <c r="F1139" s="2" t="s">
        <v>3553</v>
      </c>
      <c r="G1139" s="2" t="s">
        <v>74</v>
      </c>
      <c r="H1139" s="2" t="s">
        <v>74</v>
      </c>
      <c r="I1139" s="2" t="s">
        <v>3554</v>
      </c>
      <c r="J1139" s="2" t="s">
        <v>3555</v>
      </c>
      <c r="K1139" s="2" t="s">
        <v>74</v>
      </c>
      <c r="L1139" s="2" t="s">
        <v>74</v>
      </c>
      <c r="M1139" s="2" t="s">
        <v>74</v>
      </c>
      <c r="N1139" s="2" t="s">
        <v>74</v>
      </c>
      <c r="O1139" s="2" t="s">
        <v>74</v>
      </c>
      <c r="P1139" s="2" t="s">
        <v>74</v>
      </c>
      <c r="Q1139" s="2" t="s">
        <v>74</v>
      </c>
      <c r="R1139" s="2" t="s">
        <v>74</v>
      </c>
      <c r="S1139" s="2" t="s">
        <v>74</v>
      </c>
      <c r="T1139" s="2" t="s">
        <v>74</v>
      </c>
      <c r="U1139" s="2" t="s">
        <v>74</v>
      </c>
      <c r="V1139" s="5" t="s">
        <v>3556</v>
      </c>
      <c r="W1139" s="2" t="s">
        <v>74</v>
      </c>
      <c r="X1139" s="2" t="s">
        <v>74</v>
      </c>
      <c r="Y1139" s="2" t="s">
        <v>74</v>
      </c>
      <c r="Z1139" s="2" t="s">
        <v>74</v>
      </c>
      <c r="AA1139" s="2" t="s">
        <v>3557</v>
      </c>
      <c r="AB1139" s="2" t="s">
        <v>74</v>
      </c>
      <c r="AC1139" s="2" t="s">
        <v>74</v>
      </c>
      <c r="AD1139" s="2" t="s">
        <v>74</v>
      </c>
      <c r="AE1139" s="2" t="s">
        <v>74</v>
      </c>
      <c r="AF1139" s="2" t="s">
        <v>74</v>
      </c>
      <c r="AG1139" s="2" t="s">
        <v>74</v>
      </c>
      <c r="AH1139" s="2" t="s">
        <v>74</v>
      </c>
      <c r="AI1139" s="2" t="s">
        <v>74</v>
      </c>
      <c r="AJ1139" s="2" t="s">
        <v>74</v>
      </c>
      <c r="AK1139" s="2" t="s">
        <v>74</v>
      </c>
      <c r="AL1139" s="2" t="s">
        <v>74</v>
      </c>
      <c r="AM1139" s="2" t="s">
        <v>74</v>
      </c>
      <c r="AN1139" s="2" t="s">
        <v>74</v>
      </c>
      <c r="AO1139" s="2" t="s">
        <v>3558</v>
      </c>
      <c r="AP1139" s="2" t="s">
        <v>3559</v>
      </c>
      <c r="AQ1139" s="2" t="s">
        <v>74</v>
      </c>
      <c r="AR1139" s="2" t="s">
        <v>74</v>
      </c>
      <c r="AS1139" s="2" t="s">
        <v>74</v>
      </c>
      <c r="AT1139" s="2" t="s">
        <v>145</v>
      </c>
      <c r="AU1139" s="2">
        <v>2007</v>
      </c>
      <c r="AV1139" s="2">
        <v>54</v>
      </c>
      <c r="AW1139" s="2">
        <v>3</v>
      </c>
      <c r="AX1139" s="2" t="s">
        <v>74</v>
      </c>
      <c r="AY1139" s="2" t="s">
        <v>74</v>
      </c>
      <c r="AZ1139" s="2" t="s">
        <v>74</v>
      </c>
      <c r="BA1139" s="2" t="s">
        <v>74</v>
      </c>
      <c r="BB1139" s="2">
        <v>268</v>
      </c>
      <c r="BC1139" s="2">
        <v>274</v>
      </c>
      <c r="BD1139" s="2" t="s">
        <v>74</v>
      </c>
      <c r="BE1139" s="2" t="s">
        <v>3560</v>
      </c>
      <c r="BF1139" s="2" t="str">
        <f>HYPERLINK("http://dx.doi.org/10.1007/s00040-007-0941-x","http://dx.doi.org/10.1007/s00040-007-0941-x")</f>
        <v>http://dx.doi.org/10.1007/s00040-007-0941-x</v>
      </c>
      <c r="BG1139" s="2" t="s">
        <v>74</v>
      </c>
      <c r="BH1139" s="2" t="s">
        <v>74</v>
      </c>
      <c r="BI1139" s="2" t="s">
        <v>74</v>
      </c>
      <c r="BJ1139" s="2" t="s">
        <v>74</v>
      </c>
      <c r="BK1139" s="2" t="s">
        <v>74</v>
      </c>
      <c r="BL1139" s="2" t="s">
        <v>74</v>
      </c>
      <c r="BM1139" s="2" t="s">
        <v>74</v>
      </c>
      <c r="BN1139" s="2" t="s">
        <v>74</v>
      </c>
      <c r="BO1139" s="2" t="s">
        <v>74</v>
      </c>
      <c r="BP1139" s="2" t="s">
        <v>74</v>
      </c>
      <c r="BQ1139" s="2" t="s">
        <v>74</v>
      </c>
      <c r="BR1139" s="2" t="s">
        <v>74</v>
      </c>
      <c r="BS1139" s="2" t="s">
        <v>3561</v>
      </c>
      <c r="BT1139" s="2" t="str">
        <f>HYPERLINK("https%3A%2F%2Fwww.webofscience.com%2Fwos%2Fwoscc%2Ffull-record%2FWOS:000248901500010","View Full Record in Web of Science")</f>
        <v>View Full Record in Web of Science</v>
      </c>
    </row>
    <row r="1140" spans="1:72" s="2" customFormat="1" x14ac:dyDescent="0.4">
      <c r="A1140" s="2" t="s">
        <v>72</v>
      </c>
      <c r="B1140" s="2" t="s">
        <v>3252</v>
      </c>
      <c r="C1140" s="2" t="s">
        <v>74</v>
      </c>
      <c r="D1140" s="2" t="s">
        <v>74</v>
      </c>
      <c r="E1140" s="2" t="s">
        <v>74</v>
      </c>
      <c r="F1140" s="2" t="s">
        <v>3253</v>
      </c>
      <c r="G1140" s="2" t="s">
        <v>74</v>
      </c>
      <c r="H1140" s="2" t="s">
        <v>74</v>
      </c>
      <c r="I1140" s="2" t="s">
        <v>3254</v>
      </c>
      <c r="J1140" s="2" t="s">
        <v>408</v>
      </c>
      <c r="K1140" s="2" t="s">
        <v>74</v>
      </c>
      <c r="L1140" s="2" t="s">
        <v>74</v>
      </c>
      <c r="M1140" s="2" t="s">
        <v>74</v>
      </c>
      <c r="N1140" s="2" t="s">
        <v>74</v>
      </c>
      <c r="O1140" s="2" t="s">
        <v>74</v>
      </c>
      <c r="P1140" s="2" t="s">
        <v>74</v>
      </c>
      <c r="Q1140" s="2" t="s">
        <v>74</v>
      </c>
      <c r="R1140" s="2" t="s">
        <v>74</v>
      </c>
      <c r="S1140" s="2" t="s">
        <v>74</v>
      </c>
      <c r="T1140" s="2" t="s">
        <v>74</v>
      </c>
      <c r="U1140" s="2" t="s">
        <v>74</v>
      </c>
      <c r="V1140" s="5" t="s">
        <v>3255</v>
      </c>
      <c r="W1140" s="2" t="s">
        <v>74</v>
      </c>
      <c r="X1140" s="2" t="s">
        <v>74</v>
      </c>
      <c r="Y1140" s="2" t="s">
        <v>74</v>
      </c>
      <c r="Z1140" s="2" t="s">
        <v>74</v>
      </c>
      <c r="AA1140" s="2" t="s">
        <v>3256</v>
      </c>
      <c r="AB1140" s="2" t="s">
        <v>3257</v>
      </c>
      <c r="AC1140" s="2" t="s">
        <v>74</v>
      </c>
      <c r="AD1140" s="2" t="s">
        <v>74</v>
      </c>
      <c r="AE1140" s="2" t="s">
        <v>74</v>
      </c>
      <c r="AF1140" s="2" t="s">
        <v>74</v>
      </c>
      <c r="AG1140" s="2" t="s">
        <v>74</v>
      </c>
      <c r="AH1140" s="2" t="s">
        <v>74</v>
      </c>
      <c r="AI1140" s="2" t="s">
        <v>74</v>
      </c>
      <c r="AJ1140" s="2" t="s">
        <v>74</v>
      </c>
      <c r="AK1140" s="2" t="s">
        <v>74</v>
      </c>
      <c r="AL1140" s="2" t="s">
        <v>74</v>
      </c>
      <c r="AM1140" s="2" t="s">
        <v>74</v>
      </c>
      <c r="AN1140" s="2" t="s">
        <v>74</v>
      </c>
      <c r="AO1140" s="2" t="s">
        <v>412</v>
      </c>
      <c r="AP1140" s="2" t="s">
        <v>413</v>
      </c>
      <c r="AQ1140" s="2" t="s">
        <v>74</v>
      </c>
      <c r="AR1140" s="2" t="s">
        <v>74</v>
      </c>
      <c r="AS1140" s="2" t="s">
        <v>74</v>
      </c>
      <c r="AT1140" s="2" t="s">
        <v>175</v>
      </c>
      <c r="AU1140" s="2">
        <v>2020</v>
      </c>
      <c r="AV1140" s="2">
        <v>131</v>
      </c>
      <c r="AW1140" s="2">
        <v>2</v>
      </c>
      <c r="AX1140" s="2" t="s">
        <v>74</v>
      </c>
      <c r="AY1140" s="2" t="s">
        <v>74</v>
      </c>
      <c r="AZ1140" s="2" t="s">
        <v>74</v>
      </c>
      <c r="BA1140" s="2" t="s">
        <v>74</v>
      </c>
      <c r="BB1140" s="2">
        <v>332</v>
      </c>
      <c r="BC1140" s="2">
        <v>343</v>
      </c>
      <c r="BD1140" s="2" t="s">
        <v>74</v>
      </c>
      <c r="BE1140" s="2" t="s">
        <v>3258</v>
      </c>
      <c r="BF1140" s="2" t="str">
        <f>HYPERLINK("http://dx.doi.org/10.1093/biolinnean/blaa119","http://dx.doi.org/10.1093/biolinnean/blaa119")</f>
        <v>http://dx.doi.org/10.1093/biolinnean/blaa119</v>
      </c>
      <c r="BG1140" s="2" t="s">
        <v>74</v>
      </c>
      <c r="BH1140" s="2" t="s">
        <v>74</v>
      </c>
      <c r="BI1140" s="2" t="s">
        <v>74</v>
      </c>
      <c r="BJ1140" s="2" t="s">
        <v>74</v>
      </c>
      <c r="BK1140" s="2" t="s">
        <v>74</v>
      </c>
      <c r="BL1140" s="2" t="s">
        <v>74</v>
      </c>
      <c r="BM1140" s="2" t="s">
        <v>74</v>
      </c>
      <c r="BN1140" s="2" t="s">
        <v>74</v>
      </c>
      <c r="BO1140" s="2" t="s">
        <v>74</v>
      </c>
      <c r="BP1140" s="2" t="s">
        <v>74</v>
      </c>
      <c r="BQ1140" s="2" t="s">
        <v>74</v>
      </c>
      <c r="BR1140" s="2" t="s">
        <v>74</v>
      </c>
      <c r="BS1140" s="2" t="s">
        <v>3259</v>
      </c>
      <c r="BT1140" s="2" t="str">
        <f>HYPERLINK("https%3A%2F%2Fwww.webofscience.com%2Fwos%2Fwoscc%2Ffull-record%2FWOS:000580984200006","View Full Record in Web of Science")</f>
        <v>View Full Record in Web of Science</v>
      </c>
    </row>
    <row r="1141" spans="1:72" s="1" customFormat="1" x14ac:dyDescent="0.4">
      <c r="A1141" s="2" t="s">
        <v>72</v>
      </c>
      <c r="B1141" s="2" t="s">
        <v>8194</v>
      </c>
      <c r="C1141" s="2" t="s">
        <v>74</v>
      </c>
      <c r="D1141" s="2" t="s">
        <v>74</v>
      </c>
      <c r="E1141" s="2" t="s">
        <v>74</v>
      </c>
      <c r="F1141" s="2" t="s">
        <v>8195</v>
      </c>
      <c r="G1141" s="2" t="s">
        <v>74</v>
      </c>
      <c r="H1141" s="2" t="s">
        <v>74</v>
      </c>
      <c r="I1141" s="2" t="s">
        <v>8196</v>
      </c>
      <c r="J1141" s="2" t="s">
        <v>281</v>
      </c>
      <c r="K1141" s="2" t="s">
        <v>74</v>
      </c>
      <c r="L1141" s="2" t="s">
        <v>74</v>
      </c>
      <c r="M1141" s="2" t="s">
        <v>74</v>
      </c>
      <c r="N1141" s="2" t="s">
        <v>74</v>
      </c>
      <c r="O1141" s="2" t="s">
        <v>74</v>
      </c>
      <c r="P1141" s="2" t="s">
        <v>74</v>
      </c>
      <c r="Q1141" s="2" t="s">
        <v>74</v>
      </c>
      <c r="R1141" s="2" t="s">
        <v>74</v>
      </c>
      <c r="S1141" s="2" t="s">
        <v>74</v>
      </c>
      <c r="T1141" s="2" t="s">
        <v>74</v>
      </c>
      <c r="U1141" s="2" t="s">
        <v>74</v>
      </c>
      <c r="V1141" s="5" t="s">
        <v>8197</v>
      </c>
      <c r="W1141" s="2" t="s">
        <v>74</v>
      </c>
      <c r="X1141" s="2" t="s">
        <v>74</v>
      </c>
      <c r="Y1141" s="2" t="s">
        <v>74</v>
      </c>
      <c r="Z1141" s="2" t="s">
        <v>74</v>
      </c>
      <c r="AA1141" s="2" t="s">
        <v>8198</v>
      </c>
      <c r="AB1141" s="2" t="s">
        <v>1377</v>
      </c>
      <c r="AC1141" s="2" t="s">
        <v>74</v>
      </c>
      <c r="AD1141" s="2" t="s">
        <v>74</v>
      </c>
      <c r="AE1141" s="2" t="s">
        <v>74</v>
      </c>
      <c r="AF1141" s="2" t="s">
        <v>74</v>
      </c>
      <c r="AG1141" s="2" t="s">
        <v>74</v>
      </c>
      <c r="AH1141" s="2" t="s">
        <v>74</v>
      </c>
      <c r="AI1141" s="2" t="s">
        <v>74</v>
      </c>
      <c r="AJ1141" s="2" t="s">
        <v>74</v>
      </c>
      <c r="AK1141" s="2" t="s">
        <v>74</v>
      </c>
      <c r="AL1141" s="2" t="s">
        <v>74</v>
      </c>
      <c r="AM1141" s="2" t="s">
        <v>74</v>
      </c>
      <c r="AN1141" s="2" t="s">
        <v>74</v>
      </c>
      <c r="AO1141" s="2" t="s">
        <v>285</v>
      </c>
      <c r="AP1141" s="2" t="s">
        <v>286</v>
      </c>
      <c r="AQ1141" s="2" t="s">
        <v>74</v>
      </c>
      <c r="AR1141" s="2" t="s">
        <v>74</v>
      </c>
      <c r="AS1141" s="2" t="s">
        <v>74</v>
      </c>
      <c r="AT1141" s="2" t="s">
        <v>175</v>
      </c>
      <c r="AU1141" s="2">
        <v>2022</v>
      </c>
      <c r="AV1141" s="2">
        <v>25</v>
      </c>
      <c r="AW1141" s="2">
        <v>5</v>
      </c>
      <c r="AX1141" s="2" t="s">
        <v>74</v>
      </c>
      <c r="AY1141" s="2" t="s">
        <v>74</v>
      </c>
      <c r="AZ1141" s="2" t="s">
        <v>848</v>
      </c>
      <c r="BA1141" s="2" t="s">
        <v>74</v>
      </c>
      <c r="BB1141" s="2">
        <v>1299</v>
      </c>
      <c r="BC1141" s="2">
        <v>1306</v>
      </c>
      <c r="BD1141" s="2" t="s">
        <v>74</v>
      </c>
      <c r="BE1141" s="2" t="s">
        <v>8199</v>
      </c>
      <c r="BF1141" s="2" t="str">
        <f>HYPERLINK("http://dx.doi.org/10.1007/s10071-022-01613-9","http://dx.doi.org/10.1007/s10071-022-01613-9")</f>
        <v>http://dx.doi.org/10.1007/s10071-022-01613-9</v>
      </c>
      <c r="BG1141" s="2" t="s">
        <v>74</v>
      </c>
      <c r="BH1141" s="2" t="s">
        <v>415</v>
      </c>
      <c r="BI1141" s="2" t="s">
        <v>74</v>
      </c>
      <c r="BJ1141" s="2" t="s">
        <v>74</v>
      </c>
      <c r="BK1141" s="2" t="s">
        <v>74</v>
      </c>
      <c r="BL1141" s="2" t="s">
        <v>74</v>
      </c>
      <c r="BM1141" s="2" t="s">
        <v>74</v>
      </c>
      <c r="BN1141" s="2">
        <v>35320446</v>
      </c>
      <c r="BO1141" s="2" t="s">
        <v>74</v>
      </c>
      <c r="BP1141" s="2" t="s">
        <v>74</v>
      </c>
      <c r="BQ1141" s="2" t="s">
        <v>74</v>
      </c>
      <c r="BR1141" s="2" t="s">
        <v>74</v>
      </c>
      <c r="BS1141" s="2" t="s">
        <v>8200</v>
      </c>
      <c r="BT1141" s="2" t="str">
        <f>HYPERLINK("https%3A%2F%2Fwww.webofscience.com%2Fwos%2Fwoscc%2Ffull-record%2FWOS:000772345800001","View Full Record in Web of Science")</f>
        <v>View Full Record in Web of Science</v>
      </c>
    </row>
    <row r="1142" spans="1:72" s="7" customFormat="1" x14ac:dyDescent="0.4">
      <c r="A1142" s="2" t="s">
        <v>72</v>
      </c>
      <c r="B1142" s="2" t="s">
        <v>5919</v>
      </c>
      <c r="C1142" s="2" t="s">
        <v>74</v>
      </c>
      <c r="D1142" s="2" t="s">
        <v>74</v>
      </c>
      <c r="E1142" s="2" t="s">
        <v>74</v>
      </c>
      <c r="F1142" s="2" t="s">
        <v>5920</v>
      </c>
      <c r="G1142" s="2" t="s">
        <v>74</v>
      </c>
      <c r="H1142" s="2" t="s">
        <v>74</v>
      </c>
      <c r="I1142" s="2" t="s">
        <v>5921</v>
      </c>
      <c r="J1142" s="2" t="s">
        <v>119</v>
      </c>
      <c r="K1142" s="2" t="s">
        <v>74</v>
      </c>
      <c r="L1142" s="2" t="s">
        <v>74</v>
      </c>
      <c r="M1142" s="2" t="s">
        <v>74</v>
      </c>
      <c r="N1142" s="2" t="s">
        <v>74</v>
      </c>
      <c r="O1142" s="2" t="s">
        <v>74</v>
      </c>
      <c r="P1142" s="2" t="s">
        <v>74</v>
      </c>
      <c r="Q1142" s="2" t="s">
        <v>74</v>
      </c>
      <c r="R1142" s="2" t="s">
        <v>74</v>
      </c>
      <c r="S1142" s="2" t="s">
        <v>74</v>
      </c>
      <c r="T1142" s="2" t="s">
        <v>74</v>
      </c>
      <c r="U1142" s="2" t="s">
        <v>74</v>
      </c>
      <c r="V1142" s="5" t="s">
        <v>5922</v>
      </c>
      <c r="W1142" s="2" t="s">
        <v>74</v>
      </c>
      <c r="X1142" s="2" t="s">
        <v>74</v>
      </c>
      <c r="Y1142" s="2" t="s">
        <v>74</v>
      </c>
      <c r="Z1142" s="2" t="s">
        <v>74</v>
      </c>
      <c r="AA1142" s="2" t="s">
        <v>5923</v>
      </c>
      <c r="AB1142" s="2" t="s">
        <v>74</v>
      </c>
      <c r="AC1142" s="2" t="s">
        <v>74</v>
      </c>
      <c r="AD1142" s="2" t="s">
        <v>74</v>
      </c>
      <c r="AE1142" s="2" t="s">
        <v>74</v>
      </c>
      <c r="AF1142" s="2" t="s">
        <v>74</v>
      </c>
      <c r="AG1142" s="2" t="s">
        <v>74</v>
      </c>
      <c r="AH1142" s="2" t="s">
        <v>74</v>
      </c>
      <c r="AI1142" s="2" t="s">
        <v>74</v>
      </c>
      <c r="AJ1142" s="2" t="s">
        <v>74</v>
      </c>
      <c r="AK1142" s="2" t="s">
        <v>74</v>
      </c>
      <c r="AL1142" s="2" t="s">
        <v>74</v>
      </c>
      <c r="AM1142" s="2" t="s">
        <v>74</v>
      </c>
      <c r="AN1142" s="2" t="s">
        <v>74</v>
      </c>
      <c r="AO1142" s="2" t="s">
        <v>121</v>
      </c>
      <c r="AP1142" s="2" t="s">
        <v>122</v>
      </c>
      <c r="AQ1142" s="2" t="s">
        <v>74</v>
      </c>
      <c r="AR1142" s="2" t="s">
        <v>74</v>
      </c>
      <c r="AS1142" s="2" t="s">
        <v>74</v>
      </c>
      <c r="AT1142" s="2" t="s">
        <v>633</v>
      </c>
      <c r="AU1142" s="2">
        <v>2016</v>
      </c>
      <c r="AV1142" s="2">
        <v>125</v>
      </c>
      <c r="AW1142" s="2" t="s">
        <v>74</v>
      </c>
      <c r="AX1142" s="2" t="s">
        <v>74</v>
      </c>
      <c r="AY1142" s="2" t="s">
        <v>74</v>
      </c>
      <c r="AZ1142" s="2" t="s">
        <v>74</v>
      </c>
      <c r="BA1142" s="2" t="s">
        <v>74</v>
      </c>
      <c r="BB1142" s="2">
        <v>85</v>
      </c>
      <c r="BC1142" s="2">
        <v>88</v>
      </c>
      <c r="BD1142" s="2" t="s">
        <v>74</v>
      </c>
      <c r="BE1142" s="2" t="s">
        <v>5924</v>
      </c>
      <c r="BF1142" s="2" t="str">
        <f>HYPERLINK("http://dx.doi.org/10.1016/j.beproc.2016.02.010","http://dx.doi.org/10.1016/j.beproc.2016.02.010")</f>
        <v>http://dx.doi.org/10.1016/j.beproc.2016.02.010</v>
      </c>
      <c r="BG1142" s="2" t="s">
        <v>74</v>
      </c>
      <c r="BH1142" s="2" t="s">
        <v>74</v>
      </c>
      <c r="BI1142" s="2" t="s">
        <v>74</v>
      </c>
      <c r="BJ1142" s="2" t="s">
        <v>74</v>
      </c>
      <c r="BK1142" s="2" t="s">
        <v>74</v>
      </c>
      <c r="BL1142" s="2" t="s">
        <v>74</v>
      </c>
      <c r="BM1142" s="2" t="s">
        <v>74</v>
      </c>
      <c r="BN1142" s="2">
        <v>26912482</v>
      </c>
      <c r="BO1142" s="2" t="s">
        <v>74</v>
      </c>
      <c r="BP1142" s="2" t="s">
        <v>74</v>
      </c>
      <c r="BQ1142" s="2" t="s">
        <v>74</v>
      </c>
      <c r="BR1142" s="2" t="s">
        <v>74</v>
      </c>
      <c r="BS1142" s="2" t="s">
        <v>5925</v>
      </c>
      <c r="BT1142" s="2" t="str">
        <f>HYPERLINK("https%3A%2F%2Fwww.webofscience.com%2Fwos%2Fwoscc%2Ffull-record%2FWOS:000373542900012","View Full Record in Web of Science")</f>
        <v>View Full Record in Web of Science</v>
      </c>
    </row>
    <row r="1143" spans="1:72" s="2" customFormat="1" x14ac:dyDescent="0.4">
      <c r="A1143" s="2" t="s">
        <v>72</v>
      </c>
      <c r="B1143" s="2" t="s">
        <v>1900</v>
      </c>
      <c r="C1143" s="2" t="s">
        <v>74</v>
      </c>
      <c r="D1143" s="2" t="s">
        <v>74</v>
      </c>
      <c r="E1143" s="2" t="s">
        <v>74</v>
      </c>
      <c r="F1143" s="2" t="s">
        <v>1900</v>
      </c>
      <c r="G1143" s="2" t="s">
        <v>74</v>
      </c>
      <c r="H1143" s="2" t="s">
        <v>74</v>
      </c>
      <c r="I1143" s="2" t="s">
        <v>1901</v>
      </c>
      <c r="J1143" s="2" t="s">
        <v>610</v>
      </c>
      <c r="K1143" s="2" t="s">
        <v>74</v>
      </c>
      <c r="L1143" s="2" t="s">
        <v>74</v>
      </c>
      <c r="M1143" s="2" t="s">
        <v>74</v>
      </c>
      <c r="N1143" s="2" t="s">
        <v>74</v>
      </c>
      <c r="O1143" s="2" t="s">
        <v>74</v>
      </c>
      <c r="P1143" s="2" t="s">
        <v>74</v>
      </c>
      <c r="Q1143" s="2" t="s">
        <v>74</v>
      </c>
      <c r="R1143" s="2" t="s">
        <v>74</v>
      </c>
      <c r="S1143" s="2" t="s">
        <v>74</v>
      </c>
      <c r="T1143" s="2" t="s">
        <v>74</v>
      </c>
      <c r="U1143" s="2" t="s">
        <v>74</v>
      </c>
      <c r="V1143" s="5" t="s">
        <v>1902</v>
      </c>
      <c r="W1143" s="2" t="s">
        <v>74</v>
      </c>
      <c r="X1143" s="2" t="s">
        <v>74</v>
      </c>
      <c r="Y1143" s="2" t="s">
        <v>74</v>
      </c>
      <c r="Z1143" s="2" t="s">
        <v>74</v>
      </c>
      <c r="AA1143" s="2" t="s">
        <v>74</v>
      </c>
      <c r="AB1143" s="2" t="s">
        <v>74</v>
      </c>
      <c r="AC1143" s="2" t="s">
        <v>74</v>
      </c>
      <c r="AD1143" s="2" t="s">
        <v>74</v>
      </c>
      <c r="AE1143" s="2" t="s">
        <v>74</v>
      </c>
      <c r="AF1143" s="2" t="s">
        <v>74</v>
      </c>
      <c r="AG1143" s="2" t="s">
        <v>74</v>
      </c>
      <c r="AH1143" s="2" t="s">
        <v>74</v>
      </c>
      <c r="AI1143" s="2" t="s">
        <v>74</v>
      </c>
      <c r="AJ1143" s="2" t="s">
        <v>74</v>
      </c>
      <c r="AK1143" s="2" t="s">
        <v>74</v>
      </c>
      <c r="AL1143" s="2" t="s">
        <v>74</v>
      </c>
      <c r="AM1143" s="2" t="s">
        <v>74</v>
      </c>
      <c r="AN1143" s="2" t="s">
        <v>74</v>
      </c>
      <c r="AO1143" s="2" t="s">
        <v>614</v>
      </c>
      <c r="AP1143" s="2" t="s">
        <v>615</v>
      </c>
      <c r="AQ1143" s="2" t="s">
        <v>74</v>
      </c>
      <c r="AR1143" s="2" t="s">
        <v>74</v>
      </c>
      <c r="AS1143" s="2" t="s">
        <v>74</v>
      </c>
      <c r="AT1143" s="2" t="s">
        <v>352</v>
      </c>
      <c r="AU1143" s="2">
        <v>2001</v>
      </c>
      <c r="AV1143" s="2">
        <v>107</v>
      </c>
      <c r="AW1143" s="2">
        <v>9</v>
      </c>
      <c r="AX1143" s="2" t="s">
        <v>74</v>
      </c>
      <c r="AY1143" s="2" t="s">
        <v>74</v>
      </c>
      <c r="AZ1143" s="2" t="s">
        <v>74</v>
      </c>
      <c r="BA1143" s="2" t="s">
        <v>74</v>
      </c>
      <c r="BB1143" s="2">
        <v>777</v>
      </c>
      <c r="BC1143" s="2">
        <v>793</v>
      </c>
      <c r="BD1143" s="2" t="s">
        <v>74</v>
      </c>
      <c r="BE1143" s="2" t="s">
        <v>1903</v>
      </c>
      <c r="BF1143" s="2" t="str">
        <f>HYPERLINK("http://dx.doi.org/10.1046/j.1439-0310.2001.00704.x","http://dx.doi.org/10.1046/j.1439-0310.2001.00704.x")</f>
        <v>http://dx.doi.org/10.1046/j.1439-0310.2001.00704.x</v>
      </c>
      <c r="BG1143" s="2" t="s">
        <v>74</v>
      </c>
      <c r="BH1143" s="2" t="s">
        <v>74</v>
      </c>
      <c r="BI1143" s="2" t="s">
        <v>74</v>
      </c>
      <c r="BJ1143" s="2" t="s">
        <v>74</v>
      </c>
      <c r="BK1143" s="2" t="s">
        <v>74</v>
      </c>
      <c r="BL1143" s="2" t="s">
        <v>74</v>
      </c>
      <c r="BM1143" s="2" t="s">
        <v>74</v>
      </c>
      <c r="BN1143" s="2" t="s">
        <v>74</v>
      </c>
      <c r="BO1143" s="2" t="s">
        <v>74</v>
      </c>
      <c r="BP1143" s="2" t="s">
        <v>74</v>
      </c>
      <c r="BQ1143" s="2" t="s">
        <v>74</v>
      </c>
      <c r="BR1143" s="2" t="s">
        <v>74</v>
      </c>
      <c r="BS1143" s="2" t="s">
        <v>1904</v>
      </c>
      <c r="BT1143" s="2" t="str">
        <f>HYPERLINK("https%3A%2F%2Fwww.webofscience.com%2Fwos%2Fwoscc%2Ffull-record%2FWOS:000171378500002","View Full Record in Web of Science")</f>
        <v>View Full Record in Web of Science</v>
      </c>
    </row>
    <row r="1144" spans="1:72" s="2" customFormat="1" x14ac:dyDescent="0.4">
      <c r="A1144" s="2" t="s">
        <v>72</v>
      </c>
      <c r="B1144" s="2" t="s">
        <v>6875</v>
      </c>
      <c r="C1144" s="2" t="s">
        <v>74</v>
      </c>
      <c r="D1144" s="2" t="s">
        <v>74</v>
      </c>
      <c r="E1144" s="2" t="s">
        <v>74</v>
      </c>
      <c r="F1144" s="2" t="s">
        <v>6876</v>
      </c>
      <c r="G1144" s="2" t="s">
        <v>74</v>
      </c>
      <c r="H1144" s="2" t="s">
        <v>74</v>
      </c>
      <c r="I1144" s="2" t="s">
        <v>6877</v>
      </c>
      <c r="J1144" s="2" t="s">
        <v>5961</v>
      </c>
      <c r="K1144" s="2" t="s">
        <v>74</v>
      </c>
      <c r="L1144" s="2" t="s">
        <v>74</v>
      </c>
      <c r="M1144" s="2" t="s">
        <v>74</v>
      </c>
      <c r="N1144" s="2" t="s">
        <v>74</v>
      </c>
      <c r="O1144" s="2" t="s">
        <v>74</v>
      </c>
      <c r="P1144" s="2" t="s">
        <v>74</v>
      </c>
      <c r="Q1144" s="2" t="s">
        <v>74</v>
      </c>
      <c r="R1144" s="2" t="s">
        <v>74</v>
      </c>
      <c r="S1144" s="2" t="s">
        <v>74</v>
      </c>
      <c r="T1144" s="2" t="s">
        <v>74</v>
      </c>
      <c r="U1144" s="2" t="s">
        <v>74</v>
      </c>
      <c r="V1144" s="5" t="s">
        <v>6878</v>
      </c>
      <c r="W1144" s="2" t="s">
        <v>74</v>
      </c>
      <c r="X1144" s="2" t="s">
        <v>74</v>
      </c>
      <c r="Y1144" s="2" t="s">
        <v>74</v>
      </c>
      <c r="Z1144" s="2" t="s">
        <v>74</v>
      </c>
      <c r="AA1144" s="2" t="s">
        <v>6879</v>
      </c>
      <c r="AB1144" s="2" t="s">
        <v>6880</v>
      </c>
      <c r="AC1144" s="2" t="s">
        <v>74</v>
      </c>
      <c r="AD1144" s="2" t="s">
        <v>74</v>
      </c>
      <c r="AE1144" s="2" t="s">
        <v>74</v>
      </c>
      <c r="AF1144" s="2" t="s">
        <v>74</v>
      </c>
      <c r="AG1144" s="2" t="s">
        <v>74</v>
      </c>
      <c r="AH1144" s="2" t="s">
        <v>74</v>
      </c>
      <c r="AI1144" s="2" t="s">
        <v>74</v>
      </c>
      <c r="AJ1144" s="2" t="s">
        <v>74</v>
      </c>
      <c r="AK1144" s="2" t="s">
        <v>74</v>
      </c>
      <c r="AL1144" s="2" t="s">
        <v>74</v>
      </c>
      <c r="AM1144" s="2" t="s">
        <v>74</v>
      </c>
      <c r="AN1144" s="2" t="s">
        <v>74</v>
      </c>
      <c r="AO1144" s="2" t="s">
        <v>5965</v>
      </c>
      <c r="AP1144" s="2" t="s">
        <v>5966</v>
      </c>
      <c r="AQ1144" s="2" t="s">
        <v>74</v>
      </c>
      <c r="AR1144" s="2" t="s">
        <v>74</v>
      </c>
      <c r="AS1144" s="2" t="s">
        <v>74</v>
      </c>
      <c r="AT1144" s="2" t="s">
        <v>204</v>
      </c>
      <c r="AU1144" s="2">
        <v>2018</v>
      </c>
      <c r="AV1144" s="2">
        <v>43</v>
      </c>
      <c r="AW1144" s="2">
        <v>3</v>
      </c>
      <c r="AX1144" s="2" t="s">
        <v>74</v>
      </c>
      <c r="AY1144" s="2" t="s">
        <v>74</v>
      </c>
      <c r="AZ1144" s="2" t="s">
        <v>74</v>
      </c>
      <c r="BA1144" s="2" t="s">
        <v>74</v>
      </c>
      <c r="BB1144" s="2">
        <v>568</v>
      </c>
      <c r="BC1144" s="2">
        <v>595</v>
      </c>
      <c r="BD1144" s="2" t="s">
        <v>74</v>
      </c>
      <c r="BE1144" s="2" t="s">
        <v>6881</v>
      </c>
      <c r="BF1144" s="2" t="str">
        <f>HYPERLINK("http://dx.doi.org/10.1111/syen.12287","http://dx.doi.org/10.1111/syen.12287")</f>
        <v>http://dx.doi.org/10.1111/syen.12287</v>
      </c>
      <c r="BG1144" s="2" t="s">
        <v>74</v>
      </c>
      <c r="BH1144" s="2" t="s">
        <v>74</v>
      </c>
      <c r="BI1144" s="2" t="s">
        <v>74</v>
      </c>
      <c r="BJ1144" s="2" t="s">
        <v>74</v>
      </c>
      <c r="BK1144" s="2" t="s">
        <v>74</v>
      </c>
      <c r="BL1144" s="2" t="s">
        <v>74</v>
      </c>
      <c r="BM1144" s="2" t="s">
        <v>74</v>
      </c>
      <c r="BN1144" s="2" t="s">
        <v>74</v>
      </c>
      <c r="BO1144" s="2" t="s">
        <v>74</v>
      </c>
      <c r="BP1144" s="2" t="s">
        <v>74</v>
      </c>
      <c r="BQ1144" s="2" t="s">
        <v>74</v>
      </c>
      <c r="BR1144" s="2" t="s">
        <v>74</v>
      </c>
      <c r="BS1144" s="2" t="s">
        <v>6882</v>
      </c>
      <c r="BT1144" s="2" t="str">
        <f>HYPERLINK("https%3A%2F%2Fwww.webofscience.com%2Fwos%2Fwoscc%2Ffull-record%2FWOS:000434280000009","View Full Record in Web of Science")</f>
        <v>View Full Record in Web of Science</v>
      </c>
    </row>
    <row r="1145" spans="1:72" s="2" customFormat="1" x14ac:dyDescent="0.4">
      <c r="A1145" s="2" t="s">
        <v>72</v>
      </c>
      <c r="B1145" s="2" t="s">
        <v>1181</v>
      </c>
      <c r="C1145" s="2" t="s">
        <v>74</v>
      </c>
      <c r="D1145" s="2" t="s">
        <v>74</v>
      </c>
      <c r="E1145" s="2" t="s">
        <v>74</v>
      </c>
      <c r="F1145" s="2" t="s">
        <v>1182</v>
      </c>
      <c r="G1145" s="2" t="s">
        <v>74</v>
      </c>
      <c r="H1145" s="2" t="s">
        <v>74</v>
      </c>
      <c r="I1145" s="2" t="s">
        <v>1183</v>
      </c>
      <c r="J1145" s="2" t="s">
        <v>229</v>
      </c>
      <c r="K1145" s="2" t="s">
        <v>74</v>
      </c>
      <c r="L1145" s="2" t="s">
        <v>74</v>
      </c>
      <c r="M1145" s="2" t="s">
        <v>74</v>
      </c>
      <c r="N1145" s="2" t="s">
        <v>74</v>
      </c>
      <c r="O1145" s="2" t="s">
        <v>74</v>
      </c>
      <c r="P1145" s="2" t="s">
        <v>74</v>
      </c>
      <c r="Q1145" s="2" t="s">
        <v>74</v>
      </c>
      <c r="R1145" s="2" t="s">
        <v>74</v>
      </c>
      <c r="S1145" s="2" t="s">
        <v>74</v>
      </c>
      <c r="T1145" s="2" t="s">
        <v>74</v>
      </c>
      <c r="U1145" s="2" t="s">
        <v>74</v>
      </c>
      <c r="V1145" s="5" t="s">
        <v>1184</v>
      </c>
      <c r="W1145" s="2" t="s">
        <v>74</v>
      </c>
      <c r="X1145" s="2" t="s">
        <v>74</v>
      </c>
      <c r="Y1145" s="2" t="s">
        <v>74</v>
      </c>
      <c r="Z1145" s="2" t="s">
        <v>74</v>
      </c>
      <c r="AA1145" s="2" t="s">
        <v>1185</v>
      </c>
      <c r="AB1145" s="2" t="s">
        <v>74</v>
      </c>
      <c r="AC1145" s="2" t="s">
        <v>74</v>
      </c>
      <c r="AD1145" s="2" t="s">
        <v>74</v>
      </c>
      <c r="AE1145" s="2" t="s">
        <v>74</v>
      </c>
      <c r="AF1145" s="2" t="s">
        <v>74</v>
      </c>
      <c r="AG1145" s="2" t="s">
        <v>74</v>
      </c>
      <c r="AH1145" s="2" t="s">
        <v>74</v>
      </c>
      <c r="AI1145" s="2" t="s">
        <v>74</v>
      </c>
      <c r="AJ1145" s="2" t="s">
        <v>74</v>
      </c>
      <c r="AK1145" s="2" t="s">
        <v>74</v>
      </c>
      <c r="AL1145" s="2" t="s">
        <v>74</v>
      </c>
      <c r="AM1145" s="2" t="s">
        <v>74</v>
      </c>
      <c r="AN1145" s="2" t="s">
        <v>74</v>
      </c>
      <c r="AO1145" s="2" t="s">
        <v>233</v>
      </c>
      <c r="AP1145" s="2" t="s">
        <v>234</v>
      </c>
      <c r="AQ1145" s="2" t="s">
        <v>74</v>
      </c>
      <c r="AR1145" s="2" t="s">
        <v>74</v>
      </c>
      <c r="AS1145" s="2" t="s">
        <v>74</v>
      </c>
      <c r="AT1145" s="2" t="s">
        <v>1075</v>
      </c>
      <c r="AU1145" s="2">
        <v>2014</v>
      </c>
      <c r="AV1145" s="2">
        <v>40</v>
      </c>
      <c r="AW1145" s="2">
        <v>6</v>
      </c>
      <c r="AX1145" s="2" t="s">
        <v>74</v>
      </c>
      <c r="AY1145" s="2" t="s">
        <v>74</v>
      </c>
      <c r="AZ1145" s="2" t="s">
        <v>74</v>
      </c>
      <c r="BA1145" s="2" t="s">
        <v>74</v>
      </c>
      <c r="BB1145" s="2">
        <v>537</v>
      </c>
      <c r="BC1145" s="2">
        <v>541</v>
      </c>
      <c r="BD1145" s="2" t="s">
        <v>74</v>
      </c>
      <c r="BE1145" s="2" t="s">
        <v>1186</v>
      </c>
      <c r="BF1145" s="2" t="str">
        <f>HYPERLINK("http://dx.doi.org/10.1002/ab.21551","http://dx.doi.org/10.1002/ab.21551")</f>
        <v>http://dx.doi.org/10.1002/ab.21551</v>
      </c>
      <c r="BG1145" s="2" t="s">
        <v>74</v>
      </c>
      <c r="BH1145" s="2" t="s">
        <v>74</v>
      </c>
      <c r="BI1145" s="2" t="s">
        <v>74</v>
      </c>
      <c r="BJ1145" s="2" t="s">
        <v>74</v>
      </c>
      <c r="BK1145" s="2" t="s">
        <v>74</v>
      </c>
      <c r="BL1145" s="2" t="s">
        <v>74</v>
      </c>
      <c r="BM1145" s="2" t="s">
        <v>74</v>
      </c>
      <c r="BN1145" s="2">
        <v>25043905</v>
      </c>
      <c r="BO1145" s="2" t="s">
        <v>74</v>
      </c>
      <c r="BP1145" s="2" t="s">
        <v>74</v>
      </c>
      <c r="BQ1145" s="2" t="s">
        <v>74</v>
      </c>
      <c r="BR1145" s="2" t="s">
        <v>74</v>
      </c>
      <c r="BS1145" s="2" t="s">
        <v>1187</v>
      </c>
      <c r="BT1145" s="2" t="str">
        <f>HYPERLINK("https%3A%2F%2Fwww.webofscience.com%2Fwos%2Fwoscc%2Ffull-record%2FWOS:000344002600005","View Full Record in Web of Science")</f>
        <v>View Full Record in Web of Science</v>
      </c>
    </row>
    <row r="1146" spans="1:72" s="2" customFormat="1" x14ac:dyDescent="0.4">
      <c r="A1146" s="2" t="s">
        <v>72</v>
      </c>
      <c r="B1146" s="2" t="s">
        <v>2435</v>
      </c>
      <c r="C1146" s="2" t="s">
        <v>74</v>
      </c>
      <c r="D1146" s="2" t="s">
        <v>74</v>
      </c>
      <c r="E1146" s="2" t="s">
        <v>74</v>
      </c>
      <c r="F1146" s="2" t="s">
        <v>2436</v>
      </c>
      <c r="G1146" s="2" t="s">
        <v>74</v>
      </c>
      <c r="H1146" s="2" t="s">
        <v>74</v>
      </c>
      <c r="I1146" s="2" t="s">
        <v>2437</v>
      </c>
      <c r="J1146" s="2" t="s">
        <v>2438</v>
      </c>
      <c r="K1146" s="2" t="s">
        <v>74</v>
      </c>
      <c r="L1146" s="2" t="s">
        <v>74</v>
      </c>
      <c r="M1146" s="2" t="s">
        <v>74</v>
      </c>
      <c r="N1146" s="2" t="s">
        <v>74</v>
      </c>
      <c r="O1146" s="2" t="s">
        <v>74</v>
      </c>
      <c r="P1146" s="2" t="s">
        <v>74</v>
      </c>
      <c r="Q1146" s="2" t="s">
        <v>74</v>
      </c>
      <c r="R1146" s="2" t="s">
        <v>74</v>
      </c>
      <c r="S1146" s="2" t="s">
        <v>74</v>
      </c>
      <c r="T1146" s="2" t="s">
        <v>74</v>
      </c>
      <c r="U1146" s="2" t="s">
        <v>74</v>
      </c>
      <c r="V1146" s="5" t="s">
        <v>2439</v>
      </c>
      <c r="W1146" s="2" t="s">
        <v>74</v>
      </c>
      <c r="X1146" s="2" t="s">
        <v>74</v>
      </c>
      <c r="Y1146" s="2" t="s">
        <v>74</v>
      </c>
      <c r="Z1146" s="2" t="s">
        <v>74</v>
      </c>
      <c r="AA1146" s="2" t="s">
        <v>2440</v>
      </c>
      <c r="AB1146" s="2" t="s">
        <v>2441</v>
      </c>
      <c r="AC1146" s="2" t="s">
        <v>74</v>
      </c>
      <c r="AD1146" s="2" t="s">
        <v>74</v>
      </c>
      <c r="AE1146" s="2" t="s">
        <v>74</v>
      </c>
      <c r="AF1146" s="2" t="s">
        <v>74</v>
      </c>
      <c r="AG1146" s="2" t="s">
        <v>74</v>
      </c>
      <c r="AH1146" s="2" t="s">
        <v>74</v>
      </c>
      <c r="AI1146" s="2" t="s">
        <v>74</v>
      </c>
      <c r="AJ1146" s="2" t="s">
        <v>74</v>
      </c>
      <c r="AK1146" s="2" t="s">
        <v>74</v>
      </c>
      <c r="AL1146" s="2" t="s">
        <v>74</v>
      </c>
      <c r="AM1146" s="2" t="s">
        <v>74</v>
      </c>
      <c r="AN1146" s="2" t="s">
        <v>74</v>
      </c>
      <c r="AO1146" s="2" t="s">
        <v>2442</v>
      </c>
      <c r="AP1146" s="2" t="s">
        <v>74</v>
      </c>
      <c r="AQ1146" s="2" t="s">
        <v>74</v>
      </c>
      <c r="AR1146" s="2" t="s">
        <v>74</v>
      </c>
      <c r="AS1146" s="2" t="s">
        <v>74</v>
      </c>
      <c r="AT1146" s="2" t="s">
        <v>2443</v>
      </c>
      <c r="AU1146" s="2">
        <v>2019</v>
      </c>
      <c r="AV1146" s="2">
        <v>8</v>
      </c>
      <c r="AW1146" s="2" t="s">
        <v>74</v>
      </c>
      <c r="AX1146" s="2" t="s">
        <v>74</v>
      </c>
      <c r="AY1146" s="2" t="s">
        <v>74</v>
      </c>
      <c r="AZ1146" s="2" t="s">
        <v>74</v>
      </c>
      <c r="BA1146" s="2" t="s">
        <v>74</v>
      </c>
      <c r="BB1146" s="2" t="s">
        <v>74</v>
      </c>
      <c r="BC1146" s="2" t="s">
        <v>74</v>
      </c>
      <c r="BD1146" s="2" t="s">
        <v>2444</v>
      </c>
      <c r="BE1146" s="2" t="s">
        <v>2445</v>
      </c>
      <c r="BF1146" s="2" t="str">
        <f>HYPERLINK("http://dx.doi.org/10.7554/eLife.41362","http://dx.doi.org/10.7554/eLife.41362")</f>
        <v>http://dx.doi.org/10.7554/eLife.41362</v>
      </c>
      <c r="BG1146" s="2" t="s">
        <v>74</v>
      </c>
      <c r="BH1146" s="2" t="s">
        <v>74</v>
      </c>
      <c r="BI1146" s="2" t="s">
        <v>74</v>
      </c>
      <c r="BJ1146" s="2" t="s">
        <v>74</v>
      </c>
      <c r="BK1146" s="2" t="s">
        <v>74</v>
      </c>
      <c r="BL1146" s="2" t="s">
        <v>74</v>
      </c>
      <c r="BM1146" s="2" t="s">
        <v>74</v>
      </c>
      <c r="BN1146" s="2">
        <v>30616714</v>
      </c>
      <c r="BO1146" s="2" t="s">
        <v>74</v>
      </c>
      <c r="BP1146" s="2" t="s">
        <v>74</v>
      </c>
      <c r="BQ1146" s="2" t="s">
        <v>74</v>
      </c>
      <c r="BR1146" s="2" t="s">
        <v>74</v>
      </c>
      <c r="BS1146" s="2" t="s">
        <v>2446</v>
      </c>
      <c r="BT1146" s="2" t="str">
        <f>HYPERLINK("https%3A%2F%2Fwww.webofscience.com%2Fwos%2Fwoscc%2Ffull-record%2FWOS:000455079700001","View Full Record in Web of Science")</f>
        <v>View Full Record in Web of Science</v>
      </c>
    </row>
    <row r="1147" spans="1:72" s="2" customFormat="1" x14ac:dyDescent="0.4">
      <c r="A1147" s="2" t="s">
        <v>72</v>
      </c>
      <c r="B1147" s="2" t="s">
        <v>2300</v>
      </c>
      <c r="C1147" s="2" t="s">
        <v>74</v>
      </c>
      <c r="D1147" s="2" t="s">
        <v>74</v>
      </c>
      <c r="E1147" s="2" t="s">
        <v>74</v>
      </c>
      <c r="F1147" s="2" t="s">
        <v>2301</v>
      </c>
      <c r="G1147" s="2" t="s">
        <v>74</v>
      </c>
      <c r="H1147" s="2" t="s">
        <v>74</v>
      </c>
      <c r="I1147" s="2" t="s">
        <v>2302</v>
      </c>
      <c r="J1147" s="2" t="s">
        <v>140</v>
      </c>
      <c r="K1147" s="2" t="s">
        <v>74</v>
      </c>
      <c r="L1147" s="2" t="s">
        <v>74</v>
      </c>
      <c r="M1147" s="2" t="s">
        <v>74</v>
      </c>
      <c r="N1147" s="2" t="s">
        <v>74</v>
      </c>
      <c r="O1147" s="2" t="s">
        <v>74</v>
      </c>
      <c r="P1147" s="2" t="s">
        <v>74</v>
      </c>
      <c r="Q1147" s="2" t="s">
        <v>74</v>
      </c>
      <c r="R1147" s="2" t="s">
        <v>74</v>
      </c>
      <c r="S1147" s="2" t="s">
        <v>74</v>
      </c>
      <c r="T1147" s="2" t="s">
        <v>74</v>
      </c>
      <c r="U1147" s="2" t="s">
        <v>74</v>
      </c>
      <c r="V1147" s="5" t="s">
        <v>2303</v>
      </c>
      <c r="W1147" s="2" t="s">
        <v>74</v>
      </c>
      <c r="X1147" s="2" t="s">
        <v>74</v>
      </c>
      <c r="Y1147" s="2" t="s">
        <v>74</v>
      </c>
      <c r="Z1147" s="2" t="s">
        <v>74</v>
      </c>
      <c r="AA1147" s="2" t="s">
        <v>74</v>
      </c>
      <c r="AB1147" s="2" t="s">
        <v>2304</v>
      </c>
      <c r="AC1147" s="2" t="s">
        <v>74</v>
      </c>
      <c r="AD1147" s="2" t="s">
        <v>74</v>
      </c>
      <c r="AE1147" s="2" t="s">
        <v>74</v>
      </c>
      <c r="AF1147" s="2" t="s">
        <v>74</v>
      </c>
      <c r="AG1147" s="2" t="s">
        <v>74</v>
      </c>
      <c r="AH1147" s="2" t="s">
        <v>74</v>
      </c>
      <c r="AI1147" s="2" t="s">
        <v>74</v>
      </c>
      <c r="AJ1147" s="2" t="s">
        <v>74</v>
      </c>
      <c r="AK1147" s="2" t="s">
        <v>74</v>
      </c>
      <c r="AL1147" s="2" t="s">
        <v>74</v>
      </c>
      <c r="AM1147" s="2" t="s">
        <v>74</v>
      </c>
      <c r="AN1147" s="2" t="s">
        <v>74</v>
      </c>
      <c r="AO1147" s="2" t="s">
        <v>143</v>
      </c>
      <c r="AP1147" s="2" t="s">
        <v>144</v>
      </c>
      <c r="AQ1147" s="2" t="s">
        <v>74</v>
      </c>
      <c r="AR1147" s="2" t="s">
        <v>74</v>
      </c>
      <c r="AS1147" s="2" t="s">
        <v>74</v>
      </c>
      <c r="AT1147" s="2" t="s">
        <v>964</v>
      </c>
      <c r="AU1147" s="2">
        <v>2009</v>
      </c>
      <c r="AV1147" s="2">
        <v>77</v>
      </c>
      <c r="AW1147" s="2">
        <v>2</v>
      </c>
      <c r="AX1147" s="2" t="s">
        <v>74</v>
      </c>
      <c r="AY1147" s="2" t="s">
        <v>74</v>
      </c>
      <c r="AZ1147" s="2" t="s">
        <v>74</v>
      </c>
      <c r="BA1147" s="2" t="s">
        <v>74</v>
      </c>
      <c r="BB1147" s="2">
        <v>531</v>
      </c>
      <c r="BC1147" s="2">
        <v>540</v>
      </c>
      <c r="BD1147" s="2" t="s">
        <v>74</v>
      </c>
      <c r="BE1147" s="2" t="s">
        <v>2305</v>
      </c>
      <c r="BF1147" s="2" t="str">
        <f>HYPERLINK("http://dx.doi.org/10.1016/j.anbehav.2008.11.013","http://dx.doi.org/10.1016/j.anbehav.2008.11.013")</f>
        <v>http://dx.doi.org/10.1016/j.anbehav.2008.11.013</v>
      </c>
      <c r="BG1147" s="2" t="s">
        <v>74</v>
      </c>
      <c r="BH1147" s="2" t="s">
        <v>74</v>
      </c>
      <c r="BI1147" s="2" t="s">
        <v>74</v>
      </c>
      <c r="BJ1147" s="2" t="s">
        <v>74</v>
      </c>
      <c r="BK1147" s="2" t="s">
        <v>74</v>
      </c>
      <c r="BL1147" s="2" t="s">
        <v>74</v>
      </c>
      <c r="BM1147" s="2" t="s">
        <v>74</v>
      </c>
      <c r="BN1147" s="2" t="s">
        <v>74</v>
      </c>
      <c r="BO1147" s="2" t="s">
        <v>74</v>
      </c>
      <c r="BP1147" s="2" t="s">
        <v>74</v>
      </c>
      <c r="BQ1147" s="2" t="s">
        <v>74</v>
      </c>
      <c r="BR1147" s="2" t="s">
        <v>74</v>
      </c>
      <c r="BS1147" s="2" t="s">
        <v>2306</v>
      </c>
      <c r="BT1147" s="2" t="str">
        <f>HYPERLINK("https%3A%2F%2Fwww.webofscience.com%2Fwos%2Fwoscc%2Ffull-record%2FWOS:000262709400033","View Full Record in Web of Science")</f>
        <v>View Full Record in Web of Science</v>
      </c>
    </row>
    <row r="1148" spans="1:72" s="2" customFormat="1" x14ac:dyDescent="0.4">
      <c r="A1148" s="2" t="s">
        <v>72</v>
      </c>
      <c r="B1148" s="2" t="s">
        <v>3282</v>
      </c>
      <c r="C1148" s="2" t="s">
        <v>74</v>
      </c>
      <c r="D1148" s="2" t="s">
        <v>74</v>
      </c>
      <c r="E1148" s="2" t="s">
        <v>74</v>
      </c>
      <c r="F1148" s="2" t="s">
        <v>3283</v>
      </c>
      <c r="G1148" s="2" t="s">
        <v>74</v>
      </c>
      <c r="H1148" s="2" t="s">
        <v>74</v>
      </c>
      <c r="I1148" s="2" t="s">
        <v>3284</v>
      </c>
      <c r="J1148" s="2" t="s">
        <v>1526</v>
      </c>
      <c r="K1148" s="2" t="s">
        <v>74</v>
      </c>
      <c r="L1148" s="2" t="s">
        <v>74</v>
      </c>
      <c r="M1148" s="2" t="s">
        <v>74</v>
      </c>
      <c r="N1148" s="2" t="s">
        <v>74</v>
      </c>
      <c r="O1148" s="2" t="s">
        <v>74</v>
      </c>
      <c r="P1148" s="2" t="s">
        <v>74</v>
      </c>
      <c r="Q1148" s="2" t="s">
        <v>74</v>
      </c>
      <c r="R1148" s="2" t="s">
        <v>74</v>
      </c>
      <c r="S1148" s="2" t="s">
        <v>74</v>
      </c>
      <c r="T1148" s="2" t="s">
        <v>74</v>
      </c>
      <c r="U1148" s="2" t="s">
        <v>74</v>
      </c>
      <c r="V1148" s="5" t="s">
        <v>3285</v>
      </c>
      <c r="W1148" s="2" t="s">
        <v>74</v>
      </c>
      <c r="X1148" s="2" t="s">
        <v>74</v>
      </c>
      <c r="Y1148" s="2" t="s">
        <v>74</v>
      </c>
      <c r="Z1148" s="2" t="s">
        <v>74</v>
      </c>
      <c r="AA1148" s="2" t="s">
        <v>74</v>
      </c>
      <c r="AB1148" s="2" t="s">
        <v>2304</v>
      </c>
      <c r="AC1148" s="2" t="s">
        <v>74</v>
      </c>
      <c r="AD1148" s="2" t="s">
        <v>74</v>
      </c>
      <c r="AE1148" s="2" t="s">
        <v>74</v>
      </c>
      <c r="AF1148" s="2" t="s">
        <v>74</v>
      </c>
      <c r="AG1148" s="2" t="s">
        <v>74</v>
      </c>
      <c r="AH1148" s="2" t="s">
        <v>74</v>
      </c>
      <c r="AI1148" s="2" t="s">
        <v>74</v>
      </c>
      <c r="AJ1148" s="2" t="s">
        <v>74</v>
      </c>
      <c r="AK1148" s="2" t="s">
        <v>74</v>
      </c>
      <c r="AL1148" s="2" t="s">
        <v>74</v>
      </c>
      <c r="AM1148" s="2" t="s">
        <v>74</v>
      </c>
      <c r="AN1148" s="2" t="s">
        <v>74</v>
      </c>
      <c r="AO1148" s="2" t="s">
        <v>1528</v>
      </c>
      <c r="AP1148" s="2" t="s">
        <v>2131</v>
      </c>
      <c r="AQ1148" s="2" t="s">
        <v>74</v>
      </c>
      <c r="AR1148" s="2" t="s">
        <v>74</v>
      </c>
      <c r="AS1148" s="2" t="s">
        <v>74</v>
      </c>
      <c r="AT1148" s="2" t="s">
        <v>213</v>
      </c>
      <c r="AU1148" s="2">
        <v>2009</v>
      </c>
      <c r="AV1148" s="2">
        <v>111</v>
      </c>
      <c r="AW1148" s="2">
        <v>4</v>
      </c>
      <c r="AX1148" s="2" t="s">
        <v>74</v>
      </c>
      <c r="AY1148" s="2" t="s">
        <v>74</v>
      </c>
      <c r="AZ1148" s="2" t="s">
        <v>74</v>
      </c>
      <c r="BA1148" s="2" t="s">
        <v>74</v>
      </c>
      <c r="BB1148" s="2">
        <v>740</v>
      </c>
      <c r="BC1148" s="2">
        <v>751</v>
      </c>
      <c r="BD1148" s="2" t="s">
        <v>74</v>
      </c>
      <c r="BE1148" s="2" t="s">
        <v>3286</v>
      </c>
      <c r="BF1148" s="2" t="str">
        <f>HYPERLINK("http://dx.doi.org/10.1525/cond.2009.090058","http://dx.doi.org/10.1525/cond.2009.090058")</f>
        <v>http://dx.doi.org/10.1525/cond.2009.090058</v>
      </c>
      <c r="BG1148" s="2" t="s">
        <v>74</v>
      </c>
      <c r="BH1148" s="2" t="s">
        <v>74</v>
      </c>
      <c r="BI1148" s="2" t="s">
        <v>74</v>
      </c>
      <c r="BJ1148" s="2" t="s">
        <v>74</v>
      </c>
      <c r="BK1148" s="2" t="s">
        <v>74</v>
      </c>
      <c r="BL1148" s="2" t="s">
        <v>74</v>
      </c>
      <c r="BM1148" s="2" t="s">
        <v>74</v>
      </c>
      <c r="BN1148" s="2" t="s">
        <v>74</v>
      </c>
      <c r="BO1148" s="2" t="s">
        <v>74</v>
      </c>
      <c r="BP1148" s="2" t="s">
        <v>74</v>
      </c>
      <c r="BQ1148" s="2" t="s">
        <v>74</v>
      </c>
      <c r="BR1148" s="2" t="s">
        <v>74</v>
      </c>
      <c r="BS1148" s="2" t="s">
        <v>3287</v>
      </c>
      <c r="BT1148" s="2" t="str">
        <f>HYPERLINK("https%3A%2F%2Fwww.webofscience.com%2Fwos%2Fwoscc%2Ffull-record%2FWOS:000272325600018","View Full Record in Web of Science")</f>
        <v>View Full Record in Web of Science</v>
      </c>
    </row>
    <row r="1149" spans="1:72" s="2" customFormat="1" x14ac:dyDescent="0.4">
      <c r="A1149" s="2" t="s">
        <v>72</v>
      </c>
      <c r="B1149" s="2" t="s">
        <v>4892</v>
      </c>
      <c r="C1149" s="2" t="s">
        <v>74</v>
      </c>
      <c r="D1149" s="2" t="s">
        <v>74</v>
      </c>
      <c r="E1149" s="2" t="s">
        <v>74</v>
      </c>
      <c r="F1149" s="2" t="s">
        <v>4893</v>
      </c>
      <c r="G1149" s="2" t="s">
        <v>74</v>
      </c>
      <c r="H1149" s="2" t="s">
        <v>74</v>
      </c>
      <c r="I1149" s="2" t="s">
        <v>4894</v>
      </c>
      <c r="J1149" s="2" t="s">
        <v>4895</v>
      </c>
      <c r="K1149" s="2" t="s">
        <v>74</v>
      </c>
      <c r="L1149" s="2" t="s">
        <v>74</v>
      </c>
      <c r="M1149" s="2" t="s">
        <v>74</v>
      </c>
      <c r="N1149" s="2" t="s">
        <v>74</v>
      </c>
      <c r="O1149" s="2" t="s">
        <v>74</v>
      </c>
      <c r="P1149" s="2" t="s">
        <v>74</v>
      </c>
      <c r="Q1149" s="2" t="s">
        <v>74</v>
      </c>
      <c r="R1149" s="2" t="s">
        <v>74</v>
      </c>
      <c r="S1149" s="2" t="s">
        <v>74</v>
      </c>
      <c r="T1149" s="2" t="s">
        <v>74</v>
      </c>
      <c r="U1149" s="2" t="s">
        <v>74</v>
      </c>
      <c r="V1149" s="5" t="s">
        <v>4896</v>
      </c>
      <c r="W1149" s="2" t="s">
        <v>74</v>
      </c>
      <c r="X1149" s="2" t="s">
        <v>74</v>
      </c>
      <c r="Y1149" s="2" t="s">
        <v>74</v>
      </c>
      <c r="Z1149" s="2" t="s">
        <v>74</v>
      </c>
      <c r="AA1149" s="2" t="s">
        <v>4897</v>
      </c>
      <c r="AB1149" s="2" t="s">
        <v>4898</v>
      </c>
      <c r="AC1149" s="2" t="s">
        <v>74</v>
      </c>
      <c r="AD1149" s="2" t="s">
        <v>74</v>
      </c>
      <c r="AE1149" s="2" t="s">
        <v>74</v>
      </c>
      <c r="AF1149" s="2" t="s">
        <v>74</v>
      </c>
      <c r="AG1149" s="2" t="s">
        <v>74</v>
      </c>
      <c r="AH1149" s="2" t="s">
        <v>74</v>
      </c>
      <c r="AI1149" s="2" t="s">
        <v>74</v>
      </c>
      <c r="AJ1149" s="2" t="s">
        <v>74</v>
      </c>
      <c r="AK1149" s="2" t="s">
        <v>74</v>
      </c>
      <c r="AL1149" s="2" t="s">
        <v>74</v>
      </c>
      <c r="AM1149" s="2" t="s">
        <v>74</v>
      </c>
      <c r="AN1149" s="2" t="s">
        <v>74</v>
      </c>
      <c r="AO1149" s="2" t="s">
        <v>4899</v>
      </c>
      <c r="AP1149" s="2" t="s">
        <v>4900</v>
      </c>
      <c r="AQ1149" s="2" t="s">
        <v>74</v>
      </c>
      <c r="AR1149" s="2" t="s">
        <v>74</v>
      </c>
      <c r="AS1149" s="2" t="s">
        <v>74</v>
      </c>
      <c r="AT1149" s="2" t="s">
        <v>213</v>
      </c>
      <c r="AU1149" s="2">
        <v>2018</v>
      </c>
      <c r="AV1149" s="2">
        <v>304</v>
      </c>
      <c r="AW1149" s="2">
        <v>9</v>
      </c>
      <c r="AX1149" s="2" t="s">
        <v>74</v>
      </c>
      <c r="AY1149" s="2" t="s">
        <v>74</v>
      </c>
      <c r="AZ1149" s="2" t="s">
        <v>74</v>
      </c>
      <c r="BA1149" s="2" t="s">
        <v>74</v>
      </c>
      <c r="BB1149" s="2">
        <v>1165</v>
      </c>
      <c r="BC1149" s="2">
        <v>1180</v>
      </c>
      <c r="BD1149" s="2" t="s">
        <v>74</v>
      </c>
      <c r="BE1149" s="2" t="s">
        <v>4901</v>
      </c>
      <c r="BF1149" s="2" t="str">
        <f>HYPERLINK("http://dx.doi.org/10.1007/s00606-018-1539-7","http://dx.doi.org/10.1007/s00606-018-1539-7")</f>
        <v>http://dx.doi.org/10.1007/s00606-018-1539-7</v>
      </c>
      <c r="BG1149" s="2" t="s">
        <v>74</v>
      </c>
      <c r="BH1149" s="2" t="s">
        <v>74</v>
      </c>
      <c r="BI1149" s="2" t="s">
        <v>74</v>
      </c>
      <c r="BJ1149" s="2" t="s">
        <v>74</v>
      </c>
      <c r="BK1149" s="2" t="s">
        <v>74</v>
      </c>
      <c r="BL1149" s="2" t="s">
        <v>74</v>
      </c>
      <c r="BM1149" s="2" t="s">
        <v>74</v>
      </c>
      <c r="BN1149" s="2" t="s">
        <v>74</v>
      </c>
      <c r="BO1149" s="2" t="s">
        <v>74</v>
      </c>
      <c r="BP1149" s="2" t="s">
        <v>74</v>
      </c>
      <c r="BQ1149" s="2" t="s">
        <v>74</v>
      </c>
      <c r="BR1149" s="2" t="s">
        <v>74</v>
      </c>
      <c r="BS1149" s="2" t="s">
        <v>4902</v>
      </c>
      <c r="BT1149" s="2" t="str">
        <f>HYPERLINK("https%3A%2F%2Fwww.webofscience.com%2Fwos%2Fwoscc%2Ffull-record%2FWOS:000447531400008","View Full Record in Web of Science")</f>
        <v>View Full Record in Web of Science</v>
      </c>
    </row>
    <row r="1150" spans="1:72" s="1" customFormat="1" x14ac:dyDescent="0.4">
      <c r="A1150" s="2" t="s">
        <v>72</v>
      </c>
      <c r="B1150" s="2" t="s">
        <v>4878</v>
      </c>
      <c r="C1150" s="2" t="s">
        <v>74</v>
      </c>
      <c r="D1150" s="2" t="s">
        <v>74</v>
      </c>
      <c r="E1150" s="2" t="s">
        <v>74</v>
      </c>
      <c r="F1150" s="2" t="s">
        <v>4879</v>
      </c>
      <c r="G1150" s="2" t="s">
        <v>74</v>
      </c>
      <c r="H1150" s="2" t="s">
        <v>74</v>
      </c>
      <c r="I1150" s="2" t="s">
        <v>4880</v>
      </c>
      <c r="J1150" s="2" t="s">
        <v>2017</v>
      </c>
      <c r="K1150" s="2" t="s">
        <v>74</v>
      </c>
      <c r="L1150" s="2" t="s">
        <v>74</v>
      </c>
      <c r="M1150" s="2" t="s">
        <v>74</v>
      </c>
      <c r="N1150" s="2" t="s">
        <v>74</v>
      </c>
      <c r="O1150" s="2" t="s">
        <v>74</v>
      </c>
      <c r="P1150" s="2" t="s">
        <v>74</v>
      </c>
      <c r="Q1150" s="2" t="s">
        <v>74</v>
      </c>
      <c r="R1150" s="2" t="s">
        <v>74</v>
      </c>
      <c r="S1150" s="2" t="s">
        <v>74</v>
      </c>
      <c r="T1150" s="2" t="s">
        <v>74</v>
      </c>
      <c r="U1150" s="2" t="s">
        <v>74</v>
      </c>
      <c r="V1150" s="5" t="s">
        <v>4881</v>
      </c>
      <c r="W1150" s="2" t="s">
        <v>74</v>
      </c>
      <c r="X1150" s="2" t="s">
        <v>74</v>
      </c>
      <c r="Y1150" s="2" t="s">
        <v>74</v>
      </c>
      <c r="Z1150" s="2" t="s">
        <v>74</v>
      </c>
      <c r="AA1150" s="2" t="s">
        <v>4882</v>
      </c>
      <c r="AB1150" s="2" t="s">
        <v>4883</v>
      </c>
      <c r="AC1150" s="2" t="s">
        <v>74</v>
      </c>
      <c r="AD1150" s="2" t="s">
        <v>74</v>
      </c>
      <c r="AE1150" s="2" t="s">
        <v>74</v>
      </c>
      <c r="AF1150" s="2" t="s">
        <v>74</v>
      </c>
      <c r="AG1150" s="2" t="s">
        <v>74</v>
      </c>
      <c r="AH1150" s="2" t="s">
        <v>74</v>
      </c>
      <c r="AI1150" s="2" t="s">
        <v>74</v>
      </c>
      <c r="AJ1150" s="2" t="s">
        <v>74</v>
      </c>
      <c r="AK1150" s="2" t="s">
        <v>74</v>
      </c>
      <c r="AL1150" s="2" t="s">
        <v>74</v>
      </c>
      <c r="AM1150" s="2" t="s">
        <v>74</v>
      </c>
      <c r="AN1150" s="2" t="s">
        <v>74</v>
      </c>
      <c r="AO1150" s="2" t="s">
        <v>2021</v>
      </c>
      <c r="AP1150" s="2" t="s">
        <v>74</v>
      </c>
      <c r="AQ1150" s="2" t="s">
        <v>74</v>
      </c>
      <c r="AR1150" s="2" t="s">
        <v>74</v>
      </c>
      <c r="AS1150" s="2" t="s">
        <v>74</v>
      </c>
      <c r="AT1150" s="2" t="s">
        <v>3833</v>
      </c>
      <c r="AU1150" s="2">
        <v>2022</v>
      </c>
      <c r="AV1150" s="2">
        <v>10</v>
      </c>
      <c r="AW1150" s="2" t="s">
        <v>74</v>
      </c>
      <c r="AX1150" s="2" t="s">
        <v>74</v>
      </c>
      <c r="AY1150" s="2" t="s">
        <v>74</v>
      </c>
      <c r="AZ1150" s="2" t="s">
        <v>74</v>
      </c>
      <c r="BA1150" s="2" t="s">
        <v>74</v>
      </c>
      <c r="BB1150" s="2" t="s">
        <v>74</v>
      </c>
      <c r="BC1150" s="2" t="s">
        <v>74</v>
      </c>
      <c r="BD1150" s="2">
        <v>803996</v>
      </c>
      <c r="BE1150" s="2" t="s">
        <v>4884</v>
      </c>
      <c r="BF1150" s="2" t="str">
        <f>HYPERLINK("http://dx.doi.org/10.3389/fevo.2022.803996","http://dx.doi.org/10.3389/fevo.2022.803996")</f>
        <v>http://dx.doi.org/10.3389/fevo.2022.803996</v>
      </c>
      <c r="BG1150" s="2" t="s">
        <v>74</v>
      </c>
      <c r="BH1150" s="2" t="s">
        <v>74</v>
      </c>
      <c r="BI1150" s="2" t="s">
        <v>74</v>
      </c>
      <c r="BJ1150" s="2" t="s">
        <v>74</v>
      </c>
      <c r="BK1150" s="2" t="s">
        <v>74</v>
      </c>
      <c r="BL1150" s="2" t="s">
        <v>74</v>
      </c>
      <c r="BM1150" s="2" t="s">
        <v>74</v>
      </c>
      <c r="BN1150" s="2" t="s">
        <v>74</v>
      </c>
      <c r="BO1150" s="2" t="s">
        <v>74</v>
      </c>
      <c r="BP1150" s="2" t="s">
        <v>74</v>
      </c>
      <c r="BQ1150" s="2" t="s">
        <v>74</v>
      </c>
      <c r="BR1150" s="2" t="s">
        <v>74</v>
      </c>
      <c r="BS1150" s="2" t="s">
        <v>4885</v>
      </c>
      <c r="BT1150" s="2" t="str">
        <f>HYPERLINK("https%3A%2F%2Fwww.webofscience.com%2Fwos%2Fwoscc%2Ffull-record%2FWOS:000775231200001","View Full Record in Web of Science")</f>
        <v>View Full Record in Web of Science</v>
      </c>
    </row>
    <row r="1151" spans="1:72" s="1" customFormat="1" x14ac:dyDescent="0.4">
      <c r="A1151" s="2" t="s">
        <v>72</v>
      </c>
      <c r="B1151" s="2" t="s">
        <v>2049</v>
      </c>
      <c r="C1151" s="2" t="s">
        <v>74</v>
      </c>
      <c r="D1151" s="2" t="s">
        <v>74</v>
      </c>
      <c r="E1151" s="2" t="s">
        <v>74</v>
      </c>
      <c r="F1151" s="2" t="s">
        <v>2049</v>
      </c>
      <c r="G1151" s="2" t="s">
        <v>74</v>
      </c>
      <c r="H1151" s="2" t="s">
        <v>74</v>
      </c>
      <c r="I1151" s="2" t="s">
        <v>2050</v>
      </c>
      <c r="J1151" s="2" t="s">
        <v>1549</v>
      </c>
      <c r="K1151" s="2" t="s">
        <v>74</v>
      </c>
      <c r="L1151" s="2" t="s">
        <v>74</v>
      </c>
      <c r="M1151" s="2" t="s">
        <v>74</v>
      </c>
      <c r="N1151" s="2" t="s">
        <v>74</v>
      </c>
      <c r="O1151" s="2" t="s">
        <v>74</v>
      </c>
      <c r="P1151" s="2" t="s">
        <v>74</v>
      </c>
      <c r="Q1151" s="2" t="s">
        <v>74</v>
      </c>
      <c r="R1151" s="2" t="s">
        <v>74</v>
      </c>
      <c r="S1151" s="2" t="s">
        <v>74</v>
      </c>
      <c r="T1151" s="2" t="s">
        <v>74</v>
      </c>
      <c r="U1151" s="2" t="s">
        <v>74</v>
      </c>
      <c r="V1151" s="5" t="s">
        <v>2051</v>
      </c>
      <c r="W1151" s="2" t="s">
        <v>74</v>
      </c>
      <c r="X1151" s="2" t="s">
        <v>74</v>
      </c>
      <c r="Y1151" s="2" t="s">
        <v>74</v>
      </c>
      <c r="Z1151" s="2" t="s">
        <v>74</v>
      </c>
      <c r="AA1151" s="2" t="s">
        <v>74</v>
      </c>
      <c r="AB1151" s="2" t="s">
        <v>74</v>
      </c>
      <c r="AC1151" s="2" t="s">
        <v>74</v>
      </c>
      <c r="AD1151" s="2" t="s">
        <v>74</v>
      </c>
      <c r="AE1151" s="2" t="s">
        <v>74</v>
      </c>
      <c r="AF1151" s="2" t="s">
        <v>74</v>
      </c>
      <c r="AG1151" s="2" t="s">
        <v>74</v>
      </c>
      <c r="AH1151" s="2" t="s">
        <v>74</v>
      </c>
      <c r="AI1151" s="2" t="s">
        <v>74</v>
      </c>
      <c r="AJ1151" s="2" t="s">
        <v>74</v>
      </c>
      <c r="AK1151" s="2" t="s">
        <v>74</v>
      </c>
      <c r="AL1151" s="2" t="s">
        <v>74</v>
      </c>
      <c r="AM1151" s="2" t="s">
        <v>74</v>
      </c>
      <c r="AN1151" s="2" t="s">
        <v>74</v>
      </c>
      <c r="AO1151" s="2" t="s">
        <v>1551</v>
      </c>
      <c r="AP1151" s="2" t="s">
        <v>74</v>
      </c>
      <c r="AQ1151" s="2" t="s">
        <v>74</v>
      </c>
      <c r="AR1151" s="2" t="s">
        <v>74</v>
      </c>
      <c r="AS1151" s="2" t="s">
        <v>74</v>
      </c>
      <c r="AT1151" s="2" t="s">
        <v>102</v>
      </c>
      <c r="AU1151" s="2">
        <v>2000</v>
      </c>
      <c r="AV1151" s="2">
        <v>25</v>
      </c>
      <c r="AW1151" s="2">
        <v>2</v>
      </c>
      <c r="AX1151" s="2" t="s">
        <v>74</v>
      </c>
      <c r="AY1151" s="2" t="s">
        <v>74</v>
      </c>
      <c r="AZ1151" s="2" t="s">
        <v>74</v>
      </c>
      <c r="BA1151" s="2" t="s">
        <v>74</v>
      </c>
      <c r="BB1151" s="2">
        <v>127</v>
      </c>
      <c r="BC1151" s="2">
        <v>132</v>
      </c>
      <c r="BD1151" s="2" t="s">
        <v>74</v>
      </c>
      <c r="BE1151" s="2" t="s">
        <v>2052</v>
      </c>
      <c r="BF1151" s="2" t="str">
        <f>HYPERLINK("http://dx.doi.org/10.1046/j.1365-3032.2000.00174.x","http://dx.doi.org/10.1046/j.1365-3032.2000.00174.x")</f>
        <v>http://dx.doi.org/10.1046/j.1365-3032.2000.00174.x</v>
      </c>
      <c r="BG1151" s="2" t="s">
        <v>74</v>
      </c>
      <c r="BH1151" s="2" t="s">
        <v>74</v>
      </c>
      <c r="BI1151" s="2" t="s">
        <v>74</v>
      </c>
      <c r="BJ1151" s="2" t="s">
        <v>74</v>
      </c>
      <c r="BK1151" s="2" t="s">
        <v>74</v>
      </c>
      <c r="BL1151" s="2" t="s">
        <v>74</v>
      </c>
      <c r="BM1151" s="2" t="s">
        <v>74</v>
      </c>
      <c r="BN1151" s="2" t="s">
        <v>74</v>
      </c>
      <c r="BO1151" s="2" t="s">
        <v>74</v>
      </c>
      <c r="BP1151" s="2" t="s">
        <v>74</v>
      </c>
      <c r="BQ1151" s="2" t="s">
        <v>74</v>
      </c>
      <c r="BR1151" s="2" t="s">
        <v>74</v>
      </c>
      <c r="BS1151" s="2" t="s">
        <v>2053</v>
      </c>
      <c r="BT1151" s="2" t="str">
        <f>HYPERLINK("https%3A%2F%2Fwww.webofscience.com%2Fwos%2Fwoscc%2Ffull-record%2FWOS:000087985900004","View Full Record in Web of Science")</f>
        <v>View Full Record in Web of Science</v>
      </c>
    </row>
    <row r="1152" spans="1:72" s="1" customFormat="1" x14ac:dyDescent="0.4">
      <c r="A1152" s="2" t="s">
        <v>72</v>
      </c>
      <c r="B1152" s="2" t="s">
        <v>1547</v>
      </c>
      <c r="C1152" s="2" t="s">
        <v>74</v>
      </c>
      <c r="D1152" s="2" t="s">
        <v>74</v>
      </c>
      <c r="E1152" s="2" t="s">
        <v>74</v>
      </c>
      <c r="F1152" s="2" t="s">
        <v>1547</v>
      </c>
      <c r="G1152" s="2" t="s">
        <v>74</v>
      </c>
      <c r="H1152" s="2" t="s">
        <v>74</v>
      </c>
      <c r="I1152" s="2" t="s">
        <v>1548</v>
      </c>
      <c r="J1152" s="2" t="s">
        <v>1549</v>
      </c>
      <c r="K1152" s="2" t="s">
        <v>74</v>
      </c>
      <c r="L1152" s="2" t="s">
        <v>74</v>
      </c>
      <c r="M1152" s="2" t="s">
        <v>74</v>
      </c>
      <c r="N1152" s="2" t="s">
        <v>74</v>
      </c>
      <c r="O1152" s="2" t="s">
        <v>74</v>
      </c>
      <c r="P1152" s="2" t="s">
        <v>74</v>
      </c>
      <c r="Q1152" s="2" t="s">
        <v>74</v>
      </c>
      <c r="R1152" s="2" t="s">
        <v>74</v>
      </c>
      <c r="S1152" s="2" t="s">
        <v>74</v>
      </c>
      <c r="T1152" s="2" t="s">
        <v>74</v>
      </c>
      <c r="U1152" s="2" t="s">
        <v>74</v>
      </c>
      <c r="V1152" s="5" t="s">
        <v>1550</v>
      </c>
      <c r="W1152" s="2" t="s">
        <v>74</v>
      </c>
      <c r="X1152" s="2" t="s">
        <v>74</v>
      </c>
      <c r="Y1152" s="2" t="s">
        <v>74</v>
      </c>
      <c r="Z1152" s="2" t="s">
        <v>74</v>
      </c>
      <c r="AA1152" s="2" t="s">
        <v>74</v>
      </c>
      <c r="AB1152" s="2" t="s">
        <v>74</v>
      </c>
      <c r="AC1152" s="2" t="s">
        <v>74</v>
      </c>
      <c r="AD1152" s="2" t="s">
        <v>74</v>
      </c>
      <c r="AE1152" s="2" t="s">
        <v>74</v>
      </c>
      <c r="AF1152" s="2" t="s">
        <v>74</v>
      </c>
      <c r="AG1152" s="2" t="s">
        <v>74</v>
      </c>
      <c r="AH1152" s="2" t="s">
        <v>74</v>
      </c>
      <c r="AI1152" s="2" t="s">
        <v>74</v>
      </c>
      <c r="AJ1152" s="2" t="s">
        <v>74</v>
      </c>
      <c r="AK1152" s="2" t="s">
        <v>74</v>
      </c>
      <c r="AL1152" s="2" t="s">
        <v>74</v>
      </c>
      <c r="AM1152" s="2" t="s">
        <v>74</v>
      </c>
      <c r="AN1152" s="2" t="s">
        <v>74</v>
      </c>
      <c r="AO1152" s="2" t="s">
        <v>1551</v>
      </c>
      <c r="AP1152" s="2" t="s">
        <v>74</v>
      </c>
      <c r="AQ1152" s="2" t="s">
        <v>74</v>
      </c>
      <c r="AR1152" s="2" t="s">
        <v>74</v>
      </c>
      <c r="AS1152" s="2" t="s">
        <v>74</v>
      </c>
      <c r="AT1152" s="2" t="s">
        <v>102</v>
      </c>
      <c r="AU1152" s="2">
        <v>2002</v>
      </c>
      <c r="AV1152" s="2">
        <v>27</v>
      </c>
      <c r="AW1152" s="2">
        <v>2</v>
      </c>
      <c r="AX1152" s="2" t="s">
        <v>74</v>
      </c>
      <c r="AY1152" s="2" t="s">
        <v>74</v>
      </c>
      <c r="AZ1152" s="2" t="s">
        <v>74</v>
      </c>
      <c r="BA1152" s="2" t="s">
        <v>74</v>
      </c>
      <c r="BB1152" s="2">
        <v>165</v>
      </c>
      <c r="BC1152" s="2">
        <v>169</v>
      </c>
      <c r="BD1152" s="2" t="s">
        <v>74</v>
      </c>
      <c r="BE1152" s="2" t="s">
        <v>1552</v>
      </c>
      <c r="BF1152" s="2" t="str">
        <f>HYPERLINK("http://dx.doi.org/10.1046/j.1365-3032.2002.00283.x","http://dx.doi.org/10.1046/j.1365-3032.2002.00283.x")</f>
        <v>http://dx.doi.org/10.1046/j.1365-3032.2002.00283.x</v>
      </c>
      <c r="BG1152" s="2" t="s">
        <v>74</v>
      </c>
      <c r="BH1152" s="2" t="s">
        <v>74</v>
      </c>
      <c r="BI1152" s="2" t="s">
        <v>74</v>
      </c>
      <c r="BJ1152" s="2" t="s">
        <v>74</v>
      </c>
      <c r="BK1152" s="2" t="s">
        <v>74</v>
      </c>
      <c r="BL1152" s="2" t="s">
        <v>74</v>
      </c>
      <c r="BM1152" s="2" t="s">
        <v>74</v>
      </c>
      <c r="BN1152" s="2" t="s">
        <v>74</v>
      </c>
      <c r="BO1152" s="2" t="s">
        <v>74</v>
      </c>
      <c r="BP1152" s="2" t="s">
        <v>74</v>
      </c>
      <c r="BQ1152" s="2" t="s">
        <v>74</v>
      </c>
      <c r="BR1152" s="2" t="s">
        <v>74</v>
      </c>
      <c r="BS1152" s="2" t="s">
        <v>1553</v>
      </c>
      <c r="BT1152" s="2" t="str">
        <f>HYPERLINK("https%3A%2F%2Fwww.webofscience.com%2Fwos%2Fwoscc%2Ffull-record%2FWOS:000175861800011","View Full Record in Web of Science")</f>
        <v>View Full Record in Web of Science</v>
      </c>
    </row>
    <row r="1153" spans="1:72" s="2" customFormat="1" x14ac:dyDescent="0.4">
      <c r="A1153" s="2" t="s">
        <v>72</v>
      </c>
      <c r="B1153" s="2" t="s">
        <v>871</v>
      </c>
      <c r="C1153" s="2" t="s">
        <v>74</v>
      </c>
      <c r="D1153" s="2" t="s">
        <v>74</v>
      </c>
      <c r="E1153" s="2" t="s">
        <v>74</v>
      </c>
      <c r="F1153" s="2" t="s">
        <v>872</v>
      </c>
      <c r="G1153" s="2" t="s">
        <v>74</v>
      </c>
      <c r="H1153" s="2" t="s">
        <v>74</v>
      </c>
      <c r="I1153" s="2" t="s">
        <v>873</v>
      </c>
      <c r="J1153" s="2" t="s">
        <v>509</v>
      </c>
      <c r="K1153" s="2" t="s">
        <v>74</v>
      </c>
      <c r="L1153" s="2" t="s">
        <v>74</v>
      </c>
      <c r="M1153" s="2" t="s">
        <v>74</v>
      </c>
      <c r="N1153" s="2" t="s">
        <v>74</v>
      </c>
      <c r="O1153" s="2" t="s">
        <v>74</v>
      </c>
      <c r="P1153" s="2" t="s">
        <v>74</v>
      </c>
      <c r="Q1153" s="2" t="s">
        <v>74</v>
      </c>
      <c r="R1153" s="2" t="s">
        <v>74</v>
      </c>
      <c r="S1153" s="2" t="s">
        <v>74</v>
      </c>
      <c r="T1153" s="2" t="s">
        <v>74</v>
      </c>
      <c r="U1153" s="2" t="s">
        <v>74</v>
      </c>
      <c r="V1153" s="5" t="s">
        <v>874</v>
      </c>
      <c r="W1153" s="2" t="s">
        <v>74</v>
      </c>
      <c r="X1153" s="2" t="s">
        <v>74</v>
      </c>
      <c r="Y1153" s="2" t="s">
        <v>74</v>
      </c>
      <c r="Z1153" s="2" t="s">
        <v>74</v>
      </c>
      <c r="AA1153" s="2" t="s">
        <v>875</v>
      </c>
      <c r="AB1153" s="2" t="s">
        <v>876</v>
      </c>
      <c r="AC1153" s="2" t="s">
        <v>74</v>
      </c>
      <c r="AD1153" s="2" t="s">
        <v>74</v>
      </c>
      <c r="AE1153" s="2" t="s">
        <v>74</v>
      </c>
      <c r="AF1153" s="2" t="s">
        <v>74</v>
      </c>
      <c r="AG1153" s="2" t="s">
        <v>74</v>
      </c>
      <c r="AH1153" s="2" t="s">
        <v>74</v>
      </c>
      <c r="AI1153" s="2" t="s">
        <v>74</v>
      </c>
      <c r="AJ1153" s="2" t="s">
        <v>74</v>
      </c>
      <c r="AK1153" s="2" t="s">
        <v>74</v>
      </c>
      <c r="AL1153" s="2" t="s">
        <v>74</v>
      </c>
      <c r="AM1153" s="2" t="s">
        <v>74</v>
      </c>
      <c r="AN1153" s="2" t="s">
        <v>74</v>
      </c>
      <c r="AO1153" s="2" t="s">
        <v>511</v>
      </c>
      <c r="AP1153" s="2" t="s">
        <v>512</v>
      </c>
      <c r="AQ1153" s="2" t="s">
        <v>74</v>
      </c>
      <c r="AR1153" s="2" t="s">
        <v>74</v>
      </c>
      <c r="AS1153" s="2" t="s">
        <v>74</v>
      </c>
      <c r="AT1153" s="2" t="s">
        <v>204</v>
      </c>
      <c r="AU1153" s="2">
        <v>2017</v>
      </c>
      <c r="AV1153" s="2">
        <v>93</v>
      </c>
      <c r="AW1153" s="2" t="s">
        <v>74</v>
      </c>
      <c r="AX1153" s="2" t="s">
        <v>74</v>
      </c>
      <c r="AY1153" s="2" t="s">
        <v>74</v>
      </c>
      <c r="AZ1153" s="2" t="s">
        <v>74</v>
      </c>
      <c r="BA1153" s="2" t="s">
        <v>74</v>
      </c>
      <c r="BB1153" s="2">
        <v>118</v>
      </c>
      <c r="BC1153" s="2">
        <v>127</v>
      </c>
      <c r="BD1153" s="2" t="s">
        <v>74</v>
      </c>
      <c r="BE1153" s="2" t="s">
        <v>877</v>
      </c>
      <c r="BF1153" s="2" t="str">
        <f>HYPERLINK("http://dx.doi.org/10.1016/j.yhbeh.2017.05.001","http://dx.doi.org/10.1016/j.yhbeh.2017.05.001")</f>
        <v>http://dx.doi.org/10.1016/j.yhbeh.2017.05.001</v>
      </c>
      <c r="BG1153" s="2" t="s">
        <v>74</v>
      </c>
      <c r="BH1153" s="2" t="s">
        <v>74</v>
      </c>
      <c r="BI1153" s="2" t="s">
        <v>74</v>
      </c>
      <c r="BJ1153" s="2" t="s">
        <v>74</v>
      </c>
      <c r="BK1153" s="2" t="s">
        <v>74</v>
      </c>
      <c r="BL1153" s="2" t="s">
        <v>74</v>
      </c>
      <c r="BM1153" s="2" t="s">
        <v>74</v>
      </c>
      <c r="BN1153" s="2">
        <v>28478216</v>
      </c>
      <c r="BO1153" s="2" t="s">
        <v>74</v>
      </c>
      <c r="BP1153" s="2" t="s">
        <v>74</v>
      </c>
      <c r="BQ1153" s="2" t="s">
        <v>74</v>
      </c>
      <c r="BR1153" s="2" t="s">
        <v>74</v>
      </c>
      <c r="BS1153" s="2" t="s">
        <v>878</v>
      </c>
      <c r="BT1153" s="2" t="str">
        <f>HYPERLINK("https%3A%2F%2Fwww.webofscience.com%2Fwos%2Fwoscc%2Ffull-record%2FWOS:000407528300014","View Full Record in Web of Science")</f>
        <v>View Full Record in Web of Science</v>
      </c>
    </row>
    <row r="1154" spans="1:72" s="2" customFormat="1" x14ac:dyDescent="0.4">
      <c r="A1154" s="2" t="s">
        <v>72</v>
      </c>
      <c r="B1154" s="2" t="s">
        <v>6609</v>
      </c>
      <c r="C1154" s="2" t="s">
        <v>74</v>
      </c>
      <c r="D1154" s="2" t="s">
        <v>74</v>
      </c>
      <c r="E1154" s="2" t="s">
        <v>74</v>
      </c>
      <c r="F1154" s="2" t="s">
        <v>6610</v>
      </c>
      <c r="G1154" s="2" t="s">
        <v>74</v>
      </c>
      <c r="H1154" s="2" t="s">
        <v>74</v>
      </c>
      <c r="I1154" s="2" t="s">
        <v>6611</v>
      </c>
      <c r="J1154" s="2" t="s">
        <v>1743</v>
      </c>
      <c r="K1154" s="2" t="s">
        <v>74</v>
      </c>
      <c r="L1154" s="2" t="s">
        <v>74</v>
      </c>
      <c r="M1154" s="2" t="s">
        <v>74</v>
      </c>
      <c r="N1154" s="2" t="s">
        <v>74</v>
      </c>
      <c r="O1154" s="2" t="s">
        <v>74</v>
      </c>
      <c r="P1154" s="2" t="s">
        <v>74</v>
      </c>
      <c r="Q1154" s="2" t="s">
        <v>74</v>
      </c>
      <c r="R1154" s="2" t="s">
        <v>74</v>
      </c>
      <c r="S1154" s="2" t="s">
        <v>74</v>
      </c>
      <c r="T1154" s="2" t="s">
        <v>74</v>
      </c>
      <c r="U1154" s="2" t="s">
        <v>74</v>
      </c>
      <c r="V1154" s="5" t="s">
        <v>6612</v>
      </c>
      <c r="W1154" s="2" t="s">
        <v>74</v>
      </c>
      <c r="X1154" s="2" t="s">
        <v>74</v>
      </c>
      <c r="Y1154" s="2" t="s">
        <v>74</v>
      </c>
      <c r="Z1154" s="2" t="s">
        <v>74</v>
      </c>
      <c r="AA1154" s="2" t="s">
        <v>74</v>
      </c>
      <c r="AB1154" s="2" t="s">
        <v>6613</v>
      </c>
      <c r="AC1154" s="2" t="s">
        <v>74</v>
      </c>
      <c r="AD1154" s="2" t="s">
        <v>74</v>
      </c>
      <c r="AE1154" s="2" t="s">
        <v>74</v>
      </c>
      <c r="AF1154" s="2" t="s">
        <v>74</v>
      </c>
      <c r="AG1154" s="2" t="s">
        <v>74</v>
      </c>
      <c r="AH1154" s="2" t="s">
        <v>74</v>
      </c>
      <c r="AI1154" s="2" t="s">
        <v>74</v>
      </c>
      <c r="AJ1154" s="2" t="s">
        <v>74</v>
      </c>
      <c r="AK1154" s="2" t="s">
        <v>74</v>
      </c>
      <c r="AL1154" s="2" t="s">
        <v>74</v>
      </c>
      <c r="AM1154" s="2" t="s">
        <v>74</v>
      </c>
      <c r="AN1154" s="2" t="s">
        <v>74</v>
      </c>
      <c r="AO1154" s="2" t="s">
        <v>1746</v>
      </c>
      <c r="AP1154" s="2" t="s">
        <v>74</v>
      </c>
      <c r="AQ1154" s="2" t="s">
        <v>74</v>
      </c>
      <c r="AR1154" s="2" t="s">
        <v>74</v>
      </c>
      <c r="AS1154" s="2" t="s">
        <v>74</v>
      </c>
      <c r="AT1154" s="2" t="s">
        <v>145</v>
      </c>
      <c r="AU1154" s="2">
        <v>2019</v>
      </c>
      <c r="AV1154" s="2">
        <v>36</v>
      </c>
      <c r="AW1154" s="2">
        <v>4</v>
      </c>
      <c r="AX1154" s="2" t="s">
        <v>74</v>
      </c>
      <c r="AY1154" s="2" t="s">
        <v>74</v>
      </c>
      <c r="AZ1154" s="2" t="s">
        <v>74</v>
      </c>
      <c r="BA1154" s="2" t="s">
        <v>74</v>
      </c>
      <c r="BB1154" s="2">
        <v>284</v>
      </c>
      <c r="BC1154" s="2">
        <v>293</v>
      </c>
      <c r="BD1154" s="2" t="s">
        <v>74</v>
      </c>
      <c r="BE1154" s="2" t="s">
        <v>6614</v>
      </c>
      <c r="BF1154" s="2" t="str">
        <f>HYPERLINK("http://dx.doi.org/10.2108/zs180167","http://dx.doi.org/10.2108/zs180167")</f>
        <v>http://dx.doi.org/10.2108/zs180167</v>
      </c>
      <c r="BG1154" s="2" t="s">
        <v>74</v>
      </c>
      <c r="BH1154" s="2" t="s">
        <v>74</v>
      </c>
      <c r="BI1154" s="2" t="s">
        <v>74</v>
      </c>
      <c r="BJ1154" s="2" t="s">
        <v>74</v>
      </c>
      <c r="BK1154" s="2" t="s">
        <v>74</v>
      </c>
      <c r="BL1154" s="2" t="s">
        <v>74</v>
      </c>
      <c r="BM1154" s="2" t="s">
        <v>74</v>
      </c>
      <c r="BN1154" s="2">
        <v>34664898</v>
      </c>
      <c r="BO1154" s="2" t="s">
        <v>74</v>
      </c>
      <c r="BP1154" s="2" t="s">
        <v>74</v>
      </c>
      <c r="BQ1154" s="2" t="s">
        <v>74</v>
      </c>
      <c r="BR1154" s="2" t="s">
        <v>74</v>
      </c>
      <c r="BS1154" s="2" t="s">
        <v>6615</v>
      </c>
      <c r="BT1154" s="2" t="str">
        <f>HYPERLINK("https%3A%2F%2Fwww.webofscience.com%2Fwos%2Fwoscc%2Ffull-record%2FWOS:000477900300003","View Full Record in Web of Science")</f>
        <v>View Full Record in Web of Science</v>
      </c>
    </row>
    <row r="1155" spans="1:72" s="2" customFormat="1" x14ac:dyDescent="0.4">
      <c r="A1155" s="2" t="s">
        <v>72</v>
      </c>
      <c r="B1155" s="2" t="s">
        <v>832</v>
      </c>
      <c r="C1155" s="2" t="s">
        <v>74</v>
      </c>
      <c r="D1155" s="2" t="s">
        <v>74</v>
      </c>
      <c r="E1155" s="2" t="s">
        <v>74</v>
      </c>
      <c r="F1155" s="2" t="s">
        <v>833</v>
      </c>
      <c r="G1155" s="2" t="s">
        <v>74</v>
      </c>
      <c r="H1155" s="2" t="s">
        <v>74</v>
      </c>
      <c r="I1155" s="2" t="s">
        <v>834</v>
      </c>
      <c r="J1155" s="2" t="s">
        <v>119</v>
      </c>
      <c r="K1155" s="2" t="s">
        <v>74</v>
      </c>
      <c r="L1155" s="2" t="s">
        <v>74</v>
      </c>
      <c r="M1155" s="2" t="s">
        <v>74</v>
      </c>
      <c r="N1155" s="2" t="s">
        <v>74</v>
      </c>
      <c r="O1155" s="2" t="s">
        <v>74</v>
      </c>
      <c r="P1155" s="2" t="s">
        <v>74</v>
      </c>
      <c r="Q1155" s="2" t="s">
        <v>74</v>
      </c>
      <c r="R1155" s="2" t="s">
        <v>74</v>
      </c>
      <c r="S1155" s="2" t="s">
        <v>74</v>
      </c>
      <c r="T1155" s="2" t="s">
        <v>74</v>
      </c>
      <c r="U1155" s="2" t="s">
        <v>74</v>
      </c>
      <c r="V1155" s="5" t="s">
        <v>835</v>
      </c>
      <c r="W1155" s="2" t="s">
        <v>74</v>
      </c>
      <c r="X1155" s="2" t="s">
        <v>74</v>
      </c>
      <c r="Y1155" s="2" t="s">
        <v>74</v>
      </c>
      <c r="Z1155" s="2" t="s">
        <v>74</v>
      </c>
      <c r="AA1155" s="2" t="s">
        <v>836</v>
      </c>
      <c r="AB1155" s="2" t="s">
        <v>74</v>
      </c>
      <c r="AC1155" s="2" t="s">
        <v>74</v>
      </c>
      <c r="AD1155" s="2" t="s">
        <v>74</v>
      </c>
      <c r="AE1155" s="2" t="s">
        <v>74</v>
      </c>
      <c r="AF1155" s="2" t="s">
        <v>74</v>
      </c>
      <c r="AG1155" s="2" t="s">
        <v>74</v>
      </c>
      <c r="AH1155" s="2" t="s">
        <v>74</v>
      </c>
      <c r="AI1155" s="2" t="s">
        <v>74</v>
      </c>
      <c r="AJ1155" s="2" t="s">
        <v>74</v>
      </c>
      <c r="AK1155" s="2" t="s">
        <v>74</v>
      </c>
      <c r="AL1155" s="2" t="s">
        <v>74</v>
      </c>
      <c r="AM1155" s="2" t="s">
        <v>74</v>
      </c>
      <c r="AN1155" s="2" t="s">
        <v>74</v>
      </c>
      <c r="AO1155" s="2" t="s">
        <v>121</v>
      </c>
      <c r="AP1155" s="2" t="s">
        <v>122</v>
      </c>
      <c r="AQ1155" s="2" t="s">
        <v>74</v>
      </c>
      <c r="AR1155" s="2" t="s">
        <v>74</v>
      </c>
      <c r="AS1155" s="2" t="s">
        <v>74</v>
      </c>
      <c r="AT1155" s="2" t="s">
        <v>134</v>
      </c>
      <c r="AU1155" s="2">
        <v>2017</v>
      </c>
      <c r="AV1155" s="2">
        <v>138</v>
      </c>
      <c r="AW1155" s="2" t="s">
        <v>74</v>
      </c>
      <c r="AX1155" s="2" t="s">
        <v>74</v>
      </c>
      <c r="AY1155" s="2" t="s">
        <v>74</v>
      </c>
      <c r="AZ1155" s="2" t="s">
        <v>74</v>
      </c>
      <c r="BA1155" s="2" t="s">
        <v>74</v>
      </c>
      <c r="BB1155" s="2">
        <v>41</v>
      </c>
      <c r="BC1155" s="2">
        <v>48</v>
      </c>
      <c r="BD1155" s="2" t="s">
        <v>74</v>
      </c>
      <c r="BE1155" s="2" t="s">
        <v>837</v>
      </c>
      <c r="BF1155" s="2" t="str">
        <f>HYPERLINK("http://dx.doi.org/10.1016/j.beproc.2017.01.017","http://dx.doi.org/10.1016/j.beproc.2017.01.017")</f>
        <v>http://dx.doi.org/10.1016/j.beproc.2017.01.017</v>
      </c>
      <c r="BG1155" s="2" t="s">
        <v>74</v>
      </c>
      <c r="BH1155" s="2" t="s">
        <v>74</v>
      </c>
      <c r="BI1155" s="2" t="s">
        <v>74</v>
      </c>
      <c r="BJ1155" s="2" t="s">
        <v>74</v>
      </c>
      <c r="BK1155" s="2" t="s">
        <v>74</v>
      </c>
      <c r="BL1155" s="2" t="s">
        <v>74</v>
      </c>
      <c r="BM1155" s="2" t="s">
        <v>74</v>
      </c>
      <c r="BN1155" s="2">
        <v>28159653</v>
      </c>
      <c r="BO1155" s="2" t="s">
        <v>74</v>
      </c>
      <c r="BP1155" s="2" t="s">
        <v>74</v>
      </c>
      <c r="BQ1155" s="2" t="s">
        <v>74</v>
      </c>
      <c r="BR1155" s="2" t="s">
        <v>74</v>
      </c>
      <c r="BS1155" s="2" t="s">
        <v>838</v>
      </c>
      <c r="BT1155" s="2" t="str">
        <f>HYPERLINK("https%3A%2F%2Fwww.webofscience.com%2Fwos%2Fwoscc%2Ffull-record%2FWOS:000400878800007","View Full Record in Web of Science")</f>
        <v>View Full Record in Web of Science</v>
      </c>
    </row>
    <row r="1156" spans="1:72" s="2" customFormat="1" x14ac:dyDescent="0.4">
      <c r="A1156" s="2" t="s">
        <v>72</v>
      </c>
      <c r="B1156" s="2" t="s">
        <v>5404</v>
      </c>
      <c r="C1156" s="2" t="s">
        <v>74</v>
      </c>
      <c r="D1156" s="2" t="s">
        <v>74</v>
      </c>
      <c r="E1156" s="2" t="s">
        <v>74</v>
      </c>
      <c r="F1156" s="2" t="s">
        <v>5405</v>
      </c>
      <c r="G1156" s="2" t="s">
        <v>74</v>
      </c>
      <c r="H1156" s="2" t="s">
        <v>74</v>
      </c>
      <c r="I1156" s="2" t="s">
        <v>5406</v>
      </c>
      <c r="J1156" s="2" t="s">
        <v>2207</v>
      </c>
      <c r="K1156" s="2" t="s">
        <v>74</v>
      </c>
      <c r="L1156" s="2" t="s">
        <v>74</v>
      </c>
      <c r="M1156" s="2" t="s">
        <v>74</v>
      </c>
      <c r="N1156" s="2" t="s">
        <v>74</v>
      </c>
      <c r="O1156" s="2" t="s">
        <v>74</v>
      </c>
      <c r="P1156" s="2" t="s">
        <v>74</v>
      </c>
      <c r="Q1156" s="2" t="s">
        <v>74</v>
      </c>
      <c r="R1156" s="2" t="s">
        <v>74</v>
      </c>
      <c r="S1156" s="2" t="s">
        <v>74</v>
      </c>
      <c r="T1156" s="2" t="s">
        <v>74</v>
      </c>
      <c r="U1156" s="2" t="s">
        <v>74</v>
      </c>
      <c r="V1156" s="5" t="s">
        <v>5407</v>
      </c>
      <c r="W1156" s="2" t="s">
        <v>74</v>
      </c>
      <c r="X1156" s="2" t="s">
        <v>74</v>
      </c>
      <c r="Y1156" s="2" t="s">
        <v>74</v>
      </c>
      <c r="Z1156" s="2" t="s">
        <v>74</v>
      </c>
      <c r="AA1156" s="2" t="s">
        <v>836</v>
      </c>
      <c r="AB1156" s="2" t="s">
        <v>5408</v>
      </c>
      <c r="AC1156" s="2" t="s">
        <v>74</v>
      </c>
      <c r="AD1156" s="2" t="s">
        <v>74</v>
      </c>
      <c r="AE1156" s="2" t="s">
        <v>74</v>
      </c>
      <c r="AF1156" s="2" t="s">
        <v>74</v>
      </c>
      <c r="AG1156" s="2" t="s">
        <v>74</v>
      </c>
      <c r="AH1156" s="2" t="s">
        <v>74</v>
      </c>
      <c r="AI1156" s="2" t="s">
        <v>74</v>
      </c>
      <c r="AJ1156" s="2" t="s">
        <v>74</v>
      </c>
      <c r="AK1156" s="2" t="s">
        <v>74</v>
      </c>
      <c r="AL1156" s="2" t="s">
        <v>74</v>
      </c>
      <c r="AM1156" s="2" t="s">
        <v>74</v>
      </c>
      <c r="AN1156" s="2" t="s">
        <v>74</v>
      </c>
      <c r="AO1156" s="2" t="s">
        <v>2211</v>
      </c>
      <c r="AP1156" s="2" t="s">
        <v>2461</v>
      </c>
      <c r="AQ1156" s="2" t="s">
        <v>74</v>
      </c>
      <c r="AR1156" s="2" t="s">
        <v>74</v>
      </c>
      <c r="AS1156" s="2" t="s">
        <v>74</v>
      </c>
      <c r="AT1156" s="2" t="s">
        <v>123</v>
      </c>
      <c r="AU1156" s="2">
        <v>2016</v>
      </c>
      <c r="AV1156" s="2">
        <v>47</v>
      </c>
      <c r="AW1156" s="2">
        <v>2</v>
      </c>
      <c r="AX1156" s="2" t="s">
        <v>74</v>
      </c>
      <c r="AY1156" s="2" t="s">
        <v>74</v>
      </c>
      <c r="AZ1156" s="2" t="s">
        <v>74</v>
      </c>
      <c r="BA1156" s="2" t="s">
        <v>74</v>
      </c>
      <c r="BB1156" s="2">
        <v>167</v>
      </c>
      <c r="BC1156" s="2">
        <v>175</v>
      </c>
      <c r="BD1156" s="2" t="s">
        <v>74</v>
      </c>
      <c r="BE1156" s="2" t="s">
        <v>5409</v>
      </c>
      <c r="BF1156" s="2" t="str">
        <f>HYPERLINK("http://dx.doi.org/10.1111/jav.00742","http://dx.doi.org/10.1111/jav.00742")</f>
        <v>http://dx.doi.org/10.1111/jav.00742</v>
      </c>
      <c r="BG1156" s="2" t="s">
        <v>74</v>
      </c>
      <c r="BH1156" s="2" t="s">
        <v>74</v>
      </c>
      <c r="BI1156" s="2" t="s">
        <v>74</v>
      </c>
      <c r="BJ1156" s="2" t="s">
        <v>74</v>
      </c>
      <c r="BK1156" s="2" t="s">
        <v>74</v>
      </c>
      <c r="BL1156" s="2" t="s">
        <v>74</v>
      </c>
      <c r="BM1156" s="2" t="s">
        <v>74</v>
      </c>
      <c r="BN1156" s="2" t="s">
        <v>74</v>
      </c>
      <c r="BO1156" s="2" t="s">
        <v>74</v>
      </c>
      <c r="BP1156" s="2" t="s">
        <v>74</v>
      </c>
      <c r="BQ1156" s="2" t="s">
        <v>74</v>
      </c>
      <c r="BR1156" s="2" t="s">
        <v>74</v>
      </c>
      <c r="BS1156" s="2" t="s">
        <v>5410</v>
      </c>
      <c r="BT1156" s="2" t="str">
        <f>HYPERLINK("https%3A%2F%2Fwww.webofscience.com%2Fwos%2Fwoscc%2Ffull-record%2FWOS:000373014800005","View Full Record in Web of Science")</f>
        <v>View Full Record in Web of Science</v>
      </c>
    </row>
    <row r="1157" spans="1:72" s="2" customFormat="1" x14ac:dyDescent="0.4">
      <c r="A1157" s="2" t="s">
        <v>72</v>
      </c>
      <c r="B1157" s="2" t="s">
        <v>6294</v>
      </c>
      <c r="C1157" s="2" t="s">
        <v>74</v>
      </c>
      <c r="D1157" s="2" t="s">
        <v>74</v>
      </c>
      <c r="E1157" s="2" t="s">
        <v>74</v>
      </c>
      <c r="F1157" s="2" t="s">
        <v>6295</v>
      </c>
      <c r="G1157" s="2" t="s">
        <v>74</v>
      </c>
      <c r="H1157" s="2" t="s">
        <v>74</v>
      </c>
      <c r="I1157" s="2" t="s">
        <v>6296</v>
      </c>
      <c r="J1157" s="2" t="s">
        <v>6297</v>
      </c>
      <c r="K1157" s="2" t="s">
        <v>74</v>
      </c>
      <c r="L1157" s="2" t="s">
        <v>74</v>
      </c>
      <c r="M1157" s="2" t="s">
        <v>74</v>
      </c>
      <c r="N1157" s="2" t="s">
        <v>74</v>
      </c>
      <c r="O1157" s="2" t="s">
        <v>74</v>
      </c>
      <c r="P1157" s="2" t="s">
        <v>74</v>
      </c>
      <c r="Q1157" s="2" t="s">
        <v>74</v>
      </c>
      <c r="R1157" s="2" t="s">
        <v>74</v>
      </c>
      <c r="S1157" s="2" t="s">
        <v>74</v>
      </c>
      <c r="T1157" s="2" t="s">
        <v>74</v>
      </c>
      <c r="U1157" s="2" t="s">
        <v>74</v>
      </c>
      <c r="V1157" s="5" t="s">
        <v>6298</v>
      </c>
      <c r="W1157" s="2" t="s">
        <v>74</v>
      </c>
      <c r="X1157" s="2" t="s">
        <v>74</v>
      </c>
      <c r="Y1157" s="2" t="s">
        <v>74</v>
      </c>
      <c r="Z1157" s="2" t="s">
        <v>74</v>
      </c>
      <c r="AA1157" s="2" t="s">
        <v>6299</v>
      </c>
      <c r="AB1157" s="2" t="s">
        <v>74</v>
      </c>
      <c r="AC1157" s="2" t="s">
        <v>74</v>
      </c>
      <c r="AD1157" s="2" t="s">
        <v>74</v>
      </c>
      <c r="AE1157" s="2" t="s">
        <v>74</v>
      </c>
      <c r="AF1157" s="2" t="s">
        <v>74</v>
      </c>
      <c r="AG1157" s="2" t="s">
        <v>74</v>
      </c>
      <c r="AH1157" s="2" t="s">
        <v>74</v>
      </c>
      <c r="AI1157" s="2" t="s">
        <v>74</v>
      </c>
      <c r="AJ1157" s="2" t="s">
        <v>74</v>
      </c>
      <c r="AK1157" s="2" t="s">
        <v>74</v>
      </c>
      <c r="AL1157" s="2" t="s">
        <v>74</v>
      </c>
      <c r="AM1157" s="2" t="s">
        <v>74</v>
      </c>
      <c r="AN1157" s="2" t="s">
        <v>74</v>
      </c>
      <c r="AO1157" s="2" t="s">
        <v>6300</v>
      </c>
      <c r="AP1157" s="2" t="s">
        <v>6301</v>
      </c>
      <c r="AQ1157" s="2" t="s">
        <v>74</v>
      </c>
      <c r="AR1157" s="2" t="s">
        <v>74</v>
      </c>
      <c r="AS1157" s="2" t="s">
        <v>74</v>
      </c>
      <c r="AT1157" s="2" t="s">
        <v>305</v>
      </c>
      <c r="AU1157" s="2">
        <v>2015</v>
      </c>
      <c r="AV1157" s="2">
        <v>69</v>
      </c>
      <c r="AW1157" s="2" t="s">
        <v>74</v>
      </c>
      <c r="AX1157" s="2" t="s">
        <v>74</v>
      </c>
      <c r="AY1157" s="2" t="s">
        <v>74</v>
      </c>
      <c r="AZ1157" s="2" t="s">
        <v>74</v>
      </c>
      <c r="BA1157" s="2" t="s">
        <v>74</v>
      </c>
      <c r="BB1157" s="2">
        <v>191</v>
      </c>
      <c r="BC1157" s="2">
        <v>195</v>
      </c>
      <c r="BD1157" s="2" t="s">
        <v>74</v>
      </c>
      <c r="BE1157" s="2" t="s">
        <v>6302</v>
      </c>
      <c r="BF1157" s="2" t="str">
        <f>HYPERLINK("http://dx.doi.org/10.1649/0010-065X-69.mo4.191","http://dx.doi.org/10.1649/0010-065X-69.mo4.191")</f>
        <v>http://dx.doi.org/10.1649/0010-065X-69.mo4.191</v>
      </c>
      <c r="BG1157" s="2" t="s">
        <v>74</v>
      </c>
      <c r="BH1157" s="2" t="s">
        <v>74</v>
      </c>
      <c r="BI1157" s="2" t="s">
        <v>74</v>
      </c>
      <c r="BJ1157" s="2" t="s">
        <v>74</v>
      </c>
      <c r="BK1157" s="2" t="s">
        <v>74</v>
      </c>
      <c r="BL1157" s="2" t="s">
        <v>74</v>
      </c>
      <c r="BM1157" s="2" t="s">
        <v>74</v>
      </c>
      <c r="BN1157" s="2" t="s">
        <v>74</v>
      </c>
      <c r="BO1157" s="2" t="s">
        <v>74</v>
      </c>
      <c r="BP1157" s="2" t="s">
        <v>74</v>
      </c>
      <c r="BQ1157" s="2" t="s">
        <v>74</v>
      </c>
      <c r="BR1157" s="2" t="s">
        <v>74</v>
      </c>
      <c r="BS1157" s="2" t="s">
        <v>6303</v>
      </c>
      <c r="BT1157" s="2" t="str">
        <f>HYPERLINK("https%3A%2F%2Fwww.webofscience.com%2Fwos%2Fwoscc%2Ffull-record%2FWOS:000370895200020","View Full Record in Web of Science")</f>
        <v>View Full Record in Web of Science</v>
      </c>
    </row>
    <row r="1158" spans="1:72" s="2" customFormat="1" x14ac:dyDescent="0.4">
      <c r="A1158" s="2" t="s">
        <v>72</v>
      </c>
      <c r="B1158" s="2" t="s">
        <v>7196</v>
      </c>
      <c r="C1158" s="2" t="s">
        <v>74</v>
      </c>
      <c r="D1158" s="2" t="s">
        <v>74</v>
      </c>
      <c r="E1158" s="2" t="s">
        <v>74</v>
      </c>
      <c r="F1158" s="2" t="s">
        <v>7197</v>
      </c>
      <c r="G1158" s="2" t="s">
        <v>74</v>
      </c>
      <c r="H1158" s="2" t="s">
        <v>74</v>
      </c>
      <c r="I1158" s="2" t="s">
        <v>7198</v>
      </c>
      <c r="J1158" s="2" t="s">
        <v>7199</v>
      </c>
      <c r="K1158" s="2" t="s">
        <v>74</v>
      </c>
      <c r="L1158" s="2" t="s">
        <v>74</v>
      </c>
      <c r="M1158" s="2" t="s">
        <v>74</v>
      </c>
      <c r="N1158" s="2" t="s">
        <v>74</v>
      </c>
      <c r="O1158" s="2" t="s">
        <v>74</v>
      </c>
      <c r="P1158" s="2" t="s">
        <v>74</v>
      </c>
      <c r="Q1158" s="2" t="s">
        <v>74</v>
      </c>
      <c r="R1158" s="2" t="s">
        <v>74</v>
      </c>
      <c r="S1158" s="2" t="s">
        <v>74</v>
      </c>
      <c r="T1158" s="2" t="s">
        <v>74</v>
      </c>
      <c r="U1158" s="2" t="s">
        <v>74</v>
      </c>
      <c r="V1158" s="5" t="s">
        <v>7200</v>
      </c>
      <c r="W1158" s="2" t="s">
        <v>74</v>
      </c>
      <c r="X1158" s="2" t="s">
        <v>74</v>
      </c>
      <c r="Y1158" s="2" t="s">
        <v>74</v>
      </c>
      <c r="Z1158" s="2" t="s">
        <v>74</v>
      </c>
      <c r="AA1158" s="2" t="s">
        <v>74</v>
      </c>
      <c r="AB1158" s="2" t="s">
        <v>7201</v>
      </c>
      <c r="AC1158" s="2" t="s">
        <v>74</v>
      </c>
      <c r="AD1158" s="2" t="s">
        <v>74</v>
      </c>
      <c r="AE1158" s="2" t="s">
        <v>74</v>
      </c>
      <c r="AF1158" s="2" t="s">
        <v>74</v>
      </c>
      <c r="AG1158" s="2" t="s">
        <v>74</v>
      </c>
      <c r="AH1158" s="2" t="s">
        <v>74</v>
      </c>
      <c r="AI1158" s="2" t="s">
        <v>74</v>
      </c>
      <c r="AJ1158" s="2" t="s">
        <v>74</v>
      </c>
      <c r="AK1158" s="2" t="s">
        <v>74</v>
      </c>
      <c r="AL1158" s="2" t="s">
        <v>74</v>
      </c>
      <c r="AM1158" s="2" t="s">
        <v>74</v>
      </c>
      <c r="AN1158" s="2" t="s">
        <v>74</v>
      </c>
      <c r="AO1158" s="2" t="s">
        <v>7202</v>
      </c>
      <c r="AP1158" s="2" t="s">
        <v>74</v>
      </c>
      <c r="AQ1158" s="2" t="s">
        <v>74</v>
      </c>
      <c r="AR1158" s="2" t="s">
        <v>74</v>
      </c>
      <c r="AS1158" s="2" t="s">
        <v>74</v>
      </c>
      <c r="AT1158" s="2" t="s">
        <v>7203</v>
      </c>
      <c r="AU1158" s="2">
        <v>2019</v>
      </c>
      <c r="AV1158" s="2">
        <v>13</v>
      </c>
      <c r="AW1158" s="2" t="s">
        <v>74</v>
      </c>
      <c r="AX1158" s="2" t="s">
        <v>74</v>
      </c>
      <c r="AY1158" s="2" t="s">
        <v>74</v>
      </c>
      <c r="AZ1158" s="2" t="s">
        <v>74</v>
      </c>
      <c r="BA1158" s="2" t="s">
        <v>74</v>
      </c>
      <c r="BB1158" s="2" t="s">
        <v>74</v>
      </c>
      <c r="BC1158" s="2" t="s">
        <v>74</v>
      </c>
      <c r="BD1158" s="2">
        <v>36</v>
      </c>
      <c r="BE1158" s="2" t="s">
        <v>7204</v>
      </c>
      <c r="BF1158" s="2" t="str">
        <f>HYPERLINK("http://dx.doi.org/10.3389/fnint.2019.00036","http://dx.doi.org/10.3389/fnint.2019.00036")</f>
        <v>http://dx.doi.org/10.3389/fnint.2019.00036</v>
      </c>
      <c r="BG1158" s="2" t="s">
        <v>74</v>
      </c>
      <c r="BH1158" s="2" t="s">
        <v>74</v>
      </c>
      <c r="BI1158" s="2" t="s">
        <v>74</v>
      </c>
      <c r="BJ1158" s="2" t="s">
        <v>74</v>
      </c>
      <c r="BK1158" s="2" t="s">
        <v>74</v>
      </c>
      <c r="BL1158" s="2" t="s">
        <v>74</v>
      </c>
      <c r="BM1158" s="2" t="s">
        <v>74</v>
      </c>
      <c r="BN1158" s="2">
        <v>31417374</v>
      </c>
      <c r="BO1158" s="2" t="s">
        <v>74</v>
      </c>
      <c r="BP1158" s="2" t="s">
        <v>74</v>
      </c>
      <c r="BQ1158" s="2" t="s">
        <v>74</v>
      </c>
      <c r="BR1158" s="2" t="s">
        <v>74</v>
      </c>
      <c r="BS1158" s="2" t="s">
        <v>7205</v>
      </c>
      <c r="BT1158" s="2" t="str">
        <f>HYPERLINK("https%3A%2F%2Fwww.webofscience.com%2Fwos%2Fwoscc%2Ffull-record%2FWOS:000478020400001","View Full Record in Web of Science")</f>
        <v>View Full Record in Web of Science</v>
      </c>
    </row>
    <row r="1159" spans="1:72" s="2" customFormat="1" x14ac:dyDescent="0.4">
      <c r="A1159" s="2" t="s">
        <v>72</v>
      </c>
      <c r="B1159" s="2" t="s">
        <v>8352</v>
      </c>
      <c r="C1159" s="2" t="s">
        <v>74</v>
      </c>
      <c r="D1159" s="2" t="s">
        <v>74</v>
      </c>
      <c r="E1159" s="2" t="s">
        <v>74</v>
      </c>
      <c r="F1159" s="2" t="s">
        <v>8353</v>
      </c>
      <c r="G1159" s="2" t="s">
        <v>74</v>
      </c>
      <c r="H1159" s="2" t="s">
        <v>74</v>
      </c>
      <c r="I1159" s="2" t="s">
        <v>8354</v>
      </c>
      <c r="J1159" s="2" t="s">
        <v>4836</v>
      </c>
      <c r="K1159" s="2" t="s">
        <v>74</v>
      </c>
      <c r="L1159" s="2" t="s">
        <v>74</v>
      </c>
      <c r="M1159" s="2" t="s">
        <v>74</v>
      </c>
      <c r="N1159" s="2" t="s">
        <v>74</v>
      </c>
      <c r="O1159" s="2" t="s">
        <v>74</v>
      </c>
      <c r="P1159" s="2" t="s">
        <v>74</v>
      </c>
      <c r="Q1159" s="2" t="s">
        <v>74</v>
      </c>
      <c r="R1159" s="2" t="s">
        <v>74</v>
      </c>
      <c r="S1159" s="2" t="s">
        <v>74</v>
      </c>
      <c r="T1159" s="2" t="s">
        <v>74</v>
      </c>
      <c r="U1159" s="2" t="s">
        <v>74</v>
      </c>
      <c r="V1159" s="5" t="s">
        <v>8355</v>
      </c>
      <c r="W1159" s="2" t="s">
        <v>74</v>
      </c>
      <c r="X1159" s="2" t="s">
        <v>74</v>
      </c>
      <c r="Y1159" s="2" t="s">
        <v>74</v>
      </c>
      <c r="Z1159" s="2" t="s">
        <v>74</v>
      </c>
      <c r="AA1159" s="2" t="s">
        <v>74</v>
      </c>
      <c r="AB1159" s="2" t="s">
        <v>74</v>
      </c>
      <c r="AC1159" s="2" t="s">
        <v>74</v>
      </c>
      <c r="AD1159" s="2" t="s">
        <v>74</v>
      </c>
      <c r="AE1159" s="2" t="s">
        <v>74</v>
      </c>
      <c r="AF1159" s="2" t="s">
        <v>74</v>
      </c>
      <c r="AG1159" s="2" t="s">
        <v>74</v>
      </c>
      <c r="AH1159" s="2" t="s">
        <v>74</v>
      </c>
      <c r="AI1159" s="2" t="s">
        <v>74</v>
      </c>
      <c r="AJ1159" s="2" t="s">
        <v>74</v>
      </c>
      <c r="AK1159" s="2" t="s">
        <v>74</v>
      </c>
      <c r="AL1159" s="2" t="s">
        <v>74</v>
      </c>
      <c r="AM1159" s="2" t="s">
        <v>74</v>
      </c>
      <c r="AN1159" s="2" t="s">
        <v>74</v>
      </c>
      <c r="AO1159" s="2" t="s">
        <v>4840</v>
      </c>
      <c r="AP1159" s="2" t="s">
        <v>74</v>
      </c>
      <c r="AQ1159" s="2" t="s">
        <v>74</v>
      </c>
      <c r="AR1159" s="2" t="s">
        <v>74</v>
      </c>
      <c r="AS1159" s="2" t="s">
        <v>74</v>
      </c>
      <c r="AT1159" s="2" t="s">
        <v>204</v>
      </c>
      <c r="AU1159" s="2">
        <v>2014</v>
      </c>
      <c r="AV1159" s="2">
        <v>64</v>
      </c>
      <c r="AW1159" s="2">
        <v>2</v>
      </c>
      <c r="AX1159" s="2" t="s">
        <v>74</v>
      </c>
      <c r="AY1159" s="2" t="s">
        <v>74</v>
      </c>
      <c r="AZ1159" s="2" t="s">
        <v>74</v>
      </c>
      <c r="BA1159" s="2" t="s">
        <v>74</v>
      </c>
      <c r="BB1159" s="2">
        <v>139</v>
      </c>
      <c r="BC1159" s="2">
        <v>167</v>
      </c>
      <c r="BD1159" s="2" t="s">
        <v>74</v>
      </c>
      <c r="BE1159" s="2" t="s">
        <v>74</v>
      </c>
      <c r="BF1159" s="2" t="s">
        <v>74</v>
      </c>
      <c r="BG1159" s="2" t="s">
        <v>74</v>
      </c>
      <c r="BH1159" s="2" t="s">
        <v>74</v>
      </c>
      <c r="BI1159" s="2" t="s">
        <v>74</v>
      </c>
      <c r="BJ1159" s="2" t="s">
        <v>74</v>
      </c>
      <c r="BK1159" s="2" t="s">
        <v>74</v>
      </c>
      <c r="BL1159" s="2" t="s">
        <v>74</v>
      </c>
      <c r="BM1159" s="2" t="s">
        <v>74</v>
      </c>
      <c r="BN1159" s="2" t="s">
        <v>74</v>
      </c>
      <c r="BO1159" s="2" t="s">
        <v>74</v>
      </c>
      <c r="BP1159" s="2" t="s">
        <v>74</v>
      </c>
      <c r="BQ1159" s="2" t="s">
        <v>74</v>
      </c>
      <c r="BR1159" s="2" t="s">
        <v>74</v>
      </c>
      <c r="BS1159" s="2" t="s">
        <v>8356</v>
      </c>
      <c r="BT1159" s="2" t="str">
        <f>HYPERLINK("https%3A%2F%2Fwww.webofscience.com%2Fwos%2Fwoscc%2Ffull-record%2FWOS:000341406400001","View Full Record in Web of Science")</f>
        <v>View Full Record in Web of Science</v>
      </c>
    </row>
    <row r="1160" spans="1:72" s="2" customFormat="1" x14ac:dyDescent="0.4">
      <c r="A1160" s="2" t="s">
        <v>72</v>
      </c>
      <c r="B1160" s="2" t="s">
        <v>7571</v>
      </c>
      <c r="C1160" s="2" t="s">
        <v>74</v>
      </c>
      <c r="D1160" s="2" t="s">
        <v>74</v>
      </c>
      <c r="E1160" s="2" t="s">
        <v>74</v>
      </c>
      <c r="F1160" s="2" t="s">
        <v>7572</v>
      </c>
      <c r="G1160" s="2" t="s">
        <v>74</v>
      </c>
      <c r="H1160" s="2" t="s">
        <v>74</v>
      </c>
      <c r="I1160" s="2" t="s">
        <v>7573</v>
      </c>
      <c r="J1160" s="2" t="s">
        <v>77</v>
      </c>
      <c r="K1160" s="2" t="s">
        <v>74</v>
      </c>
      <c r="L1160" s="2" t="s">
        <v>74</v>
      </c>
      <c r="M1160" s="2" t="s">
        <v>74</v>
      </c>
      <c r="N1160" s="2" t="s">
        <v>74</v>
      </c>
      <c r="O1160" s="2" t="s">
        <v>74</v>
      </c>
      <c r="P1160" s="2" t="s">
        <v>74</v>
      </c>
      <c r="Q1160" s="2" t="s">
        <v>74</v>
      </c>
      <c r="R1160" s="2" t="s">
        <v>74</v>
      </c>
      <c r="S1160" s="2" t="s">
        <v>74</v>
      </c>
      <c r="T1160" s="2" t="s">
        <v>74</v>
      </c>
      <c r="U1160" s="2" t="s">
        <v>74</v>
      </c>
      <c r="V1160" s="5" t="s">
        <v>7574</v>
      </c>
      <c r="W1160" s="2" t="s">
        <v>74</v>
      </c>
      <c r="X1160" s="2" t="s">
        <v>74</v>
      </c>
      <c r="Y1160" s="2" t="s">
        <v>74</v>
      </c>
      <c r="Z1160" s="2" t="s">
        <v>74</v>
      </c>
      <c r="AA1160" s="2" t="s">
        <v>74</v>
      </c>
      <c r="AB1160" s="2" t="s">
        <v>7575</v>
      </c>
      <c r="AC1160" s="2" t="s">
        <v>74</v>
      </c>
      <c r="AD1160" s="2" t="s">
        <v>74</v>
      </c>
      <c r="AE1160" s="2" t="s">
        <v>74</v>
      </c>
      <c r="AF1160" s="2" t="s">
        <v>74</v>
      </c>
      <c r="AG1160" s="2" t="s">
        <v>74</v>
      </c>
      <c r="AH1160" s="2" t="s">
        <v>74</v>
      </c>
      <c r="AI1160" s="2" t="s">
        <v>74</v>
      </c>
      <c r="AJ1160" s="2" t="s">
        <v>74</v>
      </c>
      <c r="AK1160" s="2" t="s">
        <v>74</v>
      </c>
      <c r="AL1160" s="2" t="s">
        <v>74</v>
      </c>
      <c r="AM1160" s="2" t="s">
        <v>74</v>
      </c>
      <c r="AN1160" s="2" t="s">
        <v>74</v>
      </c>
      <c r="AO1160" s="2" t="s">
        <v>81</v>
      </c>
      <c r="AP1160" s="2" t="s">
        <v>82</v>
      </c>
      <c r="AQ1160" s="2" t="s">
        <v>74</v>
      </c>
      <c r="AR1160" s="2" t="s">
        <v>74</v>
      </c>
      <c r="AS1160" s="2" t="s">
        <v>74</v>
      </c>
      <c r="AT1160" s="2" t="s">
        <v>255</v>
      </c>
      <c r="AU1160" s="2">
        <v>2019</v>
      </c>
      <c r="AV1160" s="2">
        <v>156</v>
      </c>
      <c r="AW1160" s="2">
        <v>2</v>
      </c>
      <c r="AX1160" s="2" t="s">
        <v>74</v>
      </c>
      <c r="AY1160" s="2" t="s">
        <v>74</v>
      </c>
      <c r="AZ1160" s="2" t="s">
        <v>74</v>
      </c>
      <c r="BA1160" s="2" t="s">
        <v>74</v>
      </c>
      <c r="BB1160" s="2">
        <v>131</v>
      </c>
      <c r="BC1160" s="2">
        <v>153</v>
      </c>
      <c r="BD1160" s="2" t="s">
        <v>74</v>
      </c>
      <c r="BE1160" s="2" t="s">
        <v>7576</v>
      </c>
      <c r="BF1160" s="2" t="str">
        <f>HYPERLINK("http://dx.doi.org/10.1163/1568539X-00003533","http://dx.doi.org/10.1163/1568539X-00003533")</f>
        <v>http://dx.doi.org/10.1163/1568539X-00003533</v>
      </c>
      <c r="BG1160" s="2" t="s">
        <v>74</v>
      </c>
      <c r="BH1160" s="2" t="s">
        <v>74</v>
      </c>
      <c r="BI1160" s="2" t="s">
        <v>74</v>
      </c>
      <c r="BJ1160" s="2" t="s">
        <v>74</v>
      </c>
      <c r="BK1160" s="2" t="s">
        <v>74</v>
      </c>
      <c r="BL1160" s="2" t="s">
        <v>74</v>
      </c>
      <c r="BM1160" s="2" t="s">
        <v>74</v>
      </c>
      <c r="BN1160" s="2" t="s">
        <v>74</v>
      </c>
      <c r="BO1160" s="2" t="s">
        <v>74</v>
      </c>
      <c r="BP1160" s="2" t="s">
        <v>74</v>
      </c>
      <c r="BQ1160" s="2" t="s">
        <v>74</v>
      </c>
      <c r="BR1160" s="2" t="s">
        <v>74</v>
      </c>
      <c r="BS1160" s="2" t="s">
        <v>7577</v>
      </c>
      <c r="BT1160" s="2" t="str">
        <f>HYPERLINK("https%3A%2F%2Fwww.webofscience.com%2Fwos%2Fwoscc%2Ffull-record%2FWOS:000457844100002","View Full Record in Web of Science")</f>
        <v>View Full Record in Web of Science</v>
      </c>
    </row>
    <row r="1161" spans="1:72" s="2" customFormat="1" x14ac:dyDescent="0.4">
      <c r="A1161" s="2" t="s">
        <v>72</v>
      </c>
      <c r="B1161" s="2" t="s">
        <v>6843</v>
      </c>
      <c r="C1161" s="2" t="s">
        <v>74</v>
      </c>
      <c r="D1161" s="2" t="s">
        <v>74</v>
      </c>
      <c r="E1161" s="2" t="s">
        <v>74</v>
      </c>
      <c r="F1161" s="2" t="s">
        <v>6844</v>
      </c>
      <c r="G1161" s="2" t="s">
        <v>74</v>
      </c>
      <c r="H1161" s="2" t="s">
        <v>74</v>
      </c>
      <c r="I1161" s="2" t="s">
        <v>6845</v>
      </c>
      <c r="J1161" s="2" t="s">
        <v>5684</v>
      </c>
      <c r="K1161" s="2" t="s">
        <v>74</v>
      </c>
      <c r="L1161" s="2" t="s">
        <v>74</v>
      </c>
      <c r="M1161" s="2" t="s">
        <v>74</v>
      </c>
      <c r="N1161" s="2" t="s">
        <v>74</v>
      </c>
      <c r="O1161" s="2" t="s">
        <v>74</v>
      </c>
      <c r="P1161" s="2" t="s">
        <v>74</v>
      </c>
      <c r="Q1161" s="2" t="s">
        <v>74</v>
      </c>
      <c r="R1161" s="2" t="s">
        <v>74</v>
      </c>
      <c r="S1161" s="2" t="s">
        <v>74</v>
      </c>
      <c r="T1161" s="2" t="s">
        <v>74</v>
      </c>
      <c r="U1161" s="2" t="s">
        <v>74</v>
      </c>
      <c r="V1161" s="5" t="s">
        <v>6846</v>
      </c>
      <c r="W1161" s="2" t="s">
        <v>74</v>
      </c>
      <c r="X1161" s="2" t="s">
        <v>74</v>
      </c>
      <c r="Y1161" s="2" t="s">
        <v>74</v>
      </c>
      <c r="Z1161" s="2" t="s">
        <v>74</v>
      </c>
      <c r="AA1161" s="2" t="s">
        <v>74</v>
      </c>
      <c r="AB1161" s="2" t="s">
        <v>74</v>
      </c>
      <c r="AC1161" s="2" t="s">
        <v>74</v>
      </c>
      <c r="AD1161" s="2" t="s">
        <v>74</v>
      </c>
      <c r="AE1161" s="2" t="s">
        <v>74</v>
      </c>
      <c r="AF1161" s="2" t="s">
        <v>74</v>
      </c>
      <c r="AG1161" s="2" t="s">
        <v>74</v>
      </c>
      <c r="AH1161" s="2" t="s">
        <v>74</v>
      </c>
      <c r="AI1161" s="2" t="s">
        <v>74</v>
      </c>
      <c r="AJ1161" s="2" t="s">
        <v>74</v>
      </c>
      <c r="AK1161" s="2" t="s">
        <v>74</v>
      </c>
      <c r="AL1161" s="2" t="s">
        <v>74</v>
      </c>
      <c r="AM1161" s="2" t="s">
        <v>74</v>
      </c>
      <c r="AN1161" s="2" t="s">
        <v>74</v>
      </c>
      <c r="AO1161" s="2" t="s">
        <v>5688</v>
      </c>
      <c r="AP1161" s="2" t="s">
        <v>5689</v>
      </c>
      <c r="AQ1161" s="2" t="s">
        <v>74</v>
      </c>
      <c r="AR1161" s="2" t="s">
        <v>74</v>
      </c>
      <c r="AS1161" s="2" t="s">
        <v>74</v>
      </c>
      <c r="AT1161" s="2" t="s">
        <v>964</v>
      </c>
      <c r="AU1161" s="2">
        <v>2011</v>
      </c>
      <c r="AV1161" s="2">
        <v>67</v>
      </c>
      <c r="AW1161" s="2">
        <v>2</v>
      </c>
      <c r="AX1161" s="2" t="s">
        <v>74</v>
      </c>
      <c r="AY1161" s="2" t="s">
        <v>74</v>
      </c>
      <c r="AZ1161" s="2" t="s">
        <v>74</v>
      </c>
      <c r="BA1161" s="2" t="s">
        <v>74</v>
      </c>
      <c r="BB1161" s="2">
        <v>162</v>
      </c>
      <c r="BC1161" s="2">
        <v>169</v>
      </c>
      <c r="BD1161" s="2" t="s">
        <v>74</v>
      </c>
      <c r="BE1161" s="2" t="s">
        <v>6847</v>
      </c>
      <c r="BF1161" s="2" t="str">
        <f>HYPERLINK("http://dx.doi.org/10.1002/ps.2045","http://dx.doi.org/10.1002/ps.2045")</f>
        <v>http://dx.doi.org/10.1002/ps.2045</v>
      </c>
      <c r="BG1161" s="2" t="s">
        <v>74</v>
      </c>
      <c r="BH1161" s="2" t="s">
        <v>74</v>
      </c>
      <c r="BI1161" s="2" t="s">
        <v>74</v>
      </c>
      <c r="BJ1161" s="2" t="s">
        <v>74</v>
      </c>
      <c r="BK1161" s="2" t="s">
        <v>74</v>
      </c>
      <c r="BL1161" s="2" t="s">
        <v>74</v>
      </c>
      <c r="BM1161" s="2" t="s">
        <v>74</v>
      </c>
      <c r="BN1161" s="2">
        <v>20981740</v>
      </c>
      <c r="BO1161" s="2" t="s">
        <v>74</v>
      </c>
      <c r="BP1161" s="2" t="s">
        <v>74</v>
      </c>
      <c r="BQ1161" s="2" t="s">
        <v>74</v>
      </c>
      <c r="BR1161" s="2" t="s">
        <v>74</v>
      </c>
      <c r="BS1161" s="2" t="s">
        <v>6848</v>
      </c>
      <c r="BT1161" s="2" t="str">
        <f>HYPERLINK("https%3A%2F%2Fwww.webofscience.com%2Fwos%2Fwoscc%2Ffull-record%2FWOS:000286071200005","View Full Record in Web of Science")</f>
        <v>View Full Record in Web of Science</v>
      </c>
    </row>
    <row r="1162" spans="1:72" s="2" customFormat="1" x14ac:dyDescent="0.4">
      <c r="A1162" s="2" t="s">
        <v>72</v>
      </c>
      <c r="B1162" s="2" t="s">
        <v>7665</v>
      </c>
      <c r="C1162" s="2" t="s">
        <v>74</v>
      </c>
      <c r="D1162" s="2" t="s">
        <v>74</v>
      </c>
      <c r="E1162" s="2" t="s">
        <v>74</v>
      </c>
      <c r="F1162" s="2" t="s">
        <v>7666</v>
      </c>
      <c r="G1162" s="2" t="s">
        <v>74</v>
      </c>
      <c r="H1162" s="2" t="s">
        <v>74</v>
      </c>
      <c r="I1162" s="2" t="s">
        <v>7667</v>
      </c>
      <c r="J1162" s="2" t="s">
        <v>5937</v>
      </c>
      <c r="K1162" s="2" t="s">
        <v>74</v>
      </c>
      <c r="L1162" s="2" t="s">
        <v>74</v>
      </c>
      <c r="M1162" s="2" t="s">
        <v>74</v>
      </c>
      <c r="N1162" s="2" t="s">
        <v>74</v>
      </c>
      <c r="O1162" s="2" t="s">
        <v>74</v>
      </c>
      <c r="P1162" s="2" t="s">
        <v>74</v>
      </c>
      <c r="Q1162" s="2" t="s">
        <v>74</v>
      </c>
      <c r="R1162" s="2" t="s">
        <v>74</v>
      </c>
      <c r="S1162" s="2" t="s">
        <v>74</v>
      </c>
      <c r="T1162" s="2" t="s">
        <v>74</v>
      </c>
      <c r="U1162" s="2" t="s">
        <v>74</v>
      </c>
      <c r="V1162" s="5" t="s">
        <v>7668</v>
      </c>
      <c r="W1162" s="2" t="s">
        <v>74</v>
      </c>
      <c r="X1162" s="2" t="s">
        <v>74</v>
      </c>
      <c r="Y1162" s="2" t="s">
        <v>74</v>
      </c>
      <c r="Z1162" s="2" t="s">
        <v>74</v>
      </c>
      <c r="AA1162" s="2" t="s">
        <v>7669</v>
      </c>
      <c r="AB1162" s="2" t="s">
        <v>7670</v>
      </c>
      <c r="AC1162" s="2" t="s">
        <v>74</v>
      </c>
      <c r="AD1162" s="2" t="s">
        <v>74</v>
      </c>
      <c r="AE1162" s="2" t="s">
        <v>74</v>
      </c>
      <c r="AF1162" s="2" t="s">
        <v>74</v>
      </c>
      <c r="AG1162" s="2" t="s">
        <v>74</v>
      </c>
      <c r="AH1162" s="2" t="s">
        <v>74</v>
      </c>
      <c r="AI1162" s="2" t="s">
        <v>74</v>
      </c>
      <c r="AJ1162" s="2" t="s">
        <v>74</v>
      </c>
      <c r="AK1162" s="2" t="s">
        <v>74</v>
      </c>
      <c r="AL1162" s="2" t="s">
        <v>74</v>
      </c>
      <c r="AM1162" s="2" t="s">
        <v>74</v>
      </c>
      <c r="AN1162" s="2" t="s">
        <v>74</v>
      </c>
      <c r="AO1162" s="2" t="s">
        <v>5941</v>
      </c>
      <c r="AP1162" s="2" t="s">
        <v>74</v>
      </c>
      <c r="AQ1162" s="2" t="s">
        <v>74</v>
      </c>
      <c r="AR1162" s="2" t="s">
        <v>74</v>
      </c>
      <c r="AS1162" s="2" t="s">
        <v>74</v>
      </c>
      <c r="AT1162" s="2" t="s">
        <v>964</v>
      </c>
      <c r="AU1162" s="2">
        <v>2023</v>
      </c>
      <c r="AV1162" s="2">
        <v>13</v>
      </c>
      <c r="AW1162" s="2">
        <v>4</v>
      </c>
      <c r="AX1162" s="2" t="s">
        <v>74</v>
      </c>
      <c r="AY1162" s="2" t="s">
        <v>74</v>
      </c>
      <c r="AZ1162" s="2" t="s">
        <v>74</v>
      </c>
      <c r="BA1162" s="2" t="s">
        <v>74</v>
      </c>
      <c r="BB1162" s="2" t="s">
        <v>74</v>
      </c>
      <c r="BC1162" s="2" t="s">
        <v>74</v>
      </c>
      <c r="BD1162" s="2">
        <v>753</v>
      </c>
      <c r="BE1162" s="2" t="s">
        <v>7671</v>
      </c>
      <c r="BF1162" s="2" t="str">
        <f>HYPERLINK("http://dx.doi.org/10.3390/ani13040753","http://dx.doi.org/10.3390/ani13040753")</f>
        <v>http://dx.doi.org/10.3390/ani13040753</v>
      </c>
      <c r="BG1162" s="2" t="s">
        <v>74</v>
      </c>
      <c r="BH1162" s="2" t="s">
        <v>74</v>
      </c>
      <c r="BI1162" s="2" t="s">
        <v>74</v>
      </c>
      <c r="BJ1162" s="2" t="s">
        <v>74</v>
      </c>
      <c r="BK1162" s="2" t="s">
        <v>74</v>
      </c>
      <c r="BL1162" s="2" t="s">
        <v>74</v>
      </c>
      <c r="BM1162" s="2" t="s">
        <v>74</v>
      </c>
      <c r="BN1162" s="2">
        <v>36830540</v>
      </c>
      <c r="BO1162" s="2" t="s">
        <v>74</v>
      </c>
      <c r="BP1162" s="2" t="s">
        <v>74</v>
      </c>
      <c r="BQ1162" s="2" t="s">
        <v>74</v>
      </c>
      <c r="BR1162" s="2" t="s">
        <v>74</v>
      </c>
      <c r="BS1162" s="2" t="s">
        <v>7672</v>
      </c>
      <c r="BT1162" s="2" t="str">
        <f>HYPERLINK("https%3A%2F%2Fwww.webofscience.com%2Fwos%2Fwoscc%2Ffull-record%2FWOS:000938298300001","View Full Record in Web of Science")</f>
        <v>View Full Record in Web of Science</v>
      </c>
    </row>
    <row r="1163" spans="1:72" s="1" customFormat="1" x14ac:dyDescent="0.4">
      <c r="A1163" s="2" t="s">
        <v>72</v>
      </c>
      <c r="B1163" s="2" t="s">
        <v>137</v>
      </c>
      <c r="C1163" s="2" t="s">
        <v>74</v>
      </c>
      <c r="D1163" s="2" t="s">
        <v>74</v>
      </c>
      <c r="E1163" s="2" t="s">
        <v>74</v>
      </c>
      <c r="F1163" s="2" t="s">
        <v>138</v>
      </c>
      <c r="G1163" s="2" t="s">
        <v>74</v>
      </c>
      <c r="H1163" s="2" t="s">
        <v>74</v>
      </c>
      <c r="I1163" s="2" t="s">
        <v>139</v>
      </c>
      <c r="J1163" s="2" t="s">
        <v>140</v>
      </c>
      <c r="K1163" s="2" t="s">
        <v>74</v>
      </c>
      <c r="L1163" s="2" t="s">
        <v>74</v>
      </c>
      <c r="M1163" s="2" t="s">
        <v>74</v>
      </c>
      <c r="N1163" s="2" t="s">
        <v>74</v>
      </c>
      <c r="O1163" s="2" t="s">
        <v>74</v>
      </c>
      <c r="P1163" s="2" t="s">
        <v>74</v>
      </c>
      <c r="Q1163" s="2" t="s">
        <v>74</v>
      </c>
      <c r="R1163" s="2" t="s">
        <v>74</v>
      </c>
      <c r="S1163" s="2" t="s">
        <v>74</v>
      </c>
      <c r="T1163" s="2" t="s">
        <v>74</v>
      </c>
      <c r="U1163" s="2" t="s">
        <v>74</v>
      </c>
      <c r="V1163" s="5" t="s">
        <v>141</v>
      </c>
      <c r="W1163" s="2" t="s">
        <v>74</v>
      </c>
      <c r="X1163" s="2" t="s">
        <v>74</v>
      </c>
      <c r="Y1163" s="2" t="s">
        <v>74</v>
      </c>
      <c r="Z1163" s="2" t="s">
        <v>74</v>
      </c>
      <c r="AA1163" s="2" t="s">
        <v>74</v>
      </c>
      <c r="AB1163" s="2" t="s">
        <v>142</v>
      </c>
      <c r="AC1163" s="2" t="s">
        <v>74</v>
      </c>
      <c r="AD1163" s="2" t="s">
        <v>74</v>
      </c>
      <c r="AE1163" s="2" t="s">
        <v>74</v>
      </c>
      <c r="AF1163" s="2" t="s">
        <v>74</v>
      </c>
      <c r="AG1163" s="2" t="s">
        <v>74</v>
      </c>
      <c r="AH1163" s="2" t="s">
        <v>74</v>
      </c>
      <c r="AI1163" s="2" t="s">
        <v>74</v>
      </c>
      <c r="AJ1163" s="2" t="s">
        <v>74</v>
      </c>
      <c r="AK1163" s="2" t="s">
        <v>74</v>
      </c>
      <c r="AL1163" s="2" t="s">
        <v>74</v>
      </c>
      <c r="AM1163" s="2" t="s">
        <v>74</v>
      </c>
      <c r="AN1163" s="2" t="s">
        <v>74</v>
      </c>
      <c r="AO1163" s="2" t="s">
        <v>143</v>
      </c>
      <c r="AP1163" s="2" t="s">
        <v>144</v>
      </c>
      <c r="AQ1163" s="2" t="s">
        <v>74</v>
      </c>
      <c r="AR1163" s="2" t="s">
        <v>74</v>
      </c>
      <c r="AS1163" s="2" t="s">
        <v>74</v>
      </c>
      <c r="AT1163" s="2" t="s">
        <v>145</v>
      </c>
      <c r="AU1163" s="2">
        <v>2015</v>
      </c>
      <c r="AV1163" s="2">
        <v>106</v>
      </c>
      <c r="AW1163" s="2" t="s">
        <v>74</v>
      </c>
      <c r="AX1163" s="2" t="s">
        <v>74</v>
      </c>
      <c r="AY1163" s="2" t="s">
        <v>74</v>
      </c>
      <c r="AZ1163" s="2" t="s">
        <v>74</v>
      </c>
      <c r="BA1163" s="2" t="s">
        <v>74</v>
      </c>
      <c r="BB1163" s="2">
        <v>171</v>
      </c>
      <c r="BC1163" s="2">
        <v>179</v>
      </c>
      <c r="BD1163" s="2" t="s">
        <v>74</v>
      </c>
      <c r="BE1163" s="2" t="s">
        <v>146</v>
      </c>
      <c r="BF1163" s="2" t="str">
        <f>HYPERLINK("http://dx.doi.org/10.1016/j.anbehav.2015.05.016","http://dx.doi.org/10.1016/j.anbehav.2015.05.016")</f>
        <v>http://dx.doi.org/10.1016/j.anbehav.2015.05.016</v>
      </c>
      <c r="BG1163" s="2" t="s">
        <v>74</v>
      </c>
      <c r="BH1163" s="2" t="s">
        <v>74</v>
      </c>
      <c r="BI1163" s="2" t="s">
        <v>74</v>
      </c>
      <c r="BJ1163" s="2" t="s">
        <v>74</v>
      </c>
      <c r="BK1163" s="2" t="s">
        <v>74</v>
      </c>
      <c r="BL1163" s="2" t="s">
        <v>74</v>
      </c>
      <c r="BM1163" s="2" t="s">
        <v>74</v>
      </c>
      <c r="BN1163" s="2" t="s">
        <v>74</v>
      </c>
      <c r="BO1163" s="2" t="s">
        <v>74</v>
      </c>
      <c r="BP1163" s="2" t="s">
        <v>74</v>
      </c>
      <c r="BQ1163" s="2" t="s">
        <v>74</v>
      </c>
      <c r="BR1163" s="2" t="s">
        <v>74</v>
      </c>
      <c r="BS1163" s="2" t="s">
        <v>147</v>
      </c>
      <c r="BT1163" s="2" t="str">
        <f>HYPERLINK("https%3A%2F%2Fwww.webofscience.com%2Fwos%2Fwoscc%2Ffull-record%2FWOS:000358315700022","View Full Record in Web of Science")</f>
        <v>View Full Record in Web of Science</v>
      </c>
    </row>
  </sheetData>
  <sortState xmlns:xlrd2="http://schemas.microsoft.com/office/spreadsheetml/2017/richdata2" ref="A2:BT1163">
    <sortCondition sortBy="cellColor" ref="F2:F1163" dxfId="1"/>
    <sortCondition descending="1" sortBy="cellColor" ref="F2:F1163" dxfId="0"/>
  </sortState>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4CEE0-A15A-4D69-A3A4-DFACC8EFB335}">
  <dimension ref="A1:LB1163"/>
  <sheetViews>
    <sheetView topLeftCell="F1" zoomScaleNormal="100" workbookViewId="0">
      <selection activeCell="F69" sqref="F69:F102"/>
    </sheetView>
  </sheetViews>
  <sheetFormatPr defaultRowHeight="15" x14ac:dyDescent="0.4"/>
  <cols>
    <col min="1" max="5" width="0" hidden="1" customWidth="1"/>
    <col min="6" max="6" width="19.06640625" customWidth="1"/>
    <col min="7" max="8" width="0" hidden="1" customWidth="1"/>
    <col min="9" max="9" width="245.73046875" bestFit="1" customWidth="1"/>
    <col min="11" max="21" width="0" hidden="1" customWidth="1"/>
    <col min="22" max="22" width="255.59765625" style="3" bestFit="1" customWidth="1"/>
    <col min="23" max="45" width="0" hidden="1" customWidth="1"/>
    <col min="59" max="73" width="0" hidden="1" customWidth="1"/>
  </cols>
  <sheetData>
    <row r="1" spans="1:314"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3"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spans="1:314" s="7" customFormat="1" x14ac:dyDescent="0.4">
      <c r="A2" s="1" t="s">
        <v>72</v>
      </c>
      <c r="B2" s="1" t="s">
        <v>3477</v>
      </c>
      <c r="C2" s="1" t="s">
        <v>74</v>
      </c>
      <c r="D2" s="1" t="s">
        <v>74</v>
      </c>
      <c r="E2" s="1" t="s">
        <v>74</v>
      </c>
      <c r="F2" s="1" t="s">
        <v>3477</v>
      </c>
      <c r="G2" s="1" t="s">
        <v>74</v>
      </c>
      <c r="H2" s="1" t="s">
        <v>74</v>
      </c>
      <c r="I2" s="1" t="s">
        <v>3478</v>
      </c>
      <c r="J2" s="1" t="s">
        <v>77</v>
      </c>
      <c r="K2" s="1" t="s">
        <v>74</v>
      </c>
      <c r="L2" s="1" t="s">
        <v>74</v>
      </c>
      <c r="M2" s="1" t="s">
        <v>74</v>
      </c>
      <c r="N2" s="1" t="s">
        <v>74</v>
      </c>
      <c r="O2" s="1" t="s">
        <v>74</v>
      </c>
      <c r="P2" s="1" t="s">
        <v>74</v>
      </c>
      <c r="Q2" s="1" t="s">
        <v>74</v>
      </c>
      <c r="R2" s="1" t="s">
        <v>74</v>
      </c>
      <c r="S2" s="1" t="s">
        <v>74</v>
      </c>
      <c r="T2" s="1" t="s">
        <v>74</v>
      </c>
      <c r="U2" s="1" t="s">
        <v>74</v>
      </c>
      <c r="V2" s="4" t="s">
        <v>3479</v>
      </c>
      <c r="W2" s="1" t="s">
        <v>74</v>
      </c>
      <c r="X2" s="1" t="s">
        <v>74</v>
      </c>
      <c r="Y2" s="1" t="s">
        <v>74</v>
      </c>
      <c r="Z2" s="1" t="s">
        <v>74</v>
      </c>
      <c r="AA2" s="1" t="s">
        <v>74</v>
      </c>
      <c r="AB2" s="1" t="s">
        <v>1774</v>
      </c>
      <c r="AC2" s="1" t="s">
        <v>74</v>
      </c>
      <c r="AD2" s="1" t="s">
        <v>74</v>
      </c>
      <c r="AE2" s="1" t="s">
        <v>74</v>
      </c>
      <c r="AF2" s="1" t="s">
        <v>74</v>
      </c>
      <c r="AG2" s="1" t="s">
        <v>74</v>
      </c>
      <c r="AH2" s="1" t="s">
        <v>74</v>
      </c>
      <c r="AI2" s="1" t="s">
        <v>74</v>
      </c>
      <c r="AJ2" s="1" t="s">
        <v>74</v>
      </c>
      <c r="AK2" s="1" t="s">
        <v>74</v>
      </c>
      <c r="AL2" s="1" t="s">
        <v>74</v>
      </c>
      <c r="AM2" s="1" t="s">
        <v>74</v>
      </c>
      <c r="AN2" s="1" t="s">
        <v>74</v>
      </c>
      <c r="AO2" s="1" t="s">
        <v>81</v>
      </c>
      <c r="AP2" s="1" t="s">
        <v>74</v>
      </c>
      <c r="AQ2" s="1" t="s">
        <v>74</v>
      </c>
      <c r="AR2" s="1" t="s">
        <v>74</v>
      </c>
      <c r="AS2" s="1" t="s">
        <v>74</v>
      </c>
      <c r="AT2" s="1" t="s">
        <v>305</v>
      </c>
      <c r="AU2" s="1">
        <v>1996</v>
      </c>
      <c r="AV2" s="1">
        <v>133</v>
      </c>
      <c r="AW2" s="1" t="s">
        <v>74</v>
      </c>
      <c r="AX2" s="1" t="s">
        <v>3480</v>
      </c>
      <c r="AY2" s="1" t="s">
        <v>74</v>
      </c>
      <c r="AZ2" s="1" t="s">
        <v>74</v>
      </c>
      <c r="BA2" s="1" t="s">
        <v>74</v>
      </c>
      <c r="BB2" s="1">
        <v>1265</v>
      </c>
      <c r="BC2" s="1">
        <v>1279</v>
      </c>
      <c r="BD2" s="1" t="s">
        <v>74</v>
      </c>
      <c r="BE2" s="1" t="s">
        <v>3481</v>
      </c>
      <c r="BF2" s="1" t="str">
        <f>HYPERLINK("http://dx.doi.org/10.1163/156853996X00396","http://dx.doi.org/10.1163/156853996X00396")</f>
        <v>http://dx.doi.org/10.1163/156853996X00396</v>
      </c>
      <c r="BG2" s="1" t="s">
        <v>74</v>
      </c>
      <c r="BH2" s="1" t="s">
        <v>74</v>
      </c>
      <c r="BI2" s="1" t="s">
        <v>74</v>
      </c>
      <c r="BJ2" s="1" t="s">
        <v>74</v>
      </c>
      <c r="BK2" s="1" t="s">
        <v>74</v>
      </c>
      <c r="BL2" s="1" t="s">
        <v>74</v>
      </c>
      <c r="BM2" s="1" t="s">
        <v>74</v>
      </c>
      <c r="BN2" s="1" t="s">
        <v>74</v>
      </c>
      <c r="BO2" s="1" t="s">
        <v>74</v>
      </c>
      <c r="BP2" s="1" t="s">
        <v>74</v>
      </c>
      <c r="BQ2" s="1" t="s">
        <v>74</v>
      </c>
      <c r="BR2" s="1" t="s">
        <v>74</v>
      </c>
      <c r="BS2" s="1" t="s">
        <v>3482</v>
      </c>
      <c r="BT2" s="1" t="str">
        <f>HYPERLINK("https%3A%2F%2Fwww.webofscience.com%2Fwos%2Fwoscc%2Ffull-record%2FWOS:A1996WF81400008","View Full Record in Web of Science")</f>
        <v>View Full Record in Web of Science</v>
      </c>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row>
    <row r="3" spans="1:314" s="2" customFormat="1" x14ac:dyDescent="0.4">
      <c r="A3" s="1" t="s">
        <v>72</v>
      </c>
      <c r="B3" s="1" t="s">
        <v>1585</v>
      </c>
      <c r="C3" s="1" t="s">
        <v>74</v>
      </c>
      <c r="D3" s="1" t="s">
        <v>74</v>
      </c>
      <c r="E3" s="1" t="s">
        <v>74</v>
      </c>
      <c r="F3" s="1" t="s">
        <v>1586</v>
      </c>
      <c r="G3" s="1" t="s">
        <v>74</v>
      </c>
      <c r="H3" s="1" t="s">
        <v>74</v>
      </c>
      <c r="I3" s="1" t="s">
        <v>1587</v>
      </c>
      <c r="J3" s="1" t="s">
        <v>775</v>
      </c>
      <c r="K3" s="1" t="s">
        <v>74</v>
      </c>
      <c r="L3" s="1" t="s">
        <v>74</v>
      </c>
      <c r="M3" s="1" t="s">
        <v>74</v>
      </c>
      <c r="N3" s="1" t="s">
        <v>74</v>
      </c>
      <c r="O3" s="1" t="s">
        <v>74</v>
      </c>
      <c r="P3" s="1" t="s">
        <v>74</v>
      </c>
      <c r="Q3" s="1" t="s">
        <v>74</v>
      </c>
      <c r="R3" s="1" t="s">
        <v>74</v>
      </c>
      <c r="S3" s="1" t="s">
        <v>74</v>
      </c>
      <c r="T3" s="1" t="s">
        <v>74</v>
      </c>
      <c r="U3" s="1" t="s">
        <v>74</v>
      </c>
      <c r="V3" s="4" t="s">
        <v>1588</v>
      </c>
      <c r="W3" s="1" t="s">
        <v>74</v>
      </c>
      <c r="X3" s="1" t="s">
        <v>74</v>
      </c>
      <c r="Y3" s="1" t="s">
        <v>74</v>
      </c>
      <c r="Z3" s="1" t="s">
        <v>74</v>
      </c>
      <c r="AA3" s="1" t="s">
        <v>1589</v>
      </c>
      <c r="AB3" s="1" t="s">
        <v>1590</v>
      </c>
      <c r="AC3" s="1" t="s">
        <v>74</v>
      </c>
      <c r="AD3" s="1" t="s">
        <v>74</v>
      </c>
      <c r="AE3" s="1" t="s">
        <v>74</v>
      </c>
      <c r="AF3" s="1" t="s">
        <v>74</v>
      </c>
      <c r="AG3" s="1" t="s">
        <v>74</v>
      </c>
      <c r="AH3" s="1" t="s">
        <v>74</v>
      </c>
      <c r="AI3" s="1" t="s">
        <v>74</v>
      </c>
      <c r="AJ3" s="1" t="s">
        <v>74</v>
      </c>
      <c r="AK3" s="1" t="s">
        <v>74</v>
      </c>
      <c r="AL3" s="1" t="s">
        <v>74</v>
      </c>
      <c r="AM3" s="1" t="s">
        <v>74</v>
      </c>
      <c r="AN3" s="1" t="s">
        <v>74</v>
      </c>
      <c r="AO3" s="1" t="s">
        <v>778</v>
      </c>
      <c r="AP3" s="1" t="s">
        <v>779</v>
      </c>
      <c r="AQ3" s="1" t="s">
        <v>74</v>
      </c>
      <c r="AR3" s="1" t="s">
        <v>74</v>
      </c>
      <c r="AS3" s="1" t="s">
        <v>74</v>
      </c>
      <c r="AT3" s="1" t="s">
        <v>964</v>
      </c>
      <c r="AU3" s="1">
        <v>2017</v>
      </c>
      <c r="AV3" s="1">
        <v>63</v>
      </c>
      <c r="AW3" s="1">
        <v>1</v>
      </c>
      <c r="AX3" s="1" t="s">
        <v>74</v>
      </c>
      <c r="AY3" s="1" t="s">
        <v>74</v>
      </c>
      <c r="AZ3" s="1" t="s">
        <v>74</v>
      </c>
      <c r="BA3" s="1" t="s">
        <v>74</v>
      </c>
      <c r="BB3" s="1">
        <v>45</v>
      </c>
      <c r="BC3" s="1">
        <v>54</v>
      </c>
      <c r="BD3" s="1" t="s">
        <v>74</v>
      </c>
      <c r="BE3" s="1" t="s">
        <v>1591</v>
      </c>
      <c r="BF3" s="1" t="str">
        <f>HYPERLINK("http://dx.doi.org/10.1093/cz/zow086","http://dx.doi.org/10.1093/cz/zow086")</f>
        <v>http://dx.doi.org/10.1093/cz/zow086</v>
      </c>
      <c r="BG3" s="1" t="s">
        <v>74</v>
      </c>
      <c r="BH3" s="1" t="s">
        <v>74</v>
      </c>
      <c r="BI3" s="1" t="s">
        <v>74</v>
      </c>
      <c r="BJ3" s="1" t="s">
        <v>74</v>
      </c>
      <c r="BK3" s="1" t="s">
        <v>74</v>
      </c>
      <c r="BL3" s="1" t="s">
        <v>74</v>
      </c>
      <c r="BM3" s="1" t="s">
        <v>74</v>
      </c>
      <c r="BN3" s="1">
        <v>29491962</v>
      </c>
      <c r="BO3" s="1" t="s">
        <v>74</v>
      </c>
      <c r="BP3" s="1" t="s">
        <v>74</v>
      </c>
      <c r="BQ3" s="1" t="s">
        <v>74</v>
      </c>
      <c r="BR3" s="1" t="s">
        <v>74</v>
      </c>
      <c r="BS3" s="1" t="s">
        <v>1592</v>
      </c>
      <c r="BT3" s="1" t="str">
        <f>HYPERLINK("https%3A%2F%2Fwww.webofscience.com%2Fwos%2Fwoscc%2Ffull-record%2FWOS:000396213400006","View Full Record in Web of Science")</f>
        <v>View Full Record in Web of Science</v>
      </c>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row>
    <row r="4" spans="1:314" s="2" customFormat="1" x14ac:dyDescent="0.4">
      <c r="A4" s="1" t="s">
        <v>72</v>
      </c>
      <c r="B4" s="1" t="s">
        <v>3178</v>
      </c>
      <c r="C4" s="1" t="s">
        <v>74</v>
      </c>
      <c r="D4" s="1" t="s">
        <v>74</v>
      </c>
      <c r="E4" s="1" t="s">
        <v>74</v>
      </c>
      <c r="F4" s="1" t="s">
        <v>3178</v>
      </c>
      <c r="G4" s="1" t="s">
        <v>74</v>
      </c>
      <c r="H4" s="1" t="s">
        <v>74</v>
      </c>
      <c r="I4" s="1" t="s">
        <v>3179</v>
      </c>
      <c r="J4" s="1" t="s">
        <v>77</v>
      </c>
      <c r="K4" s="1" t="s">
        <v>74</v>
      </c>
      <c r="L4" s="1" t="s">
        <v>74</v>
      </c>
      <c r="M4" s="1" t="s">
        <v>74</v>
      </c>
      <c r="N4" s="1" t="s">
        <v>74</v>
      </c>
      <c r="O4" s="1" t="s">
        <v>74</v>
      </c>
      <c r="P4" s="1" t="s">
        <v>74</v>
      </c>
      <c r="Q4" s="1" t="s">
        <v>74</v>
      </c>
      <c r="R4" s="1" t="s">
        <v>74</v>
      </c>
      <c r="S4" s="1" t="s">
        <v>74</v>
      </c>
      <c r="T4" s="1" t="s">
        <v>74</v>
      </c>
      <c r="U4" s="1" t="s">
        <v>74</v>
      </c>
      <c r="V4" s="4" t="s">
        <v>3180</v>
      </c>
      <c r="W4" s="1" t="s">
        <v>74</v>
      </c>
      <c r="X4" s="1" t="s">
        <v>74</v>
      </c>
      <c r="Y4" s="1" t="s">
        <v>74</v>
      </c>
      <c r="Z4" s="1" t="s">
        <v>74</v>
      </c>
      <c r="AA4" s="1" t="s">
        <v>74</v>
      </c>
      <c r="AB4" s="1" t="s">
        <v>74</v>
      </c>
      <c r="AC4" s="1" t="s">
        <v>74</v>
      </c>
      <c r="AD4" s="1" t="s">
        <v>74</v>
      </c>
      <c r="AE4" s="1" t="s">
        <v>74</v>
      </c>
      <c r="AF4" s="1" t="s">
        <v>74</v>
      </c>
      <c r="AG4" s="1" t="s">
        <v>74</v>
      </c>
      <c r="AH4" s="1" t="s">
        <v>74</v>
      </c>
      <c r="AI4" s="1" t="s">
        <v>74</v>
      </c>
      <c r="AJ4" s="1" t="s">
        <v>74</v>
      </c>
      <c r="AK4" s="1" t="s">
        <v>74</v>
      </c>
      <c r="AL4" s="1" t="s">
        <v>74</v>
      </c>
      <c r="AM4" s="1" t="s">
        <v>74</v>
      </c>
      <c r="AN4" s="1" t="s">
        <v>74</v>
      </c>
      <c r="AO4" s="1" t="s">
        <v>81</v>
      </c>
      <c r="AP4" s="1" t="s">
        <v>74</v>
      </c>
      <c r="AQ4" s="1" t="s">
        <v>74</v>
      </c>
      <c r="AR4" s="1" t="s">
        <v>74</v>
      </c>
      <c r="AS4" s="1" t="s">
        <v>74</v>
      </c>
      <c r="AT4" s="1" t="s">
        <v>145</v>
      </c>
      <c r="AU4" s="1">
        <v>1994</v>
      </c>
      <c r="AV4" s="1">
        <v>130</v>
      </c>
      <c r="AW4" s="1" t="s">
        <v>74</v>
      </c>
      <c r="AX4" s="1" t="s">
        <v>548</v>
      </c>
      <c r="AY4" s="1" t="s">
        <v>74</v>
      </c>
      <c r="AZ4" s="1" t="s">
        <v>74</v>
      </c>
      <c r="BA4" s="1" t="s">
        <v>74</v>
      </c>
      <c r="BB4" s="1">
        <v>77</v>
      </c>
      <c r="BC4" s="1">
        <v>112</v>
      </c>
      <c r="BD4" s="1" t="s">
        <v>74</v>
      </c>
      <c r="BE4" s="1" t="s">
        <v>3181</v>
      </c>
      <c r="BF4" s="1" t="str">
        <f>HYPERLINK("http://dx.doi.org/10.1163/156853994X00154","http://dx.doi.org/10.1163/156853994X00154")</f>
        <v>http://dx.doi.org/10.1163/156853994X00154</v>
      </c>
      <c r="BG4" s="1" t="s">
        <v>74</v>
      </c>
      <c r="BH4" s="1" t="s">
        <v>74</v>
      </c>
      <c r="BI4" s="1" t="s">
        <v>74</v>
      </c>
      <c r="BJ4" s="1" t="s">
        <v>74</v>
      </c>
      <c r="BK4" s="1" t="s">
        <v>74</v>
      </c>
      <c r="BL4" s="1" t="s">
        <v>74</v>
      </c>
      <c r="BM4" s="1" t="s">
        <v>74</v>
      </c>
      <c r="BN4" s="1" t="s">
        <v>74</v>
      </c>
      <c r="BO4" s="1" t="s">
        <v>74</v>
      </c>
      <c r="BP4" s="1" t="s">
        <v>74</v>
      </c>
      <c r="BQ4" s="1" t="s">
        <v>74</v>
      </c>
      <c r="BR4" s="1" t="s">
        <v>74</v>
      </c>
      <c r="BS4" s="1" t="s">
        <v>3182</v>
      </c>
      <c r="BT4" s="1" t="str">
        <f>HYPERLINK("https%3A%2F%2Fwww.webofscience.com%2Fwos%2Fwoscc%2Ffull-record%2FWOS:A1994PR38500006","View Full Record in Web of Science")</f>
        <v>View Full Record in Web of Science</v>
      </c>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row>
    <row r="5" spans="1:314" s="2" customFormat="1" x14ac:dyDescent="0.4">
      <c r="A5" s="1" t="s">
        <v>72</v>
      </c>
      <c r="B5" s="1" t="s">
        <v>6484</v>
      </c>
      <c r="C5" s="1" t="s">
        <v>74</v>
      </c>
      <c r="D5" s="1" t="s">
        <v>74</v>
      </c>
      <c r="E5" s="1" t="s">
        <v>74</v>
      </c>
      <c r="F5" s="1" t="s">
        <v>6485</v>
      </c>
      <c r="G5" s="1" t="s">
        <v>74</v>
      </c>
      <c r="H5" s="1" t="s">
        <v>74</v>
      </c>
      <c r="I5" s="1" t="s">
        <v>6486</v>
      </c>
      <c r="J5" s="1" t="s">
        <v>140</v>
      </c>
      <c r="K5" s="1" t="s">
        <v>74</v>
      </c>
      <c r="L5" s="1" t="s">
        <v>74</v>
      </c>
      <c r="M5" s="1" t="s">
        <v>74</v>
      </c>
      <c r="N5" s="1" t="s">
        <v>74</v>
      </c>
      <c r="O5" s="1" t="s">
        <v>74</v>
      </c>
      <c r="P5" s="1" t="s">
        <v>74</v>
      </c>
      <c r="Q5" s="1" t="s">
        <v>74</v>
      </c>
      <c r="R5" s="1" t="s">
        <v>74</v>
      </c>
      <c r="S5" s="1" t="s">
        <v>74</v>
      </c>
      <c r="T5" s="1" t="s">
        <v>74</v>
      </c>
      <c r="U5" s="1" t="s">
        <v>74</v>
      </c>
      <c r="V5" s="4" t="s">
        <v>6487</v>
      </c>
      <c r="W5" s="1" t="s">
        <v>74</v>
      </c>
      <c r="X5" s="1" t="s">
        <v>74</v>
      </c>
      <c r="Y5" s="1" t="s">
        <v>74</v>
      </c>
      <c r="Z5" s="1" t="s">
        <v>74</v>
      </c>
      <c r="AA5" s="1" t="s">
        <v>6488</v>
      </c>
      <c r="AB5" s="1" t="s">
        <v>6489</v>
      </c>
      <c r="AC5" s="1" t="s">
        <v>74</v>
      </c>
      <c r="AD5" s="1" t="s">
        <v>74</v>
      </c>
      <c r="AE5" s="1" t="s">
        <v>74</v>
      </c>
      <c r="AF5" s="1" t="s">
        <v>74</v>
      </c>
      <c r="AG5" s="1" t="s">
        <v>74</v>
      </c>
      <c r="AH5" s="1" t="s">
        <v>74</v>
      </c>
      <c r="AI5" s="1" t="s">
        <v>74</v>
      </c>
      <c r="AJ5" s="1" t="s">
        <v>74</v>
      </c>
      <c r="AK5" s="1" t="s">
        <v>74</v>
      </c>
      <c r="AL5" s="1" t="s">
        <v>74</v>
      </c>
      <c r="AM5" s="1" t="s">
        <v>74</v>
      </c>
      <c r="AN5" s="1" t="s">
        <v>74</v>
      </c>
      <c r="AO5" s="1" t="s">
        <v>143</v>
      </c>
      <c r="AP5" s="1" t="s">
        <v>144</v>
      </c>
      <c r="AQ5" s="1" t="s">
        <v>74</v>
      </c>
      <c r="AR5" s="1" t="s">
        <v>74</v>
      </c>
      <c r="AS5" s="1" t="s">
        <v>74</v>
      </c>
      <c r="AT5" s="1" t="s">
        <v>964</v>
      </c>
      <c r="AU5" s="1">
        <v>2015</v>
      </c>
      <c r="AV5" s="1">
        <v>100</v>
      </c>
      <c r="AW5" s="1" t="s">
        <v>74</v>
      </c>
      <c r="AX5" s="1" t="s">
        <v>74</v>
      </c>
      <c r="AY5" s="1" t="s">
        <v>74</v>
      </c>
      <c r="AZ5" s="1" t="s">
        <v>74</v>
      </c>
      <c r="BA5" s="1" t="s">
        <v>74</v>
      </c>
      <c r="BB5" s="1">
        <v>116</v>
      </c>
      <c r="BC5" s="1">
        <v>124</v>
      </c>
      <c r="BD5" s="1" t="s">
        <v>74</v>
      </c>
      <c r="BE5" s="1" t="s">
        <v>6490</v>
      </c>
      <c r="BF5" s="1" t="str">
        <f>HYPERLINK("http://dx.doi.org/10.1016/j.anbehav.2014.11.016","http://dx.doi.org/10.1016/j.anbehav.2014.11.016")</f>
        <v>http://dx.doi.org/10.1016/j.anbehav.2014.11.016</v>
      </c>
      <c r="BG5" s="1" t="s">
        <v>74</v>
      </c>
      <c r="BH5" s="1" t="s">
        <v>74</v>
      </c>
      <c r="BI5" s="1" t="s">
        <v>74</v>
      </c>
      <c r="BJ5" s="1" t="s">
        <v>74</v>
      </c>
      <c r="BK5" s="1" t="s">
        <v>74</v>
      </c>
      <c r="BL5" s="1" t="s">
        <v>74</v>
      </c>
      <c r="BM5" s="1" t="s">
        <v>74</v>
      </c>
      <c r="BN5" s="1" t="s">
        <v>74</v>
      </c>
      <c r="BO5" s="1" t="s">
        <v>74</v>
      </c>
      <c r="BP5" s="1" t="s">
        <v>74</v>
      </c>
      <c r="BQ5" s="1" t="s">
        <v>74</v>
      </c>
      <c r="BR5" s="1" t="s">
        <v>74</v>
      </c>
      <c r="BS5" s="1" t="s">
        <v>6491</v>
      </c>
      <c r="BT5" s="1" t="str">
        <f>HYPERLINK("https%3A%2F%2Fwww.webofscience.com%2Fwos%2Fwoscc%2Ffull-record%2FWOS:000348449000017","View Full Record in Web of Science")</f>
        <v>View Full Record in Web of Science</v>
      </c>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row>
    <row r="6" spans="1:314" s="2" customFormat="1" x14ac:dyDescent="0.4">
      <c r="A6" s="1" t="s">
        <v>72</v>
      </c>
      <c r="B6" s="1" t="s">
        <v>7654</v>
      </c>
      <c r="C6" s="1" t="s">
        <v>74</v>
      </c>
      <c r="D6" s="1" t="s">
        <v>74</v>
      </c>
      <c r="E6" s="1" t="s">
        <v>74</v>
      </c>
      <c r="F6" s="1" t="s">
        <v>7654</v>
      </c>
      <c r="G6" s="1" t="s">
        <v>74</v>
      </c>
      <c r="H6" s="1" t="s">
        <v>74</v>
      </c>
      <c r="I6" s="1" t="s">
        <v>7655</v>
      </c>
      <c r="J6" s="1" t="s">
        <v>140</v>
      </c>
      <c r="K6" s="1" t="s">
        <v>74</v>
      </c>
      <c r="L6" s="1" t="s">
        <v>74</v>
      </c>
      <c r="M6" s="1" t="s">
        <v>74</v>
      </c>
      <c r="N6" s="1" t="s">
        <v>74</v>
      </c>
      <c r="O6" s="1" t="s">
        <v>74</v>
      </c>
      <c r="P6" s="1" t="s">
        <v>74</v>
      </c>
      <c r="Q6" s="1" t="s">
        <v>74</v>
      </c>
      <c r="R6" s="1" t="s">
        <v>74</v>
      </c>
      <c r="S6" s="1" t="s">
        <v>74</v>
      </c>
      <c r="T6" s="1" t="s">
        <v>74</v>
      </c>
      <c r="U6" s="1" t="s">
        <v>74</v>
      </c>
      <c r="V6" s="4" t="s">
        <v>7656</v>
      </c>
      <c r="W6" s="1" t="s">
        <v>74</v>
      </c>
      <c r="X6" s="1" t="s">
        <v>74</v>
      </c>
      <c r="Y6" s="1" t="s">
        <v>74</v>
      </c>
      <c r="Z6" s="1" t="s">
        <v>74</v>
      </c>
      <c r="AA6" s="1" t="s">
        <v>74</v>
      </c>
      <c r="AB6" s="1" t="s">
        <v>74</v>
      </c>
      <c r="AC6" s="1" t="s">
        <v>74</v>
      </c>
      <c r="AD6" s="1" t="s">
        <v>74</v>
      </c>
      <c r="AE6" s="1" t="s">
        <v>74</v>
      </c>
      <c r="AF6" s="1" t="s">
        <v>74</v>
      </c>
      <c r="AG6" s="1" t="s">
        <v>74</v>
      </c>
      <c r="AH6" s="1" t="s">
        <v>74</v>
      </c>
      <c r="AI6" s="1" t="s">
        <v>74</v>
      </c>
      <c r="AJ6" s="1" t="s">
        <v>74</v>
      </c>
      <c r="AK6" s="1" t="s">
        <v>74</v>
      </c>
      <c r="AL6" s="1" t="s">
        <v>74</v>
      </c>
      <c r="AM6" s="1" t="s">
        <v>74</v>
      </c>
      <c r="AN6" s="1" t="s">
        <v>74</v>
      </c>
      <c r="AO6" s="1" t="s">
        <v>143</v>
      </c>
      <c r="AP6" s="1" t="s">
        <v>144</v>
      </c>
      <c r="AQ6" s="1" t="s">
        <v>74</v>
      </c>
      <c r="AR6" s="1" t="s">
        <v>74</v>
      </c>
      <c r="AS6" s="1" t="s">
        <v>74</v>
      </c>
      <c r="AT6" s="1" t="s">
        <v>633</v>
      </c>
      <c r="AU6" s="1">
        <v>1997</v>
      </c>
      <c r="AV6" s="1">
        <v>53</v>
      </c>
      <c r="AW6" s="1" t="s">
        <v>74</v>
      </c>
      <c r="AX6" s="1">
        <v>4</v>
      </c>
      <c r="AY6" s="1" t="s">
        <v>74</v>
      </c>
      <c r="AZ6" s="1" t="s">
        <v>74</v>
      </c>
      <c r="BA6" s="1" t="s">
        <v>74</v>
      </c>
      <c r="BB6" s="1">
        <v>819</v>
      </c>
      <c r="BC6" s="1">
        <v>833</v>
      </c>
      <c r="BD6" s="1" t="s">
        <v>74</v>
      </c>
      <c r="BE6" s="1" t="s">
        <v>7657</v>
      </c>
      <c r="BF6" s="1" t="str">
        <f>HYPERLINK("http://dx.doi.org/10.1006/anbe.1996.0347","http://dx.doi.org/10.1006/anbe.1996.0347")</f>
        <v>http://dx.doi.org/10.1006/anbe.1996.0347</v>
      </c>
      <c r="BG6" s="1" t="s">
        <v>74</v>
      </c>
      <c r="BH6" s="1" t="s">
        <v>74</v>
      </c>
      <c r="BI6" s="1" t="s">
        <v>74</v>
      </c>
      <c r="BJ6" s="1" t="s">
        <v>74</v>
      </c>
      <c r="BK6" s="1" t="s">
        <v>74</v>
      </c>
      <c r="BL6" s="1" t="s">
        <v>74</v>
      </c>
      <c r="BM6" s="1" t="s">
        <v>74</v>
      </c>
      <c r="BN6" s="1" t="s">
        <v>74</v>
      </c>
      <c r="BO6" s="1" t="s">
        <v>74</v>
      </c>
      <c r="BP6" s="1" t="s">
        <v>74</v>
      </c>
      <c r="BQ6" s="1" t="s">
        <v>74</v>
      </c>
      <c r="BR6" s="1" t="s">
        <v>74</v>
      </c>
      <c r="BS6" s="1" t="s">
        <v>7658</v>
      </c>
      <c r="BT6" s="1" t="str">
        <f>HYPERLINK("https%3A%2F%2Fwww.webofscience.com%2Fwos%2Fwoscc%2Ffull-record%2FWOS:A1997WW45300013","View Full Record in Web of Science")</f>
        <v>View Full Record in Web of Science</v>
      </c>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row>
    <row r="7" spans="1:314" s="2" customFormat="1" x14ac:dyDescent="0.4">
      <c r="A7" s="1" t="s">
        <v>72</v>
      </c>
      <c r="B7" s="1" t="s">
        <v>1016</v>
      </c>
      <c r="C7" s="1" t="s">
        <v>74</v>
      </c>
      <c r="D7" s="1" t="s">
        <v>74</v>
      </c>
      <c r="E7" s="1" t="s">
        <v>74</v>
      </c>
      <c r="F7" s="1" t="s">
        <v>1017</v>
      </c>
      <c r="G7" s="1" t="s">
        <v>74</v>
      </c>
      <c r="H7" s="1" t="s">
        <v>74</v>
      </c>
      <c r="I7" s="1" t="s">
        <v>1018</v>
      </c>
      <c r="J7" s="1" t="s">
        <v>140</v>
      </c>
      <c r="K7" s="1" t="s">
        <v>74</v>
      </c>
      <c r="L7" s="1" t="s">
        <v>74</v>
      </c>
      <c r="M7" s="1" t="s">
        <v>74</v>
      </c>
      <c r="N7" s="1" t="s">
        <v>74</v>
      </c>
      <c r="O7" s="1" t="s">
        <v>74</v>
      </c>
      <c r="P7" s="1" t="s">
        <v>74</v>
      </c>
      <c r="Q7" s="1" t="s">
        <v>74</v>
      </c>
      <c r="R7" s="1" t="s">
        <v>74</v>
      </c>
      <c r="S7" s="1" t="s">
        <v>74</v>
      </c>
      <c r="T7" s="1" t="s">
        <v>74</v>
      </c>
      <c r="U7" s="1" t="s">
        <v>74</v>
      </c>
      <c r="V7" s="4" t="s">
        <v>1019</v>
      </c>
      <c r="W7" s="1" t="s">
        <v>74</v>
      </c>
      <c r="X7" s="1" t="s">
        <v>74</v>
      </c>
      <c r="Y7" s="1" t="s">
        <v>74</v>
      </c>
      <c r="Z7" s="1" t="s">
        <v>74</v>
      </c>
      <c r="AA7" s="1" t="s">
        <v>74</v>
      </c>
      <c r="AB7" s="1" t="s">
        <v>1020</v>
      </c>
      <c r="AC7" s="1" t="s">
        <v>74</v>
      </c>
      <c r="AD7" s="1" t="s">
        <v>74</v>
      </c>
      <c r="AE7" s="1" t="s">
        <v>74</v>
      </c>
      <c r="AF7" s="1" t="s">
        <v>74</v>
      </c>
      <c r="AG7" s="1" t="s">
        <v>74</v>
      </c>
      <c r="AH7" s="1" t="s">
        <v>74</v>
      </c>
      <c r="AI7" s="1" t="s">
        <v>74</v>
      </c>
      <c r="AJ7" s="1" t="s">
        <v>74</v>
      </c>
      <c r="AK7" s="1" t="s">
        <v>74</v>
      </c>
      <c r="AL7" s="1" t="s">
        <v>74</v>
      </c>
      <c r="AM7" s="1" t="s">
        <v>74</v>
      </c>
      <c r="AN7" s="1" t="s">
        <v>74</v>
      </c>
      <c r="AO7" s="1" t="s">
        <v>143</v>
      </c>
      <c r="AP7" s="1" t="s">
        <v>144</v>
      </c>
      <c r="AQ7" s="1" t="s">
        <v>74</v>
      </c>
      <c r="AR7" s="1" t="s">
        <v>74</v>
      </c>
      <c r="AS7" s="1" t="s">
        <v>74</v>
      </c>
      <c r="AT7" s="1" t="s">
        <v>145</v>
      </c>
      <c r="AU7" s="1">
        <v>2018</v>
      </c>
      <c r="AV7" s="1">
        <v>142</v>
      </c>
      <c r="AW7" s="1" t="s">
        <v>74</v>
      </c>
      <c r="AX7" s="1" t="s">
        <v>74</v>
      </c>
      <c r="AY7" s="1" t="s">
        <v>74</v>
      </c>
      <c r="AZ7" s="1" t="s">
        <v>74</v>
      </c>
      <c r="BA7" s="1" t="s">
        <v>74</v>
      </c>
      <c r="BB7" s="1">
        <v>119</v>
      </c>
      <c r="BC7" s="1">
        <v>128</v>
      </c>
      <c r="BD7" s="1" t="s">
        <v>74</v>
      </c>
      <c r="BE7" s="1" t="s">
        <v>1021</v>
      </c>
      <c r="BF7" s="1" t="str">
        <f>HYPERLINK("http://dx.doi.org/10.1016/j.anbehav.2018.06.012","http://dx.doi.org/10.1016/j.anbehav.2018.06.012")</f>
        <v>http://dx.doi.org/10.1016/j.anbehav.2018.06.012</v>
      </c>
      <c r="BG7" s="1" t="s">
        <v>74</v>
      </c>
      <c r="BH7" s="1" t="s">
        <v>74</v>
      </c>
      <c r="BI7" s="1" t="s">
        <v>74</v>
      </c>
      <c r="BJ7" s="1" t="s">
        <v>74</v>
      </c>
      <c r="BK7" s="1" t="s">
        <v>74</v>
      </c>
      <c r="BL7" s="1" t="s">
        <v>74</v>
      </c>
      <c r="BM7" s="1" t="s">
        <v>74</v>
      </c>
      <c r="BN7" s="1" t="s">
        <v>74</v>
      </c>
      <c r="BO7" s="1" t="s">
        <v>74</v>
      </c>
      <c r="BP7" s="1" t="s">
        <v>74</v>
      </c>
      <c r="BQ7" s="1" t="s">
        <v>74</v>
      </c>
      <c r="BR7" s="1" t="s">
        <v>74</v>
      </c>
      <c r="BS7" s="1" t="s">
        <v>1022</v>
      </c>
      <c r="BT7" s="1" t="str">
        <f>HYPERLINK("https%3A%2F%2Fwww.webofscience.com%2Fwos%2Fwoscc%2Ffull-record%2FWOS:000441515500014","View Full Record in Web of Science")</f>
        <v>View Full Record in Web of Science</v>
      </c>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row>
    <row r="8" spans="1:314" s="2" customFormat="1" x14ac:dyDescent="0.4">
      <c r="A8" s="1" t="s">
        <v>72</v>
      </c>
      <c r="B8" s="1" t="s">
        <v>3874</v>
      </c>
      <c r="C8" s="1" t="s">
        <v>74</v>
      </c>
      <c r="D8" s="1" t="s">
        <v>74</v>
      </c>
      <c r="E8" s="1" t="s">
        <v>74</v>
      </c>
      <c r="F8" s="1" t="s">
        <v>3874</v>
      </c>
      <c r="G8" s="1" t="s">
        <v>74</v>
      </c>
      <c r="H8" s="1" t="s">
        <v>74</v>
      </c>
      <c r="I8" s="1" t="s">
        <v>3875</v>
      </c>
      <c r="J8" s="1" t="s">
        <v>140</v>
      </c>
      <c r="K8" s="1" t="s">
        <v>74</v>
      </c>
      <c r="L8" s="1" t="s">
        <v>74</v>
      </c>
      <c r="M8" s="1" t="s">
        <v>74</v>
      </c>
      <c r="N8" s="1" t="s">
        <v>74</v>
      </c>
      <c r="O8" s="1" t="s">
        <v>74</v>
      </c>
      <c r="P8" s="1" t="s">
        <v>74</v>
      </c>
      <c r="Q8" s="1" t="s">
        <v>74</v>
      </c>
      <c r="R8" s="1" t="s">
        <v>74</v>
      </c>
      <c r="S8" s="1" t="s">
        <v>74</v>
      </c>
      <c r="T8" s="1" t="s">
        <v>74</v>
      </c>
      <c r="U8" s="1" t="s">
        <v>74</v>
      </c>
      <c r="V8" s="4" t="s">
        <v>3876</v>
      </c>
      <c r="W8" s="1" t="s">
        <v>74</v>
      </c>
      <c r="X8" s="1" t="s">
        <v>74</v>
      </c>
      <c r="Y8" s="1" t="s">
        <v>74</v>
      </c>
      <c r="Z8" s="1" t="s">
        <v>74</v>
      </c>
      <c r="AA8" s="1" t="s">
        <v>74</v>
      </c>
      <c r="AB8" s="1" t="s">
        <v>74</v>
      </c>
      <c r="AC8" s="1" t="s">
        <v>74</v>
      </c>
      <c r="AD8" s="1" t="s">
        <v>74</v>
      </c>
      <c r="AE8" s="1" t="s">
        <v>74</v>
      </c>
      <c r="AF8" s="1" t="s">
        <v>74</v>
      </c>
      <c r="AG8" s="1" t="s">
        <v>74</v>
      </c>
      <c r="AH8" s="1" t="s">
        <v>74</v>
      </c>
      <c r="AI8" s="1" t="s">
        <v>74</v>
      </c>
      <c r="AJ8" s="1" t="s">
        <v>74</v>
      </c>
      <c r="AK8" s="1" t="s">
        <v>74</v>
      </c>
      <c r="AL8" s="1" t="s">
        <v>74</v>
      </c>
      <c r="AM8" s="1" t="s">
        <v>74</v>
      </c>
      <c r="AN8" s="1" t="s">
        <v>74</v>
      </c>
      <c r="AO8" s="1" t="s">
        <v>143</v>
      </c>
      <c r="AP8" s="1" t="s">
        <v>74</v>
      </c>
      <c r="AQ8" s="1" t="s">
        <v>74</v>
      </c>
      <c r="AR8" s="1" t="s">
        <v>74</v>
      </c>
      <c r="AS8" s="1" t="s">
        <v>74</v>
      </c>
      <c r="AT8" s="1" t="s">
        <v>175</v>
      </c>
      <c r="AU8" s="1">
        <v>1998</v>
      </c>
      <c r="AV8" s="1">
        <v>56</v>
      </c>
      <c r="AW8" s="1" t="s">
        <v>74</v>
      </c>
      <c r="AX8" s="1">
        <v>4</v>
      </c>
      <c r="AY8" s="1" t="s">
        <v>74</v>
      </c>
      <c r="AZ8" s="1" t="s">
        <v>74</v>
      </c>
      <c r="BA8" s="1" t="s">
        <v>74</v>
      </c>
      <c r="BB8" s="1">
        <v>1021</v>
      </c>
      <c r="BC8" s="1">
        <v>1026</v>
      </c>
      <c r="BD8" s="1" t="s">
        <v>74</v>
      </c>
      <c r="BE8" s="1" t="s">
        <v>3877</v>
      </c>
      <c r="BF8" s="1" t="str">
        <f>HYPERLINK("http://dx.doi.org/10.1006/anbe.1998.0868","http://dx.doi.org/10.1006/anbe.1998.0868")</f>
        <v>http://dx.doi.org/10.1006/anbe.1998.0868</v>
      </c>
      <c r="BG8" s="1" t="s">
        <v>74</v>
      </c>
      <c r="BH8" s="1" t="s">
        <v>74</v>
      </c>
      <c r="BI8" s="1" t="s">
        <v>74</v>
      </c>
      <c r="BJ8" s="1" t="s">
        <v>74</v>
      </c>
      <c r="BK8" s="1" t="s">
        <v>74</v>
      </c>
      <c r="BL8" s="1" t="s">
        <v>74</v>
      </c>
      <c r="BM8" s="1" t="s">
        <v>74</v>
      </c>
      <c r="BN8" s="1">
        <v>9790714</v>
      </c>
      <c r="BO8" s="1" t="s">
        <v>74</v>
      </c>
      <c r="BP8" s="1" t="s">
        <v>74</v>
      </c>
      <c r="BQ8" s="1" t="s">
        <v>74</v>
      </c>
      <c r="BR8" s="1" t="s">
        <v>74</v>
      </c>
      <c r="BS8" s="1" t="s">
        <v>3878</v>
      </c>
      <c r="BT8" s="1" t="str">
        <f>HYPERLINK("https%3A%2F%2Fwww.webofscience.com%2Fwos%2Fwoscc%2Ffull-record%2FWOS:000076755700025","View Full Record in Web of Science")</f>
        <v>View Full Record in Web of Science</v>
      </c>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row>
    <row r="9" spans="1:314" s="2" customFormat="1" x14ac:dyDescent="0.4">
      <c r="A9" s="1" t="s">
        <v>72</v>
      </c>
      <c r="B9" s="1" t="s">
        <v>1485</v>
      </c>
      <c r="C9" s="1" t="s">
        <v>74</v>
      </c>
      <c r="D9" s="1" t="s">
        <v>74</v>
      </c>
      <c r="E9" s="1" t="s">
        <v>74</v>
      </c>
      <c r="F9" s="1" t="s">
        <v>1486</v>
      </c>
      <c r="G9" s="1" t="s">
        <v>74</v>
      </c>
      <c r="H9" s="1" t="s">
        <v>74</v>
      </c>
      <c r="I9" s="1" t="s">
        <v>1487</v>
      </c>
      <c r="J9" s="1" t="s">
        <v>333</v>
      </c>
      <c r="K9" s="1" t="s">
        <v>74</v>
      </c>
      <c r="L9" s="1" t="s">
        <v>74</v>
      </c>
      <c r="M9" s="1" t="s">
        <v>74</v>
      </c>
      <c r="N9" s="1" t="s">
        <v>74</v>
      </c>
      <c r="O9" s="1" t="s">
        <v>74</v>
      </c>
      <c r="P9" s="1" t="s">
        <v>74</v>
      </c>
      <c r="Q9" s="1" t="s">
        <v>74</v>
      </c>
      <c r="R9" s="1" t="s">
        <v>74</v>
      </c>
      <c r="S9" s="1" t="s">
        <v>74</v>
      </c>
      <c r="T9" s="1" t="s">
        <v>74</v>
      </c>
      <c r="U9" s="1" t="s">
        <v>74</v>
      </c>
      <c r="V9" s="4" t="s">
        <v>1488</v>
      </c>
      <c r="W9" s="1" t="s">
        <v>74</v>
      </c>
      <c r="X9" s="1" t="s">
        <v>74</v>
      </c>
      <c r="Y9" s="1" t="s">
        <v>74</v>
      </c>
      <c r="Z9" s="1" t="s">
        <v>74</v>
      </c>
      <c r="AA9" s="1" t="s">
        <v>74</v>
      </c>
      <c r="AB9" s="1" t="s">
        <v>74</v>
      </c>
      <c r="AC9" s="1" t="s">
        <v>74</v>
      </c>
      <c r="AD9" s="1" t="s">
        <v>74</v>
      </c>
      <c r="AE9" s="1" t="s">
        <v>74</v>
      </c>
      <c r="AF9" s="1" t="s">
        <v>74</v>
      </c>
      <c r="AG9" s="1" t="s">
        <v>74</v>
      </c>
      <c r="AH9" s="1" t="s">
        <v>74</v>
      </c>
      <c r="AI9" s="1" t="s">
        <v>74</v>
      </c>
      <c r="AJ9" s="1" t="s">
        <v>74</v>
      </c>
      <c r="AK9" s="1" t="s">
        <v>74</v>
      </c>
      <c r="AL9" s="1" t="s">
        <v>74</v>
      </c>
      <c r="AM9" s="1" t="s">
        <v>74</v>
      </c>
      <c r="AN9" s="1" t="s">
        <v>74</v>
      </c>
      <c r="AO9" s="1" t="s">
        <v>337</v>
      </c>
      <c r="AP9" s="1" t="s">
        <v>338</v>
      </c>
      <c r="AQ9" s="1" t="s">
        <v>74</v>
      </c>
      <c r="AR9" s="1" t="s">
        <v>74</v>
      </c>
      <c r="AS9" s="1" t="s">
        <v>74</v>
      </c>
      <c r="AT9" s="1" t="s">
        <v>1475</v>
      </c>
      <c r="AU9" s="1">
        <v>2009</v>
      </c>
      <c r="AV9" s="1">
        <v>20</v>
      </c>
      <c r="AW9" s="1">
        <v>1</v>
      </c>
      <c r="AX9" s="1" t="s">
        <v>74</v>
      </c>
      <c r="AY9" s="1" t="s">
        <v>74</v>
      </c>
      <c r="AZ9" s="1" t="s">
        <v>74</v>
      </c>
      <c r="BA9" s="1" t="s">
        <v>74</v>
      </c>
      <c r="BB9" s="1">
        <v>180</v>
      </c>
      <c r="BC9" s="1">
        <v>185</v>
      </c>
      <c r="BD9" s="1" t="s">
        <v>74</v>
      </c>
      <c r="BE9" s="1" t="s">
        <v>1489</v>
      </c>
      <c r="BF9" s="1" t="str">
        <f>HYPERLINK("http://dx.doi.org/10.1093/beheco/arn132","http://dx.doi.org/10.1093/beheco/arn132")</f>
        <v>http://dx.doi.org/10.1093/beheco/arn132</v>
      </c>
      <c r="BG9" s="1" t="s">
        <v>74</v>
      </c>
      <c r="BH9" s="1" t="s">
        <v>74</v>
      </c>
      <c r="BI9" s="1" t="s">
        <v>74</v>
      </c>
      <c r="BJ9" s="1" t="s">
        <v>74</v>
      </c>
      <c r="BK9" s="1" t="s">
        <v>74</v>
      </c>
      <c r="BL9" s="1" t="s">
        <v>74</v>
      </c>
      <c r="BM9" s="1" t="s">
        <v>74</v>
      </c>
      <c r="BN9" s="1" t="s">
        <v>74</v>
      </c>
      <c r="BO9" s="1" t="s">
        <v>74</v>
      </c>
      <c r="BP9" s="1" t="s">
        <v>74</v>
      </c>
      <c r="BQ9" s="1" t="s">
        <v>74</v>
      </c>
      <c r="BR9" s="1" t="s">
        <v>74</v>
      </c>
      <c r="BS9" s="1" t="s">
        <v>1490</v>
      </c>
      <c r="BT9" s="1" t="str">
        <f>HYPERLINK("https%3A%2F%2Fwww.webofscience.com%2Fwos%2Fwoscc%2Ffull-record%2FWOS:000262152300024","View Full Record in Web of Science")</f>
        <v>View Full Record in Web of Science</v>
      </c>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row>
    <row r="10" spans="1:314" s="2" customFormat="1" x14ac:dyDescent="0.4">
      <c r="A10" s="1" t="s">
        <v>72</v>
      </c>
      <c r="B10" s="1" t="s">
        <v>528</v>
      </c>
      <c r="C10" s="1" t="s">
        <v>74</v>
      </c>
      <c r="D10" s="1" t="s">
        <v>74</v>
      </c>
      <c r="E10" s="1" t="s">
        <v>74</v>
      </c>
      <c r="F10" s="1" t="s">
        <v>528</v>
      </c>
      <c r="G10" s="1" t="s">
        <v>74</v>
      </c>
      <c r="H10" s="1" t="s">
        <v>74</v>
      </c>
      <c r="I10" s="1" t="s">
        <v>529</v>
      </c>
      <c r="J10" s="1" t="s">
        <v>530</v>
      </c>
      <c r="K10" s="1" t="s">
        <v>74</v>
      </c>
      <c r="L10" s="1" t="s">
        <v>74</v>
      </c>
      <c r="M10" s="1" t="s">
        <v>74</v>
      </c>
      <c r="N10" s="1" t="s">
        <v>74</v>
      </c>
      <c r="O10" s="1" t="s">
        <v>74</v>
      </c>
      <c r="P10" s="1" t="s">
        <v>74</v>
      </c>
      <c r="Q10" s="1" t="s">
        <v>74</v>
      </c>
      <c r="R10" s="1" t="s">
        <v>74</v>
      </c>
      <c r="S10" s="1" t="s">
        <v>74</v>
      </c>
      <c r="T10" s="1" t="s">
        <v>74</v>
      </c>
      <c r="U10" s="1" t="s">
        <v>74</v>
      </c>
      <c r="V10" s="4" t="s">
        <v>531</v>
      </c>
      <c r="W10" s="1" t="s">
        <v>74</v>
      </c>
      <c r="X10" s="1" t="s">
        <v>74</v>
      </c>
      <c r="Y10" s="1" t="s">
        <v>74</v>
      </c>
      <c r="Z10" s="1" t="s">
        <v>74</v>
      </c>
      <c r="AA10" s="1" t="s">
        <v>74</v>
      </c>
      <c r="AB10" s="1" t="s">
        <v>74</v>
      </c>
      <c r="AC10" s="1" t="s">
        <v>74</v>
      </c>
      <c r="AD10" s="1" t="s">
        <v>74</v>
      </c>
      <c r="AE10" s="1" t="s">
        <v>74</v>
      </c>
      <c r="AF10" s="1" t="s">
        <v>74</v>
      </c>
      <c r="AG10" s="1" t="s">
        <v>74</v>
      </c>
      <c r="AH10" s="1" t="s">
        <v>74</v>
      </c>
      <c r="AI10" s="1" t="s">
        <v>74</v>
      </c>
      <c r="AJ10" s="1" t="s">
        <v>74</v>
      </c>
      <c r="AK10" s="1" t="s">
        <v>74</v>
      </c>
      <c r="AL10" s="1" t="s">
        <v>74</v>
      </c>
      <c r="AM10" s="1" t="s">
        <v>74</v>
      </c>
      <c r="AN10" s="1" t="s">
        <v>74</v>
      </c>
      <c r="AO10" s="1" t="s">
        <v>532</v>
      </c>
      <c r="AP10" s="1" t="s">
        <v>533</v>
      </c>
      <c r="AQ10" s="1" t="s">
        <v>74</v>
      </c>
      <c r="AR10" s="1" t="s">
        <v>74</v>
      </c>
      <c r="AS10" s="1" t="s">
        <v>74</v>
      </c>
      <c r="AT10" s="1" t="s">
        <v>74</v>
      </c>
      <c r="AU10" s="1">
        <v>1981</v>
      </c>
      <c r="AV10" s="1">
        <v>64</v>
      </c>
      <c r="AW10" s="1">
        <v>1</v>
      </c>
      <c r="AX10" s="1" t="s">
        <v>74</v>
      </c>
      <c r="AY10" s="1" t="s">
        <v>74</v>
      </c>
      <c r="AZ10" s="1" t="s">
        <v>74</v>
      </c>
      <c r="BA10" s="1" t="s">
        <v>74</v>
      </c>
      <c r="BB10" s="1">
        <v>85</v>
      </c>
      <c r="BC10" s="1">
        <v>93</v>
      </c>
      <c r="BD10" s="1" t="s">
        <v>74</v>
      </c>
      <c r="BE10" s="1" t="s">
        <v>534</v>
      </c>
      <c r="BF10" s="1" t="str">
        <f>HYPERLINK("http://dx.doi.org/10.1007/BF00394084","http://dx.doi.org/10.1007/BF00394084")</f>
        <v>http://dx.doi.org/10.1007/BF00394084</v>
      </c>
      <c r="BG10" s="1" t="s">
        <v>74</v>
      </c>
      <c r="BH10" s="1" t="s">
        <v>74</v>
      </c>
      <c r="BI10" s="1" t="s">
        <v>74</v>
      </c>
      <c r="BJ10" s="1" t="s">
        <v>74</v>
      </c>
      <c r="BK10" s="1" t="s">
        <v>74</v>
      </c>
      <c r="BL10" s="1" t="s">
        <v>74</v>
      </c>
      <c r="BM10" s="1" t="s">
        <v>74</v>
      </c>
      <c r="BN10" s="1" t="s">
        <v>74</v>
      </c>
      <c r="BO10" s="1" t="s">
        <v>74</v>
      </c>
      <c r="BP10" s="1" t="s">
        <v>74</v>
      </c>
      <c r="BQ10" s="1" t="s">
        <v>74</v>
      </c>
      <c r="BR10" s="1" t="s">
        <v>74</v>
      </c>
      <c r="BS10" s="1" t="s">
        <v>535</v>
      </c>
      <c r="BT10" s="1" t="str">
        <f>HYPERLINK("https%3A%2F%2Fwww.webofscience.com%2Fwos%2Fwoscc%2Ffull-record%2FWOS:A1981MG93600010","View Full Record in Web of Science")</f>
        <v>View Full Record in Web of Science</v>
      </c>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row>
    <row r="11" spans="1:314" s="2" customFormat="1" x14ac:dyDescent="0.4">
      <c r="A11" s="1" t="s">
        <v>72</v>
      </c>
      <c r="B11" s="1" t="s">
        <v>1862</v>
      </c>
      <c r="C11" s="1" t="s">
        <v>74</v>
      </c>
      <c r="D11" s="1" t="s">
        <v>74</v>
      </c>
      <c r="E11" s="1" t="s">
        <v>74</v>
      </c>
      <c r="F11" s="1" t="s">
        <v>1863</v>
      </c>
      <c r="G11" s="1" t="s">
        <v>74</v>
      </c>
      <c r="H11" s="1" t="s">
        <v>74</v>
      </c>
      <c r="I11" s="1" t="s">
        <v>1864</v>
      </c>
      <c r="J11" s="1" t="s">
        <v>77</v>
      </c>
      <c r="K11" s="1" t="s">
        <v>74</v>
      </c>
      <c r="L11" s="1" t="s">
        <v>74</v>
      </c>
      <c r="M11" s="1" t="s">
        <v>74</v>
      </c>
      <c r="N11" s="1" t="s">
        <v>74</v>
      </c>
      <c r="O11" s="1" t="s">
        <v>74</v>
      </c>
      <c r="P11" s="1" t="s">
        <v>74</v>
      </c>
      <c r="Q11" s="1" t="s">
        <v>74</v>
      </c>
      <c r="R11" s="1" t="s">
        <v>74</v>
      </c>
      <c r="S11" s="1" t="s">
        <v>74</v>
      </c>
      <c r="T11" s="1" t="s">
        <v>74</v>
      </c>
      <c r="U11" s="1" t="s">
        <v>74</v>
      </c>
      <c r="V11" s="4" t="s">
        <v>1865</v>
      </c>
      <c r="W11" s="1" t="s">
        <v>74</v>
      </c>
      <c r="X11" s="1" t="s">
        <v>74</v>
      </c>
      <c r="Y11" s="1" t="s">
        <v>74</v>
      </c>
      <c r="Z11" s="1" t="s">
        <v>74</v>
      </c>
      <c r="AA11" s="1" t="s">
        <v>74</v>
      </c>
      <c r="AB11" s="1" t="s">
        <v>74</v>
      </c>
      <c r="AC11" s="1" t="s">
        <v>74</v>
      </c>
      <c r="AD11" s="1" t="s">
        <v>74</v>
      </c>
      <c r="AE11" s="1" t="s">
        <v>74</v>
      </c>
      <c r="AF11" s="1" t="s">
        <v>74</v>
      </c>
      <c r="AG11" s="1" t="s">
        <v>74</v>
      </c>
      <c r="AH11" s="1" t="s">
        <v>74</v>
      </c>
      <c r="AI11" s="1" t="s">
        <v>74</v>
      </c>
      <c r="AJ11" s="1" t="s">
        <v>74</v>
      </c>
      <c r="AK11" s="1" t="s">
        <v>74</v>
      </c>
      <c r="AL11" s="1" t="s">
        <v>74</v>
      </c>
      <c r="AM11" s="1" t="s">
        <v>74</v>
      </c>
      <c r="AN11" s="1" t="s">
        <v>74</v>
      </c>
      <c r="AO11" s="1" t="s">
        <v>81</v>
      </c>
      <c r="AP11" s="1" t="s">
        <v>82</v>
      </c>
      <c r="AQ11" s="1" t="s">
        <v>74</v>
      </c>
      <c r="AR11" s="1" t="s">
        <v>74</v>
      </c>
      <c r="AS11" s="1" t="s">
        <v>74</v>
      </c>
      <c r="AT11" s="1" t="s">
        <v>74</v>
      </c>
      <c r="AU11" s="1">
        <v>2018</v>
      </c>
      <c r="AV11" s="1">
        <v>155</v>
      </c>
      <c r="AW11" s="1">
        <v>6</v>
      </c>
      <c r="AX11" s="1" t="s">
        <v>74</v>
      </c>
      <c r="AY11" s="1" t="s">
        <v>74</v>
      </c>
      <c r="AZ11" s="1" t="s">
        <v>74</v>
      </c>
      <c r="BA11" s="1" t="s">
        <v>74</v>
      </c>
      <c r="BB11" s="1">
        <v>443</v>
      </c>
      <c r="BC11" s="1">
        <v>463</v>
      </c>
      <c r="BD11" s="1" t="s">
        <v>74</v>
      </c>
      <c r="BE11" s="1" t="s">
        <v>1866</v>
      </c>
      <c r="BF11" s="1" t="str">
        <f>HYPERLINK("http://dx.doi.org/10.1163/1568539X-00003498","http://dx.doi.org/10.1163/1568539X-00003498")</f>
        <v>http://dx.doi.org/10.1163/1568539X-00003498</v>
      </c>
      <c r="BG11" s="1" t="s">
        <v>74</v>
      </c>
      <c r="BH11" s="1" t="s">
        <v>74</v>
      </c>
      <c r="BI11" s="1" t="s">
        <v>74</v>
      </c>
      <c r="BJ11" s="1" t="s">
        <v>74</v>
      </c>
      <c r="BK11" s="1" t="s">
        <v>74</v>
      </c>
      <c r="BL11" s="1" t="s">
        <v>74</v>
      </c>
      <c r="BM11" s="1" t="s">
        <v>74</v>
      </c>
      <c r="BN11" s="1" t="s">
        <v>74</v>
      </c>
      <c r="BO11" s="1" t="s">
        <v>74</v>
      </c>
      <c r="BP11" s="1" t="s">
        <v>74</v>
      </c>
      <c r="BQ11" s="1" t="s">
        <v>74</v>
      </c>
      <c r="BR11" s="1" t="s">
        <v>74</v>
      </c>
      <c r="BS11" s="1" t="s">
        <v>1867</v>
      </c>
      <c r="BT11" s="1" t="str">
        <f>HYPERLINK("https%3A%2F%2Fwww.webofscience.com%2Fwos%2Fwoscc%2Ffull-record%2FWOS:000437348800001","View Full Record in Web of Science")</f>
        <v>View Full Record in Web of Science</v>
      </c>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row>
    <row r="12" spans="1:314" s="2" customFormat="1" x14ac:dyDescent="0.4">
      <c r="A12" s="1" t="s">
        <v>72</v>
      </c>
      <c r="B12" s="1" t="s">
        <v>643</v>
      </c>
      <c r="C12" s="1" t="s">
        <v>74</v>
      </c>
      <c r="D12" s="1" t="s">
        <v>74</v>
      </c>
      <c r="E12" s="1" t="s">
        <v>74</v>
      </c>
      <c r="F12" s="1" t="s">
        <v>644</v>
      </c>
      <c r="G12" s="1" t="s">
        <v>74</v>
      </c>
      <c r="H12" s="1" t="s">
        <v>74</v>
      </c>
      <c r="I12" s="1" t="s">
        <v>645</v>
      </c>
      <c r="J12" s="1" t="s">
        <v>129</v>
      </c>
      <c r="K12" s="1" t="s">
        <v>74</v>
      </c>
      <c r="L12" s="1" t="s">
        <v>74</v>
      </c>
      <c r="M12" s="1" t="s">
        <v>74</v>
      </c>
      <c r="N12" s="1" t="s">
        <v>74</v>
      </c>
      <c r="O12" s="1" t="s">
        <v>74</v>
      </c>
      <c r="P12" s="1" t="s">
        <v>74</v>
      </c>
      <c r="Q12" s="1" t="s">
        <v>74</v>
      </c>
      <c r="R12" s="1" t="s">
        <v>74</v>
      </c>
      <c r="S12" s="1" t="s">
        <v>74</v>
      </c>
      <c r="T12" s="1" t="s">
        <v>74</v>
      </c>
      <c r="U12" s="1" t="s">
        <v>74</v>
      </c>
      <c r="V12" s="4" t="s">
        <v>646</v>
      </c>
      <c r="W12" s="1" t="s">
        <v>74</v>
      </c>
      <c r="X12" s="1" t="s">
        <v>74</v>
      </c>
      <c r="Y12" s="1" t="s">
        <v>74</v>
      </c>
      <c r="Z12" s="1" t="s">
        <v>74</v>
      </c>
      <c r="AA12" s="1" t="s">
        <v>647</v>
      </c>
      <c r="AB12" s="1" t="s">
        <v>648</v>
      </c>
      <c r="AC12" s="1" t="s">
        <v>74</v>
      </c>
      <c r="AD12" s="1" t="s">
        <v>74</v>
      </c>
      <c r="AE12" s="1" t="s">
        <v>74</v>
      </c>
      <c r="AF12" s="1" t="s">
        <v>74</v>
      </c>
      <c r="AG12" s="1" t="s">
        <v>74</v>
      </c>
      <c r="AH12" s="1" t="s">
        <v>74</v>
      </c>
      <c r="AI12" s="1" t="s">
        <v>74</v>
      </c>
      <c r="AJ12" s="1" t="s">
        <v>74</v>
      </c>
      <c r="AK12" s="1" t="s">
        <v>74</v>
      </c>
      <c r="AL12" s="1" t="s">
        <v>74</v>
      </c>
      <c r="AM12" s="1" t="s">
        <v>74</v>
      </c>
      <c r="AN12" s="1" t="s">
        <v>74</v>
      </c>
      <c r="AO12" s="1" t="s">
        <v>132</v>
      </c>
      <c r="AP12" s="1" t="s">
        <v>133</v>
      </c>
      <c r="AQ12" s="1" t="s">
        <v>74</v>
      </c>
      <c r="AR12" s="1" t="s">
        <v>74</v>
      </c>
      <c r="AS12" s="1" t="s">
        <v>74</v>
      </c>
      <c r="AT12" s="1" t="s">
        <v>102</v>
      </c>
      <c r="AU12" s="1">
        <v>2019</v>
      </c>
      <c r="AV12" s="1">
        <v>73</v>
      </c>
      <c r="AW12" s="1">
        <v>6</v>
      </c>
      <c r="AX12" s="1" t="s">
        <v>74</v>
      </c>
      <c r="AY12" s="1" t="s">
        <v>74</v>
      </c>
      <c r="AZ12" s="1" t="s">
        <v>74</v>
      </c>
      <c r="BA12" s="1" t="s">
        <v>74</v>
      </c>
      <c r="BB12" s="1" t="s">
        <v>74</v>
      </c>
      <c r="BC12" s="1" t="s">
        <v>74</v>
      </c>
      <c r="BD12" s="1">
        <v>72</v>
      </c>
      <c r="BE12" s="1" t="s">
        <v>649</v>
      </c>
      <c r="BF12" s="1" t="str">
        <f>HYPERLINK("http://dx.doi.org/10.1007/s00265-019-2673-0","http://dx.doi.org/10.1007/s00265-019-2673-0")</f>
        <v>http://dx.doi.org/10.1007/s00265-019-2673-0</v>
      </c>
      <c r="BG12" s="1" t="s">
        <v>74</v>
      </c>
      <c r="BH12" s="1" t="s">
        <v>74</v>
      </c>
      <c r="BI12" s="1" t="s">
        <v>74</v>
      </c>
      <c r="BJ12" s="1" t="s">
        <v>74</v>
      </c>
      <c r="BK12" s="1" t="s">
        <v>74</v>
      </c>
      <c r="BL12" s="1" t="s">
        <v>74</v>
      </c>
      <c r="BM12" s="1" t="s">
        <v>74</v>
      </c>
      <c r="BN12" s="1" t="s">
        <v>74</v>
      </c>
      <c r="BO12" s="1" t="s">
        <v>74</v>
      </c>
      <c r="BP12" s="1" t="s">
        <v>74</v>
      </c>
      <c r="BQ12" s="1" t="s">
        <v>74</v>
      </c>
      <c r="BR12" s="1" t="s">
        <v>74</v>
      </c>
      <c r="BS12" s="1" t="s">
        <v>650</v>
      </c>
      <c r="BT12" s="1" t="str">
        <f>HYPERLINK("https%3A%2F%2Fwww.webofscience.com%2Fwos%2Fwoscc%2Ffull-record%2FWOS:000467390400001","View Full Record in Web of Science")</f>
        <v>View Full Record in Web of Science</v>
      </c>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row>
    <row r="13" spans="1:314" s="2" customFormat="1" x14ac:dyDescent="0.4">
      <c r="A13" s="1" t="s">
        <v>72</v>
      </c>
      <c r="B13" s="1" t="s">
        <v>8739</v>
      </c>
      <c r="C13" s="1" t="s">
        <v>74</v>
      </c>
      <c r="D13" s="1" t="s">
        <v>74</v>
      </c>
      <c r="E13" s="1" t="s">
        <v>74</v>
      </c>
      <c r="F13" s="1" t="s">
        <v>8740</v>
      </c>
      <c r="G13" s="1" t="s">
        <v>74</v>
      </c>
      <c r="H13" s="1" t="s">
        <v>74</v>
      </c>
      <c r="I13" s="1" t="s">
        <v>8741</v>
      </c>
      <c r="J13" s="1" t="s">
        <v>8742</v>
      </c>
      <c r="K13" s="1" t="s">
        <v>74</v>
      </c>
      <c r="L13" s="1" t="s">
        <v>74</v>
      </c>
      <c r="M13" s="1" t="s">
        <v>74</v>
      </c>
      <c r="N13" s="1" t="s">
        <v>74</v>
      </c>
      <c r="O13" s="1" t="s">
        <v>74</v>
      </c>
      <c r="P13" s="1" t="s">
        <v>74</v>
      </c>
      <c r="Q13" s="1" t="s">
        <v>74</v>
      </c>
      <c r="R13" s="1" t="s">
        <v>74</v>
      </c>
      <c r="S13" s="1" t="s">
        <v>74</v>
      </c>
      <c r="T13" s="1" t="s">
        <v>74</v>
      </c>
      <c r="U13" s="1" t="s">
        <v>74</v>
      </c>
      <c r="V13" s="4" t="s">
        <v>8743</v>
      </c>
      <c r="W13" s="1" t="s">
        <v>74</v>
      </c>
      <c r="X13" s="1" t="s">
        <v>74</v>
      </c>
      <c r="Y13" s="1" t="s">
        <v>74</v>
      </c>
      <c r="Z13" s="1" t="s">
        <v>74</v>
      </c>
      <c r="AA13" s="1" t="s">
        <v>8744</v>
      </c>
      <c r="AB13" s="1" t="s">
        <v>74</v>
      </c>
      <c r="AC13" s="1" t="s">
        <v>74</v>
      </c>
      <c r="AD13" s="1" t="s">
        <v>74</v>
      </c>
      <c r="AE13" s="1" t="s">
        <v>74</v>
      </c>
      <c r="AF13" s="1" t="s">
        <v>74</v>
      </c>
      <c r="AG13" s="1" t="s">
        <v>74</v>
      </c>
      <c r="AH13" s="1" t="s">
        <v>74</v>
      </c>
      <c r="AI13" s="1" t="s">
        <v>74</v>
      </c>
      <c r="AJ13" s="1" t="s">
        <v>74</v>
      </c>
      <c r="AK13" s="1" t="s">
        <v>74</v>
      </c>
      <c r="AL13" s="1" t="s">
        <v>74</v>
      </c>
      <c r="AM13" s="1" t="s">
        <v>74</v>
      </c>
      <c r="AN13" s="1" t="s">
        <v>74</v>
      </c>
      <c r="AO13" s="1" t="s">
        <v>8745</v>
      </c>
      <c r="AP13" s="1" t="s">
        <v>74</v>
      </c>
      <c r="AQ13" s="1" t="s">
        <v>74</v>
      </c>
      <c r="AR13" s="1" t="s">
        <v>74</v>
      </c>
      <c r="AS13" s="1" t="s">
        <v>74</v>
      </c>
      <c r="AT13" s="1" t="s">
        <v>1146</v>
      </c>
      <c r="AU13" s="1">
        <v>2014</v>
      </c>
      <c r="AV13" s="1">
        <v>8</v>
      </c>
      <c r="AW13" s="1" t="s">
        <v>74</v>
      </c>
      <c r="AX13" s="1" t="s">
        <v>74</v>
      </c>
      <c r="AY13" s="1" t="s">
        <v>74</v>
      </c>
      <c r="AZ13" s="1" t="s">
        <v>74</v>
      </c>
      <c r="BA13" s="1" t="s">
        <v>74</v>
      </c>
      <c r="BB13" s="1" t="s">
        <v>74</v>
      </c>
      <c r="BC13" s="1" t="s">
        <v>74</v>
      </c>
      <c r="BD13" s="1">
        <v>259</v>
      </c>
      <c r="BE13" s="1" t="s">
        <v>8746</v>
      </c>
      <c r="BF13" s="1" t="str">
        <f>HYPERLINK("http://dx.doi.org/10.3389/fnbeh.2014.00259","http://dx.doi.org/10.3389/fnbeh.2014.00259")</f>
        <v>http://dx.doi.org/10.3389/fnbeh.2014.00259</v>
      </c>
      <c r="BG13" s="1" t="s">
        <v>74</v>
      </c>
      <c r="BH13" s="1" t="s">
        <v>74</v>
      </c>
      <c r="BI13" s="1" t="s">
        <v>74</v>
      </c>
      <c r="BJ13" s="1" t="s">
        <v>74</v>
      </c>
      <c r="BK13" s="1" t="s">
        <v>74</v>
      </c>
      <c r="BL13" s="1" t="s">
        <v>74</v>
      </c>
      <c r="BM13" s="1" t="s">
        <v>74</v>
      </c>
      <c r="BN13" s="1">
        <v>25136298</v>
      </c>
      <c r="BO13" s="1" t="s">
        <v>74</v>
      </c>
      <c r="BP13" s="1" t="s">
        <v>74</v>
      </c>
      <c r="BQ13" s="1" t="s">
        <v>74</v>
      </c>
      <c r="BR13" s="1" t="s">
        <v>74</v>
      </c>
      <c r="BS13" s="1" t="s">
        <v>8747</v>
      </c>
      <c r="BT13" s="1" t="str">
        <f>HYPERLINK("https%3A%2F%2Fwww.webofscience.com%2Fwos%2Fwoscc%2Ffull-record%2FWOS:000340901400001","View Full Record in Web of Science")</f>
        <v>View Full Record in Web of Science</v>
      </c>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row>
    <row r="14" spans="1:314" s="2" customFormat="1" x14ac:dyDescent="0.4">
      <c r="A14" s="1" t="s">
        <v>72</v>
      </c>
      <c r="B14" s="1" t="s">
        <v>4026</v>
      </c>
      <c r="C14" s="1" t="s">
        <v>74</v>
      </c>
      <c r="D14" s="1" t="s">
        <v>74</v>
      </c>
      <c r="E14" s="1" t="s">
        <v>74</v>
      </c>
      <c r="F14" s="1" t="s">
        <v>4027</v>
      </c>
      <c r="G14" s="1" t="s">
        <v>74</v>
      </c>
      <c r="H14" s="1" t="s">
        <v>74</v>
      </c>
      <c r="I14" s="1" t="s">
        <v>4028</v>
      </c>
      <c r="J14" s="1" t="s">
        <v>140</v>
      </c>
      <c r="K14" s="1" t="s">
        <v>74</v>
      </c>
      <c r="L14" s="1" t="s">
        <v>74</v>
      </c>
      <c r="M14" s="1" t="s">
        <v>74</v>
      </c>
      <c r="N14" s="1" t="s">
        <v>74</v>
      </c>
      <c r="O14" s="1" t="s">
        <v>74</v>
      </c>
      <c r="P14" s="1" t="s">
        <v>74</v>
      </c>
      <c r="Q14" s="1" t="s">
        <v>74</v>
      </c>
      <c r="R14" s="1" t="s">
        <v>74</v>
      </c>
      <c r="S14" s="1" t="s">
        <v>74</v>
      </c>
      <c r="T14" s="1" t="s">
        <v>74</v>
      </c>
      <c r="U14" s="1" t="s">
        <v>74</v>
      </c>
      <c r="V14" s="4" t="s">
        <v>4029</v>
      </c>
      <c r="W14" s="1" t="s">
        <v>74</v>
      </c>
      <c r="X14" s="1" t="s">
        <v>74</v>
      </c>
      <c r="Y14" s="1" t="s">
        <v>74</v>
      </c>
      <c r="Z14" s="1" t="s">
        <v>74</v>
      </c>
      <c r="AA14" s="1" t="s">
        <v>4030</v>
      </c>
      <c r="AB14" s="1" t="s">
        <v>74</v>
      </c>
      <c r="AC14" s="1" t="s">
        <v>74</v>
      </c>
      <c r="AD14" s="1" t="s">
        <v>74</v>
      </c>
      <c r="AE14" s="1" t="s">
        <v>74</v>
      </c>
      <c r="AF14" s="1" t="s">
        <v>74</v>
      </c>
      <c r="AG14" s="1" t="s">
        <v>74</v>
      </c>
      <c r="AH14" s="1" t="s">
        <v>74</v>
      </c>
      <c r="AI14" s="1" t="s">
        <v>74</v>
      </c>
      <c r="AJ14" s="1" t="s">
        <v>74</v>
      </c>
      <c r="AK14" s="1" t="s">
        <v>74</v>
      </c>
      <c r="AL14" s="1" t="s">
        <v>74</v>
      </c>
      <c r="AM14" s="1" t="s">
        <v>74</v>
      </c>
      <c r="AN14" s="1" t="s">
        <v>74</v>
      </c>
      <c r="AO14" s="1" t="s">
        <v>143</v>
      </c>
      <c r="AP14" s="1" t="s">
        <v>144</v>
      </c>
      <c r="AQ14" s="1" t="s">
        <v>74</v>
      </c>
      <c r="AR14" s="1" t="s">
        <v>74</v>
      </c>
      <c r="AS14" s="1" t="s">
        <v>74</v>
      </c>
      <c r="AT14" s="1" t="s">
        <v>352</v>
      </c>
      <c r="AU14" s="1">
        <v>2008</v>
      </c>
      <c r="AV14" s="1">
        <v>76</v>
      </c>
      <c r="AW14" s="1" t="s">
        <v>74</v>
      </c>
      <c r="AX14" s="1">
        <v>3</v>
      </c>
      <c r="AY14" s="1" t="s">
        <v>74</v>
      </c>
      <c r="AZ14" s="1" t="s">
        <v>74</v>
      </c>
      <c r="BA14" s="1" t="s">
        <v>74</v>
      </c>
      <c r="BB14" s="1">
        <v>657</v>
      </c>
      <c r="BC14" s="1">
        <v>667</v>
      </c>
      <c r="BD14" s="1" t="s">
        <v>74</v>
      </c>
      <c r="BE14" s="1" t="s">
        <v>4031</v>
      </c>
      <c r="BF14" s="1" t="str">
        <f>HYPERLINK("http://dx.doi.org/10.1016/j.anbehav.2008.03.014","http://dx.doi.org/10.1016/j.anbehav.2008.03.014")</f>
        <v>http://dx.doi.org/10.1016/j.anbehav.2008.03.014</v>
      </c>
      <c r="BG14" s="1" t="s">
        <v>74</v>
      </c>
      <c r="BH14" s="1" t="s">
        <v>74</v>
      </c>
      <c r="BI14" s="1" t="s">
        <v>74</v>
      </c>
      <c r="BJ14" s="1" t="s">
        <v>74</v>
      </c>
      <c r="BK14" s="1" t="s">
        <v>74</v>
      </c>
      <c r="BL14" s="1" t="s">
        <v>74</v>
      </c>
      <c r="BM14" s="1" t="s">
        <v>74</v>
      </c>
      <c r="BN14" s="1" t="s">
        <v>74</v>
      </c>
      <c r="BO14" s="1" t="s">
        <v>74</v>
      </c>
      <c r="BP14" s="1" t="s">
        <v>74</v>
      </c>
      <c r="BQ14" s="1" t="s">
        <v>74</v>
      </c>
      <c r="BR14" s="1" t="s">
        <v>74</v>
      </c>
      <c r="BS14" s="1" t="s">
        <v>4032</v>
      </c>
      <c r="BT14" s="1" t="str">
        <f>HYPERLINK("https%3A%2F%2Fwww.webofscience.com%2Fwos%2Fwoscc%2Ffull-record%2FWOS:000258490800016","View Full Record in Web of Science")</f>
        <v>View Full Record in Web of Science</v>
      </c>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row>
    <row r="15" spans="1:314" s="2" customFormat="1" x14ac:dyDescent="0.4">
      <c r="A15" s="1" t="s">
        <v>72</v>
      </c>
      <c r="B15" s="1" t="s">
        <v>3203</v>
      </c>
      <c r="C15" s="1" t="s">
        <v>74</v>
      </c>
      <c r="D15" s="1" t="s">
        <v>74</v>
      </c>
      <c r="E15" s="1" t="s">
        <v>74</v>
      </c>
      <c r="F15" s="1" t="s">
        <v>3203</v>
      </c>
      <c r="G15" s="1" t="s">
        <v>74</v>
      </c>
      <c r="H15" s="1" t="s">
        <v>74</v>
      </c>
      <c r="I15" s="1" t="s">
        <v>3204</v>
      </c>
      <c r="J15" s="1" t="s">
        <v>509</v>
      </c>
      <c r="K15" s="1" t="s">
        <v>74</v>
      </c>
      <c r="L15" s="1" t="s">
        <v>74</v>
      </c>
      <c r="M15" s="1" t="s">
        <v>74</v>
      </c>
      <c r="N15" s="1" t="s">
        <v>74</v>
      </c>
      <c r="O15" s="1" t="s">
        <v>74</v>
      </c>
      <c r="P15" s="1" t="s">
        <v>74</v>
      </c>
      <c r="Q15" s="1" t="s">
        <v>74</v>
      </c>
      <c r="R15" s="1" t="s">
        <v>74</v>
      </c>
      <c r="S15" s="1" t="s">
        <v>74</v>
      </c>
      <c r="T15" s="1" t="s">
        <v>74</v>
      </c>
      <c r="U15" s="1" t="s">
        <v>74</v>
      </c>
      <c r="V15" s="4" t="s">
        <v>3205</v>
      </c>
      <c r="W15" s="1" t="s">
        <v>74</v>
      </c>
      <c r="X15" s="1" t="s">
        <v>74</v>
      </c>
      <c r="Y15" s="1" t="s">
        <v>74</v>
      </c>
      <c r="Z15" s="1" t="s">
        <v>74</v>
      </c>
      <c r="AA15" s="1" t="s">
        <v>74</v>
      </c>
      <c r="AB15" s="1" t="s">
        <v>74</v>
      </c>
      <c r="AC15" s="1" t="s">
        <v>74</v>
      </c>
      <c r="AD15" s="1" t="s">
        <v>74</v>
      </c>
      <c r="AE15" s="1" t="s">
        <v>74</v>
      </c>
      <c r="AF15" s="1" t="s">
        <v>74</v>
      </c>
      <c r="AG15" s="1" t="s">
        <v>74</v>
      </c>
      <c r="AH15" s="1" t="s">
        <v>74</v>
      </c>
      <c r="AI15" s="1" t="s">
        <v>74</v>
      </c>
      <c r="AJ15" s="1" t="s">
        <v>74</v>
      </c>
      <c r="AK15" s="1" t="s">
        <v>74</v>
      </c>
      <c r="AL15" s="1" t="s">
        <v>74</v>
      </c>
      <c r="AM15" s="1" t="s">
        <v>74</v>
      </c>
      <c r="AN15" s="1" t="s">
        <v>74</v>
      </c>
      <c r="AO15" s="1" t="s">
        <v>511</v>
      </c>
      <c r="AP15" s="1" t="s">
        <v>512</v>
      </c>
      <c r="AQ15" s="1" t="s">
        <v>74</v>
      </c>
      <c r="AR15" s="1" t="s">
        <v>74</v>
      </c>
      <c r="AS15" s="1" t="s">
        <v>74</v>
      </c>
      <c r="AT15" s="1" t="s">
        <v>123</v>
      </c>
      <c r="AU15" s="1">
        <v>2005</v>
      </c>
      <c r="AV15" s="1">
        <v>47</v>
      </c>
      <c r="AW15" s="1">
        <v>3</v>
      </c>
      <c r="AX15" s="1" t="s">
        <v>74</v>
      </c>
      <c r="AY15" s="1" t="s">
        <v>74</v>
      </c>
      <c r="AZ15" s="1" t="s">
        <v>74</v>
      </c>
      <c r="BA15" s="1" t="s">
        <v>74</v>
      </c>
      <c r="BB15" s="1">
        <v>336</v>
      </c>
      <c r="BC15" s="1">
        <v>342</v>
      </c>
      <c r="BD15" s="1" t="s">
        <v>74</v>
      </c>
      <c r="BE15" s="1" t="s">
        <v>3206</v>
      </c>
      <c r="BF15" s="1" t="str">
        <f>HYPERLINK("http://dx.doi.org/10.1016/j.yhbeh.2004.11.014","http://dx.doi.org/10.1016/j.yhbeh.2004.11.014")</f>
        <v>http://dx.doi.org/10.1016/j.yhbeh.2004.11.014</v>
      </c>
      <c r="BG15" s="1" t="s">
        <v>74</v>
      </c>
      <c r="BH15" s="1" t="s">
        <v>74</v>
      </c>
      <c r="BI15" s="1" t="s">
        <v>74</v>
      </c>
      <c r="BJ15" s="1" t="s">
        <v>74</v>
      </c>
      <c r="BK15" s="1" t="s">
        <v>74</v>
      </c>
      <c r="BL15" s="1" t="s">
        <v>74</v>
      </c>
      <c r="BM15" s="1" t="s">
        <v>74</v>
      </c>
      <c r="BN15" s="1">
        <v>15708763</v>
      </c>
      <c r="BO15" s="1" t="s">
        <v>74</v>
      </c>
      <c r="BP15" s="1" t="s">
        <v>74</v>
      </c>
      <c r="BQ15" s="1" t="s">
        <v>74</v>
      </c>
      <c r="BR15" s="1" t="s">
        <v>74</v>
      </c>
      <c r="BS15" s="1" t="s">
        <v>3207</v>
      </c>
      <c r="BT15" s="1" t="str">
        <f>HYPERLINK("https%3A%2F%2Fwww.webofscience.com%2Fwos%2Fwoscc%2Ffull-record%2FWOS:000227326100013","View Full Record in Web of Science")</f>
        <v>View Full Record in Web of Science</v>
      </c>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row>
    <row r="16" spans="1:314" s="2" customFormat="1" x14ac:dyDescent="0.4">
      <c r="A16" s="1" t="s">
        <v>72</v>
      </c>
      <c r="B16" s="1" t="s">
        <v>1524</v>
      </c>
      <c r="C16" s="1" t="s">
        <v>74</v>
      </c>
      <c r="D16" s="1" t="s">
        <v>74</v>
      </c>
      <c r="E16" s="1" t="s">
        <v>74</v>
      </c>
      <c r="F16" s="1" t="s">
        <v>1524</v>
      </c>
      <c r="G16" s="1" t="s">
        <v>74</v>
      </c>
      <c r="H16" s="1" t="s">
        <v>74</v>
      </c>
      <c r="I16" s="1" t="s">
        <v>1525</v>
      </c>
      <c r="J16" s="1" t="s">
        <v>1526</v>
      </c>
      <c r="K16" s="1" t="s">
        <v>74</v>
      </c>
      <c r="L16" s="1" t="s">
        <v>74</v>
      </c>
      <c r="M16" s="1" t="s">
        <v>74</v>
      </c>
      <c r="N16" s="1" t="s">
        <v>74</v>
      </c>
      <c r="O16" s="1" t="s">
        <v>74</v>
      </c>
      <c r="P16" s="1" t="s">
        <v>74</v>
      </c>
      <c r="Q16" s="1" t="s">
        <v>74</v>
      </c>
      <c r="R16" s="1" t="s">
        <v>74</v>
      </c>
      <c r="S16" s="1" t="s">
        <v>74</v>
      </c>
      <c r="T16" s="1" t="s">
        <v>74</v>
      </c>
      <c r="U16" s="1" t="s">
        <v>74</v>
      </c>
      <c r="V16" s="4" t="s">
        <v>1527</v>
      </c>
      <c r="W16" s="1" t="s">
        <v>74</v>
      </c>
      <c r="X16" s="1" t="s">
        <v>74</v>
      </c>
      <c r="Y16" s="1" t="s">
        <v>74</v>
      </c>
      <c r="Z16" s="1" t="s">
        <v>74</v>
      </c>
      <c r="AA16" s="1" t="s">
        <v>74</v>
      </c>
      <c r="AB16" s="1" t="s">
        <v>74</v>
      </c>
      <c r="AC16" s="1" t="s">
        <v>74</v>
      </c>
      <c r="AD16" s="1" t="s">
        <v>74</v>
      </c>
      <c r="AE16" s="1" t="s">
        <v>74</v>
      </c>
      <c r="AF16" s="1" t="s">
        <v>74</v>
      </c>
      <c r="AG16" s="1" t="s">
        <v>74</v>
      </c>
      <c r="AH16" s="1" t="s">
        <v>74</v>
      </c>
      <c r="AI16" s="1" t="s">
        <v>74</v>
      </c>
      <c r="AJ16" s="1" t="s">
        <v>74</v>
      </c>
      <c r="AK16" s="1" t="s">
        <v>74</v>
      </c>
      <c r="AL16" s="1" t="s">
        <v>74</v>
      </c>
      <c r="AM16" s="1" t="s">
        <v>74</v>
      </c>
      <c r="AN16" s="1" t="s">
        <v>74</v>
      </c>
      <c r="AO16" s="1" t="s">
        <v>1528</v>
      </c>
      <c r="AP16" s="1" t="s">
        <v>74</v>
      </c>
      <c r="AQ16" s="1" t="s">
        <v>74</v>
      </c>
      <c r="AR16" s="1" t="s">
        <v>74</v>
      </c>
      <c r="AS16" s="1" t="s">
        <v>74</v>
      </c>
      <c r="AT16" s="1" t="s">
        <v>213</v>
      </c>
      <c r="AU16" s="1">
        <v>1999</v>
      </c>
      <c r="AV16" s="1">
        <v>101</v>
      </c>
      <c r="AW16" s="1">
        <v>4</v>
      </c>
      <c r="AX16" s="1" t="s">
        <v>74</v>
      </c>
      <c r="AY16" s="1" t="s">
        <v>74</v>
      </c>
      <c r="AZ16" s="1" t="s">
        <v>74</v>
      </c>
      <c r="BA16" s="1" t="s">
        <v>74</v>
      </c>
      <c r="BB16" s="1">
        <v>842</v>
      </c>
      <c r="BC16" s="1">
        <v>845</v>
      </c>
      <c r="BD16" s="1" t="s">
        <v>74</v>
      </c>
      <c r="BE16" s="1" t="s">
        <v>1529</v>
      </c>
      <c r="BF16" s="1" t="str">
        <f>HYPERLINK("http://dx.doi.org/10.2307/1370072","http://dx.doi.org/10.2307/1370072")</f>
        <v>http://dx.doi.org/10.2307/1370072</v>
      </c>
      <c r="BG16" s="1" t="s">
        <v>74</v>
      </c>
      <c r="BH16" s="1" t="s">
        <v>74</v>
      </c>
      <c r="BI16" s="1" t="s">
        <v>74</v>
      </c>
      <c r="BJ16" s="1" t="s">
        <v>74</v>
      </c>
      <c r="BK16" s="1" t="s">
        <v>74</v>
      </c>
      <c r="BL16" s="1" t="s">
        <v>74</v>
      </c>
      <c r="BM16" s="1" t="s">
        <v>74</v>
      </c>
      <c r="BN16" s="1" t="s">
        <v>74</v>
      </c>
      <c r="BO16" s="1" t="s">
        <v>74</v>
      </c>
      <c r="BP16" s="1" t="s">
        <v>74</v>
      </c>
      <c r="BQ16" s="1" t="s">
        <v>74</v>
      </c>
      <c r="BR16" s="1" t="s">
        <v>74</v>
      </c>
      <c r="BS16" s="1" t="s">
        <v>1530</v>
      </c>
      <c r="BT16" s="1" t="str">
        <f>HYPERLINK("https%3A%2F%2Fwww.webofscience.com%2Fwos%2Fwoscc%2Ffull-record%2FWOS:000083884100014","View Full Record in Web of Science")</f>
        <v>View Full Record in Web of Science</v>
      </c>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row>
    <row r="17" spans="1:314" s="2" customFormat="1" x14ac:dyDescent="0.4">
      <c r="A17" s="1" t="s">
        <v>72</v>
      </c>
      <c r="B17" s="1" t="s">
        <v>3983</v>
      </c>
      <c r="C17" s="1" t="s">
        <v>74</v>
      </c>
      <c r="D17" s="1" t="s">
        <v>74</v>
      </c>
      <c r="E17" s="1" t="s">
        <v>74</v>
      </c>
      <c r="F17" s="1" t="s">
        <v>3984</v>
      </c>
      <c r="G17" s="1" t="s">
        <v>74</v>
      </c>
      <c r="H17" s="1" t="s">
        <v>74</v>
      </c>
      <c r="I17" s="1" t="s">
        <v>3985</v>
      </c>
      <c r="J17" s="1" t="s">
        <v>333</v>
      </c>
      <c r="K17" s="1" t="s">
        <v>74</v>
      </c>
      <c r="L17" s="1" t="s">
        <v>74</v>
      </c>
      <c r="M17" s="1" t="s">
        <v>74</v>
      </c>
      <c r="N17" s="1" t="s">
        <v>74</v>
      </c>
      <c r="O17" s="1" t="s">
        <v>74</v>
      </c>
      <c r="P17" s="1" t="s">
        <v>74</v>
      </c>
      <c r="Q17" s="1" t="s">
        <v>74</v>
      </c>
      <c r="R17" s="1" t="s">
        <v>74</v>
      </c>
      <c r="S17" s="1" t="s">
        <v>74</v>
      </c>
      <c r="T17" s="1" t="s">
        <v>74</v>
      </c>
      <c r="U17" s="1" t="s">
        <v>74</v>
      </c>
      <c r="V17" s="4" t="s">
        <v>3986</v>
      </c>
      <c r="W17" s="1" t="s">
        <v>74</v>
      </c>
      <c r="X17" s="1" t="s">
        <v>74</v>
      </c>
      <c r="Y17" s="1" t="s">
        <v>74</v>
      </c>
      <c r="Z17" s="1" t="s">
        <v>74</v>
      </c>
      <c r="AA17" s="1" t="s">
        <v>74</v>
      </c>
      <c r="AB17" s="1" t="s">
        <v>74</v>
      </c>
      <c r="AC17" s="1" t="s">
        <v>74</v>
      </c>
      <c r="AD17" s="1" t="s">
        <v>74</v>
      </c>
      <c r="AE17" s="1" t="s">
        <v>74</v>
      </c>
      <c r="AF17" s="1" t="s">
        <v>74</v>
      </c>
      <c r="AG17" s="1" t="s">
        <v>74</v>
      </c>
      <c r="AH17" s="1" t="s">
        <v>74</v>
      </c>
      <c r="AI17" s="1" t="s">
        <v>74</v>
      </c>
      <c r="AJ17" s="1" t="s">
        <v>74</v>
      </c>
      <c r="AK17" s="1" t="s">
        <v>74</v>
      </c>
      <c r="AL17" s="1" t="s">
        <v>74</v>
      </c>
      <c r="AM17" s="1" t="s">
        <v>74</v>
      </c>
      <c r="AN17" s="1" t="s">
        <v>74</v>
      </c>
      <c r="AO17" s="1" t="s">
        <v>337</v>
      </c>
      <c r="AP17" s="1" t="s">
        <v>338</v>
      </c>
      <c r="AQ17" s="1" t="s">
        <v>74</v>
      </c>
      <c r="AR17" s="1" t="s">
        <v>74</v>
      </c>
      <c r="AS17" s="1" t="s">
        <v>74</v>
      </c>
      <c r="AT17" s="1" t="s">
        <v>1038</v>
      </c>
      <c r="AU17" s="1">
        <v>2015</v>
      </c>
      <c r="AV17" s="1">
        <v>26</v>
      </c>
      <c r="AW17" s="1">
        <v>2</v>
      </c>
      <c r="AX17" s="1" t="s">
        <v>74</v>
      </c>
      <c r="AY17" s="1" t="s">
        <v>74</v>
      </c>
      <c r="AZ17" s="1" t="s">
        <v>74</v>
      </c>
      <c r="BA17" s="1" t="s">
        <v>74</v>
      </c>
      <c r="BB17" s="1">
        <v>560</v>
      </c>
      <c r="BC17" s="1">
        <v>568</v>
      </c>
      <c r="BD17" s="1" t="s">
        <v>74</v>
      </c>
      <c r="BE17" s="1" t="s">
        <v>3987</v>
      </c>
      <c r="BF17" s="1" t="str">
        <f>HYPERLINK("http://dx.doi.org/10.1093/beheco/aru231","http://dx.doi.org/10.1093/beheco/aru231")</f>
        <v>http://dx.doi.org/10.1093/beheco/aru231</v>
      </c>
      <c r="BG17" s="1" t="s">
        <v>74</v>
      </c>
      <c r="BH17" s="1" t="s">
        <v>74</v>
      </c>
      <c r="BI17" s="1" t="s">
        <v>74</v>
      </c>
      <c r="BJ17" s="1" t="s">
        <v>74</v>
      </c>
      <c r="BK17" s="1" t="s">
        <v>74</v>
      </c>
      <c r="BL17" s="1" t="s">
        <v>74</v>
      </c>
      <c r="BM17" s="1" t="s">
        <v>74</v>
      </c>
      <c r="BN17" s="1" t="s">
        <v>74</v>
      </c>
      <c r="BO17" s="1" t="s">
        <v>74</v>
      </c>
      <c r="BP17" s="1" t="s">
        <v>74</v>
      </c>
      <c r="BQ17" s="1" t="s">
        <v>74</v>
      </c>
      <c r="BR17" s="1" t="s">
        <v>74</v>
      </c>
      <c r="BS17" s="1" t="s">
        <v>3988</v>
      </c>
      <c r="BT17" s="1" t="str">
        <f>HYPERLINK("https%3A%2F%2Fwww.webofscience.com%2Fwos%2Fwoscc%2Ffull-record%2FWOS:000352271800037","View Full Record in Web of Science")</f>
        <v>View Full Record in Web of Science</v>
      </c>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row>
    <row r="18" spans="1:314" s="2" customFormat="1" x14ac:dyDescent="0.4">
      <c r="A18" s="1" t="s">
        <v>72</v>
      </c>
      <c r="B18" s="1" t="s">
        <v>7079</v>
      </c>
      <c r="C18" s="1" t="s">
        <v>74</v>
      </c>
      <c r="D18" s="1" t="s">
        <v>74</v>
      </c>
      <c r="E18" s="1" t="s">
        <v>74</v>
      </c>
      <c r="F18" s="1" t="s">
        <v>7080</v>
      </c>
      <c r="G18" s="1" t="s">
        <v>74</v>
      </c>
      <c r="H18" s="1" t="s">
        <v>74</v>
      </c>
      <c r="I18" s="1" t="s">
        <v>7081</v>
      </c>
      <c r="J18" s="1" t="s">
        <v>171</v>
      </c>
      <c r="K18" s="1" t="s">
        <v>74</v>
      </c>
      <c r="L18" s="1" t="s">
        <v>74</v>
      </c>
      <c r="M18" s="1" t="s">
        <v>74</v>
      </c>
      <c r="N18" s="1" t="s">
        <v>74</v>
      </c>
      <c r="O18" s="1" t="s">
        <v>74</v>
      </c>
      <c r="P18" s="1" t="s">
        <v>74</v>
      </c>
      <c r="Q18" s="1" t="s">
        <v>74</v>
      </c>
      <c r="R18" s="1" t="s">
        <v>74</v>
      </c>
      <c r="S18" s="1" t="s">
        <v>74</v>
      </c>
      <c r="T18" s="1" t="s">
        <v>74</v>
      </c>
      <c r="U18" s="1" t="s">
        <v>74</v>
      </c>
      <c r="V18" s="4" t="s">
        <v>7082</v>
      </c>
      <c r="W18" s="1" t="s">
        <v>74</v>
      </c>
      <c r="X18" s="1" t="s">
        <v>74</v>
      </c>
      <c r="Y18" s="1" t="s">
        <v>74</v>
      </c>
      <c r="Z18" s="1" t="s">
        <v>74</v>
      </c>
      <c r="AA18" s="1" t="s">
        <v>74</v>
      </c>
      <c r="AB18" s="1" t="s">
        <v>74</v>
      </c>
      <c r="AC18" s="1" t="s">
        <v>74</v>
      </c>
      <c r="AD18" s="1" t="s">
        <v>74</v>
      </c>
      <c r="AE18" s="1" t="s">
        <v>74</v>
      </c>
      <c r="AF18" s="1" t="s">
        <v>74</v>
      </c>
      <c r="AG18" s="1" t="s">
        <v>74</v>
      </c>
      <c r="AH18" s="1" t="s">
        <v>74</v>
      </c>
      <c r="AI18" s="1" t="s">
        <v>74</v>
      </c>
      <c r="AJ18" s="1" t="s">
        <v>74</v>
      </c>
      <c r="AK18" s="1" t="s">
        <v>74</v>
      </c>
      <c r="AL18" s="1" t="s">
        <v>74</v>
      </c>
      <c r="AM18" s="1" t="s">
        <v>74</v>
      </c>
      <c r="AN18" s="1" t="s">
        <v>74</v>
      </c>
      <c r="AO18" s="1" t="s">
        <v>173</v>
      </c>
      <c r="AP18" s="1" t="s">
        <v>174</v>
      </c>
      <c r="AQ18" s="1" t="s">
        <v>74</v>
      </c>
      <c r="AR18" s="1" t="s">
        <v>74</v>
      </c>
      <c r="AS18" s="1" t="s">
        <v>74</v>
      </c>
      <c r="AT18" s="1" t="s">
        <v>964</v>
      </c>
      <c r="AU18" s="1">
        <v>2011</v>
      </c>
      <c r="AV18" s="1">
        <v>65</v>
      </c>
      <c r="AW18" s="1">
        <v>2</v>
      </c>
      <c r="AX18" s="1" t="s">
        <v>74</v>
      </c>
      <c r="AY18" s="1" t="s">
        <v>74</v>
      </c>
      <c r="AZ18" s="1" t="s">
        <v>74</v>
      </c>
      <c r="BA18" s="1" t="s">
        <v>74</v>
      </c>
      <c r="BB18" s="1">
        <v>599</v>
      </c>
      <c r="BC18" s="1">
        <v>605</v>
      </c>
      <c r="BD18" s="1" t="s">
        <v>74</v>
      </c>
      <c r="BE18" s="1" t="s">
        <v>7083</v>
      </c>
      <c r="BF18" s="1" t="str">
        <f>HYPERLINK("http://dx.doi.org/10.1111/j.1558-5646.2010.01154.x","http://dx.doi.org/10.1111/j.1558-5646.2010.01154.x")</f>
        <v>http://dx.doi.org/10.1111/j.1558-5646.2010.01154.x</v>
      </c>
      <c r="BG18" s="1" t="s">
        <v>74</v>
      </c>
      <c r="BH18" s="1" t="s">
        <v>74</v>
      </c>
      <c r="BI18" s="1" t="s">
        <v>74</v>
      </c>
      <c r="BJ18" s="1" t="s">
        <v>74</v>
      </c>
      <c r="BK18" s="1" t="s">
        <v>74</v>
      </c>
      <c r="BL18" s="1" t="s">
        <v>74</v>
      </c>
      <c r="BM18" s="1" t="s">
        <v>74</v>
      </c>
      <c r="BN18" s="1">
        <v>21271999</v>
      </c>
      <c r="BO18" s="1" t="s">
        <v>74</v>
      </c>
      <c r="BP18" s="1" t="s">
        <v>74</v>
      </c>
      <c r="BQ18" s="1" t="s">
        <v>74</v>
      </c>
      <c r="BR18" s="1" t="s">
        <v>74</v>
      </c>
      <c r="BS18" s="1" t="s">
        <v>7084</v>
      </c>
      <c r="BT18" s="1" t="str">
        <f>HYPERLINK("https%3A%2F%2Fwww.webofscience.com%2Fwos%2Fwoscc%2Ffull-record%2FWOS:000286629100024","View Full Record in Web of Science")</f>
        <v>View Full Record in Web of Science</v>
      </c>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row>
    <row r="19" spans="1:314" s="2" customFormat="1" x14ac:dyDescent="0.4">
      <c r="A19" s="1" t="s">
        <v>72</v>
      </c>
      <c r="B19" s="1" t="s">
        <v>5785</v>
      </c>
      <c r="C19" s="1" t="s">
        <v>74</v>
      </c>
      <c r="D19" s="1" t="s">
        <v>74</v>
      </c>
      <c r="E19" s="1" t="s">
        <v>74</v>
      </c>
      <c r="F19" s="1" t="s">
        <v>5785</v>
      </c>
      <c r="G19" s="1" t="s">
        <v>74</v>
      </c>
      <c r="H19" s="1" t="s">
        <v>74</v>
      </c>
      <c r="I19" s="1" t="s">
        <v>5786</v>
      </c>
      <c r="J19" s="1" t="s">
        <v>431</v>
      </c>
      <c r="K19" s="1" t="s">
        <v>74</v>
      </c>
      <c r="L19" s="1" t="s">
        <v>74</v>
      </c>
      <c r="M19" s="1" t="s">
        <v>74</v>
      </c>
      <c r="N19" s="1" t="s">
        <v>74</v>
      </c>
      <c r="O19" s="1" t="s">
        <v>74</v>
      </c>
      <c r="P19" s="1" t="s">
        <v>74</v>
      </c>
      <c r="Q19" s="1" t="s">
        <v>74</v>
      </c>
      <c r="R19" s="1" t="s">
        <v>74</v>
      </c>
      <c r="S19" s="1" t="s">
        <v>74</v>
      </c>
      <c r="T19" s="1" t="s">
        <v>74</v>
      </c>
      <c r="U19" s="1" t="s">
        <v>74</v>
      </c>
      <c r="V19" s="4" t="s">
        <v>5787</v>
      </c>
      <c r="W19" s="1" t="s">
        <v>74</v>
      </c>
      <c r="X19" s="1" t="s">
        <v>74</v>
      </c>
      <c r="Y19" s="1" t="s">
        <v>74</v>
      </c>
      <c r="Z19" s="1" t="s">
        <v>74</v>
      </c>
      <c r="AA19" s="1" t="s">
        <v>74</v>
      </c>
      <c r="AB19" s="1" t="s">
        <v>74</v>
      </c>
      <c r="AC19" s="1" t="s">
        <v>74</v>
      </c>
      <c r="AD19" s="1" t="s">
        <v>74</v>
      </c>
      <c r="AE19" s="1" t="s">
        <v>74</v>
      </c>
      <c r="AF19" s="1" t="s">
        <v>74</v>
      </c>
      <c r="AG19" s="1" t="s">
        <v>74</v>
      </c>
      <c r="AH19" s="1" t="s">
        <v>74</v>
      </c>
      <c r="AI19" s="1" t="s">
        <v>74</v>
      </c>
      <c r="AJ19" s="1" t="s">
        <v>74</v>
      </c>
      <c r="AK19" s="1" t="s">
        <v>74</v>
      </c>
      <c r="AL19" s="1" t="s">
        <v>74</v>
      </c>
      <c r="AM19" s="1" t="s">
        <v>74</v>
      </c>
      <c r="AN19" s="1" t="s">
        <v>74</v>
      </c>
      <c r="AO19" s="1" t="s">
        <v>1458</v>
      </c>
      <c r="AP19" s="1" t="s">
        <v>435</v>
      </c>
      <c r="AQ19" s="1" t="s">
        <v>74</v>
      </c>
      <c r="AR19" s="1" t="s">
        <v>74</v>
      </c>
      <c r="AS19" s="1" t="s">
        <v>74</v>
      </c>
      <c r="AT19" s="1" t="s">
        <v>175</v>
      </c>
      <c r="AU19" s="1">
        <v>1996</v>
      </c>
      <c r="AV19" s="1">
        <v>113</v>
      </c>
      <c r="AW19" s="1">
        <v>4</v>
      </c>
      <c r="AX19" s="1" t="s">
        <v>74</v>
      </c>
      <c r="AY19" s="1" t="s">
        <v>74</v>
      </c>
      <c r="AZ19" s="1" t="s">
        <v>74</v>
      </c>
      <c r="BA19" s="1" t="s">
        <v>74</v>
      </c>
      <c r="BB19" s="1">
        <v>849</v>
      </c>
      <c r="BC19" s="1">
        <v>857</v>
      </c>
      <c r="BD19" s="1" t="s">
        <v>74</v>
      </c>
      <c r="BE19" s="1" t="s">
        <v>5788</v>
      </c>
      <c r="BF19" s="1" t="str">
        <f>HYPERLINK("http://dx.doi.org/10.2307/4088863","http://dx.doi.org/10.2307/4088863")</f>
        <v>http://dx.doi.org/10.2307/4088863</v>
      </c>
      <c r="BG19" s="1" t="s">
        <v>74</v>
      </c>
      <c r="BH19" s="1" t="s">
        <v>74</v>
      </c>
      <c r="BI19" s="1" t="s">
        <v>74</v>
      </c>
      <c r="BJ19" s="1" t="s">
        <v>74</v>
      </c>
      <c r="BK19" s="1" t="s">
        <v>74</v>
      </c>
      <c r="BL19" s="1" t="s">
        <v>74</v>
      </c>
      <c r="BM19" s="1" t="s">
        <v>74</v>
      </c>
      <c r="BN19" s="1" t="s">
        <v>74</v>
      </c>
      <c r="BO19" s="1" t="s">
        <v>74</v>
      </c>
      <c r="BP19" s="1" t="s">
        <v>74</v>
      </c>
      <c r="BQ19" s="1" t="s">
        <v>74</v>
      </c>
      <c r="BR19" s="1" t="s">
        <v>74</v>
      </c>
      <c r="BS19" s="1" t="s">
        <v>5789</v>
      </c>
      <c r="BT19" s="1" t="str">
        <f>HYPERLINK("https%3A%2F%2Fwww.webofscience.com%2Fwos%2Fwoscc%2Ffull-record%2FWOS:A1996VN96300011","View Full Record in Web of Science")</f>
        <v>View Full Record in Web of Science</v>
      </c>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row>
    <row r="20" spans="1:314" s="2" customFormat="1" x14ac:dyDescent="0.4">
      <c r="A20" s="1" t="s">
        <v>72</v>
      </c>
      <c r="B20" s="1" t="s">
        <v>4789</v>
      </c>
      <c r="C20" s="1" t="s">
        <v>74</v>
      </c>
      <c r="D20" s="1" t="s">
        <v>74</v>
      </c>
      <c r="E20" s="1" t="s">
        <v>74</v>
      </c>
      <c r="F20" s="1" t="s">
        <v>4789</v>
      </c>
      <c r="G20" s="1" t="s">
        <v>74</v>
      </c>
      <c r="H20" s="1" t="s">
        <v>74</v>
      </c>
      <c r="I20" s="1" t="s">
        <v>4790</v>
      </c>
      <c r="J20" s="1" t="s">
        <v>4791</v>
      </c>
      <c r="K20" s="1" t="s">
        <v>74</v>
      </c>
      <c r="L20" s="1" t="s">
        <v>74</v>
      </c>
      <c r="M20" s="1" t="s">
        <v>74</v>
      </c>
      <c r="N20" s="1" t="s">
        <v>74</v>
      </c>
      <c r="O20" s="1" t="s">
        <v>74</v>
      </c>
      <c r="P20" s="1" t="s">
        <v>74</v>
      </c>
      <c r="Q20" s="1" t="s">
        <v>74</v>
      </c>
      <c r="R20" s="1" t="s">
        <v>74</v>
      </c>
      <c r="S20" s="1" t="s">
        <v>74</v>
      </c>
      <c r="T20" s="1" t="s">
        <v>74</v>
      </c>
      <c r="U20" s="1" t="s">
        <v>74</v>
      </c>
      <c r="V20" s="4" t="s">
        <v>4792</v>
      </c>
      <c r="W20" s="1" t="s">
        <v>74</v>
      </c>
      <c r="X20" s="1" t="s">
        <v>74</v>
      </c>
      <c r="Y20" s="1" t="s">
        <v>74</v>
      </c>
      <c r="Z20" s="1" t="s">
        <v>74</v>
      </c>
      <c r="AA20" s="1" t="s">
        <v>74</v>
      </c>
      <c r="AB20" s="1" t="s">
        <v>74</v>
      </c>
      <c r="AC20" s="1" t="s">
        <v>74</v>
      </c>
      <c r="AD20" s="1" t="s">
        <v>74</v>
      </c>
      <c r="AE20" s="1" t="s">
        <v>74</v>
      </c>
      <c r="AF20" s="1" t="s">
        <v>74</v>
      </c>
      <c r="AG20" s="1" t="s">
        <v>74</v>
      </c>
      <c r="AH20" s="1" t="s">
        <v>74</v>
      </c>
      <c r="AI20" s="1" t="s">
        <v>74</v>
      </c>
      <c r="AJ20" s="1" t="s">
        <v>74</v>
      </c>
      <c r="AK20" s="1" t="s">
        <v>74</v>
      </c>
      <c r="AL20" s="1" t="s">
        <v>74</v>
      </c>
      <c r="AM20" s="1" t="s">
        <v>74</v>
      </c>
      <c r="AN20" s="1" t="s">
        <v>74</v>
      </c>
      <c r="AO20" s="1" t="s">
        <v>4793</v>
      </c>
      <c r="AP20" s="1" t="s">
        <v>74</v>
      </c>
      <c r="AQ20" s="1" t="s">
        <v>74</v>
      </c>
      <c r="AR20" s="1" t="s">
        <v>74</v>
      </c>
      <c r="AS20" s="1" t="s">
        <v>74</v>
      </c>
      <c r="AT20" s="1" t="s">
        <v>361</v>
      </c>
      <c r="AU20" s="1">
        <v>1997</v>
      </c>
      <c r="AV20" s="1">
        <v>278</v>
      </c>
      <c r="AW20" s="1">
        <v>1</v>
      </c>
      <c r="AX20" s="1" t="s">
        <v>74</v>
      </c>
      <c r="AY20" s="1" t="s">
        <v>74</v>
      </c>
      <c r="AZ20" s="1" t="s">
        <v>74</v>
      </c>
      <c r="BA20" s="1" t="s">
        <v>74</v>
      </c>
      <c r="BB20" s="1">
        <v>9</v>
      </c>
      <c r="BC20" s="1">
        <v>21</v>
      </c>
      <c r="BD20" s="1" t="s">
        <v>74</v>
      </c>
      <c r="BE20" s="1" t="s">
        <v>4794</v>
      </c>
      <c r="BF20" s="1" t="str">
        <f>HYPERLINK("http://dx.doi.org/10.1002/(SICI)1097-010X(19970501)278:1&lt;9::AID-JEZ2&gt;3.0.CO;2-T","http://dx.doi.org/10.1002/(SICI)1097-010X(19970501)278:1&lt;9::AID-JEZ2&gt;3.0.CO;2-T")</f>
        <v>http://dx.doi.org/10.1002/(SICI)1097-010X(19970501)278:1&lt;9::AID-JEZ2&gt;3.0.CO;2-T</v>
      </c>
      <c r="BG20" s="1" t="s">
        <v>74</v>
      </c>
      <c r="BH20" s="1" t="s">
        <v>74</v>
      </c>
      <c r="BI20" s="1" t="s">
        <v>74</v>
      </c>
      <c r="BJ20" s="1" t="s">
        <v>74</v>
      </c>
      <c r="BK20" s="1" t="s">
        <v>74</v>
      </c>
      <c r="BL20" s="1" t="s">
        <v>74</v>
      </c>
      <c r="BM20" s="1" t="s">
        <v>74</v>
      </c>
      <c r="BN20" s="1" t="s">
        <v>74</v>
      </c>
      <c r="BO20" s="1" t="s">
        <v>74</v>
      </c>
      <c r="BP20" s="1" t="s">
        <v>74</v>
      </c>
      <c r="BQ20" s="1" t="s">
        <v>74</v>
      </c>
      <c r="BR20" s="1" t="s">
        <v>74</v>
      </c>
      <c r="BS20" s="1" t="s">
        <v>4795</v>
      </c>
      <c r="BT20" s="1" t="str">
        <f>HYPERLINK("https%3A%2F%2Fwww.webofscience.com%2Fwos%2Fwoscc%2Ffull-record%2FWOS:A1997WW30700002","View Full Record in Web of Science")</f>
        <v>View Full Record in Web of Science</v>
      </c>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row>
    <row r="21" spans="1:314" s="2" customFormat="1" x14ac:dyDescent="0.4">
      <c r="A21" s="1" t="s">
        <v>72</v>
      </c>
      <c r="B21" s="1" t="s">
        <v>1469</v>
      </c>
      <c r="C21" s="1" t="s">
        <v>74</v>
      </c>
      <c r="D21" s="1" t="s">
        <v>74</v>
      </c>
      <c r="E21" s="1" t="s">
        <v>74</v>
      </c>
      <c r="F21" s="1" t="s">
        <v>1470</v>
      </c>
      <c r="G21" s="1" t="s">
        <v>74</v>
      </c>
      <c r="H21" s="1" t="s">
        <v>74</v>
      </c>
      <c r="I21" s="1" t="s">
        <v>1471</v>
      </c>
      <c r="J21" s="1" t="s">
        <v>333</v>
      </c>
      <c r="K21" s="1" t="s">
        <v>74</v>
      </c>
      <c r="L21" s="1" t="s">
        <v>74</v>
      </c>
      <c r="M21" s="1" t="s">
        <v>74</v>
      </c>
      <c r="N21" s="1" t="s">
        <v>74</v>
      </c>
      <c r="O21" s="1" t="s">
        <v>74</v>
      </c>
      <c r="P21" s="1" t="s">
        <v>74</v>
      </c>
      <c r="Q21" s="1" t="s">
        <v>74</v>
      </c>
      <c r="R21" s="1" t="s">
        <v>74</v>
      </c>
      <c r="S21" s="1" t="s">
        <v>74</v>
      </c>
      <c r="T21" s="1" t="s">
        <v>74</v>
      </c>
      <c r="U21" s="1" t="s">
        <v>74</v>
      </c>
      <c r="V21" s="4" t="s">
        <v>1472</v>
      </c>
      <c r="W21" s="1" t="s">
        <v>74</v>
      </c>
      <c r="X21" s="1" t="s">
        <v>74</v>
      </c>
      <c r="Y21" s="1" t="s">
        <v>74</v>
      </c>
      <c r="Z21" s="1" t="s">
        <v>74</v>
      </c>
      <c r="AA21" s="1" t="s">
        <v>1473</v>
      </c>
      <c r="AB21" s="1" t="s">
        <v>1474</v>
      </c>
      <c r="AC21" s="1" t="s">
        <v>74</v>
      </c>
      <c r="AD21" s="1" t="s">
        <v>74</v>
      </c>
      <c r="AE21" s="1" t="s">
        <v>74</v>
      </c>
      <c r="AF21" s="1" t="s">
        <v>74</v>
      </c>
      <c r="AG21" s="1" t="s">
        <v>74</v>
      </c>
      <c r="AH21" s="1" t="s">
        <v>74</v>
      </c>
      <c r="AI21" s="1" t="s">
        <v>74</v>
      </c>
      <c r="AJ21" s="1" t="s">
        <v>74</v>
      </c>
      <c r="AK21" s="1" t="s">
        <v>74</v>
      </c>
      <c r="AL21" s="1" t="s">
        <v>74</v>
      </c>
      <c r="AM21" s="1" t="s">
        <v>74</v>
      </c>
      <c r="AN21" s="1" t="s">
        <v>74</v>
      </c>
      <c r="AO21" s="1" t="s">
        <v>337</v>
      </c>
      <c r="AP21" s="1" t="s">
        <v>338</v>
      </c>
      <c r="AQ21" s="1" t="s">
        <v>74</v>
      </c>
      <c r="AR21" s="1" t="s">
        <v>74</v>
      </c>
      <c r="AS21" s="1" t="s">
        <v>74</v>
      </c>
      <c r="AT21" s="1" t="s">
        <v>1475</v>
      </c>
      <c r="AU21" s="1">
        <v>2009</v>
      </c>
      <c r="AV21" s="1">
        <v>20</v>
      </c>
      <c r="AW21" s="1">
        <v>1</v>
      </c>
      <c r="AX21" s="1" t="s">
        <v>74</v>
      </c>
      <c r="AY21" s="1" t="s">
        <v>74</v>
      </c>
      <c r="AZ21" s="1" t="s">
        <v>74</v>
      </c>
      <c r="BA21" s="1" t="s">
        <v>74</v>
      </c>
      <c r="BB21" s="1">
        <v>138</v>
      </c>
      <c r="BC21" s="1">
        <v>144</v>
      </c>
      <c r="BD21" s="1" t="s">
        <v>74</v>
      </c>
      <c r="BE21" s="1" t="s">
        <v>1476</v>
      </c>
      <c r="BF21" s="1" t="str">
        <f>HYPERLINK("http://dx.doi.org/10.1093/beheco/arn125","http://dx.doi.org/10.1093/beheco/arn125")</f>
        <v>http://dx.doi.org/10.1093/beheco/arn125</v>
      </c>
      <c r="BG21" s="1" t="s">
        <v>74</v>
      </c>
      <c r="BH21" s="1" t="s">
        <v>74</v>
      </c>
      <c r="BI21" s="1" t="s">
        <v>74</v>
      </c>
      <c r="BJ21" s="1" t="s">
        <v>74</v>
      </c>
      <c r="BK21" s="1" t="s">
        <v>74</v>
      </c>
      <c r="BL21" s="1" t="s">
        <v>74</v>
      </c>
      <c r="BM21" s="1" t="s">
        <v>74</v>
      </c>
      <c r="BN21" s="1" t="s">
        <v>74</v>
      </c>
      <c r="BO21" s="1" t="s">
        <v>74</v>
      </c>
      <c r="BP21" s="1" t="s">
        <v>74</v>
      </c>
      <c r="BQ21" s="1" t="s">
        <v>74</v>
      </c>
      <c r="BR21" s="1" t="s">
        <v>74</v>
      </c>
      <c r="BS21" s="1" t="s">
        <v>1477</v>
      </c>
      <c r="BT21" s="1" t="str">
        <f>HYPERLINK("https%3A%2F%2Fwww.webofscience.com%2Fwos%2Fwoscc%2Ffull-record%2FWOS:000262152300018","View Full Record in Web of Science")</f>
        <v>View Full Record in Web of Science</v>
      </c>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row>
    <row r="22" spans="1:314" s="2" customFormat="1" x14ac:dyDescent="0.4">
      <c r="A22" s="1" t="s">
        <v>72</v>
      </c>
      <c r="B22" s="1" t="s">
        <v>1360</v>
      </c>
      <c r="C22" s="1" t="s">
        <v>74</v>
      </c>
      <c r="D22" s="1" t="s">
        <v>74</v>
      </c>
      <c r="E22" s="1" t="s">
        <v>74</v>
      </c>
      <c r="F22" s="1" t="s">
        <v>1361</v>
      </c>
      <c r="G22" s="1" t="s">
        <v>74</v>
      </c>
      <c r="H22" s="1" t="s">
        <v>74</v>
      </c>
      <c r="I22" s="1" t="s">
        <v>1362</v>
      </c>
      <c r="J22" s="1" t="s">
        <v>333</v>
      </c>
      <c r="K22" s="1" t="s">
        <v>74</v>
      </c>
      <c r="L22" s="1" t="s">
        <v>74</v>
      </c>
      <c r="M22" s="1" t="s">
        <v>74</v>
      </c>
      <c r="N22" s="1" t="s">
        <v>74</v>
      </c>
      <c r="O22" s="1" t="s">
        <v>74</v>
      </c>
      <c r="P22" s="1" t="s">
        <v>74</v>
      </c>
      <c r="Q22" s="1" t="s">
        <v>74</v>
      </c>
      <c r="R22" s="1" t="s">
        <v>74</v>
      </c>
      <c r="S22" s="1" t="s">
        <v>74</v>
      </c>
      <c r="T22" s="1" t="s">
        <v>74</v>
      </c>
      <c r="U22" s="1" t="s">
        <v>74</v>
      </c>
      <c r="V22" s="4" t="s">
        <v>1363</v>
      </c>
      <c r="W22" s="1" t="s">
        <v>74</v>
      </c>
      <c r="X22" s="1" t="s">
        <v>74</v>
      </c>
      <c r="Y22" s="1" t="s">
        <v>74</v>
      </c>
      <c r="Z22" s="1" t="s">
        <v>74</v>
      </c>
      <c r="AA22" s="1" t="s">
        <v>484</v>
      </c>
      <c r="AB22" s="1" t="s">
        <v>485</v>
      </c>
      <c r="AC22" s="1" t="s">
        <v>74</v>
      </c>
      <c r="AD22" s="1" t="s">
        <v>74</v>
      </c>
      <c r="AE22" s="1" t="s">
        <v>74</v>
      </c>
      <c r="AF22" s="1" t="s">
        <v>74</v>
      </c>
      <c r="AG22" s="1" t="s">
        <v>74</v>
      </c>
      <c r="AH22" s="1" t="s">
        <v>74</v>
      </c>
      <c r="AI22" s="1" t="s">
        <v>74</v>
      </c>
      <c r="AJ22" s="1" t="s">
        <v>74</v>
      </c>
      <c r="AK22" s="1" t="s">
        <v>74</v>
      </c>
      <c r="AL22" s="1" t="s">
        <v>74</v>
      </c>
      <c r="AM22" s="1" t="s">
        <v>74</v>
      </c>
      <c r="AN22" s="1" t="s">
        <v>74</v>
      </c>
      <c r="AO22" s="1" t="s">
        <v>337</v>
      </c>
      <c r="AP22" s="1" t="s">
        <v>338</v>
      </c>
      <c r="AQ22" s="1" t="s">
        <v>74</v>
      </c>
      <c r="AR22" s="1" t="s">
        <v>74</v>
      </c>
      <c r="AS22" s="1" t="s">
        <v>74</v>
      </c>
      <c r="AT22" s="1" t="s">
        <v>808</v>
      </c>
      <c r="AU22" s="1">
        <v>2009</v>
      </c>
      <c r="AV22" s="1">
        <v>20</v>
      </c>
      <c r="AW22" s="1">
        <v>3</v>
      </c>
      <c r="AX22" s="1" t="s">
        <v>74</v>
      </c>
      <c r="AY22" s="1" t="s">
        <v>74</v>
      </c>
      <c r="AZ22" s="1" t="s">
        <v>74</v>
      </c>
      <c r="BA22" s="1" t="s">
        <v>74</v>
      </c>
      <c r="BB22" s="1">
        <v>593</v>
      </c>
      <c r="BC22" s="1">
        <v>600</v>
      </c>
      <c r="BD22" s="1" t="s">
        <v>74</v>
      </c>
      <c r="BE22" s="1" t="s">
        <v>1364</v>
      </c>
      <c r="BF22" s="1" t="str">
        <f>HYPERLINK("http://dx.doi.org/10.1093/beheco/arp036","http://dx.doi.org/10.1093/beheco/arp036")</f>
        <v>http://dx.doi.org/10.1093/beheco/arp036</v>
      </c>
      <c r="BG22" s="1" t="s">
        <v>74</v>
      </c>
      <c r="BH22" s="1" t="s">
        <v>74</v>
      </c>
      <c r="BI22" s="1" t="s">
        <v>74</v>
      </c>
      <c r="BJ22" s="1" t="s">
        <v>74</v>
      </c>
      <c r="BK22" s="1" t="s">
        <v>74</v>
      </c>
      <c r="BL22" s="1" t="s">
        <v>74</v>
      </c>
      <c r="BM22" s="1" t="s">
        <v>74</v>
      </c>
      <c r="BN22" s="1" t="s">
        <v>74</v>
      </c>
      <c r="BO22" s="1" t="s">
        <v>74</v>
      </c>
      <c r="BP22" s="1" t="s">
        <v>74</v>
      </c>
      <c r="BQ22" s="1" t="s">
        <v>74</v>
      </c>
      <c r="BR22" s="1" t="s">
        <v>74</v>
      </c>
      <c r="BS22" s="1" t="s">
        <v>1365</v>
      </c>
      <c r="BT22" s="1" t="str">
        <f>HYPERLINK("https%3A%2F%2Fwww.webofscience.com%2Fwos%2Fwoscc%2Ffull-record%2FWOS:000265950200018","View Full Record in Web of Science")</f>
        <v>View Full Record in Web of Science</v>
      </c>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row>
    <row r="23" spans="1:314" s="2" customFormat="1" x14ac:dyDescent="0.4">
      <c r="A23" s="1" t="s">
        <v>72</v>
      </c>
      <c r="B23" s="1" t="s">
        <v>8064</v>
      </c>
      <c r="C23" s="1" t="s">
        <v>74</v>
      </c>
      <c r="D23" s="1" t="s">
        <v>74</v>
      </c>
      <c r="E23" s="1" t="s">
        <v>74</v>
      </c>
      <c r="F23" s="1" t="s">
        <v>8065</v>
      </c>
      <c r="G23" s="1" t="s">
        <v>74</v>
      </c>
      <c r="H23" s="1" t="s">
        <v>74</v>
      </c>
      <c r="I23" s="1" t="s">
        <v>8066</v>
      </c>
      <c r="J23" s="1" t="s">
        <v>8067</v>
      </c>
      <c r="K23" s="1" t="s">
        <v>74</v>
      </c>
      <c r="L23" s="1" t="s">
        <v>74</v>
      </c>
      <c r="M23" s="1" t="s">
        <v>74</v>
      </c>
      <c r="N23" s="1" t="s">
        <v>74</v>
      </c>
      <c r="O23" s="1" t="s">
        <v>74</v>
      </c>
      <c r="P23" s="1" t="s">
        <v>74</v>
      </c>
      <c r="Q23" s="1" t="s">
        <v>74</v>
      </c>
      <c r="R23" s="1" t="s">
        <v>74</v>
      </c>
      <c r="S23" s="1" t="s">
        <v>74</v>
      </c>
      <c r="T23" s="1" t="s">
        <v>74</v>
      </c>
      <c r="U23" s="1" t="s">
        <v>74</v>
      </c>
      <c r="V23" s="4" t="s">
        <v>8068</v>
      </c>
      <c r="W23" s="1" t="s">
        <v>74</v>
      </c>
      <c r="X23" s="1" t="s">
        <v>74</v>
      </c>
      <c r="Y23" s="1" t="s">
        <v>74</v>
      </c>
      <c r="Z23" s="1" t="s">
        <v>74</v>
      </c>
      <c r="AA23" s="1" t="s">
        <v>8069</v>
      </c>
      <c r="AB23" s="1" t="s">
        <v>8070</v>
      </c>
      <c r="AC23" s="1" t="s">
        <v>74</v>
      </c>
      <c r="AD23" s="1" t="s">
        <v>74</v>
      </c>
      <c r="AE23" s="1" t="s">
        <v>74</v>
      </c>
      <c r="AF23" s="1" t="s">
        <v>74</v>
      </c>
      <c r="AG23" s="1" t="s">
        <v>74</v>
      </c>
      <c r="AH23" s="1" t="s">
        <v>74</v>
      </c>
      <c r="AI23" s="1" t="s">
        <v>74</v>
      </c>
      <c r="AJ23" s="1" t="s">
        <v>74</v>
      </c>
      <c r="AK23" s="1" t="s">
        <v>74</v>
      </c>
      <c r="AL23" s="1" t="s">
        <v>74</v>
      </c>
      <c r="AM23" s="1" t="s">
        <v>74</v>
      </c>
      <c r="AN23" s="1" t="s">
        <v>74</v>
      </c>
      <c r="AO23" s="1" t="s">
        <v>8071</v>
      </c>
      <c r="AP23" s="1" t="s">
        <v>8072</v>
      </c>
      <c r="AQ23" s="1" t="s">
        <v>74</v>
      </c>
      <c r="AR23" s="1" t="s">
        <v>74</v>
      </c>
      <c r="AS23" s="1" t="s">
        <v>74</v>
      </c>
      <c r="AT23" s="1" t="s">
        <v>769</v>
      </c>
      <c r="AU23" s="1">
        <v>2019</v>
      </c>
      <c r="AV23" s="1">
        <v>236</v>
      </c>
      <c r="AW23" s="1">
        <v>1</v>
      </c>
      <c r="AX23" s="1" t="s">
        <v>74</v>
      </c>
      <c r="AY23" s="1" t="s">
        <v>74</v>
      </c>
      <c r="AZ23" s="1" t="s">
        <v>74</v>
      </c>
      <c r="BA23" s="1" t="s">
        <v>74</v>
      </c>
      <c r="BB23" s="1">
        <v>43</v>
      </c>
      <c r="BC23" s="1">
        <v>54</v>
      </c>
      <c r="BD23" s="1" t="s">
        <v>74</v>
      </c>
      <c r="BE23" s="1" t="s">
        <v>8073</v>
      </c>
      <c r="BF23" s="1" t="str">
        <f>HYPERLINK("http://dx.doi.org/10.1086/700836","http://dx.doi.org/10.1086/700836")</f>
        <v>http://dx.doi.org/10.1086/700836</v>
      </c>
      <c r="BG23" s="1" t="s">
        <v>74</v>
      </c>
      <c r="BH23" s="1" t="s">
        <v>74</v>
      </c>
      <c r="BI23" s="1" t="s">
        <v>74</v>
      </c>
      <c r="BJ23" s="1" t="s">
        <v>74</v>
      </c>
      <c r="BK23" s="1" t="s">
        <v>74</v>
      </c>
      <c r="BL23" s="1" t="s">
        <v>74</v>
      </c>
      <c r="BM23" s="1" t="s">
        <v>74</v>
      </c>
      <c r="BN23" s="1">
        <v>30707606</v>
      </c>
      <c r="BO23" s="1" t="s">
        <v>74</v>
      </c>
      <c r="BP23" s="1" t="s">
        <v>74</v>
      </c>
      <c r="BQ23" s="1" t="s">
        <v>74</v>
      </c>
      <c r="BR23" s="1" t="s">
        <v>74</v>
      </c>
      <c r="BS23" s="1" t="s">
        <v>8074</v>
      </c>
      <c r="BT23" s="1" t="str">
        <f>HYPERLINK("https%3A%2F%2Fwww.webofscience.com%2Fwos%2Fwoscc%2Ffull-record%2FWOS:000457792100004","View Full Record in Web of Science")</f>
        <v>View Full Record in Web of Science</v>
      </c>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row>
    <row r="24" spans="1:314" s="2" customFormat="1" x14ac:dyDescent="0.4">
      <c r="A24" s="1" t="s">
        <v>72</v>
      </c>
      <c r="B24" s="1" t="s">
        <v>3298</v>
      </c>
      <c r="C24" s="1" t="s">
        <v>74</v>
      </c>
      <c r="D24" s="1" t="s">
        <v>74</v>
      </c>
      <c r="E24" s="1" t="s">
        <v>74</v>
      </c>
      <c r="F24" s="1" t="s">
        <v>3298</v>
      </c>
      <c r="G24" s="1" t="s">
        <v>74</v>
      </c>
      <c r="H24" s="1" t="s">
        <v>74</v>
      </c>
      <c r="I24" s="1" t="s">
        <v>3299</v>
      </c>
      <c r="J24" s="1" t="s">
        <v>1244</v>
      </c>
      <c r="K24" s="1" t="s">
        <v>74</v>
      </c>
      <c r="L24" s="1" t="s">
        <v>74</v>
      </c>
      <c r="M24" s="1" t="s">
        <v>74</v>
      </c>
      <c r="N24" s="1" t="s">
        <v>74</v>
      </c>
      <c r="O24" s="1" t="s">
        <v>74</v>
      </c>
      <c r="P24" s="1" t="s">
        <v>74</v>
      </c>
      <c r="Q24" s="1" t="s">
        <v>74</v>
      </c>
      <c r="R24" s="1" t="s">
        <v>74</v>
      </c>
      <c r="S24" s="1" t="s">
        <v>74</v>
      </c>
      <c r="T24" s="1" t="s">
        <v>74</v>
      </c>
      <c r="U24" s="1" t="s">
        <v>74</v>
      </c>
      <c r="V24" s="4" t="s">
        <v>3300</v>
      </c>
      <c r="W24" s="1" t="s">
        <v>74</v>
      </c>
      <c r="X24" s="1" t="s">
        <v>74</v>
      </c>
      <c r="Y24" s="1" t="s">
        <v>74</v>
      </c>
      <c r="Z24" s="1" t="s">
        <v>74</v>
      </c>
      <c r="AA24" s="1" t="s">
        <v>3301</v>
      </c>
      <c r="AB24" s="1" t="s">
        <v>74</v>
      </c>
      <c r="AC24" s="1" t="s">
        <v>74</v>
      </c>
      <c r="AD24" s="1" t="s">
        <v>74</v>
      </c>
      <c r="AE24" s="1" t="s">
        <v>74</v>
      </c>
      <c r="AF24" s="1" t="s">
        <v>74</v>
      </c>
      <c r="AG24" s="1" t="s">
        <v>74</v>
      </c>
      <c r="AH24" s="1" t="s">
        <v>74</v>
      </c>
      <c r="AI24" s="1" t="s">
        <v>74</v>
      </c>
      <c r="AJ24" s="1" t="s">
        <v>74</v>
      </c>
      <c r="AK24" s="1" t="s">
        <v>74</v>
      </c>
      <c r="AL24" s="1" t="s">
        <v>74</v>
      </c>
      <c r="AM24" s="1" t="s">
        <v>74</v>
      </c>
      <c r="AN24" s="1" t="s">
        <v>74</v>
      </c>
      <c r="AO24" s="1" t="s">
        <v>1246</v>
      </c>
      <c r="AP24" s="1" t="s">
        <v>74</v>
      </c>
      <c r="AQ24" s="1" t="s">
        <v>74</v>
      </c>
      <c r="AR24" s="1" t="s">
        <v>74</v>
      </c>
      <c r="AS24" s="1" t="s">
        <v>74</v>
      </c>
      <c r="AT24" s="1" t="s">
        <v>3302</v>
      </c>
      <c r="AU24" s="1">
        <v>2006</v>
      </c>
      <c r="AV24" s="1">
        <v>35</v>
      </c>
      <c r="AW24" s="1">
        <v>1</v>
      </c>
      <c r="AX24" s="1" t="s">
        <v>74</v>
      </c>
      <c r="AY24" s="1" t="s">
        <v>74</v>
      </c>
      <c r="AZ24" s="1" t="s">
        <v>74</v>
      </c>
      <c r="BA24" s="1" t="s">
        <v>74</v>
      </c>
      <c r="BB24" s="1">
        <v>15</v>
      </c>
      <c r="BC24" s="1">
        <v>22</v>
      </c>
      <c r="BD24" s="1" t="s">
        <v>74</v>
      </c>
      <c r="BE24" s="1" t="s">
        <v>74</v>
      </c>
      <c r="BF24" s="1" t="s">
        <v>74</v>
      </c>
      <c r="BG24" s="1" t="s">
        <v>74</v>
      </c>
      <c r="BH24" s="1" t="s">
        <v>74</v>
      </c>
      <c r="BI24" s="1" t="s">
        <v>74</v>
      </c>
      <c r="BJ24" s="1" t="s">
        <v>74</v>
      </c>
      <c r="BK24" s="1" t="s">
        <v>74</v>
      </c>
      <c r="BL24" s="1" t="s">
        <v>74</v>
      </c>
      <c r="BM24" s="1" t="s">
        <v>74</v>
      </c>
      <c r="BN24" s="1" t="s">
        <v>74</v>
      </c>
      <c r="BO24" s="1" t="s">
        <v>74</v>
      </c>
      <c r="BP24" s="1" t="s">
        <v>74</v>
      </c>
      <c r="BQ24" s="1" t="s">
        <v>74</v>
      </c>
      <c r="BR24" s="1" t="s">
        <v>74</v>
      </c>
      <c r="BS24" s="1" t="s">
        <v>3303</v>
      </c>
      <c r="BT24" s="1" t="str">
        <f>HYPERLINK("https%3A%2F%2Fwww.webofscience.com%2Fwos%2Fwoscc%2Ffull-record%2FWOS:000235795700002","View Full Record in Web of Science")</f>
        <v>View Full Record in Web of Science</v>
      </c>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row>
    <row r="25" spans="1:314" s="2" customFormat="1" x14ac:dyDescent="0.4">
      <c r="A25" s="1" t="s">
        <v>72</v>
      </c>
      <c r="B25" s="1" t="s">
        <v>2342</v>
      </c>
      <c r="C25" s="1" t="s">
        <v>74</v>
      </c>
      <c r="D25" s="1" t="s">
        <v>74</v>
      </c>
      <c r="E25" s="1" t="s">
        <v>74</v>
      </c>
      <c r="F25" s="1" t="s">
        <v>2342</v>
      </c>
      <c r="G25" s="1" t="s">
        <v>74</v>
      </c>
      <c r="H25" s="1" t="s">
        <v>74</v>
      </c>
      <c r="I25" s="1" t="s">
        <v>2343</v>
      </c>
      <c r="J25" s="1" t="s">
        <v>108</v>
      </c>
      <c r="K25" s="1" t="s">
        <v>74</v>
      </c>
      <c r="L25" s="1" t="s">
        <v>74</v>
      </c>
      <c r="M25" s="1" t="s">
        <v>74</v>
      </c>
      <c r="N25" s="1" t="s">
        <v>74</v>
      </c>
      <c r="O25" s="1" t="s">
        <v>74</v>
      </c>
      <c r="P25" s="1" t="s">
        <v>74</v>
      </c>
      <c r="Q25" s="1" t="s">
        <v>74</v>
      </c>
      <c r="R25" s="1" t="s">
        <v>74</v>
      </c>
      <c r="S25" s="1" t="s">
        <v>74</v>
      </c>
      <c r="T25" s="1" t="s">
        <v>74</v>
      </c>
      <c r="U25" s="1" t="s">
        <v>74</v>
      </c>
      <c r="V25" s="4" t="s">
        <v>2344</v>
      </c>
      <c r="W25" s="1" t="s">
        <v>74</v>
      </c>
      <c r="X25" s="1" t="s">
        <v>74</v>
      </c>
      <c r="Y25" s="1" t="s">
        <v>74</v>
      </c>
      <c r="Z25" s="1" t="s">
        <v>74</v>
      </c>
      <c r="AA25" s="1" t="s">
        <v>74</v>
      </c>
      <c r="AB25" s="1" t="s">
        <v>74</v>
      </c>
      <c r="AC25" s="1" t="s">
        <v>74</v>
      </c>
      <c r="AD25" s="1" t="s">
        <v>74</v>
      </c>
      <c r="AE25" s="1" t="s">
        <v>74</v>
      </c>
      <c r="AF25" s="1" t="s">
        <v>74</v>
      </c>
      <c r="AG25" s="1" t="s">
        <v>74</v>
      </c>
      <c r="AH25" s="1" t="s">
        <v>74</v>
      </c>
      <c r="AI25" s="1" t="s">
        <v>74</v>
      </c>
      <c r="AJ25" s="1" t="s">
        <v>74</v>
      </c>
      <c r="AK25" s="1" t="s">
        <v>74</v>
      </c>
      <c r="AL25" s="1" t="s">
        <v>74</v>
      </c>
      <c r="AM25" s="1" t="s">
        <v>74</v>
      </c>
      <c r="AN25" s="1" t="s">
        <v>74</v>
      </c>
      <c r="AO25" s="1" t="s">
        <v>111</v>
      </c>
      <c r="AP25" s="1" t="s">
        <v>112</v>
      </c>
      <c r="AQ25" s="1" t="s">
        <v>74</v>
      </c>
      <c r="AR25" s="1" t="s">
        <v>74</v>
      </c>
      <c r="AS25" s="1" t="s">
        <v>74</v>
      </c>
      <c r="AT25" s="1" t="s">
        <v>2345</v>
      </c>
      <c r="AU25" s="1">
        <v>2003</v>
      </c>
      <c r="AV25" s="1">
        <v>270</v>
      </c>
      <c r="AW25" s="1">
        <v>1519</v>
      </c>
      <c r="AX25" s="1" t="s">
        <v>74</v>
      </c>
      <c r="AY25" s="1" t="s">
        <v>74</v>
      </c>
      <c r="AZ25" s="1" t="s">
        <v>74</v>
      </c>
      <c r="BA25" s="1" t="s">
        <v>74</v>
      </c>
      <c r="BB25" s="1">
        <v>1033</v>
      </c>
      <c r="BC25" s="1">
        <v>1040</v>
      </c>
      <c r="BD25" s="1" t="s">
        <v>74</v>
      </c>
      <c r="BE25" s="1" t="s">
        <v>2346</v>
      </c>
      <c r="BF25" s="1" t="str">
        <f>HYPERLINK("http://dx.doi.org/10.1098/rspb.2003.2348","http://dx.doi.org/10.1098/rspb.2003.2348")</f>
        <v>http://dx.doi.org/10.1098/rspb.2003.2348</v>
      </c>
      <c r="BG25" s="1" t="s">
        <v>74</v>
      </c>
      <c r="BH25" s="1" t="s">
        <v>74</v>
      </c>
      <c r="BI25" s="1" t="s">
        <v>74</v>
      </c>
      <c r="BJ25" s="1" t="s">
        <v>74</v>
      </c>
      <c r="BK25" s="1" t="s">
        <v>74</v>
      </c>
      <c r="BL25" s="1" t="s">
        <v>74</v>
      </c>
      <c r="BM25" s="1" t="s">
        <v>74</v>
      </c>
      <c r="BN25" s="1">
        <v>12803892</v>
      </c>
      <c r="BO25" s="1" t="s">
        <v>74</v>
      </c>
      <c r="BP25" s="1" t="s">
        <v>74</v>
      </c>
      <c r="BQ25" s="1" t="s">
        <v>74</v>
      </c>
      <c r="BR25" s="1" t="s">
        <v>74</v>
      </c>
      <c r="BS25" s="1" t="s">
        <v>2347</v>
      </c>
      <c r="BT25" s="1" t="str">
        <f>HYPERLINK("https%3A%2F%2Fwww.webofscience.com%2Fwos%2Fwoscc%2Ffull-record%2FWOS:000182969100005","View Full Record in Web of Science")</f>
        <v>View Full Record in Web of Science</v>
      </c>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row>
    <row r="26" spans="1:314" s="2" customFormat="1" x14ac:dyDescent="0.4">
      <c r="A26" s="1" t="s">
        <v>72</v>
      </c>
      <c r="B26" s="1" t="s">
        <v>3689</v>
      </c>
      <c r="C26" s="1" t="s">
        <v>74</v>
      </c>
      <c r="D26" s="1" t="s">
        <v>74</v>
      </c>
      <c r="E26" s="1" t="s">
        <v>74</v>
      </c>
      <c r="F26" s="1" t="s">
        <v>3690</v>
      </c>
      <c r="G26" s="1" t="s">
        <v>74</v>
      </c>
      <c r="H26" s="1" t="s">
        <v>74</v>
      </c>
      <c r="I26" s="1" t="s">
        <v>3691</v>
      </c>
      <c r="J26" s="1" t="s">
        <v>140</v>
      </c>
      <c r="K26" s="1" t="s">
        <v>74</v>
      </c>
      <c r="L26" s="1" t="s">
        <v>74</v>
      </c>
      <c r="M26" s="1" t="s">
        <v>74</v>
      </c>
      <c r="N26" s="1" t="s">
        <v>74</v>
      </c>
      <c r="O26" s="1" t="s">
        <v>74</v>
      </c>
      <c r="P26" s="1" t="s">
        <v>74</v>
      </c>
      <c r="Q26" s="1" t="s">
        <v>74</v>
      </c>
      <c r="R26" s="1" t="s">
        <v>74</v>
      </c>
      <c r="S26" s="1" t="s">
        <v>74</v>
      </c>
      <c r="T26" s="1" t="s">
        <v>74</v>
      </c>
      <c r="U26" s="1" t="s">
        <v>74</v>
      </c>
      <c r="V26" s="4" t="s">
        <v>3692</v>
      </c>
      <c r="W26" s="1" t="s">
        <v>74</v>
      </c>
      <c r="X26" s="1" t="s">
        <v>74</v>
      </c>
      <c r="Y26" s="1" t="s">
        <v>74</v>
      </c>
      <c r="Z26" s="1" t="s">
        <v>74</v>
      </c>
      <c r="AA26" s="1" t="s">
        <v>3693</v>
      </c>
      <c r="AB26" s="1" t="s">
        <v>3694</v>
      </c>
      <c r="AC26" s="1" t="s">
        <v>74</v>
      </c>
      <c r="AD26" s="1" t="s">
        <v>74</v>
      </c>
      <c r="AE26" s="1" t="s">
        <v>74</v>
      </c>
      <c r="AF26" s="1" t="s">
        <v>74</v>
      </c>
      <c r="AG26" s="1" t="s">
        <v>74</v>
      </c>
      <c r="AH26" s="1" t="s">
        <v>74</v>
      </c>
      <c r="AI26" s="1" t="s">
        <v>74</v>
      </c>
      <c r="AJ26" s="1" t="s">
        <v>74</v>
      </c>
      <c r="AK26" s="1" t="s">
        <v>74</v>
      </c>
      <c r="AL26" s="1" t="s">
        <v>74</v>
      </c>
      <c r="AM26" s="1" t="s">
        <v>74</v>
      </c>
      <c r="AN26" s="1" t="s">
        <v>74</v>
      </c>
      <c r="AO26" s="1" t="s">
        <v>143</v>
      </c>
      <c r="AP26" s="1" t="s">
        <v>144</v>
      </c>
      <c r="AQ26" s="1" t="s">
        <v>74</v>
      </c>
      <c r="AR26" s="1" t="s">
        <v>74</v>
      </c>
      <c r="AS26" s="1" t="s">
        <v>74</v>
      </c>
      <c r="AT26" s="1" t="s">
        <v>204</v>
      </c>
      <c r="AU26" s="1">
        <v>2014</v>
      </c>
      <c r="AV26" s="1">
        <v>93</v>
      </c>
      <c r="AW26" s="1" t="s">
        <v>74</v>
      </c>
      <c r="AX26" s="1" t="s">
        <v>74</v>
      </c>
      <c r="AY26" s="1" t="s">
        <v>74</v>
      </c>
      <c r="AZ26" s="1" t="s">
        <v>74</v>
      </c>
      <c r="BA26" s="1" t="s">
        <v>74</v>
      </c>
      <c r="BB26" s="1">
        <v>207</v>
      </c>
      <c r="BC26" s="1">
        <v>219</v>
      </c>
      <c r="BD26" s="1" t="s">
        <v>74</v>
      </c>
      <c r="BE26" s="1" t="s">
        <v>3695</v>
      </c>
      <c r="BF26" s="1" t="str">
        <f>HYPERLINK("http://dx.doi.org/10.1016/j.anbehav.2014.04.015","http://dx.doi.org/10.1016/j.anbehav.2014.04.015")</f>
        <v>http://dx.doi.org/10.1016/j.anbehav.2014.04.015</v>
      </c>
      <c r="BG26" s="1" t="s">
        <v>74</v>
      </c>
      <c r="BH26" s="1" t="s">
        <v>74</v>
      </c>
      <c r="BI26" s="1" t="s">
        <v>74</v>
      </c>
      <c r="BJ26" s="1" t="s">
        <v>74</v>
      </c>
      <c r="BK26" s="1" t="s">
        <v>74</v>
      </c>
      <c r="BL26" s="1" t="s">
        <v>74</v>
      </c>
      <c r="BM26" s="1" t="s">
        <v>74</v>
      </c>
      <c r="BN26" s="1">
        <v>25045171</v>
      </c>
      <c r="BO26" s="1" t="s">
        <v>74</v>
      </c>
      <c r="BP26" s="1" t="s">
        <v>74</v>
      </c>
      <c r="BQ26" s="1" t="s">
        <v>74</v>
      </c>
      <c r="BR26" s="1" t="s">
        <v>74</v>
      </c>
      <c r="BS26" s="1" t="s">
        <v>3696</v>
      </c>
      <c r="BT26" s="1" t="str">
        <f>HYPERLINK("https%3A%2F%2Fwww.webofscience.com%2Fwos%2Fwoscc%2Ffull-record%2FWOS:000338712900026","View Full Record in Web of Science")</f>
        <v>View Full Record in Web of Science</v>
      </c>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row>
    <row r="27" spans="1:314" s="2" customFormat="1" x14ac:dyDescent="0.4">
      <c r="A27" s="1" t="s">
        <v>72</v>
      </c>
      <c r="B27" s="1" t="s">
        <v>4844</v>
      </c>
      <c r="C27" s="1" t="s">
        <v>74</v>
      </c>
      <c r="D27" s="1" t="s">
        <v>74</v>
      </c>
      <c r="E27" s="1" t="s">
        <v>74</v>
      </c>
      <c r="F27" s="1" t="s">
        <v>4844</v>
      </c>
      <c r="G27" s="1" t="s">
        <v>74</v>
      </c>
      <c r="H27" s="1" t="s">
        <v>74</v>
      </c>
      <c r="I27" s="1" t="s">
        <v>4845</v>
      </c>
      <c r="J27" s="1" t="s">
        <v>140</v>
      </c>
      <c r="K27" s="1" t="s">
        <v>74</v>
      </c>
      <c r="L27" s="1" t="s">
        <v>74</v>
      </c>
      <c r="M27" s="1" t="s">
        <v>74</v>
      </c>
      <c r="N27" s="1" t="s">
        <v>74</v>
      </c>
      <c r="O27" s="1" t="s">
        <v>74</v>
      </c>
      <c r="P27" s="1" t="s">
        <v>74</v>
      </c>
      <c r="Q27" s="1" t="s">
        <v>74</v>
      </c>
      <c r="R27" s="1" t="s">
        <v>74</v>
      </c>
      <c r="S27" s="1" t="s">
        <v>74</v>
      </c>
      <c r="T27" s="1" t="s">
        <v>74</v>
      </c>
      <c r="U27" s="1" t="s">
        <v>74</v>
      </c>
      <c r="V27" s="4" t="s">
        <v>74</v>
      </c>
      <c r="W27" s="1" t="s">
        <v>74</v>
      </c>
      <c r="X27" s="1" t="s">
        <v>74</v>
      </c>
      <c r="Y27" s="1" t="s">
        <v>74</v>
      </c>
      <c r="Z27" s="1" t="s">
        <v>74</v>
      </c>
      <c r="AA27" s="1" t="s">
        <v>74</v>
      </c>
      <c r="AB27" s="1" t="s">
        <v>74</v>
      </c>
      <c r="AC27" s="1" t="s">
        <v>74</v>
      </c>
      <c r="AD27" s="1" t="s">
        <v>74</v>
      </c>
      <c r="AE27" s="1" t="s">
        <v>74</v>
      </c>
      <c r="AF27" s="1" t="s">
        <v>74</v>
      </c>
      <c r="AG27" s="1" t="s">
        <v>74</v>
      </c>
      <c r="AH27" s="1" t="s">
        <v>74</v>
      </c>
      <c r="AI27" s="1" t="s">
        <v>74</v>
      </c>
      <c r="AJ27" s="1" t="s">
        <v>74</v>
      </c>
      <c r="AK27" s="1" t="s">
        <v>74</v>
      </c>
      <c r="AL27" s="1" t="s">
        <v>74</v>
      </c>
      <c r="AM27" s="1" t="s">
        <v>74</v>
      </c>
      <c r="AN27" s="1" t="s">
        <v>74</v>
      </c>
      <c r="AO27" s="1" t="s">
        <v>143</v>
      </c>
      <c r="AP27" s="1" t="s">
        <v>144</v>
      </c>
      <c r="AQ27" s="1" t="s">
        <v>74</v>
      </c>
      <c r="AR27" s="1" t="s">
        <v>74</v>
      </c>
      <c r="AS27" s="1" t="s">
        <v>74</v>
      </c>
      <c r="AT27" s="1" t="s">
        <v>123</v>
      </c>
      <c r="AU27" s="1">
        <v>1993</v>
      </c>
      <c r="AV27" s="1">
        <v>45</v>
      </c>
      <c r="AW27" s="1">
        <v>3</v>
      </c>
      <c r="AX27" s="1" t="s">
        <v>74</v>
      </c>
      <c r="AY27" s="1" t="s">
        <v>74</v>
      </c>
      <c r="AZ27" s="1" t="s">
        <v>74</v>
      </c>
      <c r="BA27" s="1" t="s">
        <v>74</v>
      </c>
      <c r="BB27" s="1">
        <v>511</v>
      </c>
      <c r="BC27" s="1">
        <v>518</v>
      </c>
      <c r="BD27" s="1" t="s">
        <v>74</v>
      </c>
      <c r="BE27" s="1" t="s">
        <v>4846</v>
      </c>
      <c r="BF27" s="1" t="str">
        <f>HYPERLINK("http://dx.doi.org/10.1006/anbe.1993.1062","http://dx.doi.org/10.1006/anbe.1993.1062")</f>
        <v>http://dx.doi.org/10.1006/anbe.1993.1062</v>
      </c>
      <c r="BG27" s="1" t="s">
        <v>74</v>
      </c>
      <c r="BH27" s="1" t="s">
        <v>74</v>
      </c>
      <c r="BI27" s="1" t="s">
        <v>74</v>
      </c>
      <c r="BJ27" s="1" t="s">
        <v>74</v>
      </c>
      <c r="BK27" s="1" t="s">
        <v>74</v>
      </c>
      <c r="BL27" s="1" t="s">
        <v>74</v>
      </c>
      <c r="BM27" s="1" t="s">
        <v>74</v>
      </c>
      <c r="BN27" s="1" t="s">
        <v>74</v>
      </c>
      <c r="BO27" s="1" t="s">
        <v>74</v>
      </c>
      <c r="BP27" s="1" t="s">
        <v>74</v>
      </c>
      <c r="BQ27" s="1" t="s">
        <v>74</v>
      </c>
      <c r="BR27" s="1" t="s">
        <v>74</v>
      </c>
      <c r="BS27" s="1" t="s">
        <v>4847</v>
      </c>
      <c r="BT27" s="1" t="str">
        <f>HYPERLINK("https%3A%2F%2Fwww.webofscience.com%2Fwos%2Fwoscc%2Ffull-record%2FWOS:A1993KW24700009","View Full Record in Web of Science")</f>
        <v>View Full Record in Web of Science</v>
      </c>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row>
    <row r="28" spans="1:314" s="1" customFormat="1" x14ac:dyDescent="0.4">
      <c r="A28" s="1" t="s">
        <v>72</v>
      </c>
      <c r="B28" s="1" t="s">
        <v>5544</v>
      </c>
      <c r="C28" s="1" t="s">
        <v>74</v>
      </c>
      <c r="D28" s="1" t="s">
        <v>74</v>
      </c>
      <c r="E28" s="1" t="s">
        <v>74</v>
      </c>
      <c r="F28" s="1" t="s">
        <v>5544</v>
      </c>
      <c r="G28" s="1" t="s">
        <v>74</v>
      </c>
      <c r="H28" s="1" t="s">
        <v>74</v>
      </c>
      <c r="I28" s="1" t="s">
        <v>5545</v>
      </c>
      <c r="J28" s="1" t="s">
        <v>140</v>
      </c>
      <c r="K28" s="1" t="s">
        <v>74</v>
      </c>
      <c r="L28" s="1" t="s">
        <v>74</v>
      </c>
      <c r="M28" s="1" t="s">
        <v>74</v>
      </c>
      <c r="N28" s="1" t="s">
        <v>74</v>
      </c>
      <c r="O28" s="1" t="s">
        <v>74</v>
      </c>
      <c r="P28" s="1" t="s">
        <v>74</v>
      </c>
      <c r="Q28" s="1" t="s">
        <v>74</v>
      </c>
      <c r="R28" s="1" t="s">
        <v>74</v>
      </c>
      <c r="S28" s="1" t="s">
        <v>74</v>
      </c>
      <c r="T28" s="1" t="s">
        <v>74</v>
      </c>
      <c r="U28" s="1" t="s">
        <v>74</v>
      </c>
      <c r="V28" s="4" t="s">
        <v>5546</v>
      </c>
      <c r="W28" s="1" t="s">
        <v>74</v>
      </c>
      <c r="X28" s="1" t="s">
        <v>74</v>
      </c>
      <c r="Y28" s="1" t="s">
        <v>74</v>
      </c>
      <c r="Z28" s="1" t="s">
        <v>74</v>
      </c>
      <c r="AA28" s="1" t="s">
        <v>74</v>
      </c>
      <c r="AB28" s="1" t="s">
        <v>74</v>
      </c>
      <c r="AC28" s="1" t="s">
        <v>74</v>
      </c>
      <c r="AD28" s="1" t="s">
        <v>74</v>
      </c>
      <c r="AE28" s="1" t="s">
        <v>74</v>
      </c>
      <c r="AF28" s="1" t="s">
        <v>74</v>
      </c>
      <c r="AG28" s="1" t="s">
        <v>74</v>
      </c>
      <c r="AH28" s="1" t="s">
        <v>74</v>
      </c>
      <c r="AI28" s="1" t="s">
        <v>74</v>
      </c>
      <c r="AJ28" s="1" t="s">
        <v>74</v>
      </c>
      <c r="AK28" s="1" t="s">
        <v>74</v>
      </c>
      <c r="AL28" s="1" t="s">
        <v>74</v>
      </c>
      <c r="AM28" s="1" t="s">
        <v>74</v>
      </c>
      <c r="AN28" s="1" t="s">
        <v>74</v>
      </c>
      <c r="AO28" s="1" t="s">
        <v>143</v>
      </c>
      <c r="AP28" s="1" t="s">
        <v>144</v>
      </c>
      <c r="AQ28" s="1" t="s">
        <v>74</v>
      </c>
      <c r="AR28" s="1" t="s">
        <v>74</v>
      </c>
      <c r="AS28" s="1" t="s">
        <v>74</v>
      </c>
      <c r="AT28" s="1" t="s">
        <v>134</v>
      </c>
      <c r="AU28" s="1">
        <v>2004</v>
      </c>
      <c r="AV28" s="1">
        <v>67</v>
      </c>
      <c r="AW28" s="1" t="s">
        <v>74</v>
      </c>
      <c r="AX28" s="1">
        <v>5</v>
      </c>
      <c r="AY28" s="1" t="s">
        <v>74</v>
      </c>
      <c r="AZ28" s="1" t="s">
        <v>74</v>
      </c>
      <c r="BA28" s="1" t="s">
        <v>74</v>
      </c>
      <c r="BB28" s="1">
        <v>875</v>
      </c>
      <c r="BC28" s="1">
        <v>882</v>
      </c>
      <c r="BD28" s="1" t="s">
        <v>74</v>
      </c>
      <c r="BE28" s="1" t="s">
        <v>5547</v>
      </c>
      <c r="BF28" s="1" t="str">
        <f>HYPERLINK("http://dx.doi.org/10.1016/j.anbehav.2003.05.015","http://dx.doi.org/10.1016/j.anbehav.2003.05.015")</f>
        <v>http://dx.doi.org/10.1016/j.anbehav.2003.05.015</v>
      </c>
      <c r="BG28" s="1" t="s">
        <v>74</v>
      </c>
      <c r="BH28" s="1" t="s">
        <v>74</v>
      </c>
      <c r="BI28" s="1" t="s">
        <v>74</v>
      </c>
      <c r="BJ28" s="1" t="s">
        <v>74</v>
      </c>
      <c r="BK28" s="1" t="s">
        <v>74</v>
      </c>
      <c r="BL28" s="1" t="s">
        <v>74</v>
      </c>
      <c r="BM28" s="1" t="s">
        <v>74</v>
      </c>
      <c r="BN28" s="1" t="s">
        <v>74</v>
      </c>
      <c r="BO28" s="1" t="s">
        <v>74</v>
      </c>
      <c r="BP28" s="1" t="s">
        <v>74</v>
      </c>
      <c r="BQ28" s="1" t="s">
        <v>74</v>
      </c>
      <c r="BR28" s="1" t="s">
        <v>74</v>
      </c>
      <c r="BS28" s="1" t="s">
        <v>5548</v>
      </c>
      <c r="BT28" s="1" t="str">
        <f>HYPERLINK("https%3A%2F%2Fwww.webofscience.com%2Fwos%2Fwoscc%2Ffull-record%2FWOS:000221541600007","View Full Record in Web of Science")</f>
        <v>View Full Record in Web of Science</v>
      </c>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row>
    <row r="29" spans="1:314" s="2" customFormat="1" x14ac:dyDescent="0.4">
      <c r="A29" s="1" t="s">
        <v>72</v>
      </c>
      <c r="B29" s="1" t="s">
        <v>8663</v>
      </c>
      <c r="C29" s="1" t="s">
        <v>74</v>
      </c>
      <c r="D29" s="1" t="s">
        <v>74</v>
      </c>
      <c r="E29" s="1" t="s">
        <v>74</v>
      </c>
      <c r="F29" s="1" t="s">
        <v>8664</v>
      </c>
      <c r="G29" s="1" t="s">
        <v>74</v>
      </c>
      <c r="H29" s="1" t="s">
        <v>74</v>
      </c>
      <c r="I29" s="1" t="s">
        <v>8665</v>
      </c>
      <c r="J29" s="1" t="s">
        <v>8666</v>
      </c>
      <c r="K29" s="1" t="s">
        <v>74</v>
      </c>
      <c r="L29" s="1" t="s">
        <v>74</v>
      </c>
      <c r="M29" s="1" t="s">
        <v>74</v>
      </c>
      <c r="N29" s="1" t="s">
        <v>74</v>
      </c>
      <c r="O29" s="1" t="s">
        <v>74</v>
      </c>
      <c r="P29" s="1" t="s">
        <v>74</v>
      </c>
      <c r="Q29" s="1" t="s">
        <v>74</v>
      </c>
      <c r="R29" s="1" t="s">
        <v>74</v>
      </c>
      <c r="S29" s="1" t="s">
        <v>74</v>
      </c>
      <c r="T29" s="1" t="s">
        <v>74</v>
      </c>
      <c r="U29" s="1" t="s">
        <v>74</v>
      </c>
      <c r="V29" s="4" t="s">
        <v>8667</v>
      </c>
      <c r="W29" s="1" t="s">
        <v>74</v>
      </c>
      <c r="X29" s="1" t="s">
        <v>74</v>
      </c>
      <c r="Y29" s="1" t="s">
        <v>74</v>
      </c>
      <c r="Z29" s="1" t="s">
        <v>74</v>
      </c>
      <c r="AA29" s="1" t="s">
        <v>8668</v>
      </c>
      <c r="AB29" s="1" t="s">
        <v>8669</v>
      </c>
      <c r="AC29" s="1" t="s">
        <v>74</v>
      </c>
      <c r="AD29" s="1" t="s">
        <v>74</v>
      </c>
      <c r="AE29" s="1" t="s">
        <v>74</v>
      </c>
      <c r="AF29" s="1" t="s">
        <v>74</v>
      </c>
      <c r="AG29" s="1" t="s">
        <v>74</v>
      </c>
      <c r="AH29" s="1" t="s">
        <v>74</v>
      </c>
      <c r="AI29" s="1" t="s">
        <v>74</v>
      </c>
      <c r="AJ29" s="1" t="s">
        <v>74</v>
      </c>
      <c r="AK29" s="1" t="s">
        <v>74</v>
      </c>
      <c r="AL29" s="1" t="s">
        <v>74</v>
      </c>
      <c r="AM29" s="1" t="s">
        <v>74</v>
      </c>
      <c r="AN29" s="1" t="s">
        <v>74</v>
      </c>
      <c r="AO29" s="1" t="s">
        <v>8670</v>
      </c>
      <c r="AP29" s="1" t="s">
        <v>8671</v>
      </c>
      <c r="AQ29" s="1" t="s">
        <v>74</v>
      </c>
      <c r="AR29" s="1" t="s">
        <v>74</v>
      </c>
      <c r="AS29" s="1" t="s">
        <v>74</v>
      </c>
      <c r="AT29" s="1" t="s">
        <v>123</v>
      </c>
      <c r="AU29" s="1">
        <v>2011</v>
      </c>
      <c r="AV29" s="1">
        <v>41</v>
      </c>
      <c r="AW29" s="1">
        <v>2</v>
      </c>
      <c r="AX29" s="1" t="s">
        <v>74</v>
      </c>
      <c r="AY29" s="1" t="s">
        <v>74</v>
      </c>
      <c r="AZ29" s="1" t="s">
        <v>74</v>
      </c>
      <c r="BA29" s="1" t="s">
        <v>74</v>
      </c>
      <c r="BB29" s="1">
        <v>312</v>
      </c>
      <c r="BC29" s="1">
        <v>322</v>
      </c>
      <c r="BD29" s="1" t="s">
        <v>74</v>
      </c>
      <c r="BE29" s="1" t="s">
        <v>8672</v>
      </c>
      <c r="BF29" s="1" t="str">
        <f>HYPERLINK("http://dx.doi.org/10.1007/s10519-010-9379-4","http://dx.doi.org/10.1007/s10519-010-9379-4")</f>
        <v>http://dx.doi.org/10.1007/s10519-010-9379-4</v>
      </c>
      <c r="BG29" s="1" t="s">
        <v>74</v>
      </c>
      <c r="BH29" s="1" t="s">
        <v>74</v>
      </c>
      <c r="BI29" s="1" t="s">
        <v>74</v>
      </c>
      <c r="BJ29" s="1" t="s">
        <v>74</v>
      </c>
      <c r="BK29" s="1" t="s">
        <v>74</v>
      </c>
      <c r="BL29" s="1" t="s">
        <v>74</v>
      </c>
      <c r="BM29" s="1" t="s">
        <v>74</v>
      </c>
      <c r="BN29" s="1">
        <v>20623330</v>
      </c>
      <c r="BO29" s="1" t="s">
        <v>74</v>
      </c>
      <c r="BP29" s="1" t="s">
        <v>74</v>
      </c>
      <c r="BQ29" s="1" t="s">
        <v>74</v>
      </c>
      <c r="BR29" s="1" t="s">
        <v>74</v>
      </c>
      <c r="BS29" s="1" t="s">
        <v>8673</v>
      </c>
      <c r="BT29" s="1" t="str">
        <f>HYPERLINK("https%3A%2F%2Fwww.webofscience.com%2Fwos%2Fwoscc%2Ffull-record%2FWOS:000287749700015","View Full Record in Web of Science")</f>
        <v>View Full Record in Web of Science</v>
      </c>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row>
    <row r="30" spans="1:314" s="2" customFormat="1" x14ac:dyDescent="0.4">
      <c r="A30" s="1" t="s">
        <v>72</v>
      </c>
      <c r="B30" s="1" t="s">
        <v>1166</v>
      </c>
      <c r="C30" s="1" t="s">
        <v>74</v>
      </c>
      <c r="D30" s="1" t="s">
        <v>74</v>
      </c>
      <c r="E30" s="1" t="s">
        <v>74</v>
      </c>
      <c r="F30" s="1" t="s">
        <v>1167</v>
      </c>
      <c r="G30" s="1" t="s">
        <v>74</v>
      </c>
      <c r="H30" s="1" t="s">
        <v>74</v>
      </c>
      <c r="I30" s="1" t="s">
        <v>1168</v>
      </c>
      <c r="J30" s="1" t="s">
        <v>119</v>
      </c>
      <c r="K30" s="1" t="s">
        <v>74</v>
      </c>
      <c r="L30" s="1" t="s">
        <v>74</v>
      </c>
      <c r="M30" s="1" t="s">
        <v>74</v>
      </c>
      <c r="N30" s="1" t="s">
        <v>74</v>
      </c>
      <c r="O30" s="1" t="s">
        <v>74</v>
      </c>
      <c r="P30" s="1" t="s">
        <v>74</v>
      </c>
      <c r="Q30" s="1" t="s">
        <v>74</v>
      </c>
      <c r="R30" s="1" t="s">
        <v>74</v>
      </c>
      <c r="S30" s="1" t="s">
        <v>74</v>
      </c>
      <c r="T30" s="1" t="s">
        <v>74</v>
      </c>
      <c r="U30" s="1" t="s">
        <v>74</v>
      </c>
      <c r="V30" s="4" t="s">
        <v>1169</v>
      </c>
      <c r="W30" s="1" t="s">
        <v>74</v>
      </c>
      <c r="X30" s="1" t="s">
        <v>74</v>
      </c>
      <c r="Y30" s="1" t="s">
        <v>74</v>
      </c>
      <c r="Z30" s="1" t="s">
        <v>74</v>
      </c>
      <c r="AA30" s="1" t="s">
        <v>74</v>
      </c>
      <c r="AB30" s="1" t="s">
        <v>74</v>
      </c>
      <c r="AC30" s="1" t="s">
        <v>74</v>
      </c>
      <c r="AD30" s="1" t="s">
        <v>74</v>
      </c>
      <c r="AE30" s="1" t="s">
        <v>74</v>
      </c>
      <c r="AF30" s="1" t="s">
        <v>74</v>
      </c>
      <c r="AG30" s="1" t="s">
        <v>74</v>
      </c>
      <c r="AH30" s="1" t="s">
        <v>74</v>
      </c>
      <c r="AI30" s="1" t="s">
        <v>74</v>
      </c>
      <c r="AJ30" s="1" t="s">
        <v>74</v>
      </c>
      <c r="AK30" s="1" t="s">
        <v>74</v>
      </c>
      <c r="AL30" s="1" t="s">
        <v>74</v>
      </c>
      <c r="AM30" s="1" t="s">
        <v>74</v>
      </c>
      <c r="AN30" s="1" t="s">
        <v>74</v>
      </c>
      <c r="AO30" s="1" t="s">
        <v>121</v>
      </c>
      <c r="AP30" s="1" t="s">
        <v>122</v>
      </c>
      <c r="AQ30" s="1" t="s">
        <v>74</v>
      </c>
      <c r="AR30" s="1" t="s">
        <v>74</v>
      </c>
      <c r="AS30" s="1" t="s">
        <v>74</v>
      </c>
      <c r="AT30" s="1" t="s">
        <v>102</v>
      </c>
      <c r="AU30" s="1">
        <v>2010</v>
      </c>
      <c r="AV30" s="1">
        <v>84</v>
      </c>
      <c r="AW30" s="1">
        <v>2</v>
      </c>
      <c r="AX30" s="1" t="s">
        <v>74</v>
      </c>
      <c r="AY30" s="1" t="s">
        <v>74</v>
      </c>
      <c r="AZ30" s="1" t="s">
        <v>74</v>
      </c>
      <c r="BA30" s="1" t="s">
        <v>74</v>
      </c>
      <c r="BB30" s="1">
        <v>568</v>
      </c>
      <c r="BC30" s="1">
        <v>572</v>
      </c>
      <c r="BD30" s="1" t="s">
        <v>74</v>
      </c>
      <c r="BE30" s="1" t="s">
        <v>1170</v>
      </c>
      <c r="BF30" s="1" t="str">
        <f>HYPERLINK("http://dx.doi.org/10.1016/j.beproc.2010.02.012","http://dx.doi.org/10.1016/j.beproc.2010.02.012")</f>
        <v>http://dx.doi.org/10.1016/j.beproc.2010.02.012</v>
      </c>
      <c r="BG30" s="1" t="s">
        <v>74</v>
      </c>
      <c r="BH30" s="1" t="s">
        <v>74</v>
      </c>
      <c r="BI30" s="1" t="s">
        <v>74</v>
      </c>
      <c r="BJ30" s="1" t="s">
        <v>74</v>
      </c>
      <c r="BK30" s="1" t="s">
        <v>74</v>
      </c>
      <c r="BL30" s="1" t="s">
        <v>74</v>
      </c>
      <c r="BM30" s="1" t="s">
        <v>74</v>
      </c>
      <c r="BN30" s="1">
        <v>20176091</v>
      </c>
      <c r="BO30" s="1" t="s">
        <v>74</v>
      </c>
      <c r="BP30" s="1" t="s">
        <v>74</v>
      </c>
      <c r="BQ30" s="1" t="s">
        <v>74</v>
      </c>
      <c r="BR30" s="1" t="s">
        <v>74</v>
      </c>
      <c r="BS30" s="1" t="s">
        <v>1171</v>
      </c>
      <c r="BT30" s="1" t="str">
        <f>HYPERLINK("https%3A%2F%2Fwww.webofscience.com%2Fwos%2Fwoscc%2Ffull-record%2FWOS:000279096400004","View Full Record in Web of Science")</f>
        <v>View Full Record in Web of Science</v>
      </c>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row>
    <row r="31" spans="1:314" s="2" customFormat="1" x14ac:dyDescent="0.4">
      <c r="A31" s="1" t="s">
        <v>72</v>
      </c>
      <c r="B31" s="1" t="s">
        <v>3217</v>
      </c>
      <c r="C31" s="1" t="s">
        <v>74</v>
      </c>
      <c r="D31" s="1" t="s">
        <v>74</v>
      </c>
      <c r="E31" s="1" t="s">
        <v>74</v>
      </c>
      <c r="F31" s="1" t="s">
        <v>3218</v>
      </c>
      <c r="G31" s="1" t="s">
        <v>74</v>
      </c>
      <c r="H31" s="1" t="s">
        <v>74</v>
      </c>
      <c r="I31" s="1" t="s">
        <v>3219</v>
      </c>
      <c r="J31" s="1" t="s">
        <v>77</v>
      </c>
      <c r="K31" s="1" t="s">
        <v>74</v>
      </c>
      <c r="L31" s="1" t="s">
        <v>74</v>
      </c>
      <c r="M31" s="1" t="s">
        <v>74</v>
      </c>
      <c r="N31" s="1" t="s">
        <v>74</v>
      </c>
      <c r="O31" s="1" t="s">
        <v>74</v>
      </c>
      <c r="P31" s="1" t="s">
        <v>74</v>
      </c>
      <c r="Q31" s="1" t="s">
        <v>74</v>
      </c>
      <c r="R31" s="1" t="s">
        <v>74</v>
      </c>
      <c r="S31" s="1" t="s">
        <v>74</v>
      </c>
      <c r="T31" s="1" t="s">
        <v>74</v>
      </c>
      <c r="U31" s="1" t="s">
        <v>74</v>
      </c>
      <c r="V31" s="4" t="s">
        <v>3220</v>
      </c>
      <c r="W31" s="1" t="s">
        <v>74</v>
      </c>
      <c r="X31" s="1" t="s">
        <v>74</v>
      </c>
      <c r="Y31" s="1" t="s">
        <v>74</v>
      </c>
      <c r="Z31" s="1" t="s">
        <v>74</v>
      </c>
      <c r="AA31" s="1" t="s">
        <v>3221</v>
      </c>
      <c r="AB31" s="1" t="s">
        <v>3222</v>
      </c>
      <c r="AC31" s="1" t="s">
        <v>74</v>
      </c>
      <c r="AD31" s="1" t="s">
        <v>74</v>
      </c>
      <c r="AE31" s="1" t="s">
        <v>74</v>
      </c>
      <c r="AF31" s="1" t="s">
        <v>74</v>
      </c>
      <c r="AG31" s="1" t="s">
        <v>74</v>
      </c>
      <c r="AH31" s="1" t="s">
        <v>74</v>
      </c>
      <c r="AI31" s="1" t="s">
        <v>74</v>
      </c>
      <c r="AJ31" s="1" t="s">
        <v>74</v>
      </c>
      <c r="AK31" s="1" t="s">
        <v>74</v>
      </c>
      <c r="AL31" s="1" t="s">
        <v>74</v>
      </c>
      <c r="AM31" s="1" t="s">
        <v>74</v>
      </c>
      <c r="AN31" s="1" t="s">
        <v>74</v>
      </c>
      <c r="AO31" s="1" t="s">
        <v>81</v>
      </c>
      <c r="AP31" s="1" t="s">
        <v>82</v>
      </c>
      <c r="AQ31" s="1" t="s">
        <v>74</v>
      </c>
      <c r="AR31" s="1" t="s">
        <v>74</v>
      </c>
      <c r="AS31" s="1" t="s">
        <v>74</v>
      </c>
      <c r="AT31" s="1" t="s">
        <v>633</v>
      </c>
      <c r="AU31" s="1">
        <v>2007</v>
      </c>
      <c r="AV31" s="1">
        <v>144</v>
      </c>
      <c r="AW31" s="1" t="s">
        <v>74</v>
      </c>
      <c r="AX31" s="1">
        <v>4</v>
      </c>
      <c r="AY31" s="1" t="s">
        <v>74</v>
      </c>
      <c r="AZ31" s="1" t="s">
        <v>74</v>
      </c>
      <c r="BA31" s="1" t="s">
        <v>74</v>
      </c>
      <c r="BB31" s="1">
        <v>447</v>
      </c>
      <c r="BC31" s="1">
        <v>470</v>
      </c>
      <c r="BD31" s="1" t="s">
        <v>74</v>
      </c>
      <c r="BE31" s="1" t="s">
        <v>3223</v>
      </c>
      <c r="BF31" s="1" t="str">
        <f>HYPERLINK("http://dx.doi.org/10.1163/156853907780756030","http://dx.doi.org/10.1163/156853907780756030")</f>
        <v>http://dx.doi.org/10.1163/156853907780756030</v>
      </c>
      <c r="BG31" s="1" t="s">
        <v>74</v>
      </c>
      <c r="BH31" s="1" t="s">
        <v>74</v>
      </c>
      <c r="BI31" s="1" t="s">
        <v>74</v>
      </c>
      <c r="BJ31" s="1" t="s">
        <v>74</v>
      </c>
      <c r="BK31" s="1" t="s">
        <v>74</v>
      </c>
      <c r="BL31" s="1" t="s">
        <v>74</v>
      </c>
      <c r="BM31" s="1" t="s">
        <v>74</v>
      </c>
      <c r="BN31" s="1" t="s">
        <v>74</v>
      </c>
      <c r="BO31" s="1" t="s">
        <v>74</v>
      </c>
      <c r="BP31" s="1" t="s">
        <v>74</v>
      </c>
      <c r="BQ31" s="1" t="s">
        <v>74</v>
      </c>
      <c r="BR31" s="1" t="s">
        <v>74</v>
      </c>
      <c r="BS31" s="1" t="s">
        <v>3224</v>
      </c>
      <c r="BT31" s="1" t="str">
        <f>HYPERLINK("https%3A%2F%2Fwww.webofscience.com%2Fwos%2Fwoscc%2Ffull-record%2FWOS:000247125600005","View Full Record in Web of Science")</f>
        <v>View Full Record in Web of Science</v>
      </c>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row>
    <row r="32" spans="1:314" s="2" customFormat="1" x14ac:dyDescent="0.4">
      <c r="A32" s="1" t="s">
        <v>72</v>
      </c>
      <c r="B32" s="1" t="s">
        <v>851</v>
      </c>
      <c r="C32" s="1" t="s">
        <v>74</v>
      </c>
      <c r="D32" s="1" t="s">
        <v>74</v>
      </c>
      <c r="E32" s="1" t="s">
        <v>74</v>
      </c>
      <c r="F32" s="1" t="s">
        <v>852</v>
      </c>
      <c r="G32" s="1" t="s">
        <v>74</v>
      </c>
      <c r="H32" s="1" t="s">
        <v>74</v>
      </c>
      <c r="I32" s="1" t="s">
        <v>853</v>
      </c>
      <c r="J32" s="1" t="s">
        <v>509</v>
      </c>
      <c r="K32" s="1" t="s">
        <v>74</v>
      </c>
      <c r="L32" s="1" t="s">
        <v>74</v>
      </c>
      <c r="M32" s="1" t="s">
        <v>74</v>
      </c>
      <c r="N32" s="1" t="s">
        <v>74</v>
      </c>
      <c r="O32" s="1" t="s">
        <v>74</v>
      </c>
      <c r="P32" s="1" t="s">
        <v>74</v>
      </c>
      <c r="Q32" s="1" t="s">
        <v>74</v>
      </c>
      <c r="R32" s="1" t="s">
        <v>74</v>
      </c>
      <c r="S32" s="1" t="s">
        <v>74</v>
      </c>
      <c r="T32" s="1" t="s">
        <v>74</v>
      </c>
      <c r="U32" s="1" t="s">
        <v>74</v>
      </c>
      <c r="V32" s="4" t="s">
        <v>854</v>
      </c>
      <c r="W32" s="1" t="s">
        <v>74</v>
      </c>
      <c r="X32" s="1" t="s">
        <v>74</v>
      </c>
      <c r="Y32" s="1" t="s">
        <v>74</v>
      </c>
      <c r="Z32" s="1" t="s">
        <v>74</v>
      </c>
      <c r="AA32" s="1" t="s">
        <v>855</v>
      </c>
      <c r="AB32" s="1" t="s">
        <v>856</v>
      </c>
      <c r="AC32" s="1" t="s">
        <v>74</v>
      </c>
      <c r="AD32" s="1" t="s">
        <v>74</v>
      </c>
      <c r="AE32" s="1" t="s">
        <v>74</v>
      </c>
      <c r="AF32" s="1" t="s">
        <v>74</v>
      </c>
      <c r="AG32" s="1" t="s">
        <v>74</v>
      </c>
      <c r="AH32" s="1" t="s">
        <v>74</v>
      </c>
      <c r="AI32" s="1" t="s">
        <v>74</v>
      </c>
      <c r="AJ32" s="1" t="s">
        <v>74</v>
      </c>
      <c r="AK32" s="1" t="s">
        <v>74</v>
      </c>
      <c r="AL32" s="1" t="s">
        <v>74</v>
      </c>
      <c r="AM32" s="1" t="s">
        <v>74</v>
      </c>
      <c r="AN32" s="1" t="s">
        <v>74</v>
      </c>
      <c r="AO32" s="1" t="s">
        <v>511</v>
      </c>
      <c r="AP32" s="1" t="s">
        <v>512</v>
      </c>
      <c r="AQ32" s="1" t="s">
        <v>74</v>
      </c>
      <c r="AR32" s="1" t="s">
        <v>74</v>
      </c>
      <c r="AS32" s="1" t="s">
        <v>74</v>
      </c>
      <c r="AT32" s="1" t="s">
        <v>145</v>
      </c>
      <c r="AU32" s="1">
        <v>2008</v>
      </c>
      <c r="AV32" s="1">
        <v>54</v>
      </c>
      <c r="AW32" s="1">
        <v>3</v>
      </c>
      <c r="AX32" s="1" t="s">
        <v>74</v>
      </c>
      <c r="AY32" s="1" t="s">
        <v>74</v>
      </c>
      <c r="AZ32" s="1" t="s">
        <v>74</v>
      </c>
      <c r="BA32" s="1" t="s">
        <v>74</v>
      </c>
      <c r="BB32" s="1">
        <v>463</v>
      </c>
      <c r="BC32" s="1">
        <v>470</v>
      </c>
      <c r="BD32" s="1" t="s">
        <v>74</v>
      </c>
      <c r="BE32" s="1" t="s">
        <v>857</v>
      </c>
      <c r="BF32" s="1" t="str">
        <f>HYPERLINK("http://dx.doi.org/10.1016/j.yhbeh.2008.05.006","http://dx.doi.org/10.1016/j.yhbeh.2008.05.006")</f>
        <v>http://dx.doi.org/10.1016/j.yhbeh.2008.05.006</v>
      </c>
      <c r="BG32" s="1" t="s">
        <v>74</v>
      </c>
      <c r="BH32" s="1" t="s">
        <v>74</v>
      </c>
      <c r="BI32" s="1" t="s">
        <v>74</v>
      </c>
      <c r="BJ32" s="1" t="s">
        <v>74</v>
      </c>
      <c r="BK32" s="1" t="s">
        <v>74</v>
      </c>
      <c r="BL32" s="1" t="s">
        <v>74</v>
      </c>
      <c r="BM32" s="1" t="s">
        <v>74</v>
      </c>
      <c r="BN32" s="1">
        <v>18586245</v>
      </c>
      <c r="BO32" s="1" t="s">
        <v>74</v>
      </c>
      <c r="BP32" s="1" t="s">
        <v>74</v>
      </c>
      <c r="BQ32" s="1" t="s">
        <v>74</v>
      </c>
      <c r="BR32" s="1" t="s">
        <v>74</v>
      </c>
      <c r="BS32" s="1" t="s">
        <v>858</v>
      </c>
      <c r="BT32" s="1" t="str">
        <f>HYPERLINK("https%3A%2F%2Fwww.webofscience.com%2Fwos%2Fwoscc%2Ffull-record%2FWOS:000258812900017","View Full Record in Web of Science")</f>
        <v>View Full Record in Web of Science</v>
      </c>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row>
    <row r="33" spans="1:314" s="7" customFormat="1" x14ac:dyDescent="0.4">
      <c r="A33" s="1" t="s">
        <v>72</v>
      </c>
      <c r="B33" s="1" t="s">
        <v>6344</v>
      </c>
      <c r="C33" s="1" t="s">
        <v>74</v>
      </c>
      <c r="D33" s="1" t="s">
        <v>74</v>
      </c>
      <c r="E33" s="1" t="s">
        <v>74</v>
      </c>
      <c r="F33" s="1" t="s">
        <v>6345</v>
      </c>
      <c r="G33" s="1" t="s">
        <v>74</v>
      </c>
      <c r="H33" s="1" t="s">
        <v>74</v>
      </c>
      <c r="I33" s="1" t="s">
        <v>6346</v>
      </c>
      <c r="J33" s="1" t="s">
        <v>140</v>
      </c>
      <c r="K33" s="1" t="s">
        <v>74</v>
      </c>
      <c r="L33" s="1" t="s">
        <v>74</v>
      </c>
      <c r="M33" s="1" t="s">
        <v>74</v>
      </c>
      <c r="N33" s="1" t="s">
        <v>74</v>
      </c>
      <c r="O33" s="1" t="s">
        <v>74</v>
      </c>
      <c r="P33" s="1" t="s">
        <v>74</v>
      </c>
      <c r="Q33" s="1" t="s">
        <v>74</v>
      </c>
      <c r="R33" s="1" t="s">
        <v>74</v>
      </c>
      <c r="S33" s="1" t="s">
        <v>74</v>
      </c>
      <c r="T33" s="1" t="s">
        <v>74</v>
      </c>
      <c r="U33" s="1" t="s">
        <v>74</v>
      </c>
      <c r="V33" s="4" t="s">
        <v>6347</v>
      </c>
      <c r="W33" s="1" t="s">
        <v>74</v>
      </c>
      <c r="X33" s="1" t="s">
        <v>74</v>
      </c>
      <c r="Y33" s="1" t="s">
        <v>74</v>
      </c>
      <c r="Z33" s="1" t="s">
        <v>74</v>
      </c>
      <c r="AA33" s="1" t="s">
        <v>6348</v>
      </c>
      <c r="AB33" s="1" t="s">
        <v>6349</v>
      </c>
      <c r="AC33" s="1" t="s">
        <v>74</v>
      </c>
      <c r="AD33" s="1" t="s">
        <v>74</v>
      </c>
      <c r="AE33" s="1" t="s">
        <v>74</v>
      </c>
      <c r="AF33" s="1" t="s">
        <v>74</v>
      </c>
      <c r="AG33" s="1" t="s">
        <v>74</v>
      </c>
      <c r="AH33" s="1" t="s">
        <v>74</v>
      </c>
      <c r="AI33" s="1" t="s">
        <v>74</v>
      </c>
      <c r="AJ33" s="1" t="s">
        <v>74</v>
      </c>
      <c r="AK33" s="1" t="s">
        <v>74</v>
      </c>
      <c r="AL33" s="1" t="s">
        <v>74</v>
      </c>
      <c r="AM33" s="1" t="s">
        <v>74</v>
      </c>
      <c r="AN33" s="1" t="s">
        <v>74</v>
      </c>
      <c r="AO33" s="1" t="s">
        <v>143</v>
      </c>
      <c r="AP33" s="1" t="s">
        <v>144</v>
      </c>
      <c r="AQ33" s="1" t="s">
        <v>74</v>
      </c>
      <c r="AR33" s="1" t="s">
        <v>74</v>
      </c>
      <c r="AS33" s="1" t="s">
        <v>74</v>
      </c>
      <c r="AT33" s="1" t="s">
        <v>305</v>
      </c>
      <c r="AU33" s="1">
        <v>2015</v>
      </c>
      <c r="AV33" s="1">
        <v>110</v>
      </c>
      <c r="AW33" s="1" t="s">
        <v>74</v>
      </c>
      <c r="AX33" s="1" t="s">
        <v>74</v>
      </c>
      <c r="AY33" s="1" t="s">
        <v>74</v>
      </c>
      <c r="AZ33" s="1" t="s">
        <v>74</v>
      </c>
      <c r="BA33" s="1" t="s">
        <v>74</v>
      </c>
      <c r="BB33" s="1">
        <v>155</v>
      </c>
      <c r="BC33" s="1">
        <v>161</v>
      </c>
      <c r="BD33" s="1" t="s">
        <v>74</v>
      </c>
      <c r="BE33" s="1" t="s">
        <v>6350</v>
      </c>
      <c r="BF33" s="1" t="str">
        <f>HYPERLINK("http://dx.doi.org/10.1016/j.anbehav.2015.09.025","http://dx.doi.org/10.1016/j.anbehav.2015.09.025")</f>
        <v>http://dx.doi.org/10.1016/j.anbehav.2015.09.025</v>
      </c>
      <c r="BG33" s="1" t="s">
        <v>74</v>
      </c>
      <c r="BH33" s="1" t="s">
        <v>74</v>
      </c>
      <c r="BI33" s="1" t="s">
        <v>74</v>
      </c>
      <c r="BJ33" s="1" t="s">
        <v>74</v>
      </c>
      <c r="BK33" s="1" t="s">
        <v>74</v>
      </c>
      <c r="BL33" s="1" t="s">
        <v>74</v>
      </c>
      <c r="BM33" s="1" t="s">
        <v>74</v>
      </c>
      <c r="BN33" s="1" t="s">
        <v>74</v>
      </c>
      <c r="BO33" s="1" t="s">
        <v>74</v>
      </c>
      <c r="BP33" s="1" t="s">
        <v>74</v>
      </c>
      <c r="BQ33" s="1" t="s">
        <v>74</v>
      </c>
      <c r="BR33" s="1" t="s">
        <v>74</v>
      </c>
      <c r="BS33" s="1" t="s">
        <v>6351</v>
      </c>
      <c r="BT33" s="1" t="str">
        <f>HYPERLINK("https%3A%2F%2Fwww.webofscience.com%2Fwos%2Fwoscc%2Ffull-record%2FWOS:000366731500022","View Full Record in Web of Science")</f>
        <v>View Full Record in Web of Science</v>
      </c>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row>
    <row r="34" spans="1:314" s="2" customFormat="1" x14ac:dyDescent="0.4">
      <c r="A34" s="1" t="s">
        <v>72</v>
      </c>
      <c r="B34" s="1" t="s">
        <v>627</v>
      </c>
      <c r="C34" s="1" t="s">
        <v>74</v>
      </c>
      <c r="D34" s="1" t="s">
        <v>74</v>
      </c>
      <c r="E34" s="1" t="s">
        <v>74</v>
      </c>
      <c r="F34" s="1" t="s">
        <v>628</v>
      </c>
      <c r="G34" s="1" t="s">
        <v>74</v>
      </c>
      <c r="H34" s="1" t="s">
        <v>74</v>
      </c>
      <c r="I34" s="1" t="s">
        <v>629</v>
      </c>
      <c r="J34" s="1" t="s">
        <v>140</v>
      </c>
      <c r="K34" s="1" t="s">
        <v>74</v>
      </c>
      <c r="L34" s="1" t="s">
        <v>74</v>
      </c>
      <c r="M34" s="1" t="s">
        <v>74</v>
      </c>
      <c r="N34" s="1" t="s">
        <v>74</v>
      </c>
      <c r="O34" s="1" t="s">
        <v>74</v>
      </c>
      <c r="P34" s="1" t="s">
        <v>74</v>
      </c>
      <c r="Q34" s="1" t="s">
        <v>74</v>
      </c>
      <c r="R34" s="1" t="s">
        <v>74</v>
      </c>
      <c r="S34" s="1" t="s">
        <v>74</v>
      </c>
      <c r="T34" s="1" t="s">
        <v>74</v>
      </c>
      <c r="U34" s="1" t="s">
        <v>74</v>
      </c>
      <c r="V34" s="4" t="s">
        <v>630</v>
      </c>
      <c r="W34" s="1" t="s">
        <v>74</v>
      </c>
      <c r="X34" s="1" t="s">
        <v>74</v>
      </c>
      <c r="Y34" s="1" t="s">
        <v>74</v>
      </c>
      <c r="Z34" s="1" t="s">
        <v>74</v>
      </c>
      <c r="AA34" s="1" t="s">
        <v>631</v>
      </c>
      <c r="AB34" s="1" t="s">
        <v>632</v>
      </c>
      <c r="AC34" s="1" t="s">
        <v>74</v>
      </c>
      <c r="AD34" s="1" t="s">
        <v>74</v>
      </c>
      <c r="AE34" s="1" t="s">
        <v>74</v>
      </c>
      <c r="AF34" s="1" t="s">
        <v>74</v>
      </c>
      <c r="AG34" s="1" t="s">
        <v>74</v>
      </c>
      <c r="AH34" s="1" t="s">
        <v>74</v>
      </c>
      <c r="AI34" s="1" t="s">
        <v>74</v>
      </c>
      <c r="AJ34" s="1" t="s">
        <v>74</v>
      </c>
      <c r="AK34" s="1" t="s">
        <v>74</v>
      </c>
      <c r="AL34" s="1" t="s">
        <v>74</v>
      </c>
      <c r="AM34" s="1" t="s">
        <v>74</v>
      </c>
      <c r="AN34" s="1" t="s">
        <v>74</v>
      </c>
      <c r="AO34" s="1" t="s">
        <v>143</v>
      </c>
      <c r="AP34" s="1" t="s">
        <v>144</v>
      </c>
      <c r="AQ34" s="1" t="s">
        <v>74</v>
      </c>
      <c r="AR34" s="1" t="s">
        <v>74</v>
      </c>
      <c r="AS34" s="1" t="s">
        <v>74</v>
      </c>
      <c r="AT34" s="1" t="s">
        <v>633</v>
      </c>
      <c r="AU34" s="1">
        <v>2019</v>
      </c>
      <c r="AV34" s="1">
        <v>150</v>
      </c>
      <c r="AW34" s="1" t="s">
        <v>74</v>
      </c>
      <c r="AX34" s="1" t="s">
        <v>74</v>
      </c>
      <c r="AY34" s="1" t="s">
        <v>74</v>
      </c>
      <c r="AZ34" s="1" t="s">
        <v>74</v>
      </c>
      <c r="BA34" s="1" t="s">
        <v>74</v>
      </c>
      <c r="BB34" s="1">
        <v>285</v>
      </c>
      <c r="BC34" s="1">
        <v>301</v>
      </c>
      <c r="BD34" s="1" t="s">
        <v>74</v>
      </c>
      <c r="BE34" s="1" t="s">
        <v>634</v>
      </c>
      <c r="BF34" s="1" t="str">
        <f>HYPERLINK("http://dx.doi.org/10.1016/j.anbehav.2019.01.025","http://dx.doi.org/10.1016/j.anbehav.2019.01.025")</f>
        <v>http://dx.doi.org/10.1016/j.anbehav.2019.01.025</v>
      </c>
      <c r="BG34" s="1" t="s">
        <v>74</v>
      </c>
      <c r="BH34" s="1" t="s">
        <v>74</v>
      </c>
      <c r="BI34" s="1" t="s">
        <v>74</v>
      </c>
      <c r="BJ34" s="1" t="s">
        <v>74</v>
      </c>
      <c r="BK34" s="1" t="s">
        <v>74</v>
      </c>
      <c r="BL34" s="1" t="s">
        <v>74</v>
      </c>
      <c r="BM34" s="1" t="s">
        <v>74</v>
      </c>
      <c r="BN34" s="1" t="s">
        <v>74</v>
      </c>
      <c r="BO34" s="1" t="s">
        <v>74</v>
      </c>
      <c r="BP34" s="1" t="s">
        <v>74</v>
      </c>
      <c r="BQ34" s="1" t="s">
        <v>74</v>
      </c>
      <c r="BR34" s="1" t="s">
        <v>74</v>
      </c>
      <c r="BS34" s="1" t="s">
        <v>635</v>
      </c>
      <c r="BT34" s="1" t="str">
        <f>HYPERLINK("https%3A%2F%2Fwww.webofscience.com%2Fwos%2Fwoscc%2Ffull-record%2FWOS:000463590000025","View Full Record in Web of Science")</f>
        <v>View Full Record in Web of Science</v>
      </c>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row>
    <row r="35" spans="1:314" s="2" customFormat="1" x14ac:dyDescent="0.4">
      <c r="A35" s="1" t="s">
        <v>72</v>
      </c>
      <c r="B35" s="1" t="s">
        <v>1119</v>
      </c>
      <c r="C35" s="1" t="s">
        <v>74</v>
      </c>
      <c r="D35" s="1" t="s">
        <v>74</v>
      </c>
      <c r="E35" s="1" t="s">
        <v>74</v>
      </c>
      <c r="F35" s="1" t="s">
        <v>1119</v>
      </c>
      <c r="G35" s="1" t="s">
        <v>74</v>
      </c>
      <c r="H35" s="1" t="s">
        <v>74</v>
      </c>
      <c r="I35" s="1" t="s">
        <v>1120</v>
      </c>
      <c r="J35" s="1" t="s">
        <v>140</v>
      </c>
      <c r="K35" s="1" t="s">
        <v>74</v>
      </c>
      <c r="L35" s="1" t="s">
        <v>74</v>
      </c>
      <c r="M35" s="1" t="s">
        <v>74</v>
      </c>
      <c r="N35" s="1" t="s">
        <v>74</v>
      </c>
      <c r="O35" s="1" t="s">
        <v>74</v>
      </c>
      <c r="P35" s="1" t="s">
        <v>74</v>
      </c>
      <c r="Q35" s="1" t="s">
        <v>74</v>
      </c>
      <c r="R35" s="1" t="s">
        <v>74</v>
      </c>
      <c r="S35" s="1" t="s">
        <v>74</v>
      </c>
      <c r="T35" s="1" t="s">
        <v>74</v>
      </c>
      <c r="U35" s="1" t="s">
        <v>74</v>
      </c>
      <c r="V35" s="4" t="s">
        <v>1121</v>
      </c>
      <c r="W35" s="1" t="s">
        <v>74</v>
      </c>
      <c r="X35" s="1" t="s">
        <v>74</v>
      </c>
      <c r="Y35" s="1" t="s">
        <v>74</v>
      </c>
      <c r="Z35" s="1" t="s">
        <v>74</v>
      </c>
      <c r="AA35" s="1" t="s">
        <v>74</v>
      </c>
      <c r="AB35" s="1" t="s">
        <v>1122</v>
      </c>
      <c r="AC35" s="1" t="s">
        <v>74</v>
      </c>
      <c r="AD35" s="1" t="s">
        <v>74</v>
      </c>
      <c r="AE35" s="1" t="s">
        <v>74</v>
      </c>
      <c r="AF35" s="1" t="s">
        <v>74</v>
      </c>
      <c r="AG35" s="1" t="s">
        <v>74</v>
      </c>
      <c r="AH35" s="1" t="s">
        <v>74</v>
      </c>
      <c r="AI35" s="1" t="s">
        <v>74</v>
      </c>
      <c r="AJ35" s="1" t="s">
        <v>74</v>
      </c>
      <c r="AK35" s="1" t="s">
        <v>74</v>
      </c>
      <c r="AL35" s="1" t="s">
        <v>74</v>
      </c>
      <c r="AM35" s="1" t="s">
        <v>74</v>
      </c>
      <c r="AN35" s="1" t="s">
        <v>74</v>
      </c>
      <c r="AO35" s="1" t="s">
        <v>143</v>
      </c>
      <c r="AP35" s="1" t="s">
        <v>144</v>
      </c>
      <c r="AQ35" s="1" t="s">
        <v>74</v>
      </c>
      <c r="AR35" s="1" t="s">
        <v>74</v>
      </c>
      <c r="AS35" s="1" t="s">
        <v>74</v>
      </c>
      <c r="AT35" s="1" t="s">
        <v>74</v>
      </c>
      <c r="AU35" s="1">
        <v>1981</v>
      </c>
      <c r="AV35" s="1">
        <v>29</v>
      </c>
      <c r="AW35" s="1" t="s">
        <v>134</v>
      </c>
      <c r="AX35" s="1" t="s">
        <v>74</v>
      </c>
      <c r="AY35" s="1" t="s">
        <v>74</v>
      </c>
      <c r="AZ35" s="1" t="s">
        <v>74</v>
      </c>
      <c r="BA35" s="1" t="s">
        <v>74</v>
      </c>
      <c r="BB35" s="1">
        <v>325</v>
      </c>
      <c r="BC35" s="1">
        <v>331</v>
      </c>
      <c r="BD35" s="1" t="s">
        <v>74</v>
      </c>
      <c r="BE35" s="1" t="s">
        <v>1123</v>
      </c>
      <c r="BF35" s="1" t="str">
        <f>HYPERLINK("http://dx.doi.org/10.1016/S0003-3472(81)80092-9","http://dx.doi.org/10.1016/S0003-3472(81)80092-9")</f>
        <v>http://dx.doi.org/10.1016/S0003-3472(81)80092-9</v>
      </c>
      <c r="BG35" s="1" t="s">
        <v>74</v>
      </c>
      <c r="BH35" s="1" t="s">
        <v>74</v>
      </c>
      <c r="BI35" s="1" t="s">
        <v>74</v>
      </c>
      <c r="BJ35" s="1" t="s">
        <v>74</v>
      </c>
      <c r="BK35" s="1" t="s">
        <v>74</v>
      </c>
      <c r="BL35" s="1" t="s">
        <v>74</v>
      </c>
      <c r="BM35" s="1" t="s">
        <v>74</v>
      </c>
      <c r="BN35" s="1" t="s">
        <v>74</v>
      </c>
      <c r="BO35" s="1" t="s">
        <v>74</v>
      </c>
      <c r="BP35" s="1" t="s">
        <v>74</v>
      </c>
      <c r="BQ35" s="1" t="s">
        <v>74</v>
      </c>
      <c r="BR35" s="1" t="s">
        <v>74</v>
      </c>
      <c r="BS35" s="1" t="s">
        <v>1124</v>
      </c>
      <c r="BT35" s="1" t="str">
        <f>HYPERLINK("https%3A%2F%2Fwww.webofscience.com%2Fwos%2Fwoscc%2Ffull-record%2FWOS:A1981LQ60200001","View Full Record in Web of Science")</f>
        <v>View Full Record in Web of Science</v>
      </c>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row>
    <row r="36" spans="1:314" s="2" customFormat="1" x14ac:dyDescent="0.4">
      <c r="A36" s="1" t="s">
        <v>72</v>
      </c>
      <c r="B36" s="1" t="s">
        <v>4634</v>
      </c>
      <c r="C36" s="1" t="s">
        <v>74</v>
      </c>
      <c r="D36" s="1" t="s">
        <v>74</v>
      </c>
      <c r="E36" s="1" t="s">
        <v>74</v>
      </c>
      <c r="F36" s="1" t="s">
        <v>4634</v>
      </c>
      <c r="G36" s="1" t="s">
        <v>74</v>
      </c>
      <c r="H36" s="1" t="s">
        <v>74</v>
      </c>
      <c r="I36" s="1" t="s">
        <v>4635</v>
      </c>
      <c r="J36" s="1" t="s">
        <v>171</v>
      </c>
      <c r="K36" s="1" t="s">
        <v>74</v>
      </c>
      <c r="L36" s="1" t="s">
        <v>74</v>
      </c>
      <c r="M36" s="1" t="s">
        <v>74</v>
      </c>
      <c r="N36" s="1" t="s">
        <v>74</v>
      </c>
      <c r="O36" s="1" t="s">
        <v>74</v>
      </c>
      <c r="P36" s="1" t="s">
        <v>74</v>
      </c>
      <c r="Q36" s="1" t="s">
        <v>74</v>
      </c>
      <c r="R36" s="1" t="s">
        <v>74</v>
      </c>
      <c r="S36" s="1" t="s">
        <v>74</v>
      </c>
      <c r="T36" s="1" t="s">
        <v>74</v>
      </c>
      <c r="U36" s="1" t="s">
        <v>74</v>
      </c>
      <c r="V36" s="4" t="s">
        <v>4636</v>
      </c>
      <c r="W36" s="1" t="s">
        <v>74</v>
      </c>
      <c r="X36" s="1" t="s">
        <v>74</v>
      </c>
      <c r="Y36" s="1" t="s">
        <v>74</v>
      </c>
      <c r="Z36" s="1" t="s">
        <v>74</v>
      </c>
      <c r="AA36" s="1" t="s">
        <v>4637</v>
      </c>
      <c r="AB36" s="1" t="s">
        <v>4638</v>
      </c>
      <c r="AC36" s="1" t="s">
        <v>74</v>
      </c>
      <c r="AD36" s="1" t="s">
        <v>74</v>
      </c>
      <c r="AE36" s="1" t="s">
        <v>74</v>
      </c>
      <c r="AF36" s="1" t="s">
        <v>74</v>
      </c>
      <c r="AG36" s="1" t="s">
        <v>74</v>
      </c>
      <c r="AH36" s="1" t="s">
        <v>74</v>
      </c>
      <c r="AI36" s="1" t="s">
        <v>74</v>
      </c>
      <c r="AJ36" s="1" t="s">
        <v>74</v>
      </c>
      <c r="AK36" s="1" t="s">
        <v>74</v>
      </c>
      <c r="AL36" s="1" t="s">
        <v>74</v>
      </c>
      <c r="AM36" s="1" t="s">
        <v>74</v>
      </c>
      <c r="AN36" s="1" t="s">
        <v>74</v>
      </c>
      <c r="AO36" s="1" t="s">
        <v>173</v>
      </c>
      <c r="AP36" s="1" t="s">
        <v>174</v>
      </c>
      <c r="AQ36" s="1" t="s">
        <v>74</v>
      </c>
      <c r="AR36" s="1" t="s">
        <v>74</v>
      </c>
      <c r="AS36" s="1" t="s">
        <v>74</v>
      </c>
      <c r="AT36" s="1" t="s">
        <v>204</v>
      </c>
      <c r="AU36" s="1">
        <v>2001</v>
      </c>
      <c r="AV36" s="1">
        <v>55</v>
      </c>
      <c r="AW36" s="1">
        <v>7</v>
      </c>
      <c r="AX36" s="1" t="s">
        <v>74</v>
      </c>
      <c r="AY36" s="1" t="s">
        <v>74</v>
      </c>
      <c r="AZ36" s="1" t="s">
        <v>74</v>
      </c>
      <c r="BA36" s="1" t="s">
        <v>74</v>
      </c>
      <c r="BB36" s="1">
        <v>1443</v>
      </c>
      <c r="BC36" s="1">
        <v>1451</v>
      </c>
      <c r="BD36" s="1" t="s">
        <v>74</v>
      </c>
      <c r="BE36" s="1" t="s">
        <v>74</v>
      </c>
      <c r="BF36" s="1" t="s">
        <v>74</v>
      </c>
      <c r="BG36" s="1" t="s">
        <v>74</v>
      </c>
      <c r="BH36" s="1" t="s">
        <v>74</v>
      </c>
      <c r="BI36" s="1" t="s">
        <v>74</v>
      </c>
      <c r="BJ36" s="1" t="s">
        <v>74</v>
      </c>
      <c r="BK36" s="1" t="s">
        <v>74</v>
      </c>
      <c r="BL36" s="1" t="s">
        <v>74</v>
      </c>
      <c r="BM36" s="1" t="s">
        <v>74</v>
      </c>
      <c r="BN36" s="1">
        <v>11525466</v>
      </c>
      <c r="BO36" s="1" t="s">
        <v>74</v>
      </c>
      <c r="BP36" s="1" t="s">
        <v>74</v>
      </c>
      <c r="BQ36" s="1" t="s">
        <v>74</v>
      </c>
      <c r="BR36" s="1" t="s">
        <v>74</v>
      </c>
      <c r="BS36" s="1" t="s">
        <v>4639</v>
      </c>
      <c r="BT36" s="1" t="str">
        <f>HYPERLINK("https%3A%2F%2Fwww.webofscience.com%2Fwos%2Fwoscc%2Ffull-record%2FWOS:000170699300015","View Full Record in Web of Science")</f>
        <v>View Full Record in Web of Science</v>
      </c>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row>
    <row r="37" spans="1:314" s="2" customFormat="1" x14ac:dyDescent="0.4">
      <c r="A37" s="1" t="s">
        <v>72</v>
      </c>
      <c r="B37" s="1" t="s">
        <v>4172</v>
      </c>
      <c r="C37" s="1" t="s">
        <v>74</v>
      </c>
      <c r="D37" s="1" t="s">
        <v>74</v>
      </c>
      <c r="E37" s="1" t="s">
        <v>74</v>
      </c>
      <c r="F37" s="1" t="s">
        <v>4173</v>
      </c>
      <c r="G37" s="1" t="s">
        <v>74</v>
      </c>
      <c r="H37" s="1" t="s">
        <v>74</v>
      </c>
      <c r="I37" s="1" t="s">
        <v>4174</v>
      </c>
      <c r="J37" s="1" t="s">
        <v>610</v>
      </c>
      <c r="K37" s="1" t="s">
        <v>74</v>
      </c>
      <c r="L37" s="1" t="s">
        <v>74</v>
      </c>
      <c r="M37" s="1" t="s">
        <v>74</v>
      </c>
      <c r="N37" s="1" t="s">
        <v>74</v>
      </c>
      <c r="O37" s="1" t="s">
        <v>74</v>
      </c>
      <c r="P37" s="1" t="s">
        <v>74</v>
      </c>
      <c r="Q37" s="1" t="s">
        <v>74</v>
      </c>
      <c r="R37" s="1" t="s">
        <v>74</v>
      </c>
      <c r="S37" s="1" t="s">
        <v>74</v>
      </c>
      <c r="T37" s="1" t="s">
        <v>74</v>
      </c>
      <c r="U37" s="1" t="s">
        <v>74</v>
      </c>
      <c r="V37" s="4" t="s">
        <v>4175</v>
      </c>
      <c r="W37" s="1" t="s">
        <v>74</v>
      </c>
      <c r="X37" s="1" t="s">
        <v>74</v>
      </c>
      <c r="Y37" s="1" t="s">
        <v>74</v>
      </c>
      <c r="Z37" s="1" t="s">
        <v>74</v>
      </c>
      <c r="AA37" s="1" t="s">
        <v>74</v>
      </c>
      <c r="AB37" s="1" t="s">
        <v>74</v>
      </c>
      <c r="AC37" s="1" t="s">
        <v>74</v>
      </c>
      <c r="AD37" s="1" t="s">
        <v>74</v>
      </c>
      <c r="AE37" s="1" t="s">
        <v>74</v>
      </c>
      <c r="AF37" s="1" t="s">
        <v>74</v>
      </c>
      <c r="AG37" s="1" t="s">
        <v>74</v>
      </c>
      <c r="AH37" s="1" t="s">
        <v>74</v>
      </c>
      <c r="AI37" s="1" t="s">
        <v>74</v>
      </c>
      <c r="AJ37" s="1" t="s">
        <v>74</v>
      </c>
      <c r="AK37" s="1" t="s">
        <v>74</v>
      </c>
      <c r="AL37" s="1" t="s">
        <v>74</v>
      </c>
      <c r="AM37" s="1" t="s">
        <v>74</v>
      </c>
      <c r="AN37" s="1" t="s">
        <v>74</v>
      </c>
      <c r="AO37" s="1" t="s">
        <v>614</v>
      </c>
      <c r="AP37" s="1" t="s">
        <v>615</v>
      </c>
      <c r="AQ37" s="1" t="s">
        <v>74</v>
      </c>
      <c r="AR37" s="1" t="s">
        <v>74</v>
      </c>
      <c r="AS37" s="1" t="s">
        <v>74</v>
      </c>
      <c r="AT37" s="1" t="s">
        <v>213</v>
      </c>
      <c r="AU37" s="1">
        <v>2007</v>
      </c>
      <c r="AV37" s="1">
        <v>113</v>
      </c>
      <c r="AW37" s="1">
        <v>11</v>
      </c>
      <c r="AX37" s="1" t="s">
        <v>74</v>
      </c>
      <c r="AY37" s="1" t="s">
        <v>74</v>
      </c>
      <c r="AZ37" s="1" t="s">
        <v>74</v>
      </c>
      <c r="BA37" s="1" t="s">
        <v>74</v>
      </c>
      <c r="BB37" s="1">
        <v>1113</v>
      </c>
      <c r="BC37" s="1">
        <v>1122</v>
      </c>
      <c r="BD37" s="1" t="s">
        <v>74</v>
      </c>
      <c r="BE37" s="1" t="s">
        <v>4176</v>
      </c>
      <c r="BF37" s="1" t="str">
        <f>HYPERLINK("http://dx.doi.org/10.1111/j.1439-0310.2007.01420.x","http://dx.doi.org/10.1111/j.1439-0310.2007.01420.x")</f>
        <v>http://dx.doi.org/10.1111/j.1439-0310.2007.01420.x</v>
      </c>
      <c r="BG37" s="1" t="s">
        <v>74</v>
      </c>
      <c r="BH37" s="1" t="s">
        <v>74</v>
      </c>
      <c r="BI37" s="1" t="s">
        <v>74</v>
      </c>
      <c r="BJ37" s="1" t="s">
        <v>74</v>
      </c>
      <c r="BK37" s="1" t="s">
        <v>74</v>
      </c>
      <c r="BL37" s="1" t="s">
        <v>74</v>
      </c>
      <c r="BM37" s="1" t="s">
        <v>74</v>
      </c>
      <c r="BN37" s="1" t="s">
        <v>74</v>
      </c>
      <c r="BO37" s="1" t="s">
        <v>74</v>
      </c>
      <c r="BP37" s="1" t="s">
        <v>74</v>
      </c>
      <c r="BQ37" s="1" t="s">
        <v>74</v>
      </c>
      <c r="BR37" s="1" t="s">
        <v>74</v>
      </c>
      <c r="BS37" s="1" t="s">
        <v>4177</v>
      </c>
      <c r="BT37" s="1" t="str">
        <f>HYPERLINK("https%3A%2F%2Fwww.webofscience.com%2Fwos%2Fwoscc%2Ffull-record%2FWOS:000250262400011","View Full Record in Web of Science")</f>
        <v>View Full Record in Web of Science</v>
      </c>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row>
    <row r="38" spans="1:314" s="2" customFormat="1" x14ac:dyDescent="0.4">
      <c r="A38" s="1" t="s">
        <v>72</v>
      </c>
      <c r="B38" s="1" t="s">
        <v>1825</v>
      </c>
      <c r="C38" s="1" t="s">
        <v>74</v>
      </c>
      <c r="D38" s="1" t="s">
        <v>74</v>
      </c>
      <c r="E38" s="1" t="s">
        <v>74</v>
      </c>
      <c r="F38" s="1" t="s">
        <v>1826</v>
      </c>
      <c r="G38" s="1" t="s">
        <v>74</v>
      </c>
      <c r="H38" s="1" t="s">
        <v>74</v>
      </c>
      <c r="I38" s="1" t="s">
        <v>1827</v>
      </c>
      <c r="J38" s="1" t="s">
        <v>77</v>
      </c>
      <c r="K38" s="1" t="s">
        <v>74</v>
      </c>
      <c r="L38" s="1" t="s">
        <v>74</v>
      </c>
      <c r="M38" s="1" t="s">
        <v>74</v>
      </c>
      <c r="N38" s="1" t="s">
        <v>74</v>
      </c>
      <c r="O38" s="1" t="s">
        <v>74</v>
      </c>
      <c r="P38" s="1" t="s">
        <v>74</v>
      </c>
      <c r="Q38" s="1" t="s">
        <v>74</v>
      </c>
      <c r="R38" s="1" t="s">
        <v>74</v>
      </c>
      <c r="S38" s="1" t="s">
        <v>74</v>
      </c>
      <c r="T38" s="1" t="s">
        <v>74</v>
      </c>
      <c r="U38" s="1" t="s">
        <v>74</v>
      </c>
      <c r="V38" s="4" t="s">
        <v>1828</v>
      </c>
      <c r="W38" s="1" t="s">
        <v>74</v>
      </c>
      <c r="X38" s="1" t="s">
        <v>74</v>
      </c>
      <c r="Y38" s="1" t="s">
        <v>74</v>
      </c>
      <c r="Z38" s="1" t="s">
        <v>74</v>
      </c>
      <c r="AA38" s="1" t="s">
        <v>74</v>
      </c>
      <c r="AB38" s="1" t="s">
        <v>74</v>
      </c>
      <c r="AC38" s="1" t="s">
        <v>74</v>
      </c>
      <c r="AD38" s="1" t="s">
        <v>74</v>
      </c>
      <c r="AE38" s="1" t="s">
        <v>74</v>
      </c>
      <c r="AF38" s="1" t="s">
        <v>74</v>
      </c>
      <c r="AG38" s="1" t="s">
        <v>74</v>
      </c>
      <c r="AH38" s="1" t="s">
        <v>74</v>
      </c>
      <c r="AI38" s="1" t="s">
        <v>74</v>
      </c>
      <c r="AJ38" s="1" t="s">
        <v>74</v>
      </c>
      <c r="AK38" s="1" t="s">
        <v>74</v>
      </c>
      <c r="AL38" s="1" t="s">
        <v>74</v>
      </c>
      <c r="AM38" s="1" t="s">
        <v>74</v>
      </c>
      <c r="AN38" s="1" t="s">
        <v>74</v>
      </c>
      <c r="AO38" s="1" t="s">
        <v>81</v>
      </c>
      <c r="AP38" s="1" t="s">
        <v>74</v>
      </c>
      <c r="AQ38" s="1" t="s">
        <v>74</v>
      </c>
      <c r="AR38" s="1" t="s">
        <v>74</v>
      </c>
      <c r="AS38" s="1" t="s">
        <v>74</v>
      </c>
      <c r="AT38" s="1" t="s">
        <v>964</v>
      </c>
      <c r="AU38" s="1">
        <v>2007</v>
      </c>
      <c r="AV38" s="1">
        <v>144</v>
      </c>
      <c r="AW38" s="1" t="s">
        <v>74</v>
      </c>
      <c r="AX38" s="1">
        <v>2</v>
      </c>
      <c r="AY38" s="1" t="s">
        <v>74</v>
      </c>
      <c r="AZ38" s="1" t="s">
        <v>74</v>
      </c>
      <c r="BA38" s="1" t="s">
        <v>74</v>
      </c>
      <c r="BB38" s="1">
        <v>165</v>
      </c>
      <c r="BC38" s="1">
        <v>178</v>
      </c>
      <c r="BD38" s="1" t="s">
        <v>74</v>
      </c>
      <c r="BE38" s="1" t="s">
        <v>1829</v>
      </c>
      <c r="BF38" s="1" t="str">
        <f>HYPERLINK("http://dx.doi.org/10.1163/156853907779947328","http://dx.doi.org/10.1163/156853907779947328")</f>
        <v>http://dx.doi.org/10.1163/156853907779947328</v>
      </c>
      <c r="BG38" s="1" t="s">
        <v>74</v>
      </c>
      <c r="BH38" s="1" t="s">
        <v>74</v>
      </c>
      <c r="BI38" s="1" t="s">
        <v>74</v>
      </c>
      <c r="BJ38" s="1" t="s">
        <v>74</v>
      </c>
      <c r="BK38" s="1" t="s">
        <v>74</v>
      </c>
      <c r="BL38" s="1" t="s">
        <v>74</v>
      </c>
      <c r="BM38" s="1" t="s">
        <v>74</v>
      </c>
      <c r="BN38" s="1" t="s">
        <v>74</v>
      </c>
      <c r="BO38" s="1" t="s">
        <v>74</v>
      </c>
      <c r="BP38" s="1" t="s">
        <v>74</v>
      </c>
      <c r="BQ38" s="1" t="s">
        <v>74</v>
      </c>
      <c r="BR38" s="1" t="s">
        <v>74</v>
      </c>
      <c r="BS38" s="1" t="s">
        <v>1830</v>
      </c>
      <c r="BT38" s="1" t="str">
        <f>HYPERLINK("https%3A%2F%2Fwww.webofscience.com%2Fwos%2Fwoscc%2Ffull-record%2FWOS:000245544800002","View Full Record in Web of Science")</f>
        <v>View Full Record in Web of Science</v>
      </c>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row>
    <row r="39" spans="1:314" s="2" customFormat="1" x14ac:dyDescent="0.4">
      <c r="A39" s="1" t="s">
        <v>72</v>
      </c>
      <c r="B39" s="1" t="s">
        <v>6764</v>
      </c>
      <c r="C39" s="1" t="s">
        <v>74</v>
      </c>
      <c r="D39" s="1" t="s">
        <v>74</v>
      </c>
      <c r="E39" s="1" t="s">
        <v>74</v>
      </c>
      <c r="F39" s="1" t="s">
        <v>6764</v>
      </c>
      <c r="G39" s="1" t="s">
        <v>74</v>
      </c>
      <c r="H39" s="1" t="s">
        <v>74</v>
      </c>
      <c r="I39" s="1" t="s">
        <v>6765</v>
      </c>
      <c r="J39" s="1" t="s">
        <v>129</v>
      </c>
      <c r="K39" s="1" t="s">
        <v>74</v>
      </c>
      <c r="L39" s="1" t="s">
        <v>74</v>
      </c>
      <c r="M39" s="1" t="s">
        <v>74</v>
      </c>
      <c r="N39" s="1" t="s">
        <v>74</v>
      </c>
      <c r="O39" s="1" t="s">
        <v>74</v>
      </c>
      <c r="P39" s="1" t="s">
        <v>74</v>
      </c>
      <c r="Q39" s="1" t="s">
        <v>74</v>
      </c>
      <c r="R39" s="1" t="s">
        <v>74</v>
      </c>
      <c r="S39" s="1" t="s">
        <v>74</v>
      </c>
      <c r="T39" s="1" t="s">
        <v>74</v>
      </c>
      <c r="U39" s="1" t="s">
        <v>74</v>
      </c>
      <c r="V39" s="4" t="s">
        <v>6766</v>
      </c>
      <c r="W39" s="1" t="s">
        <v>74</v>
      </c>
      <c r="X39" s="1" t="s">
        <v>74</v>
      </c>
      <c r="Y39" s="1" t="s">
        <v>74</v>
      </c>
      <c r="Z39" s="1" t="s">
        <v>74</v>
      </c>
      <c r="AA39" s="1" t="s">
        <v>6220</v>
      </c>
      <c r="AB39" s="1" t="s">
        <v>6221</v>
      </c>
      <c r="AC39" s="1" t="s">
        <v>74</v>
      </c>
      <c r="AD39" s="1" t="s">
        <v>74</v>
      </c>
      <c r="AE39" s="1" t="s">
        <v>74</v>
      </c>
      <c r="AF39" s="1" t="s">
        <v>74</v>
      </c>
      <c r="AG39" s="1" t="s">
        <v>74</v>
      </c>
      <c r="AH39" s="1" t="s">
        <v>74</v>
      </c>
      <c r="AI39" s="1" t="s">
        <v>74</v>
      </c>
      <c r="AJ39" s="1" t="s">
        <v>74</v>
      </c>
      <c r="AK39" s="1" t="s">
        <v>74</v>
      </c>
      <c r="AL39" s="1" t="s">
        <v>74</v>
      </c>
      <c r="AM39" s="1" t="s">
        <v>74</v>
      </c>
      <c r="AN39" s="1" t="s">
        <v>74</v>
      </c>
      <c r="AO39" s="1" t="s">
        <v>132</v>
      </c>
      <c r="AP39" s="1" t="s">
        <v>133</v>
      </c>
      <c r="AQ39" s="1" t="s">
        <v>74</v>
      </c>
      <c r="AR39" s="1" t="s">
        <v>74</v>
      </c>
      <c r="AS39" s="1" t="s">
        <v>74</v>
      </c>
      <c r="AT39" s="1" t="s">
        <v>255</v>
      </c>
      <c r="AU39" s="1">
        <v>2003</v>
      </c>
      <c r="AV39" s="1">
        <v>53</v>
      </c>
      <c r="AW39" s="1">
        <v>2</v>
      </c>
      <c r="AX39" s="1" t="s">
        <v>74</v>
      </c>
      <c r="AY39" s="1" t="s">
        <v>74</v>
      </c>
      <c r="AZ39" s="1" t="s">
        <v>74</v>
      </c>
      <c r="BA39" s="1" t="s">
        <v>74</v>
      </c>
      <c r="BB39" s="1">
        <v>116</v>
      </c>
      <c r="BC39" s="1">
        <v>122</v>
      </c>
      <c r="BD39" s="1" t="s">
        <v>74</v>
      </c>
      <c r="BE39" s="1" t="s">
        <v>6767</v>
      </c>
      <c r="BF39" s="1" t="str">
        <f>HYPERLINK("http://dx.doi.org/10.1007/s00265-002-0558-z","http://dx.doi.org/10.1007/s00265-002-0558-z")</f>
        <v>http://dx.doi.org/10.1007/s00265-002-0558-z</v>
      </c>
      <c r="BG39" s="1" t="s">
        <v>74</v>
      </c>
      <c r="BH39" s="1" t="s">
        <v>74</v>
      </c>
      <c r="BI39" s="1" t="s">
        <v>74</v>
      </c>
      <c r="BJ39" s="1" t="s">
        <v>74</v>
      </c>
      <c r="BK39" s="1" t="s">
        <v>74</v>
      </c>
      <c r="BL39" s="1" t="s">
        <v>74</v>
      </c>
      <c r="BM39" s="1" t="s">
        <v>74</v>
      </c>
      <c r="BN39" s="1" t="s">
        <v>74</v>
      </c>
      <c r="BO39" s="1" t="s">
        <v>74</v>
      </c>
      <c r="BP39" s="1" t="s">
        <v>74</v>
      </c>
      <c r="BQ39" s="1" t="s">
        <v>74</v>
      </c>
      <c r="BR39" s="1" t="s">
        <v>74</v>
      </c>
      <c r="BS39" s="1" t="s">
        <v>6768</v>
      </c>
      <c r="BT39" s="1" t="str">
        <f>HYPERLINK("https%3A%2F%2Fwww.webofscience.com%2Fwos%2Fwoscc%2Ffull-record%2FWOS:000180871900007","View Full Record in Web of Science")</f>
        <v>View Full Record in Web of Science</v>
      </c>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row>
    <row r="40" spans="1:314" s="2" customFormat="1" x14ac:dyDescent="0.4">
      <c r="A40" s="1" t="s">
        <v>72</v>
      </c>
      <c r="B40" s="1" t="s">
        <v>2447</v>
      </c>
      <c r="C40" s="1" t="s">
        <v>74</v>
      </c>
      <c r="D40" s="1" t="s">
        <v>74</v>
      </c>
      <c r="E40" s="1" t="s">
        <v>74</v>
      </c>
      <c r="F40" s="1" t="s">
        <v>2448</v>
      </c>
      <c r="G40" s="1" t="s">
        <v>74</v>
      </c>
      <c r="H40" s="1" t="s">
        <v>74</v>
      </c>
      <c r="I40" s="1" t="s">
        <v>2449</v>
      </c>
      <c r="J40" s="1" t="s">
        <v>218</v>
      </c>
      <c r="K40" s="1" t="s">
        <v>74</v>
      </c>
      <c r="L40" s="1" t="s">
        <v>74</v>
      </c>
      <c r="M40" s="1" t="s">
        <v>74</v>
      </c>
      <c r="N40" s="1" t="s">
        <v>74</v>
      </c>
      <c r="O40" s="1" t="s">
        <v>74</v>
      </c>
      <c r="P40" s="1" t="s">
        <v>74</v>
      </c>
      <c r="Q40" s="1" t="s">
        <v>74</v>
      </c>
      <c r="R40" s="1" t="s">
        <v>74</v>
      </c>
      <c r="S40" s="1" t="s">
        <v>74</v>
      </c>
      <c r="T40" s="1" t="s">
        <v>74</v>
      </c>
      <c r="U40" s="1" t="s">
        <v>74</v>
      </c>
      <c r="V40" s="4" t="s">
        <v>2450</v>
      </c>
      <c r="W40" s="1" t="s">
        <v>74</v>
      </c>
      <c r="X40" s="1" t="s">
        <v>74</v>
      </c>
      <c r="Y40" s="1" t="s">
        <v>74</v>
      </c>
      <c r="Z40" s="1" t="s">
        <v>74</v>
      </c>
      <c r="AA40" s="1" t="s">
        <v>2451</v>
      </c>
      <c r="AB40" s="1" t="s">
        <v>2452</v>
      </c>
      <c r="AC40" s="1" t="s">
        <v>74</v>
      </c>
      <c r="AD40" s="1" t="s">
        <v>74</v>
      </c>
      <c r="AE40" s="1" t="s">
        <v>74</v>
      </c>
      <c r="AF40" s="1" t="s">
        <v>74</v>
      </c>
      <c r="AG40" s="1" t="s">
        <v>74</v>
      </c>
      <c r="AH40" s="1" t="s">
        <v>74</v>
      </c>
      <c r="AI40" s="1" t="s">
        <v>74</v>
      </c>
      <c r="AJ40" s="1" t="s">
        <v>74</v>
      </c>
      <c r="AK40" s="1" t="s">
        <v>74</v>
      </c>
      <c r="AL40" s="1" t="s">
        <v>74</v>
      </c>
      <c r="AM40" s="1" t="s">
        <v>74</v>
      </c>
      <c r="AN40" s="1" t="s">
        <v>74</v>
      </c>
      <c r="AO40" s="1" t="s">
        <v>221</v>
      </c>
      <c r="AP40" s="1" t="s">
        <v>222</v>
      </c>
      <c r="AQ40" s="1" t="s">
        <v>74</v>
      </c>
      <c r="AR40" s="1" t="s">
        <v>74</v>
      </c>
      <c r="AS40" s="1" t="s">
        <v>74</v>
      </c>
      <c r="AT40" s="1" t="s">
        <v>213</v>
      </c>
      <c r="AU40" s="1">
        <v>2016</v>
      </c>
      <c r="AV40" s="1">
        <v>29</v>
      </c>
      <c r="AW40" s="1">
        <v>11</v>
      </c>
      <c r="AX40" s="1" t="s">
        <v>74</v>
      </c>
      <c r="AY40" s="1" t="s">
        <v>74</v>
      </c>
      <c r="AZ40" s="1" t="s">
        <v>74</v>
      </c>
      <c r="BA40" s="1" t="s">
        <v>74</v>
      </c>
      <c r="BB40" s="1">
        <v>2256</v>
      </c>
      <c r="BC40" s="1">
        <v>2265</v>
      </c>
      <c r="BD40" s="1" t="s">
        <v>74</v>
      </c>
      <c r="BE40" s="1" t="s">
        <v>2453</v>
      </c>
      <c r="BF40" s="1" t="str">
        <f>HYPERLINK("http://dx.doi.org/10.1111/jeb.12953","http://dx.doi.org/10.1111/jeb.12953")</f>
        <v>http://dx.doi.org/10.1111/jeb.12953</v>
      </c>
      <c r="BG40" s="1" t="s">
        <v>74</v>
      </c>
      <c r="BH40" s="1" t="s">
        <v>74</v>
      </c>
      <c r="BI40" s="1" t="s">
        <v>74</v>
      </c>
      <c r="BJ40" s="1" t="s">
        <v>74</v>
      </c>
      <c r="BK40" s="1" t="s">
        <v>74</v>
      </c>
      <c r="BL40" s="1" t="s">
        <v>74</v>
      </c>
      <c r="BM40" s="1" t="s">
        <v>74</v>
      </c>
      <c r="BN40" s="1">
        <v>27467980</v>
      </c>
      <c r="BO40" s="1" t="s">
        <v>74</v>
      </c>
      <c r="BP40" s="1" t="s">
        <v>74</v>
      </c>
      <c r="BQ40" s="1" t="s">
        <v>74</v>
      </c>
      <c r="BR40" s="1" t="s">
        <v>74</v>
      </c>
      <c r="BS40" s="1" t="s">
        <v>2454</v>
      </c>
      <c r="BT40" s="1" t="str">
        <f>HYPERLINK("https%3A%2F%2Fwww.webofscience.com%2Fwos%2Fwoscc%2Ffull-record%2FWOS:000388312300013","View Full Record in Web of Science")</f>
        <v>View Full Record in Web of Science</v>
      </c>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row>
    <row r="41" spans="1:314" s="2" customFormat="1" x14ac:dyDescent="0.4">
      <c r="A41" s="1" t="s">
        <v>72</v>
      </c>
      <c r="B41" s="1" t="s">
        <v>4710</v>
      </c>
      <c r="C41" s="1" t="s">
        <v>74</v>
      </c>
      <c r="D41" s="1" t="s">
        <v>74</v>
      </c>
      <c r="E41" s="1" t="s">
        <v>74</v>
      </c>
      <c r="F41" s="1" t="s">
        <v>4711</v>
      </c>
      <c r="G41" s="1" t="s">
        <v>74</v>
      </c>
      <c r="H41" s="1" t="s">
        <v>74</v>
      </c>
      <c r="I41" s="1" t="s">
        <v>4712</v>
      </c>
      <c r="J41" s="1" t="s">
        <v>1112</v>
      </c>
      <c r="K41" s="1" t="s">
        <v>74</v>
      </c>
      <c r="L41" s="1" t="s">
        <v>74</v>
      </c>
      <c r="M41" s="1" t="s">
        <v>74</v>
      </c>
      <c r="N41" s="1" t="s">
        <v>74</v>
      </c>
      <c r="O41" s="1" t="s">
        <v>74</v>
      </c>
      <c r="P41" s="1" t="s">
        <v>74</v>
      </c>
      <c r="Q41" s="1" t="s">
        <v>74</v>
      </c>
      <c r="R41" s="1" t="s">
        <v>74</v>
      </c>
      <c r="S41" s="1" t="s">
        <v>74</v>
      </c>
      <c r="T41" s="1" t="s">
        <v>74</v>
      </c>
      <c r="U41" s="1" t="s">
        <v>74</v>
      </c>
      <c r="V41" s="4" t="s">
        <v>4713</v>
      </c>
      <c r="W41" s="1" t="s">
        <v>74</v>
      </c>
      <c r="X41" s="1" t="s">
        <v>74</v>
      </c>
      <c r="Y41" s="1" t="s">
        <v>74</v>
      </c>
      <c r="Z41" s="1" t="s">
        <v>74</v>
      </c>
      <c r="AA41" s="1" t="s">
        <v>4714</v>
      </c>
      <c r="AB41" s="1" t="s">
        <v>4715</v>
      </c>
      <c r="AC41" s="1" t="s">
        <v>74</v>
      </c>
      <c r="AD41" s="1" t="s">
        <v>74</v>
      </c>
      <c r="AE41" s="1" t="s">
        <v>74</v>
      </c>
      <c r="AF41" s="1" t="s">
        <v>74</v>
      </c>
      <c r="AG41" s="1" t="s">
        <v>74</v>
      </c>
      <c r="AH41" s="1" t="s">
        <v>74</v>
      </c>
      <c r="AI41" s="1" t="s">
        <v>74</v>
      </c>
      <c r="AJ41" s="1" t="s">
        <v>74</v>
      </c>
      <c r="AK41" s="1" t="s">
        <v>74</v>
      </c>
      <c r="AL41" s="1" t="s">
        <v>74</v>
      </c>
      <c r="AM41" s="1" t="s">
        <v>74</v>
      </c>
      <c r="AN41" s="1" t="s">
        <v>74</v>
      </c>
      <c r="AO41" s="1" t="s">
        <v>1114</v>
      </c>
      <c r="AP41" s="1" t="s">
        <v>74</v>
      </c>
      <c r="AQ41" s="1" t="s">
        <v>74</v>
      </c>
      <c r="AR41" s="1" t="s">
        <v>74</v>
      </c>
      <c r="AS41" s="1" t="s">
        <v>74</v>
      </c>
      <c r="AT41" s="1" t="s">
        <v>4716</v>
      </c>
      <c r="AU41" s="1">
        <v>2011</v>
      </c>
      <c r="AV41" s="1">
        <v>135</v>
      </c>
      <c r="AW41" s="1">
        <v>4</v>
      </c>
      <c r="AX41" s="1" t="s">
        <v>74</v>
      </c>
      <c r="AY41" s="1" t="s">
        <v>74</v>
      </c>
      <c r="AZ41" s="1" t="s">
        <v>74</v>
      </c>
      <c r="BA41" s="1" t="s">
        <v>74</v>
      </c>
      <c r="BB41" s="1">
        <v>293</v>
      </c>
      <c r="BC41" s="1">
        <v>299</v>
      </c>
      <c r="BD41" s="1" t="s">
        <v>74</v>
      </c>
      <c r="BE41" s="1" t="s">
        <v>4717</v>
      </c>
      <c r="BF41" s="1" t="str">
        <f>HYPERLINK("http://dx.doi.org/10.1016/j.applanim.2011.09.011","http://dx.doi.org/10.1016/j.applanim.2011.09.011")</f>
        <v>http://dx.doi.org/10.1016/j.applanim.2011.09.011</v>
      </c>
      <c r="BG41" s="1" t="s">
        <v>74</v>
      </c>
      <c r="BH41" s="1" t="s">
        <v>74</v>
      </c>
      <c r="BI41" s="1" t="s">
        <v>74</v>
      </c>
      <c r="BJ41" s="1" t="s">
        <v>74</v>
      </c>
      <c r="BK41" s="1" t="s">
        <v>74</v>
      </c>
      <c r="BL41" s="1" t="s">
        <v>74</v>
      </c>
      <c r="BM41" s="1" t="s">
        <v>74</v>
      </c>
      <c r="BN41" s="1" t="s">
        <v>74</v>
      </c>
      <c r="BO41" s="1" t="s">
        <v>74</v>
      </c>
      <c r="BP41" s="1" t="s">
        <v>74</v>
      </c>
      <c r="BQ41" s="1" t="s">
        <v>74</v>
      </c>
      <c r="BR41" s="1" t="s">
        <v>74</v>
      </c>
      <c r="BS41" s="1" t="s">
        <v>4718</v>
      </c>
      <c r="BT41" s="1" t="str">
        <f>HYPERLINK("https%3A%2F%2Fwww.webofscience.com%2Fwos%2Fwoscc%2Ffull-record%2FWOS:000298775100005","View Full Record in Web of Science")</f>
        <v>View Full Record in Web of Science</v>
      </c>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row>
    <row r="42" spans="1:314" s="2" customFormat="1" x14ac:dyDescent="0.4">
      <c r="A42" s="1" t="s">
        <v>72</v>
      </c>
      <c r="B42" s="1" t="s">
        <v>6919</v>
      </c>
      <c r="C42" s="1" t="s">
        <v>74</v>
      </c>
      <c r="D42" s="1" t="s">
        <v>74</v>
      </c>
      <c r="E42" s="1" t="s">
        <v>74</v>
      </c>
      <c r="F42" s="1" t="s">
        <v>6919</v>
      </c>
      <c r="G42" s="1" t="s">
        <v>74</v>
      </c>
      <c r="H42" s="1" t="s">
        <v>74</v>
      </c>
      <c r="I42" s="1" t="s">
        <v>6920</v>
      </c>
      <c r="J42" s="1" t="s">
        <v>140</v>
      </c>
      <c r="K42" s="1" t="s">
        <v>74</v>
      </c>
      <c r="L42" s="1" t="s">
        <v>74</v>
      </c>
      <c r="M42" s="1" t="s">
        <v>74</v>
      </c>
      <c r="N42" s="1" t="s">
        <v>74</v>
      </c>
      <c r="O42" s="1" t="s">
        <v>74</v>
      </c>
      <c r="P42" s="1" t="s">
        <v>74</v>
      </c>
      <c r="Q42" s="1" t="s">
        <v>74</v>
      </c>
      <c r="R42" s="1" t="s">
        <v>74</v>
      </c>
      <c r="S42" s="1" t="s">
        <v>74</v>
      </c>
      <c r="T42" s="1" t="s">
        <v>74</v>
      </c>
      <c r="U42" s="1" t="s">
        <v>74</v>
      </c>
      <c r="V42" s="4" t="s">
        <v>6921</v>
      </c>
      <c r="W42" s="1" t="s">
        <v>74</v>
      </c>
      <c r="X42" s="1" t="s">
        <v>74</v>
      </c>
      <c r="Y42" s="1" t="s">
        <v>74</v>
      </c>
      <c r="Z42" s="1" t="s">
        <v>74</v>
      </c>
      <c r="AA42" s="1" t="s">
        <v>1295</v>
      </c>
      <c r="AB42" s="1" t="s">
        <v>6922</v>
      </c>
      <c r="AC42" s="1" t="s">
        <v>74</v>
      </c>
      <c r="AD42" s="1" t="s">
        <v>74</v>
      </c>
      <c r="AE42" s="1" t="s">
        <v>74</v>
      </c>
      <c r="AF42" s="1" t="s">
        <v>74</v>
      </c>
      <c r="AG42" s="1" t="s">
        <v>74</v>
      </c>
      <c r="AH42" s="1" t="s">
        <v>74</v>
      </c>
      <c r="AI42" s="1" t="s">
        <v>74</v>
      </c>
      <c r="AJ42" s="1" t="s">
        <v>74</v>
      </c>
      <c r="AK42" s="1" t="s">
        <v>74</v>
      </c>
      <c r="AL42" s="1" t="s">
        <v>74</v>
      </c>
      <c r="AM42" s="1" t="s">
        <v>74</v>
      </c>
      <c r="AN42" s="1" t="s">
        <v>74</v>
      </c>
      <c r="AO42" s="1" t="s">
        <v>143</v>
      </c>
      <c r="AP42" s="1" t="s">
        <v>144</v>
      </c>
      <c r="AQ42" s="1" t="s">
        <v>74</v>
      </c>
      <c r="AR42" s="1" t="s">
        <v>74</v>
      </c>
      <c r="AS42" s="1" t="s">
        <v>74</v>
      </c>
      <c r="AT42" s="1" t="s">
        <v>305</v>
      </c>
      <c r="AU42" s="1">
        <v>1999</v>
      </c>
      <c r="AV42" s="1">
        <v>58</v>
      </c>
      <c r="AW42" s="1" t="s">
        <v>74</v>
      </c>
      <c r="AX42" s="1">
        <v>6</v>
      </c>
      <c r="AY42" s="1" t="s">
        <v>74</v>
      </c>
      <c r="AZ42" s="1" t="s">
        <v>74</v>
      </c>
      <c r="BA42" s="1" t="s">
        <v>74</v>
      </c>
      <c r="BB42" s="1">
        <v>1269</v>
      </c>
      <c r="BC42" s="1">
        <v>1276</v>
      </c>
      <c r="BD42" s="1" t="s">
        <v>74</v>
      </c>
      <c r="BE42" s="1" t="s">
        <v>6923</v>
      </c>
      <c r="BF42" s="1" t="str">
        <f>HYPERLINK("http://dx.doi.org/10.1006/anbe.1999.1260","http://dx.doi.org/10.1006/anbe.1999.1260")</f>
        <v>http://dx.doi.org/10.1006/anbe.1999.1260</v>
      </c>
      <c r="BG42" s="1" t="s">
        <v>74</v>
      </c>
      <c r="BH42" s="1" t="s">
        <v>74</v>
      </c>
      <c r="BI42" s="1" t="s">
        <v>74</v>
      </c>
      <c r="BJ42" s="1" t="s">
        <v>74</v>
      </c>
      <c r="BK42" s="1" t="s">
        <v>74</v>
      </c>
      <c r="BL42" s="1" t="s">
        <v>74</v>
      </c>
      <c r="BM42" s="1" t="s">
        <v>74</v>
      </c>
      <c r="BN42" s="1">
        <v>10600149</v>
      </c>
      <c r="BO42" s="1" t="s">
        <v>74</v>
      </c>
      <c r="BP42" s="1" t="s">
        <v>74</v>
      </c>
      <c r="BQ42" s="1" t="s">
        <v>74</v>
      </c>
      <c r="BR42" s="1" t="s">
        <v>74</v>
      </c>
      <c r="BS42" s="1" t="s">
        <v>6924</v>
      </c>
      <c r="BT42" s="1" t="str">
        <f>HYPERLINK("https%3A%2F%2Fwww.webofscience.com%2Fwos%2Fwoscc%2Ffull-record%2FWOS:000085094300014","View Full Record in Web of Science")</f>
        <v>View Full Record in Web of Science</v>
      </c>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row>
    <row r="43" spans="1:314" s="2" customFormat="1" x14ac:dyDescent="0.4">
      <c r="A43" s="1" t="s">
        <v>72</v>
      </c>
      <c r="B43" s="1" t="s">
        <v>3008</v>
      </c>
      <c r="C43" s="1" t="s">
        <v>74</v>
      </c>
      <c r="D43" s="1" t="s">
        <v>74</v>
      </c>
      <c r="E43" s="1" t="s">
        <v>74</v>
      </c>
      <c r="F43" s="1" t="s">
        <v>3009</v>
      </c>
      <c r="G43" s="1" t="s">
        <v>74</v>
      </c>
      <c r="H43" s="1" t="s">
        <v>74</v>
      </c>
      <c r="I43" s="1" t="s">
        <v>3010</v>
      </c>
      <c r="J43" s="1" t="s">
        <v>610</v>
      </c>
      <c r="K43" s="1" t="s">
        <v>74</v>
      </c>
      <c r="L43" s="1" t="s">
        <v>74</v>
      </c>
      <c r="M43" s="1" t="s">
        <v>74</v>
      </c>
      <c r="N43" s="1" t="s">
        <v>74</v>
      </c>
      <c r="O43" s="1" t="s">
        <v>74</v>
      </c>
      <c r="P43" s="1" t="s">
        <v>74</v>
      </c>
      <c r="Q43" s="1" t="s">
        <v>74</v>
      </c>
      <c r="R43" s="1" t="s">
        <v>74</v>
      </c>
      <c r="S43" s="1" t="s">
        <v>74</v>
      </c>
      <c r="T43" s="1" t="s">
        <v>74</v>
      </c>
      <c r="U43" s="1" t="s">
        <v>74</v>
      </c>
      <c r="V43" s="4" t="s">
        <v>3011</v>
      </c>
      <c r="W43" s="1" t="s">
        <v>74</v>
      </c>
      <c r="X43" s="1" t="s">
        <v>74</v>
      </c>
      <c r="Y43" s="1" t="s">
        <v>74</v>
      </c>
      <c r="Z43" s="1" t="s">
        <v>74</v>
      </c>
      <c r="AA43" s="1" t="s">
        <v>3012</v>
      </c>
      <c r="AB43" s="1" t="s">
        <v>3013</v>
      </c>
      <c r="AC43" s="1" t="s">
        <v>74</v>
      </c>
      <c r="AD43" s="1" t="s">
        <v>74</v>
      </c>
      <c r="AE43" s="1" t="s">
        <v>74</v>
      </c>
      <c r="AF43" s="1" t="s">
        <v>74</v>
      </c>
      <c r="AG43" s="1" t="s">
        <v>74</v>
      </c>
      <c r="AH43" s="1" t="s">
        <v>74</v>
      </c>
      <c r="AI43" s="1" t="s">
        <v>74</v>
      </c>
      <c r="AJ43" s="1" t="s">
        <v>74</v>
      </c>
      <c r="AK43" s="1" t="s">
        <v>74</v>
      </c>
      <c r="AL43" s="1" t="s">
        <v>74</v>
      </c>
      <c r="AM43" s="1" t="s">
        <v>74</v>
      </c>
      <c r="AN43" s="1" t="s">
        <v>74</v>
      </c>
      <c r="AO43" s="1" t="s">
        <v>614</v>
      </c>
      <c r="AP43" s="1" t="s">
        <v>615</v>
      </c>
      <c r="AQ43" s="1" t="s">
        <v>74</v>
      </c>
      <c r="AR43" s="1" t="s">
        <v>74</v>
      </c>
      <c r="AS43" s="1" t="s">
        <v>74</v>
      </c>
      <c r="AT43" s="1" t="s">
        <v>123</v>
      </c>
      <c r="AU43" s="1">
        <v>2015</v>
      </c>
      <c r="AV43" s="1">
        <v>121</v>
      </c>
      <c r="AW43" s="1">
        <v>3</v>
      </c>
      <c r="AX43" s="1" t="s">
        <v>74</v>
      </c>
      <c r="AY43" s="1" t="s">
        <v>74</v>
      </c>
      <c r="AZ43" s="1" t="s">
        <v>74</v>
      </c>
      <c r="BA43" s="1" t="s">
        <v>74</v>
      </c>
      <c r="BB43" s="1">
        <v>300</v>
      </c>
      <c r="BC43" s="1">
        <v>307</v>
      </c>
      <c r="BD43" s="1" t="s">
        <v>74</v>
      </c>
      <c r="BE43" s="1" t="s">
        <v>3014</v>
      </c>
      <c r="BF43" s="1" t="str">
        <f>HYPERLINK("http://dx.doi.org/10.1111/eth.12339","http://dx.doi.org/10.1111/eth.12339")</f>
        <v>http://dx.doi.org/10.1111/eth.12339</v>
      </c>
      <c r="BG43" s="1" t="s">
        <v>74</v>
      </c>
      <c r="BH43" s="1" t="s">
        <v>74</v>
      </c>
      <c r="BI43" s="1" t="s">
        <v>74</v>
      </c>
      <c r="BJ43" s="1" t="s">
        <v>74</v>
      </c>
      <c r="BK43" s="1" t="s">
        <v>74</v>
      </c>
      <c r="BL43" s="1" t="s">
        <v>74</v>
      </c>
      <c r="BM43" s="1" t="s">
        <v>74</v>
      </c>
      <c r="BN43" s="1" t="s">
        <v>74</v>
      </c>
      <c r="BO43" s="1" t="s">
        <v>74</v>
      </c>
      <c r="BP43" s="1" t="s">
        <v>74</v>
      </c>
      <c r="BQ43" s="1" t="s">
        <v>74</v>
      </c>
      <c r="BR43" s="1" t="s">
        <v>74</v>
      </c>
      <c r="BS43" s="1" t="s">
        <v>3015</v>
      </c>
      <c r="BT43" s="1" t="str">
        <f>HYPERLINK("https%3A%2F%2Fwww.webofscience.com%2Fwos%2Fwoscc%2Ffull-record%2FWOS:000348908100009","View Full Record in Web of Science")</f>
        <v>View Full Record in Web of Science</v>
      </c>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row>
    <row r="44" spans="1:314" s="2" customFormat="1" x14ac:dyDescent="0.4">
      <c r="A44" s="1" t="s">
        <v>72</v>
      </c>
      <c r="B44" s="1" t="s">
        <v>2429</v>
      </c>
      <c r="C44" s="1" t="s">
        <v>74</v>
      </c>
      <c r="D44" s="1" t="s">
        <v>74</v>
      </c>
      <c r="E44" s="1" t="s">
        <v>74</v>
      </c>
      <c r="F44" s="1" t="s">
        <v>2429</v>
      </c>
      <c r="G44" s="1" t="s">
        <v>74</v>
      </c>
      <c r="H44" s="1" t="s">
        <v>74</v>
      </c>
      <c r="I44" s="1" t="s">
        <v>3771</v>
      </c>
      <c r="J44" s="1" t="s">
        <v>1112</v>
      </c>
      <c r="K44" s="1" t="s">
        <v>74</v>
      </c>
      <c r="L44" s="1" t="s">
        <v>74</v>
      </c>
      <c r="M44" s="1" t="s">
        <v>74</v>
      </c>
      <c r="N44" s="1" t="s">
        <v>74</v>
      </c>
      <c r="O44" s="1" t="s">
        <v>74</v>
      </c>
      <c r="P44" s="1" t="s">
        <v>74</v>
      </c>
      <c r="Q44" s="1" t="s">
        <v>74</v>
      </c>
      <c r="R44" s="1" t="s">
        <v>74</v>
      </c>
      <c r="S44" s="1" t="s">
        <v>74</v>
      </c>
      <c r="T44" s="1" t="s">
        <v>74</v>
      </c>
      <c r="U44" s="1" t="s">
        <v>74</v>
      </c>
      <c r="V44" s="4" t="s">
        <v>3772</v>
      </c>
      <c r="W44" s="1" t="s">
        <v>74</v>
      </c>
      <c r="X44" s="1" t="s">
        <v>74</v>
      </c>
      <c r="Y44" s="1" t="s">
        <v>74</v>
      </c>
      <c r="Z44" s="1" t="s">
        <v>74</v>
      </c>
      <c r="AA44" s="1" t="s">
        <v>805</v>
      </c>
      <c r="AB44" s="1" t="s">
        <v>2432</v>
      </c>
      <c r="AC44" s="1" t="s">
        <v>74</v>
      </c>
      <c r="AD44" s="1" t="s">
        <v>74</v>
      </c>
      <c r="AE44" s="1" t="s">
        <v>74</v>
      </c>
      <c r="AF44" s="1" t="s">
        <v>74</v>
      </c>
      <c r="AG44" s="1" t="s">
        <v>74</v>
      </c>
      <c r="AH44" s="1" t="s">
        <v>74</v>
      </c>
      <c r="AI44" s="1" t="s">
        <v>74</v>
      </c>
      <c r="AJ44" s="1" t="s">
        <v>74</v>
      </c>
      <c r="AK44" s="1" t="s">
        <v>74</v>
      </c>
      <c r="AL44" s="1" t="s">
        <v>74</v>
      </c>
      <c r="AM44" s="1" t="s">
        <v>74</v>
      </c>
      <c r="AN44" s="1" t="s">
        <v>74</v>
      </c>
      <c r="AO44" s="1" t="s">
        <v>1114</v>
      </c>
      <c r="AP44" s="1" t="s">
        <v>74</v>
      </c>
      <c r="AQ44" s="1" t="s">
        <v>74</v>
      </c>
      <c r="AR44" s="1" t="s">
        <v>74</v>
      </c>
      <c r="AS44" s="1" t="s">
        <v>74</v>
      </c>
      <c r="AT44" s="1" t="s">
        <v>633</v>
      </c>
      <c r="AU44" s="1">
        <v>1996</v>
      </c>
      <c r="AV44" s="1">
        <v>47</v>
      </c>
      <c r="AW44" s="1" t="s">
        <v>548</v>
      </c>
      <c r="AX44" s="1" t="s">
        <v>74</v>
      </c>
      <c r="AY44" s="1" t="s">
        <v>74</v>
      </c>
      <c r="AZ44" s="1" t="s">
        <v>74</v>
      </c>
      <c r="BA44" s="1" t="s">
        <v>74</v>
      </c>
      <c r="BB44" s="1">
        <v>75</v>
      </c>
      <c r="BC44" s="1">
        <v>89</v>
      </c>
      <c r="BD44" s="1" t="s">
        <v>74</v>
      </c>
      <c r="BE44" s="1" t="s">
        <v>3773</v>
      </c>
      <c r="BF44" s="1" t="str">
        <f>HYPERLINK("http://dx.doi.org/10.1016/0168-1591(95)01012-2","http://dx.doi.org/10.1016/0168-1591(95)01012-2")</f>
        <v>http://dx.doi.org/10.1016/0168-1591(95)01012-2</v>
      </c>
      <c r="BG44" s="1" t="s">
        <v>74</v>
      </c>
      <c r="BH44" s="1" t="s">
        <v>74</v>
      </c>
      <c r="BI44" s="1" t="s">
        <v>74</v>
      </c>
      <c r="BJ44" s="1" t="s">
        <v>74</v>
      </c>
      <c r="BK44" s="1" t="s">
        <v>74</v>
      </c>
      <c r="BL44" s="1" t="s">
        <v>74</v>
      </c>
      <c r="BM44" s="1" t="s">
        <v>74</v>
      </c>
      <c r="BN44" s="1" t="s">
        <v>74</v>
      </c>
      <c r="BO44" s="1" t="s">
        <v>74</v>
      </c>
      <c r="BP44" s="1" t="s">
        <v>74</v>
      </c>
      <c r="BQ44" s="1" t="s">
        <v>74</v>
      </c>
      <c r="BR44" s="1" t="s">
        <v>74</v>
      </c>
      <c r="BS44" s="1" t="s">
        <v>3774</v>
      </c>
      <c r="BT44" s="1" t="str">
        <f>HYPERLINK("https%3A%2F%2Fwww.webofscience.com%2Fwos%2Fwoscc%2Ffull-record%2FWOS:A1996UR65000008","View Full Record in Web of Science")</f>
        <v>View Full Record in Web of Science</v>
      </c>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row>
    <row r="45" spans="1:314" s="2" customFormat="1" x14ac:dyDescent="0.4">
      <c r="A45" s="1" t="s">
        <v>72</v>
      </c>
      <c r="B45" s="1" t="s">
        <v>1153</v>
      </c>
      <c r="C45" s="1" t="s">
        <v>74</v>
      </c>
      <c r="D45" s="1" t="s">
        <v>74</v>
      </c>
      <c r="E45" s="1" t="s">
        <v>74</v>
      </c>
      <c r="F45" s="1" t="s">
        <v>1154</v>
      </c>
      <c r="G45" s="1" t="s">
        <v>74</v>
      </c>
      <c r="H45" s="1" t="s">
        <v>74</v>
      </c>
      <c r="I45" s="1" t="s">
        <v>1155</v>
      </c>
      <c r="J45" s="1" t="s">
        <v>312</v>
      </c>
      <c r="K45" s="1" t="s">
        <v>74</v>
      </c>
      <c r="L45" s="1" t="s">
        <v>74</v>
      </c>
      <c r="M45" s="1" t="s">
        <v>74</v>
      </c>
      <c r="N45" s="1" t="s">
        <v>74</v>
      </c>
      <c r="O45" s="1" t="s">
        <v>74</v>
      </c>
      <c r="P45" s="1" t="s">
        <v>74</v>
      </c>
      <c r="Q45" s="1" t="s">
        <v>74</v>
      </c>
      <c r="R45" s="1" t="s">
        <v>74</v>
      </c>
      <c r="S45" s="1" t="s">
        <v>74</v>
      </c>
      <c r="T45" s="1" t="s">
        <v>74</v>
      </c>
      <c r="U45" s="1" t="s">
        <v>74</v>
      </c>
      <c r="V45" s="4" t="s">
        <v>1156</v>
      </c>
      <c r="W45" s="1" t="s">
        <v>74</v>
      </c>
      <c r="X45" s="1" t="s">
        <v>74</v>
      </c>
      <c r="Y45" s="1" t="s">
        <v>74</v>
      </c>
      <c r="Z45" s="1" t="s">
        <v>74</v>
      </c>
      <c r="AA45" s="1" t="s">
        <v>433</v>
      </c>
      <c r="AB45" s="1" t="s">
        <v>434</v>
      </c>
      <c r="AC45" s="1" t="s">
        <v>74</v>
      </c>
      <c r="AD45" s="1" t="s">
        <v>74</v>
      </c>
      <c r="AE45" s="1" t="s">
        <v>74</v>
      </c>
      <c r="AF45" s="1" t="s">
        <v>74</v>
      </c>
      <c r="AG45" s="1" t="s">
        <v>74</v>
      </c>
      <c r="AH45" s="1" t="s">
        <v>74</v>
      </c>
      <c r="AI45" s="1" t="s">
        <v>74</v>
      </c>
      <c r="AJ45" s="1" t="s">
        <v>74</v>
      </c>
      <c r="AK45" s="1" t="s">
        <v>74</v>
      </c>
      <c r="AL45" s="1" t="s">
        <v>74</v>
      </c>
      <c r="AM45" s="1" t="s">
        <v>74</v>
      </c>
      <c r="AN45" s="1" t="s">
        <v>74</v>
      </c>
      <c r="AO45" s="1" t="s">
        <v>314</v>
      </c>
      <c r="AP45" s="1" t="s">
        <v>315</v>
      </c>
      <c r="AQ45" s="1" t="s">
        <v>74</v>
      </c>
      <c r="AR45" s="1" t="s">
        <v>74</v>
      </c>
      <c r="AS45" s="1" t="s">
        <v>74</v>
      </c>
      <c r="AT45" s="1" t="s">
        <v>175</v>
      </c>
      <c r="AU45" s="1">
        <v>2009</v>
      </c>
      <c r="AV45" s="1">
        <v>174</v>
      </c>
      <c r="AW45" s="1">
        <v>4</v>
      </c>
      <c r="AX45" s="1" t="s">
        <v>74</v>
      </c>
      <c r="AY45" s="1" t="s">
        <v>74</v>
      </c>
      <c r="AZ45" s="1" t="s">
        <v>74</v>
      </c>
      <c r="BA45" s="1" t="s">
        <v>74</v>
      </c>
      <c r="BB45" s="1">
        <v>455</v>
      </c>
      <c r="BC45" s="1">
        <v>464</v>
      </c>
      <c r="BD45" s="1" t="s">
        <v>74</v>
      </c>
      <c r="BE45" s="1" t="s">
        <v>1157</v>
      </c>
      <c r="BF45" s="1" t="str">
        <f>HYPERLINK("http://dx.doi.org/10.1086/605376","http://dx.doi.org/10.1086/605376")</f>
        <v>http://dx.doi.org/10.1086/605376</v>
      </c>
      <c r="BG45" s="1" t="s">
        <v>74</v>
      </c>
      <c r="BH45" s="1" t="s">
        <v>74</v>
      </c>
      <c r="BI45" s="1" t="s">
        <v>74</v>
      </c>
      <c r="BJ45" s="1" t="s">
        <v>74</v>
      </c>
      <c r="BK45" s="1" t="s">
        <v>74</v>
      </c>
      <c r="BL45" s="1" t="s">
        <v>74</v>
      </c>
      <c r="BM45" s="1" t="s">
        <v>74</v>
      </c>
      <c r="BN45" s="1">
        <v>19689213</v>
      </c>
      <c r="BO45" s="1" t="s">
        <v>74</v>
      </c>
      <c r="BP45" s="1" t="s">
        <v>74</v>
      </c>
      <c r="BQ45" s="1" t="s">
        <v>74</v>
      </c>
      <c r="BR45" s="1" t="s">
        <v>74</v>
      </c>
      <c r="BS45" s="1" t="s">
        <v>1158</v>
      </c>
      <c r="BT45" s="1" t="str">
        <f>HYPERLINK("https%3A%2F%2Fwww.webofscience.com%2Fwos%2Fwoscc%2Ffull-record%2FWOS:000269824800004","View Full Record in Web of Science")</f>
        <v>View Full Record in Web of Science</v>
      </c>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row>
    <row r="46" spans="1:314" s="2" customFormat="1" x14ac:dyDescent="0.4">
      <c r="A46" s="1" t="s">
        <v>72</v>
      </c>
      <c r="B46" s="1" t="s">
        <v>1836</v>
      </c>
      <c r="C46" s="1" t="s">
        <v>74</v>
      </c>
      <c r="D46" s="1" t="s">
        <v>74</v>
      </c>
      <c r="E46" s="1" t="s">
        <v>74</v>
      </c>
      <c r="F46" s="1" t="s">
        <v>1836</v>
      </c>
      <c r="G46" s="1" t="s">
        <v>74</v>
      </c>
      <c r="H46" s="1" t="s">
        <v>74</v>
      </c>
      <c r="I46" s="1" t="s">
        <v>1837</v>
      </c>
      <c r="J46" s="1" t="s">
        <v>140</v>
      </c>
      <c r="K46" s="1" t="s">
        <v>74</v>
      </c>
      <c r="L46" s="1" t="s">
        <v>74</v>
      </c>
      <c r="M46" s="1" t="s">
        <v>74</v>
      </c>
      <c r="N46" s="1" t="s">
        <v>74</v>
      </c>
      <c r="O46" s="1" t="s">
        <v>74</v>
      </c>
      <c r="P46" s="1" t="s">
        <v>74</v>
      </c>
      <c r="Q46" s="1" t="s">
        <v>74</v>
      </c>
      <c r="R46" s="1" t="s">
        <v>74</v>
      </c>
      <c r="S46" s="1" t="s">
        <v>74</v>
      </c>
      <c r="T46" s="1" t="s">
        <v>74</v>
      </c>
      <c r="U46" s="1" t="s">
        <v>74</v>
      </c>
      <c r="V46" s="4" t="s">
        <v>1838</v>
      </c>
      <c r="W46" s="1" t="s">
        <v>74</v>
      </c>
      <c r="X46" s="1" t="s">
        <v>74</v>
      </c>
      <c r="Y46" s="1" t="s">
        <v>74</v>
      </c>
      <c r="Z46" s="1" t="s">
        <v>74</v>
      </c>
      <c r="AA46" s="1" t="s">
        <v>1839</v>
      </c>
      <c r="AB46" s="1" t="s">
        <v>1840</v>
      </c>
      <c r="AC46" s="1" t="s">
        <v>74</v>
      </c>
      <c r="AD46" s="1" t="s">
        <v>74</v>
      </c>
      <c r="AE46" s="1" t="s">
        <v>74</v>
      </c>
      <c r="AF46" s="1" t="s">
        <v>74</v>
      </c>
      <c r="AG46" s="1" t="s">
        <v>74</v>
      </c>
      <c r="AH46" s="1" t="s">
        <v>74</v>
      </c>
      <c r="AI46" s="1" t="s">
        <v>74</v>
      </c>
      <c r="AJ46" s="1" t="s">
        <v>74</v>
      </c>
      <c r="AK46" s="1" t="s">
        <v>74</v>
      </c>
      <c r="AL46" s="1" t="s">
        <v>74</v>
      </c>
      <c r="AM46" s="1" t="s">
        <v>74</v>
      </c>
      <c r="AN46" s="1" t="s">
        <v>74</v>
      </c>
      <c r="AO46" s="1" t="s">
        <v>143</v>
      </c>
      <c r="AP46" s="1" t="s">
        <v>144</v>
      </c>
      <c r="AQ46" s="1" t="s">
        <v>74</v>
      </c>
      <c r="AR46" s="1" t="s">
        <v>74</v>
      </c>
      <c r="AS46" s="1" t="s">
        <v>74</v>
      </c>
      <c r="AT46" s="1" t="s">
        <v>175</v>
      </c>
      <c r="AU46" s="1">
        <v>2001</v>
      </c>
      <c r="AV46" s="1">
        <v>62</v>
      </c>
      <c r="AW46" s="1" t="s">
        <v>74</v>
      </c>
      <c r="AX46" s="1">
        <v>4</v>
      </c>
      <c r="AY46" s="1" t="s">
        <v>74</v>
      </c>
      <c r="AZ46" s="1" t="s">
        <v>74</v>
      </c>
      <c r="BA46" s="1" t="s">
        <v>74</v>
      </c>
      <c r="BB46" s="1">
        <v>695</v>
      </c>
      <c r="BC46" s="1">
        <v>704</v>
      </c>
      <c r="BD46" s="1" t="s">
        <v>74</v>
      </c>
      <c r="BE46" s="1" t="s">
        <v>1841</v>
      </c>
      <c r="BF46" s="1" t="str">
        <f>HYPERLINK("http://dx.doi.org/10.1006/anbe.2001.1804","http://dx.doi.org/10.1006/anbe.2001.1804")</f>
        <v>http://dx.doi.org/10.1006/anbe.2001.1804</v>
      </c>
      <c r="BG46" s="1" t="s">
        <v>74</v>
      </c>
      <c r="BH46" s="1" t="s">
        <v>74</v>
      </c>
      <c r="BI46" s="1" t="s">
        <v>74</v>
      </c>
      <c r="BJ46" s="1" t="s">
        <v>74</v>
      </c>
      <c r="BK46" s="1" t="s">
        <v>74</v>
      </c>
      <c r="BL46" s="1" t="s">
        <v>74</v>
      </c>
      <c r="BM46" s="1" t="s">
        <v>74</v>
      </c>
      <c r="BN46" s="1" t="s">
        <v>74</v>
      </c>
      <c r="BO46" s="1" t="s">
        <v>74</v>
      </c>
      <c r="BP46" s="1" t="s">
        <v>74</v>
      </c>
      <c r="BQ46" s="1" t="s">
        <v>74</v>
      </c>
      <c r="BR46" s="1" t="s">
        <v>74</v>
      </c>
      <c r="BS46" s="1" t="s">
        <v>1842</v>
      </c>
      <c r="BT46" s="1" t="str">
        <f>HYPERLINK("https%3A%2F%2Fwww.webofscience.com%2Fwos%2Fwoscc%2Ffull-record%2FWOS:000172189400010","View Full Record in Web of Science")</f>
        <v>View Full Record in Web of Science</v>
      </c>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row>
    <row r="47" spans="1:314" s="2" customFormat="1" x14ac:dyDescent="0.4">
      <c r="A47" s="1" t="s">
        <v>72</v>
      </c>
      <c r="B47" s="1" t="s">
        <v>5549</v>
      </c>
      <c r="C47" s="1" t="s">
        <v>74</v>
      </c>
      <c r="D47" s="1" t="s">
        <v>74</v>
      </c>
      <c r="E47" s="1" t="s">
        <v>74</v>
      </c>
      <c r="F47" s="1" t="s">
        <v>5550</v>
      </c>
      <c r="G47" s="1" t="s">
        <v>74</v>
      </c>
      <c r="H47" s="1" t="s">
        <v>74</v>
      </c>
      <c r="I47" s="1" t="s">
        <v>5551</v>
      </c>
      <c r="J47" s="1" t="s">
        <v>1126</v>
      </c>
      <c r="K47" s="1" t="s">
        <v>74</v>
      </c>
      <c r="L47" s="1" t="s">
        <v>74</v>
      </c>
      <c r="M47" s="1" t="s">
        <v>74</v>
      </c>
      <c r="N47" s="1" t="s">
        <v>74</v>
      </c>
      <c r="O47" s="1" t="s">
        <v>74</v>
      </c>
      <c r="P47" s="1" t="s">
        <v>74</v>
      </c>
      <c r="Q47" s="1" t="s">
        <v>74</v>
      </c>
      <c r="R47" s="1" t="s">
        <v>74</v>
      </c>
      <c r="S47" s="1" t="s">
        <v>74</v>
      </c>
      <c r="T47" s="1" t="s">
        <v>74</v>
      </c>
      <c r="U47" s="1" t="s">
        <v>74</v>
      </c>
      <c r="V47" s="4" t="s">
        <v>5552</v>
      </c>
      <c r="W47" s="1" t="s">
        <v>74</v>
      </c>
      <c r="X47" s="1" t="s">
        <v>74</v>
      </c>
      <c r="Y47" s="1" t="s">
        <v>74</v>
      </c>
      <c r="Z47" s="1" t="s">
        <v>74</v>
      </c>
      <c r="AA47" s="1" t="s">
        <v>74</v>
      </c>
      <c r="AB47" s="1" t="s">
        <v>74</v>
      </c>
      <c r="AC47" s="1" t="s">
        <v>74</v>
      </c>
      <c r="AD47" s="1" t="s">
        <v>74</v>
      </c>
      <c r="AE47" s="1" t="s">
        <v>74</v>
      </c>
      <c r="AF47" s="1" t="s">
        <v>74</v>
      </c>
      <c r="AG47" s="1" t="s">
        <v>74</v>
      </c>
      <c r="AH47" s="1" t="s">
        <v>74</v>
      </c>
      <c r="AI47" s="1" t="s">
        <v>74</v>
      </c>
      <c r="AJ47" s="1" t="s">
        <v>74</v>
      </c>
      <c r="AK47" s="1" t="s">
        <v>74</v>
      </c>
      <c r="AL47" s="1" t="s">
        <v>74</v>
      </c>
      <c r="AM47" s="1" t="s">
        <v>74</v>
      </c>
      <c r="AN47" s="1" t="s">
        <v>74</v>
      </c>
      <c r="AO47" s="1" t="s">
        <v>1128</v>
      </c>
      <c r="AP47" s="1" t="s">
        <v>1129</v>
      </c>
      <c r="AQ47" s="1" t="s">
        <v>74</v>
      </c>
      <c r="AR47" s="1" t="s">
        <v>74</v>
      </c>
      <c r="AS47" s="1" t="s">
        <v>74</v>
      </c>
      <c r="AT47" s="1" t="s">
        <v>305</v>
      </c>
      <c r="AU47" s="1">
        <v>2014</v>
      </c>
      <c r="AV47" s="1" t="s">
        <v>74</v>
      </c>
      <c r="AW47" s="1">
        <v>3</v>
      </c>
      <c r="AX47" s="1" t="s">
        <v>74</v>
      </c>
      <c r="AY47" s="1" t="s">
        <v>74</v>
      </c>
      <c r="AZ47" s="1" t="s">
        <v>74</v>
      </c>
      <c r="BA47" s="1" t="s">
        <v>74</v>
      </c>
      <c r="BB47" s="1">
        <v>481</v>
      </c>
      <c r="BC47" s="1">
        <v>488</v>
      </c>
      <c r="BD47" s="1" t="s">
        <v>74</v>
      </c>
      <c r="BE47" s="1" t="s">
        <v>5553</v>
      </c>
      <c r="BF47" s="1" t="str">
        <f>HYPERLINK("http://dx.doi.org/10.1643/CE-13-154","http://dx.doi.org/10.1643/CE-13-154")</f>
        <v>http://dx.doi.org/10.1643/CE-13-154</v>
      </c>
      <c r="BG47" s="1" t="s">
        <v>74</v>
      </c>
      <c r="BH47" s="1" t="s">
        <v>74</v>
      </c>
      <c r="BI47" s="1" t="s">
        <v>74</v>
      </c>
      <c r="BJ47" s="1" t="s">
        <v>74</v>
      </c>
      <c r="BK47" s="1" t="s">
        <v>74</v>
      </c>
      <c r="BL47" s="1" t="s">
        <v>74</v>
      </c>
      <c r="BM47" s="1" t="s">
        <v>74</v>
      </c>
      <c r="BN47" s="1" t="s">
        <v>74</v>
      </c>
      <c r="BO47" s="1" t="s">
        <v>74</v>
      </c>
      <c r="BP47" s="1" t="s">
        <v>74</v>
      </c>
      <c r="BQ47" s="1" t="s">
        <v>74</v>
      </c>
      <c r="BR47" s="1" t="s">
        <v>74</v>
      </c>
      <c r="BS47" s="1" t="s">
        <v>5554</v>
      </c>
      <c r="BT47" s="1" t="str">
        <f>HYPERLINK("https%3A%2F%2Fwww.webofscience.com%2Fwos%2Fwoscc%2Ffull-record%2FWOS:000348516300003","View Full Record in Web of Science")</f>
        <v>View Full Record in Web of Science</v>
      </c>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row>
    <row r="48" spans="1:314" s="7" customFormat="1" x14ac:dyDescent="0.4">
      <c r="A48" s="1" t="s">
        <v>72</v>
      </c>
      <c r="B48" s="1" t="s">
        <v>4949</v>
      </c>
      <c r="C48" s="1" t="s">
        <v>74</v>
      </c>
      <c r="D48" s="1" t="s">
        <v>74</v>
      </c>
      <c r="E48" s="1" t="s">
        <v>74</v>
      </c>
      <c r="F48" s="1" t="s">
        <v>4950</v>
      </c>
      <c r="G48" s="1" t="s">
        <v>74</v>
      </c>
      <c r="H48" s="1" t="s">
        <v>74</v>
      </c>
      <c r="I48" s="1" t="s">
        <v>4951</v>
      </c>
      <c r="J48" s="1" t="s">
        <v>509</v>
      </c>
      <c r="K48" s="1" t="s">
        <v>74</v>
      </c>
      <c r="L48" s="1" t="s">
        <v>74</v>
      </c>
      <c r="M48" s="1" t="s">
        <v>74</v>
      </c>
      <c r="N48" s="1" t="s">
        <v>74</v>
      </c>
      <c r="O48" s="1" t="s">
        <v>74</v>
      </c>
      <c r="P48" s="1" t="s">
        <v>74</v>
      </c>
      <c r="Q48" s="1" t="s">
        <v>74</v>
      </c>
      <c r="R48" s="1" t="s">
        <v>74</v>
      </c>
      <c r="S48" s="1" t="s">
        <v>74</v>
      </c>
      <c r="T48" s="1" t="s">
        <v>74</v>
      </c>
      <c r="U48" s="1" t="s">
        <v>74</v>
      </c>
      <c r="V48" s="4" t="s">
        <v>4952</v>
      </c>
      <c r="W48" s="1" t="s">
        <v>74</v>
      </c>
      <c r="X48" s="1" t="s">
        <v>74</v>
      </c>
      <c r="Y48" s="1" t="s">
        <v>74</v>
      </c>
      <c r="Z48" s="1" t="s">
        <v>74</v>
      </c>
      <c r="AA48" s="1" t="s">
        <v>4953</v>
      </c>
      <c r="AB48" s="1" t="s">
        <v>4954</v>
      </c>
      <c r="AC48" s="1" t="s">
        <v>74</v>
      </c>
      <c r="AD48" s="1" t="s">
        <v>74</v>
      </c>
      <c r="AE48" s="1" t="s">
        <v>74</v>
      </c>
      <c r="AF48" s="1" t="s">
        <v>74</v>
      </c>
      <c r="AG48" s="1" t="s">
        <v>74</v>
      </c>
      <c r="AH48" s="1" t="s">
        <v>74</v>
      </c>
      <c r="AI48" s="1" t="s">
        <v>74</v>
      </c>
      <c r="AJ48" s="1" t="s">
        <v>74</v>
      </c>
      <c r="AK48" s="1" t="s">
        <v>74</v>
      </c>
      <c r="AL48" s="1" t="s">
        <v>74</v>
      </c>
      <c r="AM48" s="1" t="s">
        <v>74</v>
      </c>
      <c r="AN48" s="1" t="s">
        <v>74</v>
      </c>
      <c r="AO48" s="1" t="s">
        <v>511</v>
      </c>
      <c r="AP48" s="1" t="s">
        <v>74</v>
      </c>
      <c r="AQ48" s="1" t="s">
        <v>74</v>
      </c>
      <c r="AR48" s="1" t="s">
        <v>74</v>
      </c>
      <c r="AS48" s="1" t="s">
        <v>74</v>
      </c>
      <c r="AT48" s="1" t="s">
        <v>633</v>
      </c>
      <c r="AU48" s="1">
        <v>2012</v>
      </c>
      <c r="AV48" s="1">
        <v>61</v>
      </c>
      <c r="AW48" s="1">
        <v>4</v>
      </c>
      <c r="AX48" s="1" t="s">
        <v>74</v>
      </c>
      <c r="AY48" s="1" t="s">
        <v>74</v>
      </c>
      <c r="AZ48" s="1" t="s">
        <v>74</v>
      </c>
      <c r="BA48" s="1" t="s">
        <v>74</v>
      </c>
      <c r="BB48" s="1">
        <v>496</v>
      </c>
      <c r="BC48" s="1">
        <v>503</v>
      </c>
      <c r="BD48" s="1" t="s">
        <v>74</v>
      </c>
      <c r="BE48" s="1" t="s">
        <v>4955</v>
      </c>
      <c r="BF48" s="1" t="str">
        <f>HYPERLINK("http://dx.doi.org/10.1016/j.yhbeh.2012.01.006","http://dx.doi.org/10.1016/j.yhbeh.2012.01.006")</f>
        <v>http://dx.doi.org/10.1016/j.yhbeh.2012.01.006</v>
      </c>
      <c r="BG48" s="1" t="s">
        <v>74</v>
      </c>
      <c r="BH48" s="1" t="s">
        <v>74</v>
      </c>
      <c r="BI48" s="1" t="s">
        <v>74</v>
      </c>
      <c r="BJ48" s="1" t="s">
        <v>74</v>
      </c>
      <c r="BK48" s="1" t="s">
        <v>74</v>
      </c>
      <c r="BL48" s="1" t="s">
        <v>74</v>
      </c>
      <c r="BM48" s="1" t="s">
        <v>74</v>
      </c>
      <c r="BN48" s="1">
        <v>22285646</v>
      </c>
      <c r="BO48" s="1" t="s">
        <v>74</v>
      </c>
      <c r="BP48" s="1" t="s">
        <v>74</v>
      </c>
      <c r="BQ48" s="1" t="s">
        <v>74</v>
      </c>
      <c r="BR48" s="1" t="s">
        <v>74</v>
      </c>
      <c r="BS48" s="1" t="s">
        <v>4956</v>
      </c>
      <c r="BT48" s="1" t="str">
        <f>HYPERLINK("https%3A%2F%2Fwww.webofscience.com%2Fwos%2Fwoscc%2Ffull-record%2FWOS:000302763700005","View Full Record in Web of Science")</f>
        <v>View Full Record in Web of Science</v>
      </c>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row>
    <row r="49" spans="1:314" s="2" customFormat="1" x14ac:dyDescent="0.4">
      <c r="A49" s="1" t="s">
        <v>72</v>
      </c>
      <c r="B49" s="1" t="s">
        <v>3119</v>
      </c>
      <c r="C49" s="1" t="s">
        <v>74</v>
      </c>
      <c r="D49" s="1" t="s">
        <v>74</v>
      </c>
      <c r="E49" s="1" t="s">
        <v>74</v>
      </c>
      <c r="F49" s="1" t="s">
        <v>3120</v>
      </c>
      <c r="G49" s="1" t="s">
        <v>74</v>
      </c>
      <c r="H49" s="1" t="s">
        <v>74</v>
      </c>
      <c r="I49" s="1" t="s">
        <v>3121</v>
      </c>
      <c r="J49" s="1" t="s">
        <v>218</v>
      </c>
      <c r="K49" s="1" t="s">
        <v>74</v>
      </c>
      <c r="L49" s="1" t="s">
        <v>74</v>
      </c>
      <c r="M49" s="1" t="s">
        <v>74</v>
      </c>
      <c r="N49" s="1" t="s">
        <v>74</v>
      </c>
      <c r="O49" s="1" t="s">
        <v>74</v>
      </c>
      <c r="P49" s="1" t="s">
        <v>74</v>
      </c>
      <c r="Q49" s="1" t="s">
        <v>74</v>
      </c>
      <c r="R49" s="1" t="s">
        <v>74</v>
      </c>
      <c r="S49" s="1" t="s">
        <v>74</v>
      </c>
      <c r="T49" s="1" t="s">
        <v>74</v>
      </c>
      <c r="U49" s="1" t="s">
        <v>74</v>
      </c>
      <c r="V49" s="4" t="s">
        <v>3122</v>
      </c>
      <c r="W49" s="1" t="s">
        <v>74</v>
      </c>
      <c r="X49" s="1" t="s">
        <v>74</v>
      </c>
      <c r="Y49" s="1" t="s">
        <v>74</v>
      </c>
      <c r="Z49" s="1" t="s">
        <v>74</v>
      </c>
      <c r="AA49" s="1" t="s">
        <v>74</v>
      </c>
      <c r="AB49" s="1" t="s">
        <v>74</v>
      </c>
      <c r="AC49" s="1" t="s">
        <v>74</v>
      </c>
      <c r="AD49" s="1" t="s">
        <v>74</v>
      </c>
      <c r="AE49" s="1" t="s">
        <v>74</v>
      </c>
      <c r="AF49" s="1" t="s">
        <v>74</v>
      </c>
      <c r="AG49" s="1" t="s">
        <v>74</v>
      </c>
      <c r="AH49" s="1" t="s">
        <v>74</v>
      </c>
      <c r="AI49" s="1" t="s">
        <v>74</v>
      </c>
      <c r="AJ49" s="1" t="s">
        <v>74</v>
      </c>
      <c r="AK49" s="1" t="s">
        <v>74</v>
      </c>
      <c r="AL49" s="1" t="s">
        <v>74</v>
      </c>
      <c r="AM49" s="1" t="s">
        <v>74</v>
      </c>
      <c r="AN49" s="1" t="s">
        <v>74</v>
      </c>
      <c r="AO49" s="1" t="s">
        <v>221</v>
      </c>
      <c r="AP49" s="1" t="s">
        <v>74</v>
      </c>
      <c r="AQ49" s="1" t="s">
        <v>74</v>
      </c>
      <c r="AR49" s="1" t="s">
        <v>74</v>
      </c>
      <c r="AS49" s="1" t="s">
        <v>74</v>
      </c>
      <c r="AT49" s="1" t="s">
        <v>352</v>
      </c>
      <c r="AU49" s="1">
        <v>2010</v>
      </c>
      <c r="AV49" s="1">
        <v>23</v>
      </c>
      <c r="AW49" s="1">
        <v>9</v>
      </c>
      <c r="AX49" s="1" t="s">
        <v>74</v>
      </c>
      <c r="AY49" s="1" t="s">
        <v>74</v>
      </c>
      <c r="AZ49" s="1" t="s">
        <v>74</v>
      </c>
      <c r="BA49" s="1" t="s">
        <v>74</v>
      </c>
      <c r="BB49" s="1">
        <v>1928</v>
      </c>
      <c r="BC49" s="1">
        <v>1936</v>
      </c>
      <c r="BD49" s="1" t="s">
        <v>74</v>
      </c>
      <c r="BE49" s="1" t="s">
        <v>3123</v>
      </c>
      <c r="BF49" s="1" t="str">
        <f>HYPERLINK("http://dx.doi.org/10.1111/j.1420-9101.2010.02063.x","http://dx.doi.org/10.1111/j.1420-9101.2010.02063.x")</f>
        <v>http://dx.doi.org/10.1111/j.1420-9101.2010.02063.x</v>
      </c>
      <c r="BG49" s="1" t="s">
        <v>74</v>
      </c>
      <c r="BH49" s="1" t="s">
        <v>74</v>
      </c>
      <c r="BI49" s="1" t="s">
        <v>74</v>
      </c>
      <c r="BJ49" s="1" t="s">
        <v>74</v>
      </c>
      <c r="BK49" s="1" t="s">
        <v>74</v>
      </c>
      <c r="BL49" s="1" t="s">
        <v>74</v>
      </c>
      <c r="BM49" s="1" t="s">
        <v>74</v>
      </c>
      <c r="BN49" s="1">
        <v>20695966</v>
      </c>
      <c r="BO49" s="1" t="s">
        <v>74</v>
      </c>
      <c r="BP49" s="1" t="s">
        <v>74</v>
      </c>
      <c r="BQ49" s="1" t="s">
        <v>74</v>
      </c>
      <c r="BR49" s="1" t="s">
        <v>74</v>
      </c>
      <c r="BS49" s="1" t="s">
        <v>3124</v>
      </c>
      <c r="BT49" s="1" t="str">
        <f>HYPERLINK("https%3A%2F%2Fwww.webofscience.com%2Fwos%2Fwoscc%2Ffull-record%2FWOS:000281141800011","View Full Record in Web of Science")</f>
        <v>View Full Record in Web of Science</v>
      </c>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row>
    <row r="50" spans="1:314" s="2" customFormat="1" x14ac:dyDescent="0.4">
      <c r="A50" s="1" t="s">
        <v>72</v>
      </c>
      <c r="B50" s="1" t="s">
        <v>3753</v>
      </c>
      <c r="C50" s="1" t="s">
        <v>74</v>
      </c>
      <c r="D50" s="1" t="s">
        <v>74</v>
      </c>
      <c r="E50" s="1" t="s">
        <v>74</v>
      </c>
      <c r="F50" s="1" t="s">
        <v>3754</v>
      </c>
      <c r="G50" s="1" t="s">
        <v>74</v>
      </c>
      <c r="H50" s="1" t="s">
        <v>74</v>
      </c>
      <c r="I50" s="1" t="s">
        <v>3755</v>
      </c>
      <c r="J50" s="1" t="s">
        <v>3756</v>
      </c>
      <c r="K50" s="1" t="s">
        <v>74</v>
      </c>
      <c r="L50" s="1" t="s">
        <v>74</v>
      </c>
      <c r="M50" s="1" t="s">
        <v>74</v>
      </c>
      <c r="N50" s="1" t="s">
        <v>74</v>
      </c>
      <c r="O50" s="1" t="s">
        <v>74</v>
      </c>
      <c r="P50" s="1" t="s">
        <v>74</v>
      </c>
      <c r="Q50" s="1" t="s">
        <v>74</v>
      </c>
      <c r="R50" s="1" t="s">
        <v>74</v>
      </c>
      <c r="S50" s="1" t="s">
        <v>74</v>
      </c>
      <c r="T50" s="1" t="s">
        <v>74</v>
      </c>
      <c r="U50" s="1" t="s">
        <v>74</v>
      </c>
      <c r="V50" s="4" t="s">
        <v>3757</v>
      </c>
      <c r="W50" s="1" t="s">
        <v>74</v>
      </c>
      <c r="X50" s="1" t="s">
        <v>74</v>
      </c>
      <c r="Y50" s="1" t="s">
        <v>74</v>
      </c>
      <c r="Z50" s="1" t="s">
        <v>74</v>
      </c>
      <c r="AA50" s="1" t="s">
        <v>3758</v>
      </c>
      <c r="AB50" s="1" t="s">
        <v>3759</v>
      </c>
      <c r="AC50" s="1" t="s">
        <v>74</v>
      </c>
      <c r="AD50" s="1" t="s">
        <v>74</v>
      </c>
      <c r="AE50" s="1" t="s">
        <v>74</v>
      </c>
      <c r="AF50" s="1" t="s">
        <v>74</v>
      </c>
      <c r="AG50" s="1" t="s">
        <v>74</v>
      </c>
      <c r="AH50" s="1" t="s">
        <v>74</v>
      </c>
      <c r="AI50" s="1" t="s">
        <v>74</v>
      </c>
      <c r="AJ50" s="1" t="s">
        <v>74</v>
      </c>
      <c r="AK50" s="1" t="s">
        <v>74</v>
      </c>
      <c r="AL50" s="1" t="s">
        <v>74</v>
      </c>
      <c r="AM50" s="1" t="s">
        <v>74</v>
      </c>
      <c r="AN50" s="1" t="s">
        <v>74</v>
      </c>
      <c r="AO50" s="1" t="s">
        <v>3760</v>
      </c>
      <c r="AP50" s="1" t="s">
        <v>74</v>
      </c>
      <c r="AQ50" s="1" t="s">
        <v>74</v>
      </c>
      <c r="AR50" s="1" t="s">
        <v>74</v>
      </c>
      <c r="AS50" s="1" t="s">
        <v>74</v>
      </c>
      <c r="AT50" s="1" t="s">
        <v>175</v>
      </c>
      <c r="AU50" s="1">
        <v>2019</v>
      </c>
      <c r="AV50" s="1">
        <v>12</v>
      </c>
      <c r="AW50" s="1">
        <v>9</v>
      </c>
      <c r="AX50" s="1" t="s">
        <v>74</v>
      </c>
      <c r="AY50" s="1" t="s">
        <v>74</v>
      </c>
      <c r="AZ50" s="1" t="s">
        <v>74</v>
      </c>
      <c r="BA50" s="1" t="s">
        <v>74</v>
      </c>
      <c r="BB50" s="1">
        <v>1757</v>
      </c>
      <c r="BC50" s="1">
        <v>1771</v>
      </c>
      <c r="BD50" s="1" t="s">
        <v>74</v>
      </c>
      <c r="BE50" s="1" t="s">
        <v>3761</v>
      </c>
      <c r="BF50" s="1" t="str">
        <f>HYPERLINK("http://dx.doi.org/10.1111/eva.12830","http://dx.doi.org/10.1111/eva.12830")</f>
        <v>http://dx.doi.org/10.1111/eva.12830</v>
      </c>
      <c r="BG50" s="1" t="s">
        <v>74</v>
      </c>
      <c r="BH50" s="1" t="s">
        <v>3762</v>
      </c>
      <c r="BI50" s="1" t="s">
        <v>74</v>
      </c>
      <c r="BJ50" s="1" t="s">
        <v>74</v>
      </c>
      <c r="BK50" s="1" t="s">
        <v>74</v>
      </c>
      <c r="BL50" s="1" t="s">
        <v>74</v>
      </c>
      <c r="BM50" s="1" t="s">
        <v>74</v>
      </c>
      <c r="BN50" s="1">
        <v>31548855</v>
      </c>
      <c r="BO50" s="1" t="s">
        <v>74</v>
      </c>
      <c r="BP50" s="1" t="s">
        <v>74</v>
      </c>
      <c r="BQ50" s="1" t="s">
        <v>74</v>
      </c>
      <c r="BR50" s="1" t="s">
        <v>74</v>
      </c>
      <c r="BS50" s="1" t="s">
        <v>3763</v>
      </c>
      <c r="BT50" s="1" t="str">
        <f>HYPERLINK("https%3A%2F%2Fwww.webofscience.com%2Fwos%2Fwoscc%2Ffull-record%2FWOS:000476434800001","View Full Record in Web of Science")</f>
        <v>View Full Record in Web of Science</v>
      </c>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row>
    <row r="51" spans="1:314" s="2" customFormat="1" x14ac:dyDescent="0.4">
      <c r="A51" s="1" t="s">
        <v>72</v>
      </c>
      <c r="B51" s="1" t="s">
        <v>607</v>
      </c>
      <c r="C51" s="1" t="s">
        <v>74</v>
      </c>
      <c r="D51" s="1" t="s">
        <v>74</v>
      </c>
      <c r="E51" s="1" t="s">
        <v>74</v>
      </c>
      <c r="F51" s="1" t="s">
        <v>608</v>
      </c>
      <c r="G51" s="1" t="s">
        <v>74</v>
      </c>
      <c r="H51" s="1" t="s">
        <v>74</v>
      </c>
      <c r="I51" s="1" t="s">
        <v>609</v>
      </c>
      <c r="J51" s="1" t="s">
        <v>610</v>
      </c>
      <c r="K51" s="1" t="s">
        <v>74</v>
      </c>
      <c r="L51" s="1" t="s">
        <v>74</v>
      </c>
      <c r="M51" s="1" t="s">
        <v>74</v>
      </c>
      <c r="N51" s="1" t="s">
        <v>74</v>
      </c>
      <c r="O51" s="1" t="s">
        <v>74</v>
      </c>
      <c r="P51" s="1" t="s">
        <v>74</v>
      </c>
      <c r="Q51" s="1" t="s">
        <v>74</v>
      </c>
      <c r="R51" s="1" t="s">
        <v>74</v>
      </c>
      <c r="S51" s="1" t="s">
        <v>74</v>
      </c>
      <c r="T51" s="1" t="s">
        <v>74</v>
      </c>
      <c r="U51" s="1" t="s">
        <v>74</v>
      </c>
      <c r="V51" s="4" t="s">
        <v>611</v>
      </c>
      <c r="W51" s="1" t="s">
        <v>74</v>
      </c>
      <c r="X51" s="1" t="s">
        <v>74</v>
      </c>
      <c r="Y51" s="1" t="s">
        <v>74</v>
      </c>
      <c r="Z51" s="1" t="s">
        <v>74</v>
      </c>
      <c r="AA51" s="1" t="s">
        <v>612</v>
      </c>
      <c r="AB51" s="1" t="s">
        <v>613</v>
      </c>
      <c r="AC51" s="1" t="s">
        <v>74</v>
      </c>
      <c r="AD51" s="1" t="s">
        <v>74</v>
      </c>
      <c r="AE51" s="1" t="s">
        <v>74</v>
      </c>
      <c r="AF51" s="1" t="s">
        <v>74</v>
      </c>
      <c r="AG51" s="1" t="s">
        <v>74</v>
      </c>
      <c r="AH51" s="1" t="s">
        <v>74</v>
      </c>
      <c r="AI51" s="1" t="s">
        <v>74</v>
      </c>
      <c r="AJ51" s="1" t="s">
        <v>74</v>
      </c>
      <c r="AK51" s="1" t="s">
        <v>74</v>
      </c>
      <c r="AL51" s="1" t="s">
        <v>74</v>
      </c>
      <c r="AM51" s="1" t="s">
        <v>74</v>
      </c>
      <c r="AN51" s="1" t="s">
        <v>74</v>
      </c>
      <c r="AO51" s="1" t="s">
        <v>614</v>
      </c>
      <c r="AP51" s="1" t="s">
        <v>615</v>
      </c>
      <c r="AQ51" s="1" t="s">
        <v>74</v>
      </c>
      <c r="AR51" s="1" t="s">
        <v>74</v>
      </c>
      <c r="AS51" s="1" t="s">
        <v>74</v>
      </c>
      <c r="AT51" s="1" t="s">
        <v>352</v>
      </c>
      <c r="AU51" s="1">
        <v>2020</v>
      </c>
      <c r="AV51" s="1">
        <v>126</v>
      </c>
      <c r="AW51" s="1">
        <v>9</v>
      </c>
      <c r="AX51" s="1" t="s">
        <v>74</v>
      </c>
      <c r="AY51" s="1" t="s">
        <v>74</v>
      </c>
      <c r="AZ51" s="1" t="s">
        <v>74</v>
      </c>
      <c r="BA51" s="1" t="s">
        <v>74</v>
      </c>
      <c r="BB51" s="1">
        <v>900</v>
      </c>
      <c r="BC51" s="1">
        <v>913</v>
      </c>
      <c r="BD51" s="1" t="s">
        <v>74</v>
      </c>
      <c r="BE51" s="1" t="s">
        <v>616</v>
      </c>
      <c r="BF51" s="1" t="str">
        <f>HYPERLINK("http://dx.doi.org/10.1111/eth.13067","http://dx.doi.org/10.1111/eth.13067")</f>
        <v>http://dx.doi.org/10.1111/eth.13067</v>
      </c>
      <c r="BG51" s="1" t="s">
        <v>74</v>
      </c>
      <c r="BH51" s="1" t="s">
        <v>617</v>
      </c>
      <c r="BI51" s="1" t="s">
        <v>74</v>
      </c>
      <c r="BJ51" s="1" t="s">
        <v>74</v>
      </c>
      <c r="BK51" s="1" t="s">
        <v>74</v>
      </c>
      <c r="BL51" s="1" t="s">
        <v>74</v>
      </c>
      <c r="BM51" s="1" t="s">
        <v>74</v>
      </c>
      <c r="BN51" s="1" t="s">
        <v>74</v>
      </c>
      <c r="BO51" s="1" t="s">
        <v>74</v>
      </c>
      <c r="BP51" s="1" t="s">
        <v>74</v>
      </c>
      <c r="BQ51" s="1" t="s">
        <v>74</v>
      </c>
      <c r="BR51" s="1" t="s">
        <v>74</v>
      </c>
      <c r="BS51" s="1" t="s">
        <v>618</v>
      </c>
      <c r="BT51" s="1" t="str">
        <f>HYPERLINK("https%3A%2F%2Fwww.webofscience.com%2Fwos%2Fwoscc%2Ffull-record%2FWOS:000538660200001","View Full Record in Web of Science")</f>
        <v>View Full Record in Web of Science</v>
      </c>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row>
    <row r="52" spans="1:314" s="2" customFormat="1" x14ac:dyDescent="0.4">
      <c r="A52" s="1" t="s">
        <v>72</v>
      </c>
      <c r="B52" s="1" t="s">
        <v>2197</v>
      </c>
      <c r="C52" s="1" t="s">
        <v>74</v>
      </c>
      <c r="D52" s="1" t="s">
        <v>74</v>
      </c>
      <c r="E52" s="1" t="s">
        <v>74</v>
      </c>
      <c r="F52" s="1" t="s">
        <v>2198</v>
      </c>
      <c r="G52" s="1" t="s">
        <v>74</v>
      </c>
      <c r="H52" s="1" t="s">
        <v>74</v>
      </c>
      <c r="I52" s="1" t="s">
        <v>2199</v>
      </c>
      <c r="J52" s="1" t="s">
        <v>408</v>
      </c>
      <c r="K52" s="1" t="s">
        <v>74</v>
      </c>
      <c r="L52" s="1" t="s">
        <v>74</v>
      </c>
      <c r="M52" s="1" t="s">
        <v>74</v>
      </c>
      <c r="N52" s="1" t="s">
        <v>74</v>
      </c>
      <c r="O52" s="1" t="s">
        <v>74</v>
      </c>
      <c r="P52" s="1" t="s">
        <v>74</v>
      </c>
      <c r="Q52" s="1" t="s">
        <v>74</v>
      </c>
      <c r="R52" s="1" t="s">
        <v>74</v>
      </c>
      <c r="S52" s="1" t="s">
        <v>74</v>
      </c>
      <c r="T52" s="1" t="s">
        <v>74</v>
      </c>
      <c r="U52" s="1" t="s">
        <v>74</v>
      </c>
      <c r="V52" s="4" t="s">
        <v>2200</v>
      </c>
      <c r="W52" s="1" t="s">
        <v>74</v>
      </c>
      <c r="X52" s="1" t="s">
        <v>74</v>
      </c>
      <c r="Y52" s="1" t="s">
        <v>74</v>
      </c>
      <c r="Z52" s="1" t="s">
        <v>74</v>
      </c>
      <c r="AA52" s="1" t="s">
        <v>2201</v>
      </c>
      <c r="AB52" s="1" t="s">
        <v>2202</v>
      </c>
      <c r="AC52" s="1" t="s">
        <v>74</v>
      </c>
      <c r="AD52" s="1" t="s">
        <v>74</v>
      </c>
      <c r="AE52" s="1" t="s">
        <v>74</v>
      </c>
      <c r="AF52" s="1" t="s">
        <v>74</v>
      </c>
      <c r="AG52" s="1" t="s">
        <v>74</v>
      </c>
      <c r="AH52" s="1" t="s">
        <v>74</v>
      </c>
      <c r="AI52" s="1" t="s">
        <v>74</v>
      </c>
      <c r="AJ52" s="1" t="s">
        <v>74</v>
      </c>
      <c r="AK52" s="1" t="s">
        <v>74</v>
      </c>
      <c r="AL52" s="1" t="s">
        <v>74</v>
      </c>
      <c r="AM52" s="1" t="s">
        <v>74</v>
      </c>
      <c r="AN52" s="1" t="s">
        <v>74</v>
      </c>
      <c r="AO52" s="1" t="s">
        <v>412</v>
      </c>
      <c r="AP52" s="1" t="s">
        <v>413</v>
      </c>
      <c r="AQ52" s="1" t="s">
        <v>74</v>
      </c>
      <c r="AR52" s="1" t="s">
        <v>74</v>
      </c>
      <c r="AS52" s="1" t="s">
        <v>74</v>
      </c>
      <c r="AT52" s="1" t="s">
        <v>255</v>
      </c>
      <c r="AU52" s="1">
        <v>2013</v>
      </c>
      <c r="AV52" s="1">
        <v>108</v>
      </c>
      <c r="AW52" s="1">
        <v>1</v>
      </c>
      <c r="AX52" s="1" t="s">
        <v>74</v>
      </c>
      <c r="AY52" s="1" t="s">
        <v>74</v>
      </c>
      <c r="AZ52" s="1" t="s">
        <v>74</v>
      </c>
      <c r="BA52" s="1" t="s">
        <v>74</v>
      </c>
      <c r="BB52" s="1">
        <v>116</v>
      </c>
      <c r="BC52" s="1">
        <v>126</v>
      </c>
      <c r="BD52" s="1" t="s">
        <v>74</v>
      </c>
      <c r="BE52" s="1" t="s">
        <v>2203</v>
      </c>
      <c r="BF52" s="1" t="str">
        <f>HYPERLINK("http://dx.doi.org/10.1111/j.1095-8312.2012.02006.x","http://dx.doi.org/10.1111/j.1095-8312.2012.02006.x")</f>
        <v>http://dx.doi.org/10.1111/j.1095-8312.2012.02006.x</v>
      </c>
      <c r="BG52" s="1" t="s">
        <v>74</v>
      </c>
      <c r="BH52" s="1" t="s">
        <v>74</v>
      </c>
      <c r="BI52" s="1" t="s">
        <v>74</v>
      </c>
      <c r="BJ52" s="1" t="s">
        <v>74</v>
      </c>
      <c r="BK52" s="1" t="s">
        <v>74</v>
      </c>
      <c r="BL52" s="1" t="s">
        <v>74</v>
      </c>
      <c r="BM52" s="1" t="s">
        <v>74</v>
      </c>
      <c r="BN52" s="1" t="s">
        <v>74</v>
      </c>
      <c r="BO52" s="1" t="s">
        <v>74</v>
      </c>
      <c r="BP52" s="1" t="s">
        <v>74</v>
      </c>
      <c r="BQ52" s="1" t="s">
        <v>74</v>
      </c>
      <c r="BR52" s="1" t="s">
        <v>74</v>
      </c>
      <c r="BS52" s="1" t="s">
        <v>2204</v>
      </c>
      <c r="BT52" s="1" t="str">
        <f>HYPERLINK("https%3A%2F%2Fwww.webofscience.com%2Fwos%2Fwoscc%2Ffull-record%2FWOS:000312543100011","View Full Record in Web of Science")</f>
        <v>View Full Record in Web of Science</v>
      </c>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row>
    <row r="53" spans="1:314" s="2" customFormat="1" x14ac:dyDescent="0.4">
      <c r="A53" s="1" t="s">
        <v>72</v>
      </c>
      <c r="B53" s="1" t="s">
        <v>1501</v>
      </c>
      <c r="C53" s="1" t="s">
        <v>74</v>
      </c>
      <c r="D53" s="1" t="s">
        <v>74</v>
      </c>
      <c r="E53" s="1" t="s">
        <v>74</v>
      </c>
      <c r="F53" s="1" t="s">
        <v>1502</v>
      </c>
      <c r="G53" s="1" t="s">
        <v>74</v>
      </c>
      <c r="H53" s="1" t="s">
        <v>74</v>
      </c>
      <c r="I53" s="1" t="s">
        <v>1503</v>
      </c>
      <c r="J53" s="1" t="s">
        <v>814</v>
      </c>
      <c r="K53" s="1" t="s">
        <v>74</v>
      </c>
      <c r="L53" s="1" t="s">
        <v>74</v>
      </c>
      <c r="M53" s="1" t="s">
        <v>74</v>
      </c>
      <c r="N53" s="1" t="s">
        <v>74</v>
      </c>
      <c r="O53" s="1" t="s">
        <v>74</v>
      </c>
      <c r="P53" s="1" t="s">
        <v>74</v>
      </c>
      <c r="Q53" s="1" t="s">
        <v>74</v>
      </c>
      <c r="R53" s="1" t="s">
        <v>74</v>
      </c>
      <c r="S53" s="1" t="s">
        <v>74</v>
      </c>
      <c r="T53" s="1" t="s">
        <v>74</v>
      </c>
      <c r="U53" s="1" t="s">
        <v>74</v>
      </c>
      <c r="V53" s="4" t="s">
        <v>1504</v>
      </c>
      <c r="W53" s="1" t="s">
        <v>74</v>
      </c>
      <c r="X53" s="1" t="s">
        <v>74</v>
      </c>
      <c r="Y53" s="1" t="s">
        <v>74</v>
      </c>
      <c r="Z53" s="1" t="s">
        <v>74</v>
      </c>
      <c r="AA53" s="1" t="s">
        <v>74</v>
      </c>
      <c r="AB53" s="1" t="s">
        <v>74</v>
      </c>
      <c r="AC53" s="1" t="s">
        <v>74</v>
      </c>
      <c r="AD53" s="1" t="s">
        <v>74</v>
      </c>
      <c r="AE53" s="1" t="s">
        <v>74</v>
      </c>
      <c r="AF53" s="1" t="s">
        <v>74</v>
      </c>
      <c r="AG53" s="1" t="s">
        <v>74</v>
      </c>
      <c r="AH53" s="1" t="s">
        <v>74</v>
      </c>
      <c r="AI53" s="1" t="s">
        <v>74</v>
      </c>
      <c r="AJ53" s="1" t="s">
        <v>74</v>
      </c>
      <c r="AK53" s="1" t="s">
        <v>74</v>
      </c>
      <c r="AL53" s="1" t="s">
        <v>74</v>
      </c>
      <c r="AM53" s="1" t="s">
        <v>74</v>
      </c>
      <c r="AN53" s="1" t="s">
        <v>74</v>
      </c>
      <c r="AO53" s="1" t="s">
        <v>818</v>
      </c>
      <c r="AP53" s="1" t="s">
        <v>1505</v>
      </c>
      <c r="AQ53" s="1" t="s">
        <v>74</v>
      </c>
      <c r="AR53" s="1" t="s">
        <v>74</v>
      </c>
      <c r="AS53" s="1" t="s">
        <v>74</v>
      </c>
      <c r="AT53" s="1" t="s">
        <v>102</v>
      </c>
      <c r="AU53" s="1">
        <v>2017</v>
      </c>
      <c r="AV53" s="1">
        <v>122</v>
      </c>
      <c r="AW53" s="1" t="s">
        <v>74</v>
      </c>
      <c r="AX53" s="1" t="s">
        <v>74</v>
      </c>
      <c r="AY53" s="1" t="s">
        <v>74</v>
      </c>
      <c r="AZ53" s="1" t="s">
        <v>74</v>
      </c>
      <c r="BA53" s="1" t="s">
        <v>74</v>
      </c>
      <c r="BB53" s="1">
        <v>115</v>
      </c>
      <c r="BC53" s="1">
        <v>125</v>
      </c>
      <c r="BD53" s="1" t="s">
        <v>74</v>
      </c>
      <c r="BE53" s="1" t="s">
        <v>1506</v>
      </c>
      <c r="BF53" s="1" t="str">
        <f>HYPERLINK("http://dx.doi.org/10.1016/j.zool.2017.05.002","http://dx.doi.org/10.1016/j.zool.2017.05.002")</f>
        <v>http://dx.doi.org/10.1016/j.zool.2017.05.002</v>
      </c>
      <c r="BG53" s="1" t="s">
        <v>74</v>
      </c>
      <c r="BH53" s="1" t="s">
        <v>74</v>
      </c>
      <c r="BI53" s="1" t="s">
        <v>74</v>
      </c>
      <c r="BJ53" s="1" t="s">
        <v>74</v>
      </c>
      <c r="BK53" s="1" t="s">
        <v>74</v>
      </c>
      <c r="BL53" s="1" t="s">
        <v>74</v>
      </c>
      <c r="BM53" s="1" t="s">
        <v>74</v>
      </c>
      <c r="BN53" s="1">
        <v>28546067</v>
      </c>
      <c r="BO53" s="1" t="s">
        <v>74</v>
      </c>
      <c r="BP53" s="1" t="s">
        <v>74</v>
      </c>
      <c r="BQ53" s="1" t="s">
        <v>74</v>
      </c>
      <c r="BR53" s="1" t="s">
        <v>74</v>
      </c>
      <c r="BS53" s="1" t="s">
        <v>1507</v>
      </c>
      <c r="BT53" s="1" t="str">
        <f>HYPERLINK("https%3A%2F%2Fwww.webofscience.com%2Fwos%2Fwoscc%2Ffull-record%2FWOS:000404310700015","View Full Record in Web of Science")</f>
        <v>View Full Record in Web of Science</v>
      </c>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row>
    <row r="54" spans="1:314" s="2" customFormat="1" x14ac:dyDescent="0.4">
      <c r="A54" s="1" t="s">
        <v>72</v>
      </c>
      <c r="B54" s="1" t="s">
        <v>4740</v>
      </c>
      <c r="C54" s="1" t="s">
        <v>74</v>
      </c>
      <c r="D54" s="1" t="s">
        <v>74</v>
      </c>
      <c r="E54" s="1" t="s">
        <v>74</v>
      </c>
      <c r="F54" s="1" t="s">
        <v>4741</v>
      </c>
      <c r="G54" s="1" t="s">
        <v>74</v>
      </c>
      <c r="H54" s="1" t="s">
        <v>74</v>
      </c>
      <c r="I54" s="1" t="s">
        <v>4742</v>
      </c>
      <c r="J54" s="1" t="s">
        <v>691</v>
      </c>
      <c r="K54" s="1" t="s">
        <v>74</v>
      </c>
      <c r="L54" s="1" t="s">
        <v>74</v>
      </c>
      <c r="M54" s="1" t="s">
        <v>74</v>
      </c>
      <c r="N54" s="1" t="s">
        <v>74</v>
      </c>
      <c r="O54" s="1" t="s">
        <v>74</v>
      </c>
      <c r="P54" s="1" t="s">
        <v>74</v>
      </c>
      <c r="Q54" s="1" t="s">
        <v>74</v>
      </c>
      <c r="R54" s="1" t="s">
        <v>74</v>
      </c>
      <c r="S54" s="1" t="s">
        <v>74</v>
      </c>
      <c r="T54" s="1" t="s">
        <v>74</v>
      </c>
      <c r="U54" s="1" t="s">
        <v>74</v>
      </c>
      <c r="V54" s="4" t="s">
        <v>4743</v>
      </c>
      <c r="W54" s="1" t="s">
        <v>74</v>
      </c>
      <c r="X54" s="1" t="s">
        <v>74</v>
      </c>
      <c r="Y54" s="1" t="s">
        <v>74</v>
      </c>
      <c r="Z54" s="1" t="s">
        <v>74</v>
      </c>
      <c r="AA54" s="1" t="s">
        <v>74</v>
      </c>
      <c r="AB54" s="1" t="s">
        <v>74</v>
      </c>
      <c r="AC54" s="1" t="s">
        <v>74</v>
      </c>
      <c r="AD54" s="1" t="s">
        <v>74</v>
      </c>
      <c r="AE54" s="1" t="s">
        <v>74</v>
      </c>
      <c r="AF54" s="1" t="s">
        <v>74</v>
      </c>
      <c r="AG54" s="1" t="s">
        <v>74</v>
      </c>
      <c r="AH54" s="1" t="s">
        <v>74</v>
      </c>
      <c r="AI54" s="1" t="s">
        <v>74</v>
      </c>
      <c r="AJ54" s="1" t="s">
        <v>74</v>
      </c>
      <c r="AK54" s="1" t="s">
        <v>74</v>
      </c>
      <c r="AL54" s="1" t="s">
        <v>74</v>
      </c>
      <c r="AM54" s="1" t="s">
        <v>74</v>
      </c>
      <c r="AN54" s="1" t="s">
        <v>74</v>
      </c>
      <c r="AO54" s="1" t="s">
        <v>695</v>
      </c>
      <c r="AP54" s="1" t="s">
        <v>74</v>
      </c>
      <c r="AQ54" s="1" t="s">
        <v>74</v>
      </c>
      <c r="AR54" s="1" t="s">
        <v>74</v>
      </c>
      <c r="AS54" s="1" t="s">
        <v>74</v>
      </c>
      <c r="AT54" s="1" t="s">
        <v>4744</v>
      </c>
      <c r="AU54" s="1">
        <v>2016</v>
      </c>
      <c r="AV54" s="1">
        <v>163</v>
      </c>
      <c r="AW54" s="1" t="s">
        <v>74</v>
      </c>
      <c r="AX54" s="1" t="s">
        <v>74</v>
      </c>
      <c r="AY54" s="1" t="s">
        <v>74</v>
      </c>
      <c r="AZ54" s="1" t="s">
        <v>74</v>
      </c>
      <c r="BA54" s="1" t="s">
        <v>74</v>
      </c>
      <c r="BB54" s="1">
        <v>70</v>
      </c>
      <c r="BC54" s="1">
        <v>80</v>
      </c>
      <c r="BD54" s="1" t="s">
        <v>74</v>
      </c>
      <c r="BE54" s="1" t="s">
        <v>4745</v>
      </c>
      <c r="BF54" s="1" t="str">
        <f>HYPERLINK("http://dx.doi.org/10.1016/j.physbeh.2016.04.039","http://dx.doi.org/10.1016/j.physbeh.2016.04.039")</f>
        <v>http://dx.doi.org/10.1016/j.physbeh.2016.04.039</v>
      </c>
      <c r="BG54" s="1" t="s">
        <v>74</v>
      </c>
      <c r="BH54" s="1" t="s">
        <v>74</v>
      </c>
      <c r="BI54" s="1" t="s">
        <v>74</v>
      </c>
      <c r="BJ54" s="1" t="s">
        <v>74</v>
      </c>
      <c r="BK54" s="1" t="s">
        <v>74</v>
      </c>
      <c r="BL54" s="1" t="s">
        <v>74</v>
      </c>
      <c r="BM54" s="1" t="s">
        <v>74</v>
      </c>
      <c r="BN54" s="1">
        <v>27137079</v>
      </c>
      <c r="BO54" s="1" t="s">
        <v>74</v>
      </c>
      <c r="BP54" s="1" t="s">
        <v>74</v>
      </c>
      <c r="BQ54" s="1" t="s">
        <v>74</v>
      </c>
      <c r="BR54" s="1" t="s">
        <v>74</v>
      </c>
      <c r="BS54" s="1" t="s">
        <v>4746</v>
      </c>
      <c r="BT54" s="1" t="str">
        <f>HYPERLINK("https%3A%2F%2Fwww.webofscience.com%2Fwos%2Fwoscc%2Ffull-record%2FWOS:000380597400010","View Full Record in Web of Science")</f>
        <v>View Full Record in Web of Science</v>
      </c>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row>
    <row r="55" spans="1:314" s="2" customFormat="1" x14ac:dyDescent="0.4">
      <c r="A55" s="1" t="s">
        <v>72</v>
      </c>
      <c r="B55" s="1" t="s">
        <v>4740</v>
      </c>
      <c r="C55" s="1" t="s">
        <v>74</v>
      </c>
      <c r="D55" s="1" t="s">
        <v>74</v>
      </c>
      <c r="E55" s="1" t="s">
        <v>74</v>
      </c>
      <c r="F55" s="1" t="s">
        <v>4741</v>
      </c>
      <c r="G55" s="1" t="s">
        <v>74</v>
      </c>
      <c r="H55" s="1" t="s">
        <v>74</v>
      </c>
      <c r="I55" s="1" t="s">
        <v>6585</v>
      </c>
      <c r="J55" s="1" t="s">
        <v>6042</v>
      </c>
      <c r="K55" s="1" t="s">
        <v>74</v>
      </c>
      <c r="L55" s="1" t="s">
        <v>74</v>
      </c>
      <c r="M55" s="1" t="s">
        <v>74</v>
      </c>
      <c r="N55" s="1" t="s">
        <v>74</v>
      </c>
      <c r="O55" s="1" t="s">
        <v>74</v>
      </c>
      <c r="P55" s="1" t="s">
        <v>74</v>
      </c>
      <c r="Q55" s="1" t="s">
        <v>74</v>
      </c>
      <c r="R55" s="1" t="s">
        <v>74</v>
      </c>
      <c r="S55" s="1" t="s">
        <v>74</v>
      </c>
      <c r="T55" s="1" t="s">
        <v>74</v>
      </c>
      <c r="U55" s="1" t="s">
        <v>74</v>
      </c>
      <c r="V55" s="4" t="s">
        <v>6586</v>
      </c>
      <c r="W55" s="1" t="s">
        <v>74</v>
      </c>
      <c r="X55" s="1" t="s">
        <v>74</v>
      </c>
      <c r="Y55" s="1" t="s">
        <v>74</v>
      </c>
      <c r="Z55" s="1" t="s">
        <v>74</v>
      </c>
      <c r="AA55" s="1" t="s">
        <v>74</v>
      </c>
      <c r="AB55" s="1" t="s">
        <v>274</v>
      </c>
      <c r="AC55" s="1" t="s">
        <v>74</v>
      </c>
      <c r="AD55" s="1" t="s">
        <v>74</v>
      </c>
      <c r="AE55" s="1" t="s">
        <v>74</v>
      </c>
      <c r="AF55" s="1" t="s">
        <v>74</v>
      </c>
      <c r="AG55" s="1" t="s">
        <v>74</v>
      </c>
      <c r="AH55" s="1" t="s">
        <v>74</v>
      </c>
      <c r="AI55" s="1" t="s">
        <v>74</v>
      </c>
      <c r="AJ55" s="1" t="s">
        <v>74</v>
      </c>
      <c r="AK55" s="1" t="s">
        <v>74</v>
      </c>
      <c r="AL55" s="1" t="s">
        <v>74</v>
      </c>
      <c r="AM55" s="1" t="s">
        <v>74</v>
      </c>
      <c r="AN55" s="1" t="s">
        <v>74</v>
      </c>
      <c r="AO55" s="1" t="s">
        <v>6045</v>
      </c>
      <c r="AP55" s="1" t="s">
        <v>74</v>
      </c>
      <c r="AQ55" s="1" t="s">
        <v>74</v>
      </c>
      <c r="AR55" s="1" t="s">
        <v>74</v>
      </c>
      <c r="AS55" s="1" t="s">
        <v>74</v>
      </c>
      <c r="AT55" s="1" t="s">
        <v>175</v>
      </c>
      <c r="AU55" s="1">
        <v>2017</v>
      </c>
      <c r="AV55" s="1">
        <v>327</v>
      </c>
      <c r="AW55" s="1">
        <v>8</v>
      </c>
      <c r="AX55" s="1" t="s">
        <v>74</v>
      </c>
      <c r="AY55" s="1" t="s">
        <v>74</v>
      </c>
      <c r="AZ55" s="1" t="s">
        <v>74</v>
      </c>
      <c r="BA55" s="1" t="s">
        <v>74</v>
      </c>
      <c r="BB55" s="1">
        <v>481</v>
      </c>
      <c r="BC55" s="1">
        <v>492</v>
      </c>
      <c r="BD55" s="1" t="s">
        <v>74</v>
      </c>
      <c r="BE55" s="1" t="s">
        <v>6587</v>
      </c>
      <c r="BF55" s="1" t="str">
        <f>HYPERLINK("http://dx.doi.org/10.1002/jez.2133","http://dx.doi.org/10.1002/jez.2133")</f>
        <v>http://dx.doi.org/10.1002/jez.2133</v>
      </c>
      <c r="BG55" s="1" t="s">
        <v>74</v>
      </c>
      <c r="BH55" s="1" t="s">
        <v>74</v>
      </c>
      <c r="BI55" s="1" t="s">
        <v>74</v>
      </c>
      <c r="BJ55" s="1" t="s">
        <v>74</v>
      </c>
      <c r="BK55" s="1" t="s">
        <v>74</v>
      </c>
      <c r="BL55" s="1" t="s">
        <v>74</v>
      </c>
      <c r="BM55" s="1" t="s">
        <v>74</v>
      </c>
      <c r="BN55" s="1">
        <v>29356435</v>
      </c>
      <c r="BO55" s="1" t="s">
        <v>74</v>
      </c>
      <c r="BP55" s="1" t="s">
        <v>74</v>
      </c>
      <c r="BQ55" s="1" t="s">
        <v>74</v>
      </c>
      <c r="BR55" s="1" t="s">
        <v>74</v>
      </c>
      <c r="BS55" s="1" t="s">
        <v>6588</v>
      </c>
      <c r="BT55" s="1" t="str">
        <f>HYPERLINK("https%3A%2F%2Fwww.webofscience.com%2Fwos%2Fwoscc%2Ffull-record%2FWOS:000422728900001","View Full Record in Web of Science")</f>
        <v>View Full Record in Web of Science</v>
      </c>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row>
    <row r="56" spans="1:314" s="2" customFormat="1" x14ac:dyDescent="0.4">
      <c r="A56" s="1" t="s">
        <v>72</v>
      </c>
      <c r="B56" s="1" t="s">
        <v>2420</v>
      </c>
      <c r="C56" s="1" t="s">
        <v>74</v>
      </c>
      <c r="D56" s="1" t="s">
        <v>74</v>
      </c>
      <c r="E56" s="1" t="s">
        <v>74</v>
      </c>
      <c r="F56" s="1" t="s">
        <v>2420</v>
      </c>
      <c r="G56" s="1" t="s">
        <v>74</v>
      </c>
      <c r="H56" s="1" t="s">
        <v>74</v>
      </c>
      <c r="I56" s="1" t="s">
        <v>2421</v>
      </c>
      <c r="J56" s="1" t="s">
        <v>2422</v>
      </c>
      <c r="K56" s="1" t="s">
        <v>74</v>
      </c>
      <c r="L56" s="1" t="s">
        <v>74</v>
      </c>
      <c r="M56" s="1" t="s">
        <v>74</v>
      </c>
      <c r="N56" s="1" t="s">
        <v>74</v>
      </c>
      <c r="O56" s="1" t="s">
        <v>74</v>
      </c>
      <c r="P56" s="1" t="s">
        <v>74</v>
      </c>
      <c r="Q56" s="1" t="s">
        <v>74</v>
      </c>
      <c r="R56" s="1" t="s">
        <v>74</v>
      </c>
      <c r="S56" s="1" t="s">
        <v>74</v>
      </c>
      <c r="T56" s="1" t="s">
        <v>74</v>
      </c>
      <c r="U56" s="1" t="s">
        <v>74</v>
      </c>
      <c r="V56" s="4" t="s">
        <v>2423</v>
      </c>
      <c r="W56" s="1" t="s">
        <v>74</v>
      </c>
      <c r="X56" s="1" t="s">
        <v>74</v>
      </c>
      <c r="Y56" s="1" t="s">
        <v>74</v>
      </c>
      <c r="Z56" s="1" t="s">
        <v>74</v>
      </c>
      <c r="AA56" s="1" t="s">
        <v>2424</v>
      </c>
      <c r="AB56" s="1" t="s">
        <v>2425</v>
      </c>
      <c r="AC56" s="1" t="s">
        <v>74</v>
      </c>
      <c r="AD56" s="1" t="s">
        <v>74</v>
      </c>
      <c r="AE56" s="1" t="s">
        <v>74</v>
      </c>
      <c r="AF56" s="1" t="s">
        <v>74</v>
      </c>
      <c r="AG56" s="1" t="s">
        <v>74</v>
      </c>
      <c r="AH56" s="1" t="s">
        <v>74</v>
      </c>
      <c r="AI56" s="1" t="s">
        <v>74</v>
      </c>
      <c r="AJ56" s="1" t="s">
        <v>74</v>
      </c>
      <c r="AK56" s="1" t="s">
        <v>74</v>
      </c>
      <c r="AL56" s="1" t="s">
        <v>74</v>
      </c>
      <c r="AM56" s="1" t="s">
        <v>74</v>
      </c>
      <c r="AN56" s="1" t="s">
        <v>74</v>
      </c>
      <c r="AO56" s="1" t="s">
        <v>2426</v>
      </c>
      <c r="AP56" s="1" t="s">
        <v>74</v>
      </c>
      <c r="AQ56" s="1" t="s">
        <v>74</v>
      </c>
      <c r="AR56" s="1" t="s">
        <v>74</v>
      </c>
      <c r="AS56" s="1" t="s">
        <v>74</v>
      </c>
      <c r="AT56" s="1" t="s">
        <v>134</v>
      </c>
      <c r="AU56" s="1">
        <v>2006</v>
      </c>
      <c r="AV56" s="1">
        <v>31</v>
      </c>
      <c r="AW56" s="1">
        <v>4</v>
      </c>
      <c r="AX56" s="1" t="s">
        <v>74</v>
      </c>
      <c r="AY56" s="1" t="s">
        <v>74</v>
      </c>
      <c r="AZ56" s="1" t="s">
        <v>74</v>
      </c>
      <c r="BA56" s="1" t="s">
        <v>74</v>
      </c>
      <c r="BB56" s="1">
        <v>362</v>
      </c>
      <c r="BC56" s="1">
        <v>369</v>
      </c>
      <c r="BD56" s="1" t="s">
        <v>74</v>
      </c>
      <c r="BE56" s="1" t="s">
        <v>2427</v>
      </c>
      <c r="BF56" s="1" t="str">
        <f>HYPERLINK("http://dx.doi.org/10.1016/j.jtherbio.2006.01.008","http://dx.doi.org/10.1016/j.jtherbio.2006.01.008")</f>
        <v>http://dx.doi.org/10.1016/j.jtherbio.2006.01.008</v>
      </c>
      <c r="BG56" s="1" t="s">
        <v>74</v>
      </c>
      <c r="BH56" s="1" t="s">
        <v>74</v>
      </c>
      <c r="BI56" s="1" t="s">
        <v>74</v>
      </c>
      <c r="BJ56" s="1" t="s">
        <v>74</v>
      </c>
      <c r="BK56" s="1" t="s">
        <v>74</v>
      </c>
      <c r="BL56" s="1" t="s">
        <v>74</v>
      </c>
      <c r="BM56" s="1" t="s">
        <v>74</v>
      </c>
      <c r="BN56" s="1" t="s">
        <v>74</v>
      </c>
      <c r="BO56" s="1" t="s">
        <v>74</v>
      </c>
      <c r="BP56" s="1" t="s">
        <v>74</v>
      </c>
      <c r="BQ56" s="1" t="s">
        <v>74</v>
      </c>
      <c r="BR56" s="1" t="s">
        <v>74</v>
      </c>
      <c r="BS56" s="1" t="s">
        <v>2428</v>
      </c>
      <c r="BT56" s="1" t="str">
        <f>HYPERLINK("https%3A%2F%2Fwww.webofscience.com%2Fwos%2Fwoscc%2Ffull-record%2FWOS:000237171000013","View Full Record in Web of Science")</f>
        <v>View Full Record in Web of Science</v>
      </c>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row>
    <row r="57" spans="1:314" s="2" customFormat="1" x14ac:dyDescent="0.4">
      <c r="A57" s="1" t="s">
        <v>72</v>
      </c>
      <c r="B57" s="1" t="s">
        <v>349</v>
      </c>
      <c r="C57" s="1" t="s">
        <v>74</v>
      </c>
      <c r="D57" s="1" t="s">
        <v>74</v>
      </c>
      <c r="E57" s="1" t="s">
        <v>74</v>
      </c>
      <c r="F57" s="1" t="s">
        <v>349</v>
      </c>
      <c r="G57" s="1" t="s">
        <v>74</v>
      </c>
      <c r="H57" s="1" t="s">
        <v>74</v>
      </c>
      <c r="I57" s="1" t="s">
        <v>350</v>
      </c>
      <c r="J57" s="1" t="s">
        <v>201</v>
      </c>
      <c r="K57" s="1" t="s">
        <v>74</v>
      </c>
      <c r="L57" s="1" t="s">
        <v>74</v>
      </c>
      <c r="M57" s="1" t="s">
        <v>74</v>
      </c>
      <c r="N57" s="1" t="s">
        <v>74</v>
      </c>
      <c r="O57" s="1" t="s">
        <v>74</v>
      </c>
      <c r="P57" s="1" t="s">
        <v>74</v>
      </c>
      <c r="Q57" s="1" t="s">
        <v>74</v>
      </c>
      <c r="R57" s="1" t="s">
        <v>74</v>
      </c>
      <c r="S57" s="1" t="s">
        <v>74</v>
      </c>
      <c r="T57" s="1" t="s">
        <v>74</v>
      </c>
      <c r="U57" s="1" t="s">
        <v>74</v>
      </c>
      <c r="V57" s="4" t="s">
        <v>351</v>
      </c>
      <c r="W57" s="1" t="s">
        <v>74</v>
      </c>
      <c r="X57" s="1" t="s">
        <v>74</v>
      </c>
      <c r="Y57" s="1" t="s">
        <v>74</v>
      </c>
      <c r="Z57" s="1" t="s">
        <v>74</v>
      </c>
      <c r="AA57" s="1" t="s">
        <v>74</v>
      </c>
      <c r="AB57" s="1" t="s">
        <v>74</v>
      </c>
      <c r="AC57" s="1" t="s">
        <v>74</v>
      </c>
      <c r="AD57" s="1" t="s">
        <v>74</v>
      </c>
      <c r="AE57" s="1" t="s">
        <v>74</v>
      </c>
      <c r="AF57" s="1" t="s">
        <v>74</v>
      </c>
      <c r="AG57" s="1" t="s">
        <v>74</v>
      </c>
      <c r="AH57" s="1" t="s">
        <v>74</v>
      </c>
      <c r="AI57" s="1" t="s">
        <v>74</v>
      </c>
      <c r="AJ57" s="1" t="s">
        <v>74</v>
      </c>
      <c r="AK57" s="1" t="s">
        <v>74</v>
      </c>
      <c r="AL57" s="1" t="s">
        <v>74</v>
      </c>
      <c r="AM57" s="1" t="s">
        <v>74</v>
      </c>
      <c r="AN57" s="1" t="s">
        <v>74</v>
      </c>
      <c r="AO57" s="1" t="s">
        <v>203</v>
      </c>
      <c r="AP57" s="1" t="s">
        <v>74</v>
      </c>
      <c r="AQ57" s="1" t="s">
        <v>74</v>
      </c>
      <c r="AR57" s="1" t="s">
        <v>74</v>
      </c>
      <c r="AS57" s="1" t="s">
        <v>74</v>
      </c>
      <c r="AT57" s="1" t="s">
        <v>352</v>
      </c>
      <c r="AU57" s="1">
        <v>2002</v>
      </c>
      <c r="AV57" s="1">
        <v>61</v>
      </c>
      <c r="AW57" s="1">
        <v>3</v>
      </c>
      <c r="AX57" s="1" t="s">
        <v>74</v>
      </c>
      <c r="AY57" s="1" t="s">
        <v>74</v>
      </c>
      <c r="AZ57" s="1" t="s">
        <v>74</v>
      </c>
      <c r="BA57" s="1" t="s">
        <v>74</v>
      </c>
      <c r="BB57" s="1">
        <v>606</v>
      </c>
      <c r="BC57" s="1">
        <v>614</v>
      </c>
      <c r="BD57" s="1" t="s">
        <v>74</v>
      </c>
      <c r="BE57" s="1" t="s">
        <v>353</v>
      </c>
      <c r="BF57" s="1" t="str">
        <f>HYPERLINK("http://dx.doi.org/10.1006/jfbi.2002.2084","http://dx.doi.org/10.1006/jfbi.2002.2084")</f>
        <v>http://dx.doi.org/10.1006/jfbi.2002.2084</v>
      </c>
      <c r="BG57" s="1" t="s">
        <v>74</v>
      </c>
      <c r="BH57" s="1" t="s">
        <v>74</v>
      </c>
      <c r="BI57" s="1" t="s">
        <v>74</v>
      </c>
      <c r="BJ57" s="1" t="s">
        <v>74</v>
      </c>
      <c r="BK57" s="1" t="s">
        <v>74</v>
      </c>
      <c r="BL57" s="1" t="s">
        <v>74</v>
      </c>
      <c r="BM57" s="1" t="s">
        <v>74</v>
      </c>
      <c r="BN57" s="1" t="s">
        <v>74</v>
      </c>
      <c r="BO57" s="1" t="s">
        <v>74</v>
      </c>
      <c r="BP57" s="1" t="s">
        <v>74</v>
      </c>
      <c r="BQ57" s="1" t="s">
        <v>74</v>
      </c>
      <c r="BR57" s="1" t="s">
        <v>74</v>
      </c>
      <c r="BS57" s="1" t="s">
        <v>354</v>
      </c>
      <c r="BT57" s="1" t="str">
        <f>HYPERLINK("https%3A%2F%2Fwww.webofscience.com%2Fwos%2Fwoscc%2Ffull-record%2FWOS:000179168400007","View Full Record in Web of Science")</f>
        <v>View Full Record in Web of Science</v>
      </c>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row>
    <row r="58" spans="1:314" s="1" customFormat="1" x14ac:dyDescent="0.4">
      <c r="A58" s="1" t="s">
        <v>72</v>
      </c>
      <c r="B58" s="1" t="s">
        <v>3275</v>
      </c>
      <c r="C58" s="1" t="s">
        <v>74</v>
      </c>
      <c r="D58" s="1" t="s">
        <v>74</v>
      </c>
      <c r="E58" s="1" t="s">
        <v>74</v>
      </c>
      <c r="F58" s="1" t="s">
        <v>3276</v>
      </c>
      <c r="G58" s="1" t="s">
        <v>74</v>
      </c>
      <c r="H58" s="1" t="s">
        <v>74</v>
      </c>
      <c r="I58" s="1" t="s">
        <v>3277</v>
      </c>
      <c r="J58" s="1" t="s">
        <v>610</v>
      </c>
      <c r="K58" s="1" t="s">
        <v>74</v>
      </c>
      <c r="L58" s="1" t="s">
        <v>74</v>
      </c>
      <c r="M58" s="1" t="s">
        <v>74</v>
      </c>
      <c r="N58" s="1" t="s">
        <v>74</v>
      </c>
      <c r="O58" s="1" t="s">
        <v>74</v>
      </c>
      <c r="P58" s="1" t="s">
        <v>74</v>
      </c>
      <c r="Q58" s="1" t="s">
        <v>74</v>
      </c>
      <c r="R58" s="1" t="s">
        <v>74</v>
      </c>
      <c r="S58" s="1" t="s">
        <v>74</v>
      </c>
      <c r="T58" s="1" t="s">
        <v>74</v>
      </c>
      <c r="U58" s="1" t="s">
        <v>74</v>
      </c>
      <c r="V58" s="4" t="s">
        <v>3278</v>
      </c>
      <c r="W58" s="1" t="s">
        <v>74</v>
      </c>
      <c r="X58" s="1" t="s">
        <v>74</v>
      </c>
      <c r="Y58" s="1" t="s">
        <v>74</v>
      </c>
      <c r="Z58" s="1" t="s">
        <v>74</v>
      </c>
      <c r="AA58" s="1" t="s">
        <v>74</v>
      </c>
      <c r="AB58" s="1" t="s">
        <v>3279</v>
      </c>
      <c r="AC58" s="1" t="s">
        <v>74</v>
      </c>
      <c r="AD58" s="1" t="s">
        <v>74</v>
      </c>
      <c r="AE58" s="1" t="s">
        <v>74</v>
      </c>
      <c r="AF58" s="1" t="s">
        <v>74</v>
      </c>
      <c r="AG58" s="1" t="s">
        <v>74</v>
      </c>
      <c r="AH58" s="1" t="s">
        <v>74</v>
      </c>
      <c r="AI58" s="1" t="s">
        <v>74</v>
      </c>
      <c r="AJ58" s="1" t="s">
        <v>74</v>
      </c>
      <c r="AK58" s="1" t="s">
        <v>74</v>
      </c>
      <c r="AL58" s="1" t="s">
        <v>74</v>
      </c>
      <c r="AM58" s="1" t="s">
        <v>74</v>
      </c>
      <c r="AN58" s="1" t="s">
        <v>74</v>
      </c>
      <c r="AO58" s="1" t="s">
        <v>614</v>
      </c>
      <c r="AP58" s="1" t="s">
        <v>615</v>
      </c>
      <c r="AQ58" s="1" t="s">
        <v>74</v>
      </c>
      <c r="AR58" s="1" t="s">
        <v>74</v>
      </c>
      <c r="AS58" s="1" t="s">
        <v>74</v>
      </c>
      <c r="AT58" s="1" t="s">
        <v>213</v>
      </c>
      <c r="AU58" s="1">
        <v>2016</v>
      </c>
      <c r="AV58" s="1">
        <v>122</v>
      </c>
      <c r="AW58" s="1">
        <v>11</v>
      </c>
      <c r="AX58" s="1" t="s">
        <v>74</v>
      </c>
      <c r="AY58" s="1" t="s">
        <v>74</v>
      </c>
      <c r="AZ58" s="1" t="s">
        <v>74</v>
      </c>
      <c r="BA58" s="1" t="s">
        <v>74</v>
      </c>
      <c r="BB58" s="1">
        <v>892</v>
      </c>
      <c r="BC58" s="1">
        <v>901</v>
      </c>
      <c r="BD58" s="1" t="s">
        <v>74</v>
      </c>
      <c r="BE58" s="1" t="s">
        <v>3280</v>
      </c>
      <c r="BF58" s="1" t="str">
        <f>HYPERLINK("http://dx.doi.org/10.1111/eth.12534","http://dx.doi.org/10.1111/eth.12534")</f>
        <v>http://dx.doi.org/10.1111/eth.12534</v>
      </c>
      <c r="BG58" s="1" t="s">
        <v>74</v>
      </c>
      <c r="BH58" s="1" t="s">
        <v>74</v>
      </c>
      <c r="BI58" s="1" t="s">
        <v>74</v>
      </c>
      <c r="BJ58" s="1" t="s">
        <v>74</v>
      </c>
      <c r="BK58" s="1" t="s">
        <v>74</v>
      </c>
      <c r="BL58" s="1" t="s">
        <v>74</v>
      </c>
      <c r="BM58" s="1" t="s">
        <v>74</v>
      </c>
      <c r="BN58" s="1" t="s">
        <v>74</v>
      </c>
      <c r="BO58" s="1" t="s">
        <v>74</v>
      </c>
      <c r="BP58" s="1" t="s">
        <v>74</v>
      </c>
      <c r="BQ58" s="1" t="s">
        <v>74</v>
      </c>
      <c r="BR58" s="1" t="s">
        <v>74</v>
      </c>
      <c r="BS58" s="1" t="s">
        <v>3281</v>
      </c>
      <c r="BT58" s="1" t="str">
        <f>HYPERLINK("https%3A%2F%2Fwww.webofscience.com%2Fwos%2Fwoscc%2Ffull-record%2FWOS:000385572700005","View Full Record in Web of Science")</f>
        <v>View Full Record in Web of Science</v>
      </c>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row>
    <row r="59" spans="1:314" s="7" customFormat="1" x14ac:dyDescent="0.4">
      <c r="A59" s="1" t="s">
        <v>72</v>
      </c>
      <c r="B59" s="1" t="s">
        <v>991</v>
      </c>
      <c r="C59" s="1" t="s">
        <v>74</v>
      </c>
      <c r="D59" s="1" t="s">
        <v>74</v>
      </c>
      <c r="E59" s="1" t="s">
        <v>74</v>
      </c>
      <c r="F59" s="1" t="s">
        <v>992</v>
      </c>
      <c r="G59" s="1" t="s">
        <v>74</v>
      </c>
      <c r="H59" s="1" t="s">
        <v>74</v>
      </c>
      <c r="I59" s="1" t="s">
        <v>993</v>
      </c>
      <c r="J59" s="1" t="s">
        <v>775</v>
      </c>
      <c r="K59" s="1" t="s">
        <v>74</v>
      </c>
      <c r="L59" s="1" t="s">
        <v>74</v>
      </c>
      <c r="M59" s="1" t="s">
        <v>74</v>
      </c>
      <c r="N59" s="1" t="s">
        <v>74</v>
      </c>
      <c r="O59" s="1" t="s">
        <v>74</v>
      </c>
      <c r="P59" s="1" t="s">
        <v>74</v>
      </c>
      <c r="Q59" s="1" t="s">
        <v>74</v>
      </c>
      <c r="R59" s="1" t="s">
        <v>74</v>
      </c>
      <c r="S59" s="1" t="s">
        <v>74</v>
      </c>
      <c r="T59" s="1" t="s">
        <v>74</v>
      </c>
      <c r="U59" s="1" t="s">
        <v>74</v>
      </c>
      <c r="V59" s="4" t="s">
        <v>994</v>
      </c>
      <c r="W59" s="1" t="s">
        <v>74</v>
      </c>
      <c r="X59" s="1" t="s">
        <v>74</v>
      </c>
      <c r="Y59" s="1" t="s">
        <v>74</v>
      </c>
      <c r="Z59" s="1" t="s">
        <v>74</v>
      </c>
      <c r="AA59" s="1" t="s">
        <v>995</v>
      </c>
      <c r="AB59" s="1" t="s">
        <v>996</v>
      </c>
      <c r="AC59" s="1" t="s">
        <v>74</v>
      </c>
      <c r="AD59" s="1" t="s">
        <v>74</v>
      </c>
      <c r="AE59" s="1" t="s">
        <v>74</v>
      </c>
      <c r="AF59" s="1" t="s">
        <v>74</v>
      </c>
      <c r="AG59" s="1" t="s">
        <v>74</v>
      </c>
      <c r="AH59" s="1" t="s">
        <v>74</v>
      </c>
      <c r="AI59" s="1" t="s">
        <v>74</v>
      </c>
      <c r="AJ59" s="1" t="s">
        <v>74</v>
      </c>
      <c r="AK59" s="1" t="s">
        <v>74</v>
      </c>
      <c r="AL59" s="1" t="s">
        <v>74</v>
      </c>
      <c r="AM59" s="1" t="s">
        <v>74</v>
      </c>
      <c r="AN59" s="1" t="s">
        <v>74</v>
      </c>
      <c r="AO59" s="1" t="s">
        <v>778</v>
      </c>
      <c r="AP59" s="1" t="s">
        <v>779</v>
      </c>
      <c r="AQ59" s="1" t="s">
        <v>74</v>
      </c>
      <c r="AR59" s="1" t="s">
        <v>74</v>
      </c>
      <c r="AS59" s="1" t="s">
        <v>74</v>
      </c>
      <c r="AT59" s="1" t="s">
        <v>964</v>
      </c>
      <c r="AU59" s="1">
        <v>2018</v>
      </c>
      <c r="AV59" s="1">
        <v>64</v>
      </c>
      <c r="AW59" s="1">
        <v>1</v>
      </c>
      <c r="AX59" s="1" t="s">
        <v>74</v>
      </c>
      <c r="AY59" s="1" t="s">
        <v>74</v>
      </c>
      <c r="AZ59" s="1" t="s">
        <v>74</v>
      </c>
      <c r="BA59" s="1" t="s">
        <v>74</v>
      </c>
      <c r="BB59" s="1">
        <v>115</v>
      </c>
      <c r="BC59" s="1">
        <v>123</v>
      </c>
      <c r="BD59" s="1" t="s">
        <v>74</v>
      </c>
      <c r="BE59" s="1" t="s">
        <v>997</v>
      </c>
      <c r="BF59" s="1" t="str">
        <f>HYPERLINK("http://dx.doi.org/10.1093/cz/zox070","http://dx.doi.org/10.1093/cz/zox070")</f>
        <v>http://dx.doi.org/10.1093/cz/zox070</v>
      </c>
      <c r="BG59" s="1" t="s">
        <v>74</v>
      </c>
      <c r="BH59" s="1" t="s">
        <v>74</v>
      </c>
      <c r="BI59" s="1" t="s">
        <v>74</v>
      </c>
      <c r="BJ59" s="1" t="s">
        <v>74</v>
      </c>
      <c r="BK59" s="1" t="s">
        <v>74</v>
      </c>
      <c r="BL59" s="1" t="s">
        <v>74</v>
      </c>
      <c r="BM59" s="1" t="s">
        <v>74</v>
      </c>
      <c r="BN59" s="1">
        <v>29492044</v>
      </c>
      <c r="BO59" s="1" t="s">
        <v>74</v>
      </c>
      <c r="BP59" s="1" t="s">
        <v>74</v>
      </c>
      <c r="BQ59" s="1" t="s">
        <v>74</v>
      </c>
      <c r="BR59" s="1" t="s">
        <v>74</v>
      </c>
      <c r="BS59" s="1" t="s">
        <v>998</v>
      </c>
      <c r="BT59" s="1" t="str">
        <f>HYPERLINK("https%3A%2F%2Fwww.webofscience.com%2Fwos%2Fwoscc%2Ffull-record%2FWOS:000425719000012","View Full Record in Web of Science")</f>
        <v>View Full Record in Web of Science</v>
      </c>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row>
    <row r="60" spans="1:314" s="2" customFormat="1" x14ac:dyDescent="0.4">
      <c r="A60" s="1" t="s">
        <v>72</v>
      </c>
      <c r="B60" s="1" t="s">
        <v>4578</v>
      </c>
      <c r="C60" s="1" t="s">
        <v>74</v>
      </c>
      <c r="D60" s="1" t="s">
        <v>74</v>
      </c>
      <c r="E60" s="1" t="s">
        <v>74</v>
      </c>
      <c r="F60" s="1" t="s">
        <v>4579</v>
      </c>
      <c r="G60" s="1" t="s">
        <v>74</v>
      </c>
      <c r="H60" s="1" t="s">
        <v>74</v>
      </c>
      <c r="I60" s="1" t="s">
        <v>4580</v>
      </c>
      <c r="J60" s="1" t="s">
        <v>333</v>
      </c>
      <c r="K60" s="1" t="s">
        <v>74</v>
      </c>
      <c r="L60" s="1" t="s">
        <v>74</v>
      </c>
      <c r="M60" s="1" t="s">
        <v>74</v>
      </c>
      <c r="N60" s="1" t="s">
        <v>74</v>
      </c>
      <c r="O60" s="1" t="s">
        <v>74</v>
      </c>
      <c r="P60" s="1" t="s">
        <v>74</v>
      </c>
      <c r="Q60" s="1" t="s">
        <v>74</v>
      </c>
      <c r="R60" s="1" t="s">
        <v>74</v>
      </c>
      <c r="S60" s="1" t="s">
        <v>74</v>
      </c>
      <c r="T60" s="1" t="s">
        <v>74</v>
      </c>
      <c r="U60" s="1" t="s">
        <v>74</v>
      </c>
      <c r="V60" s="4" t="s">
        <v>4581</v>
      </c>
      <c r="W60" s="1" t="s">
        <v>74</v>
      </c>
      <c r="X60" s="1" t="s">
        <v>74</v>
      </c>
      <c r="Y60" s="1" t="s">
        <v>74</v>
      </c>
      <c r="Z60" s="1" t="s">
        <v>74</v>
      </c>
      <c r="AA60" s="1" t="s">
        <v>995</v>
      </c>
      <c r="AB60" s="1" t="s">
        <v>4582</v>
      </c>
      <c r="AC60" s="1" t="s">
        <v>74</v>
      </c>
      <c r="AD60" s="1" t="s">
        <v>74</v>
      </c>
      <c r="AE60" s="1" t="s">
        <v>74</v>
      </c>
      <c r="AF60" s="1" t="s">
        <v>74</v>
      </c>
      <c r="AG60" s="1" t="s">
        <v>74</v>
      </c>
      <c r="AH60" s="1" t="s">
        <v>74</v>
      </c>
      <c r="AI60" s="1" t="s">
        <v>74</v>
      </c>
      <c r="AJ60" s="1" t="s">
        <v>74</v>
      </c>
      <c r="AK60" s="1" t="s">
        <v>74</v>
      </c>
      <c r="AL60" s="1" t="s">
        <v>74</v>
      </c>
      <c r="AM60" s="1" t="s">
        <v>74</v>
      </c>
      <c r="AN60" s="1" t="s">
        <v>74</v>
      </c>
      <c r="AO60" s="1" t="s">
        <v>337</v>
      </c>
      <c r="AP60" s="1" t="s">
        <v>338</v>
      </c>
      <c r="AQ60" s="1" t="s">
        <v>74</v>
      </c>
      <c r="AR60" s="1" t="s">
        <v>74</v>
      </c>
      <c r="AS60" s="1" t="s">
        <v>74</v>
      </c>
      <c r="AT60" s="1" t="s">
        <v>1038</v>
      </c>
      <c r="AU60" s="1">
        <v>2015</v>
      </c>
      <c r="AV60" s="1">
        <v>26</v>
      </c>
      <c r="AW60" s="1">
        <v>2</v>
      </c>
      <c r="AX60" s="1" t="s">
        <v>74</v>
      </c>
      <c r="AY60" s="1" t="s">
        <v>74</v>
      </c>
      <c r="AZ60" s="1" t="s">
        <v>74</v>
      </c>
      <c r="BA60" s="1" t="s">
        <v>74</v>
      </c>
      <c r="BB60" s="1">
        <v>609</v>
      </c>
      <c r="BC60" s="1">
        <v>616</v>
      </c>
      <c r="BD60" s="1" t="s">
        <v>74</v>
      </c>
      <c r="BE60" s="1" t="s">
        <v>4583</v>
      </c>
      <c r="BF60" s="1" t="str">
        <f>HYPERLINK("http://dx.doi.org/10.1093/beheco/aru242","http://dx.doi.org/10.1093/beheco/aru242")</f>
        <v>http://dx.doi.org/10.1093/beheco/aru242</v>
      </c>
      <c r="BG60" s="1" t="s">
        <v>74</v>
      </c>
      <c r="BH60" s="1" t="s">
        <v>74</v>
      </c>
      <c r="BI60" s="1" t="s">
        <v>74</v>
      </c>
      <c r="BJ60" s="1" t="s">
        <v>74</v>
      </c>
      <c r="BK60" s="1" t="s">
        <v>74</v>
      </c>
      <c r="BL60" s="1" t="s">
        <v>74</v>
      </c>
      <c r="BM60" s="1" t="s">
        <v>74</v>
      </c>
      <c r="BN60" s="1" t="s">
        <v>74</v>
      </c>
      <c r="BO60" s="1" t="s">
        <v>74</v>
      </c>
      <c r="BP60" s="1" t="s">
        <v>74</v>
      </c>
      <c r="BQ60" s="1" t="s">
        <v>74</v>
      </c>
      <c r="BR60" s="1" t="s">
        <v>74</v>
      </c>
      <c r="BS60" s="1" t="s">
        <v>4584</v>
      </c>
      <c r="BT60" s="1" t="str">
        <f>HYPERLINK("https%3A%2F%2Fwww.webofscience.com%2Fwos%2Fwoscc%2Ffull-record%2FWOS:000352271800043","View Full Record in Web of Science")</f>
        <v>View Full Record in Web of Science</v>
      </c>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row>
    <row r="61" spans="1:314" s="7" customFormat="1" x14ac:dyDescent="0.4">
      <c r="A61" s="1" t="s">
        <v>72</v>
      </c>
      <c r="B61" s="1" t="s">
        <v>714</v>
      </c>
      <c r="C61" s="1" t="s">
        <v>74</v>
      </c>
      <c r="D61" s="1" t="s">
        <v>74</v>
      </c>
      <c r="E61" s="1" t="s">
        <v>74</v>
      </c>
      <c r="F61" s="1" t="s">
        <v>715</v>
      </c>
      <c r="G61" s="1" t="s">
        <v>74</v>
      </c>
      <c r="H61" s="1" t="s">
        <v>74</v>
      </c>
      <c r="I61" s="1" t="s">
        <v>716</v>
      </c>
      <c r="J61" s="1" t="s">
        <v>456</v>
      </c>
      <c r="K61" s="1" t="s">
        <v>74</v>
      </c>
      <c r="L61" s="1" t="s">
        <v>74</v>
      </c>
      <c r="M61" s="1" t="s">
        <v>74</v>
      </c>
      <c r="N61" s="1" t="s">
        <v>74</v>
      </c>
      <c r="O61" s="1" t="s">
        <v>74</v>
      </c>
      <c r="P61" s="1" t="s">
        <v>74</v>
      </c>
      <c r="Q61" s="1" t="s">
        <v>74</v>
      </c>
      <c r="R61" s="1" t="s">
        <v>74</v>
      </c>
      <c r="S61" s="1" t="s">
        <v>74</v>
      </c>
      <c r="T61" s="1" t="s">
        <v>74</v>
      </c>
      <c r="U61" s="1" t="s">
        <v>74</v>
      </c>
      <c r="V61" s="4" t="s">
        <v>717</v>
      </c>
      <c r="W61" s="1" t="s">
        <v>74</v>
      </c>
      <c r="X61" s="1" t="s">
        <v>74</v>
      </c>
      <c r="Y61" s="1" t="s">
        <v>74</v>
      </c>
      <c r="Z61" s="1" t="s">
        <v>74</v>
      </c>
      <c r="AA61" s="1" t="s">
        <v>718</v>
      </c>
      <c r="AB61" s="1" t="s">
        <v>719</v>
      </c>
      <c r="AC61" s="1" t="s">
        <v>74</v>
      </c>
      <c r="AD61" s="1" t="s">
        <v>74</v>
      </c>
      <c r="AE61" s="1" t="s">
        <v>74</v>
      </c>
      <c r="AF61" s="1" t="s">
        <v>74</v>
      </c>
      <c r="AG61" s="1" t="s">
        <v>74</v>
      </c>
      <c r="AH61" s="1" t="s">
        <v>74</v>
      </c>
      <c r="AI61" s="1" t="s">
        <v>74</v>
      </c>
      <c r="AJ61" s="1" t="s">
        <v>74</v>
      </c>
      <c r="AK61" s="1" t="s">
        <v>74</v>
      </c>
      <c r="AL61" s="1" t="s">
        <v>74</v>
      </c>
      <c r="AM61" s="1" t="s">
        <v>74</v>
      </c>
      <c r="AN61" s="1" t="s">
        <v>74</v>
      </c>
      <c r="AO61" s="1" t="s">
        <v>460</v>
      </c>
      <c r="AP61" s="1" t="s">
        <v>461</v>
      </c>
      <c r="AQ61" s="1" t="s">
        <v>74</v>
      </c>
      <c r="AR61" s="1" t="s">
        <v>74</v>
      </c>
      <c r="AS61" s="1" t="s">
        <v>74</v>
      </c>
      <c r="AT61" s="1" t="s">
        <v>633</v>
      </c>
      <c r="AU61" s="1">
        <v>2018</v>
      </c>
      <c r="AV61" s="1">
        <v>304</v>
      </c>
      <c r="AW61" s="1">
        <v>4</v>
      </c>
      <c r="AX61" s="1" t="s">
        <v>74</v>
      </c>
      <c r="AY61" s="1" t="s">
        <v>74</v>
      </c>
      <c r="AZ61" s="1" t="s">
        <v>74</v>
      </c>
      <c r="BA61" s="1" t="s">
        <v>74</v>
      </c>
      <c r="BB61" s="1">
        <v>260</v>
      </c>
      <c r="BC61" s="1">
        <v>267</v>
      </c>
      <c r="BD61" s="1" t="s">
        <v>74</v>
      </c>
      <c r="BE61" s="1" t="s">
        <v>720</v>
      </c>
      <c r="BF61" s="1" t="str">
        <f>HYPERLINK("http://dx.doi.org/10.1111/jzo.12524","http://dx.doi.org/10.1111/jzo.12524")</f>
        <v>http://dx.doi.org/10.1111/jzo.12524</v>
      </c>
      <c r="BG61" s="1" t="s">
        <v>74</v>
      </c>
      <c r="BH61" s="1" t="s">
        <v>74</v>
      </c>
      <c r="BI61" s="1" t="s">
        <v>74</v>
      </c>
      <c r="BJ61" s="1" t="s">
        <v>74</v>
      </c>
      <c r="BK61" s="1" t="s">
        <v>74</v>
      </c>
      <c r="BL61" s="1" t="s">
        <v>74</v>
      </c>
      <c r="BM61" s="1" t="s">
        <v>74</v>
      </c>
      <c r="BN61" s="1" t="s">
        <v>74</v>
      </c>
      <c r="BO61" s="1" t="s">
        <v>74</v>
      </c>
      <c r="BP61" s="1" t="s">
        <v>74</v>
      </c>
      <c r="BQ61" s="1" t="s">
        <v>74</v>
      </c>
      <c r="BR61" s="1" t="s">
        <v>74</v>
      </c>
      <c r="BS61" s="1" t="s">
        <v>721</v>
      </c>
      <c r="BT61" s="1" t="str">
        <f>HYPERLINK("https%3A%2F%2Fwww.webofscience.com%2Fwos%2Fwoscc%2Ffull-record%2FWOS:000429420900005","View Full Record in Web of Science")</f>
        <v>View Full Record in Web of Science</v>
      </c>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row>
    <row r="62" spans="1:314" s="2" customFormat="1" x14ac:dyDescent="0.4">
      <c r="A62" s="1" t="s">
        <v>72</v>
      </c>
      <c r="B62" s="1" t="s">
        <v>2084</v>
      </c>
      <c r="C62" s="1" t="s">
        <v>74</v>
      </c>
      <c r="D62" s="1" t="s">
        <v>74</v>
      </c>
      <c r="E62" s="1" t="s">
        <v>74</v>
      </c>
      <c r="F62" s="1" t="s">
        <v>2085</v>
      </c>
      <c r="G62" s="1" t="s">
        <v>74</v>
      </c>
      <c r="H62" s="1" t="s">
        <v>74</v>
      </c>
      <c r="I62" s="1" t="s">
        <v>2086</v>
      </c>
      <c r="J62" s="1" t="s">
        <v>2087</v>
      </c>
      <c r="K62" s="1" t="s">
        <v>74</v>
      </c>
      <c r="L62" s="1" t="s">
        <v>74</v>
      </c>
      <c r="M62" s="1" t="s">
        <v>74</v>
      </c>
      <c r="N62" s="1" t="s">
        <v>74</v>
      </c>
      <c r="O62" s="1" t="s">
        <v>74</v>
      </c>
      <c r="P62" s="1" t="s">
        <v>74</v>
      </c>
      <c r="Q62" s="1" t="s">
        <v>74</v>
      </c>
      <c r="R62" s="1" t="s">
        <v>74</v>
      </c>
      <c r="S62" s="1" t="s">
        <v>74</v>
      </c>
      <c r="T62" s="1" t="s">
        <v>74</v>
      </c>
      <c r="U62" s="1" t="s">
        <v>74</v>
      </c>
      <c r="V62" s="4" t="s">
        <v>2088</v>
      </c>
      <c r="W62" s="1" t="s">
        <v>74</v>
      </c>
      <c r="X62" s="1" t="s">
        <v>74</v>
      </c>
      <c r="Y62" s="1" t="s">
        <v>74</v>
      </c>
      <c r="Z62" s="1" t="s">
        <v>74</v>
      </c>
      <c r="AA62" s="1" t="s">
        <v>74</v>
      </c>
      <c r="AB62" s="1" t="s">
        <v>74</v>
      </c>
      <c r="AC62" s="1" t="s">
        <v>74</v>
      </c>
      <c r="AD62" s="1" t="s">
        <v>74</v>
      </c>
      <c r="AE62" s="1" t="s">
        <v>74</v>
      </c>
      <c r="AF62" s="1" t="s">
        <v>74</v>
      </c>
      <c r="AG62" s="1" t="s">
        <v>74</v>
      </c>
      <c r="AH62" s="1" t="s">
        <v>74</v>
      </c>
      <c r="AI62" s="1" t="s">
        <v>74</v>
      </c>
      <c r="AJ62" s="1" t="s">
        <v>74</v>
      </c>
      <c r="AK62" s="1" t="s">
        <v>74</v>
      </c>
      <c r="AL62" s="1" t="s">
        <v>74</v>
      </c>
      <c r="AM62" s="1" t="s">
        <v>74</v>
      </c>
      <c r="AN62" s="1" t="s">
        <v>74</v>
      </c>
      <c r="AO62" s="1" t="s">
        <v>2089</v>
      </c>
      <c r="AP62" s="1" t="s">
        <v>74</v>
      </c>
      <c r="AQ62" s="1" t="s">
        <v>74</v>
      </c>
      <c r="AR62" s="1" t="s">
        <v>74</v>
      </c>
      <c r="AS62" s="1" t="s">
        <v>74</v>
      </c>
      <c r="AT62" s="1" t="s">
        <v>74</v>
      </c>
      <c r="AU62" s="1">
        <v>2008</v>
      </c>
      <c r="AV62" s="1">
        <v>15</v>
      </c>
      <c r="AW62" s="1">
        <v>3</v>
      </c>
      <c r="AX62" s="1" t="s">
        <v>74</v>
      </c>
      <c r="AY62" s="1" t="s">
        <v>74</v>
      </c>
      <c r="AZ62" s="1" t="s">
        <v>74</v>
      </c>
      <c r="BA62" s="1" t="s">
        <v>74</v>
      </c>
      <c r="BB62" s="1">
        <v>320</v>
      </c>
      <c r="BC62" s="1">
        <v>326</v>
      </c>
      <c r="BD62" s="1" t="s">
        <v>74</v>
      </c>
      <c r="BE62" s="1" t="s">
        <v>2090</v>
      </c>
      <c r="BF62" s="1" t="str">
        <f>HYPERLINK("http://dx.doi.org/10.2980/15-3-3135","http://dx.doi.org/10.2980/15-3-3135")</f>
        <v>http://dx.doi.org/10.2980/15-3-3135</v>
      </c>
      <c r="BG62" s="1" t="s">
        <v>74</v>
      </c>
      <c r="BH62" s="1" t="s">
        <v>74</v>
      </c>
      <c r="BI62" s="1" t="s">
        <v>74</v>
      </c>
      <c r="BJ62" s="1" t="s">
        <v>74</v>
      </c>
      <c r="BK62" s="1" t="s">
        <v>74</v>
      </c>
      <c r="BL62" s="1" t="s">
        <v>74</v>
      </c>
      <c r="BM62" s="1" t="s">
        <v>74</v>
      </c>
      <c r="BN62" s="1" t="s">
        <v>74</v>
      </c>
      <c r="BO62" s="1" t="s">
        <v>74</v>
      </c>
      <c r="BP62" s="1" t="s">
        <v>74</v>
      </c>
      <c r="BQ62" s="1" t="s">
        <v>74</v>
      </c>
      <c r="BR62" s="1" t="s">
        <v>74</v>
      </c>
      <c r="BS62" s="1" t="s">
        <v>2091</v>
      </c>
      <c r="BT62" s="1" t="str">
        <f>HYPERLINK("https%3A%2F%2Fwww.webofscience.com%2Fwos%2Fwoscc%2Ffull-record%2FWOS:000259841500005","View Full Record in Web of Science")</f>
        <v>View Full Record in Web of Science</v>
      </c>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row>
    <row r="63" spans="1:314" s="2" customFormat="1" x14ac:dyDescent="0.4">
      <c r="A63" s="1" t="s">
        <v>72</v>
      </c>
      <c r="B63" s="1" t="s">
        <v>1461</v>
      </c>
      <c r="C63" s="1" t="s">
        <v>74</v>
      </c>
      <c r="D63" s="1" t="s">
        <v>74</v>
      </c>
      <c r="E63" s="1" t="s">
        <v>74</v>
      </c>
      <c r="F63" s="1" t="s">
        <v>1462</v>
      </c>
      <c r="G63" s="1" t="s">
        <v>74</v>
      </c>
      <c r="H63" s="1" t="s">
        <v>74</v>
      </c>
      <c r="I63" s="1" t="s">
        <v>1463</v>
      </c>
      <c r="J63" s="1" t="s">
        <v>140</v>
      </c>
      <c r="K63" s="1" t="s">
        <v>74</v>
      </c>
      <c r="L63" s="1" t="s">
        <v>74</v>
      </c>
      <c r="M63" s="1" t="s">
        <v>74</v>
      </c>
      <c r="N63" s="1" t="s">
        <v>74</v>
      </c>
      <c r="O63" s="1" t="s">
        <v>74</v>
      </c>
      <c r="P63" s="1" t="s">
        <v>74</v>
      </c>
      <c r="Q63" s="1" t="s">
        <v>74</v>
      </c>
      <c r="R63" s="1" t="s">
        <v>74</v>
      </c>
      <c r="S63" s="1" t="s">
        <v>74</v>
      </c>
      <c r="T63" s="1" t="s">
        <v>74</v>
      </c>
      <c r="U63" s="1" t="s">
        <v>74</v>
      </c>
      <c r="V63" s="4" t="s">
        <v>1464</v>
      </c>
      <c r="W63" s="1" t="s">
        <v>74</v>
      </c>
      <c r="X63" s="1" t="s">
        <v>74</v>
      </c>
      <c r="Y63" s="1" t="s">
        <v>74</v>
      </c>
      <c r="Z63" s="1" t="s">
        <v>74</v>
      </c>
      <c r="AA63" s="1" t="s">
        <v>1465</v>
      </c>
      <c r="AB63" s="1" t="s">
        <v>1466</v>
      </c>
      <c r="AC63" s="1" t="s">
        <v>74</v>
      </c>
      <c r="AD63" s="1" t="s">
        <v>74</v>
      </c>
      <c r="AE63" s="1" t="s">
        <v>74</v>
      </c>
      <c r="AF63" s="1" t="s">
        <v>74</v>
      </c>
      <c r="AG63" s="1" t="s">
        <v>74</v>
      </c>
      <c r="AH63" s="1" t="s">
        <v>74</v>
      </c>
      <c r="AI63" s="1" t="s">
        <v>74</v>
      </c>
      <c r="AJ63" s="1" t="s">
        <v>74</v>
      </c>
      <c r="AK63" s="1" t="s">
        <v>74</v>
      </c>
      <c r="AL63" s="1" t="s">
        <v>74</v>
      </c>
      <c r="AM63" s="1" t="s">
        <v>74</v>
      </c>
      <c r="AN63" s="1" t="s">
        <v>74</v>
      </c>
      <c r="AO63" s="1" t="s">
        <v>143</v>
      </c>
      <c r="AP63" s="1" t="s">
        <v>144</v>
      </c>
      <c r="AQ63" s="1" t="s">
        <v>74</v>
      </c>
      <c r="AR63" s="1" t="s">
        <v>74</v>
      </c>
      <c r="AS63" s="1" t="s">
        <v>74</v>
      </c>
      <c r="AT63" s="1" t="s">
        <v>204</v>
      </c>
      <c r="AU63" s="1">
        <v>2012</v>
      </c>
      <c r="AV63" s="1">
        <v>84</v>
      </c>
      <c r="AW63" s="1">
        <v>1</v>
      </c>
      <c r="AX63" s="1" t="s">
        <v>74</v>
      </c>
      <c r="AY63" s="1" t="s">
        <v>74</v>
      </c>
      <c r="AZ63" s="1" t="s">
        <v>74</v>
      </c>
      <c r="BA63" s="1" t="s">
        <v>74</v>
      </c>
      <c r="BB63" s="1">
        <v>159</v>
      </c>
      <c r="BC63" s="1">
        <v>165</v>
      </c>
      <c r="BD63" s="1" t="s">
        <v>74</v>
      </c>
      <c r="BE63" s="1" t="s">
        <v>1467</v>
      </c>
      <c r="BF63" s="1" t="str">
        <f>HYPERLINK("http://dx.doi.org/10.1016/j.anbehav.2012.04.025","http://dx.doi.org/10.1016/j.anbehav.2012.04.025")</f>
        <v>http://dx.doi.org/10.1016/j.anbehav.2012.04.025</v>
      </c>
      <c r="BG63" s="1" t="s">
        <v>74</v>
      </c>
      <c r="BH63" s="1" t="s">
        <v>74</v>
      </c>
      <c r="BI63" s="1" t="s">
        <v>74</v>
      </c>
      <c r="BJ63" s="1" t="s">
        <v>74</v>
      </c>
      <c r="BK63" s="1" t="s">
        <v>74</v>
      </c>
      <c r="BL63" s="1" t="s">
        <v>74</v>
      </c>
      <c r="BM63" s="1" t="s">
        <v>74</v>
      </c>
      <c r="BN63" s="1" t="s">
        <v>74</v>
      </c>
      <c r="BO63" s="1" t="s">
        <v>74</v>
      </c>
      <c r="BP63" s="1" t="s">
        <v>74</v>
      </c>
      <c r="BQ63" s="1" t="s">
        <v>74</v>
      </c>
      <c r="BR63" s="1" t="s">
        <v>74</v>
      </c>
      <c r="BS63" s="1" t="s">
        <v>1468</v>
      </c>
      <c r="BT63" s="1" t="str">
        <f>HYPERLINK("https%3A%2F%2Fwww.webofscience.com%2Fwos%2Fwoscc%2Ffull-record%2FWOS:000305748000020","View Full Record in Web of Science")</f>
        <v>View Full Record in Web of Science</v>
      </c>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row>
    <row r="64" spans="1:314" s="2" customFormat="1" x14ac:dyDescent="0.4">
      <c r="A64" s="1" t="s">
        <v>72</v>
      </c>
      <c r="B64" s="1" t="s">
        <v>585</v>
      </c>
      <c r="C64" s="1" t="s">
        <v>74</v>
      </c>
      <c r="D64" s="1" t="s">
        <v>74</v>
      </c>
      <c r="E64" s="1" t="s">
        <v>74</v>
      </c>
      <c r="F64" s="1" t="s">
        <v>586</v>
      </c>
      <c r="G64" s="1" t="s">
        <v>74</v>
      </c>
      <c r="H64" s="1" t="s">
        <v>74</v>
      </c>
      <c r="I64" s="1" t="s">
        <v>587</v>
      </c>
      <c r="J64" s="1" t="s">
        <v>218</v>
      </c>
      <c r="K64" s="1" t="s">
        <v>74</v>
      </c>
      <c r="L64" s="1" t="s">
        <v>74</v>
      </c>
      <c r="M64" s="1" t="s">
        <v>74</v>
      </c>
      <c r="N64" s="1" t="s">
        <v>74</v>
      </c>
      <c r="O64" s="1" t="s">
        <v>74</v>
      </c>
      <c r="P64" s="1" t="s">
        <v>74</v>
      </c>
      <c r="Q64" s="1" t="s">
        <v>74</v>
      </c>
      <c r="R64" s="1" t="s">
        <v>74</v>
      </c>
      <c r="S64" s="1" t="s">
        <v>74</v>
      </c>
      <c r="T64" s="1" t="s">
        <v>74</v>
      </c>
      <c r="U64" s="1" t="s">
        <v>74</v>
      </c>
      <c r="V64" s="4" t="s">
        <v>588</v>
      </c>
      <c r="W64" s="1" t="s">
        <v>74</v>
      </c>
      <c r="X64" s="1" t="s">
        <v>74</v>
      </c>
      <c r="Y64" s="1" t="s">
        <v>74</v>
      </c>
      <c r="Z64" s="1" t="s">
        <v>74</v>
      </c>
      <c r="AA64" s="1" t="s">
        <v>589</v>
      </c>
      <c r="AB64" s="1" t="s">
        <v>590</v>
      </c>
      <c r="AC64" s="1" t="s">
        <v>74</v>
      </c>
      <c r="AD64" s="1" t="s">
        <v>74</v>
      </c>
      <c r="AE64" s="1" t="s">
        <v>74</v>
      </c>
      <c r="AF64" s="1" t="s">
        <v>74</v>
      </c>
      <c r="AG64" s="1" t="s">
        <v>74</v>
      </c>
      <c r="AH64" s="1" t="s">
        <v>74</v>
      </c>
      <c r="AI64" s="1" t="s">
        <v>74</v>
      </c>
      <c r="AJ64" s="1" t="s">
        <v>74</v>
      </c>
      <c r="AK64" s="1" t="s">
        <v>74</v>
      </c>
      <c r="AL64" s="1" t="s">
        <v>74</v>
      </c>
      <c r="AM64" s="1" t="s">
        <v>74</v>
      </c>
      <c r="AN64" s="1" t="s">
        <v>74</v>
      </c>
      <c r="AO64" s="1" t="s">
        <v>221</v>
      </c>
      <c r="AP64" s="1" t="s">
        <v>222</v>
      </c>
      <c r="AQ64" s="1" t="s">
        <v>74</v>
      </c>
      <c r="AR64" s="1" t="s">
        <v>74</v>
      </c>
      <c r="AS64" s="1" t="s">
        <v>74</v>
      </c>
      <c r="AT64" s="1" t="s">
        <v>123</v>
      </c>
      <c r="AU64" s="1">
        <v>2018</v>
      </c>
      <c r="AV64" s="1">
        <v>31</v>
      </c>
      <c r="AW64" s="1">
        <v>3</v>
      </c>
      <c r="AX64" s="1" t="s">
        <v>74</v>
      </c>
      <c r="AY64" s="1" t="s">
        <v>74</v>
      </c>
      <c r="AZ64" s="1" t="s">
        <v>74</v>
      </c>
      <c r="BA64" s="1" t="s">
        <v>74</v>
      </c>
      <c r="BB64" s="1">
        <v>457</v>
      </c>
      <c r="BC64" s="1">
        <v>468</v>
      </c>
      <c r="BD64" s="1" t="s">
        <v>74</v>
      </c>
      <c r="BE64" s="1" t="s">
        <v>591</v>
      </c>
      <c r="BF64" s="1" t="str">
        <f>HYPERLINK("http://dx.doi.org/10.1111/jeb.13243","http://dx.doi.org/10.1111/jeb.13243")</f>
        <v>http://dx.doi.org/10.1111/jeb.13243</v>
      </c>
      <c r="BG64" s="1" t="s">
        <v>74</v>
      </c>
      <c r="BH64" s="1" t="s">
        <v>74</v>
      </c>
      <c r="BI64" s="1" t="s">
        <v>74</v>
      </c>
      <c r="BJ64" s="1" t="s">
        <v>74</v>
      </c>
      <c r="BK64" s="1" t="s">
        <v>74</v>
      </c>
      <c r="BL64" s="1" t="s">
        <v>74</v>
      </c>
      <c r="BM64" s="1" t="s">
        <v>74</v>
      </c>
      <c r="BN64" s="1">
        <v>29345026</v>
      </c>
      <c r="BO64" s="1" t="s">
        <v>74</v>
      </c>
      <c r="BP64" s="1" t="s">
        <v>74</v>
      </c>
      <c r="BQ64" s="1" t="s">
        <v>74</v>
      </c>
      <c r="BR64" s="1" t="s">
        <v>74</v>
      </c>
      <c r="BS64" s="1" t="s">
        <v>592</v>
      </c>
      <c r="BT64" s="1" t="str">
        <f>HYPERLINK("https%3A%2F%2Fwww.webofscience.com%2Fwos%2Fwoscc%2Ffull-record%2FWOS:000426731400012","View Full Record in Web of Science")</f>
        <v>View Full Record in Web of Science</v>
      </c>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row>
    <row r="65" spans="1:314" s="2" customFormat="1" x14ac:dyDescent="0.4">
      <c r="A65" s="1" t="s">
        <v>72</v>
      </c>
      <c r="B65" s="1" t="s">
        <v>258</v>
      </c>
      <c r="C65" s="1" t="s">
        <v>74</v>
      </c>
      <c r="D65" s="1" t="s">
        <v>74</v>
      </c>
      <c r="E65" s="1" t="s">
        <v>74</v>
      </c>
      <c r="F65" s="1" t="s">
        <v>259</v>
      </c>
      <c r="G65" s="1" t="s">
        <v>74</v>
      </c>
      <c r="H65" s="1" t="s">
        <v>74</v>
      </c>
      <c r="I65" s="1" t="s">
        <v>260</v>
      </c>
      <c r="J65" s="1" t="s">
        <v>140</v>
      </c>
      <c r="K65" s="1" t="s">
        <v>74</v>
      </c>
      <c r="L65" s="1" t="s">
        <v>74</v>
      </c>
      <c r="M65" s="1" t="s">
        <v>74</v>
      </c>
      <c r="N65" s="1" t="s">
        <v>74</v>
      </c>
      <c r="O65" s="1" t="s">
        <v>74</v>
      </c>
      <c r="P65" s="1" t="s">
        <v>74</v>
      </c>
      <c r="Q65" s="1" t="s">
        <v>74</v>
      </c>
      <c r="R65" s="1" t="s">
        <v>74</v>
      </c>
      <c r="S65" s="1" t="s">
        <v>74</v>
      </c>
      <c r="T65" s="1" t="s">
        <v>74</v>
      </c>
      <c r="U65" s="1" t="s">
        <v>74</v>
      </c>
      <c r="V65" s="4" t="s">
        <v>261</v>
      </c>
      <c r="W65" s="1" t="s">
        <v>74</v>
      </c>
      <c r="X65" s="1" t="s">
        <v>74</v>
      </c>
      <c r="Y65" s="1" t="s">
        <v>74</v>
      </c>
      <c r="Z65" s="1" t="s">
        <v>74</v>
      </c>
      <c r="AA65" s="1" t="s">
        <v>74</v>
      </c>
      <c r="AB65" s="1" t="s">
        <v>262</v>
      </c>
      <c r="AC65" s="1" t="s">
        <v>74</v>
      </c>
      <c r="AD65" s="1" t="s">
        <v>74</v>
      </c>
      <c r="AE65" s="1" t="s">
        <v>74</v>
      </c>
      <c r="AF65" s="1" t="s">
        <v>74</v>
      </c>
      <c r="AG65" s="1" t="s">
        <v>74</v>
      </c>
      <c r="AH65" s="1" t="s">
        <v>74</v>
      </c>
      <c r="AI65" s="1" t="s">
        <v>74</v>
      </c>
      <c r="AJ65" s="1" t="s">
        <v>74</v>
      </c>
      <c r="AK65" s="1" t="s">
        <v>74</v>
      </c>
      <c r="AL65" s="1" t="s">
        <v>74</v>
      </c>
      <c r="AM65" s="1" t="s">
        <v>74</v>
      </c>
      <c r="AN65" s="1" t="s">
        <v>74</v>
      </c>
      <c r="AO65" s="1" t="s">
        <v>143</v>
      </c>
      <c r="AP65" s="1" t="s">
        <v>144</v>
      </c>
      <c r="AQ65" s="1" t="s">
        <v>74</v>
      </c>
      <c r="AR65" s="1" t="s">
        <v>74</v>
      </c>
      <c r="AS65" s="1" t="s">
        <v>74</v>
      </c>
      <c r="AT65" s="1" t="s">
        <v>255</v>
      </c>
      <c r="AU65" s="1">
        <v>2016</v>
      </c>
      <c r="AV65" s="1">
        <v>111</v>
      </c>
      <c r="AW65" s="1" t="s">
        <v>74</v>
      </c>
      <c r="AX65" s="1" t="s">
        <v>74</v>
      </c>
      <c r="AY65" s="1" t="s">
        <v>74</v>
      </c>
      <c r="AZ65" s="1" t="s">
        <v>74</v>
      </c>
      <c r="BA65" s="1" t="s">
        <v>74</v>
      </c>
      <c r="BB65" s="1">
        <v>329</v>
      </c>
      <c r="BC65" s="1">
        <v>339</v>
      </c>
      <c r="BD65" s="1" t="s">
        <v>74</v>
      </c>
      <c r="BE65" s="1" t="s">
        <v>263</v>
      </c>
      <c r="BF65" s="1" t="str">
        <f>HYPERLINK("http://dx.doi.org/10.1016/j.anbehav.2015.10.029","http://dx.doi.org/10.1016/j.anbehav.2015.10.029")</f>
        <v>http://dx.doi.org/10.1016/j.anbehav.2015.10.029</v>
      </c>
      <c r="BG65" s="1" t="s">
        <v>74</v>
      </c>
      <c r="BH65" s="1" t="s">
        <v>74</v>
      </c>
      <c r="BI65" s="1" t="s">
        <v>74</v>
      </c>
      <c r="BJ65" s="1" t="s">
        <v>74</v>
      </c>
      <c r="BK65" s="1" t="s">
        <v>74</v>
      </c>
      <c r="BL65" s="1" t="s">
        <v>74</v>
      </c>
      <c r="BM65" s="1" t="s">
        <v>74</v>
      </c>
      <c r="BN65" s="1" t="s">
        <v>74</v>
      </c>
      <c r="BO65" s="1" t="s">
        <v>74</v>
      </c>
      <c r="BP65" s="1" t="s">
        <v>74</v>
      </c>
      <c r="BQ65" s="1" t="s">
        <v>74</v>
      </c>
      <c r="BR65" s="1" t="s">
        <v>74</v>
      </c>
      <c r="BS65" s="1" t="s">
        <v>264</v>
      </c>
      <c r="BT65" s="1" t="str">
        <f>HYPERLINK("https%3A%2F%2Fwww.webofscience.com%2Fwos%2Fwoscc%2Ffull-record%2FWOS:000367374000038","View Full Record in Web of Science")</f>
        <v>View Full Record in Web of Science</v>
      </c>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row>
    <row r="66" spans="1:314" s="2" customFormat="1" x14ac:dyDescent="0.4">
      <c r="A66" s="1" t="s">
        <v>72</v>
      </c>
      <c r="B66" s="1" t="s">
        <v>772</v>
      </c>
      <c r="C66" s="1" t="s">
        <v>74</v>
      </c>
      <c r="D66" s="1" t="s">
        <v>74</v>
      </c>
      <c r="E66" s="1" t="s">
        <v>74</v>
      </c>
      <c r="F66" s="1" t="s">
        <v>773</v>
      </c>
      <c r="G66" s="1" t="s">
        <v>74</v>
      </c>
      <c r="H66" s="1" t="s">
        <v>74</v>
      </c>
      <c r="I66" s="1" t="s">
        <v>774</v>
      </c>
      <c r="J66" s="1" t="s">
        <v>775</v>
      </c>
      <c r="K66" s="1" t="s">
        <v>74</v>
      </c>
      <c r="L66" s="1" t="s">
        <v>74</v>
      </c>
      <c r="M66" s="1" t="s">
        <v>74</v>
      </c>
      <c r="N66" s="1" t="s">
        <v>74</v>
      </c>
      <c r="O66" s="1" t="s">
        <v>74</v>
      </c>
      <c r="P66" s="1" t="s">
        <v>74</v>
      </c>
      <c r="Q66" s="1" t="s">
        <v>74</v>
      </c>
      <c r="R66" s="1" t="s">
        <v>74</v>
      </c>
      <c r="S66" s="1" t="s">
        <v>74</v>
      </c>
      <c r="T66" s="1" t="s">
        <v>74</v>
      </c>
      <c r="U66" s="1" t="s">
        <v>74</v>
      </c>
      <c r="V66" s="4" t="s">
        <v>776</v>
      </c>
      <c r="W66" s="1" t="s">
        <v>74</v>
      </c>
      <c r="X66" s="1" t="s">
        <v>74</v>
      </c>
      <c r="Y66" s="1" t="s">
        <v>74</v>
      </c>
      <c r="Z66" s="1" t="s">
        <v>74</v>
      </c>
      <c r="AA66" s="1" t="s">
        <v>74</v>
      </c>
      <c r="AB66" s="1" t="s">
        <v>777</v>
      </c>
      <c r="AC66" s="1" t="s">
        <v>74</v>
      </c>
      <c r="AD66" s="1" t="s">
        <v>74</v>
      </c>
      <c r="AE66" s="1" t="s">
        <v>74</v>
      </c>
      <c r="AF66" s="1" t="s">
        <v>74</v>
      </c>
      <c r="AG66" s="1" t="s">
        <v>74</v>
      </c>
      <c r="AH66" s="1" t="s">
        <v>74</v>
      </c>
      <c r="AI66" s="1" t="s">
        <v>74</v>
      </c>
      <c r="AJ66" s="1" t="s">
        <v>74</v>
      </c>
      <c r="AK66" s="1" t="s">
        <v>74</v>
      </c>
      <c r="AL66" s="1" t="s">
        <v>74</v>
      </c>
      <c r="AM66" s="1" t="s">
        <v>74</v>
      </c>
      <c r="AN66" s="1" t="s">
        <v>74</v>
      </c>
      <c r="AO66" s="1" t="s">
        <v>778</v>
      </c>
      <c r="AP66" s="1" t="s">
        <v>779</v>
      </c>
      <c r="AQ66" s="1" t="s">
        <v>74</v>
      </c>
      <c r="AR66" s="1" t="s">
        <v>74</v>
      </c>
      <c r="AS66" s="1" t="s">
        <v>74</v>
      </c>
      <c r="AT66" s="1" t="s">
        <v>102</v>
      </c>
      <c r="AU66" s="1">
        <v>2018</v>
      </c>
      <c r="AV66" s="1">
        <v>64</v>
      </c>
      <c r="AW66" s="1">
        <v>3</v>
      </c>
      <c r="AX66" s="1" t="s">
        <v>74</v>
      </c>
      <c r="AY66" s="1" t="s">
        <v>74</v>
      </c>
      <c r="AZ66" s="1" t="s">
        <v>74</v>
      </c>
      <c r="BA66" s="1" t="s">
        <v>74</v>
      </c>
      <c r="BB66" s="1">
        <v>345</v>
      </c>
      <c r="BC66" s="1">
        <v>350</v>
      </c>
      <c r="BD66" s="1" t="s">
        <v>74</v>
      </c>
      <c r="BE66" s="1" t="s">
        <v>780</v>
      </c>
      <c r="BF66" s="1" t="str">
        <f>HYPERLINK("http://dx.doi.org/10.1093/cz/zoy020","http://dx.doi.org/10.1093/cz/zoy020")</f>
        <v>http://dx.doi.org/10.1093/cz/zoy020</v>
      </c>
      <c r="BG66" s="1" t="s">
        <v>74</v>
      </c>
      <c r="BH66" s="1" t="s">
        <v>74</v>
      </c>
      <c r="BI66" s="1" t="s">
        <v>74</v>
      </c>
      <c r="BJ66" s="1" t="s">
        <v>74</v>
      </c>
      <c r="BK66" s="1" t="s">
        <v>74</v>
      </c>
      <c r="BL66" s="1" t="s">
        <v>74</v>
      </c>
      <c r="BM66" s="1" t="s">
        <v>74</v>
      </c>
      <c r="BN66" s="1">
        <v>30402077</v>
      </c>
      <c r="BO66" s="1" t="s">
        <v>74</v>
      </c>
      <c r="BP66" s="1" t="s">
        <v>74</v>
      </c>
      <c r="BQ66" s="1" t="s">
        <v>74</v>
      </c>
      <c r="BR66" s="1" t="s">
        <v>74</v>
      </c>
      <c r="BS66" s="1" t="s">
        <v>781</v>
      </c>
      <c r="BT66" s="1" t="str">
        <f>HYPERLINK("https%3A%2F%2Fwww.webofscience.com%2Fwos%2Fwoscc%2Ffull-record%2FWOS:000436421000011","View Full Record in Web of Science")</f>
        <v>View Full Record in Web of Science</v>
      </c>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row>
    <row r="67" spans="1:314" s="2" customFormat="1" x14ac:dyDescent="0.4">
      <c r="A67" s="1" t="s">
        <v>72</v>
      </c>
      <c r="B67" s="1" t="s">
        <v>1785</v>
      </c>
      <c r="C67" s="1" t="s">
        <v>74</v>
      </c>
      <c r="D67" s="1" t="s">
        <v>74</v>
      </c>
      <c r="E67" s="1" t="s">
        <v>74</v>
      </c>
      <c r="F67" s="1" t="s">
        <v>1786</v>
      </c>
      <c r="G67" s="1" t="s">
        <v>74</v>
      </c>
      <c r="H67" s="1" t="s">
        <v>74</v>
      </c>
      <c r="I67" s="1" t="s">
        <v>1787</v>
      </c>
      <c r="J67" s="1" t="s">
        <v>333</v>
      </c>
      <c r="K67" s="1" t="s">
        <v>74</v>
      </c>
      <c r="L67" s="1" t="s">
        <v>74</v>
      </c>
      <c r="M67" s="1" t="s">
        <v>74</v>
      </c>
      <c r="N67" s="1" t="s">
        <v>74</v>
      </c>
      <c r="O67" s="1" t="s">
        <v>74</v>
      </c>
      <c r="P67" s="1" t="s">
        <v>74</v>
      </c>
      <c r="Q67" s="1" t="s">
        <v>74</v>
      </c>
      <c r="R67" s="1" t="s">
        <v>74</v>
      </c>
      <c r="S67" s="1" t="s">
        <v>74</v>
      </c>
      <c r="T67" s="1" t="s">
        <v>74</v>
      </c>
      <c r="U67" s="1" t="s">
        <v>74</v>
      </c>
      <c r="V67" s="4" t="s">
        <v>1788</v>
      </c>
      <c r="W67" s="1" t="s">
        <v>74</v>
      </c>
      <c r="X67" s="1" t="s">
        <v>74</v>
      </c>
      <c r="Y67" s="1" t="s">
        <v>74</v>
      </c>
      <c r="Z67" s="1" t="s">
        <v>74</v>
      </c>
      <c r="AA67" s="1" t="s">
        <v>1789</v>
      </c>
      <c r="AB67" s="1" t="s">
        <v>1790</v>
      </c>
      <c r="AC67" s="1" t="s">
        <v>74</v>
      </c>
      <c r="AD67" s="1" t="s">
        <v>74</v>
      </c>
      <c r="AE67" s="1" t="s">
        <v>74</v>
      </c>
      <c r="AF67" s="1" t="s">
        <v>74</v>
      </c>
      <c r="AG67" s="1" t="s">
        <v>74</v>
      </c>
      <c r="AH67" s="1" t="s">
        <v>74</v>
      </c>
      <c r="AI67" s="1" t="s">
        <v>74</v>
      </c>
      <c r="AJ67" s="1" t="s">
        <v>74</v>
      </c>
      <c r="AK67" s="1" t="s">
        <v>74</v>
      </c>
      <c r="AL67" s="1" t="s">
        <v>74</v>
      </c>
      <c r="AM67" s="1" t="s">
        <v>74</v>
      </c>
      <c r="AN67" s="1" t="s">
        <v>74</v>
      </c>
      <c r="AO67" s="1" t="s">
        <v>337</v>
      </c>
      <c r="AP67" s="1" t="s">
        <v>338</v>
      </c>
      <c r="AQ67" s="1" t="s">
        <v>74</v>
      </c>
      <c r="AR67" s="1" t="s">
        <v>74</v>
      </c>
      <c r="AS67" s="1" t="s">
        <v>74</v>
      </c>
      <c r="AT67" s="1" t="s">
        <v>339</v>
      </c>
      <c r="AU67" s="1">
        <v>2015</v>
      </c>
      <c r="AV67" s="1">
        <v>26</v>
      </c>
      <c r="AW67" s="1">
        <v>4</v>
      </c>
      <c r="AX67" s="1" t="s">
        <v>74</v>
      </c>
      <c r="AY67" s="1" t="s">
        <v>74</v>
      </c>
      <c r="AZ67" s="1" t="s">
        <v>74</v>
      </c>
      <c r="BA67" s="1" t="s">
        <v>74</v>
      </c>
      <c r="BB67" s="1">
        <v>1030</v>
      </c>
      <c r="BC67" s="1">
        <v>1038</v>
      </c>
      <c r="BD67" s="1" t="s">
        <v>74</v>
      </c>
      <c r="BE67" s="1" t="s">
        <v>1791</v>
      </c>
      <c r="BF67" s="1" t="str">
        <f>HYPERLINK("http://dx.doi.org/10.1093/beheco/arv037","http://dx.doi.org/10.1093/beheco/arv037")</f>
        <v>http://dx.doi.org/10.1093/beheco/arv037</v>
      </c>
      <c r="BG67" s="1" t="s">
        <v>74</v>
      </c>
      <c r="BH67" s="1" t="s">
        <v>74</v>
      </c>
      <c r="BI67" s="1" t="s">
        <v>74</v>
      </c>
      <c r="BJ67" s="1" t="s">
        <v>74</v>
      </c>
      <c r="BK67" s="1" t="s">
        <v>74</v>
      </c>
      <c r="BL67" s="1" t="s">
        <v>74</v>
      </c>
      <c r="BM67" s="1" t="s">
        <v>74</v>
      </c>
      <c r="BN67" s="1" t="s">
        <v>74</v>
      </c>
      <c r="BO67" s="1" t="s">
        <v>74</v>
      </c>
      <c r="BP67" s="1" t="s">
        <v>74</v>
      </c>
      <c r="BQ67" s="1" t="s">
        <v>74</v>
      </c>
      <c r="BR67" s="1" t="s">
        <v>74</v>
      </c>
      <c r="BS67" s="1" t="s">
        <v>1792</v>
      </c>
      <c r="BT67" s="1" t="str">
        <f>HYPERLINK("https%3A%2F%2Fwww.webofscience.com%2Fwos%2Fwoscc%2Ffull-record%2FWOS:000358171600013","View Full Record in Web of Science")</f>
        <v>View Full Record in Web of Science</v>
      </c>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row>
    <row r="68" spans="1:314" s="2" customFormat="1" x14ac:dyDescent="0.4">
      <c r="A68" s="1" t="s">
        <v>72</v>
      </c>
      <c r="B68" s="1" t="s">
        <v>4665</v>
      </c>
      <c r="C68" s="1" t="s">
        <v>74</v>
      </c>
      <c r="D68" s="1" t="s">
        <v>74</v>
      </c>
      <c r="E68" s="1" t="s">
        <v>74</v>
      </c>
      <c r="F68" s="1" t="s">
        <v>4666</v>
      </c>
      <c r="G68" s="1" t="s">
        <v>74</v>
      </c>
      <c r="H68" s="1" t="s">
        <v>74</v>
      </c>
      <c r="I68" s="1" t="s">
        <v>4667</v>
      </c>
      <c r="J68" s="1" t="s">
        <v>397</v>
      </c>
      <c r="K68" s="1" t="s">
        <v>74</v>
      </c>
      <c r="L68" s="1" t="s">
        <v>74</v>
      </c>
      <c r="M68" s="1" t="s">
        <v>74</v>
      </c>
      <c r="N68" s="1" t="s">
        <v>74</v>
      </c>
      <c r="O68" s="1" t="s">
        <v>74</v>
      </c>
      <c r="P68" s="1" t="s">
        <v>74</v>
      </c>
      <c r="Q68" s="1" t="s">
        <v>74</v>
      </c>
      <c r="R68" s="1" t="s">
        <v>74</v>
      </c>
      <c r="S68" s="1" t="s">
        <v>74</v>
      </c>
      <c r="T68" s="1" t="s">
        <v>74</v>
      </c>
      <c r="U68" s="1" t="s">
        <v>74</v>
      </c>
      <c r="V68" s="4" t="s">
        <v>4668</v>
      </c>
      <c r="W68" s="1" t="s">
        <v>74</v>
      </c>
      <c r="X68" s="1" t="s">
        <v>74</v>
      </c>
      <c r="Y68" s="1" t="s">
        <v>74</v>
      </c>
      <c r="Z68" s="1" t="s">
        <v>74</v>
      </c>
      <c r="AA68" s="1" t="s">
        <v>4669</v>
      </c>
      <c r="AB68" s="1" t="s">
        <v>4670</v>
      </c>
      <c r="AC68" s="1" t="s">
        <v>74</v>
      </c>
      <c r="AD68" s="1" t="s">
        <v>74</v>
      </c>
      <c r="AE68" s="1" t="s">
        <v>74</v>
      </c>
      <c r="AF68" s="1" t="s">
        <v>74</v>
      </c>
      <c r="AG68" s="1" t="s">
        <v>74</v>
      </c>
      <c r="AH68" s="1" t="s">
        <v>74</v>
      </c>
      <c r="AI68" s="1" t="s">
        <v>74</v>
      </c>
      <c r="AJ68" s="1" t="s">
        <v>74</v>
      </c>
      <c r="AK68" s="1" t="s">
        <v>74</v>
      </c>
      <c r="AL68" s="1" t="s">
        <v>74</v>
      </c>
      <c r="AM68" s="1" t="s">
        <v>74</v>
      </c>
      <c r="AN68" s="1" t="s">
        <v>74</v>
      </c>
      <c r="AO68" s="1" t="s">
        <v>401</v>
      </c>
      <c r="AP68" s="1" t="s">
        <v>402</v>
      </c>
      <c r="AQ68" s="1" t="s">
        <v>74</v>
      </c>
      <c r="AR68" s="1" t="s">
        <v>74</v>
      </c>
      <c r="AS68" s="1" t="s">
        <v>74</v>
      </c>
      <c r="AT68" s="1" t="s">
        <v>213</v>
      </c>
      <c r="AU68" s="1">
        <v>2015</v>
      </c>
      <c r="AV68" s="1">
        <v>14</v>
      </c>
      <c r="AW68" s="1">
        <v>8</v>
      </c>
      <c r="AX68" s="1" t="s">
        <v>74</v>
      </c>
      <c r="AY68" s="1" t="s">
        <v>74</v>
      </c>
      <c r="AZ68" s="1" t="s">
        <v>74</v>
      </c>
      <c r="BA68" s="1" t="s">
        <v>74</v>
      </c>
      <c r="BB68" s="1">
        <v>641</v>
      </c>
      <c r="BC68" s="1">
        <v>654</v>
      </c>
      <c r="BD68" s="1" t="s">
        <v>74</v>
      </c>
      <c r="BE68" s="1" t="s">
        <v>4671</v>
      </c>
      <c r="BF68" s="1" t="str">
        <f>HYPERLINK("http://dx.doi.org/10.1111/gbb.12252","http://dx.doi.org/10.1111/gbb.12252")</f>
        <v>http://dx.doi.org/10.1111/gbb.12252</v>
      </c>
      <c r="BG68" s="1" t="s">
        <v>74</v>
      </c>
      <c r="BH68" s="1" t="s">
        <v>74</v>
      </c>
      <c r="BI68" s="1" t="s">
        <v>74</v>
      </c>
      <c r="BJ68" s="1" t="s">
        <v>74</v>
      </c>
      <c r="BK68" s="1" t="s">
        <v>74</v>
      </c>
      <c r="BL68" s="1" t="s">
        <v>74</v>
      </c>
      <c r="BM68" s="1" t="s">
        <v>74</v>
      </c>
      <c r="BN68" s="1">
        <v>26463687</v>
      </c>
      <c r="BO68" s="1" t="s">
        <v>74</v>
      </c>
      <c r="BP68" s="1" t="s">
        <v>74</v>
      </c>
      <c r="BQ68" s="1" t="s">
        <v>74</v>
      </c>
      <c r="BR68" s="1" t="s">
        <v>74</v>
      </c>
      <c r="BS68" s="1" t="s">
        <v>4672</v>
      </c>
      <c r="BT68" s="1" t="str">
        <f>HYPERLINK("https%3A%2F%2Fwww.webofscience.com%2Fwos%2Fwoscc%2Ffull-record%2FWOS:000368248600008","View Full Record in Web of Science")</f>
        <v>View Full Record in Web of Science</v>
      </c>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row>
    <row r="69" spans="1:314" s="2" customFormat="1" x14ac:dyDescent="0.4">
      <c r="A69" s="2" t="s">
        <v>72</v>
      </c>
      <c r="B69" s="2" t="s">
        <v>1614</v>
      </c>
      <c r="C69" s="2" t="s">
        <v>74</v>
      </c>
      <c r="D69" s="2" t="s">
        <v>74</v>
      </c>
      <c r="E69" s="2" t="s">
        <v>74</v>
      </c>
      <c r="F69" s="2" t="s">
        <v>1615</v>
      </c>
      <c r="G69" s="2" t="s">
        <v>74</v>
      </c>
      <c r="H69" s="2" t="s">
        <v>74</v>
      </c>
      <c r="I69" s="2" t="s">
        <v>8776</v>
      </c>
      <c r="J69" s="2" t="s">
        <v>333</v>
      </c>
      <c r="K69" s="2" t="s">
        <v>74</v>
      </c>
      <c r="L69" s="2" t="s">
        <v>74</v>
      </c>
      <c r="M69" s="2" t="s">
        <v>74</v>
      </c>
      <c r="N69" s="2" t="s">
        <v>74</v>
      </c>
      <c r="O69" s="2" t="s">
        <v>74</v>
      </c>
      <c r="P69" s="2" t="s">
        <v>74</v>
      </c>
      <c r="Q69" s="2" t="s">
        <v>74</v>
      </c>
      <c r="R69" s="2" t="s">
        <v>74</v>
      </c>
      <c r="S69" s="2" t="s">
        <v>74</v>
      </c>
      <c r="T69" s="2" t="s">
        <v>74</v>
      </c>
      <c r="U69" s="2" t="s">
        <v>74</v>
      </c>
      <c r="V69" s="5" t="s">
        <v>1617</v>
      </c>
      <c r="W69" s="2" t="s">
        <v>74</v>
      </c>
      <c r="X69" s="2" t="s">
        <v>74</v>
      </c>
      <c r="Y69" s="2" t="s">
        <v>74</v>
      </c>
      <c r="Z69" s="2" t="s">
        <v>74</v>
      </c>
      <c r="AA69" s="2" t="s">
        <v>1618</v>
      </c>
      <c r="AB69" s="2" t="s">
        <v>1619</v>
      </c>
      <c r="AC69" s="2" t="s">
        <v>74</v>
      </c>
      <c r="AD69" s="2" t="s">
        <v>74</v>
      </c>
      <c r="AE69" s="2" t="s">
        <v>74</v>
      </c>
      <c r="AF69" s="2" t="s">
        <v>74</v>
      </c>
      <c r="AG69" s="2" t="s">
        <v>74</v>
      </c>
      <c r="AH69" s="2" t="s">
        <v>74</v>
      </c>
      <c r="AI69" s="2" t="s">
        <v>74</v>
      </c>
      <c r="AJ69" s="2" t="s">
        <v>74</v>
      </c>
      <c r="AK69" s="2" t="s">
        <v>74</v>
      </c>
      <c r="AL69" s="2" t="s">
        <v>74</v>
      </c>
      <c r="AM69" s="2" t="s">
        <v>74</v>
      </c>
      <c r="AN69" s="2" t="s">
        <v>74</v>
      </c>
      <c r="AO69" s="2" t="s">
        <v>337</v>
      </c>
      <c r="AP69" s="2" t="s">
        <v>338</v>
      </c>
      <c r="AQ69" s="2" t="s">
        <v>74</v>
      </c>
      <c r="AR69" s="2" t="s">
        <v>74</v>
      </c>
      <c r="AS69" s="2" t="s">
        <v>74</v>
      </c>
      <c r="AT69" s="2" t="s">
        <v>1620</v>
      </c>
      <c r="AU69" s="2">
        <v>2024</v>
      </c>
      <c r="AV69" s="2">
        <v>35</v>
      </c>
      <c r="AW69" s="2">
        <v>4</v>
      </c>
      <c r="AX69" s="2" t="s">
        <v>74</v>
      </c>
      <c r="AY69" s="2" t="s">
        <v>74</v>
      </c>
      <c r="AZ69" s="2" t="s">
        <v>74</v>
      </c>
      <c r="BA69" s="2" t="s">
        <v>74</v>
      </c>
      <c r="BB69" s="2" t="s">
        <v>74</v>
      </c>
      <c r="BC69" s="2" t="s">
        <v>74</v>
      </c>
      <c r="BD69" s="2" t="s">
        <v>1621</v>
      </c>
      <c r="BE69" s="2" t="s">
        <v>1622</v>
      </c>
      <c r="BF69" s="2" t="str">
        <f>HYPERLINK("http://dx.doi.org/10.1093/beheco/arae045","http://dx.doi.org/10.1093/beheco/arae045")</f>
        <v>http://dx.doi.org/10.1093/beheco/arae045</v>
      </c>
      <c r="BG69" s="2" t="s">
        <v>74</v>
      </c>
      <c r="BH69" s="2" t="s">
        <v>74</v>
      </c>
      <c r="BI69" s="2" t="s">
        <v>74</v>
      </c>
      <c r="BJ69" s="2" t="s">
        <v>74</v>
      </c>
      <c r="BK69" s="2" t="s">
        <v>74</v>
      </c>
      <c r="BL69" s="2" t="s">
        <v>74</v>
      </c>
      <c r="BM69" s="2" t="s">
        <v>74</v>
      </c>
      <c r="BN69" s="2" t="s">
        <v>74</v>
      </c>
      <c r="BO69" s="2" t="s">
        <v>74</v>
      </c>
      <c r="BP69" s="2" t="s">
        <v>74</v>
      </c>
      <c r="BQ69" s="2" t="s">
        <v>74</v>
      </c>
      <c r="BR69" s="2" t="s">
        <v>74</v>
      </c>
      <c r="BS69" s="2" t="s">
        <v>1623</v>
      </c>
      <c r="BT69" s="2" t="str">
        <f>HYPERLINK("https%3A%2F%2Fwww.webofscience.com%2Fwos%2Fwoscc%2Ffull-record%2FWOS:001258741000002","View Full Record in Web of Science")</f>
        <v>View Full Record in Web of Science</v>
      </c>
    </row>
    <row r="70" spans="1:314" s="2" customFormat="1" x14ac:dyDescent="0.4">
      <c r="A70" s="2" t="s">
        <v>72</v>
      </c>
      <c r="B70" s="2" t="s">
        <v>6707</v>
      </c>
      <c r="C70" s="2" t="s">
        <v>74</v>
      </c>
      <c r="D70" s="2" t="s">
        <v>74</v>
      </c>
      <c r="E70" s="2" t="s">
        <v>74</v>
      </c>
      <c r="F70" s="2" t="s">
        <v>6708</v>
      </c>
      <c r="G70" s="2" t="s">
        <v>74</v>
      </c>
      <c r="H70" s="2" t="s">
        <v>74</v>
      </c>
      <c r="I70" s="2" t="s">
        <v>8768</v>
      </c>
      <c r="J70" s="2" t="s">
        <v>970</v>
      </c>
      <c r="K70" s="2" t="s">
        <v>74</v>
      </c>
      <c r="L70" s="2" t="s">
        <v>74</v>
      </c>
      <c r="M70" s="2" t="s">
        <v>74</v>
      </c>
      <c r="N70" s="2" t="s">
        <v>74</v>
      </c>
      <c r="O70" s="2" t="s">
        <v>74</v>
      </c>
      <c r="P70" s="2" t="s">
        <v>74</v>
      </c>
      <c r="Q70" s="2" t="s">
        <v>74</v>
      </c>
      <c r="R70" s="2" t="s">
        <v>74</v>
      </c>
      <c r="S70" s="2" t="s">
        <v>74</v>
      </c>
      <c r="T70" s="2" t="s">
        <v>74</v>
      </c>
      <c r="U70" s="2" t="s">
        <v>74</v>
      </c>
      <c r="V70" s="5" t="s">
        <v>6710</v>
      </c>
      <c r="W70" s="2" t="s">
        <v>74</v>
      </c>
      <c r="X70" s="2" t="s">
        <v>74</v>
      </c>
      <c r="Y70" s="2" t="s">
        <v>74</v>
      </c>
      <c r="Z70" s="2" t="s">
        <v>74</v>
      </c>
      <c r="AA70" s="2" t="s">
        <v>6711</v>
      </c>
      <c r="AB70" s="2" t="s">
        <v>6712</v>
      </c>
      <c r="AC70" s="2" t="s">
        <v>74</v>
      </c>
      <c r="AD70" s="2" t="s">
        <v>74</v>
      </c>
      <c r="AE70" s="2" t="s">
        <v>74</v>
      </c>
      <c r="AF70" s="2" t="s">
        <v>74</v>
      </c>
      <c r="AG70" s="2" t="s">
        <v>74</v>
      </c>
      <c r="AH70" s="2" t="s">
        <v>74</v>
      </c>
      <c r="AI70" s="2" t="s">
        <v>74</v>
      </c>
      <c r="AJ70" s="2" t="s">
        <v>74</v>
      </c>
      <c r="AK70" s="2" t="s">
        <v>74</v>
      </c>
      <c r="AL70" s="2" t="s">
        <v>74</v>
      </c>
      <c r="AM70" s="2" t="s">
        <v>74</v>
      </c>
      <c r="AN70" s="2" t="s">
        <v>74</v>
      </c>
      <c r="AO70" s="2" t="s">
        <v>974</v>
      </c>
      <c r="AP70" s="2" t="s">
        <v>975</v>
      </c>
      <c r="AQ70" s="2" t="s">
        <v>74</v>
      </c>
      <c r="AR70" s="2" t="s">
        <v>74</v>
      </c>
      <c r="AS70" s="2" t="s">
        <v>74</v>
      </c>
      <c r="AT70" s="2" t="s">
        <v>633</v>
      </c>
      <c r="AU70" s="2">
        <v>2023</v>
      </c>
      <c r="AV70" s="2">
        <v>164</v>
      </c>
      <c r="AW70" s="2">
        <v>2</v>
      </c>
      <c r="AX70" s="2" t="s">
        <v>74</v>
      </c>
      <c r="AY70" s="2" t="s">
        <v>74</v>
      </c>
      <c r="AZ70" s="2" t="s">
        <v>74</v>
      </c>
      <c r="BA70" s="2" t="s">
        <v>74</v>
      </c>
      <c r="BB70" s="2">
        <v>417</v>
      </c>
      <c r="BC70" s="2">
        <v>431</v>
      </c>
      <c r="BD70" s="2" t="s">
        <v>74</v>
      </c>
      <c r="BE70" s="2" t="s">
        <v>6713</v>
      </c>
      <c r="BF70" s="2" t="str">
        <f>HYPERLINK("http://dx.doi.org/10.1007/s10336-022-02035-7","http://dx.doi.org/10.1007/s10336-022-02035-7")</f>
        <v>http://dx.doi.org/10.1007/s10336-022-02035-7</v>
      </c>
      <c r="BG70" s="2" t="s">
        <v>74</v>
      </c>
      <c r="BH70" s="2" t="s">
        <v>2298</v>
      </c>
      <c r="BI70" s="2" t="s">
        <v>74</v>
      </c>
      <c r="BJ70" s="2" t="s">
        <v>74</v>
      </c>
      <c r="BK70" s="2" t="s">
        <v>74</v>
      </c>
      <c r="BL70" s="2" t="s">
        <v>74</v>
      </c>
      <c r="BM70" s="2" t="s">
        <v>74</v>
      </c>
      <c r="BN70" s="2" t="s">
        <v>74</v>
      </c>
      <c r="BO70" s="2" t="s">
        <v>74</v>
      </c>
      <c r="BP70" s="2" t="s">
        <v>74</v>
      </c>
      <c r="BQ70" s="2" t="s">
        <v>74</v>
      </c>
      <c r="BR70" s="2" t="s">
        <v>74</v>
      </c>
      <c r="BS70" s="2" t="s">
        <v>6714</v>
      </c>
      <c r="BT70" s="2" t="str">
        <f>HYPERLINK("https%3A%2F%2Fwww.webofscience.com%2Fwos%2Fwoscc%2Ffull-record%2FWOS:000890108600001","View Full Record in Web of Science")</f>
        <v>View Full Record in Web of Science</v>
      </c>
    </row>
    <row r="71" spans="1:314" s="2" customFormat="1" x14ac:dyDescent="0.4">
      <c r="A71" s="2" t="s">
        <v>72</v>
      </c>
      <c r="B71" s="2" t="s">
        <v>6961</v>
      </c>
      <c r="C71" s="2" t="s">
        <v>74</v>
      </c>
      <c r="D71" s="2" t="s">
        <v>74</v>
      </c>
      <c r="E71" s="2" t="s">
        <v>74</v>
      </c>
      <c r="F71" s="2" t="s">
        <v>6961</v>
      </c>
      <c r="G71" s="2" t="s">
        <v>74</v>
      </c>
      <c r="H71" s="2" t="s">
        <v>74</v>
      </c>
      <c r="I71" s="2" t="s">
        <v>8769</v>
      </c>
      <c r="J71" s="2" t="s">
        <v>5129</v>
      </c>
      <c r="K71" s="2" t="s">
        <v>74</v>
      </c>
      <c r="L71" s="2" t="s">
        <v>74</v>
      </c>
      <c r="M71" s="2" t="s">
        <v>74</v>
      </c>
      <c r="N71" s="2" t="s">
        <v>74</v>
      </c>
      <c r="O71" s="2" t="s">
        <v>74</v>
      </c>
      <c r="P71" s="2" t="s">
        <v>74</v>
      </c>
      <c r="Q71" s="2" t="s">
        <v>74</v>
      </c>
      <c r="R71" s="2" t="s">
        <v>74</v>
      </c>
      <c r="S71" s="2" t="s">
        <v>74</v>
      </c>
      <c r="T71" s="2" t="s">
        <v>74</v>
      </c>
      <c r="U71" s="2" t="s">
        <v>74</v>
      </c>
      <c r="V71" s="5" t="s">
        <v>6963</v>
      </c>
      <c r="W71" s="2" t="s">
        <v>74</v>
      </c>
      <c r="X71" s="2" t="s">
        <v>74</v>
      </c>
      <c r="Y71" s="2" t="s">
        <v>74</v>
      </c>
      <c r="Z71" s="2" t="s">
        <v>74</v>
      </c>
      <c r="AA71" s="2" t="s">
        <v>74</v>
      </c>
      <c r="AB71" s="2" t="s">
        <v>74</v>
      </c>
      <c r="AC71" s="2" t="s">
        <v>74</v>
      </c>
      <c r="AD71" s="2" t="s">
        <v>74</v>
      </c>
      <c r="AE71" s="2" t="s">
        <v>74</v>
      </c>
      <c r="AF71" s="2" t="s">
        <v>74</v>
      </c>
      <c r="AG71" s="2" t="s">
        <v>74</v>
      </c>
      <c r="AH71" s="2" t="s">
        <v>74</v>
      </c>
      <c r="AI71" s="2" t="s">
        <v>74</v>
      </c>
      <c r="AJ71" s="2" t="s">
        <v>74</v>
      </c>
      <c r="AK71" s="2" t="s">
        <v>74</v>
      </c>
      <c r="AL71" s="2" t="s">
        <v>74</v>
      </c>
      <c r="AM71" s="2" t="s">
        <v>74</v>
      </c>
      <c r="AN71" s="2" t="s">
        <v>74</v>
      </c>
      <c r="AO71" s="2" t="s">
        <v>5131</v>
      </c>
      <c r="AP71" s="2" t="s">
        <v>5132</v>
      </c>
      <c r="AQ71" s="2" t="s">
        <v>74</v>
      </c>
      <c r="AR71" s="2" t="s">
        <v>74</v>
      </c>
      <c r="AS71" s="2" t="s">
        <v>74</v>
      </c>
      <c r="AT71" s="2" t="s">
        <v>74</v>
      </c>
      <c r="AU71" s="2">
        <v>1979</v>
      </c>
      <c r="AV71" s="2">
        <v>67</v>
      </c>
      <c r="AW71" s="2" t="s">
        <v>548</v>
      </c>
      <c r="AX71" s="2" t="s">
        <v>74</v>
      </c>
      <c r="AY71" s="2" t="s">
        <v>74</v>
      </c>
      <c r="AZ71" s="2" t="s">
        <v>74</v>
      </c>
      <c r="BA71" s="2" t="s">
        <v>74</v>
      </c>
      <c r="BB71" s="2">
        <v>28</v>
      </c>
      <c r="BC71" s="2">
        <v>41</v>
      </c>
      <c r="BD71" s="2" t="s">
        <v>74</v>
      </c>
      <c r="BE71" s="2" t="s">
        <v>74</v>
      </c>
      <c r="BF71" s="2" t="s">
        <v>74</v>
      </c>
      <c r="BG71" s="2" t="s">
        <v>74</v>
      </c>
      <c r="BH71" s="2" t="s">
        <v>74</v>
      </c>
      <c r="BI71" s="2" t="s">
        <v>74</v>
      </c>
      <c r="BJ71" s="2" t="s">
        <v>74</v>
      </c>
      <c r="BK71" s="2" t="s">
        <v>74</v>
      </c>
      <c r="BL71" s="2" t="s">
        <v>74</v>
      </c>
      <c r="BM71" s="2" t="s">
        <v>74</v>
      </c>
      <c r="BN71" s="2" t="s">
        <v>74</v>
      </c>
      <c r="BO71" s="2" t="s">
        <v>74</v>
      </c>
      <c r="BP71" s="2" t="s">
        <v>74</v>
      </c>
      <c r="BQ71" s="2" t="s">
        <v>74</v>
      </c>
      <c r="BR71" s="2" t="s">
        <v>74</v>
      </c>
      <c r="BS71" s="2" t="s">
        <v>6964</v>
      </c>
      <c r="BT71" s="2" t="str">
        <f>HYPERLINK("https%3A%2F%2Fwww.webofscience.com%2Fwos%2Fwoscc%2Ffull-record%2FWOS:A1979JH79300004","View Full Record in Web of Science")</f>
        <v>View Full Record in Web of Science</v>
      </c>
    </row>
    <row r="72" spans="1:314" s="2" customFormat="1" x14ac:dyDescent="0.4">
      <c r="A72" s="2" t="s">
        <v>72</v>
      </c>
      <c r="B72" s="2" t="s">
        <v>4593</v>
      </c>
      <c r="C72" s="2" t="s">
        <v>74</v>
      </c>
      <c r="D72" s="2" t="s">
        <v>74</v>
      </c>
      <c r="E72" s="2" t="s">
        <v>74</v>
      </c>
      <c r="F72" s="2" t="s">
        <v>4594</v>
      </c>
      <c r="G72" s="2" t="s">
        <v>74</v>
      </c>
      <c r="H72" s="2" t="s">
        <v>74</v>
      </c>
      <c r="I72" s="2" t="s">
        <v>8770</v>
      </c>
      <c r="J72" s="2" t="s">
        <v>201</v>
      </c>
      <c r="K72" s="2" t="s">
        <v>74</v>
      </c>
      <c r="L72" s="2" t="s">
        <v>74</v>
      </c>
      <c r="M72" s="2" t="s">
        <v>74</v>
      </c>
      <c r="N72" s="2" t="s">
        <v>74</v>
      </c>
      <c r="O72" s="2" t="s">
        <v>74</v>
      </c>
      <c r="P72" s="2" t="s">
        <v>74</v>
      </c>
      <c r="Q72" s="2" t="s">
        <v>74</v>
      </c>
      <c r="R72" s="2" t="s">
        <v>74</v>
      </c>
      <c r="S72" s="2" t="s">
        <v>74</v>
      </c>
      <c r="T72" s="2" t="s">
        <v>74</v>
      </c>
      <c r="U72" s="2" t="s">
        <v>74</v>
      </c>
      <c r="V72" s="5" t="s">
        <v>4596</v>
      </c>
      <c r="W72" s="2" t="s">
        <v>74</v>
      </c>
      <c r="X72" s="2" t="s">
        <v>74</v>
      </c>
      <c r="Y72" s="2" t="s">
        <v>74</v>
      </c>
      <c r="Z72" s="2" t="s">
        <v>74</v>
      </c>
      <c r="AA72" s="2" t="s">
        <v>4597</v>
      </c>
      <c r="AB72" s="2" t="s">
        <v>4598</v>
      </c>
      <c r="AC72" s="2" t="s">
        <v>74</v>
      </c>
      <c r="AD72" s="2" t="s">
        <v>74</v>
      </c>
      <c r="AE72" s="2" t="s">
        <v>74</v>
      </c>
      <c r="AF72" s="2" t="s">
        <v>74</v>
      </c>
      <c r="AG72" s="2" t="s">
        <v>74</v>
      </c>
      <c r="AH72" s="2" t="s">
        <v>74</v>
      </c>
      <c r="AI72" s="2" t="s">
        <v>74</v>
      </c>
      <c r="AJ72" s="2" t="s">
        <v>74</v>
      </c>
      <c r="AK72" s="2" t="s">
        <v>74</v>
      </c>
      <c r="AL72" s="2" t="s">
        <v>74</v>
      </c>
      <c r="AM72" s="2" t="s">
        <v>74</v>
      </c>
      <c r="AN72" s="2" t="s">
        <v>74</v>
      </c>
      <c r="AO72" s="2" t="s">
        <v>203</v>
      </c>
      <c r="AP72" s="2" t="s">
        <v>1192</v>
      </c>
      <c r="AQ72" s="2" t="s">
        <v>74</v>
      </c>
      <c r="AR72" s="2" t="s">
        <v>74</v>
      </c>
      <c r="AS72" s="2" t="s">
        <v>74</v>
      </c>
      <c r="AT72" s="2" t="s">
        <v>134</v>
      </c>
      <c r="AU72" s="2">
        <v>2022</v>
      </c>
      <c r="AV72" s="2">
        <v>100</v>
      </c>
      <c r="AW72" s="2">
        <v>5</v>
      </c>
      <c r="AX72" s="2" t="s">
        <v>74</v>
      </c>
      <c r="AY72" s="2" t="s">
        <v>74</v>
      </c>
      <c r="AZ72" s="2" t="s">
        <v>74</v>
      </c>
      <c r="BA72" s="2" t="s">
        <v>74</v>
      </c>
      <c r="BB72" s="2">
        <v>1264</v>
      </c>
      <c r="BC72" s="2">
        <v>1271</v>
      </c>
      <c r="BD72" s="2" t="s">
        <v>74</v>
      </c>
      <c r="BE72" s="2" t="s">
        <v>4599</v>
      </c>
      <c r="BF72" s="2" t="str">
        <f>HYPERLINK("http://dx.doi.org/10.1111/jfb.15040","http://dx.doi.org/10.1111/jfb.15040")</f>
        <v>http://dx.doi.org/10.1111/jfb.15040</v>
      </c>
      <c r="BG72" s="2" t="s">
        <v>74</v>
      </c>
      <c r="BH72" s="2" t="s">
        <v>415</v>
      </c>
      <c r="BI72" s="2" t="s">
        <v>74</v>
      </c>
      <c r="BJ72" s="2" t="s">
        <v>74</v>
      </c>
      <c r="BK72" s="2" t="s">
        <v>74</v>
      </c>
      <c r="BL72" s="2" t="s">
        <v>74</v>
      </c>
      <c r="BM72" s="2" t="s">
        <v>74</v>
      </c>
      <c r="BN72" s="2">
        <v>35289932</v>
      </c>
      <c r="BO72" s="2" t="s">
        <v>74</v>
      </c>
      <c r="BP72" s="2" t="s">
        <v>74</v>
      </c>
      <c r="BQ72" s="2" t="s">
        <v>74</v>
      </c>
      <c r="BR72" s="2" t="s">
        <v>74</v>
      </c>
      <c r="BS72" s="2" t="s">
        <v>4600</v>
      </c>
      <c r="BT72" s="2" t="str">
        <f>HYPERLINK("https%3A%2F%2Fwww.webofscience.com%2Fwos%2Fwoscc%2Ffull-record%2FWOS:000774829300001","View Full Record in Web of Science")</f>
        <v>View Full Record in Web of Science</v>
      </c>
    </row>
    <row r="73" spans="1:314" s="2" customFormat="1" x14ac:dyDescent="0.4">
      <c r="A73" s="2" t="s">
        <v>72</v>
      </c>
      <c r="B73" s="2" t="s">
        <v>5652</v>
      </c>
      <c r="C73" s="2" t="s">
        <v>74</v>
      </c>
      <c r="D73" s="2" t="s">
        <v>74</v>
      </c>
      <c r="E73" s="2" t="s">
        <v>74</v>
      </c>
      <c r="F73" s="2" t="s">
        <v>5653</v>
      </c>
      <c r="G73" s="2" t="s">
        <v>74</v>
      </c>
      <c r="H73" s="2" t="s">
        <v>74</v>
      </c>
      <c r="I73" s="2" t="s">
        <v>5654</v>
      </c>
      <c r="J73" s="2" t="s">
        <v>5655</v>
      </c>
      <c r="K73" s="2" t="s">
        <v>74</v>
      </c>
      <c r="L73" s="2" t="s">
        <v>74</v>
      </c>
      <c r="M73" s="2" t="s">
        <v>74</v>
      </c>
      <c r="N73" s="2" t="s">
        <v>74</v>
      </c>
      <c r="O73" s="2" t="s">
        <v>74</v>
      </c>
      <c r="P73" s="2" t="s">
        <v>74</v>
      </c>
      <c r="Q73" s="2" t="s">
        <v>74</v>
      </c>
      <c r="R73" s="2" t="s">
        <v>74</v>
      </c>
      <c r="S73" s="2" t="s">
        <v>74</v>
      </c>
      <c r="T73" s="2" t="s">
        <v>74</v>
      </c>
      <c r="U73" s="2" t="s">
        <v>74</v>
      </c>
      <c r="V73" s="5" t="s">
        <v>5656</v>
      </c>
      <c r="W73" s="2" t="s">
        <v>74</v>
      </c>
      <c r="X73" s="2" t="s">
        <v>74</v>
      </c>
      <c r="Y73" s="2" t="s">
        <v>74</v>
      </c>
      <c r="Z73" s="2" t="s">
        <v>74</v>
      </c>
      <c r="AA73" s="2" t="s">
        <v>74</v>
      </c>
      <c r="AB73" s="2" t="s">
        <v>74</v>
      </c>
      <c r="AC73" s="2" t="s">
        <v>74</v>
      </c>
      <c r="AD73" s="2" t="s">
        <v>74</v>
      </c>
      <c r="AE73" s="2" t="s">
        <v>74</v>
      </c>
      <c r="AF73" s="2" t="s">
        <v>74</v>
      </c>
      <c r="AG73" s="2" t="s">
        <v>74</v>
      </c>
      <c r="AH73" s="2" t="s">
        <v>74</v>
      </c>
      <c r="AI73" s="2" t="s">
        <v>74</v>
      </c>
      <c r="AJ73" s="2" t="s">
        <v>74</v>
      </c>
      <c r="AK73" s="2" t="s">
        <v>74</v>
      </c>
      <c r="AL73" s="2" t="s">
        <v>74</v>
      </c>
      <c r="AM73" s="2" t="s">
        <v>74</v>
      </c>
      <c r="AN73" s="2" t="s">
        <v>74</v>
      </c>
      <c r="AO73" s="2" t="s">
        <v>5657</v>
      </c>
      <c r="AP73" s="2" t="s">
        <v>74</v>
      </c>
      <c r="AQ73" s="2" t="s">
        <v>74</v>
      </c>
      <c r="AR73" s="2" t="s">
        <v>74</v>
      </c>
      <c r="AS73" s="2" t="s">
        <v>74</v>
      </c>
      <c r="AT73" s="2" t="s">
        <v>74</v>
      </c>
      <c r="AU73" s="2">
        <v>2020</v>
      </c>
      <c r="AV73" s="2">
        <v>19</v>
      </c>
      <c r="AW73" s="2">
        <v>6</v>
      </c>
      <c r="AX73" s="2" t="s">
        <v>74</v>
      </c>
      <c r="AY73" s="2" t="s">
        <v>74</v>
      </c>
      <c r="AZ73" s="2" t="s">
        <v>74</v>
      </c>
      <c r="BA73" s="2" t="s">
        <v>74</v>
      </c>
      <c r="BB73" s="2">
        <v>2770</v>
      </c>
      <c r="BC73" s="2">
        <v>2789</v>
      </c>
      <c r="BD73" s="2" t="s">
        <v>74</v>
      </c>
      <c r="BE73" s="2" t="s">
        <v>5658</v>
      </c>
      <c r="BF73" s="2" t="str">
        <f>HYPERLINK("http://dx.doi.org/10.22092/ijfs.2020.122739","http://dx.doi.org/10.22092/ijfs.2020.122739")</f>
        <v>http://dx.doi.org/10.22092/ijfs.2020.122739</v>
      </c>
      <c r="BG73" s="2" t="s">
        <v>74</v>
      </c>
      <c r="BH73" s="2" t="s">
        <v>74</v>
      </c>
      <c r="BI73" s="2" t="s">
        <v>74</v>
      </c>
      <c r="BJ73" s="2" t="s">
        <v>74</v>
      </c>
      <c r="BK73" s="2" t="s">
        <v>74</v>
      </c>
      <c r="BL73" s="2" t="s">
        <v>74</v>
      </c>
      <c r="BM73" s="2" t="s">
        <v>74</v>
      </c>
      <c r="BN73" s="2" t="s">
        <v>74</v>
      </c>
      <c r="BO73" s="2" t="s">
        <v>74</v>
      </c>
      <c r="BP73" s="2" t="s">
        <v>74</v>
      </c>
      <c r="BQ73" s="2" t="s">
        <v>74</v>
      </c>
      <c r="BR73" s="2" t="s">
        <v>74</v>
      </c>
      <c r="BS73" s="2" t="s">
        <v>5659</v>
      </c>
      <c r="BT73" s="2" t="str">
        <f>HYPERLINK("https%3A%2F%2Fwww.webofscience.com%2Fwos%2Fwoscc%2Ffull-record%2FWOS:000600344000002","View Full Record in Web of Science")</f>
        <v>View Full Record in Web of Science</v>
      </c>
    </row>
    <row r="74" spans="1:314" s="2" customFormat="1" x14ac:dyDescent="0.4">
      <c r="A74" s="2" t="s">
        <v>72</v>
      </c>
      <c r="B74" s="2" t="s">
        <v>6129</v>
      </c>
      <c r="C74" s="2" t="s">
        <v>74</v>
      </c>
      <c r="D74" s="2" t="s">
        <v>74</v>
      </c>
      <c r="E74" s="2" t="s">
        <v>74</v>
      </c>
      <c r="F74" s="2" t="s">
        <v>6129</v>
      </c>
      <c r="G74" s="2" t="s">
        <v>74</v>
      </c>
      <c r="H74" s="2" t="s">
        <v>74</v>
      </c>
      <c r="I74" s="2" t="s">
        <v>6130</v>
      </c>
      <c r="J74" s="2" t="s">
        <v>129</v>
      </c>
      <c r="K74" s="2" t="s">
        <v>74</v>
      </c>
      <c r="L74" s="2" t="s">
        <v>74</v>
      </c>
      <c r="M74" s="2" t="s">
        <v>74</v>
      </c>
      <c r="N74" s="2" t="s">
        <v>74</v>
      </c>
      <c r="O74" s="2" t="s">
        <v>74</v>
      </c>
      <c r="P74" s="2" t="s">
        <v>74</v>
      </c>
      <c r="Q74" s="2" t="s">
        <v>74</v>
      </c>
      <c r="R74" s="2" t="s">
        <v>74</v>
      </c>
      <c r="S74" s="2" t="s">
        <v>74</v>
      </c>
      <c r="T74" s="2" t="s">
        <v>74</v>
      </c>
      <c r="U74" s="2" t="s">
        <v>74</v>
      </c>
      <c r="V74" s="5" t="s">
        <v>6131</v>
      </c>
      <c r="W74" s="2" t="s">
        <v>74</v>
      </c>
      <c r="X74" s="2" t="s">
        <v>74</v>
      </c>
      <c r="Y74" s="2" t="s">
        <v>74</v>
      </c>
      <c r="Z74" s="2" t="s">
        <v>74</v>
      </c>
      <c r="AA74" s="2" t="s">
        <v>74</v>
      </c>
      <c r="AB74" s="2" t="s">
        <v>74</v>
      </c>
      <c r="AC74" s="2" t="s">
        <v>74</v>
      </c>
      <c r="AD74" s="2" t="s">
        <v>74</v>
      </c>
      <c r="AE74" s="2" t="s">
        <v>74</v>
      </c>
      <c r="AF74" s="2" t="s">
        <v>74</v>
      </c>
      <c r="AG74" s="2" t="s">
        <v>74</v>
      </c>
      <c r="AH74" s="2" t="s">
        <v>74</v>
      </c>
      <c r="AI74" s="2" t="s">
        <v>74</v>
      </c>
      <c r="AJ74" s="2" t="s">
        <v>74</v>
      </c>
      <c r="AK74" s="2" t="s">
        <v>74</v>
      </c>
      <c r="AL74" s="2" t="s">
        <v>74</v>
      </c>
      <c r="AM74" s="2" t="s">
        <v>74</v>
      </c>
      <c r="AN74" s="2" t="s">
        <v>74</v>
      </c>
      <c r="AO74" s="2" t="s">
        <v>132</v>
      </c>
      <c r="AP74" s="2" t="s">
        <v>133</v>
      </c>
      <c r="AQ74" s="2" t="s">
        <v>74</v>
      </c>
      <c r="AR74" s="2" t="s">
        <v>74</v>
      </c>
      <c r="AS74" s="2" t="s">
        <v>74</v>
      </c>
      <c r="AT74" s="2" t="s">
        <v>74</v>
      </c>
      <c r="AU74" s="2">
        <v>1986</v>
      </c>
      <c r="AV74" s="2">
        <v>19</v>
      </c>
      <c r="AW74" s="2">
        <v>1</v>
      </c>
      <c r="AX74" s="2" t="s">
        <v>74</v>
      </c>
      <c r="AY74" s="2" t="s">
        <v>74</v>
      </c>
      <c r="AZ74" s="2" t="s">
        <v>74</v>
      </c>
      <c r="BA74" s="2" t="s">
        <v>74</v>
      </c>
      <c r="BB74" s="2">
        <v>1</v>
      </c>
      <c r="BC74" s="2">
        <v>8</v>
      </c>
      <c r="BD74" s="2" t="s">
        <v>74</v>
      </c>
      <c r="BE74" s="2" t="s">
        <v>6132</v>
      </c>
      <c r="BF74" s="2" t="str">
        <f>HYPERLINK("http://dx.doi.org/10.1007/BF00303836","http://dx.doi.org/10.1007/BF00303836")</f>
        <v>http://dx.doi.org/10.1007/BF00303836</v>
      </c>
      <c r="BG74" s="2" t="s">
        <v>74</v>
      </c>
      <c r="BH74" s="2" t="s">
        <v>74</v>
      </c>
      <c r="BI74" s="2" t="s">
        <v>74</v>
      </c>
      <c r="BJ74" s="2" t="s">
        <v>74</v>
      </c>
      <c r="BK74" s="2" t="s">
        <v>74</v>
      </c>
      <c r="BL74" s="2" t="s">
        <v>74</v>
      </c>
      <c r="BM74" s="2" t="s">
        <v>74</v>
      </c>
      <c r="BN74" s="2" t="s">
        <v>74</v>
      </c>
      <c r="BO74" s="2" t="s">
        <v>74</v>
      </c>
      <c r="BP74" s="2" t="s">
        <v>74</v>
      </c>
      <c r="BQ74" s="2" t="s">
        <v>74</v>
      </c>
      <c r="BR74" s="2" t="s">
        <v>74</v>
      </c>
      <c r="BS74" s="2" t="s">
        <v>6133</v>
      </c>
      <c r="BT74" s="2" t="str">
        <f>HYPERLINK("https%3A%2F%2Fwww.webofscience.com%2Fwos%2Fwoscc%2Ffull-record%2FWOS:A1986C822500001","View Full Record in Web of Science")</f>
        <v>View Full Record in Web of Science</v>
      </c>
    </row>
    <row r="75" spans="1:314" s="2" customFormat="1" x14ac:dyDescent="0.4">
      <c r="A75" s="2" t="s">
        <v>72</v>
      </c>
      <c r="B75" s="2" t="s">
        <v>3570</v>
      </c>
      <c r="C75" s="2" t="s">
        <v>74</v>
      </c>
      <c r="D75" s="2" t="s">
        <v>74</v>
      </c>
      <c r="E75" s="2" t="s">
        <v>74</v>
      </c>
      <c r="F75" s="2" t="s">
        <v>3571</v>
      </c>
      <c r="G75" s="2" t="s">
        <v>74</v>
      </c>
      <c r="H75" s="2" t="s">
        <v>74</v>
      </c>
      <c r="I75" s="2" t="s">
        <v>3572</v>
      </c>
      <c r="J75" s="2" t="s">
        <v>140</v>
      </c>
      <c r="K75" s="2" t="s">
        <v>74</v>
      </c>
      <c r="L75" s="2" t="s">
        <v>74</v>
      </c>
      <c r="M75" s="2" t="s">
        <v>74</v>
      </c>
      <c r="N75" s="2" t="s">
        <v>74</v>
      </c>
      <c r="O75" s="2" t="s">
        <v>74</v>
      </c>
      <c r="P75" s="2" t="s">
        <v>74</v>
      </c>
      <c r="Q75" s="2" t="s">
        <v>74</v>
      </c>
      <c r="R75" s="2" t="s">
        <v>74</v>
      </c>
      <c r="S75" s="2" t="s">
        <v>74</v>
      </c>
      <c r="T75" s="2" t="s">
        <v>74</v>
      </c>
      <c r="U75" s="2" t="s">
        <v>74</v>
      </c>
      <c r="V75" s="5" t="s">
        <v>3573</v>
      </c>
      <c r="W75" s="2" t="s">
        <v>74</v>
      </c>
      <c r="X75" s="2" t="s">
        <v>74</v>
      </c>
      <c r="Y75" s="2" t="s">
        <v>74</v>
      </c>
      <c r="Z75" s="2" t="s">
        <v>74</v>
      </c>
      <c r="AA75" s="2" t="s">
        <v>3574</v>
      </c>
      <c r="AB75" s="2" t="s">
        <v>3575</v>
      </c>
      <c r="AC75" s="2" t="s">
        <v>74</v>
      </c>
      <c r="AD75" s="2" t="s">
        <v>74</v>
      </c>
      <c r="AE75" s="2" t="s">
        <v>74</v>
      </c>
      <c r="AF75" s="2" t="s">
        <v>74</v>
      </c>
      <c r="AG75" s="2" t="s">
        <v>74</v>
      </c>
      <c r="AH75" s="2" t="s">
        <v>74</v>
      </c>
      <c r="AI75" s="2" t="s">
        <v>74</v>
      </c>
      <c r="AJ75" s="2" t="s">
        <v>74</v>
      </c>
      <c r="AK75" s="2" t="s">
        <v>74</v>
      </c>
      <c r="AL75" s="2" t="s">
        <v>74</v>
      </c>
      <c r="AM75" s="2" t="s">
        <v>74</v>
      </c>
      <c r="AN75" s="2" t="s">
        <v>74</v>
      </c>
      <c r="AO75" s="2" t="s">
        <v>143</v>
      </c>
      <c r="AP75" s="2" t="s">
        <v>144</v>
      </c>
      <c r="AQ75" s="2" t="s">
        <v>74</v>
      </c>
      <c r="AR75" s="2" t="s">
        <v>74</v>
      </c>
      <c r="AS75" s="2" t="s">
        <v>74</v>
      </c>
      <c r="AT75" s="2" t="s">
        <v>305</v>
      </c>
      <c r="AU75" s="2">
        <v>2021</v>
      </c>
      <c r="AV75" s="2">
        <v>182</v>
      </c>
      <c r="AW75" s="2" t="s">
        <v>74</v>
      </c>
      <c r="AX75" s="2" t="s">
        <v>74</v>
      </c>
      <c r="AY75" s="2" t="s">
        <v>74</v>
      </c>
      <c r="AZ75" s="2" t="s">
        <v>74</v>
      </c>
      <c r="BA75" s="2" t="s">
        <v>74</v>
      </c>
      <c r="BB75" s="2">
        <v>239</v>
      </c>
      <c r="BC75" s="2">
        <v>250</v>
      </c>
      <c r="BD75" s="2" t="s">
        <v>74</v>
      </c>
      <c r="BE75" s="2" t="s">
        <v>3576</v>
      </c>
      <c r="BF75" s="2" t="str">
        <f>HYPERLINK("http://dx.doi.org/10.1016/j.anbehav.2021.09.011","http://dx.doi.org/10.1016/j.anbehav.2021.09.011")</f>
        <v>http://dx.doi.org/10.1016/j.anbehav.2021.09.011</v>
      </c>
      <c r="BG75" s="2" t="s">
        <v>74</v>
      </c>
      <c r="BH75" s="2" t="s">
        <v>74</v>
      </c>
      <c r="BI75" s="2" t="s">
        <v>74</v>
      </c>
      <c r="BJ75" s="2" t="s">
        <v>74</v>
      </c>
      <c r="BK75" s="2" t="s">
        <v>74</v>
      </c>
      <c r="BL75" s="2" t="s">
        <v>74</v>
      </c>
      <c r="BM75" s="2" t="s">
        <v>74</v>
      </c>
      <c r="BN75" s="2" t="s">
        <v>74</v>
      </c>
      <c r="BO75" s="2" t="s">
        <v>74</v>
      </c>
      <c r="BP75" s="2" t="s">
        <v>74</v>
      </c>
      <c r="BQ75" s="2" t="s">
        <v>74</v>
      </c>
      <c r="BR75" s="2" t="s">
        <v>74</v>
      </c>
      <c r="BS75" s="2" t="s">
        <v>3577</v>
      </c>
      <c r="BT75" s="2" t="str">
        <f>HYPERLINK("https%3A%2F%2Fwww.webofscience.com%2Fwos%2Fwoscc%2Ffull-record%2FWOS:000907004000003","View Full Record in Web of Science")</f>
        <v>View Full Record in Web of Science</v>
      </c>
    </row>
    <row r="76" spans="1:314" s="1" customFormat="1" x14ac:dyDescent="0.4">
      <c r="A76" s="1" t="s">
        <v>72</v>
      </c>
      <c r="B76" s="1" t="s">
        <v>573</v>
      </c>
      <c r="C76" s="1" t="s">
        <v>74</v>
      </c>
      <c r="D76" s="1" t="s">
        <v>74</v>
      </c>
      <c r="E76" s="1" t="s">
        <v>74</v>
      </c>
      <c r="F76" s="1" t="s">
        <v>574</v>
      </c>
      <c r="G76" s="1" t="s">
        <v>74</v>
      </c>
      <c r="H76" s="1" t="s">
        <v>74</v>
      </c>
      <c r="I76" s="1" t="s">
        <v>575</v>
      </c>
      <c r="J76" s="1" t="s">
        <v>576</v>
      </c>
      <c r="K76" s="1" t="s">
        <v>74</v>
      </c>
      <c r="L76" s="1" t="s">
        <v>74</v>
      </c>
      <c r="M76" s="1" t="s">
        <v>74</v>
      </c>
      <c r="N76" s="1" t="s">
        <v>74</v>
      </c>
      <c r="O76" s="1" t="s">
        <v>74</v>
      </c>
      <c r="P76" s="1" t="s">
        <v>74</v>
      </c>
      <c r="Q76" s="1" t="s">
        <v>74</v>
      </c>
      <c r="R76" s="1" t="s">
        <v>74</v>
      </c>
      <c r="S76" s="1" t="s">
        <v>74</v>
      </c>
      <c r="T76" s="1" t="s">
        <v>74</v>
      </c>
      <c r="U76" s="1" t="s">
        <v>74</v>
      </c>
      <c r="V76" s="4" t="s">
        <v>577</v>
      </c>
      <c r="W76" s="1" t="s">
        <v>74</v>
      </c>
      <c r="X76" s="1" t="s">
        <v>74</v>
      </c>
      <c r="Y76" s="1" t="s">
        <v>74</v>
      </c>
      <c r="Z76" s="1" t="s">
        <v>74</v>
      </c>
      <c r="AA76" s="1" t="s">
        <v>74</v>
      </c>
      <c r="AB76" s="1" t="s">
        <v>578</v>
      </c>
      <c r="AC76" s="1" t="s">
        <v>74</v>
      </c>
      <c r="AD76" s="1" t="s">
        <v>74</v>
      </c>
      <c r="AE76" s="1" t="s">
        <v>74</v>
      </c>
      <c r="AF76" s="1" t="s">
        <v>74</v>
      </c>
      <c r="AG76" s="1" t="s">
        <v>74</v>
      </c>
      <c r="AH76" s="1" t="s">
        <v>74</v>
      </c>
      <c r="AI76" s="1" t="s">
        <v>74</v>
      </c>
      <c r="AJ76" s="1" t="s">
        <v>74</v>
      </c>
      <c r="AK76" s="1" t="s">
        <v>74</v>
      </c>
      <c r="AL76" s="1" t="s">
        <v>74</v>
      </c>
      <c r="AM76" s="1" t="s">
        <v>74</v>
      </c>
      <c r="AN76" s="1" t="s">
        <v>74</v>
      </c>
      <c r="AO76" s="1" t="s">
        <v>579</v>
      </c>
      <c r="AP76" s="1" t="s">
        <v>580</v>
      </c>
      <c r="AQ76" s="1" t="s">
        <v>74</v>
      </c>
      <c r="AR76" s="1" t="s">
        <v>74</v>
      </c>
      <c r="AS76" s="1" t="s">
        <v>74</v>
      </c>
      <c r="AT76" s="1" t="s">
        <v>581</v>
      </c>
      <c r="AU76" s="1">
        <v>2024</v>
      </c>
      <c r="AV76" s="1" t="s">
        <v>74</v>
      </c>
      <c r="AW76" s="1" t="s">
        <v>74</v>
      </c>
      <c r="AX76" s="1" t="s">
        <v>74</v>
      </c>
      <c r="AY76" s="1" t="s">
        <v>74</v>
      </c>
      <c r="AZ76" s="1" t="s">
        <v>74</v>
      </c>
      <c r="BA76" s="1" t="s">
        <v>74</v>
      </c>
      <c r="BB76" s="1" t="s">
        <v>74</v>
      </c>
      <c r="BC76" s="1" t="s">
        <v>74</v>
      </c>
      <c r="BD76" s="1" t="s">
        <v>74</v>
      </c>
      <c r="BE76" s="1" t="s">
        <v>582</v>
      </c>
      <c r="BF76" s="1" t="str">
        <f>HYPERLINK("http://dx.doi.org/10.1007/s10682-023-10285-x","http://dx.doi.org/10.1007/s10682-023-10285-x")</f>
        <v>http://dx.doi.org/10.1007/s10682-023-10285-x</v>
      </c>
      <c r="BG76" s="1" t="s">
        <v>74</v>
      </c>
      <c r="BH76" s="1" t="s">
        <v>583</v>
      </c>
      <c r="BI76" s="1" t="s">
        <v>74</v>
      </c>
      <c r="BJ76" s="1" t="s">
        <v>74</v>
      </c>
      <c r="BK76" s="1" t="s">
        <v>74</v>
      </c>
      <c r="BL76" s="1" t="s">
        <v>74</v>
      </c>
      <c r="BM76" s="1" t="s">
        <v>74</v>
      </c>
      <c r="BN76" s="1" t="s">
        <v>74</v>
      </c>
      <c r="BO76" s="1" t="s">
        <v>74</v>
      </c>
      <c r="BP76" s="1" t="s">
        <v>74</v>
      </c>
      <c r="BQ76" s="1" t="s">
        <v>74</v>
      </c>
      <c r="BR76" s="1" t="s">
        <v>74</v>
      </c>
      <c r="BS76" s="1" t="s">
        <v>584</v>
      </c>
      <c r="BT76" s="1" t="str">
        <f>HYPERLINK("https%3A%2F%2Fwww.webofscience.com%2Fwos%2Fwoscc%2Ffull-record%2FWOS:001150340400001","View Full Record in Web of Science")</f>
        <v>View Full Record in Web of Science</v>
      </c>
    </row>
    <row r="77" spans="1:314" s="2" customFormat="1" x14ac:dyDescent="0.4">
      <c r="A77" s="2" t="s">
        <v>72</v>
      </c>
      <c r="B77" s="2" t="s">
        <v>5902</v>
      </c>
      <c r="C77" s="2" t="s">
        <v>74</v>
      </c>
      <c r="D77" s="2" t="s">
        <v>74</v>
      </c>
      <c r="E77" s="2" t="s">
        <v>74</v>
      </c>
      <c r="F77" s="2" t="s">
        <v>5903</v>
      </c>
      <c r="G77" s="2" t="s">
        <v>74</v>
      </c>
      <c r="H77" s="2" t="s">
        <v>74</v>
      </c>
      <c r="I77" s="2" t="s">
        <v>8771</v>
      </c>
      <c r="J77" s="2" t="s">
        <v>775</v>
      </c>
      <c r="K77" s="2" t="s">
        <v>74</v>
      </c>
      <c r="L77" s="2" t="s">
        <v>74</v>
      </c>
      <c r="M77" s="2" t="s">
        <v>74</v>
      </c>
      <c r="N77" s="2" t="s">
        <v>74</v>
      </c>
      <c r="O77" s="2" t="s">
        <v>74</v>
      </c>
      <c r="P77" s="2" t="s">
        <v>74</v>
      </c>
      <c r="Q77" s="2" t="s">
        <v>74</v>
      </c>
      <c r="R77" s="2" t="s">
        <v>74</v>
      </c>
      <c r="S77" s="2" t="s">
        <v>74</v>
      </c>
      <c r="T77" s="2" t="s">
        <v>74</v>
      </c>
      <c r="U77" s="2" t="s">
        <v>74</v>
      </c>
      <c r="V77" s="5" t="s">
        <v>5905</v>
      </c>
      <c r="W77" s="2" t="s">
        <v>74</v>
      </c>
      <c r="X77" s="2" t="s">
        <v>74</v>
      </c>
      <c r="Y77" s="2" t="s">
        <v>74</v>
      </c>
      <c r="Z77" s="2" t="s">
        <v>74</v>
      </c>
      <c r="AA77" s="2" t="s">
        <v>5906</v>
      </c>
      <c r="AB77" s="2" t="s">
        <v>5907</v>
      </c>
      <c r="AC77" s="2" t="s">
        <v>74</v>
      </c>
      <c r="AD77" s="2" t="s">
        <v>74</v>
      </c>
      <c r="AE77" s="2" t="s">
        <v>74</v>
      </c>
      <c r="AF77" s="2" t="s">
        <v>74</v>
      </c>
      <c r="AG77" s="2" t="s">
        <v>74</v>
      </c>
      <c r="AH77" s="2" t="s">
        <v>74</v>
      </c>
      <c r="AI77" s="2" t="s">
        <v>74</v>
      </c>
      <c r="AJ77" s="2" t="s">
        <v>74</v>
      </c>
      <c r="AK77" s="2" t="s">
        <v>74</v>
      </c>
      <c r="AL77" s="2" t="s">
        <v>74</v>
      </c>
      <c r="AM77" s="2" t="s">
        <v>74</v>
      </c>
      <c r="AN77" s="2" t="s">
        <v>74</v>
      </c>
      <c r="AO77" s="2" t="s">
        <v>778</v>
      </c>
      <c r="AP77" s="2" t="s">
        <v>779</v>
      </c>
      <c r="AQ77" s="2" t="s">
        <v>74</v>
      </c>
      <c r="AR77" s="2" t="s">
        <v>74</v>
      </c>
      <c r="AS77" s="2" t="s">
        <v>74</v>
      </c>
      <c r="AT77" s="2" t="s">
        <v>2296</v>
      </c>
      <c r="AU77" s="2">
        <v>2024</v>
      </c>
      <c r="AV77" s="2">
        <v>70</v>
      </c>
      <c r="AW77" s="2">
        <v>1</v>
      </c>
      <c r="AX77" s="2" t="s">
        <v>74</v>
      </c>
      <c r="AY77" s="2" t="s">
        <v>74</v>
      </c>
      <c r="AZ77" s="2" t="s">
        <v>74</v>
      </c>
      <c r="BA77" s="2" t="s">
        <v>74</v>
      </c>
      <c r="BB77" s="2">
        <v>70</v>
      </c>
      <c r="BC77" s="2">
        <v>78</v>
      </c>
      <c r="BD77" s="2" t="s">
        <v>74</v>
      </c>
      <c r="BE77" s="2" t="s">
        <v>5908</v>
      </c>
      <c r="BF77" s="2" t="str">
        <f>HYPERLINK("http://dx.doi.org/10.1093/cz/zoac100","http://dx.doi.org/10.1093/cz/zoac100")</f>
        <v>http://dx.doi.org/10.1093/cz/zoac100</v>
      </c>
      <c r="BG77" s="2" t="s">
        <v>74</v>
      </c>
      <c r="BH77" s="2" t="s">
        <v>5909</v>
      </c>
      <c r="BI77" s="2" t="s">
        <v>74</v>
      </c>
      <c r="BJ77" s="2" t="s">
        <v>74</v>
      </c>
      <c r="BK77" s="2" t="s">
        <v>74</v>
      </c>
      <c r="BL77" s="2" t="s">
        <v>74</v>
      </c>
      <c r="BM77" s="2" t="s">
        <v>74</v>
      </c>
      <c r="BN77" s="2">
        <v>38476131</v>
      </c>
      <c r="BO77" s="2" t="s">
        <v>74</v>
      </c>
      <c r="BP77" s="2" t="s">
        <v>74</v>
      </c>
      <c r="BQ77" s="2" t="s">
        <v>74</v>
      </c>
      <c r="BR77" s="2" t="s">
        <v>74</v>
      </c>
      <c r="BS77" s="2" t="s">
        <v>5910</v>
      </c>
      <c r="BT77" s="2" t="str">
        <f>HYPERLINK("https%3A%2F%2Fwww.webofscience.com%2Fwos%2Fwoscc%2Ffull-record%2FWOS:000941795100001","View Full Record in Web of Science")</f>
        <v>View Full Record in Web of Science</v>
      </c>
    </row>
    <row r="78" spans="1:314" s="2" customFormat="1" x14ac:dyDescent="0.4">
      <c r="A78" s="2" t="s">
        <v>72</v>
      </c>
      <c r="B78" s="2" t="s">
        <v>7116</v>
      </c>
      <c r="C78" s="2" t="s">
        <v>74</v>
      </c>
      <c r="D78" s="2" t="s">
        <v>74</v>
      </c>
      <c r="E78" s="2" t="s">
        <v>74</v>
      </c>
      <c r="F78" s="2" t="s">
        <v>7117</v>
      </c>
      <c r="G78" s="2" t="s">
        <v>74</v>
      </c>
      <c r="H78" s="2" t="s">
        <v>74</v>
      </c>
      <c r="I78" s="2" t="s">
        <v>8772</v>
      </c>
      <c r="J78" s="2" t="s">
        <v>5577</v>
      </c>
      <c r="K78" s="2" t="s">
        <v>74</v>
      </c>
      <c r="L78" s="2" t="s">
        <v>74</v>
      </c>
      <c r="M78" s="2" t="s">
        <v>74</v>
      </c>
      <c r="N78" s="2" t="s">
        <v>74</v>
      </c>
      <c r="O78" s="2" t="s">
        <v>74</v>
      </c>
      <c r="P78" s="2" t="s">
        <v>74</v>
      </c>
      <c r="Q78" s="2" t="s">
        <v>74</v>
      </c>
      <c r="R78" s="2" t="s">
        <v>74</v>
      </c>
      <c r="S78" s="2" t="s">
        <v>74</v>
      </c>
      <c r="T78" s="2" t="s">
        <v>74</v>
      </c>
      <c r="U78" s="2" t="s">
        <v>74</v>
      </c>
      <c r="V78" s="5" t="s">
        <v>7119</v>
      </c>
      <c r="W78" s="2" t="s">
        <v>74</v>
      </c>
      <c r="X78" s="2" t="s">
        <v>74</v>
      </c>
      <c r="Y78" s="2" t="s">
        <v>74</v>
      </c>
      <c r="Z78" s="2" t="s">
        <v>74</v>
      </c>
      <c r="AA78" s="2" t="s">
        <v>74</v>
      </c>
      <c r="AB78" s="2" t="s">
        <v>74</v>
      </c>
      <c r="AC78" s="2" t="s">
        <v>74</v>
      </c>
      <c r="AD78" s="2" t="s">
        <v>74</v>
      </c>
      <c r="AE78" s="2" t="s">
        <v>74</v>
      </c>
      <c r="AF78" s="2" t="s">
        <v>74</v>
      </c>
      <c r="AG78" s="2" t="s">
        <v>74</v>
      </c>
      <c r="AH78" s="2" t="s">
        <v>74</v>
      </c>
      <c r="AI78" s="2" t="s">
        <v>74</v>
      </c>
      <c r="AJ78" s="2" t="s">
        <v>74</v>
      </c>
      <c r="AK78" s="2" t="s">
        <v>74</v>
      </c>
      <c r="AL78" s="2" t="s">
        <v>74</v>
      </c>
      <c r="AM78" s="2" t="s">
        <v>74</v>
      </c>
      <c r="AN78" s="2" t="s">
        <v>74</v>
      </c>
      <c r="AO78" s="2" t="s">
        <v>5579</v>
      </c>
      <c r="AP78" s="2" t="s">
        <v>74</v>
      </c>
      <c r="AQ78" s="2" t="s">
        <v>74</v>
      </c>
      <c r="AR78" s="2" t="s">
        <v>74</v>
      </c>
      <c r="AS78" s="2" t="s">
        <v>74</v>
      </c>
      <c r="AT78" s="2" t="s">
        <v>123</v>
      </c>
      <c r="AU78" s="2">
        <v>2022</v>
      </c>
      <c r="AV78" s="2">
        <v>101</v>
      </c>
      <c r="AW78" s="2">
        <v>3</v>
      </c>
      <c r="AX78" s="2" t="s">
        <v>74</v>
      </c>
      <c r="AY78" s="2" t="s">
        <v>74</v>
      </c>
      <c r="AZ78" s="2" t="s">
        <v>74</v>
      </c>
      <c r="BA78" s="2" t="s">
        <v>74</v>
      </c>
      <c r="BB78" s="2">
        <v>326</v>
      </c>
      <c r="BC78" s="2">
        <v>335</v>
      </c>
      <c r="BD78" s="2" t="s">
        <v>74</v>
      </c>
      <c r="BE78" s="2" t="s">
        <v>7120</v>
      </c>
      <c r="BF78" s="2" t="str">
        <f>HYPERLINK("http://dx.doi.org/10.31857/S0044513422010056","http://dx.doi.org/10.31857/S0044513422010056")</f>
        <v>http://dx.doi.org/10.31857/S0044513422010056</v>
      </c>
      <c r="BG78" s="2" t="s">
        <v>74</v>
      </c>
      <c r="BH78" s="2" t="s">
        <v>74</v>
      </c>
      <c r="BI78" s="2" t="s">
        <v>74</v>
      </c>
      <c r="BJ78" s="2" t="s">
        <v>74</v>
      </c>
      <c r="BK78" s="2" t="s">
        <v>74</v>
      </c>
      <c r="BL78" s="2" t="s">
        <v>74</v>
      </c>
      <c r="BM78" s="2" t="s">
        <v>74</v>
      </c>
      <c r="BN78" s="2" t="s">
        <v>74</v>
      </c>
      <c r="BO78" s="2" t="s">
        <v>74</v>
      </c>
      <c r="BP78" s="2" t="s">
        <v>74</v>
      </c>
      <c r="BQ78" s="2" t="s">
        <v>74</v>
      </c>
      <c r="BR78" s="2" t="s">
        <v>74</v>
      </c>
      <c r="BS78" s="2" t="s">
        <v>7121</v>
      </c>
      <c r="BT78" s="2" t="str">
        <f>HYPERLINK("https%3A%2F%2Fwww.webofscience.com%2Fwos%2Fwoscc%2Ffull-record%2FWOS:000851044400007","View Full Record in Web of Science")</f>
        <v>View Full Record in Web of Science</v>
      </c>
    </row>
    <row r="79" spans="1:314" s="1" customFormat="1" x14ac:dyDescent="0.4">
      <c r="A79" s="1" t="s">
        <v>72</v>
      </c>
      <c r="B79" s="1" t="s">
        <v>3892</v>
      </c>
      <c r="C79" s="1" t="s">
        <v>74</v>
      </c>
      <c r="D79" s="1" t="s">
        <v>74</v>
      </c>
      <c r="E79" s="1" t="s">
        <v>74</v>
      </c>
      <c r="F79" s="1" t="s">
        <v>3893</v>
      </c>
      <c r="G79" s="1" t="s">
        <v>74</v>
      </c>
      <c r="H79" s="1" t="s">
        <v>74</v>
      </c>
      <c r="I79" s="1" t="s">
        <v>3894</v>
      </c>
      <c r="J79" s="1" t="s">
        <v>140</v>
      </c>
      <c r="K79" s="1" t="s">
        <v>74</v>
      </c>
      <c r="L79" s="1" t="s">
        <v>74</v>
      </c>
      <c r="M79" s="1" t="s">
        <v>74</v>
      </c>
      <c r="N79" s="1" t="s">
        <v>74</v>
      </c>
      <c r="O79" s="1" t="s">
        <v>74</v>
      </c>
      <c r="P79" s="1" t="s">
        <v>74</v>
      </c>
      <c r="Q79" s="1" t="s">
        <v>74</v>
      </c>
      <c r="R79" s="1" t="s">
        <v>74</v>
      </c>
      <c r="S79" s="1" t="s">
        <v>74</v>
      </c>
      <c r="T79" s="1" t="s">
        <v>74</v>
      </c>
      <c r="U79" s="1" t="s">
        <v>74</v>
      </c>
      <c r="V79" s="4" t="s">
        <v>3895</v>
      </c>
      <c r="W79" s="1" t="s">
        <v>74</v>
      </c>
      <c r="X79" s="1" t="s">
        <v>74</v>
      </c>
      <c r="Y79" s="1" t="s">
        <v>74</v>
      </c>
      <c r="Z79" s="1" t="s">
        <v>74</v>
      </c>
      <c r="AA79" s="1" t="s">
        <v>3896</v>
      </c>
      <c r="AB79" s="1" t="s">
        <v>3897</v>
      </c>
      <c r="AC79" s="1" t="s">
        <v>74</v>
      </c>
      <c r="AD79" s="1" t="s">
        <v>74</v>
      </c>
      <c r="AE79" s="1" t="s">
        <v>74</v>
      </c>
      <c r="AF79" s="1" t="s">
        <v>74</v>
      </c>
      <c r="AG79" s="1" t="s">
        <v>74</v>
      </c>
      <c r="AH79" s="1" t="s">
        <v>74</v>
      </c>
      <c r="AI79" s="1" t="s">
        <v>74</v>
      </c>
      <c r="AJ79" s="1" t="s">
        <v>74</v>
      </c>
      <c r="AK79" s="1" t="s">
        <v>74</v>
      </c>
      <c r="AL79" s="1" t="s">
        <v>74</v>
      </c>
      <c r="AM79" s="1" t="s">
        <v>74</v>
      </c>
      <c r="AN79" s="1" t="s">
        <v>74</v>
      </c>
      <c r="AO79" s="1" t="s">
        <v>143</v>
      </c>
      <c r="AP79" s="1" t="s">
        <v>144</v>
      </c>
      <c r="AQ79" s="1" t="s">
        <v>74</v>
      </c>
      <c r="AR79" s="1" t="s">
        <v>74</v>
      </c>
      <c r="AS79" s="1" t="s">
        <v>74</v>
      </c>
      <c r="AT79" s="1" t="s">
        <v>305</v>
      </c>
      <c r="AU79" s="1">
        <v>2020</v>
      </c>
      <c r="AV79" s="1">
        <v>170</v>
      </c>
      <c r="AW79" s="1" t="s">
        <v>74</v>
      </c>
      <c r="AX79" s="1" t="s">
        <v>74</v>
      </c>
      <c r="AY79" s="1" t="s">
        <v>74</v>
      </c>
      <c r="AZ79" s="1" t="s">
        <v>74</v>
      </c>
      <c r="BA79" s="1" t="s">
        <v>74</v>
      </c>
      <c r="BB79" s="1">
        <v>167</v>
      </c>
      <c r="BC79" s="1">
        <v>176</v>
      </c>
      <c r="BD79" s="1" t="s">
        <v>74</v>
      </c>
      <c r="BE79" s="1" t="s">
        <v>3898</v>
      </c>
      <c r="BF79" s="1" t="str">
        <f>HYPERLINK("http://dx.doi.org/10.1016/j.anbehav.2020.10.014","http://dx.doi.org/10.1016/j.anbehav.2020.10.014")</f>
        <v>http://dx.doi.org/10.1016/j.anbehav.2020.10.014</v>
      </c>
      <c r="BG79" s="1" t="s">
        <v>74</v>
      </c>
      <c r="BH79" s="1" t="s">
        <v>74</v>
      </c>
      <c r="BI79" s="1" t="s">
        <v>74</v>
      </c>
      <c r="BJ79" s="1" t="s">
        <v>74</v>
      </c>
      <c r="BK79" s="1" t="s">
        <v>74</v>
      </c>
      <c r="BL79" s="1" t="s">
        <v>74</v>
      </c>
      <c r="BM79" s="1" t="s">
        <v>74</v>
      </c>
      <c r="BN79" s="1" t="s">
        <v>74</v>
      </c>
      <c r="BO79" s="1" t="s">
        <v>74</v>
      </c>
      <c r="BP79" s="1" t="s">
        <v>74</v>
      </c>
      <c r="BQ79" s="1" t="s">
        <v>74</v>
      </c>
      <c r="BR79" s="1" t="s">
        <v>74</v>
      </c>
      <c r="BS79" s="1" t="s">
        <v>3899</v>
      </c>
      <c r="BT79" s="1" t="str">
        <f>HYPERLINK("https%3A%2F%2Fwww.webofscience.com%2Fwos%2Fwoscc%2Ffull-record%2FWOS:000598905300016","View Full Record in Web of Science")</f>
        <v>View Full Record in Web of Science</v>
      </c>
    </row>
    <row r="80" spans="1:314" s="2" customFormat="1" x14ac:dyDescent="0.4">
      <c r="A80" s="2" t="s">
        <v>72</v>
      </c>
      <c r="B80" s="2" t="s">
        <v>8700</v>
      </c>
      <c r="C80" s="2" t="s">
        <v>74</v>
      </c>
      <c r="D80" s="2" t="s">
        <v>74</v>
      </c>
      <c r="E80" s="2" t="s">
        <v>74</v>
      </c>
      <c r="F80" s="2" t="s">
        <v>8701</v>
      </c>
      <c r="G80" s="2" t="s">
        <v>74</v>
      </c>
      <c r="H80" s="2" t="s">
        <v>74</v>
      </c>
      <c r="I80" s="2" t="s">
        <v>8773</v>
      </c>
      <c r="J80" s="2" t="s">
        <v>610</v>
      </c>
      <c r="K80" s="2" t="s">
        <v>74</v>
      </c>
      <c r="L80" s="2" t="s">
        <v>74</v>
      </c>
      <c r="M80" s="2" t="s">
        <v>74</v>
      </c>
      <c r="N80" s="2" t="s">
        <v>74</v>
      </c>
      <c r="O80" s="2" t="s">
        <v>74</v>
      </c>
      <c r="P80" s="2" t="s">
        <v>74</v>
      </c>
      <c r="Q80" s="2" t="s">
        <v>74</v>
      </c>
      <c r="R80" s="2" t="s">
        <v>74</v>
      </c>
      <c r="S80" s="2" t="s">
        <v>74</v>
      </c>
      <c r="T80" s="2" t="s">
        <v>74</v>
      </c>
      <c r="U80" s="2" t="s">
        <v>74</v>
      </c>
      <c r="V80" s="5" t="s">
        <v>8703</v>
      </c>
      <c r="W80" s="2" t="s">
        <v>74</v>
      </c>
      <c r="X80" s="2" t="s">
        <v>74</v>
      </c>
      <c r="Y80" s="2" t="s">
        <v>74</v>
      </c>
      <c r="Z80" s="2" t="s">
        <v>74</v>
      </c>
      <c r="AA80" s="2" t="s">
        <v>74</v>
      </c>
      <c r="AB80" s="2" t="s">
        <v>74</v>
      </c>
      <c r="AC80" s="2" t="s">
        <v>74</v>
      </c>
      <c r="AD80" s="2" t="s">
        <v>74</v>
      </c>
      <c r="AE80" s="2" t="s">
        <v>74</v>
      </c>
      <c r="AF80" s="2" t="s">
        <v>74</v>
      </c>
      <c r="AG80" s="2" t="s">
        <v>74</v>
      </c>
      <c r="AH80" s="2" t="s">
        <v>74</v>
      </c>
      <c r="AI80" s="2" t="s">
        <v>74</v>
      </c>
      <c r="AJ80" s="2" t="s">
        <v>74</v>
      </c>
      <c r="AK80" s="2" t="s">
        <v>74</v>
      </c>
      <c r="AL80" s="2" t="s">
        <v>74</v>
      </c>
      <c r="AM80" s="2" t="s">
        <v>74</v>
      </c>
      <c r="AN80" s="2" t="s">
        <v>74</v>
      </c>
      <c r="AO80" s="2" t="s">
        <v>614</v>
      </c>
      <c r="AP80" s="2" t="s">
        <v>615</v>
      </c>
      <c r="AQ80" s="2" t="s">
        <v>74</v>
      </c>
      <c r="AR80" s="2" t="s">
        <v>74</v>
      </c>
      <c r="AS80" s="2" t="s">
        <v>74</v>
      </c>
      <c r="AT80" s="2" t="s">
        <v>255</v>
      </c>
      <c r="AU80" s="2">
        <v>2024</v>
      </c>
      <c r="AV80" s="2">
        <v>130</v>
      </c>
      <c r="AW80" s="2">
        <v>1</v>
      </c>
      <c r="AX80" s="2" t="s">
        <v>74</v>
      </c>
      <c r="AY80" s="2" t="s">
        <v>74</v>
      </c>
      <c r="AZ80" s="2" t="s">
        <v>74</v>
      </c>
      <c r="BA80" s="2" t="s">
        <v>74</v>
      </c>
      <c r="BB80" s="2" t="s">
        <v>74</v>
      </c>
      <c r="BC80" s="2" t="s">
        <v>74</v>
      </c>
      <c r="BD80" s="2" t="s">
        <v>74</v>
      </c>
      <c r="BE80" s="2" t="s">
        <v>8704</v>
      </c>
      <c r="BF80" s="2" t="str">
        <f>HYPERLINK("http://dx.doi.org/10.1111/eth.13410","http://dx.doi.org/10.1111/eth.13410")</f>
        <v>http://dx.doi.org/10.1111/eth.13410</v>
      </c>
      <c r="BG80" s="2" t="s">
        <v>74</v>
      </c>
      <c r="BH80" s="2" t="s">
        <v>902</v>
      </c>
      <c r="BI80" s="2" t="s">
        <v>74</v>
      </c>
      <c r="BJ80" s="2" t="s">
        <v>74</v>
      </c>
      <c r="BK80" s="2" t="s">
        <v>74</v>
      </c>
      <c r="BL80" s="2" t="s">
        <v>74</v>
      </c>
      <c r="BM80" s="2" t="s">
        <v>74</v>
      </c>
      <c r="BN80" s="2" t="s">
        <v>74</v>
      </c>
      <c r="BO80" s="2" t="s">
        <v>74</v>
      </c>
      <c r="BP80" s="2" t="s">
        <v>74</v>
      </c>
      <c r="BQ80" s="2" t="s">
        <v>74</v>
      </c>
      <c r="BR80" s="2" t="s">
        <v>74</v>
      </c>
      <c r="BS80" s="2" t="s">
        <v>8705</v>
      </c>
      <c r="BT80" s="2" t="str">
        <f>HYPERLINK("https%3A%2F%2Fwww.webofscience.com%2Fwos%2Fwoscc%2Ffull-record%2FWOS:001084830100001","View Full Record in Web of Science")</f>
        <v>View Full Record in Web of Science</v>
      </c>
    </row>
    <row r="81" spans="1:72" s="2" customFormat="1" x14ac:dyDescent="0.4">
      <c r="A81" s="2" t="s">
        <v>72</v>
      </c>
      <c r="B81" s="2" t="s">
        <v>2108</v>
      </c>
      <c r="C81" s="2" t="s">
        <v>74</v>
      </c>
      <c r="D81" s="2" t="s">
        <v>74</v>
      </c>
      <c r="E81" s="2" t="s">
        <v>74</v>
      </c>
      <c r="F81" s="2" t="s">
        <v>2108</v>
      </c>
      <c r="G81" s="2" t="s">
        <v>74</v>
      </c>
      <c r="H81" s="2" t="s">
        <v>74</v>
      </c>
      <c r="I81" s="2" t="s">
        <v>8774</v>
      </c>
      <c r="J81" s="2" t="s">
        <v>2110</v>
      </c>
      <c r="K81" s="2" t="s">
        <v>74</v>
      </c>
      <c r="L81" s="2" t="s">
        <v>74</v>
      </c>
      <c r="M81" s="2" t="s">
        <v>74</v>
      </c>
      <c r="N81" s="2" t="s">
        <v>74</v>
      </c>
      <c r="O81" s="2" t="s">
        <v>74</v>
      </c>
      <c r="P81" s="2" t="s">
        <v>74</v>
      </c>
      <c r="Q81" s="2" t="s">
        <v>74</v>
      </c>
      <c r="R81" s="2" t="s">
        <v>74</v>
      </c>
      <c r="S81" s="2" t="s">
        <v>74</v>
      </c>
      <c r="T81" s="2" t="s">
        <v>74</v>
      </c>
      <c r="U81" s="2" t="s">
        <v>74</v>
      </c>
      <c r="V81" s="5" t="s">
        <v>2111</v>
      </c>
      <c r="W81" s="2" t="s">
        <v>74</v>
      </c>
      <c r="X81" s="2" t="s">
        <v>74</v>
      </c>
      <c r="Y81" s="2" t="s">
        <v>74</v>
      </c>
      <c r="Z81" s="2" t="s">
        <v>74</v>
      </c>
      <c r="AA81" s="2" t="s">
        <v>74</v>
      </c>
      <c r="AB81" s="2" t="s">
        <v>74</v>
      </c>
      <c r="AC81" s="2" t="s">
        <v>74</v>
      </c>
      <c r="AD81" s="2" t="s">
        <v>74</v>
      </c>
      <c r="AE81" s="2" t="s">
        <v>74</v>
      </c>
      <c r="AF81" s="2" t="s">
        <v>74</v>
      </c>
      <c r="AG81" s="2" t="s">
        <v>74</v>
      </c>
      <c r="AH81" s="2" t="s">
        <v>74</v>
      </c>
      <c r="AI81" s="2" t="s">
        <v>74</v>
      </c>
      <c r="AJ81" s="2" t="s">
        <v>74</v>
      </c>
      <c r="AK81" s="2" t="s">
        <v>74</v>
      </c>
      <c r="AL81" s="2" t="s">
        <v>74</v>
      </c>
      <c r="AM81" s="2" t="s">
        <v>74</v>
      </c>
      <c r="AN81" s="2" t="s">
        <v>74</v>
      </c>
      <c r="AO81" s="2" t="s">
        <v>2112</v>
      </c>
      <c r="AP81" s="2" t="s">
        <v>74</v>
      </c>
      <c r="AQ81" s="2" t="s">
        <v>74</v>
      </c>
      <c r="AR81" s="2" t="s">
        <v>74</v>
      </c>
      <c r="AS81" s="2" t="s">
        <v>74</v>
      </c>
      <c r="AT81" s="2" t="s">
        <v>74</v>
      </c>
      <c r="AU81" s="2">
        <v>1978</v>
      </c>
      <c r="AV81" s="2">
        <v>46</v>
      </c>
      <c r="AW81" s="2">
        <v>1</v>
      </c>
      <c r="AX81" s="2" t="s">
        <v>74</v>
      </c>
      <c r="AY81" s="2" t="s">
        <v>74</v>
      </c>
      <c r="AZ81" s="2" t="s">
        <v>74</v>
      </c>
      <c r="BA81" s="2" t="s">
        <v>74</v>
      </c>
      <c r="BB81" s="2">
        <v>43</v>
      </c>
      <c r="BC81" s="2">
        <v>57</v>
      </c>
      <c r="BD81" s="2" t="s">
        <v>74</v>
      </c>
      <c r="BE81" s="2" t="s">
        <v>74</v>
      </c>
      <c r="BF81" s="2" t="s">
        <v>74</v>
      </c>
      <c r="BG81" s="2" t="s">
        <v>74</v>
      </c>
      <c r="BH81" s="2" t="s">
        <v>74</v>
      </c>
      <c r="BI81" s="2" t="s">
        <v>74</v>
      </c>
      <c r="BJ81" s="2" t="s">
        <v>74</v>
      </c>
      <c r="BK81" s="2" t="s">
        <v>74</v>
      </c>
      <c r="BL81" s="2" t="s">
        <v>74</v>
      </c>
      <c r="BM81" s="2" t="s">
        <v>74</v>
      </c>
      <c r="BN81" s="2">
        <v>566001</v>
      </c>
      <c r="BO81" s="2" t="s">
        <v>74</v>
      </c>
      <c r="BP81" s="2" t="s">
        <v>74</v>
      </c>
      <c r="BQ81" s="2" t="s">
        <v>74</v>
      </c>
      <c r="BR81" s="2" t="s">
        <v>74</v>
      </c>
      <c r="BS81" s="2" t="s">
        <v>2113</v>
      </c>
      <c r="BT81" s="2" t="str">
        <f>HYPERLINK("https%3A%2F%2Fwww.webofscience.com%2Fwos%2Fwoscc%2Ffull-record%2FWOS:A1978ES06300004","View Full Record in Web of Science")</f>
        <v>View Full Record in Web of Science</v>
      </c>
    </row>
    <row r="82" spans="1:72" s="2" customFormat="1" x14ac:dyDescent="0.4">
      <c r="A82" s="2" t="s">
        <v>72</v>
      </c>
      <c r="B82" s="2" t="s">
        <v>3431</v>
      </c>
      <c r="C82" s="2" t="s">
        <v>74</v>
      </c>
      <c r="D82" s="2" t="s">
        <v>74</v>
      </c>
      <c r="E82" s="2" t="s">
        <v>74</v>
      </c>
      <c r="F82" s="2" t="s">
        <v>3432</v>
      </c>
      <c r="G82" s="2" t="s">
        <v>74</v>
      </c>
      <c r="H82" s="2" t="s">
        <v>74</v>
      </c>
      <c r="I82" s="2" t="s">
        <v>3433</v>
      </c>
      <c r="J82" s="2" t="s">
        <v>610</v>
      </c>
      <c r="K82" s="2" t="s">
        <v>74</v>
      </c>
      <c r="L82" s="2" t="s">
        <v>74</v>
      </c>
      <c r="M82" s="2" t="s">
        <v>74</v>
      </c>
      <c r="N82" s="2" t="s">
        <v>74</v>
      </c>
      <c r="O82" s="2" t="s">
        <v>74</v>
      </c>
      <c r="P82" s="2" t="s">
        <v>74</v>
      </c>
      <c r="Q82" s="2" t="s">
        <v>74</v>
      </c>
      <c r="R82" s="2" t="s">
        <v>74</v>
      </c>
      <c r="S82" s="2" t="s">
        <v>74</v>
      </c>
      <c r="T82" s="2" t="s">
        <v>74</v>
      </c>
      <c r="U82" s="2" t="s">
        <v>74</v>
      </c>
      <c r="V82" s="5" t="s">
        <v>3434</v>
      </c>
      <c r="W82" s="2" t="s">
        <v>74</v>
      </c>
      <c r="X82" s="2" t="s">
        <v>74</v>
      </c>
      <c r="Y82" s="2" t="s">
        <v>74</v>
      </c>
      <c r="Z82" s="2" t="s">
        <v>74</v>
      </c>
      <c r="AA82" s="2" t="s">
        <v>3435</v>
      </c>
      <c r="AB82" s="2" t="s">
        <v>3436</v>
      </c>
      <c r="AC82" s="2" t="s">
        <v>74</v>
      </c>
      <c r="AD82" s="2" t="s">
        <v>74</v>
      </c>
      <c r="AE82" s="2" t="s">
        <v>74</v>
      </c>
      <c r="AF82" s="2" t="s">
        <v>74</v>
      </c>
      <c r="AG82" s="2" t="s">
        <v>74</v>
      </c>
      <c r="AH82" s="2" t="s">
        <v>74</v>
      </c>
      <c r="AI82" s="2" t="s">
        <v>74</v>
      </c>
      <c r="AJ82" s="2" t="s">
        <v>74</v>
      </c>
      <c r="AK82" s="2" t="s">
        <v>74</v>
      </c>
      <c r="AL82" s="2" t="s">
        <v>74</v>
      </c>
      <c r="AM82" s="2" t="s">
        <v>74</v>
      </c>
      <c r="AN82" s="2" t="s">
        <v>74</v>
      </c>
      <c r="AO82" s="2" t="s">
        <v>614</v>
      </c>
      <c r="AP82" s="2" t="s">
        <v>615</v>
      </c>
      <c r="AQ82" s="2" t="s">
        <v>74</v>
      </c>
      <c r="AR82" s="2" t="s">
        <v>74</v>
      </c>
      <c r="AS82" s="2" t="s">
        <v>74</v>
      </c>
      <c r="AT82" s="2" t="s">
        <v>305</v>
      </c>
      <c r="AU82" s="2">
        <v>2021</v>
      </c>
      <c r="AV82" s="2">
        <v>127</v>
      </c>
      <c r="AW82" s="2">
        <v>12</v>
      </c>
      <c r="AX82" s="2" t="s">
        <v>74</v>
      </c>
      <c r="AY82" s="2" t="s">
        <v>74</v>
      </c>
      <c r="AZ82" s="2" t="s">
        <v>74</v>
      </c>
      <c r="BA82" s="2" t="s">
        <v>74</v>
      </c>
      <c r="BB82" s="2">
        <v>1053</v>
      </c>
      <c r="BC82" s="2">
        <v>1063</v>
      </c>
      <c r="BD82" s="2" t="s">
        <v>74</v>
      </c>
      <c r="BE82" s="2" t="s">
        <v>3437</v>
      </c>
      <c r="BF82" s="2" t="str">
        <f>HYPERLINK("http://dx.doi.org/10.1111/eth.13228","http://dx.doi.org/10.1111/eth.13228")</f>
        <v>http://dx.doi.org/10.1111/eth.13228</v>
      </c>
      <c r="BG82" s="2" t="s">
        <v>74</v>
      </c>
      <c r="BH82" s="2" t="s">
        <v>675</v>
      </c>
      <c r="BI82" s="2" t="s">
        <v>74</v>
      </c>
      <c r="BJ82" s="2" t="s">
        <v>74</v>
      </c>
      <c r="BK82" s="2" t="s">
        <v>74</v>
      </c>
      <c r="BL82" s="2" t="s">
        <v>74</v>
      </c>
      <c r="BM82" s="2" t="s">
        <v>74</v>
      </c>
      <c r="BN82" s="2" t="s">
        <v>74</v>
      </c>
      <c r="BO82" s="2" t="s">
        <v>74</v>
      </c>
      <c r="BP82" s="2" t="s">
        <v>74</v>
      </c>
      <c r="BQ82" s="2" t="s">
        <v>74</v>
      </c>
      <c r="BR82" s="2" t="s">
        <v>74</v>
      </c>
      <c r="BS82" s="2" t="s">
        <v>3438</v>
      </c>
      <c r="BT82" s="2" t="str">
        <f>HYPERLINK("https%3A%2F%2Fwww.webofscience.com%2Fwos%2Fwoscc%2Ffull-record%2FWOS:000692844500001","View Full Record in Web of Science")</f>
        <v>View Full Record in Web of Science</v>
      </c>
    </row>
    <row r="83" spans="1:72" s="2" customFormat="1" x14ac:dyDescent="0.4">
      <c r="A83" s="2" t="s">
        <v>72</v>
      </c>
      <c r="B83" s="2" t="s">
        <v>6520</v>
      </c>
      <c r="C83" s="2" t="s">
        <v>74</v>
      </c>
      <c r="D83" s="2" t="s">
        <v>74</v>
      </c>
      <c r="E83" s="2" t="s">
        <v>74</v>
      </c>
      <c r="F83" s="2" t="s">
        <v>6521</v>
      </c>
      <c r="G83" s="2" t="s">
        <v>74</v>
      </c>
      <c r="H83" s="2" t="s">
        <v>74</v>
      </c>
      <c r="I83" s="2" t="s">
        <v>6522</v>
      </c>
      <c r="J83" s="2" t="s">
        <v>129</v>
      </c>
      <c r="K83" s="2" t="s">
        <v>74</v>
      </c>
      <c r="L83" s="2" t="s">
        <v>74</v>
      </c>
      <c r="M83" s="2" t="s">
        <v>74</v>
      </c>
      <c r="N83" s="2" t="s">
        <v>74</v>
      </c>
      <c r="O83" s="2" t="s">
        <v>74</v>
      </c>
      <c r="P83" s="2" t="s">
        <v>74</v>
      </c>
      <c r="Q83" s="2" t="s">
        <v>74</v>
      </c>
      <c r="R83" s="2" t="s">
        <v>74</v>
      </c>
      <c r="S83" s="2" t="s">
        <v>74</v>
      </c>
      <c r="T83" s="2" t="s">
        <v>74</v>
      </c>
      <c r="U83" s="2" t="s">
        <v>74</v>
      </c>
      <c r="V83" s="5" t="s">
        <v>6523</v>
      </c>
      <c r="W83" s="2" t="s">
        <v>74</v>
      </c>
      <c r="X83" s="2" t="s">
        <v>74</v>
      </c>
      <c r="Y83" s="2" t="s">
        <v>74</v>
      </c>
      <c r="Z83" s="2" t="s">
        <v>74</v>
      </c>
      <c r="AA83" s="2" t="s">
        <v>6524</v>
      </c>
      <c r="AB83" s="2" t="s">
        <v>6525</v>
      </c>
      <c r="AC83" s="2" t="s">
        <v>74</v>
      </c>
      <c r="AD83" s="2" t="s">
        <v>74</v>
      </c>
      <c r="AE83" s="2" t="s">
        <v>74</v>
      </c>
      <c r="AF83" s="2" t="s">
        <v>74</v>
      </c>
      <c r="AG83" s="2" t="s">
        <v>74</v>
      </c>
      <c r="AH83" s="2" t="s">
        <v>74</v>
      </c>
      <c r="AI83" s="2" t="s">
        <v>74</v>
      </c>
      <c r="AJ83" s="2" t="s">
        <v>74</v>
      </c>
      <c r="AK83" s="2" t="s">
        <v>74</v>
      </c>
      <c r="AL83" s="2" t="s">
        <v>74</v>
      </c>
      <c r="AM83" s="2" t="s">
        <v>74</v>
      </c>
      <c r="AN83" s="2" t="s">
        <v>74</v>
      </c>
      <c r="AO83" s="2" t="s">
        <v>132</v>
      </c>
      <c r="AP83" s="2" t="s">
        <v>133</v>
      </c>
      <c r="AQ83" s="2" t="s">
        <v>74</v>
      </c>
      <c r="AR83" s="2" t="s">
        <v>74</v>
      </c>
      <c r="AS83" s="2" t="s">
        <v>74</v>
      </c>
      <c r="AT83" s="2" t="s">
        <v>6526</v>
      </c>
      <c r="AU83" s="2">
        <v>2020</v>
      </c>
      <c r="AV83" s="2">
        <v>74</v>
      </c>
      <c r="AW83" s="2">
        <v>11</v>
      </c>
      <c r="AX83" s="2" t="s">
        <v>74</v>
      </c>
      <c r="AY83" s="2" t="s">
        <v>74</v>
      </c>
      <c r="AZ83" s="2" t="s">
        <v>74</v>
      </c>
      <c r="BA83" s="2" t="s">
        <v>74</v>
      </c>
      <c r="BB83" s="2" t="s">
        <v>74</v>
      </c>
      <c r="BC83" s="2" t="s">
        <v>74</v>
      </c>
      <c r="BD83" s="2">
        <v>137</v>
      </c>
      <c r="BE83" s="2" t="s">
        <v>6527</v>
      </c>
      <c r="BF83" s="2" t="str">
        <f>HYPERLINK("http://dx.doi.org/10.1007/s00265-020-02920-2","http://dx.doi.org/10.1007/s00265-020-02920-2")</f>
        <v>http://dx.doi.org/10.1007/s00265-020-02920-2</v>
      </c>
      <c r="BG83" s="2" t="s">
        <v>74</v>
      </c>
      <c r="BH83" s="2" t="s">
        <v>74</v>
      </c>
      <c r="BI83" s="2" t="s">
        <v>74</v>
      </c>
      <c r="BJ83" s="2" t="s">
        <v>74</v>
      </c>
      <c r="BK83" s="2" t="s">
        <v>74</v>
      </c>
      <c r="BL83" s="2" t="s">
        <v>74</v>
      </c>
      <c r="BM83" s="2" t="s">
        <v>74</v>
      </c>
      <c r="BN83" s="2" t="s">
        <v>74</v>
      </c>
      <c r="BO83" s="2" t="s">
        <v>74</v>
      </c>
      <c r="BP83" s="2" t="s">
        <v>74</v>
      </c>
      <c r="BQ83" s="2" t="s">
        <v>74</v>
      </c>
      <c r="BR83" s="2" t="s">
        <v>74</v>
      </c>
      <c r="BS83" s="2" t="s">
        <v>6528</v>
      </c>
      <c r="BT83" s="2" t="str">
        <f>HYPERLINK("https%3A%2F%2Fwww.webofscience.com%2Fwos%2Fwoscc%2Ffull-record%2FWOS:000588357200001","View Full Record in Web of Science")</f>
        <v>View Full Record in Web of Science</v>
      </c>
    </row>
    <row r="84" spans="1:72" s="2" customFormat="1" x14ac:dyDescent="0.4">
      <c r="A84" s="2" t="s">
        <v>72</v>
      </c>
      <c r="B84" s="2" t="s">
        <v>1443</v>
      </c>
      <c r="C84" s="2" t="s">
        <v>74</v>
      </c>
      <c r="D84" s="2" t="s">
        <v>74</v>
      </c>
      <c r="E84" s="2" t="s">
        <v>74</v>
      </c>
      <c r="F84" s="2" t="s">
        <v>1444</v>
      </c>
      <c r="G84" s="2" t="s">
        <v>74</v>
      </c>
      <c r="H84" s="2" t="s">
        <v>74</v>
      </c>
      <c r="I84" s="2" t="s">
        <v>1445</v>
      </c>
      <c r="J84" s="2" t="s">
        <v>1446</v>
      </c>
      <c r="K84" s="2" t="s">
        <v>74</v>
      </c>
      <c r="L84" s="2" t="s">
        <v>74</v>
      </c>
      <c r="M84" s="2" t="s">
        <v>74</v>
      </c>
      <c r="N84" s="2" t="s">
        <v>74</v>
      </c>
      <c r="O84" s="2" t="s">
        <v>74</v>
      </c>
      <c r="P84" s="2" t="s">
        <v>74</v>
      </c>
      <c r="Q84" s="2" t="s">
        <v>74</v>
      </c>
      <c r="R84" s="2" t="s">
        <v>74</v>
      </c>
      <c r="S84" s="2" t="s">
        <v>74</v>
      </c>
      <c r="T84" s="2" t="s">
        <v>74</v>
      </c>
      <c r="U84" s="2" t="s">
        <v>74</v>
      </c>
      <c r="V84" s="5" t="s">
        <v>1447</v>
      </c>
      <c r="W84" s="2" t="s">
        <v>74</v>
      </c>
      <c r="X84" s="2" t="s">
        <v>74</v>
      </c>
      <c r="Y84" s="2" t="s">
        <v>74</v>
      </c>
      <c r="Z84" s="2" t="s">
        <v>74</v>
      </c>
      <c r="AA84" s="2" t="s">
        <v>74</v>
      </c>
      <c r="AB84" s="2" t="s">
        <v>1448</v>
      </c>
      <c r="AC84" s="2" t="s">
        <v>74</v>
      </c>
      <c r="AD84" s="2" t="s">
        <v>74</v>
      </c>
      <c r="AE84" s="2" t="s">
        <v>74</v>
      </c>
      <c r="AF84" s="2" t="s">
        <v>74</v>
      </c>
      <c r="AG84" s="2" t="s">
        <v>74</v>
      </c>
      <c r="AH84" s="2" t="s">
        <v>74</v>
      </c>
      <c r="AI84" s="2" t="s">
        <v>74</v>
      </c>
      <c r="AJ84" s="2" t="s">
        <v>74</v>
      </c>
      <c r="AK84" s="2" t="s">
        <v>74</v>
      </c>
      <c r="AL84" s="2" t="s">
        <v>74</v>
      </c>
      <c r="AM84" s="2" t="s">
        <v>74</v>
      </c>
      <c r="AN84" s="2" t="s">
        <v>74</v>
      </c>
      <c r="AO84" s="2" t="s">
        <v>74</v>
      </c>
      <c r="AP84" s="2" t="s">
        <v>1449</v>
      </c>
      <c r="AQ84" s="2" t="s">
        <v>74</v>
      </c>
      <c r="AR84" s="2" t="s">
        <v>74</v>
      </c>
      <c r="AS84" s="2" t="s">
        <v>74</v>
      </c>
      <c r="AT84" s="2" t="s">
        <v>361</v>
      </c>
      <c r="AU84" s="2">
        <v>2021</v>
      </c>
      <c r="AV84" s="2">
        <v>6</v>
      </c>
      <c r="AW84" s="2">
        <v>1</v>
      </c>
      <c r="AX84" s="2" t="s">
        <v>74</v>
      </c>
      <c r="AY84" s="2" t="s">
        <v>74</v>
      </c>
      <c r="AZ84" s="2" t="s">
        <v>74</v>
      </c>
      <c r="BA84" s="2" t="s">
        <v>74</v>
      </c>
      <c r="BB84" s="2" t="s">
        <v>74</v>
      </c>
      <c r="BC84" s="2" t="s">
        <v>74</v>
      </c>
      <c r="BD84" s="2">
        <v>9</v>
      </c>
      <c r="BE84" s="2" t="s">
        <v>1450</v>
      </c>
      <c r="BF84" s="2" t="str">
        <f>HYPERLINK("http://dx.doi.org/10.1186/s40850-021-00075-9","http://dx.doi.org/10.1186/s40850-021-00075-9")</f>
        <v>http://dx.doi.org/10.1186/s40850-021-00075-9</v>
      </c>
      <c r="BG84" s="2" t="s">
        <v>74</v>
      </c>
      <c r="BH84" s="2" t="s">
        <v>74</v>
      </c>
      <c r="BI84" s="2" t="s">
        <v>74</v>
      </c>
      <c r="BJ84" s="2" t="s">
        <v>74</v>
      </c>
      <c r="BK84" s="2" t="s">
        <v>74</v>
      </c>
      <c r="BL84" s="2" t="s">
        <v>74</v>
      </c>
      <c r="BM84" s="2" t="s">
        <v>74</v>
      </c>
      <c r="BN84" s="2">
        <v>37170176</v>
      </c>
      <c r="BO84" s="2" t="s">
        <v>74</v>
      </c>
      <c r="BP84" s="2" t="s">
        <v>74</v>
      </c>
      <c r="BQ84" s="2" t="s">
        <v>74</v>
      </c>
      <c r="BR84" s="2" t="s">
        <v>74</v>
      </c>
      <c r="BS84" s="2" t="s">
        <v>1451</v>
      </c>
      <c r="BT84" s="2" t="str">
        <f>HYPERLINK("https%3A%2F%2Fwww.webofscience.com%2Fwos%2Fwoscc%2Ffull-record%2FWOS:000646554600001","View Full Record in Web of Science")</f>
        <v>View Full Record in Web of Science</v>
      </c>
    </row>
    <row r="85" spans="1:72" s="1" customFormat="1" x14ac:dyDescent="0.4">
      <c r="A85" s="1" t="s">
        <v>72</v>
      </c>
      <c r="B85" s="1" t="s">
        <v>6889</v>
      </c>
      <c r="C85" s="1" t="s">
        <v>74</v>
      </c>
      <c r="D85" s="1" t="s">
        <v>74</v>
      </c>
      <c r="E85" s="1" t="s">
        <v>74</v>
      </c>
      <c r="F85" s="1" t="s">
        <v>6890</v>
      </c>
      <c r="G85" s="1" t="s">
        <v>74</v>
      </c>
      <c r="H85" s="1" t="s">
        <v>74</v>
      </c>
      <c r="I85" s="1" t="s">
        <v>6891</v>
      </c>
      <c r="J85" s="1" t="s">
        <v>129</v>
      </c>
      <c r="K85" s="1" t="s">
        <v>74</v>
      </c>
      <c r="L85" s="1" t="s">
        <v>74</v>
      </c>
      <c r="M85" s="1" t="s">
        <v>74</v>
      </c>
      <c r="N85" s="1" t="s">
        <v>74</v>
      </c>
      <c r="O85" s="1" t="s">
        <v>74</v>
      </c>
      <c r="P85" s="1" t="s">
        <v>74</v>
      </c>
      <c r="Q85" s="1" t="s">
        <v>74</v>
      </c>
      <c r="R85" s="1" t="s">
        <v>74</v>
      </c>
      <c r="S85" s="1" t="s">
        <v>74</v>
      </c>
      <c r="T85" s="1" t="s">
        <v>74</v>
      </c>
      <c r="U85" s="1" t="s">
        <v>74</v>
      </c>
      <c r="V85" s="4" t="s">
        <v>6892</v>
      </c>
      <c r="W85" s="1" t="s">
        <v>74</v>
      </c>
      <c r="X85" s="1" t="s">
        <v>74</v>
      </c>
      <c r="Y85" s="1" t="s">
        <v>74</v>
      </c>
      <c r="Z85" s="1" t="s">
        <v>74</v>
      </c>
      <c r="AA85" s="1" t="s">
        <v>6893</v>
      </c>
      <c r="AB85" s="1" t="s">
        <v>6894</v>
      </c>
      <c r="AC85" s="1" t="s">
        <v>74</v>
      </c>
      <c r="AD85" s="1" t="s">
        <v>74</v>
      </c>
      <c r="AE85" s="1" t="s">
        <v>74</v>
      </c>
      <c r="AF85" s="1" t="s">
        <v>74</v>
      </c>
      <c r="AG85" s="1" t="s">
        <v>74</v>
      </c>
      <c r="AH85" s="1" t="s">
        <v>74</v>
      </c>
      <c r="AI85" s="1" t="s">
        <v>74</v>
      </c>
      <c r="AJ85" s="1" t="s">
        <v>74</v>
      </c>
      <c r="AK85" s="1" t="s">
        <v>74</v>
      </c>
      <c r="AL85" s="1" t="s">
        <v>74</v>
      </c>
      <c r="AM85" s="1" t="s">
        <v>74</v>
      </c>
      <c r="AN85" s="1" t="s">
        <v>74</v>
      </c>
      <c r="AO85" s="1" t="s">
        <v>132</v>
      </c>
      <c r="AP85" s="1" t="s">
        <v>133</v>
      </c>
      <c r="AQ85" s="1" t="s">
        <v>74</v>
      </c>
      <c r="AR85" s="1" t="s">
        <v>74</v>
      </c>
      <c r="AS85" s="1" t="s">
        <v>74</v>
      </c>
      <c r="AT85" s="1" t="s">
        <v>633</v>
      </c>
      <c r="AU85" s="1">
        <v>2008</v>
      </c>
      <c r="AV85" s="1">
        <v>62</v>
      </c>
      <c r="AW85" s="1">
        <v>8</v>
      </c>
      <c r="AX85" s="1" t="s">
        <v>74</v>
      </c>
      <c r="AY85" s="1" t="s">
        <v>74</v>
      </c>
      <c r="AZ85" s="1" t="s">
        <v>74</v>
      </c>
      <c r="BA85" s="1" t="s">
        <v>74</v>
      </c>
      <c r="BB85" s="1">
        <v>1277</v>
      </c>
      <c r="BC85" s="1">
        <v>1288</v>
      </c>
      <c r="BD85" s="1" t="s">
        <v>74</v>
      </c>
      <c r="BE85" s="1" t="s">
        <v>6895</v>
      </c>
      <c r="BF85" s="1" t="str">
        <f>HYPERLINK("http://dx.doi.org/10.1007/s00265-008-0556-x","http://dx.doi.org/10.1007/s00265-008-0556-x")</f>
        <v>http://dx.doi.org/10.1007/s00265-008-0556-x</v>
      </c>
      <c r="BG85" s="1" t="s">
        <v>74</v>
      </c>
      <c r="BH85" s="1" t="s">
        <v>74</v>
      </c>
      <c r="BI85" s="1" t="s">
        <v>74</v>
      </c>
      <c r="BJ85" s="1" t="s">
        <v>74</v>
      </c>
      <c r="BK85" s="1" t="s">
        <v>74</v>
      </c>
      <c r="BL85" s="1" t="s">
        <v>74</v>
      </c>
      <c r="BM85" s="1" t="s">
        <v>74</v>
      </c>
      <c r="BN85" s="1" t="s">
        <v>74</v>
      </c>
      <c r="BO85" s="1" t="s">
        <v>74</v>
      </c>
      <c r="BP85" s="1" t="s">
        <v>74</v>
      </c>
      <c r="BQ85" s="1" t="s">
        <v>74</v>
      </c>
      <c r="BR85" s="1" t="s">
        <v>74</v>
      </c>
      <c r="BS85" s="1" t="s">
        <v>6896</v>
      </c>
      <c r="BT85" s="1" t="str">
        <f>HYPERLINK("https%3A%2F%2Fwww.webofscience.com%2Fwos%2Fwoscc%2Ffull-record%2FWOS:000255851400007","View Full Record in Web of Science")</f>
        <v>View Full Record in Web of Science</v>
      </c>
    </row>
    <row r="86" spans="1:72" s="2" customFormat="1" x14ac:dyDescent="0.4">
      <c r="A86" s="2" t="s">
        <v>72</v>
      </c>
      <c r="B86" s="2" t="s">
        <v>405</v>
      </c>
      <c r="C86" s="2" t="s">
        <v>74</v>
      </c>
      <c r="D86" s="2" t="s">
        <v>74</v>
      </c>
      <c r="E86" s="2" t="s">
        <v>74</v>
      </c>
      <c r="F86" s="2" t="s">
        <v>406</v>
      </c>
      <c r="G86" s="2" t="s">
        <v>74</v>
      </c>
      <c r="H86" s="2" t="s">
        <v>74</v>
      </c>
      <c r="I86" s="2" t="s">
        <v>407</v>
      </c>
      <c r="J86" s="2" t="s">
        <v>408</v>
      </c>
      <c r="K86" s="2" t="s">
        <v>74</v>
      </c>
      <c r="L86" s="2" t="s">
        <v>74</v>
      </c>
      <c r="M86" s="2" t="s">
        <v>74</v>
      </c>
      <c r="N86" s="2" t="s">
        <v>74</v>
      </c>
      <c r="O86" s="2" t="s">
        <v>74</v>
      </c>
      <c r="P86" s="2" t="s">
        <v>74</v>
      </c>
      <c r="Q86" s="2" t="s">
        <v>74</v>
      </c>
      <c r="R86" s="2" t="s">
        <v>74</v>
      </c>
      <c r="S86" s="2" t="s">
        <v>74</v>
      </c>
      <c r="T86" s="2" t="s">
        <v>74</v>
      </c>
      <c r="U86" s="2" t="s">
        <v>74</v>
      </c>
      <c r="V86" s="5" t="s">
        <v>409</v>
      </c>
      <c r="W86" s="2" t="s">
        <v>74</v>
      </c>
      <c r="X86" s="2" t="s">
        <v>74</v>
      </c>
      <c r="Y86" s="2" t="s">
        <v>74</v>
      </c>
      <c r="Z86" s="2" t="s">
        <v>74</v>
      </c>
      <c r="AA86" s="2" t="s">
        <v>410</v>
      </c>
      <c r="AB86" s="2" t="s">
        <v>411</v>
      </c>
      <c r="AC86" s="2" t="s">
        <v>74</v>
      </c>
      <c r="AD86" s="2" t="s">
        <v>74</v>
      </c>
      <c r="AE86" s="2" t="s">
        <v>74</v>
      </c>
      <c r="AF86" s="2" t="s">
        <v>74</v>
      </c>
      <c r="AG86" s="2" t="s">
        <v>74</v>
      </c>
      <c r="AH86" s="2" t="s">
        <v>74</v>
      </c>
      <c r="AI86" s="2" t="s">
        <v>74</v>
      </c>
      <c r="AJ86" s="2" t="s">
        <v>74</v>
      </c>
      <c r="AK86" s="2" t="s">
        <v>74</v>
      </c>
      <c r="AL86" s="2" t="s">
        <v>74</v>
      </c>
      <c r="AM86" s="2" t="s">
        <v>74</v>
      </c>
      <c r="AN86" s="2" t="s">
        <v>74</v>
      </c>
      <c r="AO86" s="2" t="s">
        <v>412</v>
      </c>
      <c r="AP86" s="2" t="s">
        <v>413</v>
      </c>
      <c r="AQ86" s="2" t="s">
        <v>74</v>
      </c>
      <c r="AR86" s="2" t="s">
        <v>74</v>
      </c>
      <c r="AS86" s="2" t="s">
        <v>74</v>
      </c>
      <c r="AT86" s="2" t="s">
        <v>275</v>
      </c>
      <c r="AU86" s="2">
        <v>2022</v>
      </c>
      <c r="AV86" s="2">
        <v>136</v>
      </c>
      <c r="AW86" s="2">
        <v>1</v>
      </c>
      <c r="AX86" s="2" t="s">
        <v>74</v>
      </c>
      <c r="AY86" s="2" t="s">
        <v>74</v>
      </c>
      <c r="AZ86" s="2" t="s">
        <v>74</v>
      </c>
      <c r="BA86" s="2" t="s">
        <v>74</v>
      </c>
      <c r="BB86" s="2">
        <v>111</v>
      </c>
      <c r="BC86" s="2">
        <v>119</v>
      </c>
      <c r="BD86" s="2" t="s">
        <v>74</v>
      </c>
      <c r="BE86" s="2" t="s">
        <v>414</v>
      </c>
      <c r="BF86" s="2" t="str">
        <f>HYPERLINK("http://dx.doi.org/10.1093/biolinnean/blac014","http://dx.doi.org/10.1093/biolinnean/blac014")</f>
        <v>http://dx.doi.org/10.1093/biolinnean/blac014</v>
      </c>
      <c r="BG86" s="2" t="s">
        <v>74</v>
      </c>
      <c r="BH86" s="2" t="s">
        <v>415</v>
      </c>
      <c r="BI86" s="2" t="s">
        <v>74</v>
      </c>
      <c r="BJ86" s="2" t="s">
        <v>74</v>
      </c>
      <c r="BK86" s="2" t="s">
        <v>74</v>
      </c>
      <c r="BL86" s="2" t="s">
        <v>74</v>
      </c>
      <c r="BM86" s="2" t="s">
        <v>74</v>
      </c>
      <c r="BN86" s="2" t="s">
        <v>74</v>
      </c>
      <c r="BO86" s="2" t="s">
        <v>74</v>
      </c>
      <c r="BP86" s="2" t="s">
        <v>74</v>
      </c>
      <c r="BQ86" s="2" t="s">
        <v>74</v>
      </c>
      <c r="BR86" s="2" t="s">
        <v>74</v>
      </c>
      <c r="BS86" s="2" t="s">
        <v>416</v>
      </c>
      <c r="BT86" s="2" t="str">
        <f>HYPERLINK("https%3A%2F%2Fwww.webofscience.com%2Fwos%2Fwoscc%2Ffull-record%2FWOS:000768465800001","View Full Record in Web of Science")</f>
        <v>View Full Record in Web of Science</v>
      </c>
    </row>
    <row r="87" spans="1:72" s="2" customFormat="1" x14ac:dyDescent="0.4">
      <c r="A87" s="2" t="s">
        <v>72</v>
      </c>
      <c r="B87" s="2" t="s">
        <v>3483</v>
      </c>
      <c r="C87" s="2" t="s">
        <v>74</v>
      </c>
      <c r="D87" s="2" t="s">
        <v>74</v>
      </c>
      <c r="E87" s="2" t="s">
        <v>74</v>
      </c>
      <c r="F87" s="2" t="s">
        <v>3484</v>
      </c>
      <c r="G87" s="2" t="s">
        <v>74</v>
      </c>
      <c r="H87" s="2" t="s">
        <v>74</v>
      </c>
      <c r="I87" s="2" t="s">
        <v>3485</v>
      </c>
      <c r="J87" s="2" t="s">
        <v>333</v>
      </c>
      <c r="K87" s="2" t="s">
        <v>74</v>
      </c>
      <c r="L87" s="2" t="s">
        <v>74</v>
      </c>
      <c r="M87" s="2" t="s">
        <v>74</v>
      </c>
      <c r="N87" s="2" t="s">
        <v>74</v>
      </c>
      <c r="O87" s="2" t="s">
        <v>74</v>
      </c>
      <c r="P87" s="2" t="s">
        <v>74</v>
      </c>
      <c r="Q87" s="2" t="s">
        <v>74</v>
      </c>
      <c r="R87" s="2" t="s">
        <v>74</v>
      </c>
      <c r="S87" s="2" t="s">
        <v>74</v>
      </c>
      <c r="T87" s="2" t="s">
        <v>74</v>
      </c>
      <c r="U87" s="2" t="s">
        <v>74</v>
      </c>
      <c r="V87" s="5" t="s">
        <v>3486</v>
      </c>
      <c r="W87" s="2" t="s">
        <v>74</v>
      </c>
      <c r="X87" s="2" t="s">
        <v>74</v>
      </c>
      <c r="Y87" s="2" t="s">
        <v>74</v>
      </c>
      <c r="Z87" s="2" t="s">
        <v>74</v>
      </c>
      <c r="AA87" s="2" t="s">
        <v>3487</v>
      </c>
      <c r="AB87" s="2" t="s">
        <v>3488</v>
      </c>
      <c r="AC87" s="2" t="s">
        <v>74</v>
      </c>
      <c r="AD87" s="2" t="s">
        <v>74</v>
      </c>
      <c r="AE87" s="2" t="s">
        <v>74</v>
      </c>
      <c r="AF87" s="2" t="s">
        <v>74</v>
      </c>
      <c r="AG87" s="2" t="s">
        <v>74</v>
      </c>
      <c r="AH87" s="2" t="s">
        <v>74</v>
      </c>
      <c r="AI87" s="2" t="s">
        <v>74</v>
      </c>
      <c r="AJ87" s="2" t="s">
        <v>74</v>
      </c>
      <c r="AK87" s="2" t="s">
        <v>74</v>
      </c>
      <c r="AL87" s="2" t="s">
        <v>74</v>
      </c>
      <c r="AM87" s="2" t="s">
        <v>74</v>
      </c>
      <c r="AN87" s="2" t="s">
        <v>74</v>
      </c>
      <c r="AO87" s="2" t="s">
        <v>337</v>
      </c>
      <c r="AP87" s="2" t="s">
        <v>338</v>
      </c>
      <c r="AQ87" s="2" t="s">
        <v>74</v>
      </c>
      <c r="AR87" s="2" t="s">
        <v>74</v>
      </c>
      <c r="AS87" s="2" t="s">
        <v>74</v>
      </c>
      <c r="AT87" s="2" t="s">
        <v>1130</v>
      </c>
      <c r="AU87" s="2">
        <v>2023</v>
      </c>
      <c r="AV87" s="2">
        <v>34</v>
      </c>
      <c r="AW87" s="2">
        <v>1</v>
      </c>
      <c r="AX87" s="2" t="s">
        <v>74</v>
      </c>
      <c r="AY87" s="2" t="s">
        <v>74</v>
      </c>
      <c r="AZ87" s="2" t="s">
        <v>74</v>
      </c>
      <c r="BA87" s="2" t="s">
        <v>74</v>
      </c>
      <c r="BB87" s="2">
        <v>19</v>
      </c>
      <c r="BC87" s="2">
        <v>32</v>
      </c>
      <c r="BD87" s="2" t="s">
        <v>74</v>
      </c>
      <c r="BE87" s="2" t="s">
        <v>3489</v>
      </c>
      <c r="BF87" s="2" t="str">
        <f>HYPERLINK("http://dx.doi.org/10.1093/beheco/arac089","http://dx.doi.org/10.1093/beheco/arac089")</f>
        <v>http://dx.doi.org/10.1093/beheco/arac089</v>
      </c>
      <c r="BG87" s="2" t="s">
        <v>74</v>
      </c>
      <c r="BH87" s="2" t="s">
        <v>2298</v>
      </c>
      <c r="BI87" s="2" t="s">
        <v>74</v>
      </c>
      <c r="BJ87" s="2" t="s">
        <v>74</v>
      </c>
      <c r="BK87" s="2" t="s">
        <v>74</v>
      </c>
      <c r="BL87" s="2" t="s">
        <v>74</v>
      </c>
      <c r="BM87" s="2" t="s">
        <v>74</v>
      </c>
      <c r="BN87" s="2">
        <v>36789393</v>
      </c>
      <c r="BO87" s="2" t="s">
        <v>74</v>
      </c>
      <c r="BP87" s="2" t="s">
        <v>74</v>
      </c>
      <c r="BQ87" s="2" t="s">
        <v>74</v>
      </c>
      <c r="BR87" s="2" t="s">
        <v>74</v>
      </c>
      <c r="BS87" s="2" t="s">
        <v>3490</v>
      </c>
      <c r="BT87" s="2" t="str">
        <f>HYPERLINK("https%3A%2F%2Fwww.webofscience.com%2Fwos%2Fwoscc%2Ffull-record%2FWOS:000876657000001","View Full Record in Web of Science")</f>
        <v>View Full Record in Web of Science</v>
      </c>
    </row>
    <row r="88" spans="1:72" s="2" customFormat="1" x14ac:dyDescent="0.4">
      <c r="A88" s="2" t="s">
        <v>72</v>
      </c>
      <c r="B88" s="2" t="s">
        <v>2972</v>
      </c>
      <c r="C88" s="2" t="s">
        <v>74</v>
      </c>
      <c r="D88" s="2" t="s">
        <v>74</v>
      </c>
      <c r="E88" s="2" t="s">
        <v>74</v>
      </c>
      <c r="F88" s="2" t="s">
        <v>2973</v>
      </c>
      <c r="G88" s="2" t="s">
        <v>74</v>
      </c>
      <c r="H88" s="2" t="s">
        <v>74</v>
      </c>
      <c r="I88" s="2" t="s">
        <v>2974</v>
      </c>
      <c r="J88" s="2" t="s">
        <v>201</v>
      </c>
      <c r="K88" s="2" t="s">
        <v>74</v>
      </c>
      <c r="L88" s="2" t="s">
        <v>74</v>
      </c>
      <c r="M88" s="2" t="s">
        <v>74</v>
      </c>
      <c r="N88" s="2" t="s">
        <v>74</v>
      </c>
      <c r="O88" s="2" t="s">
        <v>74</v>
      </c>
      <c r="P88" s="2" t="s">
        <v>74</v>
      </c>
      <c r="Q88" s="2" t="s">
        <v>74</v>
      </c>
      <c r="R88" s="2" t="s">
        <v>74</v>
      </c>
      <c r="S88" s="2" t="s">
        <v>74</v>
      </c>
      <c r="T88" s="2" t="s">
        <v>74</v>
      </c>
      <c r="U88" s="2" t="s">
        <v>74</v>
      </c>
      <c r="V88" s="5" t="s">
        <v>2975</v>
      </c>
      <c r="W88" s="2" t="s">
        <v>74</v>
      </c>
      <c r="X88" s="2" t="s">
        <v>74</v>
      </c>
      <c r="Y88" s="2" t="s">
        <v>74</v>
      </c>
      <c r="Z88" s="2" t="s">
        <v>74</v>
      </c>
      <c r="AA88" s="2" t="s">
        <v>74</v>
      </c>
      <c r="AB88" s="2" t="s">
        <v>2976</v>
      </c>
      <c r="AC88" s="2" t="s">
        <v>74</v>
      </c>
      <c r="AD88" s="2" t="s">
        <v>74</v>
      </c>
      <c r="AE88" s="2" t="s">
        <v>74</v>
      </c>
      <c r="AF88" s="2" t="s">
        <v>74</v>
      </c>
      <c r="AG88" s="2" t="s">
        <v>74</v>
      </c>
      <c r="AH88" s="2" t="s">
        <v>74</v>
      </c>
      <c r="AI88" s="2" t="s">
        <v>74</v>
      </c>
      <c r="AJ88" s="2" t="s">
        <v>74</v>
      </c>
      <c r="AK88" s="2" t="s">
        <v>74</v>
      </c>
      <c r="AL88" s="2" t="s">
        <v>74</v>
      </c>
      <c r="AM88" s="2" t="s">
        <v>74</v>
      </c>
      <c r="AN88" s="2" t="s">
        <v>74</v>
      </c>
      <c r="AO88" s="2" t="s">
        <v>203</v>
      </c>
      <c r="AP88" s="2" t="s">
        <v>1192</v>
      </c>
      <c r="AQ88" s="2" t="s">
        <v>74</v>
      </c>
      <c r="AR88" s="2" t="s">
        <v>74</v>
      </c>
      <c r="AS88" s="2" t="s">
        <v>74</v>
      </c>
      <c r="AT88" s="2" t="s">
        <v>633</v>
      </c>
      <c r="AU88" s="2">
        <v>2023</v>
      </c>
      <c r="AV88" s="2">
        <v>102</v>
      </c>
      <c r="AW88" s="2">
        <v>4</v>
      </c>
      <c r="AX88" s="2" t="s">
        <v>74</v>
      </c>
      <c r="AY88" s="2" t="s">
        <v>74</v>
      </c>
      <c r="AZ88" s="2" t="s">
        <v>74</v>
      </c>
      <c r="BA88" s="2" t="s">
        <v>74</v>
      </c>
      <c r="BB88" s="2">
        <v>794</v>
      </c>
      <c r="BC88" s="2">
        <v>802</v>
      </c>
      <c r="BD88" s="2" t="s">
        <v>74</v>
      </c>
      <c r="BE88" s="2" t="s">
        <v>2977</v>
      </c>
      <c r="BF88" s="2" t="str">
        <f>HYPERLINK("http://dx.doi.org/10.1111/jfb.15316","http://dx.doi.org/10.1111/jfb.15316")</f>
        <v>http://dx.doi.org/10.1111/jfb.15316</v>
      </c>
      <c r="BG88" s="2" t="s">
        <v>74</v>
      </c>
      <c r="BH88" s="2" t="s">
        <v>2392</v>
      </c>
      <c r="BI88" s="2" t="s">
        <v>74</v>
      </c>
      <c r="BJ88" s="2" t="s">
        <v>74</v>
      </c>
      <c r="BK88" s="2" t="s">
        <v>74</v>
      </c>
      <c r="BL88" s="2" t="s">
        <v>74</v>
      </c>
      <c r="BM88" s="2" t="s">
        <v>74</v>
      </c>
      <c r="BN88" s="2">
        <v>36648014</v>
      </c>
      <c r="BO88" s="2" t="s">
        <v>74</v>
      </c>
      <c r="BP88" s="2" t="s">
        <v>74</v>
      </c>
      <c r="BQ88" s="2" t="s">
        <v>74</v>
      </c>
      <c r="BR88" s="2" t="s">
        <v>74</v>
      </c>
      <c r="BS88" s="2" t="s">
        <v>2978</v>
      </c>
      <c r="BT88" s="2" t="str">
        <f>HYPERLINK("https%3A%2F%2Fwww.webofscience.com%2Fwos%2Fwoscc%2Ffull-record%2FWOS:000924339000001","View Full Record in Web of Science")</f>
        <v>View Full Record in Web of Science</v>
      </c>
    </row>
    <row r="89" spans="1:72" s="1" customFormat="1" x14ac:dyDescent="0.4">
      <c r="A89" s="1" t="s">
        <v>72</v>
      </c>
      <c r="B89" s="1" t="s">
        <v>2620</v>
      </c>
      <c r="C89" s="1" t="s">
        <v>74</v>
      </c>
      <c r="D89" s="1" t="s">
        <v>74</v>
      </c>
      <c r="E89" s="1" t="s">
        <v>74</v>
      </c>
      <c r="F89" s="1" t="s">
        <v>2621</v>
      </c>
      <c r="G89" s="1" t="s">
        <v>74</v>
      </c>
      <c r="H89" s="1" t="s">
        <v>74</v>
      </c>
      <c r="I89" s="1" t="s">
        <v>2622</v>
      </c>
      <c r="J89" s="1" t="s">
        <v>129</v>
      </c>
      <c r="K89" s="1" t="s">
        <v>74</v>
      </c>
      <c r="L89" s="1" t="s">
        <v>74</v>
      </c>
      <c r="M89" s="1" t="s">
        <v>74</v>
      </c>
      <c r="N89" s="1" t="s">
        <v>74</v>
      </c>
      <c r="O89" s="1" t="s">
        <v>74</v>
      </c>
      <c r="P89" s="1" t="s">
        <v>74</v>
      </c>
      <c r="Q89" s="1" t="s">
        <v>74</v>
      </c>
      <c r="R89" s="1" t="s">
        <v>74</v>
      </c>
      <c r="S89" s="1" t="s">
        <v>74</v>
      </c>
      <c r="T89" s="1" t="s">
        <v>74</v>
      </c>
      <c r="U89" s="1" t="s">
        <v>74</v>
      </c>
      <c r="V89" s="4" t="s">
        <v>2623</v>
      </c>
      <c r="W89" s="1" t="s">
        <v>74</v>
      </c>
      <c r="X89" s="1" t="s">
        <v>74</v>
      </c>
      <c r="Y89" s="1" t="s">
        <v>74</v>
      </c>
      <c r="Z89" s="1" t="s">
        <v>74</v>
      </c>
      <c r="AA89" s="1" t="s">
        <v>74</v>
      </c>
      <c r="AB89" s="1" t="s">
        <v>2624</v>
      </c>
      <c r="AC89" s="1" t="s">
        <v>74</v>
      </c>
      <c r="AD89" s="1" t="s">
        <v>74</v>
      </c>
      <c r="AE89" s="1" t="s">
        <v>74</v>
      </c>
      <c r="AF89" s="1" t="s">
        <v>74</v>
      </c>
      <c r="AG89" s="1" t="s">
        <v>74</v>
      </c>
      <c r="AH89" s="1" t="s">
        <v>74</v>
      </c>
      <c r="AI89" s="1" t="s">
        <v>74</v>
      </c>
      <c r="AJ89" s="1" t="s">
        <v>74</v>
      </c>
      <c r="AK89" s="1" t="s">
        <v>74</v>
      </c>
      <c r="AL89" s="1" t="s">
        <v>74</v>
      </c>
      <c r="AM89" s="1" t="s">
        <v>74</v>
      </c>
      <c r="AN89" s="1" t="s">
        <v>74</v>
      </c>
      <c r="AO89" s="1" t="s">
        <v>132</v>
      </c>
      <c r="AP89" s="1" t="s">
        <v>133</v>
      </c>
      <c r="AQ89" s="1" t="s">
        <v>74</v>
      </c>
      <c r="AR89" s="1" t="s">
        <v>74</v>
      </c>
      <c r="AS89" s="1" t="s">
        <v>74</v>
      </c>
      <c r="AT89" s="1" t="s">
        <v>175</v>
      </c>
      <c r="AU89" s="1">
        <v>2023</v>
      </c>
      <c r="AV89" s="1">
        <v>77</v>
      </c>
      <c r="AW89" s="1">
        <v>10</v>
      </c>
      <c r="AX89" s="1" t="s">
        <v>74</v>
      </c>
      <c r="AY89" s="1" t="s">
        <v>74</v>
      </c>
      <c r="AZ89" s="1" t="s">
        <v>74</v>
      </c>
      <c r="BA89" s="1" t="s">
        <v>74</v>
      </c>
      <c r="BB89" s="1" t="s">
        <v>74</v>
      </c>
      <c r="BC89" s="1" t="s">
        <v>74</v>
      </c>
      <c r="BD89" s="1">
        <v>116</v>
      </c>
      <c r="BE89" s="1" t="s">
        <v>2625</v>
      </c>
      <c r="BF89" s="1" t="str">
        <f>HYPERLINK("http://dx.doi.org/10.1007/s00265-023-03389-5","http://dx.doi.org/10.1007/s00265-023-03389-5")</f>
        <v>http://dx.doi.org/10.1007/s00265-023-03389-5</v>
      </c>
      <c r="BG89" s="1" t="s">
        <v>74</v>
      </c>
      <c r="BH89" s="1" t="s">
        <v>74</v>
      </c>
      <c r="BI89" s="1" t="s">
        <v>74</v>
      </c>
      <c r="BJ89" s="1" t="s">
        <v>74</v>
      </c>
      <c r="BK89" s="1" t="s">
        <v>74</v>
      </c>
      <c r="BL89" s="1" t="s">
        <v>74</v>
      </c>
      <c r="BM89" s="1" t="s">
        <v>74</v>
      </c>
      <c r="BN89" s="1" t="s">
        <v>74</v>
      </c>
      <c r="BO89" s="1" t="s">
        <v>74</v>
      </c>
      <c r="BP89" s="1" t="s">
        <v>74</v>
      </c>
      <c r="BQ89" s="1" t="s">
        <v>74</v>
      </c>
      <c r="BR89" s="1" t="s">
        <v>74</v>
      </c>
      <c r="BS89" s="1" t="s">
        <v>2626</v>
      </c>
      <c r="BT89" s="1" t="str">
        <f>HYPERLINK("https%3A%2F%2Fwww.webofscience.com%2Fwos%2Fwoscc%2Ffull-record%2FWOS:001100527400001","View Full Record in Web of Science")</f>
        <v>View Full Record in Web of Science</v>
      </c>
    </row>
    <row r="90" spans="1:72" s="2" customFormat="1" x14ac:dyDescent="0.4">
      <c r="A90" s="2" t="s">
        <v>72</v>
      </c>
      <c r="B90" s="2" t="s">
        <v>2826</v>
      </c>
      <c r="C90" s="2" t="s">
        <v>74</v>
      </c>
      <c r="D90" s="2" t="s">
        <v>74</v>
      </c>
      <c r="E90" s="2" t="s">
        <v>74</v>
      </c>
      <c r="F90" s="2" t="s">
        <v>2827</v>
      </c>
      <c r="G90" s="2" t="s">
        <v>74</v>
      </c>
      <c r="H90" s="2" t="s">
        <v>74</v>
      </c>
      <c r="I90" s="2" t="s">
        <v>2828</v>
      </c>
      <c r="J90" s="2" t="s">
        <v>140</v>
      </c>
      <c r="K90" s="2" t="s">
        <v>74</v>
      </c>
      <c r="L90" s="2" t="s">
        <v>74</v>
      </c>
      <c r="M90" s="2" t="s">
        <v>74</v>
      </c>
      <c r="N90" s="2" t="s">
        <v>74</v>
      </c>
      <c r="O90" s="2" t="s">
        <v>74</v>
      </c>
      <c r="P90" s="2" t="s">
        <v>74</v>
      </c>
      <c r="Q90" s="2" t="s">
        <v>74</v>
      </c>
      <c r="R90" s="2" t="s">
        <v>74</v>
      </c>
      <c r="S90" s="2" t="s">
        <v>74</v>
      </c>
      <c r="T90" s="2" t="s">
        <v>74</v>
      </c>
      <c r="U90" s="2" t="s">
        <v>74</v>
      </c>
      <c r="V90" s="5" t="s">
        <v>2829</v>
      </c>
      <c r="W90" s="2" t="s">
        <v>74</v>
      </c>
      <c r="X90" s="2" t="s">
        <v>74</v>
      </c>
      <c r="Y90" s="2" t="s">
        <v>74</v>
      </c>
      <c r="Z90" s="2" t="s">
        <v>74</v>
      </c>
      <c r="AA90" s="2" t="s">
        <v>74</v>
      </c>
      <c r="AB90" s="2" t="s">
        <v>2830</v>
      </c>
      <c r="AC90" s="2" t="s">
        <v>74</v>
      </c>
      <c r="AD90" s="2" t="s">
        <v>74</v>
      </c>
      <c r="AE90" s="2" t="s">
        <v>74</v>
      </c>
      <c r="AF90" s="2" t="s">
        <v>74</v>
      </c>
      <c r="AG90" s="2" t="s">
        <v>74</v>
      </c>
      <c r="AH90" s="2" t="s">
        <v>74</v>
      </c>
      <c r="AI90" s="2" t="s">
        <v>74</v>
      </c>
      <c r="AJ90" s="2" t="s">
        <v>74</v>
      </c>
      <c r="AK90" s="2" t="s">
        <v>74</v>
      </c>
      <c r="AL90" s="2" t="s">
        <v>74</v>
      </c>
      <c r="AM90" s="2" t="s">
        <v>74</v>
      </c>
      <c r="AN90" s="2" t="s">
        <v>74</v>
      </c>
      <c r="AO90" s="2" t="s">
        <v>143</v>
      </c>
      <c r="AP90" s="2" t="s">
        <v>144</v>
      </c>
      <c r="AQ90" s="2" t="s">
        <v>74</v>
      </c>
      <c r="AR90" s="2" t="s">
        <v>74</v>
      </c>
      <c r="AS90" s="2" t="s">
        <v>74</v>
      </c>
      <c r="AT90" s="2" t="s">
        <v>145</v>
      </c>
      <c r="AU90" s="2">
        <v>2022</v>
      </c>
      <c r="AV90" s="2">
        <v>190</v>
      </c>
      <c r="AW90" s="2" t="s">
        <v>74</v>
      </c>
      <c r="AX90" s="2" t="s">
        <v>74</v>
      </c>
      <c r="AY90" s="2" t="s">
        <v>74</v>
      </c>
      <c r="AZ90" s="2" t="s">
        <v>74</v>
      </c>
      <c r="BA90" s="2" t="s">
        <v>74</v>
      </c>
      <c r="BB90" s="2">
        <v>233</v>
      </c>
      <c r="BC90" s="2">
        <v>240</v>
      </c>
      <c r="BD90" s="2" t="s">
        <v>74</v>
      </c>
      <c r="BE90" s="2" t="s">
        <v>2831</v>
      </c>
      <c r="BF90" s="2" t="str">
        <f>HYPERLINK("http://dx.doi.org/10.1016/j.anbehav.2022.05.018","http://dx.doi.org/10.1016/j.anbehav.2022.05.018")</f>
        <v>http://dx.doi.org/10.1016/j.anbehav.2022.05.018</v>
      </c>
      <c r="BG90" s="2" t="s">
        <v>74</v>
      </c>
      <c r="BH90" s="2" t="s">
        <v>2832</v>
      </c>
      <c r="BI90" s="2" t="s">
        <v>74</v>
      </c>
      <c r="BJ90" s="2" t="s">
        <v>74</v>
      </c>
      <c r="BK90" s="2" t="s">
        <v>74</v>
      </c>
      <c r="BL90" s="2" t="s">
        <v>74</v>
      </c>
      <c r="BM90" s="2" t="s">
        <v>74</v>
      </c>
      <c r="BN90" s="2" t="s">
        <v>74</v>
      </c>
      <c r="BO90" s="2" t="s">
        <v>74</v>
      </c>
      <c r="BP90" s="2" t="s">
        <v>74</v>
      </c>
      <c r="BQ90" s="2" t="s">
        <v>74</v>
      </c>
      <c r="BR90" s="2" t="s">
        <v>74</v>
      </c>
      <c r="BS90" s="2" t="s">
        <v>2833</v>
      </c>
      <c r="BT90" s="2" t="str">
        <f>HYPERLINK("https%3A%2F%2Fwww.webofscience.com%2Fwos%2Fwoscc%2Ffull-record%2FWOS:000863984000003","View Full Record in Web of Science")</f>
        <v>View Full Record in Web of Science</v>
      </c>
    </row>
    <row r="91" spans="1:72" s="1" customFormat="1" x14ac:dyDescent="0.4">
      <c r="A91" s="1" t="s">
        <v>72</v>
      </c>
      <c r="B91" s="1" t="s">
        <v>859</v>
      </c>
      <c r="C91" s="1" t="s">
        <v>74</v>
      </c>
      <c r="D91" s="1" t="s">
        <v>74</v>
      </c>
      <c r="E91" s="1" t="s">
        <v>74</v>
      </c>
      <c r="F91" s="8" t="s">
        <v>860</v>
      </c>
      <c r="G91" s="1" t="s">
        <v>74</v>
      </c>
      <c r="H91" s="1" t="s">
        <v>74</v>
      </c>
      <c r="I91" s="1" t="s">
        <v>861</v>
      </c>
      <c r="J91" s="1" t="s">
        <v>862</v>
      </c>
      <c r="K91" s="1" t="s">
        <v>74</v>
      </c>
      <c r="L91" s="1" t="s">
        <v>74</v>
      </c>
      <c r="M91" s="1" t="s">
        <v>74</v>
      </c>
      <c r="N91" s="1" t="s">
        <v>74</v>
      </c>
      <c r="O91" s="1" t="s">
        <v>74</v>
      </c>
      <c r="P91" s="1" t="s">
        <v>74</v>
      </c>
      <c r="Q91" s="1" t="s">
        <v>74</v>
      </c>
      <c r="R91" s="1" t="s">
        <v>74</v>
      </c>
      <c r="S91" s="1" t="s">
        <v>74</v>
      </c>
      <c r="T91" s="1" t="s">
        <v>74</v>
      </c>
      <c r="U91" s="1" t="s">
        <v>74</v>
      </c>
      <c r="V91" s="4" t="s">
        <v>863</v>
      </c>
      <c r="W91" s="1" t="s">
        <v>74</v>
      </c>
      <c r="X91" s="1" t="s">
        <v>74</v>
      </c>
      <c r="Y91" s="1" t="s">
        <v>74</v>
      </c>
      <c r="Z91" s="1" t="s">
        <v>74</v>
      </c>
      <c r="AA91" s="1" t="s">
        <v>74</v>
      </c>
      <c r="AB91" s="1" t="s">
        <v>864</v>
      </c>
      <c r="AC91" s="1" t="s">
        <v>74</v>
      </c>
      <c r="AD91" s="1" t="s">
        <v>74</v>
      </c>
      <c r="AE91" s="1" t="s">
        <v>74</v>
      </c>
      <c r="AF91" s="1" t="s">
        <v>74</v>
      </c>
      <c r="AG91" s="1" t="s">
        <v>74</v>
      </c>
      <c r="AH91" s="1" t="s">
        <v>74</v>
      </c>
      <c r="AI91" s="1" t="s">
        <v>74</v>
      </c>
      <c r="AJ91" s="1" t="s">
        <v>74</v>
      </c>
      <c r="AK91" s="1" t="s">
        <v>74</v>
      </c>
      <c r="AL91" s="1" t="s">
        <v>74</v>
      </c>
      <c r="AM91" s="1" t="s">
        <v>74</v>
      </c>
      <c r="AN91" s="1" t="s">
        <v>74</v>
      </c>
      <c r="AO91" s="1" t="s">
        <v>865</v>
      </c>
      <c r="AP91" s="1" t="s">
        <v>866</v>
      </c>
      <c r="AQ91" s="1" t="s">
        <v>74</v>
      </c>
      <c r="AR91" s="1" t="s">
        <v>74</v>
      </c>
      <c r="AS91" s="1" t="s">
        <v>74</v>
      </c>
      <c r="AT91" s="1" t="s">
        <v>867</v>
      </c>
      <c r="AU91" s="1">
        <v>2024</v>
      </c>
      <c r="AV91" s="1" t="s">
        <v>74</v>
      </c>
      <c r="AW91" s="1" t="s">
        <v>74</v>
      </c>
      <c r="AX91" s="1" t="s">
        <v>74</v>
      </c>
      <c r="AY91" s="1" t="s">
        <v>74</v>
      </c>
      <c r="AZ91" s="1" t="s">
        <v>74</v>
      </c>
      <c r="BA91" s="1" t="s">
        <v>74</v>
      </c>
      <c r="BB91" s="1" t="s">
        <v>74</v>
      </c>
      <c r="BC91" s="1" t="s">
        <v>74</v>
      </c>
      <c r="BD91" s="1" t="s">
        <v>74</v>
      </c>
      <c r="BE91" s="1" t="s">
        <v>868</v>
      </c>
      <c r="BF91" s="1" t="str">
        <f>HYPERLINK("http://dx.doi.org/10.1007/s10211-024-00444-w","http://dx.doi.org/10.1007/s10211-024-00444-w")</f>
        <v>http://dx.doi.org/10.1007/s10211-024-00444-w</v>
      </c>
      <c r="BG91" s="1" t="s">
        <v>74</v>
      </c>
      <c r="BH91" s="1" t="s">
        <v>869</v>
      </c>
      <c r="BI91" s="1" t="s">
        <v>74</v>
      </c>
      <c r="BJ91" s="1" t="s">
        <v>74</v>
      </c>
      <c r="BK91" s="1" t="s">
        <v>74</v>
      </c>
      <c r="BL91" s="1" t="s">
        <v>74</v>
      </c>
      <c r="BM91" s="1" t="s">
        <v>74</v>
      </c>
      <c r="BN91" s="1" t="s">
        <v>74</v>
      </c>
      <c r="BO91" s="1" t="s">
        <v>74</v>
      </c>
      <c r="BP91" s="1" t="s">
        <v>74</v>
      </c>
      <c r="BQ91" s="1" t="s">
        <v>74</v>
      </c>
      <c r="BR91" s="1" t="s">
        <v>74</v>
      </c>
      <c r="BS91" s="1" t="s">
        <v>870</v>
      </c>
      <c r="BT91" s="1" t="str">
        <f>HYPERLINK("https%3A%2F%2Fwww.webofscience.com%2Fwos%2Fwoscc%2Ffull-record%2FWOS:001274807200001","View Full Record in Web of Science")</f>
        <v>View Full Record in Web of Science</v>
      </c>
    </row>
    <row r="92" spans="1:72" s="2" customFormat="1" x14ac:dyDescent="0.4">
      <c r="A92" s="2" t="s">
        <v>72</v>
      </c>
      <c r="B92" s="2" t="s">
        <v>4315</v>
      </c>
      <c r="C92" s="2" t="s">
        <v>74</v>
      </c>
      <c r="D92" s="2" t="s">
        <v>74</v>
      </c>
      <c r="E92" s="2" t="s">
        <v>74</v>
      </c>
      <c r="F92" s="2" t="s">
        <v>4316</v>
      </c>
      <c r="G92" s="2" t="s">
        <v>74</v>
      </c>
      <c r="H92" s="2" t="s">
        <v>74</v>
      </c>
      <c r="I92" s="2" t="s">
        <v>4317</v>
      </c>
      <c r="J92" s="2" t="s">
        <v>4318</v>
      </c>
      <c r="K92" s="2" t="s">
        <v>74</v>
      </c>
      <c r="L92" s="2" t="s">
        <v>74</v>
      </c>
      <c r="M92" s="2" t="s">
        <v>74</v>
      </c>
      <c r="N92" s="2" t="s">
        <v>74</v>
      </c>
      <c r="O92" s="2" t="s">
        <v>74</v>
      </c>
      <c r="P92" s="2" t="s">
        <v>74</v>
      </c>
      <c r="Q92" s="2" t="s">
        <v>74</v>
      </c>
      <c r="R92" s="2" t="s">
        <v>74</v>
      </c>
      <c r="S92" s="2" t="s">
        <v>74</v>
      </c>
      <c r="T92" s="2" t="s">
        <v>74</v>
      </c>
      <c r="U92" s="2" t="s">
        <v>74</v>
      </c>
      <c r="V92" s="5" t="s">
        <v>4319</v>
      </c>
      <c r="W92" s="2" t="s">
        <v>74</v>
      </c>
      <c r="X92" s="2" t="s">
        <v>74</v>
      </c>
      <c r="Y92" s="2" t="s">
        <v>74</v>
      </c>
      <c r="Z92" s="2" t="s">
        <v>74</v>
      </c>
      <c r="AA92" s="2" t="s">
        <v>74</v>
      </c>
      <c r="AB92" s="2" t="s">
        <v>4320</v>
      </c>
      <c r="AC92" s="2" t="s">
        <v>74</v>
      </c>
      <c r="AD92" s="2" t="s">
        <v>74</v>
      </c>
      <c r="AE92" s="2" t="s">
        <v>74</v>
      </c>
      <c r="AF92" s="2" t="s">
        <v>74</v>
      </c>
      <c r="AG92" s="2" t="s">
        <v>74</v>
      </c>
      <c r="AH92" s="2" t="s">
        <v>74</v>
      </c>
      <c r="AI92" s="2" t="s">
        <v>74</v>
      </c>
      <c r="AJ92" s="2" t="s">
        <v>74</v>
      </c>
      <c r="AK92" s="2" t="s">
        <v>74</v>
      </c>
      <c r="AL92" s="2" t="s">
        <v>74</v>
      </c>
      <c r="AM92" s="2" t="s">
        <v>74</v>
      </c>
      <c r="AN92" s="2" t="s">
        <v>74</v>
      </c>
      <c r="AO92" s="2" t="s">
        <v>4321</v>
      </c>
      <c r="AP92" s="2" t="s">
        <v>4322</v>
      </c>
      <c r="AQ92" s="2" t="s">
        <v>74</v>
      </c>
      <c r="AR92" s="2" t="s">
        <v>74</v>
      </c>
      <c r="AS92" s="2" t="s">
        <v>74</v>
      </c>
      <c r="AT92" s="2" t="s">
        <v>204</v>
      </c>
      <c r="AU92" s="2">
        <v>2022</v>
      </c>
      <c r="AV92" s="2">
        <v>110</v>
      </c>
      <c r="AW92" s="2">
        <v>2</v>
      </c>
      <c r="AX92" s="2" t="s">
        <v>74</v>
      </c>
      <c r="AY92" s="2" t="s">
        <v>74</v>
      </c>
      <c r="AZ92" s="2" t="s">
        <v>74</v>
      </c>
      <c r="BA92" s="2" t="s">
        <v>74</v>
      </c>
      <c r="BB92" s="2">
        <v>340</v>
      </c>
      <c r="BC92" s="2">
        <v>349</v>
      </c>
      <c r="BD92" s="2" t="s">
        <v>74</v>
      </c>
      <c r="BE92" s="2" t="s">
        <v>4323</v>
      </c>
      <c r="BF92" s="2" t="str">
        <f>HYPERLINK("http://dx.doi.org/10.1643/h2021025","http://dx.doi.org/10.1643/h2021025")</f>
        <v>http://dx.doi.org/10.1643/h2021025</v>
      </c>
      <c r="BG92" s="2" t="s">
        <v>74</v>
      </c>
      <c r="BH92" s="2" t="s">
        <v>74</v>
      </c>
      <c r="BI92" s="2" t="s">
        <v>74</v>
      </c>
      <c r="BJ92" s="2" t="s">
        <v>74</v>
      </c>
      <c r="BK92" s="2" t="s">
        <v>74</v>
      </c>
      <c r="BL92" s="2" t="s">
        <v>74</v>
      </c>
      <c r="BM92" s="2" t="s">
        <v>74</v>
      </c>
      <c r="BN92" s="2" t="s">
        <v>74</v>
      </c>
      <c r="BO92" s="2" t="s">
        <v>74</v>
      </c>
      <c r="BP92" s="2" t="s">
        <v>74</v>
      </c>
      <c r="BQ92" s="2" t="s">
        <v>74</v>
      </c>
      <c r="BR92" s="2" t="s">
        <v>74</v>
      </c>
      <c r="BS92" s="2" t="s">
        <v>4324</v>
      </c>
      <c r="BT92" s="2" t="str">
        <f>HYPERLINK("https%3A%2F%2Fwww.webofscience.com%2Fwos%2Fwoscc%2Ffull-record%2FWOS:000836735000011","View Full Record in Web of Science")</f>
        <v>View Full Record in Web of Science</v>
      </c>
    </row>
    <row r="93" spans="1:72" s="2" customFormat="1" x14ac:dyDescent="0.4">
      <c r="A93" s="2" t="s">
        <v>72</v>
      </c>
      <c r="B93" s="2" t="s">
        <v>1671</v>
      </c>
      <c r="C93" s="2" t="s">
        <v>74</v>
      </c>
      <c r="D93" s="2" t="s">
        <v>74</v>
      </c>
      <c r="E93" s="2" t="s">
        <v>74</v>
      </c>
      <c r="F93" s="2" t="s">
        <v>1671</v>
      </c>
      <c r="G93" s="2" t="s">
        <v>74</v>
      </c>
      <c r="H93" s="2" t="s">
        <v>74</v>
      </c>
      <c r="I93" s="2" t="s">
        <v>1672</v>
      </c>
      <c r="J93" s="2" t="s">
        <v>1673</v>
      </c>
      <c r="K93" s="2" t="s">
        <v>74</v>
      </c>
      <c r="L93" s="2" t="s">
        <v>74</v>
      </c>
      <c r="M93" s="2" t="s">
        <v>74</v>
      </c>
      <c r="N93" s="2" t="s">
        <v>74</v>
      </c>
      <c r="O93" s="2" t="s">
        <v>74</v>
      </c>
      <c r="P93" s="2" t="s">
        <v>74</v>
      </c>
      <c r="Q93" s="2" t="s">
        <v>74</v>
      </c>
      <c r="R93" s="2" t="s">
        <v>74</v>
      </c>
      <c r="S93" s="2" t="s">
        <v>74</v>
      </c>
      <c r="T93" s="2" t="s">
        <v>74</v>
      </c>
      <c r="U93" s="2" t="s">
        <v>74</v>
      </c>
      <c r="V93" s="5" t="s">
        <v>1674</v>
      </c>
      <c r="W93" s="2" t="s">
        <v>74</v>
      </c>
      <c r="X93" s="2" t="s">
        <v>74</v>
      </c>
      <c r="Y93" s="2" t="s">
        <v>74</v>
      </c>
      <c r="Z93" s="2" t="s">
        <v>74</v>
      </c>
      <c r="AA93" s="2" t="s">
        <v>74</v>
      </c>
      <c r="AB93" s="2" t="s">
        <v>74</v>
      </c>
      <c r="AC93" s="2" t="s">
        <v>74</v>
      </c>
      <c r="AD93" s="2" t="s">
        <v>74</v>
      </c>
      <c r="AE93" s="2" t="s">
        <v>74</v>
      </c>
      <c r="AF93" s="2" t="s">
        <v>74</v>
      </c>
      <c r="AG93" s="2" t="s">
        <v>74</v>
      </c>
      <c r="AH93" s="2" t="s">
        <v>74</v>
      </c>
      <c r="AI93" s="2" t="s">
        <v>74</v>
      </c>
      <c r="AJ93" s="2" t="s">
        <v>74</v>
      </c>
      <c r="AK93" s="2" t="s">
        <v>74</v>
      </c>
      <c r="AL93" s="2" t="s">
        <v>74</v>
      </c>
      <c r="AM93" s="2" t="s">
        <v>74</v>
      </c>
      <c r="AN93" s="2" t="s">
        <v>74</v>
      </c>
      <c r="AO93" s="2" t="s">
        <v>1239</v>
      </c>
      <c r="AP93" s="2" t="s">
        <v>1675</v>
      </c>
      <c r="AQ93" s="2" t="s">
        <v>74</v>
      </c>
      <c r="AR93" s="2" t="s">
        <v>74</v>
      </c>
      <c r="AS93" s="2" t="s">
        <v>74</v>
      </c>
      <c r="AT93" s="2" t="s">
        <v>74</v>
      </c>
      <c r="AU93" s="2">
        <v>1984</v>
      </c>
      <c r="AV93" s="2">
        <v>62</v>
      </c>
      <c r="AW93" s="2">
        <v>6</v>
      </c>
      <c r="AX93" s="2" t="s">
        <v>74</v>
      </c>
      <c r="AY93" s="2" t="s">
        <v>74</v>
      </c>
      <c r="AZ93" s="2" t="s">
        <v>74</v>
      </c>
      <c r="BA93" s="2" t="s">
        <v>74</v>
      </c>
      <c r="BB93" s="2">
        <v>999</v>
      </c>
      <c r="BC93" s="2">
        <v>1004</v>
      </c>
      <c r="BD93" s="2" t="s">
        <v>74</v>
      </c>
      <c r="BE93" s="2" t="s">
        <v>1676</v>
      </c>
      <c r="BF93" s="2" t="str">
        <f>HYPERLINK("http://dx.doi.org/10.1139/z84-141","http://dx.doi.org/10.1139/z84-141")</f>
        <v>http://dx.doi.org/10.1139/z84-141</v>
      </c>
      <c r="BG93" s="2" t="s">
        <v>74</v>
      </c>
      <c r="BH93" s="2" t="s">
        <v>74</v>
      </c>
      <c r="BI93" s="2" t="s">
        <v>74</v>
      </c>
      <c r="BJ93" s="2" t="s">
        <v>74</v>
      </c>
      <c r="BK93" s="2" t="s">
        <v>74</v>
      </c>
      <c r="BL93" s="2" t="s">
        <v>74</v>
      </c>
      <c r="BM93" s="2" t="s">
        <v>74</v>
      </c>
      <c r="BN93" s="2" t="s">
        <v>74</v>
      </c>
      <c r="BO93" s="2" t="s">
        <v>74</v>
      </c>
      <c r="BP93" s="2" t="s">
        <v>74</v>
      </c>
      <c r="BQ93" s="2" t="s">
        <v>74</v>
      </c>
      <c r="BR93" s="2" t="s">
        <v>74</v>
      </c>
      <c r="BS93" s="2" t="s">
        <v>1677</v>
      </c>
      <c r="BT93" s="2" t="str">
        <f>HYPERLINK("https%3A%2F%2Fwww.webofscience.com%2Fwos%2Fwoscc%2Ffull-record%2FWOS:A1984TE15700001","View Full Record in Web of Science")</f>
        <v>View Full Record in Web of Science</v>
      </c>
    </row>
    <row r="94" spans="1:72" s="2" customFormat="1" x14ac:dyDescent="0.4">
      <c r="A94" s="2" t="s">
        <v>72</v>
      </c>
      <c r="B94" s="2" t="s">
        <v>3086</v>
      </c>
      <c r="C94" s="2" t="s">
        <v>74</v>
      </c>
      <c r="D94" s="2" t="s">
        <v>74</v>
      </c>
      <c r="E94" s="2" t="s">
        <v>74</v>
      </c>
      <c r="F94" s="2" t="s">
        <v>3087</v>
      </c>
      <c r="G94" s="2" t="s">
        <v>74</v>
      </c>
      <c r="H94" s="2" t="s">
        <v>74</v>
      </c>
      <c r="I94" s="2" t="s">
        <v>8775</v>
      </c>
      <c r="J94" s="2" t="s">
        <v>3089</v>
      </c>
      <c r="K94" s="2" t="s">
        <v>74</v>
      </c>
      <c r="L94" s="2" t="s">
        <v>74</v>
      </c>
      <c r="M94" s="2" t="s">
        <v>74</v>
      </c>
      <c r="N94" s="2" t="s">
        <v>74</v>
      </c>
      <c r="O94" s="2" t="s">
        <v>74</v>
      </c>
      <c r="P94" s="2" t="s">
        <v>74</v>
      </c>
      <c r="Q94" s="2" t="s">
        <v>74</v>
      </c>
      <c r="R94" s="2" t="s">
        <v>74</v>
      </c>
      <c r="S94" s="2" t="s">
        <v>74</v>
      </c>
      <c r="T94" s="2" t="s">
        <v>74</v>
      </c>
      <c r="U94" s="2" t="s">
        <v>74</v>
      </c>
      <c r="V94" s="5" t="s">
        <v>3090</v>
      </c>
      <c r="W94" s="2" t="s">
        <v>74</v>
      </c>
      <c r="X94" s="2" t="s">
        <v>74</v>
      </c>
      <c r="Y94" s="2" t="s">
        <v>74</v>
      </c>
      <c r="Z94" s="2" t="s">
        <v>74</v>
      </c>
      <c r="AA94" s="2" t="s">
        <v>3091</v>
      </c>
      <c r="AB94" s="2" t="s">
        <v>3092</v>
      </c>
      <c r="AC94" s="2" t="s">
        <v>74</v>
      </c>
      <c r="AD94" s="2" t="s">
        <v>74</v>
      </c>
      <c r="AE94" s="2" t="s">
        <v>74</v>
      </c>
      <c r="AF94" s="2" t="s">
        <v>74</v>
      </c>
      <c r="AG94" s="2" t="s">
        <v>74</v>
      </c>
      <c r="AH94" s="2" t="s">
        <v>74</v>
      </c>
      <c r="AI94" s="2" t="s">
        <v>74</v>
      </c>
      <c r="AJ94" s="2" t="s">
        <v>74</v>
      </c>
      <c r="AK94" s="2" t="s">
        <v>74</v>
      </c>
      <c r="AL94" s="2" t="s">
        <v>74</v>
      </c>
      <c r="AM94" s="2" t="s">
        <v>74</v>
      </c>
      <c r="AN94" s="2" t="s">
        <v>74</v>
      </c>
      <c r="AO94" s="2" t="s">
        <v>3093</v>
      </c>
      <c r="AP94" s="2" t="s">
        <v>3094</v>
      </c>
      <c r="AQ94" s="2" t="s">
        <v>74</v>
      </c>
      <c r="AR94" s="2" t="s">
        <v>74</v>
      </c>
      <c r="AS94" s="2" t="s">
        <v>74</v>
      </c>
      <c r="AT94" s="2" t="s">
        <v>134</v>
      </c>
      <c r="AU94" s="2">
        <v>2021</v>
      </c>
      <c r="AV94" s="2">
        <v>39</v>
      </c>
      <c r="AW94" s="2">
        <v>2</v>
      </c>
      <c r="AX94" s="2" t="s">
        <v>74</v>
      </c>
      <c r="AY94" s="2" t="s">
        <v>74</v>
      </c>
      <c r="AZ94" s="2" t="s">
        <v>74</v>
      </c>
      <c r="BA94" s="2" t="s">
        <v>74</v>
      </c>
      <c r="BB94" s="2">
        <v>179</v>
      </c>
      <c r="BC94" s="2">
        <v>189</v>
      </c>
      <c r="BD94" s="2" t="s">
        <v>74</v>
      </c>
      <c r="BE94" s="2" t="s">
        <v>3095</v>
      </c>
      <c r="BF94" s="2" t="str">
        <f>HYPERLINK("http://dx.doi.org/10.1007/s10164-021-00690-6","http://dx.doi.org/10.1007/s10164-021-00690-6")</f>
        <v>http://dx.doi.org/10.1007/s10164-021-00690-6</v>
      </c>
      <c r="BG94" s="2" t="s">
        <v>74</v>
      </c>
      <c r="BH94" s="2" t="s">
        <v>2411</v>
      </c>
      <c r="BI94" s="2" t="s">
        <v>74</v>
      </c>
      <c r="BJ94" s="2" t="s">
        <v>74</v>
      </c>
      <c r="BK94" s="2" t="s">
        <v>74</v>
      </c>
      <c r="BL94" s="2" t="s">
        <v>74</v>
      </c>
      <c r="BM94" s="2" t="s">
        <v>74</v>
      </c>
      <c r="BN94" s="2" t="s">
        <v>74</v>
      </c>
      <c r="BO94" s="2" t="s">
        <v>74</v>
      </c>
      <c r="BP94" s="2" t="s">
        <v>74</v>
      </c>
      <c r="BQ94" s="2" t="s">
        <v>74</v>
      </c>
      <c r="BR94" s="2" t="s">
        <v>74</v>
      </c>
      <c r="BS94" s="2" t="s">
        <v>3096</v>
      </c>
      <c r="BT94" s="2" t="str">
        <f>HYPERLINK("https%3A%2F%2Fwww.webofscience.com%2Fwos%2Fwoscc%2Ffull-record%2FWOS:000614674500001","View Full Record in Web of Science")</f>
        <v>View Full Record in Web of Science</v>
      </c>
    </row>
    <row r="95" spans="1:72" s="2" customFormat="1" x14ac:dyDescent="0.4">
      <c r="A95" s="2" t="s">
        <v>72</v>
      </c>
      <c r="B95" s="2" t="s">
        <v>226</v>
      </c>
      <c r="C95" s="2" t="s">
        <v>74</v>
      </c>
      <c r="D95" s="2" t="s">
        <v>74</v>
      </c>
      <c r="E95" s="2" t="s">
        <v>74</v>
      </c>
      <c r="F95" s="2" t="s">
        <v>227</v>
      </c>
      <c r="G95" s="2" t="s">
        <v>74</v>
      </c>
      <c r="H95" s="2" t="s">
        <v>74</v>
      </c>
      <c r="I95" s="2" t="s">
        <v>228</v>
      </c>
      <c r="J95" s="2" t="s">
        <v>229</v>
      </c>
      <c r="K95" s="2" t="s">
        <v>74</v>
      </c>
      <c r="L95" s="2" t="s">
        <v>74</v>
      </c>
      <c r="M95" s="2" t="s">
        <v>74</v>
      </c>
      <c r="N95" s="2" t="s">
        <v>74</v>
      </c>
      <c r="O95" s="2" t="s">
        <v>74</v>
      </c>
      <c r="P95" s="2" t="s">
        <v>74</v>
      </c>
      <c r="Q95" s="2" t="s">
        <v>74</v>
      </c>
      <c r="R95" s="2" t="s">
        <v>74</v>
      </c>
      <c r="S95" s="2" t="s">
        <v>74</v>
      </c>
      <c r="T95" s="2" t="s">
        <v>74</v>
      </c>
      <c r="U95" s="2" t="s">
        <v>74</v>
      </c>
      <c r="V95" s="5" t="s">
        <v>230</v>
      </c>
      <c r="W95" s="2" t="s">
        <v>74</v>
      </c>
      <c r="X95" s="2" t="s">
        <v>74</v>
      </c>
      <c r="Y95" s="2" t="s">
        <v>74</v>
      </c>
      <c r="Z95" s="2" t="s">
        <v>74</v>
      </c>
      <c r="AA95" s="2" t="s">
        <v>231</v>
      </c>
      <c r="AB95" s="2" t="s">
        <v>232</v>
      </c>
      <c r="AC95" s="2" t="s">
        <v>74</v>
      </c>
      <c r="AD95" s="2" t="s">
        <v>74</v>
      </c>
      <c r="AE95" s="2" t="s">
        <v>74</v>
      </c>
      <c r="AF95" s="2" t="s">
        <v>74</v>
      </c>
      <c r="AG95" s="2" t="s">
        <v>74</v>
      </c>
      <c r="AH95" s="2" t="s">
        <v>74</v>
      </c>
      <c r="AI95" s="2" t="s">
        <v>74</v>
      </c>
      <c r="AJ95" s="2" t="s">
        <v>74</v>
      </c>
      <c r="AK95" s="2" t="s">
        <v>74</v>
      </c>
      <c r="AL95" s="2" t="s">
        <v>74</v>
      </c>
      <c r="AM95" s="2" t="s">
        <v>74</v>
      </c>
      <c r="AN95" s="2" t="s">
        <v>74</v>
      </c>
      <c r="AO95" s="2" t="s">
        <v>233</v>
      </c>
      <c r="AP95" s="2" t="s">
        <v>234</v>
      </c>
      <c r="AQ95" s="2" t="s">
        <v>74</v>
      </c>
      <c r="AR95" s="2" t="s">
        <v>74</v>
      </c>
      <c r="AS95" s="2" t="s">
        <v>74</v>
      </c>
      <c r="AT95" s="2" t="s">
        <v>204</v>
      </c>
      <c r="AU95" s="2">
        <v>2021</v>
      </c>
      <c r="AV95" s="2">
        <v>47</v>
      </c>
      <c r="AW95" s="2">
        <v>4</v>
      </c>
      <c r="AX95" s="2" t="s">
        <v>74</v>
      </c>
      <c r="AY95" s="2" t="s">
        <v>74</v>
      </c>
      <c r="AZ95" s="2" t="s">
        <v>74</v>
      </c>
      <c r="BA95" s="2" t="s">
        <v>74</v>
      </c>
      <c r="BB95" s="2">
        <v>430</v>
      </c>
      <c r="BC95" s="2">
        <v>438</v>
      </c>
      <c r="BD95" s="2" t="s">
        <v>74</v>
      </c>
      <c r="BE95" s="2" t="s">
        <v>235</v>
      </c>
      <c r="BF95" s="2" t="str">
        <f>HYPERLINK("http://dx.doi.org/10.1002/ab.21961","http://dx.doi.org/10.1002/ab.21961")</f>
        <v>http://dx.doi.org/10.1002/ab.21961</v>
      </c>
      <c r="BG95" s="2" t="s">
        <v>74</v>
      </c>
      <c r="BH95" s="2" t="s">
        <v>236</v>
      </c>
      <c r="BI95" s="2" t="s">
        <v>74</v>
      </c>
      <c r="BJ95" s="2" t="s">
        <v>74</v>
      </c>
      <c r="BK95" s="2" t="s">
        <v>74</v>
      </c>
      <c r="BL95" s="2" t="s">
        <v>74</v>
      </c>
      <c r="BM95" s="2" t="s">
        <v>74</v>
      </c>
      <c r="BN95" s="2">
        <v>33682154</v>
      </c>
      <c r="BO95" s="2" t="s">
        <v>74</v>
      </c>
      <c r="BP95" s="2" t="s">
        <v>74</v>
      </c>
      <c r="BQ95" s="2" t="s">
        <v>74</v>
      </c>
      <c r="BR95" s="2" t="s">
        <v>74</v>
      </c>
      <c r="BS95" s="2" t="s">
        <v>237</v>
      </c>
      <c r="BT95" s="2" t="str">
        <f>HYPERLINK("https%3A%2F%2Fwww.webofscience.com%2Fwos%2Fwoscc%2Ffull-record%2FWOS:000625980800001","View Full Record in Web of Science")</f>
        <v>View Full Record in Web of Science</v>
      </c>
    </row>
    <row r="96" spans="1:72" s="2" customFormat="1" x14ac:dyDescent="0.4">
      <c r="A96" s="2" t="s">
        <v>72</v>
      </c>
      <c r="B96" s="2" t="s">
        <v>6676</v>
      </c>
      <c r="C96" s="2" t="s">
        <v>74</v>
      </c>
      <c r="D96" s="2" t="s">
        <v>74</v>
      </c>
      <c r="E96" s="2" t="s">
        <v>74</v>
      </c>
      <c r="F96" s="2" t="s">
        <v>6677</v>
      </c>
      <c r="G96" s="2" t="s">
        <v>74</v>
      </c>
      <c r="H96" s="2" t="s">
        <v>74</v>
      </c>
      <c r="I96" s="2" t="s">
        <v>6678</v>
      </c>
      <c r="J96" s="2" t="s">
        <v>140</v>
      </c>
      <c r="K96" s="2" t="s">
        <v>74</v>
      </c>
      <c r="L96" s="2" t="s">
        <v>74</v>
      </c>
      <c r="M96" s="2" t="s">
        <v>74</v>
      </c>
      <c r="N96" s="2" t="s">
        <v>74</v>
      </c>
      <c r="O96" s="2" t="s">
        <v>74</v>
      </c>
      <c r="P96" s="2" t="s">
        <v>74</v>
      </c>
      <c r="Q96" s="2" t="s">
        <v>74</v>
      </c>
      <c r="R96" s="2" t="s">
        <v>74</v>
      </c>
      <c r="S96" s="2" t="s">
        <v>74</v>
      </c>
      <c r="T96" s="2" t="s">
        <v>74</v>
      </c>
      <c r="U96" s="2" t="s">
        <v>74</v>
      </c>
      <c r="V96" s="5" t="s">
        <v>6679</v>
      </c>
      <c r="W96" s="2" t="s">
        <v>74</v>
      </c>
      <c r="X96" s="2" t="s">
        <v>74</v>
      </c>
      <c r="Y96" s="2" t="s">
        <v>74</v>
      </c>
      <c r="Z96" s="2" t="s">
        <v>74</v>
      </c>
      <c r="AA96" s="2" t="s">
        <v>6680</v>
      </c>
      <c r="AB96" s="2" t="s">
        <v>6681</v>
      </c>
      <c r="AC96" s="2" t="s">
        <v>74</v>
      </c>
      <c r="AD96" s="2" t="s">
        <v>74</v>
      </c>
      <c r="AE96" s="2" t="s">
        <v>74</v>
      </c>
      <c r="AF96" s="2" t="s">
        <v>74</v>
      </c>
      <c r="AG96" s="2" t="s">
        <v>74</v>
      </c>
      <c r="AH96" s="2" t="s">
        <v>74</v>
      </c>
      <c r="AI96" s="2" t="s">
        <v>74</v>
      </c>
      <c r="AJ96" s="2" t="s">
        <v>74</v>
      </c>
      <c r="AK96" s="2" t="s">
        <v>74</v>
      </c>
      <c r="AL96" s="2" t="s">
        <v>74</v>
      </c>
      <c r="AM96" s="2" t="s">
        <v>74</v>
      </c>
      <c r="AN96" s="2" t="s">
        <v>74</v>
      </c>
      <c r="AO96" s="2" t="s">
        <v>143</v>
      </c>
      <c r="AP96" s="2" t="s">
        <v>144</v>
      </c>
      <c r="AQ96" s="2" t="s">
        <v>74</v>
      </c>
      <c r="AR96" s="2" t="s">
        <v>74</v>
      </c>
      <c r="AS96" s="2" t="s">
        <v>74</v>
      </c>
      <c r="AT96" s="2" t="s">
        <v>204</v>
      </c>
      <c r="AU96" s="2">
        <v>2015</v>
      </c>
      <c r="AV96" s="2">
        <v>105</v>
      </c>
      <c r="AW96" s="2" t="s">
        <v>74</v>
      </c>
      <c r="AX96" s="2" t="s">
        <v>74</v>
      </c>
      <c r="AY96" s="2" t="s">
        <v>74</v>
      </c>
      <c r="AZ96" s="2" t="s">
        <v>74</v>
      </c>
      <c r="BA96" s="2" t="s">
        <v>74</v>
      </c>
      <c r="BB96" s="2">
        <v>201</v>
      </c>
      <c r="BC96" s="2">
        <v>209</v>
      </c>
      <c r="BD96" s="2" t="s">
        <v>74</v>
      </c>
      <c r="BE96" s="2" t="s">
        <v>6682</v>
      </c>
      <c r="BF96" s="2" t="str">
        <f>HYPERLINK("http://dx.doi.org/10.1016/j.anbehav.2015.04.024","http://dx.doi.org/10.1016/j.anbehav.2015.04.024")</f>
        <v>http://dx.doi.org/10.1016/j.anbehav.2015.04.024</v>
      </c>
      <c r="BG96" s="2" t="s">
        <v>74</v>
      </c>
      <c r="BH96" s="2" t="s">
        <v>74</v>
      </c>
      <c r="BI96" s="2" t="s">
        <v>74</v>
      </c>
      <c r="BJ96" s="2" t="s">
        <v>74</v>
      </c>
      <c r="BK96" s="2" t="s">
        <v>74</v>
      </c>
      <c r="BL96" s="2" t="s">
        <v>74</v>
      </c>
      <c r="BM96" s="2" t="s">
        <v>74</v>
      </c>
      <c r="BN96" s="2" t="s">
        <v>74</v>
      </c>
      <c r="BO96" s="2" t="s">
        <v>74</v>
      </c>
      <c r="BP96" s="2" t="s">
        <v>74</v>
      </c>
      <c r="BQ96" s="2" t="s">
        <v>74</v>
      </c>
      <c r="BR96" s="2" t="s">
        <v>74</v>
      </c>
      <c r="BS96" s="2" t="s">
        <v>6683</v>
      </c>
      <c r="BT96" s="2" t="str">
        <f>HYPERLINK("https%3A%2F%2Fwww.webofscience.com%2Fwos%2Fwoscc%2Ffull-record%2FWOS:000356611200022","View Full Record in Web of Science")</f>
        <v>View Full Record in Web of Science</v>
      </c>
    </row>
    <row r="97" spans="1:314" s="2" customFormat="1" x14ac:dyDescent="0.4">
      <c r="A97" s="2" t="s">
        <v>72</v>
      </c>
      <c r="B97" s="2" t="s">
        <v>2948</v>
      </c>
      <c r="C97" s="2" t="s">
        <v>74</v>
      </c>
      <c r="D97" s="2" t="s">
        <v>74</v>
      </c>
      <c r="E97" s="2" t="s">
        <v>74</v>
      </c>
      <c r="F97" s="2" t="s">
        <v>2948</v>
      </c>
      <c r="G97" s="2" t="s">
        <v>74</v>
      </c>
      <c r="H97" s="2" t="s">
        <v>74</v>
      </c>
      <c r="I97" s="2" t="s">
        <v>2949</v>
      </c>
      <c r="J97" s="2" t="s">
        <v>140</v>
      </c>
      <c r="K97" s="2" t="s">
        <v>74</v>
      </c>
      <c r="L97" s="2" t="s">
        <v>74</v>
      </c>
      <c r="M97" s="2" t="s">
        <v>74</v>
      </c>
      <c r="N97" s="2" t="s">
        <v>74</v>
      </c>
      <c r="O97" s="2" t="s">
        <v>74</v>
      </c>
      <c r="P97" s="2" t="s">
        <v>74</v>
      </c>
      <c r="Q97" s="2" t="s">
        <v>74</v>
      </c>
      <c r="R97" s="2" t="s">
        <v>74</v>
      </c>
      <c r="S97" s="2" t="s">
        <v>74</v>
      </c>
      <c r="T97" s="2" t="s">
        <v>74</v>
      </c>
      <c r="U97" s="2" t="s">
        <v>74</v>
      </c>
      <c r="V97" s="5" t="s">
        <v>2950</v>
      </c>
      <c r="W97" s="2" t="s">
        <v>74</v>
      </c>
      <c r="X97" s="2" t="s">
        <v>74</v>
      </c>
      <c r="Y97" s="2" t="s">
        <v>74</v>
      </c>
      <c r="Z97" s="2" t="s">
        <v>74</v>
      </c>
      <c r="AA97" s="2" t="s">
        <v>2951</v>
      </c>
      <c r="AB97" s="2" t="s">
        <v>2952</v>
      </c>
      <c r="AC97" s="2" t="s">
        <v>74</v>
      </c>
      <c r="AD97" s="2" t="s">
        <v>74</v>
      </c>
      <c r="AE97" s="2" t="s">
        <v>74</v>
      </c>
      <c r="AF97" s="2" t="s">
        <v>74</v>
      </c>
      <c r="AG97" s="2" t="s">
        <v>74</v>
      </c>
      <c r="AH97" s="2" t="s">
        <v>74</v>
      </c>
      <c r="AI97" s="2" t="s">
        <v>74</v>
      </c>
      <c r="AJ97" s="2" t="s">
        <v>74</v>
      </c>
      <c r="AK97" s="2" t="s">
        <v>74</v>
      </c>
      <c r="AL97" s="2" t="s">
        <v>74</v>
      </c>
      <c r="AM97" s="2" t="s">
        <v>74</v>
      </c>
      <c r="AN97" s="2" t="s">
        <v>74</v>
      </c>
      <c r="AO97" s="2" t="s">
        <v>143</v>
      </c>
      <c r="AP97" s="2" t="s">
        <v>74</v>
      </c>
      <c r="AQ97" s="2" t="s">
        <v>74</v>
      </c>
      <c r="AR97" s="2" t="s">
        <v>74</v>
      </c>
      <c r="AS97" s="2" t="s">
        <v>74</v>
      </c>
      <c r="AT97" s="2" t="s">
        <v>145</v>
      </c>
      <c r="AU97" s="2">
        <v>2004</v>
      </c>
      <c r="AV97" s="2">
        <v>68</v>
      </c>
      <c r="AW97" s="2" t="s">
        <v>74</v>
      </c>
      <c r="AX97" s="2">
        <v>2</v>
      </c>
      <c r="AY97" s="2" t="s">
        <v>74</v>
      </c>
      <c r="AZ97" s="2" t="s">
        <v>74</v>
      </c>
      <c r="BA97" s="2" t="s">
        <v>74</v>
      </c>
      <c r="BB97" s="2">
        <v>273</v>
      </c>
      <c r="BC97" s="2">
        <v>282</v>
      </c>
      <c r="BD97" s="2" t="s">
        <v>74</v>
      </c>
      <c r="BE97" s="2" t="s">
        <v>2953</v>
      </c>
      <c r="BF97" s="2" t="str">
        <f>HYPERLINK("http://dx.doi.org/10.1016/j.anbehav.2003.11.010","http://dx.doi.org/10.1016/j.anbehav.2003.11.010")</f>
        <v>http://dx.doi.org/10.1016/j.anbehav.2003.11.010</v>
      </c>
      <c r="BG97" s="2" t="s">
        <v>74</v>
      </c>
      <c r="BH97" s="2" t="s">
        <v>74</v>
      </c>
      <c r="BI97" s="2" t="s">
        <v>74</v>
      </c>
      <c r="BJ97" s="2" t="s">
        <v>74</v>
      </c>
      <c r="BK97" s="2" t="s">
        <v>74</v>
      </c>
      <c r="BL97" s="2" t="s">
        <v>74</v>
      </c>
      <c r="BM97" s="2" t="s">
        <v>74</v>
      </c>
      <c r="BN97" s="2" t="s">
        <v>74</v>
      </c>
      <c r="BO97" s="2" t="s">
        <v>74</v>
      </c>
      <c r="BP97" s="2" t="s">
        <v>74</v>
      </c>
      <c r="BQ97" s="2" t="s">
        <v>74</v>
      </c>
      <c r="BR97" s="2" t="s">
        <v>74</v>
      </c>
      <c r="BS97" s="2" t="s">
        <v>2954</v>
      </c>
      <c r="BT97" s="2" t="str">
        <f>HYPERLINK("https%3A%2F%2Fwww.webofscience.com%2Fwos%2Fwoscc%2Ffull-record%2FWOS:000223614300006","View Full Record in Web of Science")</f>
        <v>View Full Record in Web of Science</v>
      </c>
    </row>
    <row r="98" spans="1:314" s="2" customFormat="1" x14ac:dyDescent="0.4">
      <c r="A98" s="2" t="s">
        <v>72</v>
      </c>
      <c r="B98" s="2" t="s">
        <v>4227</v>
      </c>
      <c r="C98" s="2" t="s">
        <v>74</v>
      </c>
      <c r="D98" s="2" t="s">
        <v>74</v>
      </c>
      <c r="E98" s="2" t="s">
        <v>74</v>
      </c>
      <c r="F98" s="2" t="s">
        <v>4227</v>
      </c>
      <c r="G98" s="2" t="s">
        <v>74</v>
      </c>
      <c r="H98" s="2" t="s">
        <v>74</v>
      </c>
      <c r="I98" s="2" t="s">
        <v>4228</v>
      </c>
      <c r="J98" s="2" t="s">
        <v>77</v>
      </c>
      <c r="K98" s="2" t="s">
        <v>74</v>
      </c>
      <c r="L98" s="2" t="s">
        <v>74</v>
      </c>
      <c r="M98" s="2" t="s">
        <v>74</v>
      </c>
      <c r="N98" s="2" t="s">
        <v>74</v>
      </c>
      <c r="O98" s="2" t="s">
        <v>74</v>
      </c>
      <c r="P98" s="2" t="s">
        <v>74</v>
      </c>
      <c r="Q98" s="2" t="s">
        <v>74</v>
      </c>
      <c r="R98" s="2" t="s">
        <v>74</v>
      </c>
      <c r="S98" s="2" t="s">
        <v>74</v>
      </c>
      <c r="T98" s="2" t="s">
        <v>74</v>
      </c>
      <c r="U98" s="2" t="s">
        <v>74</v>
      </c>
      <c r="V98" s="5" t="s">
        <v>4229</v>
      </c>
      <c r="W98" s="2" t="s">
        <v>74</v>
      </c>
      <c r="X98" s="2" t="s">
        <v>74</v>
      </c>
      <c r="Y98" s="2" t="s">
        <v>74</v>
      </c>
      <c r="Z98" s="2" t="s">
        <v>74</v>
      </c>
      <c r="AA98" s="2" t="s">
        <v>74</v>
      </c>
      <c r="AB98" s="2" t="s">
        <v>74</v>
      </c>
      <c r="AC98" s="2" t="s">
        <v>74</v>
      </c>
      <c r="AD98" s="2" t="s">
        <v>74</v>
      </c>
      <c r="AE98" s="2" t="s">
        <v>74</v>
      </c>
      <c r="AF98" s="2" t="s">
        <v>74</v>
      </c>
      <c r="AG98" s="2" t="s">
        <v>74</v>
      </c>
      <c r="AH98" s="2" t="s">
        <v>74</v>
      </c>
      <c r="AI98" s="2" t="s">
        <v>74</v>
      </c>
      <c r="AJ98" s="2" t="s">
        <v>74</v>
      </c>
      <c r="AK98" s="2" t="s">
        <v>74</v>
      </c>
      <c r="AL98" s="2" t="s">
        <v>74</v>
      </c>
      <c r="AM98" s="2" t="s">
        <v>74</v>
      </c>
      <c r="AN98" s="2" t="s">
        <v>74</v>
      </c>
      <c r="AO98" s="2" t="s">
        <v>81</v>
      </c>
      <c r="AP98" s="2" t="s">
        <v>82</v>
      </c>
      <c r="AQ98" s="2" t="s">
        <v>74</v>
      </c>
      <c r="AR98" s="2" t="s">
        <v>74</v>
      </c>
      <c r="AS98" s="2" t="s">
        <v>74</v>
      </c>
      <c r="AT98" s="2" t="s">
        <v>74</v>
      </c>
      <c r="AU98" s="2">
        <v>1978</v>
      </c>
      <c r="AV98" s="2">
        <v>64</v>
      </c>
      <c r="AW98" s="2" t="s">
        <v>74</v>
      </c>
      <c r="AX98" s="2" t="s">
        <v>1276</v>
      </c>
      <c r="AY98" s="2" t="s">
        <v>74</v>
      </c>
      <c r="AZ98" s="2" t="s">
        <v>74</v>
      </c>
      <c r="BA98" s="2" t="s">
        <v>74</v>
      </c>
      <c r="BB98" s="2">
        <v>271</v>
      </c>
      <c r="BC98" s="2">
        <v>297</v>
      </c>
      <c r="BD98" s="2" t="s">
        <v>74</v>
      </c>
      <c r="BE98" s="2" t="s">
        <v>4230</v>
      </c>
      <c r="BF98" s="2" t="str">
        <f>HYPERLINK("http://dx.doi.org/10.1163/156853978X00062","http://dx.doi.org/10.1163/156853978X00062")</f>
        <v>http://dx.doi.org/10.1163/156853978X00062</v>
      </c>
      <c r="BG98" s="2" t="s">
        <v>74</v>
      </c>
      <c r="BH98" s="2" t="s">
        <v>74</v>
      </c>
      <c r="BI98" s="2" t="s">
        <v>74</v>
      </c>
      <c r="BJ98" s="2" t="s">
        <v>74</v>
      </c>
      <c r="BK98" s="2" t="s">
        <v>74</v>
      </c>
      <c r="BL98" s="2" t="s">
        <v>74</v>
      </c>
      <c r="BM98" s="2" t="s">
        <v>74</v>
      </c>
      <c r="BN98" s="2">
        <v>566542</v>
      </c>
      <c r="BO98" s="2" t="s">
        <v>74</v>
      </c>
      <c r="BP98" s="2" t="s">
        <v>74</v>
      </c>
      <c r="BQ98" s="2" t="s">
        <v>74</v>
      </c>
      <c r="BR98" s="2" t="s">
        <v>74</v>
      </c>
      <c r="BS98" s="2" t="s">
        <v>4231</v>
      </c>
      <c r="BT98" s="2" t="str">
        <f>HYPERLINK("https%3A%2F%2Fwww.webofscience.com%2Fwos%2Fwoscc%2Ffull-record%2FWOS:A1978EY03400006","View Full Record in Web of Science")</f>
        <v>View Full Record in Web of Science</v>
      </c>
    </row>
    <row r="99" spans="1:314" s="2" customFormat="1" x14ac:dyDescent="0.4">
      <c r="A99" s="2" t="s">
        <v>72</v>
      </c>
      <c r="B99" s="2" t="s">
        <v>6117</v>
      </c>
      <c r="C99" s="2" t="s">
        <v>74</v>
      </c>
      <c r="D99" s="2" t="s">
        <v>74</v>
      </c>
      <c r="E99" s="2" t="s">
        <v>74</v>
      </c>
      <c r="F99" s="2" t="s">
        <v>6117</v>
      </c>
      <c r="G99" s="2" t="s">
        <v>74</v>
      </c>
      <c r="H99" s="2" t="s">
        <v>74</v>
      </c>
      <c r="I99" s="2" t="s">
        <v>6118</v>
      </c>
      <c r="J99" s="2" t="s">
        <v>431</v>
      </c>
      <c r="K99" s="2" t="s">
        <v>74</v>
      </c>
      <c r="L99" s="2" t="s">
        <v>74</v>
      </c>
      <c r="M99" s="2" t="s">
        <v>74</v>
      </c>
      <c r="N99" s="2" t="s">
        <v>74</v>
      </c>
      <c r="O99" s="2" t="s">
        <v>74</v>
      </c>
      <c r="P99" s="2" t="s">
        <v>74</v>
      </c>
      <c r="Q99" s="2" t="s">
        <v>74</v>
      </c>
      <c r="R99" s="2" t="s">
        <v>74</v>
      </c>
      <c r="S99" s="2" t="s">
        <v>74</v>
      </c>
      <c r="T99" s="2" t="s">
        <v>74</v>
      </c>
      <c r="U99" s="2" t="s">
        <v>74</v>
      </c>
      <c r="V99" s="5" t="s">
        <v>6119</v>
      </c>
      <c r="W99" s="2" t="s">
        <v>74</v>
      </c>
      <c r="X99" s="2" t="s">
        <v>74</v>
      </c>
      <c r="Y99" s="2" t="s">
        <v>74</v>
      </c>
      <c r="Z99" s="2" t="s">
        <v>74</v>
      </c>
      <c r="AA99" s="2" t="s">
        <v>74</v>
      </c>
      <c r="AB99" s="2" t="s">
        <v>74</v>
      </c>
      <c r="AC99" s="2" t="s">
        <v>74</v>
      </c>
      <c r="AD99" s="2" t="s">
        <v>74</v>
      </c>
      <c r="AE99" s="2" t="s">
        <v>74</v>
      </c>
      <c r="AF99" s="2" t="s">
        <v>74</v>
      </c>
      <c r="AG99" s="2" t="s">
        <v>74</v>
      </c>
      <c r="AH99" s="2" t="s">
        <v>74</v>
      </c>
      <c r="AI99" s="2" t="s">
        <v>74</v>
      </c>
      <c r="AJ99" s="2" t="s">
        <v>74</v>
      </c>
      <c r="AK99" s="2" t="s">
        <v>74</v>
      </c>
      <c r="AL99" s="2" t="s">
        <v>74</v>
      </c>
      <c r="AM99" s="2" t="s">
        <v>74</v>
      </c>
      <c r="AN99" s="2" t="s">
        <v>74</v>
      </c>
      <c r="AO99" s="2" t="s">
        <v>74</v>
      </c>
      <c r="AP99" s="2" t="s">
        <v>435</v>
      </c>
      <c r="AQ99" s="2" t="s">
        <v>74</v>
      </c>
      <c r="AR99" s="2" t="s">
        <v>74</v>
      </c>
      <c r="AS99" s="2" t="s">
        <v>74</v>
      </c>
      <c r="AT99" s="2" t="s">
        <v>175</v>
      </c>
      <c r="AU99" s="2">
        <v>1987</v>
      </c>
      <c r="AV99" s="2">
        <v>104</v>
      </c>
      <c r="AW99" s="2">
        <v>4</v>
      </c>
      <c r="AX99" s="2" t="s">
        <v>74</v>
      </c>
      <c r="AY99" s="2" t="s">
        <v>74</v>
      </c>
      <c r="AZ99" s="2" t="s">
        <v>74</v>
      </c>
      <c r="BA99" s="2" t="s">
        <v>74</v>
      </c>
      <c r="BB99" s="2">
        <v>717</v>
      </c>
      <c r="BC99" s="2">
        <v>723</v>
      </c>
      <c r="BD99" s="2" t="s">
        <v>74</v>
      </c>
      <c r="BE99" s="2" t="s">
        <v>6120</v>
      </c>
      <c r="BF99" s="2" t="str">
        <f>HYPERLINK("http://dx.doi.org/10.1093/auk/104.4.717","http://dx.doi.org/10.1093/auk/104.4.717")</f>
        <v>http://dx.doi.org/10.1093/auk/104.4.717</v>
      </c>
      <c r="BG99" s="2" t="s">
        <v>74</v>
      </c>
      <c r="BH99" s="2" t="s">
        <v>74</v>
      </c>
      <c r="BI99" s="2" t="s">
        <v>74</v>
      </c>
      <c r="BJ99" s="2" t="s">
        <v>74</v>
      </c>
      <c r="BK99" s="2" t="s">
        <v>74</v>
      </c>
      <c r="BL99" s="2" t="s">
        <v>74</v>
      </c>
      <c r="BM99" s="2" t="s">
        <v>74</v>
      </c>
      <c r="BN99" s="2" t="s">
        <v>74</v>
      </c>
      <c r="BO99" s="2" t="s">
        <v>74</v>
      </c>
      <c r="BP99" s="2" t="s">
        <v>74</v>
      </c>
      <c r="BQ99" s="2" t="s">
        <v>74</v>
      </c>
      <c r="BR99" s="2" t="s">
        <v>74</v>
      </c>
      <c r="BS99" s="2" t="s">
        <v>6121</v>
      </c>
      <c r="BT99" s="2" t="str">
        <f>HYPERLINK("https%3A%2F%2Fwww.webofscience.com%2Fwos%2Fwoscc%2Ffull-record%2FWOS:A1987K764400015","View Full Record in Web of Science")</f>
        <v>View Full Record in Web of Science</v>
      </c>
    </row>
    <row r="100" spans="1:314" s="2" customFormat="1" x14ac:dyDescent="0.4">
      <c r="A100" s="2" t="s">
        <v>72</v>
      </c>
      <c r="B100" s="2" t="s">
        <v>6276</v>
      </c>
      <c r="C100" s="2" t="s">
        <v>74</v>
      </c>
      <c r="D100" s="2" t="s">
        <v>74</v>
      </c>
      <c r="E100" s="2" t="s">
        <v>74</v>
      </c>
      <c r="F100" s="2" t="s">
        <v>6276</v>
      </c>
      <c r="G100" s="2" t="s">
        <v>74</v>
      </c>
      <c r="H100" s="2" t="s">
        <v>74</v>
      </c>
      <c r="I100" s="2" t="s">
        <v>6277</v>
      </c>
      <c r="J100" s="2" t="s">
        <v>6278</v>
      </c>
      <c r="K100" s="2" t="s">
        <v>74</v>
      </c>
      <c r="L100" s="2" t="s">
        <v>74</v>
      </c>
      <c r="M100" s="2" t="s">
        <v>74</v>
      </c>
      <c r="N100" s="2" t="s">
        <v>74</v>
      </c>
      <c r="O100" s="2" t="s">
        <v>74</v>
      </c>
      <c r="P100" s="2" t="s">
        <v>74</v>
      </c>
      <c r="Q100" s="2" t="s">
        <v>74</v>
      </c>
      <c r="R100" s="2" t="s">
        <v>74</v>
      </c>
      <c r="S100" s="2" t="s">
        <v>74</v>
      </c>
      <c r="T100" s="2" t="s">
        <v>74</v>
      </c>
      <c r="U100" s="2" t="s">
        <v>74</v>
      </c>
      <c r="V100" s="5" t="s">
        <v>6279</v>
      </c>
      <c r="W100" s="2" t="s">
        <v>74</v>
      </c>
      <c r="X100" s="2" t="s">
        <v>74</v>
      </c>
      <c r="Y100" s="2" t="s">
        <v>74</v>
      </c>
      <c r="Z100" s="2" t="s">
        <v>74</v>
      </c>
      <c r="AA100" s="2" t="s">
        <v>74</v>
      </c>
      <c r="AB100" s="2" t="s">
        <v>74</v>
      </c>
      <c r="AC100" s="2" t="s">
        <v>74</v>
      </c>
      <c r="AD100" s="2" t="s">
        <v>74</v>
      </c>
      <c r="AE100" s="2" t="s">
        <v>74</v>
      </c>
      <c r="AF100" s="2" t="s">
        <v>74</v>
      </c>
      <c r="AG100" s="2" t="s">
        <v>74</v>
      </c>
      <c r="AH100" s="2" t="s">
        <v>74</v>
      </c>
      <c r="AI100" s="2" t="s">
        <v>74</v>
      </c>
      <c r="AJ100" s="2" t="s">
        <v>74</v>
      </c>
      <c r="AK100" s="2" t="s">
        <v>74</v>
      </c>
      <c r="AL100" s="2" t="s">
        <v>74</v>
      </c>
      <c r="AM100" s="2" t="s">
        <v>74</v>
      </c>
      <c r="AN100" s="2" t="s">
        <v>74</v>
      </c>
      <c r="AO100" s="2" t="s">
        <v>6280</v>
      </c>
      <c r="AP100" s="2" t="s">
        <v>6281</v>
      </c>
      <c r="AQ100" s="2" t="s">
        <v>74</v>
      </c>
      <c r="AR100" s="2" t="s">
        <v>74</v>
      </c>
      <c r="AS100" s="2" t="s">
        <v>74</v>
      </c>
      <c r="AT100" s="2" t="s">
        <v>145</v>
      </c>
      <c r="AU100" s="2">
        <v>1989</v>
      </c>
      <c r="AV100" s="2">
        <v>46</v>
      </c>
      <c r="AW100" s="2">
        <v>8</v>
      </c>
      <c r="AX100" s="2" t="s">
        <v>74</v>
      </c>
      <c r="AY100" s="2" t="s">
        <v>74</v>
      </c>
      <c r="AZ100" s="2" t="s">
        <v>74</v>
      </c>
      <c r="BA100" s="2" t="s">
        <v>74</v>
      </c>
      <c r="BB100" s="2">
        <v>1406</v>
      </c>
      <c r="BC100" s="2">
        <v>1414</v>
      </c>
      <c r="BD100" s="2" t="s">
        <v>74</v>
      </c>
      <c r="BE100" s="2" t="s">
        <v>6282</v>
      </c>
      <c r="BF100" s="2" t="str">
        <f>HYPERLINK("http://dx.doi.org/10.1139/f89-180","http://dx.doi.org/10.1139/f89-180")</f>
        <v>http://dx.doi.org/10.1139/f89-180</v>
      </c>
      <c r="BG100" s="2" t="s">
        <v>74</v>
      </c>
      <c r="BH100" s="2" t="s">
        <v>74</v>
      </c>
      <c r="BI100" s="2" t="s">
        <v>74</v>
      </c>
      <c r="BJ100" s="2" t="s">
        <v>74</v>
      </c>
      <c r="BK100" s="2" t="s">
        <v>74</v>
      </c>
      <c r="BL100" s="2" t="s">
        <v>74</v>
      </c>
      <c r="BM100" s="2" t="s">
        <v>74</v>
      </c>
      <c r="BN100" s="2" t="s">
        <v>74</v>
      </c>
      <c r="BO100" s="2" t="s">
        <v>74</v>
      </c>
      <c r="BP100" s="2" t="s">
        <v>74</v>
      </c>
      <c r="BQ100" s="2" t="s">
        <v>74</v>
      </c>
      <c r="BR100" s="2" t="s">
        <v>74</v>
      </c>
      <c r="BS100" s="2" t="s">
        <v>6283</v>
      </c>
      <c r="BT100" s="2" t="str">
        <f>HYPERLINK("https%3A%2F%2Fwww.webofscience.com%2Fwos%2Fwoscc%2Ffull-record%2FWOS:A1989AJ57000018","View Full Record in Web of Science")</f>
        <v>View Full Record in Web of Science</v>
      </c>
    </row>
    <row r="101" spans="1:314" s="2" customFormat="1" x14ac:dyDescent="0.4">
      <c r="A101" s="2" t="s">
        <v>72</v>
      </c>
      <c r="B101" s="2" t="s">
        <v>515</v>
      </c>
      <c r="C101" s="2" t="s">
        <v>74</v>
      </c>
      <c r="D101" s="2" t="s">
        <v>74</v>
      </c>
      <c r="E101" s="2" t="s">
        <v>74</v>
      </c>
      <c r="F101" s="2" t="s">
        <v>515</v>
      </c>
      <c r="G101" s="2" t="s">
        <v>74</v>
      </c>
      <c r="H101" s="2" t="s">
        <v>74</v>
      </c>
      <c r="I101" s="2" t="s">
        <v>516</v>
      </c>
      <c r="J101" s="2" t="s">
        <v>517</v>
      </c>
      <c r="K101" s="2" t="s">
        <v>74</v>
      </c>
      <c r="L101" s="2" t="s">
        <v>74</v>
      </c>
      <c r="M101" s="2" t="s">
        <v>74</v>
      </c>
      <c r="N101" s="2" t="s">
        <v>74</v>
      </c>
      <c r="O101" s="2" t="s">
        <v>518</v>
      </c>
      <c r="P101" s="2" t="s">
        <v>519</v>
      </c>
      <c r="Q101" s="2" t="s">
        <v>520</v>
      </c>
      <c r="R101" s="2" t="s">
        <v>521</v>
      </c>
      <c r="S101" s="2" t="s">
        <v>74</v>
      </c>
      <c r="T101" s="2" t="s">
        <v>74</v>
      </c>
      <c r="U101" s="2" t="s">
        <v>74</v>
      </c>
      <c r="V101" s="5" t="s">
        <v>522</v>
      </c>
      <c r="W101" s="2" t="s">
        <v>74</v>
      </c>
      <c r="X101" s="2" t="s">
        <v>74</v>
      </c>
      <c r="Y101" s="2" t="s">
        <v>74</v>
      </c>
      <c r="Z101" s="2" t="s">
        <v>74</v>
      </c>
      <c r="AA101" s="2" t="s">
        <v>523</v>
      </c>
      <c r="AB101" s="2" t="s">
        <v>524</v>
      </c>
      <c r="AC101" s="2" t="s">
        <v>74</v>
      </c>
      <c r="AD101" s="2" t="s">
        <v>74</v>
      </c>
      <c r="AE101" s="2" t="s">
        <v>74</v>
      </c>
      <c r="AF101" s="2" t="s">
        <v>74</v>
      </c>
      <c r="AG101" s="2" t="s">
        <v>74</v>
      </c>
      <c r="AH101" s="2" t="s">
        <v>74</v>
      </c>
      <c r="AI101" s="2" t="s">
        <v>74</v>
      </c>
      <c r="AJ101" s="2" t="s">
        <v>74</v>
      </c>
      <c r="AK101" s="2" t="s">
        <v>74</v>
      </c>
      <c r="AL101" s="2" t="s">
        <v>74</v>
      </c>
      <c r="AM101" s="2" t="s">
        <v>74</v>
      </c>
      <c r="AN101" s="2" t="s">
        <v>74</v>
      </c>
      <c r="AO101" s="2" t="s">
        <v>525</v>
      </c>
      <c r="AP101" s="2" t="s">
        <v>74</v>
      </c>
      <c r="AQ101" s="2" t="s">
        <v>74</v>
      </c>
      <c r="AR101" s="2" t="s">
        <v>74</v>
      </c>
      <c r="AS101" s="2" t="s">
        <v>74</v>
      </c>
      <c r="AT101" s="2" t="s">
        <v>305</v>
      </c>
      <c r="AU101" s="2">
        <v>2003</v>
      </c>
      <c r="AV101" s="2">
        <v>36</v>
      </c>
      <c r="AW101" s="2">
        <v>12</v>
      </c>
      <c r="AX101" s="2" t="s">
        <v>74</v>
      </c>
      <c r="AY101" s="2" t="s">
        <v>74</v>
      </c>
      <c r="AZ101" s="2" t="s">
        <v>74</v>
      </c>
      <c r="BA101" s="2" t="s">
        <v>74</v>
      </c>
      <c r="BB101" s="2">
        <v>1659</v>
      </c>
      <c r="BC101" s="2">
        <v>1663</v>
      </c>
      <c r="BD101" s="2" t="s">
        <v>74</v>
      </c>
      <c r="BE101" s="2" t="s">
        <v>526</v>
      </c>
      <c r="BF101" s="2" t="str">
        <f>HYPERLINK("http://dx.doi.org/10.1590/S0100-879X2003001200007","http://dx.doi.org/10.1590/S0100-879X2003001200007")</f>
        <v>http://dx.doi.org/10.1590/S0100-879X2003001200007</v>
      </c>
      <c r="BG101" s="2" t="s">
        <v>74</v>
      </c>
      <c r="BH101" s="2" t="s">
        <v>74</v>
      </c>
      <c r="BI101" s="2" t="s">
        <v>74</v>
      </c>
      <c r="BJ101" s="2" t="s">
        <v>74</v>
      </c>
      <c r="BK101" s="2" t="s">
        <v>74</v>
      </c>
      <c r="BL101" s="2" t="s">
        <v>74</v>
      </c>
      <c r="BM101" s="2" t="s">
        <v>74</v>
      </c>
      <c r="BN101" s="2">
        <v>14666250</v>
      </c>
      <c r="BO101" s="2" t="s">
        <v>74</v>
      </c>
      <c r="BP101" s="2" t="s">
        <v>74</v>
      </c>
      <c r="BQ101" s="2" t="s">
        <v>74</v>
      </c>
      <c r="BR101" s="2" t="s">
        <v>74</v>
      </c>
      <c r="BS101" s="2" t="s">
        <v>527</v>
      </c>
      <c r="BT101" s="2" t="str">
        <f>HYPERLINK("https%3A%2F%2Fwww.webofscience.com%2Fwos%2Fwoscc%2Ffull-record%2FWOS:000187175000007","View Full Record in Web of Science")</f>
        <v>View Full Record in Web of Science</v>
      </c>
    </row>
    <row r="102" spans="1:314" s="2" customFormat="1" x14ac:dyDescent="0.4">
      <c r="A102" s="2" t="s">
        <v>72</v>
      </c>
      <c r="B102" s="2" t="s">
        <v>1734</v>
      </c>
      <c r="C102" s="2" t="s">
        <v>74</v>
      </c>
      <c r="D102" s="2" t="s">
        <v>74</v>
      </c>
      <c r="E102" s="2" t="s">
        <v>74</v>
      </c>
      <c r="F102" s="2" t="s">
        <v>1735</v>
      </c>
      <c r="G102" s="2" t="s">
        <v>74</v>
      </c>
      <c r="H102" s="2" t="s">
        <v>74</v>
      </c>
      <c r="I102" s="2" t="s">
        <v>1736</v>
      </c>
      <c r="J102" s="2" t="s">
        <v>610</v>
      </c>
      <c r="K102" s="2" t="s">
        <v>74</v>
      </c>
      <c r="L102" s="2" t="s">
        <v>74</v>
      </c>
      <c r="M102" s="2" t="s">
        <v>74</v>
      </c>
      <c r="N102" s="2" t="s">
        <v>74</v>
      </c>
      <c r="O102" s="2" t="s">
        <v>74</v>
      </c>
      <c r="P102" s="2" t="s">
        <v>74</v>
      </c>
      <c r="Q102" s="2" t="s">
        <v>74</v>
      </c>
      <c r="R102" s="2" t="s">
        <v>74</v>
      </c>
      <c r="S102" s="2" t="s">
        <v>74</v>
      </c>
      <c r="T102" s="2" t="s">
        <v>74</v>
      </c>
      <c r="U102" s="2" t="s">
        <v>74</v>
      </c>
      <c r="V102" s="5" t="s">
        <v>1737</v>
      </c>
      <c r="W102" s="2" t="s">
        <v>74</v>
      </c>
      <c r="X102" s="2" t="s">
        <v>74</v>
      </c>
      <c r="Y102" s="2" t="s">
        <v>74</v>
      </c>
      <c r="Z102" s="2" t="s">
        <v>74</v>
      </c>
      <c r="AA102" s="2" t="s">
        <v>589</v>
      </c>
      <c r="AB102" s="2" t="s">
        <v>590</v>
      </c>
      <c r="AC102" s="2" t="s">
        <v>74</v>
      </c>
      <c r="AD102" s="2" t="s">
        <v>74</v>
      </c>
      <c r="AE102" s="2" t="s">
        <v>74</v>
      </c>
      <c r="AF102" s="2" t="s">
        <v>74</v>
      </c>
      <c r="AG102" s="2" t="s">
        <v>74</v>
      </c>
      <c r="AH102" s="2" t="s">
        <v>74</v>
      </c>
      <c r="AI102" s="2" t="s">
        <v>74</v>
      </c>
      <c r="AJ102" s="2" t="s">
        <v>74</v>
      </c>
      <c r="AK102" s="2" t="s">
        <v>74</v>
      </c>
      <c r="AL102" s="2" t="s">
        <v>74</v>
      </c>
      <c r="AM102" s="2" t="s">
        <v>74</v>
      </c>
      <c r="AN102" s="2" t="s">
        <v>74</v>
      </c>
      <c r="AO102" s="2" t="s">
        <v>614</v>
      </c>
      <c r="AP102" s="2" t="s">
        <v>615</v>
      </c>
      <c r="AQ102" s="2" t="s">
        <v>74</v>
      </c>
      <c r="AR102" s="2" t="s">
        <v>74</v>
      </c>
      <c r="AS102" s="2" t="s">
        <v>74</v>
      </c>
      <c r="AT102" s="2" t="s">
        <v>305</v>
      </c>
      <c r="AU102" s="2">
        <v>2020</v>
      </c>
      <c r="AV102" s="2">
        <v>126</v>
      </c>
      <c r="AW102" s="2">
        <v>12</v>
      </c>
      <c r="AX102" s="2" t="s">
        <v>74</v>
      </c>
      <c r="AY102" s="2" t="s">
        <v>74</v>
      </c>
      <c r="AZ102" s="2" t="s">
        <v>74</v>
      </c>
      <c r="BA102" s="2" t="s">
        <v>74</v>
      </c>
      <c r="BB102" s="2">
        <v>1131</v>
      </c>
      <c r="BC102" s="2">
        <v>1140</v>
      </c>
      <c r="BD102" s="2" t="s">
        <v>74</v>
      </c>
      <c r="BE102" s="2" t="s">
        <v>1738</v>
      </c>
      <c r="BF102" s="2" t="str">
        <f>HYPERLINK("http://dx.doi.org/10.1111/eth.13093","http://dx.doi.org/10.1111/eth.13093")</f>
        <v>http://dx.doi.org/10.1111/eth.13093</v>
      </c>
      <c r="BG102" s="2" t="s">
        <v>74</v>
      </c>
      <c r="BH102" s="2" t="s">
        <v>1067</v>
      </c>
      <c r="BI102" s="2" t="s">
        <v>74</v>
      </c>
      <c r="BJ102" s="2" t="s">
        <v>74</v>
      </c>
      <c r="BK102" s="2" t="s">
        <v>74</v>
      </c>
      <c r="BL102" s="2" t="s">
        <v>74</v>
      </c>
      <c r="BM102" s="2" t="s">
        <v>74</v>
      </c>
      <c r="BN102" s="2" t="s">
        <v>74</v>
      </c>
      <c r="BO102" s="2" t="s">
        <v>74</v>
      </c>
      <c r="BP102" s="2" t="s">
        <v>74</v>
      </c>
      <c r="BQ102" s="2" t="s">
        <v>74</v>
      </c>
      <c r="BR102" s="2" t="s">
        <v>74</v>
      </c>
      <c r="BS102" s="2" t="s">
        <v>1739</v>
      </c>
      <c r="BT102" s="2" t="str">
        <f>HYPERLINK("https%3A%2F%2Fwww.webofscience.com%2Fwos%2Fwoscc%2Ffull-record%2FWOS:000572325900001","View Full Record in Web of Science")</f>
        <v>View Full Record in Web of Science</v>
      </c>
    </row>
    <row r="103" spans="1:314" s="2" customFormat="1" x14ac:dyDescent="0.4">
      <c r="A103" s="2" t="s">
        <v>72</v>
      </c>
      <c r="B103" s="2" t="s">
        <v>3562</v>
      </c>
      <c r="C103" s="2" t="s">
        <v>74</v>
      </c>
      <c r="D103" s="2" t="s">
        <v>74</v>
      </c>
      <c r="E103" s="2" t="s">
        <v>74</v>
      </c>
      <c r="F103" s="2" t="s">
        <v>3563</v>
      </c>
      <c r="G103" s="2" t="s">
        <v>74</v>
      </c>
      <c r="H103" s="2" t="s">
        <v>74</v>
      </c>
      <c r="I103" s="2" t="s">
        <v>3564</v>
      </c>
      <c r="J103" s="2" t="s">
        <v>129</v>
      </c>
      <c r="K103" s="2" t="s">
        <v>74</v>
      </c>
      <c r="L103" s="2" t="s">
        <v>74</v>
      </c>
      <c r="M103" s="2" t="s">
        <v>74</v>
      </c>
      <c r="N103" s="2" t="s">
        <v>74</v>
      </c>
      <c r="O103" s="2" t="s">
        <v>74</v>
      </c>
      <c r="P103" s="2" t="s">
        <v>74</v>
      </c>
      <c r="Q103" s="2" t="s">
        <v>74</v>
      </c>
      <c r="R103" s="2" t="s">
        <v>74</v>
      </c>
      <c r="S103" s="2" t="s">
        <v>74</v>
      </c>
      <c r="T103" s="2" t="s">
        <v>74</v>
      </c>
      <c r="U103" s="2" t="s">
        <v>74</v>
      </c>
      <c r="V103" s="5" t="s">
        <v>3565</v>
      </c>
      <c r="W103" s="2" t="s">
        <v>74</v>
      </c>
      <c r="X103" s="2" t="s">
        <v>74</v>
      </c>
      <c r="Y103" s="2" t="s">
        <v>74</v>
      </c>
      <c r="Z103" s="2" t="s">
        <v>74</v>
      </c>
      <c r="AA103" s="2" t="s">
        <v>3566</v>
      </c>
      <c r="AB103" s="2" t="s">
        <v>3567</v>
      </c>
      <c r="AC103" s="2" t="s">
        <v>74</v>
      </c>
      <c r="AD103" s="2" t="s">
        <v>74</v>
      </c>
      <c r="AE103" s="2" t="s">
        <v>74</v>
      </c>
      <c r="AF103" s="2" t="s">
        <v>74</v>
      </c>
      <c r="AG103" s="2" t="s">
        <v>74</v>
      </c>
      <c r="AH103" s="2" t="s">
        <v>74</v>
      </c>
      <c r="AI103" s="2" t="s">
        <v>74</v>
      </c>
      <c r="AJ103" s="2" t="s">
        <v>74</v>
      </c>
      <c r="AK103" s="2" t="s">
        <v>74</v>
      </c>
      <c r="AL103" s="2" t="s">
        <v>74</v>
      </c>
      <c r="AM103" s="2" t="s">
        <v>74</v>
      </c>
      <c r="AN103" s="2" t="s">
        <v>74</v>
      </c>
      <c r="AO103" s="2" t="s">
        <v>132</v>
      </c>
      <c r="AP103" s="2" t="s">
        <v>133</v>
      </c>
      <c r="AQ103" s="2" t="s">
        <v>74</v>
      </c>
      <c r="AR103" s="2" t="s">
        <v>74</v>
      </c>
      <c r="AS103" s="2" t="s">
        <v>74</v>
      </c>
      <c r="AT103" s="2" t="s">
        <v>204</v>
      </c>
      <c r="AU103" s="2">
        <v>2018</v>
      </c>
      <c r="AV103" s="2">
        <v>72</v>
      </c>
      <c r="AW103" s="2">
        <v>7</v>
      </c>
      <c r="AX103" s="2" t="s">
        <v>74</v>
      </c>
      <c r="AY103" s="2" t="s">
        <v>74</v>
      </c>
      <c r="AZ103" s="2" t="s">
        <v>74</v>
      </c>
      <c r="BA103" s="2" t="s">
        <v>74</v>
      </c>
      <c r="BB103" s="2" t="s">
        <v>74</v>
      </c>
      <c r="BC103" s="2" t="s">
        <v>74</v>
      </c>
      <c r="BD103" s="2">
        <v>122</v>
      </c>
      <c r="BE103" s="2" t="s">
        <v>3568</v>
      </c>
      <c r="BF103" s="2" t="str">
        <f>HYPERLINK("http://dx.doi.org/10.1007/s00265-018-2537-z","http://dx.doi.org/10.1007/s00265-018-2537-z")</f>
        <v>http://dx.doi.org/10.1007/s00265-018-2537-z</v>
      </c>
      <c r="BG103" s="2" t="s">
        <v>74</v>
      </c>
      <c r="BH103" s="2" t="s">
        <v>74</v>
      </c>
      <c r="BI103" s="2" t="s">
        <v>74</v>
      </c>
      <c r="BJ103" s="2" t="s">
        <v>74</v>
      </c>
      <c r="BK103" s="2" t="s">
        <v>74</v>
      </c>
      <c r="BL103" s="2" t="s">
        <v>74</v>
      </c>
      <c r="BM103" s="2" t="s">
        <v>74</v>
      </c>
      <c r="BN103" s="2" t="s">
        <v>74</v>
      </c>
      <c r="BO103" s="2" t="s">
        <v>74</v>
      </c>
      <c r="BP103" s="2" t="s">
        <v>74</v>
      </c>
      <c r="BQ103" s="2" t="s">
        <v>74</v>
      </c>
      <c r="BR103" s="2" t="s">
        <v>74</v>
      </c>
      <c r="BS103" s="2" t="s">
        <v>3569</v>
      </c>
      <c r="BT103" s="2" t="str">
        <f>HYPERLINK("https%3A%2F%2Fwww.webofscience.com%2Fwos%2Fwoscc%2Ffull-record%2FWOS:000437169600001","View Full Record in Web of Science")</f>
        <v>View Full Record in Web of Science</v>
      </c>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row>
    <row r="104" spans="1:314" s="2" customFormat="1" x14ac:dyDescent="0.4">
      <c r="A104" s="2" t="s">
        <v>72</v>
      </c>
      <c r="B104" s="2" t="s">
        <v>5798</v>
      </c>
      <c r="C104" s="2" t="s">
        <v>74</v>
      </c>
      <c r="D104" s="2" t="s">
        <v>74</v>
      </c>
      <c r="E104" s="2" t="s">
        <v>74</v>
      </c>
      <c r="F104" s="2" t="s">
        <v>5799</v>
      </c>
      <c r="G104" s="2" t="s">
        <v>74</v>
      </c>
      <c r="H104" s="2" t="s">
        <v>74</v>
      </c>
      <c r="I104" s="2" t="s">
        <v>5800</v>
      </c>
      <c r="J104" s="2" t="s">
        <v>763</v>
      </c>
      <c r="K104" s="2" t="s">
        <v>74</v>
      </c>
      <c r="L104" s="2" t="s">
        <v>74</v>
      </c>
      <c r="M104" s="2" t="s">
        <v>74</v>
      </c>
      <c r="N104" s="2" t="s">
        <v>74</v>
      </c>
      <c r="O104" s="2" t="s">
        <v>74</v>
      </c>
      <c r="P104" s="2" t="s">
        <v>74</v>
      </c>
      <c r="Q104" s="2" t="s">
        <v>74</v>
      </c>
      <c r="R104" s="2" t="s">
        <v>74</v>
      </c>
      <c r="S104" s="2" t="s">
        <v>74</v>
      </c>
      <c r="T104" s="2" t="s">
        <v>74</v>
      </c>
      <c r="U104" s="2" t="s">
        <v>74</v>
      </c>
      <c r="V104" s="5" t="s">
        <v>5801</v>
      </c>
      <c r="W104" s="2" t="s">
        <v>74</v>
      </c>
      <c r="X104" s="2" t="s">
        <v>74</v>
      </c>
      <c r="Y104" s="2" t="s">
        <v>74</v>
      </c>
      <c r="Z104" s="2" t="s">
        <v>74</v>
      </c>
      <c r="AA104" s="2" t="s">
        <v>74</v>
      </c>
      <c r="AB104" s="2" t="s">
        <v>5802</v>
      </c>
      <c r="AC104" s="2" t="s">
        <v>74</v>
      </c>
      <c r="AD104" s="2" t="s">
        <v>74</v>
      </c>
      <c r="AE104" s="2" t="s">
        <v>74</v>
      </c>
      <c r="AF104" s="2" t="s">
        <v>74</v>
      </c>
      <c r="AG104" s="2" t="s">
        <v>74</v>
      </c>
      <c r="AH104" s="2" t="s">
        <v>74</v>
      </c>
      <c r="AI104" s="2" t="s">
        <v>74</v>
      </c>
      <c r="AJ104" s="2" t="s">
        <v>74</v>
      </c>
      <c r="AK104" s="2" t="s">
        <v>74</v>
      </c>
      <c r="AL104" s="2" t="s">
        <v>74</v>
      </c>
      <c r="AM104" s="2" t="s">
        <v>74</v>
      </c>
      <c r="AN104" s="2" t="s">
        <v>74</v>
      </c>
      <c r="AO104" s="2" t="s">
        <v>767</v>
      </c>
      <c r="AP104" s="2" t="s">
        <v>768</v>
      </c>
      <c r="AQ104" s="2" t="s">
        <v>74</v>
      </c>
      <c r="AR104" s="2" t="s">
        <v>74</v>
      </c>
      <c r="AS104" s="2" t="s">
        <v>74</v>
      </c>
      <c r="AT104" s="2" t="s">
        <v>145</v>
      </c>
      <c r="AU104" s="2">
        <v>2019</v>
      </c>
      <c r="AV104" s="2">
        <v>222</v>
      </c>
      <c r="AW104" s="2">
        <v>16</v>
      </c>
      <c r="AX104" s="2" t="s">
        <v>74</v>
      </c>
      <c r="AY104" s="2" t="s">
        <v>74</v>
      </c>
      <c r="AZ104" s="2" t="s">
        <v>74</v>
      </c>
      <c r="BA104" s="2" t="s">
        <v>74</v>
      </c>
      <c r="BB104" s="2" t="s">
        <v>74</v>
      </c>
      <c r="BC104" s="2" t="s">
        <v>74</v>
      </c>
      <c r="BD104" s="2" t="s">
        <v>5803</v>
      </c>
      <c r="BE104" s="2" t="s">
        <v>5804</v>
      </c>
      <c r="BF104" s="2" t="str">
        <f>HYPERLINK("http://dx.doi.org/10.1242/jeb.203414","http://dx.doi.org/10.1242/jeb.203414")</f>
        <v>http://dx.doi.org/10.1242/jeb.203414</v>
      </c>
      <c r="BG104" s="2" t="s">
        <v>74</v>
      </c>
      <c r="BH104" s="2" t="s">
        <v>74</v>
      </c>
      <c r="BI104" s="2" t="s">
        <v>74</v>
      </c>
      <c r="BJ104" s="2" t="s">
        <v>74</v>
      </c>
      <c r="BK104" s="2" t="s">
        <v>74</v>
      </c>
      <c r="BL104" s="2" t="s">
        <v>74</v>
      </c>
      <c r="BM104" s="2" t="s">
        <v>74</v>
      </c>
      <c r="BN104" s="2">
        <v>31315932</v>
      </c>
      <c r="BO104" s="2" t="s">
        <v>74</v>
      </c>
      <c r="BP104" s="2" t="s">
        <v>74</v>
      </c>
      <c r="BQ104" s="2" t="s">
        <v>74</v>
      </c>
      <c r="BR104" s="2" t="s">
        <v>74</v>
      </c>
      <c r="BS104" s="2" t="s">
        <v>5805</v>
      </c>
      <c r="BT104" s="2" t="str">
        <f>HYPERLINK("https%3A%2F%2Fwww.webofscience.com%2Fwos%2Fwoscc%2Ffull-record%2FWOS:000484368200006","View Full Record in Web of Science")</f>
        <v>View Full Record in Web of Science</v>
      </c>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row>
    <row r="105" spans="1:314" s="2" customFormat="1" x14ac:dyDescent="0.4">
      <c r="A105" s="2" t="s">
        <v>72</v>
      </c>
      <c r="B105" s="2" t="s">
        <v>6731</v>
      </c>
      <c r="C105" s="2" t="s">
        <v>74</v>
      </c>
      <c r="D105" s="2" t="s">
        <v>74</v>
      </c>
      <c r="E105" s="2" t="s">
        <v>74</v>
      </c>
      <c r="F105" s="2" t="s">
        <v>6732</v>
      </c>
      <c r="G105" s="2" t="s">
        <v>74</v>
      </c>
      <c r="H105" s="2" t="s">
        <v>74</v>
      </c>
      <c r="I105" s="2" t="s">
        <v>6733</v>
      </c>
      <c r="J105" s="2" t="s">
        <v>1656</v>
      </c>
      <c r="K105" s="2" t="s">
        <v>74</v>
      </c>
      <c r="L105" s="2" t="s">
        <v>74</v>
      </c>
      <c r="M105" s="2" t="s">
        <v>74</v>
      </c>
      <c r="N105" s="2" t="s">
        <v>74</v>
      </c>
      <c r="O105" s="2" t="s">
        <v>74</v>
      </c>
      <c r="P105" s="2" t="s">
        <v>74</v>
      </c>
      <c r="Q105" s="2" t="s">
        <v>74</v>
      </c>
      <c r="R105" s="2" t="s">
        <v>74</v>
      </c>
      <c r="S105" s="2" t="s">
        <v>74</v>
      </c>
      <c r="T105" s="2" t="s">
        <v>74</v>
      </c>
      <c r="U105" s="2" t="s">
        <v>74</v>
      </c>
      <c r="V105" s="5" t="s">
        <v>6734</v>
      </c>
      <c r="W105" s="2" t="s">
        <v>74</v>
      </c>
      <c r="X105" s="2" t="s">
        <v>74</v>
      </c>
      <c r="Y105" s="2" t="s">
        <v>74</v>
      </c>
      <c r="Z105" s="2" t="s">
        <v>74</v>
      </c>
      <c r="AA105" s="2" t="s">
        <v>6735</v>
      </c>
      <c r="AB105" s="2" t="s">
        <v>6736</v>
      </c>
      <c r="AC105" s="2" t="s">
        <v>74</v>
      </c>
      <c r="AD105" s="2" t="s">
        <v>74</v>
      </c>
      <c r="AE105" s="2" t="s">
        <v>74</v>
      </c>
      <c r="AF105" s="2" t="s">
        <v>74</v>
      </c>
      <c r="AG105" s="2" t="s">
        <v>74</v>
      </c>
      <c r="AH105" s="2" t="s">
        <v>74</v>
      </c>
      <c r="AI105" s="2" t="s">
        <v>74</v>
      </c>
      <c r="AJ105" s="2" t="s">
        <v>74</v>
      </c>
      <c r="AK105" s="2" t="s">
        <v>74</v>
      </c>
      <c r="AL105" s="2" t="s">
        <v>74</v>
      </c>
      <c r="AM105" s="2" t="s">
        <v>74</v>
      </c>
      <c r="AN105" s="2" t="s">
        <v>74</v>
      </c>
      <c r="AO105" s="2" t="s">
        <v>1658</v>
      </c>
      <c r="AP105" s="2" t="s">
        <v>1659</v>
      </c>
      <c r="AQ105" s="2" t="s">
        <v>74</v>
      </c>
      <c r="AR105" s="2" t="s">
        <v>74</v>
      </c>
      <c r="AS105" s="2" t="s">
        <v>74</v>
      </c>
      <c r="AT105" s="2" t="s">
        <v>4744</v>
      </c>
      <c r="AU105" s="2">
        <v>2017</v>
      </c>
      <c r="AV105" s="2">
        <v>4317</v>
      </c>
      <c r="AW105" s="2">
        <v>1</v>
      </c>
      <c r="AX105" s="2" t="s">
        <v>74</v>
      </c>
      <c r="AY105" s="2" t="s">
        <v>74</v>
      </c>
      <c r="AZ105" s="2" t="s">
        <v>74</v>
      </c>
      <c r="BA105" s="2" t="s">
        <v>74</v>
      </c>
      <c r="BB105" s="2">
        <v>1</v>
      </c>
      <c r="BC105" s="2">
        <v>44</v>
      </c>
      <c r="BD105" s="2" t="s">
        <v>74</v>
      </c>
      <c r="BE105" s="2" t="s">
        <v>6737</v>
      </c>
      <c r="BF105" s="2" t="str">
        <f>HYPERLINK("http://dx.doi.org/10.11646/zootaxa.4317.1.1","http://dx.doi.org/10.11646/zootaxa.4317.1.1")</f>
        <v>http://dx.doi.org/10.11646/zootaxa.4317.1.1</v>
      </c>
      <c r="BG105" s="2" t="s">
        <v>74</v>
      </c>
      <c r="BH105" s="2" t="s">
        <v>74</v>
      </c>
      <c r="BI105" s="2" t="s">
        <v>74</v>
      </c>
      <c r="BJ105" s="2" t="s">
        <v>74</v>
      </c>
      <c r="BK105" s="2" t="s">
        <v>74</v>
      </c>
      <c r="BL105" s="2" t="s">
        <v>74</v>
      </c>
      <c r="BM105" s="2" t="s">
        <v>74</v>
      </c>
      <c r="BN105" s="2" t="s">
        <v>74</v>
      </c>
      <c r="BO105" s="2" t="s">
        <v>74</v>
      </c>
      <c r="BP105" s="2" t="s">
        <v>74</v>
      </c>
      <c r="BQ105" s="2" t="s">
        <v>74</v>
      </c>
      <c r="BR105" s="2" t="s">
        <v>74</v>
      </c>
      <c r="BS105" s="2" t="s">
        <v>6738</v>
      </c>
      <c r="BT105" s="2" t="str">
        <f>HYPERLINK("https%3A%2F%2Fwww.webofscience.com%2Fwos%2Fwoscc%2Ffull-record%2FWOS:000408796800001","View Full Record in Web of Science")</f>
        <v>View Full Record in Web of Science</v>
      </c>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row>
    <row r="106" spans="1:314" s="2" customFormat="1" x14ac:dyDescent="0.4">
      <c r="A106" s="2" t="s">
        <v>72</v>
      </c>
      <c r="B106" s="2" t="s">
        <v>2386</v>
      </c>
      <c r="C106" s="2" t="s">
        <v>74</v>
      </c>
      <c r="D106" s="2" t="s">
        <v>74</v>
      </c>
      <c r="E106" s="2" t="s">
        <v>74</v>
      </c>
      <c r="F106" s="2" t="s">
        <v>2387</v>
      </c>
      <c r="G106" s="2" t="s">
        <v>74</v>
      </c>
      <c r="H106" s="2" t="s">
        <v>74</v>
      </c>
      <c r="I106" s="2" t="s">
        <v>2388</v>
      </c>
      <c r="J106" s="2" t="s">
        <v>1755</v>
      </c>
      <c r="K106" s="2" t="s">
        <v>74</v>
      </c>
      <c r="L106" s="2" t="s">
        <v>74</v>
      </c>
      <c r="M106" s="2" t="s">
        <v>74</v>
      </c>
      <c r="N106" s="2" t="s">
        <v>74</v>
      </c>
      <c r="O106" s="2" t="s">
        <v>74</v>
      </c>
      <c r="P106" s="2" t="s">
        <v>74</v>
      </c>
      <c r="Q106" s="2" t="s">
        <v>74</v>
      </c>
      <c r="R106" s="2" t="s">
        <v>74</v>
      </c>
      <c r="S106" s="2" t="s">
        <v>74</v>
      </c>
      <c r="T106" s="2" t="s">
        <v>74</v>
      </c>
      <c r="U106" s="2" t="s">
        <v>74</v>
      </c>
      <c r="V106" s="5" t="s">
        <v>2389</v>
      </c>
      <c r="W106" s="2" t="s">
        <v>74</v>
      </c>
      <c r="X106" s="2" t="s">
        <v>74</v>
      </c>
      <c r="Y106" s="2" t="s">
        <v>74</v>
      </c>
      <c r="Z106" s="2" t="s">
        <v>74</v>
      </c>
      <c r="AA106" s="2" t="s">
        <v>74</v>
      </c>
      <c r="AB106" s="2" t="s">
        <v>2390</v>
      </c>
      <c r="AC106" s="2" t="s">
        <v>74</v>
      </c>
      <c r="AD106" s="2" t="s">
        <v>74</v>
      </c>
      <c r="AE106" s="2" t="s">
        <v>74</v>
      </c>
      <c r="AF106" s="2" t="s">
        <v>74</v>
      </c>
      <c r="AG106" s="2" t="s">
        <v>74</v>
      </c>
      <c r="AH106" s="2" t="s">
        <v>74</v>
      </c>
      <c r="AI106" s="2" t="s">
        <v>74</v>
      </c>
      <c r="AJ106" s="2" t="s">
        <v>74</v>
      </c>
      <c r="AK106" s="2" t="s">
        <v>74</v>
      </c>
      <c r="AL106" s="2" t="s">
        <v>74</v>
      </c>
      <c r="AM106" s="2" t="s">
        <v>74</v>
      </c>
      <c r="AN106" s="2" t="s">
        <v>74</v>
      </c>
      <c r="AO106" s="2" t="s">
        <v>1759</v>
      </c>
      <c r="AP106" s="2" t="s">
        <v>1760</v>
      </c>
      <c r="AQ106" s="2" t="s">
        <v>74</v>
      </c>
      <c r="AR106" s="2" t="s">
        <v>74</v>
      </c>
      <c r="AS106" s="2" t="s">
        <v>74</v>
      </c>
      <c r="AT106" s="2" t="s">
        <v>123</v>
      </c>
      <c r="AU106" s="2">
        <v>2023</v>
      </c>
      <c r="AV106" s="2">
        <v>36</v>
      </c>
      <c r="AW106" s="2">
        <v>1</v>
      </c>
      <c r="AX106" s="2" t="s">
        <v>74</v>
      </c>
      <c r="AY106" s="2" t="s">
        <v>74</v>
      </c>
      <c r="AZ106" s="2" t="s">
        <v>74</v>
      </c>
      <c r="BA106" s="2" t="s">
        <v>74</v>
      </c>
      <c r="BB106" s="2">
        <v>33</v>
      </c>
      <c r="BC106" s="2">
        <v>44</v>
      </c>
      <c r="BD106" s="2" t="s">
        <v>74</v>
      </c>
      <c r="BE106" s="2" t="s">
        <v>2391</v>
      </c>
      <c r="BF106" s="2" t="str">
        <f>HYPERLINK("http://dx.doi.org/10.1007/s10905-023-09817-8","http://dx.doi.org/10.1007/s10905-023-09817-8")</f>
        <v>http://dx.doi.org/10.1007/s10905-023-09817-8</v>
      </c>
      <c r="BG106" s="2" t="s">
        <v>74</v>
      </c>
      <c r="BH106" s="2" t="s">
        <v>2392</v>
      </c>
      <c r="BI106" s="2" t="s">
        <v>74</v>
      </c>
      <c r="BJ106" s="2" t="s">
        <v>74</v>
      </c>
      <c r="BK106" s="2" t="s">
        <v>74</v>
      </c>
      <c r="BL106" s="2" t="s">
        <v>74</v>
      </c>
      <c r="BM106" s="2" t="s">
        <v>74</v>
      </c>
      <c r="BN106" s="2" t="s">
        <v>74</v>
      </c>
      <c r="BO106" s="2" t="s">
        <v>74</v>
      </c>
      <c r="BP106" s="2" t="s">
        <v>74</v>
      </c>
      <c r="BQ106" s="2" t="s">
        <v>74</v>
      </c>
      <c r="BR106" s="2" t="s">
        <v>74</v>
      </c>
      <c r="BS106" s="2" t="s">
        <v>2393</v>
      </c>
      <c r="BT106" s="2" t="str">
        <f>HYPERLINK("https%3A%2F%2Fwww.webofscience.com%2Fwos%2Fwoscc%2Ffull-record%2FWOS:000922274000001","View Full Record in Web of Science")</f>
        <v>View Full Record in Web of Science</v>
      </c>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row>
    <row r="107" spans="1:314" s="2" customFormat="1" x14ac:dyDescent="0.4">
      <c r="A107" s="2" t="s">
        <v>72</v>
      </c>
      <c r="B107" s="2" t="s">
        <v>3866</v>
      </c>
      <c r="C107" s="2" t="s">
        <v>74</v>
      </c>
      <c r="D107" s="2" t="s">
        <v>74</v>
      </c>
      <c r="E107" s="2" t="s">
        <v>74</v>
      </c>
      <c r="F107" s="2" t="s">
        <v>3867</v>
      </c>
      <c r="G107" s="2" t="s">
        <v>74</v>
      </c>
      <c r="H107" s="2" t="s">
        <v>74</v>
      </c>
      <c r="I107" s="2" t="s">
        <v>3868</v>
      </c>
      <c r="J107" s="2" t="s">
        <v>129</v>
      </c>
      <c r="K107" s="2" t="s">
        <v>74</v>
      </c>
      <c r="L107" s="2" t="s">
        <v>74</v>
      </c>
      <c r="M107" s="2" t="s">
        <v>74</v>
      </c>
      <c r="N107" s="2" t="s">
        <v>74</v>
      </c>
      <c r="O107" s="2" t="s">
        <v>74</v>
      </c>
      <c r="P107" s="2" t="s">
        <v>74</v>
      </c>
      <c r="Q107" s="2" t="s">
        <v>74</v>
      </c>
      <c r="R107" s="2" t="s">
        <v>74</v>
      </c>
      <c r="S107" s="2" t="s">
        <v>74</v>
      </c>
      <c r="T107" s="2" t="s">
        <v>74</v>
      </c>
      <c r="U107" s="2" t="s">
        <v>74</v>
      </c>
      <c r="V107" s="5" t="s">
        <v>3869</v>
      </c>
      <c r="W107" s="2" t="s">
        <v>74</v>
      </c>
      <c r="X107" s="2" t="s">
        <v>74</v>
      </c>
      <c r="Y107" s="2" t="s">
        <v>74</v>
      </c>
      <c r="Z107" s="2" t="s">
        <v>74</v>
      </c>
      <c r="AA107" s="2" t="s">
        <v>3870</v>
      </c>
      <c r="AB107" s="2" t="s">
        <v>3871</v>
      </c>
      <c r="AC107" s="2" t="s">
        <v>74</v>
      </c>
      <c r="AD107" s="2" t="s">
        <v>74</v>
      </c>
      <c r="AE107" s="2" t="s">
        <v>74</v>
      </c>
      <c r="AF107" s="2" t="s">
        <v>74</v>
      </c>
      <c r="AG107" s="2" t="s">
        <v>74</v>
      </c>
      <c r="AH107" s="2" t="s">
        <v>74</v>
      </c>
      <c r="AI107" s="2" t="s">
        <v>74</v>
      </c>
      <c r="AJ107" s="2" t="s">
        <v>74</v>
      </c>
      <c r="AK107" s="2" t="s">
        <v>74</v>
      </c>
      <c r="AL107" s="2" t="s">
        <v>74</v>
      </c>
      <c r="AM107" s="2" t="s">
        <v>74</v>
      </c>
      <c r="AN107" s="2" t="s">
        <v>74</v>
      </c>
      <c r="AO107" s="2" t="s">
        <v>132</v>
      </c>
      <c r="AP107" s="2" t="s">
        <v>133</v>
      </c>
      <c r="AQ107" s="2" t="s">
        <v>74</v>
      </c>
      <c r="AR107" s="2" t="s">
        <v>74</v>
      </c>
      <c r="AS107" s="2" t="s">
        <v>74</v>
      </c>
      <c r="AT107" s="2" t="s">
        <v>134</v>
      </c>
      <c r="AU107" s="2">
        <v>2023</v>
      </c>
      <c r="AV107" s="2">
        <v>77</v>
      </c>
      <c r="AW107" s="2">
        <v>5</v>
      </c>
      <c r="AX107" s="2" t="s">
        <v>74</v>
      </c>
      <c r="AY107" s="2" t="s">
        <v>74</v>
      </c>
      <c r="AZ107" s="2" t="s">
        <v>74</v>
      </c>
      <c r="BA107" s="2" t="s">
        <v>74</v>
      </c>
      <c r="BB107" s="2" t="s">
        <v>74</v>
      </c>
      <c r="BC107" s="2" t="s">
        <v>74</v>
      </c>
      <c r="BD107" s="2">
        <v>57</v>
      </c>
      <c r="BE107" s="2" t="s">
        <v>3872</v>
      </c>
      <c r="BF107" s="2" t="str">
        <f>HYPERLINK("http://dx.doi.org/10.1007/s00265-023-03336-4","http://dx.doi.org/10.1007/s00265-023-03336-4")</f>
        <v>http://dx.doi.org/10.1007/s00265-023-03336-4</v>
      </c>
      <c r="BG107" s="2" t="s">
        <v>74</v>
      </c>
      <c r="BH107" s="2" t="s">
        <v>74</v>
      </c>
      <c r="BI107" s="2" t="s">
        <v>74</v>
      </c>
      <c r="BJ107" s="2" t="s">
        <v>74</v>
      </c>
      <c r="BK107" s="2" t="s">
        <v>74</v>
      </c>
      <c r="BL107" s="2" t="s">
        <v>74</v>
      </c>
      <c r="BM107" s="2" t="s">
        <v>74</v>
      </c>
      <c r="BN107" s="2" t="s">
        <v>74</v>
      </c>
      <c r="BO107" s="2" t="s">
        <v>74</v>
      </c>
      <c r="BP107" s="2" t="s">
        <v>74</v>
      </c>
      <c r="BQ107" s="2" t="s">
        <v>74</v>
      </c>
      <c r="BR107" s="2" t="s">
        <v>74</v>
      </c>
      <c r="BS107" s="2" t="s">
        <v>3873</v>
      </c>
      <c r="BT107" s="2" t="str">
        <f>HYPERLINK("https%3A%2F%2Fwww.webofscience.com%2Fwos%2Fwoscc%2Ffull-record%2FWOS:000993946500002","View Full Record in Web of Science")</f>
        <v>View Full Record in Web of Science</v>
      </c>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row>
    <row r="108" spans="1:314" s="7" customFormat="1" x14ac:dyDescent="0.4">
      <c r="A108" s="2" t="s">
        <v>72</v>
      </c>
      <c r="B108" s="2" t="s">
        <v>5314</v>
      </c>
      <c r="C108" s="2" t="s">
        <v>74</v>
      </c>
      <c r="D108" s="2" t="s">
        <v>74</v>
      </c>
      <c r="E108" s="2" t="s">
        <v>74</v>
      </c>
      <c r="F108" s="2" t="s">
        <v>5314</v>
      </c>
      <c r="G108" s="2" t="s">
        <v>74</v>
      </c>
      <c r="H108" s="2" t="s">
        <v>74</v>
      </c>
      <c r="I108" s="2" t="s">
        <v>5315</v>
      </c>
      <c r="J108" s="2" t="s">
        <v>108</v>
      </c>
      <c r="K108" s="2" t="s">
        <v>74</v>
      </c>
      <c r="L108" s="2" t="s">
        <v>74</v>
      </c>
      <c r="M108" s="2" t="s">
        <v>74</v>
      </c>
      <c r="N108" s="2" t="s">
        <v>74</v>
      </c>
      <c r="O108" s="2" t="s">
        <v>74</v>
      </c>
      <c r="P108" s="2" t="s">
        <v>74</v>
      </c>
      <c r="Q108" s="2" t="s">
        <v>74</v>
      </c>
      <c r="R108" s="2" t="s">
        <v>74</v>
      </c>
      <c r="S108" s="2" t="s">
        <v>74</v>
      </c>
      <c r="T108" s="2" t="s">
        <v>74</v>
      </c>
      <c r="U108" s="2" t="s">
        <v>74</v>
      </c>
      <c r="V108" s="5" t="s">
        <v>5316</v>
      </c>
      <c r="W108" s="2" t="s">
        <v>74</v>
      </c>
      <c r="X108" s="2" t="s">
        <v>74</v>
      </c>
      <c r="Y108" s="2" t="s">
        <v>74</v>
      </c>
      <c r="Z108" s="2" t="s">
        <v>74</v>
      </c>
      <c r="AA108" s="2" t="s">
        <v>5317</v>
      </c>
      <c r="AB108" s="2" t="s">
        <v>5318</v>
      </c>
      <c r="AC108" s="2" t="s">
        <v>74</v>
      </c>
      <c r="AD108" s="2" t="s">
        <v>74</v>
      </c>
      <c r="AE108" s="2" t="s">
        <v>74</v>
      </c>
      <c r="AF108" s="2" t="s">
        <v>74</v>
      </c>
      <c r="AG108" s="2" t="s">
        <v>74</v>
      </c>
      <c r="AH108" s="2" t="s">
        <v>74</v>
      </c>
      <c r="AI108" s="2" t="s">
        <v>74</v>
      </c>
      <c r="AJ108" s="2" t="s">
        <v>74</v>
      </c>
      <c r="AK108" s="2" t="s">
        <v>74</v>
      </c>
      <c r="AL108" s="2" t="s">
        <v>74</v>
      </c>
      <c r="AM108" s="2" t="s">
        <v>74</v>
      </c>
      <c r="AN108" s="2" t="s">
        <v>74</v>
      </c>
      <c r="AO108" s="2" t="s">
        <v>111</v>
      </c>
      <c r="AP108" s="2" t="s">
        <v>74</v>
      </c>
      <c r="AQ108" s="2" t="s">
        <v>74</v>
      </c>
      <c r="AR108" s="2" t="s">
        <v>74</v>
      </c>
      <c r="AS108" s="2" t="s">
        <v>74</v>
      </c>
      <c r="AT108" s="2" t="s">
        <v>5319</v>
      </c>
      <c r="AU108" s="2">
        <v>1994</v>
      </c>
      <c r="AV108" s="2">
        <v>256</v>
      </c>
      <c r="AW108" s="2">
        <v>1346</v>
      </c>
      <c r="AX108" s="2" t="s">
        <v>74</v>
      </c>
      <c r="AY108" s="2" t="s">
        <v>74</v>
      </c>
      <c r="AZ108" s="2" t="s">
        <v>74</v>
      </c>
      <c r="BA108" s="2" t="s">
        <v>74</v>
      </c>
      <c r="BB108" s="2">
        <v>113</v>
      </c>
      <c r="BC108" s="2">
        <v>118</v>
      </c>
      <c r="BD108" s="2" t="s">
        <v>74</v>
      </c>
      <c r="BE108" s="2" t="s">
        <v>5320</v>
      </c>
      <c r="BF108" s="2" t="str">
        <f>HYPERLINK("http://dx.doi.org/10.1098/rspb.1994.0057","http://dx.doi.org/10.1098/rspb.1994.0057")</f>
        <v>http://dx.doi.org/10.1098/rspb.1994.0057</v>
      </c>
      <c r="BG108" s="2" t="s">
        <v>74</v>
      </c>
      <c r="BH108" s="2" t="s">
        <v>74</v>
      </c>
      <c r="BI108" s="2" t="s">
        <v>74</v>
      </c>
      <c r="BJ108" s="2" t="s">
        <v>74</v>
      </c>
      <c r="BK108" s="2" t="s">
        <v>74</v>
      </c>
      <c r="BL108" s="2" t="s">
        <v>74</v>
      </c>
      <c r="BM108" s="2" t="s">
        <v>74</v>
      </c>
      <c r="BN108" s="2" t="s">
        <v>74</v>
      </c>
      <c r="BO108" s="2" t="s">
        <v>74</v>
      </c>
      <c r="BP108" s="2" t="s">
        <v>74</v>
      </c>
      <c r="BQ108" s="2" t="s">
        <v>74</v>
      </c>
      <c r="BR108" s="2" t="s">
        <v>74</v>
      </c>
      <c r="BS108" s="2" t="s">
        <v>5321</v>
      </c>
      <c r="BT108" s="2" t="str">
        <f>HYPERLINK("https%3A%2F%2Fwww.webofscience.com%2Fwos%2Fwoscc%2Ffull-record%2FWOS:A1994NN67200002","View Full Record in Web of Science")</f>
        <v>View Full Record in Web of Science</v>
      </c>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row>
    <row r="109" spans="1:314" s="2" customFormat="1" x14ac:dyDescent="0.4">
      <c r="A109" s="2" t="s">
        <v>72</v>
      </c>
      <c r="B109" s="2" t="s">
        <v>3645</v>
      </c>
      <c r="C109" s="2" t="s">
        <v>74</v>
      </c>
      <c r="D109" s="2" t="s">
        <v>74</v>
      </c>
      <c r="E109" s="2" t="s">
        <v>74</v>
      </c>
      <c r="F109" s="2" t="s">
        <v>3646</v>
      </c>
      <c r="G109" s="2" t="s">
        <v>74</v>
      </c>
      <c r="H109" s="2" t="s">
        <v>74</v>
      </c>
      <c r="I109" s="2" t="s">
        <v>3647</v>
      </c>
      <c r="J109" s="2" t="s">
        <v>140</v>
      </c>
      <c r="K109" s="2" t="s">
        <v>74</v>
      </c>
      <c r="L109" s="2" t="s">
        <v>74</v>
      </c>
      <c r="M109" s="2" t="s">
        <v>74</v>
      </c>
      <c r="N109" s="2" t="s">
        <v>74</v>
      </c>
      <c r="O109" s="2" t="s">
        <v>74</v>
      </c>
      <c r="P109" s="2" t="s">
        <v>74</v>
      </c>
      <c r="Q109" s="2" t="s">
        <v>74</v>
      </c>
      <c r="R109" s="2" t="s">
        <v>74</v>
      </c>
      <c r="S109" s="2" t="s">
        <v>74</v>
      </c>
      <c r="T109" s="2" t="s">
        <v>74</v>
      </c>
      <c r="U109" s="2" t="s">
        <v>74</v>
      </c>
      <c r="V109" s="5" t="s">
        <v>3648</v>
      </c>
      <c r="W109" s="2" t="s">
        <v>74</v>
      </c>
      <c r="X109" s="2" t="s">
        <v>74</v>
      </c>
      <c r="Y109" s="2" t="s">
        <v>74</v>
      </c>
      <c r="Z109" s="2" t="s">
        <v>74</v>
      </c>
      <c r="AA109" s="2" t="s">
        <v>74</v>
      </c>
      <c r="AB109" s="2" t="s">
        <v>3649</v>
      </c>
      <c r="AC109" s="2" t="s">
        <v>74</v>
      </c>
      <c r="AD109" s="2" t="s">
        <v>74</v>
      </c>
      <c r="AE109" s="2" t="s">
        <v>74</v>
      </c>
      <c r="AF109" s="2" t="s">
        <v>74</v>
      </c>
      <c r="AG109" s="2" t="s">
        <v>74</v>
      </c>
      <c r="AH109" s="2" t="s">
        <v>74</v>
      </c>
      <c r="AI109" s="2" t="s">
        <v>74</v>
      </c>
      <c r="AJ109" s="2" t="s">
        <v>74</v>
      </c>
      <c r="AK109" s="2" t="s">
        <v>74</v>
      </c>
      <c r="AL109" s="2" t="s">
        <v>74</v>
      </c>
      <c r="AM109" s="2" t="s">
        <v>74</v>
      </c>
      <c r="AN109" s="2" t="s">
        <v>74</v>
      </c>
      <c r="AO109" s="2" t="s">
        <v>143</v>
      </c>
      <c r="AP109" s="2" t="s">
        <v>144</v>
      </c>
      <c r="AQ109" s="2" t="s">
        <v>74</v>
      </c>
      <c r="AR109" s="2" t="s">
        <v>74</v>
      </c>
      <c r="AS109" s="2" t="s">
        <v>74</v>
      </c>
      <c r="AT109" s="2" t="s">
        <v>352</v>
      </c>
      <c r="AU109" s="2">
        <v>2022</v>
      </c>
      <c r="AV109" s="2">
        <v>191</v>
      </c>
      <c r="AW109" s="2" t="s">
        <v>74</v>
      </c>
      <c r="AX109" s="2" t="s">
        <v>74</v>
      </c>
      <c r="AY109" s="2" t="s">
        <v>74</v>
      </c>
      <c r="AZ109" s="2" t="s">
        <v>74</v>
      </c>
      <c r="BA109" s="2" t="s">
        <v>74</v>
      </c>
      <c r="BB109" s="2">
        <v>1</v>
      </c>
      <c r="BC109" s="2">
        <v>13</v>
      </c>
      <c r="BD109" s="2" t="s">
        <v>74</v>
      </c>
      <c r="BE109" s="2" t="s">
        <v>3650</v>
      </c>
      <c r="BF109" s="2" t="str">
        <f>HYPERLINK("http://dx.doi.org/10.1016/j.anbehav.2022.06.013","http://dx.doi.org/10.1016/j.anbehav.2022.06.013")</f>
        <v>http://dx.doi.org/10.1016/j.anbehav.2022.06.013</v>
      </c>
      <c r="BG109" s="2" t="s">
        <v>74</v>
      </c>
      <c r="BH109" s="2" t="s">
        <v>2832</v>
      </c>
      <c r="BI109" s="2" t="s">
        <v>74</v>
      </c>
      <c r="BJ109" s="2" t="s">
        <v>74</v>
      </c>
      <c r="BK109" s="2" t="s">
        <v>74</v>
      </c>
      <c r="BL109" s="2" t="s">
        <v>74</v>
      </c>
      <c r="BM109" s="2" t="s">
        <v>74</v>
      </c>
      <c r="BN109" s="2" t="s">
        <v>74</v>
      </c>
      <c r="BO109" s="2" t="s">
        <v>74</v>
      </c>
      <c r="BP109" s="2" t="s">
        <v>74</v>
      </c>
      <c r="BQ109" s="2" t="s">
        <v>74</v>
      </c>
      <c r="BR109" s="2" t="s">
        <v>74</v>
      </c>
      <c r="BS109" s="2" t="s">
        <v>3651</v>
      </c>
      <c r="BT109" s="2" t="str">
        <f>HYPERLINK("https%3A%2F%2Fwww.webofscience.com%2Fwos%2Fwoscc%2Ffull-record%2FWOS:000860712600001","View Full Record in Web of Science")</f>
        <v>View Full Record in Web of Science</v>
      </c>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row>
    <row r="110" spans="1:314" s="2" customFormat="1" x14ac:dyDescent="0.4">
      <c r="A110" s="2" t="s">
        <v>72</v>
      </c>
      <c r="B110" s="2" t="s">
        <v>2740</v>
      </c>
      <c r="C110" s="2" t="s">
        <v>74</v>
      </c>
      <c r="D110" s="2" t="s">
        <v>74</v>
      </c>
      <c r="E110" s="2" t="s">
        <v>74</v>
      </c>
      <c r="F110" s="2" t="s">
        <v>2741</v>
      </c>
      <c r="G110" s="2" t="s">
        <v>74</v>
      </c>
      <c r="H110" s="2" t="s">
        <v>74</v>
      </c>
      <c r="I110" s="2" t="s">
        <v>2742</v>
      </c>
      <c r="J110" s="2" t="s">
        <v>408</v>
      </c>
      <c r="K110" s="2" t="s">
        <v>74</v>
      </c>
      <c r="L110" s="2" t="s">
        <v>74</v>
      </c>
      <c r="M110" s="2" t="s">
        <v>74</v>
      </c>
      <c r="N110" s="2" t="s">
        <v>74</v>
      </c>
      <c r="O110" s="2" t="s">
        <v>74</v>
      </c>
      <c r="P110" s="2" t="s">
        <v>74</v>
      </c>
      <c r="Q110" s="2" t="s">
        <v>74</v>
      </c>
      <c r="R110" s="2" t="s">
        <v>74</v>
      </c>
      <c r="S110" s="2" t="s">
        <v>74</v>
      </c>
      <c r="T110" s="2" t="s">
        <v>74</v>
      </c>
      <c r="U110" s="2" t="s">
        <v>74</v>
      </c>
      <c r="V110" s="5" t="s">
        <v>2743</v>
      </c>
      <c r="W110" s="2" t="s">
        <v>74</v>
      </c>
      <c r="X110" s="2" t="s">
        <v>74</v>
      </c>
      <c r="Y110" s="2" t="s">
        <v>74</v>
      </c>
      <c r="Z110" s="2" t="s">
        <v>74</v>
      </c>
      <c r="AA110" s="2" t="s">
        <v>2744</v>
      </c>
      <c r="AB110" s="2" t="s">
        <v>2745</v>
      </c>
      <c r="AC110" s="2" t="s">
        <v>74</v>
      </c>
      <c r="AD110" s="2" t="s">
        <v>74</v>
      </c>
      <c r="AE110" s="2" t="s">
        <v>74</v>
      </c>
      <c r="AF110" s="2" t="s">
        <v>74</v>
      </c>
      <c r="AG110" s="2" t="s">
        <v>74</v>
      </c>
      <c r="AH110" s="2" t="s">
        <v>74</v>
      </c>
      <c r="AI110" s="2" t="s">
        <v>74</v>
      </c>
      <c r="AJ110" s="2" t="s">
        <v>74</v>
      </c>
      <c r="AK110" s="2" t="s">
        <v>74</v>
      </c>
      <c r="AL110" s="2" t="s">
        <v>74</v>
      </c>
      <c r="AM110" s="2" t="s">
        <v>74</v>
      </c>
      <c r="AN110" s="2" t="s">
        <v>74</v>
      </c>
      <c r="AO110" s="2" t="s">
        <v>412</v>
      </c>
      <c r="AP110" s="2" t="s">
        <v>413</v>
      </c>
      <c r="AQ110" s="2" t="s">
        <v>74</v>
      </c>
      <c r="AR110" s="2" t="s">
        <v>74</v>
      </c>
      <c r="AS110" s="2" t="s">
        <v>74</v>
      </c>
      <c r="AT110" s="2" t="s">
        <v>134</v>
      </c>
      <c r="AU110" s="2">
        <v>2007</v>
      </c>
      <c r="AV110" s="2">
        <v>91</v>
      </c>
      <c r="AW110" s="2">
        <v>1</v>
      </c>
      <c r="AX110" s="2" t="s">
        <v>74</v>
      </c>
      <c r="AY110" s="2" t="s">
        <v>74</v>
      </c>
      <c r="AZ110" s="2" t="s">
        <v>74</v>
      </c>
      <c r="BA110" s="2" t="s">
        <v>74</v>
      </c>
      <c r="BB110" s="2">
        <v>37</v>
      </c>
      <c r="BC110" s="2">
        <v>48</v>
      </c>
      <c r="BD110" s="2" t="s">
        <v>74</v>
      </c>
      <c r="BE110" s="2" t="s">
        <v>2746</v>
      </c>
      <c r="BF110" s="2" t="str">
        <f>HYPERLINK("http://dx.doi.org/10.1111/j.1095-8312.2007.00777.x","http://dx.doi.org/10.1111/j.1095-8312.2007.00777.x")</f>
        <v>http://dx.doi.org/10.1111/j.1095-8312.2007.00777.x</v>
      </c>
      <c r="BG110" s="2" t="s">
        <v>74</v>
      </c>
      <c r="BH110" s="2" t="s">
        <v>74</v>
      </c>
      <c r="BI110" s="2" t="s">
        <v>74</v>
      </c>
      <c r="BJ110" s="2" t="s">
        <v>74</v>
      </c>
      <c r="BK110" s="2" t="s">
        <v>74</v>
      </c>
      <c r="BL110" s="2" t="s">
        <v>74</v>
      </c>
      <c r="BM110" s="2" t="s">
        <v>74</v>
      </c>
      <c r="BN110" s="2" t="s">
        <v>74</v>
      </c>
      <c r="BO110" s="2" t="s">
        <v>74</v>
      </c>
      <c r="BP110" s="2" t="s">
        <v>74</v>
      </c>
      <c r="BQ110" s="2" t="s">
        <v>74</v>
      </c>
      <c r="BR110" s="2" t="s">
        <v>74</v>
      </c>
      <c r="BS110" s="2" t="s">
        <v>2747</v>
      </c>
      <c r="BT110" s="2" t="str">
        <f>HYPERLINK("https%3A%2F%2Fwww.webofscience.com%2Fwos%2Fwoscc%2Ffull-record%2FWOS:000245938100004","View Full Record in Web of Science")</f>
        <v>View Full Record in Web of Science</v>
      </c>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row>
    <row r="111" spans="1:314" s="2" customFormat="1" x14ac:dyDescent="0.4">
      <c r="A111" s="2" t="s">
        <v>72</v>
      </c>
      <c r="B111" s="2" t="s">
        <v>7390</v>
      </c>
      <c r="C111" s="2" t="s">
        <v>74</v>
      </c>
      <c r="D111" s="2" t="s">
        <v>74</v>
      </c>
      <c r="E111" s="2" t="s">
        <v>74</v>
      </c>
      <c r="F111" s="2" t="s">
        <v>7391</v>
      </c>
      <c r="G111" s="2" t="s">
        <v>74</v>
      </c>
      <c r="H111" s="2" t="s">
        <v>74</v>
      </c>
      <c r="I111" s="2" t="s">
        <v>7392</v>
      </c>
      <c r="J111" s="2" t="s">
        <v>7393</v>
      </c>
      <c r="K111" s="2" t="s">
        <v>74</v>
      </c>
      <c r="L111" s="2" t="s">
        <v>74</v>
      </c>
      <c r="M111" s="2" t="s">
        <v>74</v>
      </c>
      <c r="N111" s="2" t="s">
        <v>74</v>
      </c>
      <c r="O111" s="2" t="s">
        <v>74</v>
      </c>
      <c r="P111" s="2" t="s">
        <v>74</v>
      </c>
      <c r="Q111" s="2" t="s">
        <v>74</v>
      </c>
      <c r="R111" s="2" t="s">
        <v>74</v>
      </c>
      <c r="S111" s="2" t="s">
        <v>74</v>
      </c>
      <c r="T111" s="2" t="s">
        <v>74</v>
      </c>
      <c r="U111" s="2" t="s">
        <v>74</v>
      </c>
      <c r="V111" s="5" t="s">
        <v>7394</v>
      </c>
      <c r="W111" s="2" t="s">
        <v>74</v>
      </c>
      <c r="X111" s="2" t="s">
        <v>74</v>
      </c>
      <c r="Y111" s="2" t="s">
        <v>74</v>
      </c>
      <c r="Z111" s="2" t="s">
        <v>74</v>
      </c>
      <c r="AA111" s="2" t="s">
        <v>7395</v>
      </c>
      <c r="AB111" s="2" t="s">
        <v>7396</v>
      </c>
      <c r="AC111" s="2" t="s">
        <v>74</v>
      </c>
      <c r="AD111" s="2" t="s">
        <v>74</v>
      </c>
      <c r="AE111" s="2" t="s">
        <v>74</v>
      </c>
      <c r="AF111" s="2" t="s">
        <v>74</v>
      </c>
      <c r="AG111" s="2" t="s">
        <v>74</v>
      </c>
      <c r="AH111" s="2" t="s">
        <v>74</v>
      </c>
      <c r="AI111" s="2" t="s">
        <v>74</v>
      </c>
      <c r="AJ111" s="2" t="s">
        <v>74</v>
      </c>
      <c r="AK111" s="2" t="s">
        <v>74</v>
      </c>
      <c r="AL111" s="2" t="s">
        <v>74</v>
      </c>
      <c r="AM111" s="2" t="s">
        <v>74</v>
      </c>
      <c r="AN111" s="2" t="s">
        <v>74</v>
      </c>
      <c r="AO111" s="2" t="s">
        <v>7397</v>
      </c>
      <c r="AP111" s="2" t="s">
        <v>7398</v>
      </c>
      <c r="AQ111" s="2" t="s">
        <v>74</v>
      </c>
      <c r="AR111" s="2" t="s">
        <v>74</v>
      </c>
      <c r="AS111" s="2" t="s">
        <v>74</v>
      </c>
      <c r="AT111" s="2" t="s">
        <v>352</v>
      </c>
      <c r="AU111" s="2">
        <v>2019</v>
      </c>
      <c r="AV111" s="2">
        <v>107</v>
      </c>
      <c r="AW111" s="2">
        <v>5</v>
      </c>
      <c r="AX111" s="2" t="s">
        <v>74</v>
      </c>
      <c r="AY111" s="2" t="s">
        <v>74</v>
      </c>
      <c r="AZ111" s="2" t="s">
        <v>74</v>
      </c>
      <c r="BA111" s="2" t="s">
        <v>74</v>
      </c>
      <c r="BB111" s="2">
        <v>2167</v>
      </c>
      <c r="BC111" s="2">
        <v>2181</v>
      </c>
      <c r="BD111" s="2" t="s">
        <v>74</v>
      </c>
      <c r="BE111" s="2" t="s">
        <v>7399</v>
      </c>
      <c r="BF111" s="2" t="str">
        <f>HYPERLINK("http://dx.doi.org/10.1111/1365-2745.13183","http://dx.doi.org/10.1111/1365-2745.13183")</f>
        <v>http://dx.doi.org/10.1111/1365-2745.13183</v>
      </c>
      <c r="BG111" s="2" t="s">
        <v>74</v>
      </c>
      <c r="BH111" s="2" t="s">
        <v>74</v>
      </c>
      <c r="BI111" s="2" t="s">
        <v>74</v>
      </c>
      <c r="BJ111" s="2" t="s">
        <v>74</v>
      </c>
      <c r="BK111" s="2" t="s">
        <v>74</v>
      </c>
      <c r="BL111" s="2" t="s">
        <v>74</v>
      </c>
      <c r="BM111" s="2" t="s">
        <v>74</v>
      </c>
      <c r="BN111" s="2" t="s">
        <v>74</v>
      </c>
      <c r="BO111" s="2" t="s">
        <v>74</v>
      </c>
      <c r="BP111" s="2" t="s">
        <v>74</v>
      </c>
      <c r="BQ111" s="2" t="s">
        <v>74</v>
      </c>
      <c r="BR111" s="2" t="s">
        <v>74</v>
      </c>
      <c r="BS111" s="2" t="s">
        <v>7400</v>
      </c>
      <c r="BT111" s="2" t="str">
        <f>HYPERLINK("https%3A%2F%2Fwww.webofscience.com%2Fwos%2Fwoscc%2Ffull-record%2FWOS:000484311000012","View Full Record in Web of Science")</f>
        <v>View Full Record in Web of Science</v>
      </c>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row>
    <row r="112" spans="1:314" s="2" customFormat="1" x14ac:dyDescent="0.4">
      <c r="A112" s="2" t="s">
        <v>72</v>
      </c>
      <c r="B112" s="2" t="s">
        <v>4653</v>
      </c>
      <c r="C112" s="2" t="s">
        <v>74</v>
      </c>
      <c r="D112" s="2" t="s">
        <v>74</v>
      </c>
      <c r="E112" s="2" t="s">
        <v>74</v>
      </c>
      <c r="F112" s="2" t="s">
        <v>4653</v>
      </c>
      <c r="G112" s="2" t="s">
        <v>74</v>
      </c>
      <c r="H112" s="2" t="s">
        <v>74</v>
      </c>
      <c r="I112" s="2" t="s">
        <v>4654</v>
      </c>
      <c r="J112" s="2" t="s">
        <v>4655</v>
      </c>
      <c r="K112" s="2" t="s">
        <v>74</v>
      </c>
      <c r="L112" s="2" t="s">
        <v>74</v>
      </c>
      <c r="M112" s="2" t="s">
        <v>74</v>
      </c>
      <c r="N112" s="2" t="s">
        <v>74</v>
      </c>
      <c r="O112" s="2" t="s">
        <v>74</v>
      </c>
      <c r="P112" s="2" t="s">
        <v>74</v>
      </c>
      <c r="Q112" s="2" t="s">
        <v>74</v>
      </c>
      <c r="R112" s="2" t="s">
        <v>74</v>
      </c>
      <c r="S112" s="2" t="s">
        <v>74</v>
      </c>
      <c r="T112" s="2" t="s">
        <v>74</v>
      </c>
      <c r="U112" s="2" t="s">
        <v>74</v>
      </c>
      <c r="V112" s="5" t="s">
        <v>4656</v>
      </c>
      <c r="W112" s="2" t="s">
        <v>74</v>
      </c>
      <c r="X112" s="2" t="s">
        <v>74</v>
      </c>
      <c r="Y112" s="2" t="s">
        <v>74</v>
      </c>
      <c r="Z112" s="2" t="s">
        <v>74</v>
      </c>
      <c r="AA112" s="2" t="s">
        <v>74</v>
      </c>
      <c r="AB112" s="2" t="s">
        <v>74</v>
      </c>
      <c r="AC112" s="2" t="s">
        <v>74</v>
      </c>
      <c r="AD112" s="2" t="s">
        <v>74</v>
      </c>
      <c r="AE112" s="2" t="s">
        <v>74</v>
      </c>
      <c r="AF112" s="2" t="s">
        <v>74</v>
      </c>
      <c r="AG112" s="2" t="s">
        <v>74</v>
      </c>
      <c r="AH112" s="2" t="s">
        <v>74</v>
      </c>
      <c r="AI112" s="2" t="s">
        <v>74</v>
      </c>
      <c r="AJ112" s="2" t="s">
        <v>74</v>
      </c>
      <c r="AK112" s="2" t="s">
        <v>74</v>
      </c>
      <c r="AL112" s="2" t="s">
        <v>74</v>
      </c>
      <c r="AM112" s="2" t="s">
        <v>74</v>
      </c>
      <c r="AN112" s="2" t="s">
        <v>74</v>
      </c>
      <c r="AO112" s="2" t="s">
        <v>4657</v>
      </c>
      <c r="AP112" s="2" t="s">
        <v>74</v>
      </c>
      <c r="AQ112" s="2" t="s">
        <v>74</v>
      </c>
      <c r="AR112" s="2" t="s">
        <v>74</v>
      </c>
      <c r="AS112" s="2" t="s">
        <v>74</v>
      </c>
      <c r="AT112" s="2" t="s">
        <v>74</v>
      </c>
      <c r="AU112" s="2">
        <v>1984</v>
      </c>
      <c r="AV112" s="2">
        <v>96</v>
      </c>
      <c r="AW112" s="2">
        <v>4</v>
      </c>
      <c r="AX112" s="2" t="s">
        <v>74</v>
      </c>
      <c r="AY112" s="2" t="s">
        <v>74</v>
      </c>
      <c r="AZ112" s="2" t="s">
        <v>74</v>
      </c>
      <c r="BA112" s="2" t="s">
        <v>74</v>
      </c>
      <c r="BB112" s="2">
        <v>603</v>
      </c>
      <c r="BC112" s="2">
        <v>618</v>
      </c>
      <c r="BD112" s="2" t="s">
        <v>74</v>
      </c>
      <c r="BE112" s="2" t="s">
        <v>74</v>
      </c>
      <c r="BF112" s="2" t="s">
        <v>74</v>
      </c>
      <c r="BG112" s="2" t="s">
        <v>74</v>
      </c>
      <c r="BH112" s="2" t="s">
        <v>74</v>
      </c>
      <c r="BI112" s="2" t="s">
        <v>74</v>
      </c>
      <c r="BJ112" s="2" t="s">
        <v>74</v>
      </c>
      <c r="BK112" s="2" t="s">
        <v>74</v>
      </c>
      <c r="BL112" s="2" t="s">
        <v>74</v>
      </c>
      <c r="BM112" s="2" t="s">
        <v>74</v>
      </c>
      <c r="BN112" s="2" t="s">
        <v>74</v>
      </c>
      <c r="BO112" s="2" t="s">
        <v>74</v>
      </c>
      <c r="BP112" s="2" t="s">
        <v>74</v>
      </c>
      <c r="BQ112" s="2" t="s">
        <v>74</v>
      </c>
      <c r="BR112" s="2" t="s">
        <v>74</v>
      </c>
      <c r="BS112" s="2" t="s">
        <v>4658</v>
      </c>
      <c r="BT112" s="2" t="str">
        <f>HYPERLINK("https%3A%2F%2Fwww.webofscience.com%2Fwos%2Fwoscc%2Ffull-record%2FWOS:A1984ACX3700007","View Full Record in Web of Science")</f>
        <v>View Full Record in Web of Science</v>
      </c>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row>
    <row r="113" spans="1:314" s="2" customFormat="1" x14ac:dyDescent="0.4">
      <c r="A113" s="2" t="s">
        <v>72</v>
      </c>
      <c r="B113" s="2" t="s">
        <v>5607</v>
      </c>
      <c r="C113" s="2" t="s">
        <v>74</v>
      </c>
      <c r="D113" s="2" t="s">
        <v>74</v>
      </c>
      <c r="E113" s="2" t="s">
        <v>74</v>
      </c>
      <c r="F113" s="2" t="s">
        <v>5608</v>
      </c>
      <c r="G113" s="2" t="s">
        <v>74</v>
      </c>
      <c r="H113" s="2" t="s">
        <v>74</v>
      </c>
      <c r="I113" s="2" t="s">
        <v>5609</v>
      </c>
      <c r="J113" s="2" t="s">
        <v>140</v>
      </c>
      <c r="K113" s="2" t="s">
        <v>74</v>
      </c>
      <c r="L113" s="2" t="s">
        <v>74</v>
      </c>
      <c r="M113" s="2" t="s">
        <v>74</v>
      </c>
      <c r="N113" s="2" t="s">
        <v>74</v>
      </c>
      <c r="O113" s="2" t="s">
        <v>74</v>
      </c>
      <c r="P113" s="2" t="s">
        <v>74</v>
      </c>
      <c r="Q113" s="2" t="s">
        <v>74</v>
      </c>
      <c r="R113" s="2" t="s">
        <v>74</v>
      </c>
      <c r="S113" s="2" t="s">
        <v>74</v>
      </c>
      <c r="T113" s="2" t="s">
        <v>74</v>
      </c>
      <c r="U113" s="2" t="s">
        <v>74</v>
      </c>
      <c r="V113" s="5" t="s">
        <v>5610</v>
      </c>
      <c r="W113" s="2" t="s">
        <v>74</v>
      </c>
      <c r="X113" s="2" t="s">
        <v>74</v>
      </c>
      <c r="Y113" s="2" t="s">
        <v>74</v>
      </c>
      <c r="Z113" s="2" t="s">
        <v>74</v>
      </c>
      <c r="AA113" s="2" t="s">
        <v>74</v>
      </c>
      <c r="AB113" s="2" t="s">
        <v>5611</v>
      </c>
      <c r="AC113" s="2" t="s">
        <v>74</v>
      </c>
      <c r="AD113" s="2" t="s">
        <v>74</v>
      </c>
      <c r="AE113" s="2" t="s">
        <v>74</v>
      </c>
      <c r="AF113" s="2" t="s">
        <v>74</v>
      </c>
      <c r="AG113" s="2" t="s">
        <v>74</v>
      </c>
      <c r="AH113" s="2" t="s">
        <v>74</v>
      </c>
      <c r="AI113" s="2" t="s">
        <v>74</v>
      </c>
      <c r="AJ113" s="2" t="s">
        <v>74</v>
      </c>
      <c r="AK113" s="2" t="s">
        <v>74</v>
      </c>
      <c r="AL113" s="2" t="s">
        <v>74</v>
      </c>
      <c r="AM113" s="2" t="s">
        <v>74</v>
      </c>
      <c r="AN113" s="2" t="s">
        <v>74</v>
      </c>
      <c r="AO113" s="2" t="s">
        <v>143</v>
      </c>
      <c r="AP113" s="2" t="s">
        <v>144</v>
      </c>
      <c r="AQ113" s="2" t="s">
        <v>74</v>
      </c>
      <c r="AR113" s="2" t="s">
        <v>74</v>
      </c>
      <c r="AS113" s="2" t="s">
        <v>74</v>
      </c>
      <c r="AT113" s="2" t="s">
        <v>175</v>
      </c>
      <c r="AU113" s="2">
        <v>2021</v>
      </c>
      <c r="AV113" s="2">
        <v>180</v>
      </c>
      <c r="AW113" s="2" t="s">
        <v>74</v>
      </c>
      <c r="AX113" s="2" t="s">
        <v>74</v>
      </c>
      <c r="AY113" s="2" t="s">
        <v>74</v>
      </c>
      <c r="AZ113" s="2" t="s">
        <v>74</v>
      </c>
      <c r="BA113" s="2" t="s">
        <v>74</v>
      </c>
      <c r="BB113" s="2">
        <v>337</v>
      </c>
      <c r="BC113" s="2">
        <v>361</v>
      </c>
      <c r="BD113" s="2" t="s">
        <v>74</v>
      </c>
      <c r="BE113" s="2" t="s">
        <v>5612</v>
      </c>
      <c r="BF113" s="2" t="str">
        <f>HYPERLINK("http://dx.doi.org/10.1016/j.anbehav.2021.08.018","http://dx.doi.org/10.1016/j.anbehav.2021.08.018")</f>
        <v>http://dx.doi.org/10.1016/j.anbehav.2021.08.018</v>
      </c>
      <c r="BG113" s="2" t="s">
        <v>74</v>
      </c>
      <c r="BH113" s="2" t="s">
        <v>675</v>
      </c>
      <c r="BI113" s="2" t="s">
        <v>74</v>
      </c>
      <c r="BJ113" s="2" t="s">
        <v>74</v>
      </c>
      <c r="BK113" s="2" t="s">
        <v>74</v>
      </c>
      <c r="BL113" s="2" t="s">
        <v>74</v>
      </c>
      <c r="BM113" s="2" t="s">
        <v>74</v>
      </c>
      <c r="BN113" s="2" t="s">
        <v>74</v>
      </c>
      <c r="BO113" s="2" t="s">
        <v>74</v>
      </c>
      <c r="BP113" s="2" t="s">
        <v>74</v>
      </c>
      <c r="BQ113" s="2" t="s">
        <v>74</v>
      </c>
      <c r="BR113" s="2" t="s">
        <v>74</v>
      </c>
      <c r="BS113" s="2" t="s">
        <v>5613</v>
      </c>
      <c r="BT113" s="2" t="str">
        <f>HYPERLINK("https%3A%2F%2Fwww.webofscience.com%2Fwos%2Fwoscc%2Ffull-record%2FWOS:000707744600009","View Full Record in Web of Science")</f>
        <v>View Full Record in Web of Science</v>
      </c>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row>
    <row r="114" spans="1:314" s="2" customFormat="1" x14ac:dyDescent="0.4">
      <c r="A114" s="2" t="s">
        <v>72</v>
      </c>
      <c r="B114" s="2" t="s">
        <v>6318</v>
      </c>
      <c r="C114" s="2" t="s">
        <v>74</v>
      </c>
      <c r="D114" s="2" t="s">
        <v>74</v>
      </c>
      <c r="E114" s="2" t="s">
        <v>74</v>
      </c>
      <c r="F114" s="2" t="s">
        <v>6319</v>
      </c>
      <c r="G114" s="2" t="s">
        <v>74</v>
      </c>
      <c r="H114" s="2" t="s">
        <v>74</v>
      </c>
      <c r="I114" s="2" t="s">
        <v>6320</v>
      </c>
      <c r="J114" s="2" t="s">
        <v>2207</v>
      </c>
      <c r="K114" s="2" t="s">
        <v>74</v>
      </c>
      <c r="L114" s="2" t="s">
        <v>74</v>
      </c>
      <c r="M114" s="2" t="s">
        <v>74</v>
      </c>
      <c r="N114" s="2" t="s">
        <v>74</v>
      </c>
      <c r="O114" s="2" t="s">
        <v>74</v>
      </c>
      <c r="P114" s="2" t="s">
        <v>74</v>
      </c>
      <c r="Q114" s="2" t="s">
        <v>74</v>
      </c>
      <c r="R114" s="2" t="s">
        <v>74</v>
      </c>
      <c r="S114" s="2" t="s">
        <v>74</v>
      </c>
      <c r="T114" s="2" t="s">
        <v>74</v>
      </c>
      <c r="U114" s="2" t="s">
        <v>74</v>
      </c>
      <c r="V114" s="5" t="s">
        <v>6321</v>
      </c>
      <c r="W114" s="2" t="s">
        <v>74</v>
      </c>
      <c r="X114" s="2" t="s">
        <v>74</v>
      </c>
      <c r="Y114" s="2" t="s">
        <v>74</v>
      </c>
      <c r="Z114" s="2" t="s">
        <v>74</v>
      </c>
      <c r="AA114" s="2" t="s">
        <v>6322</v>
      </c>
      <c r="AB114" s="2" t="s">
        <v>6323</v>
      </c>
      <c r="AC114" s="2" t="s">
        <v>74</v>
      </c>
      <c r="AD114" s="2" t="s">
        <v>74</v>
      </c>
      <c r="AE114" s="2" t="s">
        <v>74</v>
      </c>
      <c r="AF114" s="2" t="s">
        <v>74</v>
      </c>
      <c r="AG114" s="2" t="s">
        <v>74</v>
      </c>
      <c r="AH114" s="2" t="s">
        <v>74</v>
      </c>
      <c r="AI114" s="2" t="s">
        <v>74</v>
      </c>
      <c r="AJ114" s="2" t="s">
        <v>74</v>
      </c>
      <c r="AK114" s="2" t="s">
        <v>74</v>
      </c>
      <c r="AL114" s="2" t="s">
        <v>74</v>
      </c>
      <c r="AM114" s="2" t="s">
        <v>74</v>
      </c>
      <c r="AN114" s="2" t="s">
        <v>74</v>
      </c>
      <c r="AO114" s="2" t="s">
        <v>2211</v>
      </c>
      <c r="AP114" s="2" t="s">
        <v>2461</v>
      </c>
      <c r="AQ114" s="2" t="s">
        <v>74</v>
      </c>
      <c r="AR114" s="2" t="s">
        <v>74</v>
      </c>
      <c r="AS114" s="2" t="s">
        <v>74</v>
      </c>
      <c r="AT114" s="2" t="s">
        <v>255</v>
      </c>
      <c r="AU114" s="2">
        <v>2018</v>
      </c>
      <c r="AV114" s="2">
        <v>49</v>
      </c>
      <c r="AW114" s="2">
        <v>1</v>
      </c>
      <c r="AX114" s="2" t="s">
        <v>74</v>
      </c>
      <c r="AY114" s="2" t="s">
        <v>74</v>
      </c>
      <c r="AZ114" s="2" t="s">
        <v>74</v>
      </c>
      <c r="BA114" s="2" t="s">
        <v>74</v>
      </c>
      <c r="BB114" s="2" t="s">
        <v>74</v>
      </c>
      <c r="BC114" s="2" t="s">
        <v>74</v>
      </c>
      <c r="BD114" s="2" t="s">
        <v>6324</v>
      </c>
      <c r="BE114" s="2" t="s">
        <v>6325</v>
      </c>
      <c r="BF114" s="2" t="str">
        <f>HYPERLINK("http://dx.doi.org/10.1111/jav.01467","http://dx.doi.org/10.1111/jav.01467")</f>
        <v>http://dx.doi.org/10.1111/jav.01467</v>
      </c>
      <c r="BG114" s="2" t="s">
        <v>74</v>
      </c>
      <c r="BH114" s="2" t="s">
        <v>74</v>
      </c>
      <c r="BI114" s="2" t="s">
        <v>74</v>
      </c>
      <c r="BJ114" s="2" t="s">
        <v>74</v>
      </c>
      <c r="BK114" s="2" t="s">
        <v>74</v>
      </c>
      <c r="BL114" s="2" t="s">
        <v>74</v>
      </c>
      <c r="BM114" s="2" t="s">
        <v>74</v>
      </c>
      <c r="BN114" s="2" t="s">
        <v>74</v>
      </c>
      <c r="BO114" s="2" t="s">
        <v>74</v>
      </c>
      <c r="BP114" s="2" t="s">
        <v>74</v>
      </c>
      <c r="BQ114" s="2" t="s">
        <v>74</v>
      </c>
      <c r="BR114" s="2" t="s">
        <v>74</v>
      </c>
      <c r="BS114" s="2" t="s">
        <v>6326</v>
      </c>
      <c r="BT114" s="2" t="str">
        <f>HYPERLINK("https%3A%2F%2Fwww.webofscience.com%2Fwos%2Fwoscc%2Ffull-record%2FWOS:000425085000003","View Full Record in Web of Science")</f>
        <v>View Full Record in Web of Science</v>
      </c>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row>
    <row r="115" spans="1:314" s="2" customFormat="1" x14ac:dyDescent="0.4">
      <c r="A115" s="2" t="s">
        <v>72</v>
      </c>
      <c r="B115" s="2" t="s">
        <v>4111</v>
      </c>
      <c r="C115" s="2" t="s">
        <v>74</v>
      </c>
      <c r="D115" s="2" t="s">
        <v>74</v>
      </c>
      <c r="E115" s="2" t="s">
        <v>74</v>
      </c>
      <c r="F115" s="2" t="s">
        <v>4112</v>
      </c>
      <c r="G115" s="2" t="s">
        <v>74</v>
      </c>
      <c r="H115" s="2" t="s">
        <v>74</v>
      </c>
      <c r="I115" s="2" t="s">
        <v>4113</v>
      </c>
      <c r="J115" s="2" t="s">
        <v>4114</v>
      </c>
      <c r="K115" s="2" t="s">
        <v>74</v>
      </c>
      <c r="L115" s="2" t="s">
        <v>74</v>
      </c>
      <c r="M115" s="2" t="s">
        <v>74</v>
      </c>
      <c r="N115" s="2" t="s">
        <v>74</v>
      </c>
      <c r="O115" s="2" t="s">
        <v>74</v>
      </c>
      <c r="P115" s="2" t="s">
        <v>74</v>
      </c>
      <c r="Q115" s="2" t="s">
        <v>74</v>
      </c>
      <c r="R115" s="2" t="s">
        <v>74</v>
      </c>
      <c r="S115" s="2" t="s">
        <v>74</v>
      </c>
      <c r="T115" s="2" t="s">
        <v>74</v>
      </c>
      <c r="U115" s="2" t="s">
        <v>74</v>
      </c>
      <c r="V115" s="5" t="s">
        <v>4115</v>
      </c>
      <c r="W115" s="2" t="s">
        <v>74</v>
      </c>
      <c r="X115" s="2" t="s">
        <v>74</v>
      </c>
      <c r="Y115" s="2" t="s">
        <v>74</v>
      </c>
      <c r="Z115" s="2" t="s">
        <v>74</v>
      </c>
      <c r="AA115" s="2" t="s">
        <v>74</v>
      </c>
      <c r="AB115" s="2" t="s">
        <v>74</v>
      </c>
      <c r="AC115" s="2" t="s">
        <v>74</v>
      </c>
      <c r="AD115" s="2" t="s">
        <v>74</v>
      </c>
      <c r="AE115" s="2" t="s">
        <v>74</v>
      </c>
      <c r="AF115" s="2" t="s">
        <v>74</v>
      </c>
      <c r="AG115" s="2" t="s">
        <v>74</v>
      </c>
      <c r="AH115" s="2" t="s">
        <v>74</v>
      </c>
      <c r="AI115" s="2" t="s">
        <v>74</v>
      </c>
      <c r="AJ115" s="2" t="s">
        <v>74</v>
      </c>
      <c r="AK115" s="2" t="s">
        <v>74</v>
      </c>
      <c r="AL115" s="2" t="s">
        <v>74</v>
      </c>
      <c r="AM115" s="2" t="s">
        <v>74</v>
      </c>
      <c r="AN115" s="2" t="s">
        <v>74</v>
      </c>
      <c r="AO115" s="2" t="s">
        <v>4116</v>
      </c>
      <c r="AP115" s="2" t="s">
        <v>4117</v>
      </c>
      <c r="AQ115" s="2" t="s">
        <v>74</v>
      </c>
      <c r="AR115" s="2" t="s">
        <v>74</v>
      </c>
      <c r="AS115" s="2" t="s">
        <v>74</v>
      </c>
      <c r="AT115" s="2" t="s">
        <v>633</v>
      </c>
      <c r="AU115" s="2">
        <v>2022</v>
      </c>
      <c r="AV115" s="2">
        <v>47</v>
      </c>
      <c r="AW115" s="2">
        <v>2</v>
      </c>
      <c r="AX115" s="2" t="s">
        <v>74</v>
      </c>
      <c r="AY115" s="2" t="s">
        <v>74</v>
      </c>
      <c r="AZ115" s="2" t="s">
        <v>74</v>
      </c>
      <c r="BA115" s="2" t="s">
        <v>74</v>
      </c>
      <c r="BB115" s="2">
        <v>158</v>
      </c>
      <c r="BC115" s="2">
        <v>169</v>
      </c>
      <c r="BD115" s="2" t="s">
        <v>74</v>
      </c>
      <c r="BE115" s="2" t="s">
        <v>4118</v>
      </c>
      <c r="BF115" s="2" t="str">
        <f>HYPERLINK("http://dx.doi.org/10.1111/een.13098","http://dx.doi.org/10.1111/een.13098")</f>
        <v>http://dx.doi.org/10.1111/een.13098</v>
      </c>
      <c r="BG115" s="2" t="s">
        <v>74</v>
      </c>
      <c r="BH115" s="2" t="s">
        <v>4119</v>
      </c>
      <c r="BI115" s="2" t="s">
        <v>74</v>
      </c>
      <c r="BJ115" s="2" t="s">
        <v>74</v>
      </c>
      <c r="BK115" s="2" t="s">
        <v>74</v>
      </c>
      <c r="BL115" s="2" t="s">
        <v>74</v>
      </c>
      <c r="BM115" s="2" t="s">
        <v>74</v>
      </c>
      <c r="BN115" s="2" t="s">
        <v>74</v>
      </c>
      <c r="BO115" s="2" t="s">
        <v>74</v>
      </c>
      <c r="BP115" s="2" t="s">
        <v>74</v>
      </c>
      <c r="BQ115" s="2" t="s">
        <v>74</v>
      </c>
      <c r="BR115" s="2" t="s">
        <v>74</v>
      </c>
      <c r="BS115" s="2" t="s">
        <v>4120</v>
      </c>
      <c r="BT115" s="2" t="str">
        <f>HYPERLINK("https%3A%2F%2Fwww.webofscience.com%2Fwos%2Fwoscc%2Ffull-record%2FWOS:000711895800001","View Full Record in Web of Science")</f>
        <v>View Full Record in Web of Science</v>
      </c>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row>
    <row r="116" spans="1:314" s="1" customFormat="1" x14ac:dyDescent="0.4">
      <c r="A116" s="2" t="s">
        <v>72</v>
      </c>
      <c r="B116" s="2" t="s">
        <v>5521</v>
      </c>
      <c r="C116" s="2" t="s">
        <v>74</v>
      </c>
      <c r="D116" s="2" t="s">
        <v>74</v>
      </c>
      <c r="E116" s="2" t="s">
        <v>74</v>
      </c>
      <c r="F116" s="2" t="s">
        <v>5522</v>
      </c>
      <c r="G116" s="2" t="s">
        <v>74</v>
      </c>
      <c r="H116" s="2" t="s">
        <v>74</v>
      </c>
      <c r="I116" s="2" t="s">
        <v>5523</v>
      </c>
      <c r="J116" s="2" t="s">
        <v>218</v>
      </c>
      <c r="K116" s="2" t="s">
        <v>74</v>
      </c>
      <c r="L116" s="2" t="s">
        <v>74</v>
      </c>
      <c r="M116" s="2" t="s">
        <v>74</v>
      </c>
      <c r="N116" s="2" t="s">
        <v>74</v>
      </c>
      <c r="O116" s="2" t="s">
        <v>74</v>
      </c>
      <c r="P116" s="2" t="s">
        <v>74</v>
      </c>
      <c r="Q116" s="2" t="s">
        <v>74</v>
      </c>
      <c r="R116" s="2" t="s">
        <v>74</v>
      </c>
      <c r="S116" s="2" t="s">
        <v>74</v>
      </c>
      <c r="T116" s="2" t="s">
        <v>74</v>
      </c>
      <c r="U116" s="2" t="s">
        <v>74</v>
      </c>
      <c r="V116" s="5" t="s">
        <v>5524</v>
      </c>
      <c r="W116" s="2" t="s">
        <v>74</v>
      </c>
      <c r="X116" s="2" t="s">
        <v>74</v>
      </c>
      <c r="Y116" s="2" t="s">
        <v>74</v>
      </c>
      <c r="Z116" s="2" t="s">
        <v>74</v>
      </c>
      <c r="AA116" s="2" t="s">
        <v>5525</v>
      </c>
      <c r="AB116" s="2" t="s">
        <v>5526</v>
      </c>
      <c r="AC116" s="2" t="s">
        <v>74</v>
      </c>
      <c r="AD116" s="2" t="s">
        <v>74</v>
      </c>
      <c r="AE116" s="2" t="s">
        <v>74</v>
      </c>
      <c r="AF116" s="2" t="s">
        <v>74</v>
      </c>
      <c r="AG116" s="2" t="s">
        <v>74</v>
      </c>
      <c r="AH116" s="2" t="s">
        <v>74</v>
      </c>
      <c r="AI116" s="2" t="s">
        <v>74</v>
      </c>
      <c r="AJ116" s="2" t="s">
        <v>74</v>
      </c>
      <c r="AK116" s="2" t="s">
        <v>74</v>
      </c>
      <c r="AL116" s="2" t="s">
        <v>74</v>
      </c>
      <c r="AM116" s="2" t="s">
        <v>74</v>
      </c>
      <c r="AN116" s="2" t="s">
        <v>74</v>
      </c>
      <c r="AO116" s="2" t="s">
        <v>221</v>
      </c>
      <c r="AP116" s="2" t="s">
        <v>222</v>
      </c>
      <c r="AQ116" s="2" t="s">
        <v>74</v>
      </c>
      <c r="AR116" s="2" t="s">
        <v>74</v>
      </c>
      <c r="AS116" s="2" t="s">
        <v>74</v>
      </c>
      <c r="AT116" s="2" t="s">
        <v>213</v>
      </c>
      <c r="AU116" s="2">
        <v>2008</v>
      </c>
      <c r="AV116" s="2">
        <v>21</v>
      </c>
      <c r="AW116" s="2">
        <v>6</v>
      </c>
      <c r="AX116" s="2" t="s">
        <v>74</v>
      </c>
      <c r="AY116" s="2" t="s">
        <v>74</v>
      </c>
      <c r="AZ116" s="2" t="s">
        <v>74</v>
      </c>
      <c r="BA116" s="2" t="s">
        <v>74</v>
      </c>
      <c r="BB116" s="2">
        <v>1789</v>
      </c>
      <c r="BC116" s="2">
        <v>1797</v>
      </c>
      <c r="BD116" s="2" t="s">
        <v>74</v>
      </c>
      <c r="BE116" s="2" t="s">
        <v>5527</v>
      </c>
      <c r="BF116" s="2" t="str">
        <f>HYPERLINK("http://dx.doi.org/10.1111/j.1420-9101.2008.01591.x","http://dx.doi.org/10.1111/j.1420-9101.2008.01591.x")</f>
        <v>http://dx.doi.org/10.1111/j.1420-9101.2008.01591.x</v>
      </c>
      <c r="BG116" s="2" t="s">
        <v>74</v>
      </c>
      <c r="BH116" s="2" t="s">
        <v>74</v>
      </c>
      <c r="BI116" s="2" t="s">
        <v>74</v>
      </c>
      <c r="BJ116" s="2" t="s">
        <v>74</v>
      </c>
      <c r="BK116" s="2" t="s">
        <v>74</v>
      </c>
      <c r="BL116" s="2" t="s">
        <v>74</v>
      </c>
      <c r="BM116" s="2" t="s">
        <v>74</v>
      </c>
      <c r="BN116" s="2">
        <v>18713241</v>
      </c>
      <c r="BO116" s="2" t="s">
        <v>74</v>
      </c>
      <c r="BP116" s="2" t="s">
        <v>74</v>
      </c>
      <c r="BQ116" s="2" t="s">
        <v>74</v>
      </c>
      <c r="BR116" s="2" t="s">
        <v>74</v>
      </c>
      <c r="BS116" s="2" t="s">
        <v>5528</v>
      </c>
      <c r="BT116" s="2" t="str">
        <f>HYPERLINK("https%3A%2F%2Fwww.webofscience.com%2Fwos%2Fwoscc%2Ffull-record%2FWOS:000260108900032","View Full Record in Web of Science")</f>
        <v>View Full Record in Web of Science</v>
      </c>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row>
    <row r="117" spans="1:314" s="2" customFormat="1" x14ac:dyDescent="0.4">
      <c r="A117" s="2" t="s">
        <v>72</v>
      </c>
      <c r="B117" s="2" t="s">
        <v>2128</v>
      </c>
      <c r="C117" s="2" t="s">
        <v>74</v>
      </c>
      <c r="D117" s="2" t="s">
        <v>74</v>
      </c>
      <c r="E117" s="2" t="s">
        <v>74</v>
      </c>
      <c r="F117" s="2" t="s">
        <v>2128</v>
      </c>
      <c r="G117" s="2" t="s">
        <v>74</v>
      </c>
      <c r="H117" s="2" t="s">
        <v>74</v>
      </c>
      <c r="I117" s="2" t="s">
        <v>2129</v>
      </c>
      <c r="J117" s="2" t="s">
        <v>1526</v>
      </c>
      <c r="K117" s="2" t="s">
        <v>74</v>
      </c>
      <c r="L117" s="2" t="s">
        <v>74</v>
      </c>
      <c r="M117" s="2" t="s">
        <v>74</v>
      </c>
      <c r="N117" s="2" t="s">
        <v>74</v>
      </c>
      <c r="O117" s="2" t="s">
        <v>74</v>
      </c>
      <c r="P117" s="2" t="s">
        <v>74</v>
      </c>
      <c r="Q117" s="2" t="s">
        <v>74</v>
      </c>
      <c r="R117" s="2" t="s">
        <v>74</v>
      </c>
      <c r="S117" s="2" t="s">
        <v>74</v>
      </c>
      <c r="T117" s="2" t="s">
        <v>74</v>
      </c>
      <c r="U117" s="2" t="s">
        <v>74</v>
      </c>
      <c r="V117" s="5" t="s">
        <v>2130</v>
      </c>
      <c r="W117" s="2" t="s">
        <v>74</v>
      </c>
      <c r="X117" s="2" t="s">
        <v>74</v>
      </c>
      <c r="Y117" s="2" t="s">
        <v>74</v>
      </c>
      <c r="Z117" s="2" t="s">
        <v>74</v>
      </c>
      <c r="AA117" s="2" t="s">
        <v>74</v>
      </c>
      <c r="AB117" s="2" t="s">
        <v>74</v>
      </c>
      <c r="AC117" s="2" t="s">
        <v>74</v>
      </c>
      <c r="AD117" s="2" t="s">
        <v>74</v>
      </c>
      <c r="AE117" s="2" t="s">
        <v>74</v>
      </c>
      <c r="AF117" s="2" t="s">
        <v>74</v>
      </c>
      <c r="AG117" s="2" t="s">
        <v>74</v>
      </c>
      <c r="AH117" s="2" t="s">
        <v>74</v>
      </c>
      <c r="AI117" s="2" t="s">
        <v>74</v>
      </c>
      <c r="AJ117" s="2" t="s">
        <v>74</v>
      </c>
      <c r="AK117" s="2" t="s">
        <v>74</v>
      </c>
      <c r="AL117" s="2" t="s">
        <v>74</v>
      </c>
      <c r="AM117" s="2" t="s">
        <v>74</v>
      </c>
      <c r="AN117" s="2" t="s">
        <v>74</v>
      </c>
      <c r="AO117" s="2" t="s">
        <v>1528</v>
      </c>
      <c r="AP117" s="2" t="s">
        <v>2131</v>
      </c>
      <c r="AQ117" s="2" t="s">
        <v>74</v>
      </c>
      <c r="AR117" s="2" t="s">
        <v>74</v>
      </c>
      <c r="AS117" s="2" t="s">
        <v>74</v>
      </c>
      <c r="AT117" s="2" t="s">
        <v>145</v>
      </c>
      <c r="AU117" s="2">
        <v>2000</v>
      </c>
      <c r="AV117" s="2">
        <v>102</v>
      </c>
      <c r="AW117" s="2">
        <v>3</v>
      </c>
      <c r="AX117" s="2" t="s">
        <v>74</v>
      </c>
      <c r="AY117" s="2" t="s">
        <v>74</v>
      </c>
      <c r="AZ117" s="2" t="s">
        <v>74</v>
      </c>
      <c r="BA117" s="2" t="s">
        <v>74</v>
      </c>
      <c r="BB117" s="2">
        <v>708</v>
      </c>
      <c r="BC117" s="2">
        <v>712</v>
      </c>
      <c r="BD117" s="2" t="s">
        <v>74</v>
      </c>
      <c r="BE117" s="2" t="s">
        <v>2132</v>
      </c>
      <c r="BF117" s="2" t="str">
        <f>HYPERLINK("http://dx.doi.org/10.1650/0010-5422(2000)102[0708:RBTCPA]2.0.CO;2","http://dx.doi.org/10.1650/0010-5422(2000)102[0708:RBTCPA]2.0.CO;2")</f>
        <v>http://dx.doi.org/10.1650/0010-5422(2000)102[0708:RBTCPA]2.0.CO;2</v>
      </c>
      <c r="BG117" s="2" t="s">
        <v>74</v>
      </c>
      <c r="BH117" s="2" t="s">
        <v>74</v>
      </c>
      <c r="BI117" s="2" t="s">
        <v>74</v>
      </c>
      <c r="BJ117" s="2" t="s">
        <v>74</v>
      </c>
      <c r="BK117" s="2" t="s">
        <v>74</v>
      </c>
      <c r="BL117" s="2" t="s">
        <v>74</v>
      </c>
      <c r="BM117" s="2" t="s">
        <v>74</v>
      </c>
      <c r="BN117" s="2" t="s">
        <v>74</v>
      </c>
      <c r="BO117" s="2" t="s">
        <v>74</v>
      </c>
      <c r="BP117" s="2" t="s">
        <v>74</v>
      </c>
      <c r="BQ117" s="2" t="s">
        <v>74</v>
      </c>
      <c r="BR117" s="2" t="s">
        <v>74</v>
      </c>
      <c r="BS117" s="2" t="s">
        <v>2133</v>
      </c>
      <c r="BT117" s="2" t="str">
        <f>HYPERLINK("https%3A%2F%2Fwww.webofscience.com%2Fwos%2Fwoscc%2Ffull-record%2FWOS:000088716300031","View Full Record in Web of Science")</f>
        <v>View Full Record in Web of Science</v>
      </c>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row>
    <row r="118" spans="1:314" s="2" customFormat="1" x14ac:dyDescent="0.4">
      <c r="A118" s="2" t="s">
        <v>72</v>
      </c>
      <c r="B118" s="2" t="s">
        <v>1963</v>
      </c>
      <c r="C118" s="2" t="s">
        <v>74</v>
      </c>
      <c r="D118" s="2" t="s">
        <v>74</v>
      </c>
      <c r="E118" s="2" t="s">
        <v>74</v>
      </c>
      <c r="F118" s="2" t="s">
        <v>1964</v>
      </c>
      <c r="G118" s="2" t="s">
        <v>74</v>
      </c>
      <c r="H118" s="2" t="s">
        <v>74</v>
      </c>
      <c r="I118" s="2" t="s">
        <v>1965</v>
      </c>
      <c r="J118" s="2" t="s">
        <v>803</v>
      </c>
      <c r="K118" s="2" t="s">
        <v>74</v>
      </c>
      <c r="L118" s="2" t="s">
        <v>74</v>
      </c>
      <c r="M118" s="2" t="s">
        <v>74</v>
      </c>
      <c r="N118" s="2" t="s">
        <v>74</v>
      </c>
      <c r="O118" s="2" t="s">
        <v>74</v>
      </c>
      <c r="P118" s="2" t="s">
        <v>74</v>
      </c>
      <c r="Q118" s="2" t="s">
        <v>74</v>
      </c>
      <c r="R118" s="2" t="s">
        <v>74</v>
      </c>
      <c r="S118" s="2" t="s">
        <v>74</v>
      </c>
      <c r="T118" s="2" t="s">
        <v>74</v>
      </c>
      <c r="U118" s="2" t="s">
        <v>74</v>
      </c>
      <c r="V118" s="5" t="s">
        <v>1966</v>
      </c>
      <c r="W118" s="2" t="s">
        <v>74</v>
      </c>
      <c r="X118" s="2" t="s">
        <v>74</v>
      </c>
      <c r="Y118" s="2" t="s">
        <v>74</v>
      </c>
      <c r="Z118" s="2" t="s">
        <v>74</v>
      </c>
      <c r="AA118" s="2" t="s">
        <v>1967</v>
      </c>
      <c r="AB118" s="2" t="s">
        <v>1968</v>
      </c>
      <c r="AC118" s="2" t="s">
        <v>74</v>
      </c>
      <c r="AD118" s="2" t="s">
        <v>74</v>
      </c>
      <c r="AE118" s="2" t="s">
        <v>74</v>
      </c>
      <c r="AF118" s="2" t="s">
        <v>74</v>
      </c>
      <c r="AG118" s="2" t="s">
        <v>74</v>
      </c>
      <c r="AH118" s="2" t="s">
        <v>74</v>
      </c>
      <c r="AI118" s="2" t="s">
        <v>74</v>
      </c>
      <c r="AJ118" s="2" t="s">
        <v>74</v>
      </c>
      <c r="AK118" s="2" t="s">
        <v>74</v>
      </c>
      <c r="AL118" s="2" t="s">
        <v>74</v>
      </c>
      <c r="AM118" s="2" t="s">
        <v>74</v>
      </c>
      <c r="AN118" s="2" t="s">
        <v>74</v>
      </c>
      <c r="AO118" s="2" t="s">
        <v>806</v>
      </c>
      <c r="AP118" s="2" t="s">
        <v>807</v>
      </c>
      <c r="AQ118" s="2" t="s">
        <v>74</v>
      </c>
      <c r="AR118" s="2" t="s">
        <v>74</v>
      </c>
      <c r="AS118" s="2" t="s">
        <v>74</v>
      </c>
      <c r="AT118" s="2" t="s">
        <v>808</v>
      </c>
      <c r="AU118" s="2">
        <v>2009</v>
      </c>
      <c r="AV118" s="2">
        <v>4</v>
      </c>
      <c r="AW118" s="2">
        <v>3</v>
      </c>
      <c r="AX118" s="2" t="s">
        <v>74</v>
      </c>
      <c r="AY118" s="2" t="s">
        <v>74</v>
      </c>
      <c r="AZ118" s="2" t="s">
        <v>74</v>
      </c>
      <c r="BA118" s="2" t="s">
        <v>74</v>
      </c>
      <c r="BB118" s="2">
        <v>111</v>
      </c>
      <c r="BC118" s="2">
        <v>117</v>
      </c>
      <c r="BD118" s="2" t="s">
        <v>74</v>
      </c>
      <c r="BE118" s="2" t="s">
        <v>1969</v>
      </c>
      <c r="BF118" s="2" t="str">
        <f>HYPERLINK("http://dx.doi.org/10.1016/j.jveb.2008.08.010","http://dx.doi.org/10.1016/j.jveb.2008.08.010")</f>
        <v>http://dx.doi.org/10.1016/j.jveb.2008.08.010</v>
      </c>
      <c r="BG118" s="2" t="s">
        <v>74</v>
      </c>
      <c r="BH118" s="2" t="s">
        <v>74</v>
      </c>
      <c r="BI118" s="2" t="s">
        <v>74</v>
      </c>
      <c r="BJ118" s="2" t="s">
        <v>74</v>
      </c>
      <c r="BK118" s="2" t="s">
        <v>74</v>
      </c>
      <c r="BL118" s="2" t="s">
        <v>74</v>
      </c>
      <c r="BM118" s="2" t="s">
        <v>74</v>
      </c>
      <c r="BN118" s="2" t="s">
        <v>74</v>
      </c>
      <c r="BO118" s="2" t="s">
        <v>74</v>
      </c>
      <c r="BP118" s="2" t="s">
        <v>74</v>
      </c>
      <c r="BQ118" s="2" t="s">
        <v>74</v>
      </c>
      <c r="BR118" s="2" t="s">
        <v>74</v>
      </c>
      <c r="BS118" s="2" t="s">
        <v>1970</v>
      </c>
      <c r="BT118" s="2" t="str">
        <f>HYPERLINK("https%3A%2F%2Fwww.webofscience.com%2Fwos%2Fwoscc%2Ffull-record%2FWOS:000266574100002","View Full Record in Web of Science")</f>
        <v>View Full Record in Web of Science</v>
      </c>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row>
    <row r="119" spans="1:314" s="2" customFormat="1" x14ac:dyDescent="0.4">
      <c r="A119" s="2" t="s">
        <v>72</v>
      </c>
      <c r="B119" s="2" t="s">
        <v>1565</v>
      </c>
      <c r="C119" s="2" t="s">
        <v>74</v>
      </c>
      <c r="D119" s="2" t="s">
        <v>74</v>
      </c>
      <c r="E119" s="2" t="s">
        <v>74</v>
      </c>
      <c r="F119" s="2" t="s">
        <v>1566</v>
      </c>
      <c r="G119" s="2" t="s">
        <v>74</v>
      </c>
      <c r="H119" s="2" t="s">
        <v>74</v>
      </c>
      <c r="I119" s="2" t="s">
        <v>1567</v>
      </c>
      <c r="J119" s="2" t="s">
        <v>88</v>
      </c>
      <c r="K119" s="2" t="s">
        <v>74</v>
      </c>
      <c r="L119" s="2" t="s">
        <v>74</v>
      </c>
      <c r="M119" s="2" t="s">
        <v>74</v>
      </c>
      <c r="N119" s="2" t="s">
        <v>74</v>
      </c>
      <c r="O119" s="2" t="s">
        <v>74</v>
      </c>
      <c r="P119" s="2" t="s">
        <v>74</v>
      </c>
      <c r="Q119" s="2" t="s">
        <v>74</v>
      </c>
      <c r="R119" s="2" t="s">
        <v>74</v>
      </c>
      <c r="S119" s="2" t="s">
        <v>74</v>
      </c>
      <c r="T119" s="2" t="s">
        <v>74</v>
      </c>
      <c r="U119" s="2" t="s">
        <v>74</v>
      </c>
      <c r="V119" s="5" t="s">
        <v>1568</v>
      </c>
      <c r="W119" s="2" t="s">
        <v>74</v>
      </c>
      <c r="X119" s="2" t="s">
        <v>74</v>
      </c>
      <c r="Y119" s="2" t="s">
        <v>74</v>
      </c>
      <c r="Z119" s="2" t="s">
        <v>74</v>
      </c>
      <c r="AA119" s="2" t="s">
        <v>74</v>
      </c>
      <c r="AB119" s="2" t="s">
        <v>1569</v>
      </c>
      <c r="AC119" s="2" t="s">
        <v>74</v>
      </c>
      <c r="AD119" s="2" t="s">
        <v>74</v>
      </c>
      <c r="AE119" s="2" t="s">
        <v>74</v>
      </c>
      <c r="AF119" s="2" t="s">
        <v>74</v>
      </c>
      <c r="AG119" s="2" t="s">
        <v>74</v>
      </c>
      <c r="AH119" s="2" t="s">
        <v>74</v>
      </c>
      <c r="AI119" s="2" t="s">
        <v>74</v>
      </c>
      <c r="AJ119" s="2" t="s">
        <v>74</v>
      </c>
      <c r="AK119" s="2" t="s">
        <v>74</v>
      </c>
      <c r="AL119" s="2" t="s">
        <v>74</v>
      </c>
      <c r="AM119" s="2" t="s">
        <v>74</v>
      </c>
      <c r="AN119" s="2" t="s">
        <v>74</v>
      </c>
      <c r="AO119" s="2" t="s">
        <v>91</v>
      </c>
      <c r="AP119" s="2" t="s">
        <v>92</v>
      </c>
      <c r="AQ119" s="2" t="s">
        <v>74</v>
      </c>
      <c r="AR119" s="2" t="s">
        <v>74</v>
      </c>
      <c r="AS119" s="2" t="s">
        <v>74</v>
      </c>
      <c r="AT119" s="2" t="s">
        <v>361</v>
      </c>
      <c r="AU119" s="2">
        <v>2019</v>
      </c>
      <c r="AV119" s="2">
        <v>15</v>
      </c>
      <c r="AW119" s="2">
        <v>5</v>
      </c>
      <c r="AX119" s="2" t="s">
        <v>74</v>
      </c>
      <c r="AY119" s="2" t="s">
        <v>74</v>
      </c>
      <c r="AZ119" s="2" t="s">
        <v>74</v>
      </c>
      <c r="BA119" s="2" t="s">
        <v>74</v>
      </c>
      <c r="BB119" s="2" t="s">
        <v>74</v>
      </c>
      <c r="BC119" s="2" t="s">
        <v>74</v>
      </c>
      <c r="BD119" s="2">
        <v>20190207</v>
      </c>
      <c r="BE119" s="2" t="s">
        <v>1570</v>
      </c>
      <c r="BF119" s="2" t="str">
        <f>HYPERLINK("http://dx.doi.org/10.1098/rsbl.2019.0207","http://dx.doi.org/10.1098/rsbl.2019.0207")</f>
        <v>http://dx.doi.org/10.1098/rsbl.2019.0207</v>
      </c>
      <c r="BG119" s="2" t="s">
        <v>74</v>
      </c>
      <c r="BH119" s="2" t="s">
        <v>74</v>
      </c>
      <c r="BI119" s="2" t="s">
        <v>74</v>
      </c>
      <c r="BJ119" s="2" t="s">
        <v>74</v>
      </c>
      <c r="BK119" s="2" t="s">
        <v>74</v>
      </c>
      <c r="BL119" s="2" t="s">
        <v>74</v>
      </c>
      <c r="BM119" s="2" t="s">
        <v>74</v>
      </c>
      <c r="BN119" s="2">
        <v>31088284</v>
      </c>
      <c r="BO119" s="2" t="s">
        <v>74</v>
      </c>
      <c r="BP119" s="2" t="s">
        <v>74</v>
      </c>
      <c r="BQ119" s="2" t="s">
        <v>74</v>
      </c>
      <c r="BR119" s="2" t="s">
        <v>74</v>
      </c>
      <c r="BS119" s="2" t="s">
        <v>1571</v>
      </c>
      <c r="BT119" s="2" t="str">
        <f>HYPERLINK("https%3A%2F%2Fwww.webofscience.com%2Fwos%2Fwoscc%2Ffull-record%2FWOS:000470116400022","View Full Record in Web of Science")</f>
        <v>View Full Record in Web of Science</v>
      </c>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row>
    <row r="120" spans="1:314" s="2" customFormat="1" x14ac:dyDescent="0.4">
      <c r="A120" s="2" t="s">
        <v>72</v>
      </c>
      <c r="B120" s="2" t="s">
        <v>1565</v>
      </c>
      <c r="C120" s="2" t="s">
        <v>74</v>
      </c>
      <c r="D120" s="2" t="s">
        <v>74</v>
      </c>
      <c r="E120" s="2" t="s">
        <v>74</v>
      </c>
      <c r="F120" s="2" t="s">
        <v>1566</v>
      </c>
      <c r="G120" s="2" t="s">
        <v>74</v>
      </c>
      <c r="H120" s="2" t="s">
        <v>74</v>
      </c>
      <c r="I120" s="2" t="s">
        <v>1694</v>
      </c>
      <c r="J120" s="2" t="s">
        <v>509</v>
      </c>
      <c r="K120" s="2" t="s">
        <v>74</v>
      </c>
      <c r="L120" s="2" t="s">
        <v>74</v>
      </c>
      <c r="M120" s="2" t="s">
        <v>74</v>
      </c>
      <c r="N120" s="2" t="s">
        <v>74</v>
      </c>
      <c r="O120" s="2" t="s">
        <v>74</v>
      </c>
      <c r="P120" s="2" t="s">
        <v>74</v>
      </c>
      <c r="Q120" s="2" t="s">
        <v>74</v>
      </c>
      <c r="R120" s="2" t="s">
        <v>74</v>
      </c>
      <c r="S120" s="2" t="s">
        <v>74</v>
      </c>
      <c r="T120" s="2" t="s">
        <v>74</v>
      </c>
      <c r="U120" s="2" t="s">
        <v>74</v>
      </c>
      <c r="V120" s="5" t="s">
        <v>1695</v>
      </c>
      <c r="W120" s="2" t="s">
        <v>74</v>
      </c>
      <c r="X120" s="2" t="s">
        <v>74</v>
      </c>
      <c r="Y120" s="2" t="s">
        <v>74</v>
      </c>
      <c r="Z120" s="2" t="s">
        <v>74</v>
      </c>
      <c r="AA120" s="2" t="s">
        <v>74</v>
      </c>
      <c r="AB120" s="2" t="s">
        <v>1696</v>
      </c>
      <c r="AC120" s="2" t="s">
        <v>74</v>
      </c>
      <c r="AD120" s="2" t="s">
        <v>74</v>
      </c>
      <c r="AE120" s="2" t="s">
        <v>74</v>
      </c>
      <c r="AF120" s="2" t="s">
        <v>74</v>
      </c>
      <c r="AG120" s="2" t="s">
        <v>74</v>
      </c>
      <c r="AH120" s="2" t="s">
        <v>74</v>
      </c>
      <c r="AI120" s="2" t="s">
        <v>74</v>
      </c>
      <c r="AJ120" s="2" t="s">
        <v>74</v>
      </c>
      <c r="AK120" s="2" t="s">
        <v>74</v>
      </c>
      <c r="AL120" s="2" t="s">
        <v>74</v>
      </c>
      <c r="AM120" s="2" t="s">
        <v>74</v>
      </c>
      <c r="AN120" s="2" t="s">
        <v>74</v>
      </c>
      <c r="AO120" s="2" t="s">
        <v>511</v>
      </c>
      <c r="AP120" s="2" t="s">
        <v>512</v>
      </c>
      <c r="AQ120" s="2" t="s">
        <v>74</v>
      </c>
      <c r="AR120" s="2" t="s">
        <v>74</v>
      </c>
      <c r="AS120" s="2" t="s">
        <v>74</v>
      </c>
      <c r="AT120" s="2" t="s">
        <v>145</v>
      </c>
      <c r="AU120" s="2">
        <v>2022</v>
      </c>
      <c r="AV120" s="2">
        <v>144</v>
      </c>
      <c r="AW120" s="2" t="s">
        <v>74</v>
      </c>
      <c r="AX120" s="2" t="s">
        <v>74</v>
      </c>
      <c r="AY120" s="2" t="s">
        <v>74</v>
      </c>
      <c r="AZ120" s="2" t="s">
        <v>74</v>
      </c>
      <c r="BA120" s="2" t="s">
        <v>74</v>
      </c>
      <c r="BB120" s="2" t="s">
        <v>74</v>
      </c>
      <c r="BC120" s="2" t="s">
        <v>74</v>
      </c>
      <c r="BD120" s="2">
        <v>105214</v>
      </c>
      <c r="BE120" s="2" t="s">
        <v>1697</v>
      </c>
      <c r="BF120" s="2" t="str">
        <f>HYPERLINK("http://dx.doi.org/10.1016/j.yhbeh.2022.105214","http://dx.doi.org/10.1016/j.yhbeh.2022.105214")</f>
        <v>http://dx.doi.org/10.1016/j.yhbeh.2022.105214</v>
      </c>
      <c r="BG120" s="2" t="s">
        <v>74</v>
      </c>
      <c r="BH120" s="2" t="s">
        <v>1698</v>
      </c>
      <c r="BI120" s="2" t="s">
        <v>74</v>
      </c>
      <c r="BJ120" s="2" t="s">
        <v>74</v>
      </c>
      <c r="BK120" s="2" t="s">
        <v>74</v>
      </c>
      <c r="BL120" s="2" t="s">
        <v>74</v>
      </c>
      <c r="BM120" s="2" t="s">
        <v>74</v>
      </c>
      <c r="BN120" s="2">
        <v>35696781</v>
      </c>
      <c r="BO120" s="2" t="s">
        <v>74</v>
      </c>
      <c r="BP120" s="2" t="s">
        <v>74</v>
      </c>
      <c r="BQ120" s="2" t="s">
        <v>74</v>
      </c>
      <c r="BR120" s="2" t="s">
        <v>74</v>
      </c>
      <c r="BS120" s="2" t="s">
        <v>1699</v>
      </c>
      <c r="BT120" s="2" t="str">
        <f>HYPERLINK("https%3A%2F%2Fwww.webofscience.com%2Fwos%2Fwoscc%2Ffull-record%2FWOS:000815736500002","View Full Record in Web of Science")</f>
        <v>View Full Record in Web of Science</v>
      </c>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row>
    <row r="121" spans="1:314" s="2" customFormat="1" x14ac:dyDescent="0.4">
      <c r="A121" s="2" t="s">
        <v>72</v>
      </c>
      <c r="B121" s="2" t="s">
        <v>7495</v>
      </c>
      <c r="C121" s="2" t="s">
        <v>74</v>
      </c>
      <c r="D121" s="2" t="s">
        <v>74</v>
      </c>
      <c r="E121" s="2" t="s">
        <v>74</v>
      </c>
      <c r="F121" s="2" t="s">
        <v>7496</v>
      </c>
      <c r="G121" s="2" t="s">
        <v>74</v>
      </c>
      <c r="H121" s="2" t="s">
        <v>74</v>
      </c>
      <c r="I121" s="2" t="s">
        <v>7497</v>
      </c>
      <c r="J121" s="2" t="s">
        <v>775</v>
      </c>
      <c r="K121" s="2" t="s">
        <v>74</v>
      </c>
      <c r="L121" s="2" t="s">
        <v>74</v>
      </c>
      <c r="M121" s="2" t="s">
        <v>74</v>
      </c>
      <c r="N121" s="2" t="s">
        <v>74</v>
      </c>
      <c r="O121" s="2" t="s">
        <v>74</v>
      </c>
      <c r="P121" s="2" t="s">
        <v>74</v>
      </c>
      <c r="Q121" s="2" t="s">
        <v>74</v>
      </c>
      <c r="R121" s="2" t="s">
        <v>74</v>
      </c>
      <c r="S121" s="2" t="s">
        <v>74</v>
      </c>
      <c r="T121" s="2" t="s">
        <v>74</v>
      </c>
      <c r="U121" s="2" t="s">
        <v>74</v>
      </c>
      <c r="V121" s="5" t="s">
        <v>7498</v>
      </c>
      <c r="W121" s="2" t="s">
        <v>74</v>
      </c>
      <c r="X121" s="2" t="s">
        <v>74</v>
      </c>
      <c r="Y121" s="2" t="s">
        <v>74</v>
      </c>
      <c r="Z121" s="2" t="s">
        <v>74</v>
      </c>
      <c r="AA121" s="2" t="s">
        <v>74</v>
      </c>
      <c r="AB121" s="2" t="s">
        <v>7499</v>
      </c>
      <c r="AC121" s="2" t="s">
        <v>74</v>
      </c>
      <c r="AD121" s="2" t="s">
        <v>74</v>
      </c>
      <c r="AE121" s="2" t="s">
        <v>74</v>
      </c>
      <c r="AF121" s="2" t="s">
        <v>74</v>
      </c>
      <c r="AG121" s="2" t="s">
        <v>74</v>
      </c>
      <c r="AH121" s="2" t="s">
        <v>74</v>
      </c>
      <c r="AI121" s="2" t="s">
        <v>74</v>
      </c>
      <c r="AJ121" s="2" t="s">
        <v>74</v>
      </c>
      <c r="AK121" s="2" t="s">
        <v>74</v>
      </c>
      <c r="AL121" s="2" t="s">
        <v>74</v>
      </c>
      <c r="AM121" s="2" t="s">
        <v>74</v>
      </c>
      <c r="AN121" s="2" t="s">
        <v>74</v>
      </c>
      <c r="AO121" s="2" t="s">
        <v>778</v>
      </c>
      <c r="AP121" s="2" t="s">
        <v>779</v>
      </c>
      <c r="AQ121" s="2" t="s">
        <v>74</v>
      </c>
      <c r="AR121" s="2" t="s">
        <v>74</v>
      </c>
      <c r="AS121" s="2" t="s">
        <v>74</v>
      </c>
      <c r="AT121" s="2" t="s">
        <v>102</v>
      </c>
      <c r="AU121" s="2">
        <v>2018</v>
      </c>
      <c r="AV121" s="2">
        <v>64</v>
      </c>
      <c r="AW121" s="2">
        <v>3</v>
      </c>
      <c r="AX121" s="2" t="s">
        <v>74</v>
      </c>
      <c r="AY121" s="2" t="s">
        <v>74</v>
      </c>
      <c r="AZ121" s="2" t="s">
        <v>74</v>
      </c>
      <c r="BA121" s="2" t="s">
        <v>74</v>
      </c>
      <c r="BB121" s="2">
        <v>363</v>
      </c>
      <c r="BC121" s="2">
        <v>392</v>
      </c>
      <c r="BD121" s="2" t="s">
        <v>74</v>
      </c>
      <c r="BE121" s="2" t="s">
        <v>7500</v>
      </c>
      <c r="BF121" s="2" t="str">
        <f>HYPERLINK("http://dx.doi.org/10.1093/cz/zoy036","http://dx.doi.org/10.1093/cz/zoy036")</f>
        <v>http://dx.doi.org/10.1093/cz/zoy036</v>
      </c>
      <c r="BG121" s="2" t="s">
        <v>74</v>
      </c>
      <c r="BH121" s="2" t="s">
        <v>74</v>
      </c>
      <c r="BI121" s="2" t="s">
        <v>74</v>
      </c>
      <c r="BJ121" s="2" t="s">
        <v>74</v>
      </c>
      <c r="BK121" s="2" t="s">
        <v>74</v>
      </c>
      <c r="BL121" s="2" t="s">
        <v>74</v>
      </c>
      <c r="BM121" s="2" t="s">
        <v>74</v>
      </c>
      <c r="BN121" s="2">
        <v>30402079</v>
      </c>
      <c r="BO121" s="2" t="s">
        <v>74</v>
      </c>
      <c r="BP121" s="2" t="s">
        <v>74</v>
      </c>
      <c r="BQ121" s="2" t="s">
        <v>74</v>
      </c>
      <c r="BR121" s="2" t="s">
        <v>74</v>
      </c>
      <c r="BS121" s="2" t="s">
        <v>7501</v>
      </c>
      <c r="BT121" s="2" t="str">
        <f>HYPERLINK("https%3A%2F%2Fwww.webofscience.com%2Fwos%2Fwoscc%2Ffull-record%2FWOS:000436421000013","View Full Record in Web of Science")</f>
        <v>View Full Record in Web of Science</v>
      </c>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row>
    <row r="122" spans="1:314" s="2" customFormat="1" x14ac:dyDescent="0.4">
      <c r="A122" s="2" t="s">
        <v>72</v>
      </c>
      <c r="B122" s="2" t="s">
        <v>126</v>
      </c>
      <c r="C122" s="2" t="s">
        <v>74</v>
      </c>
      <c r="D122" s="2" t="s">
        <v>74</v>
      </c>
      <c r="E122" s="2" t="s">
        <v>74</v>
      </c>
      <c r="F122" s="2" t="s">
        <v>127</v>
      </c>
      <c r="G122" s="2" t="s">
        <v>74</v>
      </c>
      <c r="H122" s="2" t="s">
        <v>74</v>
      </c>
      <c r="I122" s="2" t="s">
        <v>128</v>
      </c>
      <c r="J122" s="2" t="s">
        <v>129</v>
      </c>
      <c r="K122" s="2" t="s">
        <v>74</v>
      </c>
      <c r="L122" s="2" t="s">
        <v>74</v>
      </c>
      <c r="M122" s="2" t="s">
        <v>74</v>
      </c>
      <c r="N122" s="2" t="s">
        <v>74</v>
      </c>
      <c r="O122" s="2" t="s">
        <v>74</v>
      </c>
      <c r="P122" s="2" t="s">
        <v>74</v>
      </c>
      <c r="Q122" s="2" t="s">
        <v>74</v>
      </c>
      <c r="R122" s="2" t="s">
        <v>74</v>
      </c>
      <c r="S122" s="2" t="s">
        <v>74</v>
      </c>
      <c r="T122" s="2" t="s">
        <v>74</v>
      </c>
      <c r="U122" s="2" t="s">
        <v>74</v>
      </c>
      <c r="V122" s="5" t="s">
        <v>130</v>
      </c>
      <c r="W122" s="2" t="s">
        <v>74</v>
      </c>
      <c r="X122" s="2" t="s">
        <v>74</v>
      </c>
      <c r="Y122" s="2" t="s">
        <v>74</v>
      </c>
      <c r="Z122" s="2" t="s">
        <v>74</v>
      </c>
      <c r="AA122" s="2" t="s">
        <v>74</v>
      </c>
      <c r="AB122" s="2" t="s">
        <v>131</v>
      </c>
      <c r="AC122" s="2" t="s">
        <v>74</v>
      </c>
      <c r="AD122" s="2" t="s">
        <v>74</v>
      </c>
      <c r="AE122" s="2" t="s">
        <v>74</v>
      </c>
      <c r="AF122" s="2" t="s">
        <v>74</v>
      </c>
      <c r="AG122" s="2" t="s">
        <v>74</v>
      </c>
      <c r="AH122" s="2" t="s">
        <v>74</v>
      </c>
      <c r="AI122" s="2" t="s">
        <v>74</v>
      </c>
      <c r="AJ122" s="2" t="s">
        <v>74</v>
      </c>
      <c r="AK122" s="2" t="s">
        <v>74</v>
      </c>
      <c r="AL122" s="2" t="s">
        <v>74</v>
      </c>
      <c r="AM122" s="2" t="s">
        <v>74</v>
      </c>
      <c r="AN122" s="2" t="s">
        <v>74</v>
      </c>
      <c r="AO122" s="2" t="s">
        <v>132</v>
      </c>
      <c r="AP122" s="2" t="s">
        <v>133</v>
      </c>
      <c r="AQ122" s="2" t="s">
        <v>74</v>
      </c>
      <c r="AR122" s="2" t="s">
        <v>74</v>
      </c>
      <c r="AS122" s="2" t="s">
        <v>74</v>
      </c>
      <c r="AT122" s="2" t="s">
        <v>134</v>
      </c>
      <c r="AU122" s="2">
        <v>2016</v>
      </c>
      <c r="AV122" s="2">
        <v>70</v>
      </c>
      <c r="AW122" s="2">
        <v>5</v>
      </c>
      <c r="AX122" s="2" t="s">
        <v>74</v>
      </c>
      <c r="AY122" s="2" t="s">
        <v>74</v>
      </c>
      <c r="AZ122" s="2" t="s">
        <v>74</v>
      </c>
      <c r="BA122" s="2" t="s">
        <v>74</v>
      </c>
      <c r="BB122" s="2">
        <v>647</v>
      </c>
      <c r="BC122" s="2">
        <v>657</v>
      </c>
      <c r="BD122" s="2" t="s">
        <v>74</v>
      </c>
      <c r="BE122" s="2" t="s">
        <v>135</v>
      </c>
      <c r="BF122" s="2" t="str">
        <f>HYPERLINK("http://dx.doi.org/10.1007/s00265-016-2085-3","http://dx.doi.org/10.1007/s00265-016-2085-3")</f>
        <v>http://dx.doi.org/10.1007/s00265-016-2085-3</v>
      </c>
      <c r="BG122" s="2" t="s">
        <v>74</v>
      </c>
      <c r="BH122" s="2" t="s">
        <v>74</v>
      </c>
      <c r="BI122" s="2" t="s">
        <v>74</v>
      </c>
      <c r="BJ122" s="2" t="s">
        <v>74</v>
      </c>
      <c r="BK122" s="2" t="s">
        <v>74</v>
      </c>
      <c r="BL122" s="2" t="s">
        <v>74</v>
      </c>
      <c r="BM122" s="2" t="s">
        <v>74</v>
      </c>
      <c r="BN122" s="2" t="s">
        <v>74</v>
      </c>
      <c r="BO122" s="2" t="s">
        <v>74</v>
      </c>
      <c r="BP122" s="2" t="s">
        <v>74</v>
      </c>
      <c r="BQ122" s="2" t="s">
        <v>74</v>
      </c>
      <c r="BR122" s="2" t="s">
        <v>74</v>
      </c>
      <c r="BS122" s="2" t="s">
        <v>136</v>
      </c>
      <c r="BT122" s="2" t="str">
        <f>HYPERLINK("https%3A%2F%2Fwww.webofscience.com%2Fwos%2Fwoscc%2Ffull-record%2FWOS:000374563600001","View Full Record in Web of Science")</f>
        <v>View Full Record in Web of Science</v>
      </c>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row>
    <row r="123" spans="1:314" s="2" customFormat="1" x14ac:dyDescent="0.4">
      <c r="A123" s="2" t="s">
        <v>72</v>
      </c>
      <c r="B123" s="2" t="s">
        <v>7325</v>
      </c>
      <c r="C123" s="2" t="s">
        <v>74</v>
      </c>
      <c r="D123" s="2" t="s">
        <v>74</v>
      </c>
      <c r="E123" s="2" t="s">
        <v>74</v>
      </c>
      <c r="F123" s="2" t="s">
        <v>7326</v>
      </c>
      <c r="G123" s="2" t="s">
        <v>74</v>
      </c>
      <c r="H123" s="2" t="s">
        <v>74</v>
      </c>
      <c r="I123" s="2" t="s">
        <v>7327</v>
      </c>
      <c r="J123" s="2" t="s">
        <v>129</v>
      </c>
      <c r="K123" s="2" t="s">
        <v>74</v>
      </c>
      <c r="L123" s="2" t="s">
        <v>74</v>
      </c>
      <c r="M123" s="2" t="s">
        <v>74</v>
      </c>
      <c r="N123" s="2" t="s">
        <v>74</v>
      </c>
      <c r="O123" s="2" t="s">
        <v>74</v>
      </c>
      <c r="P123" s="2" t="s">
        <v>74</v>
      </c>
      <c r="Q123" s="2" t="s">
        <v>74</v>
      </c>
      <c r="R123" s="2" t="s">
        <v>74</v>
      </c>
      <c r="S123" s="2" t="s">
        <v>74</v>
      </c>
      <c r="T123" s="2" t="s">
        <v>74</v>
      </c>
      <c r="U123" s="2" t="s">
        <v>74</v>
      </c>
      <c r="V123" s="5" t="s">
        <v>7328</v>
      </c>
      <c r="W123" s="2" t="s">
        <v>74</v>
      </c>
      <c r="X123" s="2" t="s">
        <v>74</v>
      </c>
      <c r="Y123" s="2" t="s">
        <v>74</v>
      </c>
      <c r="Z123" s="2" t="s">
        <v>74</v>
      </c>
      <c r="AA123" s="2" t="s">
        <v>74</v>
      </c>
      <c r="AB123" s="2" t="s">
        <v>7329</v>
      </c>
      <c r="AC123" s="2" t="s">
        <v>74</v>
      </c>
      <c r="AD123" s="2" t="s">
        <v>74</v>
      </c>
      <c r="AE123" s="2" t="s">
        <v>74</v>
      </c>
      <c r="AF123" s="2" t="s">
        <v>74</v>
      </c>
      <c r="AG123" s="2" t="s">
        <v>74</v>
      </c>
      <c r="AH123" s="2" t="s">
        <v>74</v>
      </c>
      <c r="AI123" s="2" t="s">
        <v>74</v>
      </c>
      <c r="AJ123" s="2" t="s">
        <v>74</v>
      </c>
      <c r="AK123" s="2" t="s">
        <v>74</v>
      </c>
      <c r="AL123" s="2" t="s">
        <v>74</v>
      </c>
      <c r="AM123" s="2" t="s">
        <v>74</v>
      </c>
      <c r="AN123" s="2" t="s">
        <v>74</v>
      </c>
      <c r="AO123" s="2" t="s">
        <v>132</v>
      </c>
      <c r="AP123" s="2" t="s">
        <v>133</v>
      </c>
      <c r="AQ123" s="2" t="s">
        <v>74</v>
      </c>
      <c r="AR123" s="2" t="s">
        <v>74</v>
      </c>
      <c r="AS123" s="2" t="s">
        <v>74</v>
      </c>
      <c r="AT123" s="2" t="s">
        <v>213</v>
      </c>
      <c r="AU123" s="2">
        <v>2022</v>
      </c>
      <c r="AV123" s="2">
        <v>76</v>
      </c>
      <c r="AW123" s="2">
        <v>11</v>
      </c>
      <c r="AX123" s="2" t="s">
        <v>74</v>
      </c>
      <c r="AY123" s="2" t="s">
        <v>74</v>
      </c>
      <c r="AZ123" s="2" t="s">
        <v>74</v>
      </c>
      <c r="BA123" s="2" t="s">
        <v>74</v>
      </c>
      <c r="BB123" s="2" t="s">
        <v>74</v>
      </c>
      <c r="BC123" s="2" t="s">
        <v>74</v>
      </c>
      <c r="BD123" s="2">
        <v>153</v>
      </c>
      <c r="BE123" s="2" t="s">
        <v>7330</v>
      </c>
      <c r="BF123" s="2" t="str">
        <f>HYPERLINK("http://dx.doi.org/10.1007/s00265-022-03256-9","http://dx.doi.org/10.1007/s00265-022-03256-9")</f>
        <v>http://dx.doi.org/10.1007/s00265-022-03256-9</v>
      </c>
      <c r="BG123" s="2" t="s">
        <v>74</v>
      </c>
      <c r="BH123" s="2" t="s">
        <v>74</v>
      </c>
      <c r="BI123" s="2" t="s">
        <v>74</v>
      </c>
      <c r="BJ123" s="2" t="s">
        <v>74</v>
      </c>
      <c r="BK123" s="2" t="s">
        <v>74</v>
      </c>
      <c r="BL123" s="2" t="s">
        <v>74</v>
      </c>
      <c r="BM123" s="2" t="s">
        <v>74</v>
      </c>
      <c r="BN123" s="2" t="s">
        <v>74</v>
      </c>
      <c r="BO123" s="2" t="s">
        <v>74</v>
      </c>
      <c r="BP123" s="2" t="s">
        <v>74</v>
      </c>
      <c r="BQ123" s="2" t="s">
        <v>74</v>
      </c>
      <c r="BR123" s="2" t="s">
        <v>74</v>
      </c>
      <c r="BS123" s="2" t="s">
        <v>7331</v>
      </c>
      <c r="BT123" s="2" t="str">
        <f>HYPERLINK("https%3A%2F%2Fwww.webofscience.com%2Fwos%2Fwoscc%2Ffull-record%2FWOS:000878648300001","View Full Record in Web of Science")</f>
        <v>View Full Record in Web of Science</v>
      </c>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row>
    <row r="124" spans="1:314" s="1" customFormat="1" x14ac:dyDescent="0.4">
      <c r="A124" s="2" t="s">
        <v>72</v>
      </c>
      <c r="B124" s="2" t="s">
        <v>935</v>
      </c>
      <c r="C124" s="2" t="s">
        <v>74</v>
      </c>
      <c r="D124" s="2" t="s">
        <v>74</v>
      </c>
      <c r="E124" s="2" t="s">
        <v>74</v>
      </c>
      <c r="F124" s="2" t="s">
        <v>936</v>
      </c>
      <c r="G124" s="2" t="s">
        <v>74</v>
      </c>
      <c r="H124" s="2" t="s">
        <v>74</v>
      </c>
      <c r="I124" s="2" t="s">
        <v>937</v>
      </c>
      <c r="J124" s="2" t="s">
        <v>108</v>
      </c>
      <c r="K124" s="2" t="s">
        <v>74</v>
      </c>
      <c r="L124" s="2" t="s">
        <v>74</v>
      </c>
      <c r="M124" s="2" t="s">
        <v>74</v>
      </c>
      <c r="N124" s="2" t="s">
        <v>74</v>
      </c>
      <c r="O124" s="2" t="s">
        <v>74</v>
      </c>
      <c r="P124" s="2" t="s">
        <v>74</v>
      </c>
      <c r="Q124" s="2" t="s">
        <v>74</v>
      </c>
      <c r="R124" s="2" t="s">
        <v>74</v>
      </c>
      <c r="S124" s="2" t="s">
        <v>74</v>
      </c>
      <c r="T124" s="2" t="s">
        <v>74</v>
      </c>
      <c r="U124" s="2" t="s">
        <v>74</v>
      </c>
      <c r="V124" s="5" t="s">
        <v>938</v>
      </c>
      <c r="W124" s="2" t="s">
        <v>74</v>
      </c>
      <c r="X124" s="2" t="s">
        <v>74</v>
      </c>
      <c r="Y124" s="2" t="s">
        <v>74</v>
      </c>
      <c r="Z124" s="2" t="s">
        <v>74</v>
      </c>
      <c r="AA124" s="2" t="s">
        <v>623</v>
      </c>
      <c r="AB124" s="2" t="s">
        <v>624</v>
      </c>
      <c r="AC124" s="2" t="s">
        <v>74</v>
      </c>
      <c r="AD124" s="2" t="s">
        <v>74</v>
      </c>
      <c r="AE124" s="2" t="s">
        <v>74</v>
      </c>
      <c r="AF124" s="2" t="s">
        <v>74</v>
      </c>
      <c r="AG124" s="2" t="s">
        <v>74</v>
      </c>
      <c r="AH124" s="2" t="s">
        <v>74</v>
      </c>
      <c r="AI124" s="2" t="s">
        <v>74</v>
      </c>
      <c r="AJ124" s="2" t="s">
        <v>74</v>
      </c>
      <c r="AK124" s="2" t="s">
        <v>74</v>
      </c>
      <c r="AL124" s="2" t="s">
        <v>74</v>
      </c>
      <c r="AM124" s="2" t="s">
        <v>74</v>
      </c>
      <c r="AN124" s="2" t="s">
        <v>74</v>
      </c>
      <c r="AO124" s="2" t="s">
        <v>111</v>
      </c>
      <c r="AP124" s="2" t="s">
        <v>112</v>
      </c>
      <c r="AQ124" s="2" t="s">
        <v>74</v>
      </c>
      <c r="AR124" s="2" t="s">
        <v>74</v>
      </c>
      <c r="AS124" s="2" t="s">
        <v>74</v>
      </c>
      <c r="AT124" s="2" t="s">
        <v>939</v>
      </c>
      <c r="AU124" s="2">
        <v>2010</v>
      </c>
      <c r="AV124" s="2">
        <v>277</v>
      </c>
      <c r="AW124" s="2">
        <v>1700</v>
      </c>
      <c r="AX124" s="2" t="s">
        <v>74</v>
      </c>
      <c r="AY124" s="2" t="s">
        <v>74</v>
      </c>
      <c r="AZ124" s="2" t="s">
        <v>74</v>
      </c>
      <c r="BA124" s="2" t="s">
        <v>74</v>
      </c>
      <c r="BB124" s="2">
        <v>3669</v>
      </c>
      <c r="BC124" s="2">
        <v>3675</v>
      </c>
      <c r="BD124" s="2" t="s">
        <v>74</v>
      </c>
      <c r="BE124" s="2" t="s">
        <v>940</v>
      </c>
      <c r="BF124" s="2" t="str">
        <f>HYPERLINK("http://dx.doi.org/10.1098/rspb.2010.0935","http://dx.doi.org/10.1098/rspb.2010.0935")</f>
        <v>http://dx.doi.org/10.1098/rspb.2010.0935</v>
      </c>
      <c r="BG124" s="2" t="s">
        <v>74</v>
      </c>
      <c r="BH124" s="2" t="s">
        <v>74</v>
      </c>
      <c r="BI124" s="2" t="s">
        <v>74</v>
      </c>
      <c r="BJ124" s="2" t="s">
        <v>74</v>
      </c>
      <c r="BK124" s="2" t="s">
        <v>74</v>
      </c>
      <c r="BL124" s="2" t="s">
        <v>74</v>
      </c>
      <c r="BM124" s="2" t="s">
        <v>74</v>
      </c>
      <c r="BN124" s="2">
        <v>20591870</v>
      </c>
      <c r="BO124" s="2" t="s">
        <v>74</v>
      </c>
      <c r="BP124" s="2" t="s">
        <v>74</v>
      </c>
      <c r="BQ124" s="2" t="s">
        <v>74</v>
      </c>
      <c r="BR124" s="2" t="s">
        <v>74</v>
      </c>
      <c r="BS124" s="2" t="s">
        <v>941</v>
      </c>
      <c r="BT124" s="2" t="str">
        <f>HYPERLINK("https%3A%2F%2Fwww.webofscience.com%2Fwos%2Fwoscc%2Ffull-record%2FWOS:000283450100017","View Full Record in Web of Science")</f>
        <v>View Full Record in Web of Science</v>
      </c>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row>
    <row r="125" spans="1:314" s="2" customFormat="1" x14ac:dyDescent="0.4">
      <c r="A125" s="2" t="s">
        <v>72</v>
      </c>
      <c r="B125" s="2" t="s">
        <v>1539</v>
      </c>
      <c r="C125" s="2" t="s">
        <v>74</v>
      </c>
      <c r="D125" s="2" t="s">
        <v>74</v>
      </c>
      <c r="E125" s="2" t="s">
        <v>74</v>
      </c>
      <c r="F125" s="2" t="s">
        <v>1539</v>
      </c>
      <c r="G125" s="2" t="s">
        <v>74</v>
      </c>
      <c r="H125" s="2" t="s">
        <v>74</v>
      </c>
      <c r="I125" s="2" t="s">
        <v>1540</v>
      </c>
      <c r="J125" s="2" t="s">
        <v>1541</v>
      </c>
      <c r="K125" s="2" t="s">
        <v>74</v>
      </c>
      <c r="L125" s="2" t="s">
        <v>74</v>
      </c>
      <c r="M125" s="2" t="s">
        <v>74</v>
      </c>
      <c r="N125" s="2" t="s">
        <v>74</v>
      </c>
      <c r="O125" s="2" t="s">
        <v>74</v>
      </c>
      <c r="P125" s="2" t="s">
        <v>74</v>
      </c>
      <c r="Q125" s="2" t="s">
        <v>74</v>
      </c>
      <c r="R125" s="2" t="s">
        <v>74</v>
      </c>
      <c r="S125" s="2" t="s">
        <v>74</v>
      </c>
      <c r="T125" s="2" t="s">
        <v>74</v>
      </c>
      <c r="U125" s="2" t="s">
        <v>74</v>
      </c>
      <c r="V125" s="5" t="s">
        <v>1542</v>
      </c>
      <c r="W125" s="2" t="s">
        <v>74</v>
      </c>
      <c r="X125" s="2" t="s">
        <v>74</v>
      </c>
      <c r="Y125" s="2" t="s">
        <v>74</v>
      </c>
      <c r="Z125" s="2" t="s">
        <v>74</v>
      </c>
      <c r="AA125" s="2" t="s">
        <v>74</v>
      </c>
      <c r="AB125" s="2" t="s">
        <v>74</v>
      </c>
      <c r="AC125" s="2" t="s">
        <v>74</v>
      </c>
      <c r="AD125" s="2" t="s">
        <v>74</v>
      </c>
      <c r="AE125" s="2" t="s">
        <v>74</v>
      </c>
      <c r="AF125" s="2" t="s">
        <v>74</v>
      </c>
      <c r="AG125" s="2" t="s">
        <v>74</v>
      </c>
      <c r="AH125" s="2" t="s">
        <v>74</v>
      </c>
      <c r="AI125" s="2" t="s">
        <v>74</v>
      </c>
      <c r="AJ125" s="2" t="s">
        <v>74</v>
      </c>
      <c r="AK125" s="2" t="s">
        <v>74</v>
      </c>
      <c r="AL125" s="2" t="s">
        <v>74</v>
      </c>
      <c r="AM125" s="2" t="s">
        <v>74</v>
      </c>
      <c r="AN125" s="2" t="s">
        <v>74</v>
      </c>
      <c r="AO125" s="2" t="s">
        <v>1543</v>
      </c>
      <c r="AP125" s="2" t="s">
        <v>1544</v>
      </c>
      <c r="AQ125" s="2" t="s">
        <v>74</v>
      </c>
      <c r="AR125" s="2" t="s">
        <v>74</v>
      </c>
      <c r="AS125" s="2" t="s">
        <v>74</v>
      </c>
      <c r="AT125" s="2" t="s">
        <v>134</v>
      </c>
      <c r="AU125" s="2">
        <v>2001</v>
      </c>
      <c r="AV125" s="2">
        <v>82</v>
      </c>
      <c r="AW125" s="2">
        <v>5</v>
      </c>
      <c r="AX125" s="2" t="s">
        <v>74</v>
      </c>
      <c r="AY125" s="2" t="s">
        <v>74</v>
      </c>
      <c r="AZ125" s="2" t="s">
        <v>74</v>
      </c>
      <c r="BA125" s="2" t="s">
        <v>74</v>
      </c>
      <c r="BB125" s="2">
        <v>1433</v>
      </c>
      <c r="BC125" s="2">
        <v>1442</v>
      </c>
      <c r="BD125" s="2" t="s">
        <v>74</v>
      </c>
      <c r="BE125" s="2" t="s">
        <v>1545</v>
      </c>
      <c r="BF125" s="2" t="str">
        <f>HYPERLINK("http://dx.doi.org/10.1890/0012-9658(2001)082[1433:PFANTR]2.0.CO;2","http://dx.doi.org/10.1890/0012-9658(2001)082[1433:PFANTR]2.0.CO;2")</f>
        <v>http://dx.doi.org/10.1890/0012-9658(2001)082[1433:PFANTR]2.0.CO;2</v>
      </c>
      <c r="BG125" s="2" t="s">
        <v>74</v>
      </c>
      <c r="BH125" s="2" t="s">
        <v>74</v>
      </c>
      <c r="BI125" s="2" t="s">
        <v>74</v>
      </c>
      <c r="BJ125" s="2" t="s">
        <v>74</v>
      </c>
      <c r="BK125" s="2" t="s">
        <v>74</v>
      </c>
      <c r="BL125" s="2" t="s">
        <v>74</v>
      </c>
      <c r="BM125" s="2" t="s">
        <v>74</v>
      </c>
      <c r="BN125" s="2" t="s">
        <v>74</v>
      </c>
      <c r="BO125" s="2" t="s">
        <v>74</v>
      </c>
      <c r="BP125" s="2" t="s">
        <v>74</v>
      </c>
      <c r="BQ125" s="2" t="s">
        <v>74</v>
      </c>
      <c r="BR125" s="2" t="s">
        <v>74</v>
      </c>
      <c r="BS125" s="2" t="s">
        <v>1546</v>
      </c>
      <c r="BT125" s="2" t="str">
        <f>HYPERLINK("https%3A%2F%2Fwww.webofscience.com%2Fwos%2Fwoscc%2Ffull-record%2FWOS:000168844200018","View Full Record in Web of Science")</f>
        <v>View Full Record in Web of Science</v>
      </c>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row>
    <row r="126" spans="1:314" s="2" customFormat="1" x14ac:dyDescent="0.4">
      <c r="A126" s="2" t="s">
        <v>72</v>
      </c>
      <c r="B126" s="2" t="s">
        <v>4561</v>
      </c>
      <c r="C126" s="2" t="s">
        <v>74</v>
      </c>
      <c r="D126" s="2" t="s">
        <v>74</v>
      </c>
      <c r="E126" s="2" t="s">
        <v>74</v>
      </c>
      <c r="F126" s="2" t="s">
        <v>4562</v>
      </c>
      <c r="G126" s="2" t="s">
        <v>74</v>
      </c>
      <c r="H126" s="2" t="s">
        <v>74</v>
      </c>
      <c r="I126" s="2" t="s">
        <v>4563</v>
      </c>
      <c r="J126" s="2" t="s">
        <v>129</v>
      </c>
      <c r="K126" s="2" t="s">
        <v>74</v>
      </c>
      <c r="L126" s="2" t="s">
        <v>74</v>
      </c>
      <c r="M126" s="2" t="s">
        <v>74</v>
      </c>
      <c r="N126" s="2" t="s">
        <v>74</v>
      </c>
      <c r="O126" s="2" t="s">
        <v>74</v>
      </c>
      <c r="P126" s="2" t="s">
        <v>74</v>
      </c>
      <c r="Q126" s="2" t="s">
        <v>74</v>
      </c>
      <c r="R126" s="2" t="s">
        <v>74</v>
      </c>
      <c r="S126" s="2" t="s">
        <v>74</v>
      </c>
      <c r="T126" s="2" t="s">
        <v>74</v>
      </c>
      <c r="U126" s="2" t="s">
        <v>74</v>
      </c>
      <c r="V126" s="5" t="s">
        <v>4564</v>
      </c>
      <c r="W126" s="2" t="s">
        <v>74</v>
      </c>
      <c r="X126" s="2" t="s">
        <v>74</v>
      </c>
      <c r="Y126" s="2" t="s">
        <v>74</v>
      </c>
      <c r="Z126" s="2" t="s">
        <v>74</v>
      </c>
      <c r="AA126" s="2" t="s">
        <v>74</v>
      </c>
      <c r="AB126" s="2" t="s">
        <v>74</v>
      </c>
      <c r="AC126" s="2" t="s">
        <v>74</v>
      </c>
      <c r="AD126" s="2" t="s">
        <v>74</v>
      </c>
      <c r="AE126" s="2" t="s">
        <v>74</v>
      </c>
      <c r="AF126" s="2" t="s">
        <v>74</v>
      </c>
      <c r="AG126" s="2" t="s">
        <v>74</v>
      </c>
      <c r="AH126" s="2" t="s">
        <v>74</v>
      </c>
      <c r="AI126" s="2" t="s">
        <v>74</v>
      </c>
      <c r="AJ126" s="2" t="s">
        <v>74</v>
      </c>
      <c r="AK126" s="2" t="s">
        <v>74</v>
      </c>
      <c r="AL126" s="2" t="s">
        <v>74</v>
      </c>
      <c r="AM126" s="2" t="s">
        <v>74</v>
      </c>
      <c r="AN126" s="2" t="s">
        <v>74</v>
      </c>
      <c r="AO126" s="2" t="s">
        <v>132</v>
      </c>
      <c r="AP126" s="2" t="s">
        <v>133</v>
      </c>
      <c r="AQ126" s="2" t="s">
        <v>74</v>
      </c>
      <c r="AR126" s="2" t="s">
        <v>74</v>
      </c>
      <c r="AS126" s="2" t="s">
        <v>74</v>
      </c>
      <c r="AT126" s="2" t="s">
        <v>633</v>
      </c>
      <c r="AU126" s="2">
        <v>2015</v>
      </c>
      <c r="AV126" s="2">
        <v>69</v>
      </c>
      <c r="AW126" s="2">
        <v>4</v>
      </c>
      <c r="AX126" s="2" t="s">
        <v>74</v>
      </c>
      <c r="AY126" s="2" t="s">
        <v>74</v>
      </c>
      <c r="AZ126" s="2" t="s">
        <v>74</v>
      </c>
      <c r="BA126" s="2" t="s">
        <v>74</v>
      </c>
      <c r="BB126" s="2">
        <v>571</v>
      </c>
      <c r="BC126" s="2">
        <v>581</v>
      </c>
      <c r="BD126" s="2" t="s">
        <v>74</v>
      </c>
      <c r="BE126" s="2" t="s">
        <v>4565</v>
      </c>
      <c r="BF126" s="2" t="str">
        <f>HYPERLINK("http://dx.doi.org/10.1007/s00265-014-1868-7","http://dx.doi.org/10.1007/s00265-014-1868-7")</f>
        <v>http://dx.doi.org/10.1007/s00265-014-1868-7</v>
      </c>
      <c r="BG126" s="2" t="s">
        <v>74</v>
      </c>
      <c r="BH126" s="2" t="s">
        <v>74</v>
      </c>
      <c r="BI126" s="2" t="s">
        <v>74</v>
      </c>
      <c r="BJ126" s="2" t="s">
        <v>74</v>
      </c>
      <c r="BK126" s="2" t="s">
        <v>74</v>
      </c>
      <c r="BL126" s="2" t="s">
        <v>74</v>
      </c>
      <c r="BM126" s="2" t="s">
        <v>74</v>
      </c>
      <c r="BN126" s="2" t="s">
        <v>74</v>
      </c>
      <c r="BO126" s="2" t="s">
        <v>74</v>
      </c>
      <c r="BP126" s="2" t="s">
        <v>74</v>
      </c>
      <c r="BQ126" s="2" t="s">
        <v>74</v>
      </c>
      <c r="BR126" s="2" t="s">
        <v>74</v>
      </c>
      <c r="BS126" s="2" t="s">
        <v>4566</v>
      </c>
      <c r="BT126" s="2" t="str">
        <f>HYPERLINK("https%3A%2F%2Fwww.webofscience.com%2Fwos%2Fwoscc%2Ffull-record%2FWOS:000351235100007","View Full Record in Web of Science")</f>
        <v>View Full Record in Web of Science</v>
      </c>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row>
    <row r="127" spans="1:314" s="2" customFormat="1" x14ac:dyDescent="0.4">
      <c r="A127" s="2" t="s">
        <v>72</v>
      </c>
      <c r="B127" s="2" t="s">
        <v>1435</v>
      </c>
      <c r="C127" s="2" t="s">
        <v>74</v>
      </c>
      <c r="D127" s="2" t="s">
        <v>74</v>
      </c>
      <c r="E127" s="2" t="s">
        <v>74</v>
      </c>
      <c r="F127" s="2" t="s">
        <v>1435</v>
      </c>
      <c r="G127" s="2" t="s">
        <v>74</v>
      </c>
      <c r="H127" s="2" t="s">
        <v>74</v>
      </c>
      <c r="I127" s="2" t="s">
        <v>1436</v>
      </c>
      <c r="J127" s="2" t="s">
        <v>1437</v>
      </c>
      <c r="K127" s="2" t="s">
        <v>74</v>
      </c>
      <c r="L127" s="2" t="s">
        <v>74</v>
      </c>
      <c r="M127" s="2" t="s">
        <v>74</v>
      </c>
      <c r="N127" s="2" t="s">
        <v>74</v>
      </c>
      <c r="O127" s="2" t="s">
        <v>74</v>
      </c>
      <c r="P127" s="2" t="s">
        <v>74</v>
      </c>
      <c r="Q127" s="2" t="s">
        <v>74</v>
      </c>
      <c r="R127" s="2" t="s">
        <v>74</v>
      </c>
      <c r="S127" s="2" t="s">
        <v>74</v>
      </c>
      <c r="T127" s="2" t="s">
        <v>74</v>
      </c>
      <c r="U127" s="2" t="s">
        <v>74</v>
      </c>
      <c r="V127" s="5" t="s">
        <v>1438</v>
      </c>
      <c r="W127" s="2" t="s">
        <v>74</v>
      </c>
      <c r="X127" s="2" t="s">
        <v>74</v>
      </c>
      <c r="Y127" s="2" t="s">
        <v>74</v>
      </c>
      <c r="Z127" s="2" t="s">
        <v>74</v>
      </c>
      <c r="AA127" s="2" t="s">
        <v>1439</v>
      </c>
      <c r="AB127" s="2" t="s">
        <v>74</v>
      </c>
      <c r="AC127" s="2" t="s">
        <v>74</v>
      </c>
      <c r="AD127" s="2" t="s">
        <v>74</v>
      </c>
      <c r="AE127" s="2" t="s">
        <v>74</v>
      </c>
      <c r="AF127" s="2" t="s">
        <v>74</v>
      </c>
      <c r="AG127" s="2" t="s">
        <v>74</v>
      </c>
      <c r="AH127" s="2" t="s">
        <v>74</v>
      </c>
      <c r="AI127" s="2" t="s">
        <v>74</v>
      </c>
      <c r="AJ127" s="2" t="s">
        <v>74</v>
      </c>
      <c r="AK127" s="2" t="s">
        <v>74</v>
      </c>
      <c r="AL127" s="2" t="s">
        <v>74</v>
      </c>
      <c r="AM127" s="2" t="s">
        <v>74</v>
      </c>
      <c r="AN127" s="2" t="s">
        <v>74</v>
      </c>
      <c r="AO127" s="2" t="s">
        <v>1440</v>
      </c>
      <c r="AP127" s="2" t="s">
        <v>74</v>
      </c>
      <c r="AQ127" s="2" t="s">
        <v>74</v>
      </c>
      <c r="AR127" s="2" t="s">
        <v>74</v>
      </c>
      <c r="AS127" s="2" t="s">
        <v>74</v>
      </c>
      <c r="AT127" s="2" t="s">
        <v>123</v>
      </c>
      <c r="AU127" s="2">
        <v>1999</v>
      </c>
      <c r="AV127" s="2">
        <v>82</v>
      </c>
      <c r="AW127" s="2" t="s">
        <v>74</v>
      </c>
      <c r="AX127" s="2">
        <v>3</v>
      </c>
      <c r="AY127" s="2" t="s">
        <v>74</v>
      </c>
      <c r="AZ127" s="2" t="s">
        <v>74</v>
      </c>
      <c r="BA127" s="2" t="s">
        <v>74</v>
      </c>
      <c r="BB127" s="2">
        <v>328</v>
      </c>
      <c r="BC127" s="2">
        <v>335</v>
      </c>
      <c r="BD127" s="2" t="s">
        <v>74</v>
      </c>
      <c r="BE127" s="2" t="s">
        <v>1441</v>
      </c>
      <c r="BF127" s="2" t="str">
        <f>HYPERLINK("http://dx.doi.org/10.1038/sj.hdy.6884930","http://dx.doi.org/10.1038/sj.hdy.6884930")</f>
        <v>http://dx.doi.org/10.1038/sj.hdy.6884930</v>
      </c>
      <c r="BG127" s="2" t="s">
        <v>74</v>
      </c>
      <c r="BH127" s="2" t="s">
        <v>74</v>
      </c>
      <c r="BI127" s="2" t="s">
        <v>74</v>
      </c>
      <c r="BJ127" s="2" t="s">
        <v>74</v>
      </c>
      <c r="BK127" s="2" t="s">
        <v>74</v>
      </c>
      <c r="BL127" s="2" t="s">
        <v>74</v>
      </c>
      <c r="BM127" s="2" t="s">
        <v>74</v>
      </c>
      <c r="BN127" s="2">
        <v>10336708</v>
      </c>
      <c r="BO127" s="2" t="s">
        <v>74</v>
      </c>
      <c r="BP127" s="2" t="s">
        <v>74</v>
      </c>
      <c r="BQ127" s="2" t="s">
        <v>74</v>
      </c>
      <c r="BR127" s="2" t="s">
        <v>74</v>
      </c>
      <c r="BS127" s="2" t="s">
        <v>1442</v>
      </c>
      <c r="BT127" s="2" t="str">
        <f>HYPERLINK("https%3A%2F%2Fwww.webofscience.com%2Fwos%2Fwoscc%2Ffull-record%2FWOS:000080078300013","View Full Record in Web of Science")</f>
        <v>View Full Record in Web of Science</v>
      </c>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row>
    <row r="128" spans="1:314" s="2" customFormat="1" x14ac:dyDescent="0.4">
      <c r="A128" s="2" t="s">
        <v>72</v>
      </c>
      <c r="B128" s="2" t="s">
        <v>2993</v>
      </c>
      <c r="C128" s="2" t="s">
        <v>74</v>
      </c>
      <c r="D128" s="2" t="s">
        <v>74</v>
      </c>
      <c r="E128" s="2" t="s">
        <v>74</v>
      </c>
      <c r="F128" s="2" t="s">
        <v>2993</v>
      </c>
      <c r="G128" s="2" t="s">
        <v>74</v>
      </c>
      <c r="H128" s="2" t="s">
        <v>74</v>
      </c>
      <c r="I128" s="2" t="s">
        <v>2994</v>
      </c>
      <c r="J128" s="2" t="s">
        <v>2995</v>
      </c>
      <c r="K128" s="2" t="s">
        <v>74</v>
      </c>
      <c r="L128" s="2" t="s">
        <v>74</v>
      </c>
      <c r="M128" s="2" t="s">
        <v>74</v>
      </c>
      <c r="N128" s="2" t="s">
        <v>74</v>
      </c>
      <c r="O128" s="2" t="s">
        <v>74</v>
      </c>
      <c r="P128" s="2" t="s">
        <v>74</v>
      </c>
      <c r="Q128" s="2" t="s">
        <v>74</v>
      </c>
      <c r="R128" s="2" t="s">
        <v>74</v>
      </c>
      <c r="S128" s="2" t="s">
        <v>74</v>
      </c>
      <c r="T128" s="2" t="s">
        <v>74</v>
      </c>
      <c r="U128" s="2" t="s">
        <v>74</v>
      </c>
      <c r="V128" s="5" t="s">
        <v>2996</v>
      </c>
      <c r="W128" s="2" t="s">
        <v>74</v>
      </c>
      <c r="X128" s="2" t="s">
        <v>74</v>
      </c>
      <c r="Y128" s="2" t="s">
        <v>74</v>
      </c>
      <c r="Z128" s="2" t="s">
        <v>74</v>
      </c>
      <c r="AA128" s="2" t="s">
        <v>74</v>
      </c>
      <c r="AB128" s="2" t="s">
        <v>74</v>
      </c>
      <c r="AC128" s="2" t="s">
        <v>74</v>
      </c>
      <c r="AD128" s="2" t="s">
        <v>74</v>
      </c>
      <c r="AE128" s="2" t="s">
        <v>74</v>
      </c>
      <c r="AF128" s="2" t="s">
        <v>74</v>
      </c>
      <c r="AG128" s="2" t="s">
        <v>74</v>
      </c>
      <c r="AH128" s="2" t="s">
        <v>74</v>
      </c>
      <c r="AI128" s="2" t="s">
        <v>74</v>
      </c>
      <c r="AJ128" s="2" t="s">
        <v>74</v>
      </c>
      <c r="AK128" s="2" t="s">
        <v>74</v>
      </c>
      <c r="AL128" s="2" t="s">
        <v>74</v>
      </c>
      <c r="AM128" s="2" t="s">
        <v>74</v>
      </c>
      <c r="AN128" s="2" t="s">
        <v>74</v>
      </c>
      <c r="AO128" s="2" t="s">
        <v>2997</v>
      </c>
      <c r="AP128" s="2" t="s">
        <v>2998</v>
      </c>
      <c r="AQ128" s="2" t="s">
        <v>74</v>
      </c>
      <c r="AR128" s="2" t="s">
        <v>74</v>
      </c>
      <c r="AS128" s="2" t="s">
        <v>74</v>
      </c>
      <c r="AT128" s="2" t="s">
        <v>305</v>
      </c>
      <c r="AU128" s="2">
        <v>1990</v>
      </c>
      <c r="AV128" s="2">
        <v>120</v>
      </c>
      <c r="AW128" s="2">
        <v>2</v>
      </c>
      <c r="AX128" s="2" t="s">
        <v>74</v>
      </c>
      <c r="AY128" s="2" t="s">
        <v>74</v>
      </c>
      <c r="AZ128" s="2" t="s">
        <v>74</v>
      </c>
      <c r="BA128" s="2" t="s">
        <v>74</v>
      </c>
      <c r="BB128" s="2">
        <v>165</v>
      </c>
      <c r="BC128" s="2">
        <v>193</v>
      </c>
      <c r="BD128" s="2" t="s">
        <v>74</v>
      </c>
      <c r="BE128" s="2" t="s">
        <v>74</v>
      </c>
      <c r="BF128" s="2" t="s">
        <v>74</v>
      </c>
      <c r="BG128" s="2" t="s">
        <v>74</v>
      </c>
      <c r="BH128" s="2" t="s">
        <v>74</v>
      </c>
      <c r="BI128" s="2" t="s">
        <v>74</v>
      </c>
      <c r="BJ128" s="2" t="s">
        <v>74</v>
      </c>
      <c r="BK128" s="2" t="s">
        <v>74</v>
      </c>
      <c r="BL128" s="2" t="s">
        <v>74</v>
      </c>
      <c r="BM128" s="2" t="s">
        <v>74</v>
      </c>
      <c r="BN128" s="2" t="s">
        <v>74</v>
      </c>
      <c r="BO128" s="2" t="s">
        <v>74</v>
      </c>
      <c r="BP128" s="2" t="s">
        <v>74</v>
      </c>
      <c r="BQ128" s="2" t="s">
        <v>74</v>
      </c>
      <c r="BR128" s="2" t="s">
        <v>74</v>
      </c>
      <c r="BS128" s="2" t="s">
        <v>2999</v>
      </c>
      <c r="BT128" s="2" t="str">
        <f>HYPERLINK("https%3A%2F%2Fwww.webofscience.com%2Fwos%2Fwoscc%2Ffull-record%2FWOS:A1990EQ64700004","View Full Record in Web of Science")</f>
        <v>View Full Record in Web of Science</v>
      </c>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row>
    <row r="129" spans="1:314" s="2" customFormat="1" x14ac:dyDescent="0.4">
      <c r="A129" s="2" t="s">
        <v>72</v>
      </c>
      <c r="B129" s="2" t="s">
        <v>3517</v>
      </c>
      <c r="C129" s="2" t="s">
        <v>74</v>
      </c>
      <c r="D129" s="2" t="s">
        <v>74</v>
      </c>
      <c r="E129" s="2" t="s">
        <v>74</v>
      </c>
      <c r="F129" s="2" t="s">
        <v>3518</v>
      </c>
      <c r="G129" s="2" t="s">
        <v>74</v>
      </c>
      <c r="H129" s="2" t="s">
        <v>74</v>
      </c>
      <c r="I129" s="2" t="s">
        <v>3519</v>
      </c>
      <c r="J129" s="2" t="s">
        <v>610</v>
      </c>
      <c r="K129" s="2" t="s">
        <v>74</v>
      </c>
      <c r="L129" s="2" t="s">
        <v>74</v>
      </c>
      <c r="M129" s="2" t="s">
        <v>74</v>
      </c>
      <c r="N129" s="2" t="s">
        <v>74</v>
      </c>
      <c r="O129" s="2" t="s">
        <v>74</v>
      </c>
      <c r="P129" s="2" t="s">
        <v>74</v>
      </c>
      <c r="Q129" s="2" t="s">
        <v>74</v>
      </c>
      <c r="R129" s="2" t="s">
        <v>74</v>
      </c>
      <c r="S129" s="2" t="s">
        <v>74</v>
      </c>
      <c r="T129" s="2" t="s">
        <v>74</v>
      </c>
      <c r="U129" s="2" t="s">
        <v>74</v>
      </c>
      <c r="V129" s="5" t="s">
        <v>3520</v>
      </c>
      <c r="W129" s="2" t="s">
        <v>74</v>
      </c>
      <c r="X129" s="2" t="s">
        <v>74</v>
      </c>
      <c r="Y129" s="2" t="s">
        <v>74</v>
      </c>
      <c r="Z129" s="2" t="s">
        <v>74</v>
      </c>
      <c r="AA129" s="2" t="s">
        <v>3521</v>
      </c>
      <c r="AB129" s="2" t="s">
        <v>3522</v>
      </c>
      <c r="AC129" s="2" t="s">
        <v>74</v>
      </c>
      <c r="AD129" s="2" t="s">
        <v>74</v>
      </c>
      <c r="AE129" s="2" t="s">
        <v>74</v>
      </c>
      <c r="AF129" s="2" t="s">
        <v>74</v>
      </c>
      <c r="AG129" s="2" t="s">
        <v>74</v>
      </c>
      <c r="AH129" s="2" t="s">
        <v>74</v>
      </c>
      <c r="AI129" s="2" t="s">
        <v>74</v>
      </c>
      <c r="AJ129" s="2" t="s">
        <v>74</v>
      </c>
      <c r="AK129" s="2" t="s">
        <v>74</v>
      </c>
      <c r="AL129" s="2" t="s">
        <v>74</v>
      </c>
      <c r="AM129" s="2" t="s">
        <v>74</v>
      </c>
      <c r="AN129" s="2" t="s">
        <v>74</v>
      </c>
      <c r="AO129" s="2" t="s">
        <v>614</v>
      </c>
      <c r="AP129" s="2" t="s">
        <v>74</v>
      </c>
      <c r="AQ129" s="2" t="s">
        <v>74</v>
      </c>
      <c r="AR129" s="2" t="s">
        <v>74</v>
      </c>
      <c r="AS129" s="2" t="s">
        <v>74</v>
      </c>
      <c r="AT129" s="2" t="s">
        <v>305</v>
      </c>
      <c r="AU129" s="2">
        <v>2011</v>
      </c>
      <c r="AV129" s="2">
        <v>117</v>
      </c>
      <c r="AW129" s="2">
        <v>12</v>
      </c>
      <c r="AX129" s="2" t="s">
        <v>74</v>
      </c>
      <c r="AY129" s="2" t="s">
        <v>74</v>
      </c>
      <c r="AZ129" s="2" t="s">
        <v>74</v>
      </c>
      <c r="BA129" s="2" t="s">
        <v>74</v>
      </c>
      <c r="BB129" s="2">
        <v>1128</v>
      </c>
      <c r="BC129" s="2">
        <v>1137</v>
      </c>
      <c r="BD129" s="2" t="s">
        <v>74</v>
      </c>
      <c r="BE129" s="2" t="s">
        <v>3523</v>
      </c>
      <c r="BF129" s="2" t="str">
        <f>HYPERLINK("http://dx.doi.org/10.1111/j.1439-0310.2011.01969.x","http://dx.doi.org/10.1111/j.1439-0310.2011.01969.x")</f>
        <v>http://dx.doi.org/10.1111/j.1439-0310.2011.01969.x</v>
      </c>
      <c r="BG129" s="2" t="s">
        <v>74</v>
      </c>
      <c r="BH129" s="2" t="s">
        <v>74</v>
      </c>
      <c r="BI129" s="2" t="s">
        <v>74</v>
      </c>
      <c r="BJ129" s="2" t="s">
        <v>74</v>
      </c>
      <c r="BK129" s="2" t="s">
        <v>74</v>
      </c>
      <c r="BL129" s="2" t="s">
        <v>74</v>
      </c>
      <c r="BM129" s="2" t="s">
        <v>74</v>
      </c>
      <c r="BN129" s="2" t="s">
        <v>74</v>
      </c>
      <c r="BO129" s="2" t="s">
        <v>74</v>
      </c>
      <c r="BP129" s="2" t="s">
        <v>74</v>
      </c>
      <c r="BQ129" s="2" t="s">
        <v>74</v>
      </c>
      <c r="BR129" s="2" t="s">
        <v>74</v>
      </c>
      <c r="BS129" s="2" t="s">
        <v>3524</v>
      </c>
      <c r="BT129" s="2" t="str">
        <f>HYPERLINK("https%3A%2F%2Fwww.webofscience.com%2Fwos%2Fwoscc%2Ffull-record%2FWOS:000297151600008","View Full Record in Web of Science")</f>
        <v>View Full Record in Web of Science</v>
      </c>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row>
    <row r="130" spans="1:314" s="2" customFormat="1" x14ac:dyDescent="0.4">
      <c r="A130" s="2" t="s">
        <v>72</v>
      </c>
      <c r="B130" s="2" t="s">
        <v>4158</v>
      </c>
      <c r="C130" s="2" t="s">
        <v>74</v>
      </c>
      <c r="D130" s="2" t="s">
        <v>74</v>
      </c>
      <c r="E130" s="2" t="s">
        <v>74</v>
      </c>
      <c r="F130" s="2" t="s">
        <v>4159</v>
      </c>
      <c r="G130" s="2" t="s">
        <v>74</v>
      </c>
      <c r="H130" s="2" t="s">
        <v>74</v>
      </c>
      <c r="I130" s="2" t="s">
        <v>4160</v>
      </c>
      <c r="J130" s="2" t="s">
        <v>1375</v>
      </c>
      <c r="K130" s="2" t="s">
        <v>74</v>
      </c>
      <c r="L130" s="2" t="s">
        <v>74</v>
      </c>
      <c r="M130" s="2" t="s">
        <v>74</v>
      </c>
      <c r="N130" s="2" t="s">
        <v>74</v>
      </c>
      <c r="O130" s="2" t="s">
        <v>74</v>
      </c>
      <c r="P130" s="2" t="s">
        <v>74</v>
      </c>
      <c r="Q130" s="2" t="s">
        <v>74</v>
      </c>
      <c r="R130" s="2" t="s">
        <v>74</v>
      </c>
      <c r="S130" s="2" t="s">
        <v>74</v>
      </c>
      <c r="T130" s="2" t="s">
        <v>74</v>
      </c>
      <c r="U130" s="2" t="s">
        <v>74</v>
      </c>
      <c r="V130" s="5" t="s">
        <v>4161</v>
      </c>
      <c r="W130" s="2" t="s">
        <v>74</v>
      </c>
      <c r="X130" s="2" t="s">
        <v>74</v>
      </c>
      <c r="Y130" s="2" t="s">
        <v>74</v>
      </c>
      <c r="Z130" s="2" t="s">
        <v>74</v>
      </c>
      <c r="AA130" s="2" t="s">
        <v>4162</v>
      </c>
      <c r="AB130" s="2" t="s">
        <v>4163</v>
      </c>
      <c r="AC130" s="2" t="s">
        <v>74</v>
      </c>
      <c r="AD130" s="2" t="s">
        <v>74</v>
      </c>
      <c r="AE130" s="2" t="s">
        <v>74</v>
      </c>
      <c r="AF130" s="2" t="s">
        <v>74</v>
      </c>
      <c r="AG130" s="2" t="s">
        <v>74</v>
      </c>
      <c r="AH130" s="2" t="s">
        <v>74</v>
      </c>
      <c r="AI130" s="2" t="s">
        <v>74</v>
      </c>
      <c r="AJ130" s="2" t="s">
        <v>74</v>
      </c>
      <c r="AK130" s="2" t="s">
        <v>74</v>
      </c>
      <c r="AL130" s="2" t="s">
        <v>74</v>
      </c>
      <c r="AM130" s="2" t="s">
        <v>74</v>
      </c>
      <c r="AN130" s="2" t="s">
        <v>74</v>
      </c>
      <c r="AO130" s="2" t="s">
        <v>1378</v>
      </c>
      <c r="AP130" s="2" t="s">
        <v>74</v>
      </c>
      <c r="AQ130" s="2" t="s">
        <v>74</v>
      </c>
      <c r="AR130" s="2" t="s">
        <v>74</v>
      </c>
      <c r="AS130" s="2" t="s">
        <v>74</v>
      </c>
      <c r="AT130" s="2" t="s">
        <v>4164</v>
      </c>
      <c r="AU130" s="2">
        <v>2021</v>
      </c>
      <c r="AV130" s="2">
        <v>12</v>
      </c>
      <c r="AW130" s="2">
        <v>1</v>
      </c>
      <c r="AX130" s="2" t="s">
        <v>74</v>
      </c>
      <c r="AY130" s="2" t="s">
        <v>74</v>
      </c>
      <c r="AZ130" s="2" t="s">
        <v>74</v>
      </c>
      <c r="BA130" s="2" t="s">
        <v>74</v>
      </c>
      <c r="BB130" s="2" t="s">
        <v>74</v>
      </c>
      <c r="BC130" s="2" t="s">
        <v>74</v>
      </c>
      <c r="BD130" s="2">
        <v>45</v>
      </c>
      <c r="BE130" s="2" t="s">
        <v>4165</v>
      </c>
      <c r="BF130" s="2" t="str">
        <f>HYPERLINK("http://dx.doi.org/10.1186/s40657-021-00280-7","http://dx.doi.org/10.1186/s40657-021-00280-7")</f>
        <v>http://dx.doi.org/10.1186/s40657-021-00280-7</v>
      </c>
      <c r="BG130" s="2" t="s">
        <v>74</v>
      </c>
      <c r="BH130" s="2" t="s">
        <v>74</v>
      </c>
      <c r="BI130" s="2" t="s">
        <v>74</v>
      </c>
      <c r="BJ130" s="2" t="s">
        <v>74</v>
      </c>
      <c r="BK130" s="2" t="s">
        <v>74</v>
      </c>
      <c r="BL130" s="2" t="s">
        <v>74</v>
      </c>
      <c r="BM130" s="2" t="s">
        <v>74</v>
      </c>
      <c r="BN130" s="2" t="s">
        <v>74</v>
      </c>
      <c r="BO130" s="2" t="s">
        <v>74</v>
      </c>
      <c r="BP130" s="2" t="s">
        <v>74</v>
      </c>
      <c r="BQ130" s="2" t="s">
        <v>74</v>
      </c>
      <c r="BR130" s="2" t="s">
        <v>74</v>
      </c>
      <c r="BS130" s="2" t="s">
        <v>4166</v>
      </c>
      <c r="BT130" s="2" t="str">
        <f>HYPERLINK("https%3A%2F%2Fwww.webofscience.com%2Fwos%2Fwoscc%2Ffull-record%2FWOS:000695827100001","View Full Record in Web of Science")</f>
        <v>View Full Record in Web of Science</v>
      </c>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row>
    <row r="131" spans="1:314" s="2" customFormat="1" x14ac:dyDescent="0.4">
      <c r="A131" s="2" t="s">
        <v>72</v>
      </c>
      <c r="B131" s="2" t="s">
        <v>6550</v>
      </c>
      <c r="C131" s="2" t="s">
        <v>74</v>
      </c>
      <c r="D131" s="2" t="s">
        <v>74</v>
      </c>
      <c r="E131" s="2" t="s">
        <v>74</v>
      </c>
      <c r="F131" s="2" t="s">
        <v>6551</v>
      </c>
      <c r="G131" s="2" t="s">
        <v>74</v>
      </c>
      <c r="H131" s="2" t="s">
        <v>74</v>
      </c>
      <c r="I131" s="2" t="s">
        <v>6552</v>
      </c>
      <c r="J131" s="2" t="s">
        <v>6553</v>
      </c>
      <c r="K131" s="2" t="s">
        <v>74</v>
      </c>
      <c r="L131" s="2" t="s">
        <v>74</v>
      </c>
      <c r="M131" s="2" t="s">
        <v>74</v>
      </c>
      <c r="N131" s="2" t="s">
        <v>74</v>
      </c>
      <c r="O131" s="2" t="s">
        <v>74</v>
      </c>
      <c r="P131" s="2" t="s">
        <v>74</v>
      </c>
      <c r="Q131" s="2" t="s">
        <v>74</v>
      </c>
      <c r="R131" s="2" t="s">
        <v>74</v>
      </c>
      <c r="S131" s="2" t="s">
        <v>74</v>
      </c>
      <c r="T131" s="2" t="s">
        <v>74</v>
      </c>
      <c r="U131" s="2" t="s">
        <v>74</v>
      </c>
      <c r="V131" s="5" t="s">
        <v>6554</v>
      </c>
      <c r="W131" s="2" t="s">
        <v>74</v>
      </c>
      <c r="X131" s="2" t="s">
        <v>74</v>
      </c>
      <c r="Y131" s="2" t="s">
        <v>74</v>
      </c>
      <c r="Z131" s="2" t="s">
        <v>74</v>
      </c>
      <c r="AA131" s="2" t="s">
        <v>74</v>
      </c>
      <c r="AB131" s="2" t="s">
        <v>74</v>
      </c>
      <c r="AC131" s="2" t="s">
        <v>74</v>
      </c>
      <c r="AD131" s="2" t="s">
        <v>74</v>
      </c>
      <c r="AE131" s="2" t="s">
        <v>74</v>
      </c>
      <c r="AF131" s="2" t="s">
        <v>74</v>
      </c>
      <c r="AG131" s="2" t="s">
        <v>74</v>
      </c>
      <c r="AH131" s="2" t="s">
        <v>74</v>
      </c>
      <c r="AI131" s="2" t="s">
        <v>74</v>
      </c>
      <c r="AJ131" s="2" t="s">
        <v>74</v>
      </c>
      <c r="AK131" s="2" t="s">
        <v>74</v>
      </c>
      <c r="AL131" s="2" t="s">
        <v>74</v>
      </c>
      <c r="AM131" s="2" t="s">
        <v>74</v>
      </c>
      <c r="AN131" s="2" t="s">
        <v>74</v>
      </c>
      <c r="AO131" s="2" t="s">
        <v>6555</v>
      </c>
      <c r="AP131" s="2" t="s">
        <v>6556</v>
      </c>
      <c r="AQ131" s="2" t="s">
        <v>74</v>
      </c>
      <c r="AR131" s="2" t="s">
        <v>74</v>
      </c>
      <c r="AS131" s="2" t="s">
        <v>74</v>
      </c>
      <c r="AT131" s="2" t="s">
        <v>74</v>
      </c>
      <c r="AU131" s="2">
        <v>2024</v>
      </c>
      <c r="AV131" s="2">
        <v>35</v>
      </c>
      <c r="AW131" s="2">
        <v>2</v>
      </c>
      <c r="AX131" s="2" t="s">
        <v>74</v>
      </c>
      <c r="AY131" s="2" t="s">
        <v>74</v>
      </c>
      <c r="AZ131" s="2" t="s">
        <v>74</v>
      </c>
      <c r="BA131" s="2" t="s">
        <v>74</v>
      </c>
      <c r="BB131" s="2" t="s">
        <v>74</v>
      </c>
      <c r="BC131" s="2" t="s">
        <v>74</v>
      </c>
      <c r="BD131" s="2" t="s">
        <v>74</v>
      </c>
      <c r="BE131" s="2" t="s">
        <v>6557</v>
      </c>
      <c r="BF131" s="2" t="str">
        <f>HYPERLINK("http://dx.doi.org/10.21315/tlsr2024.35.2.15","http://dx.doi.org/10.21315/tlsr2024.35.2.15")</f>
        <v>http://dx.doi.org/10.21315/tlsr2024.35.2.15</v>
      </c>
      <c r="BG131" s="2" t="s">
        <v>74</v>
      </c>
      <c r="BH131" s="2" t="s">
        <v>74</v>
      </c>
      <c r="BI131" s="2" t="s">
        <v>74</v>
      </c>
      <c r="BJ131" s="2" t="s">
        <v>74</v>
      </c>
      <c r="BK131" s="2" t="s">
        <v>74</v>
      </c>
      <c r="BL131" s="2" t="s">
        <v>74</v>
      </c>
      <c r="BM131" s="2" t="s">
        <v>74</v>
      </c>
      <c r="BN131" s="2" t="s">
        <v>74</v>
      </c>
      <c r="BO131" s="2" t="s">
        <v>74</v>
      </c>
      <c r="BP131" s="2" t="s">
        <v>74</v>
      </c>
      <c r="BQ131" s="2" t="s">
        <v>74</v>
      </c>
      <c r="BR131" s="2" t="s">
        <v>74</v>
      </c>
      <c r="BS131" s="2" t="s">
        <v>6558</v>
      </c>
      <c r="BT131" s="2" t="str">
        <f>HYPERLINK("https%3A%2F%2Fwww.webofscience.com%2Fwos%2Fwoscc%2Ffull-record%2FWOS:001292721100013","View Full Record in Web of Science")</f>
        <v>View Full Record in Web of Science</v>
      </c>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row>
    <row r="132" spans="1:314" s="2" customFormat="1" x14ac:dyDescent="0.4">
      <c r="A132" s="2" t="s">
        <v>72</v>
      </c>
      <c r="B132" s="2" t="s">
        <v>506</v>
      </c>
      <c r="C132" s="2" t="s">
        <v>74</v>
      </c>
      <c r="D132" s="2" t="s">
        <v>74</v>
      </c>
      <c r="E132" s="2" t="s">
        <v>74</v>
      </c>
      <c r="F132" s="2" t="s">
        <v>507</v>
      </c>
      <c r="G132" s="2" t="s">
        <v>74</v>
      </c>
      <c r="H132" s="2" t="s">
        <v>74</v>
      </c>
      <c r="I132" s="2" t="s">
        <v>508</v>
      </c>
      <c r="J132" s="2" t="s">
        <v>509</v>
      </c>
      <c r="K132" s="2" t="s">
        <v>74</v>
      </c>
      <c r="L132" s="2" t="s">
        <v>74</v>
      </c>
      <c r="M132" s="2" t="s">
        <v>74</v>
      </c>
      <c r="N132" s="2" t="s">
        <v>74</v>
      </c>
      <c r="O132" s="2" t="s">
        <v>74</v>
      </c>
      <c r="P132" s="2" t="s">
        <v>74</v>
      </c>
      <c r="Q132" s="2" t="s">
        <v>74</v>
      </c>
      <c r="R132" s="2" t="s">
        <v>74</v>
      </c>
      <c r="S132" s="2" t="s">
        <v>74</v>
      </c>
      <c r="T132" s="2" t="s">
        <v>74</v>
      </c>
      <c r="U132" s="2" t="s">
        <v>74</v>
      </c>
      <c r="V132" s="5" t="s">
        <v>510</v>
      </c>
      <c r="W132" s="2" t="s">
        <v>74</v>
      </c>
      <c r="X132" s="2" t="s">
        <v>74</v>
      </c>
      <c r="Y132" s="2" t="s">
        <v>74</v>
      </c>
      <c r="Z132" s="2" t="s">
        <v>74</v>
      </c>
      <c r="AA132" s="2" t="s">
        <v>74</v>
      </c>
      <c r="AB132" s="2" t="s">
        <v>74</v>
      </c>
      <c r="AC132" s="2" t="s">
        <v>74</v>
      </c>
      <c r="AD132" s="2" t="s">
        <v>74</v>
      </c>
      <c r="AE132" s="2" t="s">
        <v>74</v>
      </c>
      <c r="AF132" s="2" t="s">
        <v>74</v>
      </c>
      <c r="AG132" s="2" t="s">
        <v>74</v>
      </c>
      <c r="AH132" s="2" t="s">
        <v>74</v>
      </c>
      <c r="AI132" s="2" t="s">
        <v>74</v>
      </c>
      <c r="AJ132" s="2" t="s">
        <v>74</v>
      </c>
      <c r="AK132" s="2" t="s">
        <v>74</v>
      </c>
      <c r="AL132" s="2" t="s">
        <v>74</v>
      </c>
      <c r="AM132" s="2" t="s">
        <v>74</v>
      </c>
      <c r="AN132" s="2" t="s">
        <v>74</v>
      </c>
      <c r="AO132" s="2" t="s">
        <v>511</v>
      </c>
      <c r="AP132" s="2" t="s">
        <v>512</v>
      </c>
      <c r="AQ132" s="2" t="s">
        <v>74</v>
      </c>
      <c r="AR132" s="2" t="s">
        <v>74</v>
      </c>
      <c r="AS132" s="2" t="s">
        <v>74</v>
      </c>
      <c r="AT132" s="2" t="s">
        <v>145</v>
      </c>
      <c r="AU132" s="2">
        <v>2010</v>
      </c>
      <c r="AV132" s="2">
        <v>58</v>
      </c>
      <c r="AW132" s="2">
        <v>3</v>
      </c>
      <c r="AX132" s="2" t="s">
        <v>74</v>
      </c>
      <c r="AY132" s="2" t="s">
        <v>74</v>
      </c>
      <c r="AZ132" s="2" t="s">
        <v>74</v>
      </c>
      <c r="BA132" s="2" t="s">
        <v>74</v>
      </c>
      <c r="BB132" s="2">
        <v>526</v>
      </c>
      <c r="BC132" s="2">
        <v>532</v>
      </c>
      <c r="BD132" s="2" t="s">
        <v>74</v>
      </c>
      <c r="BE132" s="2" t="s">
        <v>513</v>
      </c>
      <c r="BF132" s="2" t="str">
        <f>HYPERLINK("http://dx.doi.org/10.1016/j.yhbeh.2010.04.004","http://dx.doi.org/10.1016/j.yhbeh.2010.04.004")</f>
        <v>http://dx.doi.org/10.1016/j.yhbeh.2010.04.004</v>
      </c>
      <c r="BG132" s="2" t="s">
        <v>74</v>
      </c>
      <c r="BH132" s="2" t="s">
        <v>74</v>
      </c>
      <c r="BI132" s="2" t="s">
        <v>74</v>
      </c>
      <c r="BJ132" s="2" t="s">
        <v>74</v>
      </c>
      <c r="BK132" s="2" t="s">
        <v>74</v>
      </c>
      <c r="BL132" s="2" t="s">
        <v>74</v>
      </c>
      <c r="BM132" s="2" t="s">
        <v>74</v>
      </c>
      <c r="BN132" s="2">
        <v>20406643</v>
      </c>
      <c r="BO132" s="2" t="s">
        <v>74</v>
      </c>
      <c r="BP132" s="2" t="s">
        <v>74</v>
      </c>
      <c r="BQ132" s="2" t="s">
        <v>74</v>
      </c>
      <c r="BR132" s="2" t="s">
        <v>74</v>
      </c>
      <c r="BS132" s="2" t="s">
        <v>514</v>
      </c>
      <c r="BT132" s="2" t="str">
        <f>HYPERLINK("https%3A%2F%2Fwww.webofscience.com%2Fwos%2Fwoscc%2Ffull-record%2FWOS:000280933600025","View Full Record in Web of Science")</f>
        <v>View Full Record in Web of Science</v>
      </c>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row>
    <row r="133" spans="1:314" s="2" customFormat="1" x14ac:dyDescent="0.4">
      <c r="A133" s="2" t="s">
        <v>72</v>
      </c>
      <c r="B133" s="2" t="s">
        <v>3619</v>
      </c>
      <c r="C133" s="2" t="s">
        <v>74</v>
      </c>
      <c r="D133" s="2" t="s">
        <v>74</v>
      </c>
      <c r="E133" s="2" t="s">
        <v>74</v>
      </c>
      <c r="F133" s="2" t="s">
        <v>3620</v>
      </c>
      <c r="G133" s="2" t="s">
        <v>74</v>
      </c>
      <c r="H133" s="2" t="s">
        <v>74</v>
      </c>
      <c r="I133" s="2" t="s">
        <v>3621</v>
      </c>
      <c r="J133" s="2" t="s">
        <v>763</v>
      </c>
      <c r="K133" s="2" t="s">
        <v>74</v>
      </c>
      <c r="L133" s="2" t="s">
        <v>74</v>
      </c>
      <c r="M133" s="2" t="s">
        <v>74</v>
      </c>
      <c r="N133" s="2" t="s">
        <v>74</v>
      </c>
      <c r="O133" s="2" t="s">
        <v>74</v>
      </c>
      <c r="P133" s="2" t="s">
        <v>74</v>
      </c>
      <c r="Q133" s="2" t="s">
        <v>74</v>
      </c>
      <c r="R133" s="2" t="s">
        <v>74</v>
      </c>
      <c r="S133" s="2" t="s">
        <v>74</v>
      </c>
      <c r="T133" s="2" t="s">
        <v>74</v>
      </c>
      <c r="U133" s="2" t="s">
        <v>74</v>
      </c>
      <c r="V133" s="5" t="s">
        <v>3622</v>
      </c>
      <c r="W133" s="2" t="s">
        <v>74</v>
      </c>
      <c r="X133" s="2" t="s">
        <v>74</v>
      </c>
      <c r="Y133" s="2" t="s">
        <v>74</v>
      </c>
      <c r="Z133" s="2" t="s">
        <v>74</v>
      </c>
      <c r="AA133" s="2" t="s">
        <v>74</v>
      </c>
      <c r="AB133" s="2" t="s">
        <v>3623</v>
      </c>
      <c r="AC133" s="2" t="s">
        <v>74</v>
      </c>
      <c r="AD133" s="2" t="s">
        <v>74</v>
      </c>
      <c r="AE133" s="2" t="s">
        <v>74</v>
      </c>
      <c r="AF133" s="2" t="s">
        <v>74</v>
      </c>
      <c r="AG133" s="2" t="s">
        <v>74</v>
      </c>
      <c r="AH133" s="2" t="s">
        <v>74</v>
      </c>
      <c r="AI133" s="2" t="s">
        <v>74</v>
      </c>
      <c r="AJ133" s="2" t="s">
        <v>74</v>
      </c>
      <c r="AK133" s="2" t="s">
        <v>74</v>
      </c>
      <c r="AL133" s="2" t="s">
        <v>74</v>
      </c>
      <c r="AM133" s="2" t="s">
        <v>74</v>
      </c>
      <c r="AN133" s="2" t="s">
        <v>74</v>
      </c>
      <c r="AO133" s="2" t="s">
        <v>767</v>
      </c>
      <c r="AP133" s="2" t="s">
        <v>768</v>
      </c>
      <c r="AQ133" s="2" t="s">
        <v>74</v>
      </c>
      <c r="AR133" s="2" t="s">
        <v>74</v>
      </c>
      <c r="AS133" s="2" t="s">
        <v>74</v>
      </c>
      <c r="AT133" s="2" t="s">
        <v>123</v>
      </c>
      <c r="AU133" s="2">
        <v>2019</v>
      </c>
      <c r="AV133" s="2">
        <v>222</v>
      </c>
      <c r="AW133" s="2">
        <v>5</v>
      </c>
      <c r="AX133" s="2" t="s">
        <v>74</v>
      </c>
      <c r="AY133" s="2" t="s">
        <v>74</v>
      </c>
      <c r="AZ133" s="2" t="s">
        <v>74</v>
      </c>
      <c r="BA133" s="2" t="s">
        <v>74</v>
      </c>
      <c r="BB133" s="2" t="s">
        <v>74</v>
      </c>
      <c r="BC133" s="2" t="s">
        <v>74</v>
      </c>
      <c r="BD133" s="2" t="s">
        <v>3624</v>
      </c>
      <c r="BE133" s="2" t="s">
        <v>3625</v>
      </c>
      <c r="BF133" s="2" t="str">
        <f>HYPERLINK("http://dx.doi.org/10.1242/jeb.191544","http://dx.doi.org/10.1242/jeb.191544")</f>
        <v>http://dx.doi.org/10.1242/jeb.191544</v>
      </c>
      <c r="BG133" s="2" t="s">
        <v>74</v>
      </c>
      <c r="BH133" s="2" t="s">
        <v>74</v>
      </c>
      <c r="BI133" s="2" t="s">
        <v>74</v>
      </c>
      <c r="BJ133" s="2" t="s">
        <v>74</v>
      </c>
      <c r="BK133" s="2" t="s">
        <v>74</v>
      </c>
      <c r="BL133" s="2" t="s">
        <v>74</v>
      </c>
      <c r="BM133" s="2" t="s">
        <v>74</v>
      </c>
      <c r="BN133" s="2">
        <v>30659081</v>
      </c>
      <c r="BO133" s="2" t="s">
        <v>74</v>
      </c>
      <c r="BP133" s="2" t="s">
        <v>74</v>
      </c>
      <c r="BQ133" s="2" t="s">
        <v>74</v>
      </c>
      <c r="BR133" s="2" t="s">
        <v>74</v>
      </c>
      <c r="BS133" s="2" t="s">
        <v>3626</v>
      </c>
      <c r="BT133" s="2" t="str">
        <f>HYPERLINK("https%3A%2F%2Fwww.webofscience.com%2Fwos%2Fwoscc%2Ffull-record%2FWOS:000461414600010","View Full Record in Web of Science")</f>
        <v>View Full Record in Web of Science</v>
      </c>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row>
    <row r="134" spans="1:314" s="2" customFormat="1" x14ac:dyDescent="0.4">
      <c r="A134" s="2" t="s">
        <v>72</v>
      </c>
      <c r="B134" s="2" t="s">
        <v>7888</v>
      </c>
      <c r="C134" s="2" t="s">
        <v>74</v>
      </c>
      <c r="D134" s="2" t="s">
        <v>74</v>
      </c>
      <c r="E134" s="2" t="s">
        <v>74</v>
      </c>
      <c r="F134" s="2" t="s">
        <v>7889</v>
      </c>
      <c r="G134" s="2" t="s">
        <v>74</v>
      </c>
      <c r="H134" s="2" t="s">
        <v>74</v>
      </c>
      <c r="I134" s="2" t="s">
        <v>7890</v>
      </c>
      <c r="J134" s="2" t="s">
        <v>814</v>
      </c>
      <c r="K134" s="2" t="s">
        <v>74</v>
      </c>
      <c r="L134" s="2" t="s">
        <v>74</v>
      </c>
      <c r="M134" s="2" t="s">
        <v>74</v>
      </c>
      <c r="N134" s="2" t="s">
        <v>74</v>
      </c>
      <c r="O134" s="2" t="s">
        <v>74</v>
      </c>
      <c r="P134" s="2" t="s">
        <v>74</v>
      </c>
      <c r="Q134" s="2" t="s">
        <v>74</v>
      </c>
      <c r="R134" s="2" t="s">
        <v>74</v>
      </c>
      <c r="S134" s="2" t="s">
        <v>74</v>
      </c>
      <c r="T134" s="2" t="s">
        <v>74</v>
      </c>
      <c r="U134" s="2" t="s">
        <v>74</v>
      </c>
      <c r="V134" s="5" t="s">
        <v>7891</v>
      </c>
      <c r="W134" s="2" t="s">
        <v>74</v>
      </c>
      <c r="X134" s="2" t="s">
        <v>74</v>
      </c>
      <c r="Y134" s="2" t="s">
        <v>74</v>
      </c>
      <c r="Z134" s="2" t="s">
        <v>74</v>
      </c>
      <c r="AA134" s="2" t="s">
        <v>7892</v>
      </c>
      <c r="AB134" s="2" t="s">
        <v>7893</v>
      </c>
      <c r="AC134" s="2" t="s">
        <v>74</v>
      </c>
      <c r="AD134" s="2" t="s">
        <v>74</v>
      </c>
      <c r="AE134" s="2" t="s">
        <v>74</v>
      </c>
      <c r="AF134" s="2" t="s">
        <v>74</v>
      </c>
      <c r="AG134" s="2" t="s">
        <v>74</v>
      </c>
      <c r="AH134" s="2" t="s">
        <v>74</v>
      </c>
      <c r="AI134" s="2" t="s">
        <v>74</v>
      </c>
      <c r="AJ134" s="2" t="s">
        <v>74</v>
      </c>
      <c r="AK134" s="2" t="s">
        <v>74</v>
      </c>
      <c r="AL134" s="2" t="s">
        <v>74</v>
      </c>
      <c r="AM134" s="2" t="s">
        <v>74</v>
      </c>
      <c r="AN134" s="2" t="s">
        <v>74</v>
      </c>
      <c r="AO134" s="2" t="s">
        <v>818</v>
      </c>
      <c r="AP134" s="2" t="s">
        <v>1505</v>
      </c>
      <c r="AQ134" s="2" t="s">
        <v>74</v>
      </c>
      <c r="AR134" s="2" t="s">
        <v>74</v>
      </c>
      <c r="AS134" s="2" t="s">
        <v>74</v>
      </c>
      <c r="AT134" s="2" t="s">
        <v>633</v>
      </c>
      <c r="AU134" s="2">
        <v>2022</v>
      </c>
      <c r="AV134" s="2">
        <v>151</v>
      </c>
      <c r="AW134" s="2" t="s">
        <v>74</v>
      </c>
      <c r="AX134" s="2" t="s">
        <v>74</v>
      </c>
      <c r="AY134" s="2" t="s">
        <v>74</v>
      </c>
      <c r="AZ134" s="2" t="s">
        <v>74</v>
      </c>
      <c r="BA134" s="2" t="s">
        <v>74</v>
      </c>
      <c r="BB134" s="2" t="s">
        <v>74</v>
      </c>
      <c r="BC134" s="2" t="s">
        <v>74</v>
      </c>
      <c r="BD134" s="2">
        <v>125992</v>
      </c>
      <c r="BE134" s="2" t="s">
        <v>7894</v>
      </c>
      <c r="BF134" s="2" t="str">
        <f>HYPERLINK("http://dx.doi.org/10.1016/j.zool.2021.125992","http://dx.doi.org/10.1016/j.zool.2021.125992")</f>
        <v>http://dx.doi.org/10.1016/j.zool.2021.125992</v>
      </c>
      <c r="BG134" s="2" t="s">
        <v>74</v>
      </c>
      <c r="BH134" s="2" t="s">
        <v>7438</v>
      </c>
      <c r="BI134" s="2" t="s">
        <v>74</v>
      </c>
      <c r="BJ134" s="2" t="s">
        <v>74</v>
      </c>
      <c r="BK134" s="2" t="s">
        <v>74</v>
      </c>
      <c r="BL134" s="2" t="s">
        <v>74</v>
      </c>
      <c r="BM134" s="2" t="s">
        <v>74</v>
      </c>
      <c r="BN134" s="2">
        <v>35228128</v>
      </c>
      <c r="BO134" s="2" t="s">
        <v>74</v>
      </c>
      <c r="BP134" s="2" t="s">
        <v>74</v>
      </c>
      <c r="BQ134" s="2" t="s">
        <v>74</v>
      </c>
      <c r="BR134" s="2" t="s">
        <v>74</v>
      </c>
      <c r="BS134" s="2" t="s">
        <v>7895</v>
      </c>
      <c r="BT134" s="2" t="str">
        <f>HYPERLINK("https%3A%2F%2Fwww.webofscience.com%2Fwos%2Fwoscc%2Ffull-record%2FWOS:000776690400002","View Full Record in Web of Science")</f>
        <v>View Full Record in Web of Science</v>
      </c>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row>
    <row r="135" spans="1:314" s="2" customFormat="1" x14ac:dyDescent="0.4">
      <c r="A135" s="2" t="s">
        <v>72</v>
      </c>
      <c r="B135" s="2" t="s">
        <v>8421</v>
      </c>
      <c r="C135" s="2" t="s">
        <v>74</v>
      </c>
      <c r="D135" s="2" t="s">
        <v>74</v>
      </c>
      <c r="E135" s="2" t="s">
        <v>74</v>
      </c>
      <c r="F135" s="2" t="s">
        <v>8421</v>
      </c>
      <c r="G135" s="2" t="s">
        <v>74</v>
      </c>
      <c r="H135" s="2" t="s">
        <v>74</v>
      </c>
      <c r="I135" s="2" t="s">
        <v>8422</v>
      </c>
      <c r="J135" s="2" t="s">
        <v>1878</v>
      </c>
      <c r="K135" s="2" t="s">
        <v>74</v>
      </c>
      <c r="L135" s="2" t="s">
        <v>74</v>
      </c>
      <c r="M135" s="2" t="s">
        <v>74</v>
      </c>
      <c r="N135" s="2" t="s">
        <v>74</v>
      </c>
      <c r="O135" s="2" t="s">
        <v>74</v>
      </c>
      <c r="P135" s="2" t="s">
        <v>74</v>
      </c>
      <c r="Q135" s="2" t="s">
        <v>74</v>
      </c>
      <c r="R135" s="2" t="s">
        <v>74</v>
      </c>
      <c r="S135" s="2" t="s">
        <v>74</v>
      </c>
      <c r="T135" s="2" t="s">
        <v>74</v>
      </c>
      <c r="U135" s="2" t="s">
        <v>74</v>
      </c>
      <c r="V135" s="5" t="s">
        <v>8423</v>
      </c>
      <c r="W135" s="2" t="s">
        <v>74</v>
      </c>
      <c r="X135" s="2" t="s">
        <v>74</v>
      </c>
      <c r="Y135" s="2" t="s">
        <v>74</v>
      </c>
      <c r="Z135" s="2" t="s">
        <v>74</v>
      </c>
      <c r="AA135" s="2" t="s">
        <v>8424</v>
      </c>
      <c r="AB135" s="2" t="s">
        <v>8425</v>
      </c>
      <c r="AC135" s="2" t="s">
        <v>74</v>
      </c>
      <c r="AD135" s="2" t="s">
        <v>74</v>
      </c>
      <c r="AE135" s="2" t="s">
        <v>74</v>
      </c>
      <c r="AF135" s="2" t="s">
        <v>74</v>
      </c>
      <c r="AG135" s="2" t="s">
        <v>74</v>
      </c>
      <c r="AH135" s="2" t="s">
        <v>74</v>
      </c>
      <c r="AI135" s="2" t="s">
        <v>74</v>
      </c>
      <c r="AJ135" s="2" t="s">
        <v>74</v>
      </c>
      <c r="AK135" s="2" t="s">
        <v>74</v>
      </c>
      <c r="AL135" s="2" t="s">
        <v>74</v>
      </c>
      <c r="AM135" s="2" t="s">
        <v>74</v>
      </c>
      <c r="AN135" s="2" t="s">
        <v>74</v>
      </c>
      <c r="AO135" s="2" t="s">
        <v>1882</v>
      </c>
      <c r="AP135" s="2" t="s">
        <v>74</v>
      </c>
      <c r="AQ135" s="2" t="s">
        <v>74</v>
      </c>
      <c r="AR135" s="2" t="s">
        <v>74</v>
      </c>
      <c r="AS135" s="2" t="s">
        <v>74</v>
      </c>
      <c r="AT135" s="2" t="s">
        <v>964</v>
      </c>
      <c r="AU135" s="2">
        <v>2000</v>
      </c>
      <c r="AV135" s="2">
        <v>65</v>
      </c>
      <c r="AW135" s="2">
        <v>2</v>
      </c>
      <c r="AX135" s="2" t="s">
        <v>74</v>
      </c>
      <c r="AY135" s="2" t="s">
        <v>74</v>
      </c>
      <c r="AZ135" s="2" t="s">
        <v>74</v>
      </c>
      <c r="BA135" s="2" t="s">
        <v>74</v>
      </c>
      <c r="BB135" s="2">
        <v>327</v>
      </c>
      <c r="BC135" s="2">
        <v>332</v>
      </c>
      <c r="BD135" s="2" t="s">
        <v>74</v>
      </c>
      <c r="BE135" s="2" t="s">
        <v>8426</v>
      </c>
      <c r="BF135" s="2" t="str">
        <f>HYPERLINK("http://dx.doi.org/10.1016/S0091-3057(99)00189-6","http://dx.doi.org/10.1016/S0091-3057(99)00189-6")</f>
        <v>http://dx.doi.org/10.1016/S0091-3057(99)00189-6</v>
      </c>
      <c r="BG135" s="2" t="s">
        <v>74</v>
      </c>
      <c r="BH135" s="2" t="s">
        <v>74</v>
      </c>
      <c r="BI135" s="2" t="s">
        <v>74</v>
      </c>
      <c r="BJ135" s="2" t="s">
        <v>74</v>
      </c>
      <c r="BK135" s="2" t="s">
        <v>74</v>
      </c>
      <c r="BL135" s="2" t="s">
        <v>74</v>
      </c>
      <c r="BM135" s="2" t="s">
        <v>74</v>
      </c>
      <c r="BN135" s="2">
        <v>10672986</v>
      </c>
      <c r="BO135" s="2" t="s">
        <v>74</v>
      </c>
      <c r="BP135" s="2" t="s">
        <v>74</v>
      </c>
      <c r="BQ135" s="2" t="s">
        <v>74</v>
      </c>
      <c r="BR135" s="2" t="s">
        <v>74</v>
      </c>
      <c r="BS135" s="2" t="s">
        <v>8427</v>
      </c>
      <c r="BT135" s="2" t="str">
        <f>HYPERLINK("https%3A%2F%2Fwww.webofscience.com%2Fwos%2Fwoscc%2Ffull-record%2FWOS:000084842500018","View Full Record in Web of Science")</f>
        <v>View Full Record in Web of Science</v>
      </c>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row>
    <row r="136" spans="1:314" s="2" customFormat="1" x14ac:dyDescent="0.4">
      <c r="A136" s="2" t="s">
        <v>72</v>
      </c>
      <c r="B136" s="2" t="s">
        <v>5452</v>
      </c>
      <c r="C136" s="2" t="s">
        <v>74</v>
      </c>
      <c r="D136" s="2" t="s">
        <v>74</v>
      </c>
      <c r="E136" s="2" t="s">
        <v>74</v>
      </c>
      <c r="F136" s="2" t="s">
        <v>5452</v>
      </c>
      <c r="G136" s="2" t="s">
        <v>74</v>
      </c>
      <c r="H136" s="2" t="s">
        <v>74</v>
      </c>
      <c r="I136" s="2" t="s">
        <v>5453</v>
      </c>
      <c r="J136" s="2" t="s">
        <v>5454</v>
      </c>
      <c r="K136" s="2" t="s">
        <v>74</v>
      </c>
      <c r="L136" s="2" t="s">
        <v>74</v>
      </c>
      <c r="M136" s="2" t="s">
        <v>74</v>
      </c>
      <c r="N136" s="2" t="s">
        <v>74</v>
      </c>
      <c r="O136" s="2" t="s">
        <v>74</v>
      </c>
      <c r="P136" s="2" t="s">
        <v>74</v>
      </c>
      <c r="Q136" s="2" t="s">
        <v>74</v>
      </c>
      <c r="R136" s="2" t="s">
        <v>74</v>
      </c>
      <c r="S136" s="2" t="s">
        <v>74</v>
      </c>
      <c r="T136" s="2" t="s">
        <v>74</v>
      </c>
      <c r="U136" s="2" t="s">
        <v>74</v>
      </c>
      <c r="V136" s="5" t="s">
        <v>5455</v>
      </c>
      <c r="W136" s="2" t="s">
        <v>74</v>
      </c>
      <c r="X136" s="2" t="s">
        <v>74</v>
      </c>
      <c r="Y136" s="2" t="s">
        <v>74</v>
      </c>
      <c r="Z136" s="2" t="s">
        <v>74</v>
      </c>
      <c r="AA136" s="2" t="s">
        <v>5456</v>
      </c>
      <c r="AB136" s="2" t="s">
        <v>5457</v>
      </c>
      <c r="AC136" s="2" t="s">
        <v>74</v>
      </c>
      <c r="AD136" s="2" t="s">
        <v>74</v>
      </c>
      <c r="AE136" s="2" t="s">
        <v>74</v>
      </c>
      <c r="AF136" s="2" t="s">
        <v>74</v>
      </c>
      <c r="AG136" s="2" t="s">
        <v>74</v>
      </c>
      <c r="AH136" s="2" t="s">
        <v>74</v>
      </c>
      <c r="AI136" s="2" t="s">
        <v>74</v>
      </c>
      <c r="AJ136" s="2" t="s">
        <v>74</v>
      </c>
      <c r="AK136" s="2" t="s">
        <v>74</v>
      </c>
      <c r="AL136" s="2" t="s">
        <v>74</v>
      </c>
      <c r="AM136" s="2" t="s">
        <v>74</v>
      </c>
      <c r="AN136" s="2" t="s">
        <v>74</v>
      </c>
      <c r="AO136" s="2" t="s">
        <v>5458</v>
      </c>
      <c r="AP136" s="2" t="s">
        <v>74</v>
      </c>
      <c r="AQ136" s="2" t="s">
        <v>74</v>
      </c>
      <c r="AR136" s="2" t="s">
        <v>74</v>
      </c>
      <c r="AS136" s="2" t="s">
        <v>74</v>
      </c>
      <c r="AT136" s="2" t="s">
        <v>74</v>
      </c>
      <c r="AU136" s="2">
        <v>1991</v>
      </c>
      <c r="AV136" s="2">
        <v>19</v>
      </c>
      <c r="AW136" s="2">
        <v>4</v>
      </c>
      <c r="AX136" s="2" t="s">
        <v>74</v>
      </c>
      <c r="AY136" s="2" t="s">
        <v>74</v>
      </c>
      <c r="AZ136" s="2" t="s">
        <v>74</v>
      </c>
      <c r="BA136" s="2" t="s">
        <v>74</v>
      </c>
      <c r="BB136" s="2">
        <v>271</v>
      </c>
      <c r="BC136" s="2">
        <v>276</v>
      </c>
      <c r="BD136" s="2" t="s">
        <v>74</v>
      </c>
      <c r="BE136" s="2" t="s">
        <v>5459</v>
      </c>
      <c r="BF136" s="2" t="str">
        <f>HYPERLINK("http://dx.doi.org/10.1016/0305-1978(91)90014-Q","http://dx.doi.org/10.1016/0305-1978(91)90014-Q")</f>
        <v>http://dx.doi.org/10.1016/0305-1978(91)90014-Q</v>
      </c>
      <c r="BG136" s="2" t="s">
        <v>74</v>
      </c>
      <c r="BH136" s="2" t="s">
        <v>74</v>
      </c>
      <c r="BI136" s="2" t="s">
        <v>74</v>
      </c>
      <c r="BJ136" s="2" t="s">
        <v>74</v>
      </c>
      <c r="BK136" s="2" t="s">
        <v>74</v>
      </c>
      <c r="BL136" s="2" t="s">
        <v>74</v>
      </c>
      <c r="BM136" s="2" t="s">
        <v>74</v>
      </c>
      <c r="BN136" s="2" t="s">
        <v>74</v>
      </c>
      <c r="BO136" s="2" t="s">
        <v>74</v>
      </c>
      <c r="BP136" s="2" t="s">
        <v>74</v>
      </c>
      <c r="BQ136" s="2" t="s">
        <v>74</v>
      </c>
      <c r="BR136" s="2" t="s">
        <v>74</v>
      </c>
      <c r="BS136" s="2" t="s">
        <v>5460</v>
      </c>
      <c r="BT136" s="2" t="str">
        <f>HYPERLINK("https%3A%2F%2Fwww.webofscience.com%2Fwos%2Fwoscc%2Ffull-record%2FWOS:A1991HA68300002","View Full Record in Web of Science")</f>
        <v>View Full Record in Web of Science</v>
      </c>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row>
    <row r="137" spans="1:314" s="2" customFormat="1" x14ac:dyDescent="0.4">
      <c r="A137" s="2" t="s">
        <v>72</v>
      </c>
      <c r="B137" s="2" t="s">
        <v>7761</v>
      </c>
      <c r="C137" s="2" t="s">
        <v>74</v>
      </c>
      <c r="D137" s="2" t="s">
        <v>74</v>
      </c>
      <c r="E137" s="2" t="s">
        <v>74</v>
      </c>
      <c r="F137" s="2" t="s">
        <v>7762</v>
      </c>
      <c r="G137" s="2" t="s">
        <v>74</v>
      </c>
      <c r="H137" s="2" t="s">
        <v>74</v>
      </c>
      <c r="I137" s="2" t="s">
        <v>7763</v>
      </c>
      <c r="J137" s="2" t="s">
        <v>129</v>
      </c>
      <c r="K137" s="2" t="s">
        <v>74</v>
      </c>
      <c r="L137" s="2" t="s">
        <v>74</v>
      </c>
      <c r="M137" s="2" t="s">
        <v>74</v>
      </c>
      <c r="N137" s="2" t="s">
        <v>74</v>
      </c>
      <c r="O137" s="2" t="s">
        <v>74</v>
      </c>
      <c r="P137" s="2" t="s">
        <v>74</v>
      </c>
      <c r="Q137" s="2" t="s">
        <v>74</v>
      </c>
      <c r="R137" s="2" t="s">
        <v>74</v>
      </c>
      <c r="S137" s="2" t="s">
        <v>74</v>
      </c>
      <c r="T137" s="2" t="s">
        <v>74</v>
      </c>
      <c r="U137" s="2" t="s">
        <v>74</v>
      </c>
      <c r="V137" s="5" t="s">
        <v>7764</v>
      </c>
      <c r="W137" s="2" t="s">
        <v>74</v>
      </c>
      <c r="X137" s="2" t="s">
        <v>74</v>
      </c>
      <c r="Y137" s="2" t="s">
        <v>74</v>
      </c>
      <c r="Z137" s="2" t="s">
        <v>74</v>
      </c>
      <c r="AA137" s="2" t="s">
        <v>74</v>
      </c>
      <c r="AB137" s="2" t="s">
        <v>7765</v>
      </c>
      <c r="AC137" s="2" t="s">
        <v>74</v>
      </c>
      <c r="AD137" s="2" t="s">
        <v>74</v>
      </c>
      <c r="AE137" s="2" t="s">
        <v>74</v>
      </c>
      <c r="AF137" s="2" t="s">
        <v>74</v>
      </c>
      <c r="AG137" s="2" t="s">
        <v>74</v>
      </c>
      <c r="AH137" s="2" t="s">
        <v>74</v>
      </c>
      <c r="AI137" s="2" t="s">
        <v>74</v>
      </c>
      <c r="AJ137" s="2" t="s">
        <v>74</v>
      </c>
      <c r="AK137" s="2" t="s">
        <v>74</v>
      </c>
      <c r="AL137" s="2" t="s">
        <v>74</v>
      </c>
      <c r="AM137" s="2" t="s">
        <v>74</v>
      </c>
      <c r="AN137" s="2" t="s">
        <v>74</v>
      </c>
      <c r="AO137" s="2" t="s">
        <v>132</v>
      </c>
      <c r="AP137" s="2" t="s">
        <v>133</v>
      </c>
      <c r="AQ137" s="2" t="s">
        <v>74</v>
      </c>
      <c r="AR137" s="2" t="s">
        <v>74</v>
      </c>
      <c r="AS137" s="2" t="s">
        <v>74</v>
      </c>
      <c r="AT137" s="2" t="s">
        <v>213</v>
      </c>
      <c r="AU137" s="2">
        <v>2022</v>
      </c>
      <c r="AV137" s="2">
        <v>76</v>
      </c>
      <c r="AW137" s="2">
        <v>11</v>
      </c>
      <c r="AX137" s="2" t="s">
        <v>74</v>
      </c>
      <c r="AY137" s="2" t="s">
        <v>74</v>
      </c>
      <c r="AZ137" s="2" t="s">
        <v>74</v>
      </c>
      <c r="BA137" s="2" t="s">
        <v>74</v>
      </c>
      <c r="BB137" s="2" t="s">
        <v>74</v>
      </c>
      <c r="BC137" s="2" t="s">
        <v>74</v>
      </c>
      <c r="BD137" s="2">
        <v>147</v>
      </c>
      <c r="BE137" s="2" t="s">
        <v>7766</v>
      </c>
      <c r="BF137" s="2" t="str">
        <f>HYPERLINK("http://dx.doi.org/10.1007/s00265-022-03253-y","http://dx.doi.org/10.1007/s00265-022-03253-y")</f>
        <v>http://dx.doi.org/10.1007/s00265-022-03253-y</v>
      </c>
      <c r="BG137" s="2" t="s">
        <v>74</v>
      </c>
      <c r="BH137" s="2" t="s">
        <v>74</v>
      </c>
      <c r="BI137" s="2" t="s">
        <v>74</v>
      </c>
      <c r="BJ137" s="2" t="s">
        <v>74</v>
      </c>
      <c r="BK137" s="2" t="s">
        <v>74</v>
      </c>
      <c r="BL137" s="2" t="s">
        <v>74</v>
      </c>
      <c r="BM137" s="2" t="s">
        <v>74</v>
      </c>
      <c r="BN137" s="2" t="s">
        <v>74</v>
      </c>
      <c r="BO137" s="2" t="s">
        <v>74</v>
      </c>
      <c r="BP137" s="2" t="s">
        <v>74</v>
      </c>
      <c r="BQ137" s="2" t="s">
        <v>74</v>
      </c>
      <c r="BR137" s="2" t="s">
        <v>74</v>
      </c>
      <c r="BS137" s="2" t="s">
        <v>7767</v>
      </c>
      <c r="BT137" s="2" t="str">
        <f>HYPERLINK("https%3A%2F%2Fwww.webofscience.com%2Fwos%2Fwoscc%2Ffull-record%2FWOS:000867664700001","View Full Record in Web of Science")</f>
        <v>View Full Record in Web of Science</v>
      </c>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row>
    <row r="138" spans="1:314" s="2" customFormat="1" x14ac:dyDescent="0.4">
      <c r="A138" s="2" t="s">
        <v>72</v>
      </c>
      <c r="B138" s="2" t="s">
        <v>7587</v>
      </c>
      <c r="C138" s="2" t="s">
        <v>74</v>
      </c>
      <c r="D138" s="2" t="s">
        <v>74</v>
      </c>
      <c r="E138" s="2" t="s">
        <v>74</v>
      </c>
      <c r="F138" s="2" t="s">
        <v>7587</v>
      </c>
      <c r="G138" s="2" t="s">
        <v>74</v>
      </c>
      <c r="H138" s="2" t="s">
        <v>74</v>
      </c>
      <c r="I138" s="2" t="s">
        <v>7588</v>
      </c>
      <c r="J138" s="2" t="s">
        <v>140</v>
      </c>
      <c r="K138" s="2" t="s">
        <v>74</v>
      </c>
      <c r="L138" s="2" t="s">
        <v>74</v>
      </c>
      <c r="M138" s="2" t="s">
        <v>74</v>
      </c>
      <c r="N138" s="2" t="s">
        <v>74</v>
      </c>
      <c r="O138" s="2" t="s">
        <v>74</v>
      </c>
      <c r="P138" s="2" t="s">
        <v>74</v>
      </c>
      <c r="Q138" s="2" t="s">
        <v>74</v>
      </c>
      <c r="R138" s="2" t="s">
        <v>74</v>
      </c>
      <c r="S138" s="2" t="s">
        <v>74</v>
      </c>
      <c r="T138" s="2" t="s">
        <v>74</v>
      </c>
      <c r="U138" s="2" t="s">
        <v>74</v>
      </c>
      <c r="V138" s="5" t="s">
        <v>7589</v>
      </c>
      <c r="W138" s="2" t="s">
        <v>74</v>
      </c>
      <c r="X138" s="2" t="s">
        <v>74</v>
      </c>
      <c r="Y138" s="2" t="s">
        <v>74</v>
      </c>
      <c r="Z138" s="2" t="s">
        <v>74</v>
      </c>
      <c r="AA138" s="2" t="s">
        <v>74</v>
      </c>
      <c r="AB138" s="2" t="s">
        <v>74</v>
      </c>
      <c r="AC138" s="2" t="s">
        <v>74</v>
      </c>
      <c r="AD138" s="2" t="s">
        <v>74</v>
      </c>
      <c r="AE138" s="2" t="s">
        <v>74</v>
      </c>
      <c r="AF138" s="2" t="s">
        <v>74</v>
      </c>
      <c r="AG138" s="2" t="s">
        <v>74</v>
      </c>
      <c r="AH138" s="2" t="s">
        <v>74</v>
      </c>
      <c r="AI138" s="2" t="s">
        <v>74</v>
      </c>
      <c r="AJ138" s="2" t="s">
        <v>74</v>
      </c>
      <c r="AK138" s="2" t="s">
        <v>74</v>
      </c>
      <c r="AL138" s="2" t="s">
        <v>74</v>
      </c>
      <c r="AM138" s="2" t="s">
        <v>74</v>
      </c>
      <c r="AN138" s="2" t="s">
        <v>74</v>
      </c>
      <c r="AO138" s="2" t="s">
        <v>143</v>
      </c>
      <c r="AP138" s="2" t="s">
        <v>144</v>
      </c>
      <c r="AQ138" s="2" t="s">
        <v>74</v>
      </c>
      <c r="AR138" s="2" t="s">
        <v>74</v>
      </c>
      <c r="AS138" s="2" t="s">
        <v>74</v>
      </c>
      <c r="AT138" s="2" t="s">
        <v>102</v>
      </c>
      <c r="AU138" s="2">
        <v>2004</v>
      </c>
      <c r="AV138" s="2">
        <v>67</v>
      </c>
      <c r="AW138" s="2" t="s">
        <v>74</v>
      </c>
      <c r="AX138" s="2">
        <v>6</v>
      </c>
      <c r="AY138" s="2" t="s">
        <v>74</v>
      </c>
      <c r="AZ138" s="2" t="s">
        <v>74</v>
      </c>
      <c r="BA138" s="2" t="s">
        <v>74</v>
      </c>
      <c r="BB138" s="2">
        <v>1127</v>
      </c>
      <c r="BC138" s="2">
        <v>1132</v>
      </c>
      <c r="BD138" s="2" t="s">
        <v>74</v>
      </c>
      <c r="BE138" s="2" t="s">
        <v>7590</v>
      </c>
      <c r="BF138" s="2" t="str">
        <f>HYPERLINK("http://dx.doi.org/10.1016/j.anbehav.2003.06.021","http://dx.doi.org/10.1016/j.anbehav.2003.06.021")</f>
        <v>http://dx.doi.org/10.1016/j.anbehav.2003.06.021</v>
      </c>
      <c r="BG138" s="2" t="s">
        <v>74</v>
      </c>
      <c r="BH138" s="2" t="s">
        <v>74</v>
      </c>
      <c r="BI138" s="2" t="s">
        <v>74</v>
      </c>
      <c r="BJ138" s="2" t="s">
        <v>74</v>
      </c>
      <c r="BK138" s="2" t="s">
        <v>74</v>
      </c>
      <c r="BL138" s="2" t="s">
        <v>74</v>
      </c>
      <c r="BM138" s="2" t="s">
        <v>74</v>
      </c>
      <c r="BN138" s="2" t="s">
        <v>74</v>
      </c>
      <c r="BO138" s="2" t="s">
        <v>74</v>
      </c>
      <c r="BP138" s="2" t="s">
        <v>74</v>
      </c>
      <c r="BQ138" s="2" t="s">
        <v>74</v>
      </c>
      <c r="BR138" s="2" t="s">
        <v>74</v>
      </c>
      <c r="BS138" s="2" t="s">
        <v>7591</v>
      </c>
      <c r="BT138" s="2" t="str">
        <f>HYPERLINK("https%3A%2F%2Fwww.webofscience.com%2Fwos%2Fwoscc%2Ffull-record%2FWOS:000222591300017","View Full Record in Web of Science")</f>
        <v>View Full Record in Web of Science</v>
      </c>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row>
    <row r="139" spans="1:314" s="1" customFormat="1" x14ac:dyDescent="0.4">
      <c r="A139" s="2" t="s">
        <v>72</v>
      </c>
      <c r="B139" s="2" t="s">
        <v>6476</v>
      </c>
      <c r="C139" s="2" t="s">
        <v>74</v>
      </c>
      <c r="D139" s="2" t="s">
        <v>74</v>
      </c>
      <c r="E139" s="2" t="s">
        <v>74</v>
      </c>
      <c r="F139" s="2" t="s">
        <v>6477</v>
      </c>
      <c r="G139" s="2" t="s">
        <v>74</v>
      </c>
      <c r="H139" s="2" t="s">
        <v>74</v>
      </c>
      <c r="I139" s="2" t="s">
        <v>6478</v>
      </c>
      <c r="J139" s="2" t="s">
        <v>140</v>
      </c>
      <c r="K139" s="2" t="s">
        <v>74</v>
      </c>
      <c r="L139" s="2" t="s">
        <v>74</v>
      </c>
      <c r="M139" s="2" t="s">
        <v>74</v>
      </c>
      <c r="N139" s="2" t="s">
        <v>74</v>
      </c>
      <c r="O139" s="2" t="s">
        <v>74</v>
      </c>
      <c r="P139" s="2" t="s">
        <v>74</v>
      </c>
      <c r="Q139" s="2" t="s">
        <v>74</v>
      </c>
      <c r="R139" s="2" t="s">
        <v>74</v>
      </c>
      <c r="S139" s="2" t="s">
        <v>74</v>
      </c>
      <c r="T139" s="2" t="s">
        <v>74</v>
      </c>
      <c r="U139" s="2" t="s">
        <v>74</v>
      </c>
      <c r="V139" s="5" t="s">
        <v>6479</v>
      </c>
      <c r="W139" s="2" t="s">
        <v>74</v>
      </c>
      <c r="X139" s="2" t="s">
        <v>74</v>
      </c>
      <c r="Y139" s="2" t="s">
        <v>74</v>
      </c>
      <c r="Z139" s="2" t="s">
        <v>74</v>
      </c>
      <c r="AA139" s="2" t="s">
        <v>6480</v>
      </c>
      <c r="AB139" s="2" t="s">
        <v>6481</v>
      </c>
      <c r="AC139" s="2" t="s">
        <v>74</v>
      </c>
      <c r="AD139" s="2" t="s">
        <v>74</v>
      </c>
      <c r="AE139" s="2" t="s">
        <v>74</v>
      </c>
      <c r="AF139" s="2" t="s">
        <v>74</v>
      </c>
      <c r="AG139" s="2" t="s">
        <v>74</v>
      </c>
      <c r="AH139" s="2" t="s">
        <v>74</v>
      </c>
      <c r="AI139" s="2" t="s">
        <v>74</v>
      </c>
      <c r="AJ139" s="2" t="s">
        <v>74</v>
      </c>
      <c r="AK139" s="2" t="s">
        <v>74</v>
      </c>
      <c r="AL139" s="2" t="s">
        <v>74</v>
      </c>
      <c r="AM139" s="2" t="s">
        <v>74</v>
      </c>
      <c r="AN139" s="2" t="s">
        <v>74</v>
      </c>
      <c r="AO139" s="2" t="s">
        <v>143</v>
      </c>
      <c r="AP139" s="2" t="s">
        <v>144</v>
      </c>
      <c r="AQ139" s="2" t="s">
        <v>74</v>
      </c>
      <c r="AR139" s="2" t="s">
        <v>74</v>
      </c>
      <c r="AS139" s="2" t="s">
        <v>74</v>
      </c>
      <c r="AT139" s="2" t="s">
        <v>255</v>
      </c>
      <c r="AU139" s="2">
        <v>2018</v>
      </c>
      <c r="AV139" s="2">
        <v>135</v>
      </c>
      <c r="AW139" s="2" t="s">
        <v>74</v>
      </c>
      <c r="AX139" s="2" t="s">
        <v>74</v>
      </c>
      <c r="AY139" s="2" t="s">
        <v>74</v>
      </c>
      <c r="AZ139" s="2" t="s">
        <v>74</v>
      </c>
      <c r="BA139" s="2" t="s">
        <v>74</v>
      </c>
      <c r="BB139" s="2">
        <v>209</v>
      </c>
      <c r="BC139" s="2">
        <v>214</v>
      </c>
      <c r="BD139" s="2" t="s">
        <v>74</v>
      </c>
      <c r="BE139" s="2" t="s">
        <v>6482</v>
      </c>
      <c r="BF139" s="2" t="str">
        <f>HYPERLINK("http://dx.doi.org/10.1016/j.anbehav.2017.11.022","http://dx.doi.org/10.1016/j.anbehav.2017.11.022")</f>
        <v>http://dx.doi.org/10.1016/j.anbehav.2017.11.022</v>
      </c>
      <c r="BG139" s="2" t="s">
        <v>74</v>
      </c>
      <c r="BH139" s="2" t="s">
        <v>74</v>
      </c>
      <c r="BI139" s="2" t="s">
        <v>74</v>
      </c>
      <c r="BJ139" s="2" t="s">
        <v>74</v>
      </c>
      <c r="BK139" s="2" t="s">
        <v>74</v>
      </c>
      <c r="BL139" s="2" t="s">
        <v>74</v>
      </c>
      <c r="BM139" s="2" t="s">
        <v>74</v>
      </c>
      <c r="BN139" s="2" t="s">
        <v>74</v>
      </c>
      <c r="BO139" s="2" t="s">
        <v>74</v>
      </c>
      <c r="BP139" s="2" t="s">
        <v>74</v>
      </c>
      <c r="BQ139" s="2" t="s">
        <v>74</v>
      </c>
      <c r="BR139" s="2" t="s">
        <v>74</v>
      </c>
      <c r="BS139" s="2" t="s">
        <v>6483</v>
      </c>
      <c r="BT139" s="2" t="str">
        <f>HYPERLINK("https%3A%2F%2Fwww.webofscience.com%2Fwos%2Fwoscc%2Ffull-record%2FWOS:000419600500022","View Full Record in Web of Science")</f>
        <v>View Full Record in Web of Science</v>
      </c>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row>
    <row r="140" spans="1:314" s="2" customFormat="1" x14ac:dyDescent="0.4">
      <c r="A140" s="2" t="s">
        <v>72</v>
      </c>
      <c r="B140" s="2" t="s">
        <v>7930</v>
      </c>
      <c r="C140" s="2" t="s">
        <v>74</v>
      </c>
      <c r="D140" s="2" t="s">
        <v>74</v>
      </c>
      <c r="E140" s="2" t="s">
        <v>74</v>
      </c>
      <c r="F140" s="2" t="s">
        <v>7931</v>
      </c>
      <c r="G140" s="2" t="s">
        <v>74</v>
      </c>
      <c r="H140" s="2" t="s">
        <v>74</v>
      </c>
      <c r="I140" s="2" t="s">
        <v>7932</v>
      </c>
      <c r="J140" s="2" t="s">
        <v>1112</v>
      </c>
      <c r="K140" s="2" t="s">
        <v>74</v>
      </c>
      <c r="L140" s="2" t="s">
        <v>74</v>
      </c>
      <c r="M140" s="2" t="s">
        <v>74</v>
      </c>
      <c r="N140" s="2" t="s">
        <v>74</v>
      </c>
      <c r="O140" s="2" t="s">
        <v>74</v>
      </c>
      <c r="P140" s="2" t="s">
        <v>74</v>
      </c>
      <c r="Q140" s="2" t="s">
        <v>74</v>
      </c>
      <c r="R140" s="2" t="s">
        <v>74</v>
      </c>
      <c r="S140" s="2" t="s">
        <v>74</v>
      </c>
      <c r="T140" s="2" t="s">
        <v>74</v>
      </c>
      <c r="U140" s="2" t="s">
        <v>74</v>
      </c>
      <c r="V140" s="5" t="s">
        <v>7933</v>
      </c>
      <c r="W140" s="2" t="s">
        <v>74</v>
      </c>
      <c r="X140" s="2" t="s">
        <v>74</v>
      </c>
      <c r="Y140" s="2" t="s">
        <v>74</v>
      </c>
      <c r="Z140" s="2" t="s">
        <v>74</v>
      </c>
      <c r="AA140" s="2" t="s">
        <v>74</v>
      </c>
      <c r="AB140" s="2" t="s">
        <v>7934</v>
      </c>
      <c r="AC140" s="2" t="s">
        <v>74</v>
      </c>
      <c r="AD140" s="2" t="s">
        <v>74</v>
      </c>
      <c r="AE140" s="2" t="s">
        <v>74</v>
      </c>
      <c r="AF140" s="2" t="s">
        <v>74</v>
      </c>
      <c r="AG140" s="2" t="s">
        <v>74</v>
      </c>
      <c r="AH140" s="2" t="s">
        <v>74</v>
      </c>
      <c r="AI140" s="2" t="s">
        <v>74</v>
      </c>
      <c r="AJ140" s="2" t="s">
        <v>74</v>
      </c>
      <c r="AK140" s="2" t="s">
        <v>74</v>
      </c>
      <c r="AL140" s="2" t="s">
        <v>74</v>
      </c>
      <c r="AM140" s="2" t="s">
        <v>74</v>
      </c>
      <c r="AN140" s="2" t="s">
        <v>74</v>
      </c>
      <c r="AO140" s="2" t="s">
        <v>1114</v>
      </c>
      <c r="AP140" s="2" t="s">
        <v>1115</v>
      </c>
      <c r="AQ140" s="2" t="s">
        <v>74</v>
      </c>
      <c r="AR140" s="2" t="s">
        <v>74</v>
      </c>
      <c r="AS140" s="2" t="s">
        <v>74</v>
      </c>
      <c r="AT140" s="2" t="s">
        <v>352</v>
      </c>
      <c r="AU140" s="2">
        <v>2017</v>
      </c>
      <c r="AV140" s="2">
        <v>194</v>
      </c>
      <c r="AW140" s="2" t="s">
        <v>74</v>
      </c>
      <c r="AX140" s="2" t="s">
        <v>74</v>
      </c>
      <c r="AY140" s="2" t="s">
        <v>74</v>
      </c>
      <c r="AZ140" s="2" t="s">
        <v>74</v>
      </c>
      <c r="BA140" s="2" t="s">
        <v>74</v>
      </c>
      <c r="BB140" s="2">
        <v>112</v>
      </c>
      <c r="BC140" s="2">
        <v>119</v>
      </c>
      <c r="BD140" s="2" t="s">
        <v>74</v>
      </c>
      <c r="BE140" s="2" t="s">
        <v>7935</v>
      </c>
      <c r="BF140" s="2" t="str">
        <f>HYPERLINK("http://dx.doi.org/10.1016/j.applanim.2017.05.008","http://dx.doi.org/10.1016/j.applanim.2017.05.008")</f>
        <v>http://dx.doi.org/10.1016/j.applanim.2017.05.008</v>
      </c>
      <c r="BG140" s="2" t="s">
        <v>74</v>
      </c>
      <c r="BH140" s="2" t="s">
        <v>74</v>
      </c>
      <c r="BI140" s="2" t="s">
        <v>74</v>
      </c>
      <c r="BJ140" s="2" t="s">
        <v>74</v>
      </c>
      <c r="BK140" s="2" t="s">
        <v>74</v>
      </c>
      <c r="BL140" s="2" t="s">
        <v>74</v>
      </c>
      <c r="BM140" s="2" t="s">
        <v>74</v>
      </c>
      <c r="BN140" s="2" t="s">
        <v>74</v>
      </c>
      <c r="BO140" s="2" t="s">
        <v>74</v>
      </c>
      <c r="BP140" s="2" t="s">
        <v>74</v>
      </c>
      <c r="BQ140" s="2" t="s">
        <v>74</v>
      </c>
      <c r="BR140" s="2" t="s">
        <v>74</v>
      </c>
      <c r="BS140" s="2" t="s">
        <v>7936</v>
      </c>
      <c r="BT140" s="2" t="str">
        <f>HYPERLINK("https%3A%2F%2Fwww.webofscience.com%2Fwos%2Fwoscc%2Ffull-record%2FWOS:000408179000015","View Full Record in Web of Science")</f>
        <v>View Full Record in Web of Science</v>
      </c>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row>
    <row r="141" spans="1:314" s="2" customFormat="1" x14ac:dyDescent="0.4">
      <c r="A141" s="2" t="s">
        <v>72</v>
      </c>
      <c r="B141" s="2" t="s">
        <v>8614</v>
      </c>
      <c r="C141" s="2" t="s">
        <v>74</v>
      </c>
      <c r="D141" s="2" t="s">
        <v>74</v>
      </c>
      <c r="E141" s="2" t="s">
        <v>74</v>
      </c>
      <c r="F141" s="2" t="s">
        <v>8614</v>
      </c>
      <c r="G141" s="2" t="s">
        <v>74</v>
      </c>
      <c r="H141" s="2" t="s">
        <v>74</v>
      </c>
      <c r="I141" s="2" t="s">
        <v>8615</v>
      </c>
      <c r="J141" s="2" t="s">
        <v>140</v>
      </c>
      <c r="K141" s="2" t="s">
        <v>74</v>
      </c>
      <c r="L141" s="2" t="s">
        <v>74</v>
      </c>
      <c r="M141" s="2" t="s">
        <v>74</v>
      </c>
      <c r="N141" s="2" t="s">
        <v>74</v>
      </c>
      <c r="O141" s="2" t="s">
        <v>74</v>
      </c>
      <c r="P141" s="2" t="s">
        <v>74</v>
      </c>
      <c r="Q141" s="2" t="s">
        <v>74</v>
      </c>
      <c r="R141" s="2" t="s">
        <v>74</v>
      </c>
      <c r="S141" s="2" t="s">
        <v>74</v>
      </c>
      <c r="T141" s="2" t="s">
        <v>74</v>
      </c>
      <c r="U141" s="2" t="s">
        <v>74</v>
      </c>
      <c r="V141" s="5" t="s">
        <v>8616</v>
      </c>
      <c r="W141" s="2" t="s">
        <v>74</v>
      </c>
      <c r="X141" s="2" t="s">
        <v>74</v>
      </c>
      <c r="Y141" s="2" t="s">
        <v>74</v>
      </c>
      <c r="Z141" s="2" t="s">
        <v>74</v>
      </c>
      <c r="AA141" s="2" t="s">
        <v>8617</v>
      </c>
      <c r="AB141" s="2" t="s">
        <v>74</v>
      </c>
      <c r="AC141" s="2" t="s">
        <v>74</v>
      </c>
      <c r="AD141" s="2" t="s">
        <v>74</v>
      </c>
      <c r="AE141" s="2" t="s">
        <v>74</v>
      </c>
      <c r="AF141" s="2" t="s">
        <v>74</v>
      </c>
      <c r="AG141" s="2" t="s">
        <v>74</v>
      </c>
      <c r="AH141" s="2" t="s">
        <v>74</v>
      </c>
      <c r="AI141" s="2" t="s">
        <v>74</v>
      </c>
      <c r="AJ141" s="2" t="s">
        <v>74</v>
      </c>
      <c r="AK141" s="2" t="s">
        <v>74</v>
      </c>
      <c r="AL141" s="2" t="s">
        <v>74</v>
      </c>
      <c r="AM141" s="2" t="s">
        <v>74</v>
      </c>
      <c r="AN141" s="2" t="s">
        <v>74</v>
      </c>
      <c r="AO141" s="2" t="s">
        <v>143</v>
      </c>
      <c r="AP141" s="2" t="s">
        <v>144</v>
      </c>
      <c r="AQ141" s="2" t="s">
        <v>74</v>
      </c>
      <c r="AR141" s="2" t="s">
        <v>74</v>
      </c>
      <c r="AS141" s="2" t="s">
        <v>74</v>
      </c>
      <c r="AT141" s="2" t="s">
        <v>102</v>
      </c>
      <c r="AU141" s="2">
        <v>1996</v>
      </c>
      <c r="AV141" s="2">
        <v>51</v>
      </c>
      <c r="AW141" s="2" t="s">
        <v>74</v>
      </c>
      <c r="AX141" s="2">
        <v>6</v>
      </c>
      <c r="AY141" s="2" t="s">
        <v>74</v>
      </c>
      <c r="AZ141" s="2" t="s">
        <v>74</v>
      </c>
      <c r="BA141" s="2" t="s">
        <v>74</v>
      </c>
      <c r="BB141" s="2">
        <v>1233</v>
      </c>
      <c r="BC141" s="2">
        <v>1245</v>
      </c>
      <c r="BD141" s="2" t="s">
        <v>74</v>
      </c>
      <c r="BE141" s="2" t="s">
        <v>8618</v>
      </c>
      <c r="BF141" s="2" t="str">
        <f>HYPERLINK("http://dx.doi.org/10.1006/anbe.1996.0128","http://dx.doi.org/10.1006/anbe.1996.0128")</f>
        <v>http://dx.doi.org/10.1006/anbe.1996.0128</v>
      </c>
      <c r="BG141" s="2" t="s">
        <v>74</v>
      </c>
      <c r="BH141" s="2" t="s">
        <v>74</v>
      </c>
      <c r="BI141" s="2" t="s">
        <v>74</v>
      </c>
      <c r="BJ141" s="2" t="s">
        <v>74</v>
      </c>
      <c r="BK141" s="2" t="s">
        <v>74</v>
      </c>
      <c r="BL141" s="2" t="s">
        <v>74</v>
      </c>
      <c r="BM141" s="2" t="s">
        <v>74</v>
      </c>
      <c r="BN141" s="2" t="s">
        <v>74</v>
      </c>
      <c r="BO141" s="2" t="s">
        <v>74</v>
      </c>
      <c r="BP141" s="2" t="s">
        <v>74</v>
      </c>
      <c r="BQ141" s="2" t="s">
        <v>74</v>
      </c>
      <c r="BR141" s="2" t="s">
        <v>74</v>
      </c>
      <c r="BS141" s="2" t="s">
        <v>8619</v>
      </c>
      <c r="BT141" s="2" t="str">
        <f>HYPERLINK("https%3A%2F%2Fwww.webofscience.com%2Fwos%2Fwoscc%2Ffull-record%2FWOS:A1996UX10100004","View Full Record in Web of Science")</f>
        <v>View Full Record in Web of Science</v>
      </c>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row>
    <row r="142" spans="1:314" s="1" customFormat="1" x14ac:dyDescent="0.4">
      <c r="A142" s="2" t="s">
        <v>72</v>
      </c>
      <c r="B142" s="2" t="s">
        <v>2076</v>
      </c>
      <c r="C142" s="2" t="s">
        <v>74</v>
      </c>
      <c r="D142" s="2" t="s">
        <v>74</v>
      </c>
      <c r="E142" s="2" t="s">
        <v>74</v>
      </c>
      <c r="F142" s="2" t="s">
        <v>2077</v>
      </c>
      <c r="G142" s="2" t="s">
        <v>74</v>
      </c>
      <c r="H142" s="2" t="s">
        <v>74</v>
      </c>
      <c r="I142" s="2" t="s">
        <v>2078</v>
      </c>
      <c r="J142" s="2" t="s">
        <v>140</v>
      </c>
      <c r="K142" s="2" t="s">
        <v>74</v>
      </c>
      <c r="L142" s="2" t="s">
        <v>74</v>
      </c>
      <c r="M142" s="2" t="s">
        <v>74</v>
      </c>
      <c r="N142" s="2" t="s">
        <v>74</v>
      </c>
      <c r="O142" s="2" t="s">
        <v>74</v>
      </c>
      <c r="P142" s="2" t="s">
        <v>74</v>
      </c>
      <c r="Q142" s="2" t="s">
        <v>74</v>
      </c>
      <c r="R142" s="2" t="s">
        <v>74</v>
      </c>
      <c r="S142" s="2" t="s">
        <v>74</v>
      </c>
      <c r="T142" s="2" t="s">
        <v>74</v>
      </c>
      <c r="U142" s="2" t="s">
        <v>74</v>
      </c>
      <c r="V142" s="5" t="s">
        <v>2079</v>
      </c>
      <c r="W142" s="2" t="s">
        <v>74</v>
      </c>
      <c r="X142" s="2" t="s">
        <v>74</v>
      </c>
      <c r="Y142" s="2" t="s">
        <v>74</v>
      </c>
      <c r="Z142" s="2" t="s">
        <v>74</v>
      </c>
      <c r="AA142" s="2" t="s">
        <v>2080</v>
      </c>
      <c r="AB142" s="2" t="s">
        <v>2081</v>
      </c>
      <c r="AC142" s="2" t="s">
        <v>74</v>
      </c>
      <c r="AD142" s="2" t="s">
        <v>74</v>
      </c>
      <c r="AE142" s="2" t="s">
        <v>74</v>
      </c>
      <c r="AF142" s="2" t="s">
        <v>74</v>
      </c>
      <c r="AG142" s="2" t="s">
        <v>74</v>
      </c>
      <c r="AH142" s="2" t="s">
        <v>74</v>
      </c>
      <c r="AI142" s="2" t="s">
        <v>74</v>
      </c>
      <c r="AJ142" s="2" t="s">
        <v>74</v>
      </c>
      <c r="AK142" s="2" t="s">
        <v>74</v>
      </c>
      <c r="AL142" s="2" t="s">
        <v>74</v>
      </c>
      <c r="AM142" s="2" t="s">
        <v>74</v>
      </c>
      <c r="AN142" s="2" t="s">
        <v>74</v>
      </c>
      <c r="AO142" s="2" t="s">
        <v>143</v>
      </c>
      <c r="AP142" s="2" t="s">
        <v>144</v>
      </c>
      <c r="AQ142" s="2" t="s">
        <v>74</v>
      </c>
      <c r="AR142" s="2" t="s">
        <v>74</v>
      </c>
      <c r="AS142" s="2" t="s">
        <v>74</v>
      </c>
      <c r="AT142" s="2" t="s">
        <v>145</v>
      </c>
      <c r="AU142" s="2">
        <v>2020</v>
      </c>
      <c r="AV142" s="2">
        <v>166</v>
      </c>
      <c r="AW142" s="2" t="s">
        <v>74</v>
      </c>
      <c r="AX142" s="2" t="s">
        <v>74</v>
      </c>
      <c r="AY142" s="2" t="s">
        <v>74</v>
      </c>
      <c r="AZ142" s="2" t="s">
        <v>74</v>
      </c>
      <c r="BA142" s="2" t="s">
        <v>74</v>
      </c>
      <c r="BB142" s="2">
        <v>33</v>
      </c>
      <c r="BC142" s="2">
        <v>39</v>
      </c>
      <c r="BD142" s="2" t="s">
        <v>74</v>
      </c>
      <c r="BE142" s="2" t="s">
        <v>2082</v>
      </c>
      <c r="BF142" s="2" t="str">
        <f>HYPERLINK("http://dx.doi.org/10.1016/j.anbehav.2020.05.017","http://dx.doi.org/10.1016/j.anbehav.2020.05.017")</f>
        <v>http://dx.doi.org/10.1016/j.anbehav.2020.05.017</v>
      </c>
      <c r="BG142" s="2" t="s">
        <v>74</v>
      </c>
      <c r="BH142" s="2" t="s">
        <v>74</v>
      </c>
      <c r="BI142" s="2" t="s">
        <v>74</v>
      </c>
      <c r="BJ142" s="2" t="s">
        <v>74</v>
      </c>
      <c r="BK142" s="2" t="s">
        <v>74</v>
      </c>
      <c r="BL142" s="2" t="s">
        <v>74</v>
      </c>
      <c r="BM142" s="2" t="s">
        <v>74</v>
      </c>
      <c r="BN142" s="2" t="s">
        <v>74</v>
      </c>
      <c r="BO142" s="2" t="s">
        <v>74</v>
      </c>
      <c r="BP142" s="2" t="s">
        <v>74</v>
      </c>
      <c r="BQ142" s="2" t="s">
        <v>74</v>
      </c>
      <c r="BR142" s="2" t="s">
        <v>74</v>
      </c>
      <c r="BS142" s="2" t="s">
        <v>2083</v>
      </c>
      <c r="BT142" s="2" t="str">
        <f>HYPERLINK("https%3A%2F%2Fwww.webofscience.com%2Fwos%2Fwoscc%2Ffull-record%2FWOS:000555887500004","View Full Record in Web of Science")</f>
        <v>View Full Record in Web of Science</v>
      </c>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row>
    <row r="143" spans="1:314" s="2" customFormat="1" x14ac:dyDescent="0.4">
      <c r="A143" s="2" t="s">
        <v>72</v>
      </c>
      <c r="B143" s="2" t="s">
        <v>2263</v>
      </c>
      <c r="C143" s="2" t="s">
        <v>74</v>
      </c>
      <c r="D143" s="2" t="s">
        <v>74</v>
      </c>
      <c r="E143" s="2" t="s">
        <v>74</v>
      </c>
      <c r="F143" s="2" t="s">
        <v>2263</v>
      </c>
      <c r="G143" s="2" t="s">
        <v>74</v>
      </c>
      <c r="H143" s="2" t="s">
        <v>74</v>
      </c>
      <c r="I143" s="2" t="s">
        <v>2264</v>
      </c>
      <c r="J143" s="2" t="s">
        <v>2265</v>
      </c>
      <c r="K143" s="2" t="s">
        <v>74</v>
      </c>
      <c r="L143" s="2" t="s">
        <v>74</v>
      </c>
      <c r="M143" s="2" t="s">
        <v>74</v>
      </c>
      <c r="N143" s="2" t="s">
        <v>74</v>
      </c>
      <c r="O143" s="2" t="s">
        <v>74</v>
      </c>
      <c r="P143" s="2" t="s">
        <v>74</v>
      </c>
      <c r="Q143" s="2" t="s">
        <v>74</v>
      </c>
      <c r="R143" s="2" t="s">
        <v>74</v>
      </c>
      <c r="S143" s="2" t="s">
        <v>74</v>
      </c>
      <c r="T143" s="2" t="s">
        <v>74</v>
      </c>
      <c r="U143" s="2" t="s">
        <v>74</v>
      </c>
      <c r="V143" s="5" t="s">
        <v>2266</v>
      </c>
      <c r="W143" s="2" t="s">
        <v>74</v>
      </c>
      <c r="X143" s="2" t="s">
        <v>74</v>
      </c>
      <c r="Y143" s="2" t="s">
        <v>74</v>
      </c>
      <c r="Z143" s="2" t="s">
        <v>74</v>
      </c>
      <c r="AA143" s="2" t="s">
        <v>2267</v>
      </c>
      <c r="AB143" s="2" t="s">
        <v>2268</v>
      </c>
      <c r="AC143" s="2" t="s">
        <v>74</v>
      </c>
      <c r="AD143" s="2" t="s">
        <v>74</v>
      </c>
      <c r="AE143" s="2" t="s">
        <v>74</v>
      </c>
      <c r="AF143" s="2" t="s">
        <v>74</v>
      </c>
      <c r="AG143" s="2" t="s">
        <v>74</v>
      </c>
      <c r="AH143" s="2" t="s">
        <v>74</v>
      </c>
      <c r="AI143" s="2" t="s">
        <v>74</v>
      </c>
      <c r="AJ143" s="2" t="s">
        <v>74</v>
      </c>
      <c r="AK143" s="2" t="s">
        <v>74</v>
      </c>
      <c r="AL143" s="2" t="s">
        <v>74</v>
      </c>
      <c r="AM143" s="2" t="s">
        <v>74</v>
      </c>
      <c r="AN143" s="2" t="s">
        <v>74</v>
      </c>
      <c r="AO143" s="2" t="s">
        <v>2269</v>
      </c>
      <c r="AP143" s="2" t="s">
        <v>2270</v>
      </c>
      <c r="AQ143" s="2" t="s">
        <v>74</v>
      </c>
      <c r="AR143" s="2" t="s">
        <v>74</v>
      </c>
      <c r="AS143" s="2" t="s">
        <v>74</v>
      </c>
      <c r="AT143" s="2" t="s">
        <v>74</v>
      </c>
      <c r="AU143" s="2">
        <v>2004</v>
      </c>
      <c r="AV143" s="2">
        <v>28</v>
      </c>
      <c r="AW143" s="2">
        <v>1</v>
      </c>
      <c r="AX143" s="2" t="s">
        <v>74</v>
      </c>
      <c r="AY143" s="2" t="s">
        <v>74</v>
      </c>
      <c r="AZ143" s="2" t="s">
        <v>74</v>
      </c>
      <c r="BA143" s="2" t="s">
        <v>74</v>
      </c>
      <c r="BB143" s="2">
        <v>93</v>
      </c>
      <c r="BC143" s="2">
        <v>103</v>
      </c>
      <c r="BD143" s="2" t="s">
        <v>74</v>
      </c>
      <c r="BE143" s="2" t="s">
        <v>74</v>
      </c>
      <c r="BF143" s="2" t="s">
        <v>74</v>
      </c>
      <c r="BG143" s="2" t="s">
        <v>74</v>
      </c>
      <c r="BH143" s="2" t="s">
        <v>74</v>
      </c>
      <c r="BI143" s="2" t="s">
        <v>74</v>
      </c>
      <c r="BJ143" s="2" t="s">
        <v>74</v>
      </c>
      <c r="BK143" s="2" t="s">
        <v>74</v>
      </c>
      <c r="BL143" s="2" t="s">
        <v>74</v>
      </c>
      <c r="BM143" s="2" t="s">
        <v>74</v>
      </c>
      <c r="BN143" s="2" t="s">
        <v>74</v>
      </c>
      <c r="BO143" s="2" t="s">
        <v>74</v>
      </c>
      <c r="BP143" s="2" t="s">
        <v>74</v>
      </c>
      <c r="BQ143" s="2" t="s">
        <v>74</v>
      </c>
      <c r="BR143" s="2" t="s">
        <v>74</v>
      </c>
      <c r="BS143" s="2" t="s">
        <v>2271</v>
      </c>
      <c r="BT143" s="2" t="str">
        <f>HYPERLINK("https%3A%2F%2Fwww.webofscience.com%2Fwos%2Fwoscc%2Ffull-record%2FWOS:000223581700009","View Full Record in Web of Science")</f>
        <v>View Full Record in Web of Science</v>
      </c>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row>
    <row r="144" spans="1:314" s="2" customFormat="1" x14ac:dyDescent="0.4">
      <c r="A144" s="2" t="s">
        <v>72</v>
      </c>
      <c r="B144" s="2" t="s">
        <v>3775</v>
      </c>
      <c r="C144" s="2" t="s">
        <v>74</v>
      </c>
      <c r="D144" s="2" t="s">
        <v>74</v>
      </c>
      <c r="E144" s="2" t="s">
        <v>74</v>
      </c>
      <c r="F144" s="2" t="s">
        <v>3776</v>
      </c>
      <c r="G144" s="2" t="s">
        <v>74</v>
      </c>
      <c r="H144" s="2" t="s">
        <v>74</v>
      </c>
      <c r="I144" s="2" t="s">
        <v>3777</v>
      </c>
      <c r="J144" s="2" t="s">
        <v>691</v>
      </c>
      <c r="K144" s="2" t="s">
        <v>74</v>
      </c>
      <c r="L144" s="2" t="s">
        <v>74</v>
      </c>
      <c r="M144" s="2" t="s">
        <v>74</v>
      </c>
      <c r="N144" s="2" t="s">
        <v>74</v>
      </c>
      <c r="O144" s="2" t="s">
        <v>74</v>
      </c>
      <c r="P144" s="2" t="s">
        <v>74</v>
      </c>
      <c r="Q144" s="2" t="s">
        <v>74</v>
      </c>
      <c r="R144" s="2" t="s">
        <v>74</v>
      </c>
      <c r="S144" s="2" t="s">
        <v>74</v>
      </c>
      <c r="T144" s="2" t="s">
        <v>74</v>
      </c>
      <c r="U144" s="2" t="s">
        <v>74</v>
      </c>
      <c r="V144" s="5" t="s">
        <v>3778</v>
      </c>
      <c r="W144" s="2" t="s">
        <v>74</v>
      </c>
      <c r="X144" s="2" t="s">
        <v>74</v>
      </c>
      <c r="Y144" s="2" t="s">
        <v>74</v>
      </c>
      <c r="Z144" s="2" t="s">
        <v>74</v>
      </c>
      <c r="AA144" s="2" t="s">
        <v>3779</v>
      </c>
      <c r="AB144" s="2" t="s">
        <v>3780</v>
      </c>
      <c r="AC144" s="2" t="s">
        <v>74</v>
      </c>
      <c r="AD144" s="2" t="s">
        <v>74</v>
      </c>
      <c r="AE144" s="2" t="s">
        <v>74</v>
      </c>
      <c r="AF144" s="2" t="s">
        <v>74</v>
      </c>
      <c r="AG144" s="2" t="s">
        <v>74</v>
      </c>
      <c r="AH144" s="2" t="s">
        <v>74</v>
      </c>
      <c r="AI144" s="2" t="s">
        <v>74</v>
      </c>
      <c r="AJ144" s="2" t="s">
        <v>74</v>
      </c>
      <c r="AK144" s="2" t="s">
        <v>74</v>
      </c>
      <c r="AL144" s="2" t="s">
        <v>74</v>
      </c>
      <c r="AM144" s="2" t="s">
        <v>74</v>
      </c>
      <c r="AN144" s="2" t="s">
        <v>74</v>
      </c>
      <c r="AO144" s="2" t="s">
        <v>695</v>
      </c>
      <c r="AP144" s="2" t="s">
        <v>74</v>
      </c>
      <c r="AQ144" s="2" t="s">
        <v>74</v>
      </c>
      <c r="AR144" s="2" t="s">
        <v>74</v>
      </c>
      <c r="AS144" s="2" t="s">
        <v>74</v>
      </c>
      <c r="AT144" s="2" t="s">
        <v>255</v>
      </c>
      <c r="AU144" s="2">
        <v>2015</v>
      </c>
      <c r="AV144" s="2">
        <v>138</v>
      </c>
      <c r="AW144" s="2" t="s">
        <v>74</v>
      </c>
      <c r="AX144" s="2" t="s">
        <v>74</v>
      </c>
      <c r="AY144" s="2" t="s">
        <v>74</v>
      </c>
      <c r="AZ144" s="2" t="s">
        <v>74</v>
      </c>
      <c r="BA144" s="2" t="s">
        <v>74</v>
      </c>
      <c r="BB144" s="2">
        <v>52</v>
      </c>
      <c r="BC144" s="2">
        <v>57</v>
      </c>
      <c r="BD144" s="2" t="s">
        <v>74</v>
      </c>
      <c r="BE144" s="2" t="s">
        <v>3781</v>
      </c>
      <c r="BF144" s="2" t="str">
        <f>HYPERLINK("http://dx.doi.org/10.1016/j.physbeh.2014.10.003","http://dx.doi.org/10.1016/j.physbeh.2014.10.003")</f>
        <v>http://dx.doi.org/10.1016/j.physbeh.2014.10.003</v>
      </c>
      <c r="BG144" s="2" t="s">
        <v>74</v>
      </c>
      <c r="BH144" s="2" t="s">
        <v>74</v>
      </c>
      <c r="BI144" s="2" t="s">
        <v>74</v>
      </c>
      <c r="BJ144" s="2" t="s">
        <v>74</v>
      </c>
      <c r="BK144" s="2" t="s">
        <v>74</v>
      </c>
      <c r="BL144" s="2" t="s">
        <v>74</v>
      </c>
      <c r="BM144" s="2" t="s">
        <v>74</v>
      </c>
      <c r="BN144" s="2">
        <v>25447479</v>
      </c>
      <c r="BO144" s="2" t="s">
        <v>74</v>
      </c>
      <c r="BP144" s="2" t="s">
        <v>74</v>
      </c>
      <c r="BQ144" s="2" t="s">
        <v>74</v>
      </c>
      <c r="BR144" s="2" t="s">
        <v>74</v>
      </c>
      <c r="BS144" s="2" t="s">
        <v>3782</v>
      </c>
      <c r="BT144" s="2" t="str">
        <f>HYPERLINK("https%3A%2F%2Fwww.webofscience.com%2Fwos%2Fwoscc%2Ffull-record%2FWOS:000348882900007","View Full Record in Web of Science")</f>
        <v>View Full Record in Web of Science</v>
      </c>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row>
    <row r="145" spans="1:314" s="2" customFormat="1" x14ac:dyDescent="0.4">
      <c r="A145" s="2" t="s">
        <v>72</v>
      </c>
      <c r="B145" s="2" t="s">
        <v>3544</v>
      </c>
      <c r="C145" s="2" t="s">
        <v>74</v>
      </c>
      <c r="D145" s="2" t="s">
        <v>74</v>
      </c>
      <c r="E145" s="2" t="s">
        <v>74</v>
      </c>
      <c r="F145" s="2" t="s">
        <v>3545</v>
      </c>
      <c r="G145" s="2" t="s">
        <v>74</v>
      </c>
      <c r="H145" s="2" t="s">
        <v>74</v>
      </c>
      <c r="I145" s="2" t="s">
        <v>3546</v>
      </c>
      <c r="J145" s="2" t="s">
        <v>731</v>
      </c>
      <c r="K145" s="2" t="s">
        <v>74</v>
      </c>
      <c r="L145" s="2" t="s">
        <v>74</v>
      </c>
      <c r="M145" s="2" t="s">
        <v>74</v>
      </c>
      <c r="N145" s="2" t="s">
        <v>74</v>
      </c>
      <c r="O145" s="2" t="s">
        <v>74</v>
      </c>
      <c r="P145" s="2" t="s">
        <v>74</v>
      </c>
      <c r="Q145" s="2" t="s">
        <v>74</v>
      </c>
      <c r="R145" s="2" t="s">
        <v>74</v>
      </c>
      <c r="S145" s="2" t="s">
        <v>74</v>
      </c>
      <c r="T145" s="2" t="s">
        <v>74</v>
      </c>
      <c r="U145" s="2" t="s">
        <v>74</v>
      </c>
      <c r="V145" s="5" t="s">
        <v>3547</v>
      </c>
      <c r="W145" s="2" t="s">
        <v>74</v>
      </c>
      <c r="X145" s="2" t="s">
        <v>74</v>
      </c>
      <c r="Y145" s="2" t="s">
        <v>74</v>
      </c>
      <c r="Z145" s="2" t="s">
        <v>74</v>
      </c>
      <c r="AA145" s="2" t="s">
        <v>3548</v>
      </c>
      <c r="AB145" s="2" t="s">
        <v>3549</v>
      </c>
      <c r="AC145" s="2" t="s">
        <v>74</v>
      </c>
      <c r="AD145" s="2" t="s">
        <v>74</v>
      </c>
      <c r="AE145" s="2" t="s">
        <v>74</v>
      </c>
      <c r="AF145" s="2" t="s">
        <v>74</v>
      </c>
      <c r="AG145" s="2" t="s">
        <v>74</v>
      </c>
      <c r="AH145" s="2" t="s">
        <v>74</v>
      </c>
      <c r="AI145" s="2" t="s">
        <v>74</v>
      </c>
      <c r="AJ145" s="2" t="s">
        <v>74</v>
      </c>
      <c r="AK145" s="2" t="s">
        <v>74</v>
      </c>
      <c r="AL145" s="2" t="s">
        <v>74</v>
      </c>
      <c r="AM145" s="2" t="s">
        <v>74</v>
      </c>
      <c r="AN145" s="2" t="s">
        <v>74</v>
      </c>
      <c r="AO145" s="2" t="s">
        <v>733</v>
      </c>
      <c r="AP145" s="2" t="s">
        <v>734</v>
      </c>
      <c r="AQ145" s="2" t="s">
        <v>74</v>
      </c>
      <c r="AR145" s="2" t="s">
        <v>74</v>
      </c>
      <c r="AS145" s="2" t="s">
        <v>74</v>
      </c>
      <c r="AT145" s="2" t="s">
        <v>3445</v>
      </c>
      <c r="AU145" s="2">
        <v>2015</v>
      </c>
      <c r="AV145" s="2">
        <v>291</v>
      </c>
      <c r="AW145" s="2" t="s">
        <v>74</v>
      </c>
      <c r="AX145" s="2" t="s">
        <v>74</v>
      </c>
      <c r="AY145" s="2" t="s">
        <v>74</v>
      </c>
      <c r="AZ145" s="2" t="s">
        <v>74</v>
      </c>
      <c r="BA145" s="2" t="s">
        <v>74</v>
      </c>
      <c r="BB145" s="2">
        <v>103</v>
      </c>
      <c r="BC145" s="2">
        <v>107</v>
      </c>
      <c r="BD145" s="2" t="s">
        <v>74</v>
      </c>
      <c r="BE145" s="2" t="s">
        <v>3550</v>
      </c>
      <c r="BF145" s="2" t="str">
        <f>HYPERLINK("http://dx.doi.org/10.1016/j.bbr.2015.05.011","http://dx.doi.org/10.1016/j.bbr.2015.05.011")</f>
        <v>http://dx.doi.org/10.1016/j.bbr.2015.05.011</v>
      </c>
      <c r="BG145" s="2" t="s">
        <v>74</v>
      </c>
      <c r="BH145" s="2" t="s">
        <v>74</v>
      </c>
      <c r="BI145" s="2" t="s">
        <v>74</v>
      </c>
      <c r="BJ145" s="2" t="s">
        <v>74</v>
      </c>
      <c r="BK145" s="2" t="s">
        <v>74</v>
      </c>
      <c r="BL145" s="2" t="s">
        <v>74</v>
      </c>
      <c r="BM145" s="2" t="s">
        <v>74</v>
      </c>
      <c r="BN145" s="2">
        <v>25997582</v>
      </c>
      <c r="BO145" s="2" t="s">
        <v>74</v>
      </c>
      <c r="BP145" s="2" t="s">
        <v>74</v>
      </c>
      <c r="BQ145" s="2" t="s">
        <v>74</v>
      </c>
      <c r="BR145" s="2" t="s">
        <v>74</v>
      </c>
      <c r="BS145" s="2" t="s">
        <v>3551</v>
      </c>
      <c r="BT145" s="2" t="str">
        <f>HYPERLINK("https%3A%2F%2Fwww.webofscience.com%2Fwos%2Fwoscc%2Ffull-record%2FWOS:000358454800012","View Full Record in Web of Science")</f>
        <v>View Full Record in Web of Science</v>
      </c>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row>
    <row r="146" spans="1:314" s="2" customFormat="1" x14ac:dyDescent="0.4">
      <c r="A146" s="2" t="s">
        <v>72</v>
      </c>
      <c r="B146" s="2" t="s">
        <v>289</v>
      </c>
      <c r="C146" s="2" t="s">
        <v>74</v>
      </c>
      <c r="D146" s="2" t="s">
        <v>74</v>
      </c>
      <c r="E146" s="2" t="s">
        <v>74</v>
      </c>
      <c r="F146" s="2" t="s">
        <v>290</v>
      </c>
      <c r="G146" s="2" t="s">
        <v>74</v>
      </c>
      <c r="H146" s="2" t="s">
        <v>74</v>
      </c>
      <c r="I146" s="2" t="s">
        <v>291</v>
      </c>
      <c r="J146" s="2" t="s">
        <v>140</v>
      </c>
      <c r="K146" s="2" t="s">
        <v>74</v>
      </c>
      <c r="L146" s="2" t="s">
        <v>74</v>
      </c>
      <c r="M146" s="2" t="s">
        <v>74</v>
      </c>
      <c r="N146" s="2" t="s">
        <v>74</v>
      </c>
      <c r="O146" s="2" t="s">
        <v>74</v>
      </c>
      <c r="P146" s="2" t="s">
        <v>74</v>
      </c>
      <c r="Q146" s="2" t="s">
        <v>74</v>
      </c>
      <c r="R146" s="2" t="s">
        <v>74</v>
      </c>
      <c r="S146" s="2" t="s">
        <v>74</v>
      </c>
      <c r="T146" s="2" t="s">
        <v>74</v>
      </c>
      <c r="U146" s="2" t="s">
        <v>74</v>
      </c>
      <c r="V146" s="5" t="s">
        <v>292</v>
      </c>
      <c r="W146" s="2" t="s">
        <v>74</v>
      </c>
      <c r="X146" s="2" t="s">
        <v>74</v>
      </c>
      <c r="Y146" s="2" t="s">
        <v>74</v>
      </c>
      <c r="Z146" s="2" t="s">
        <v>74</v>
      </c>
      <c r="AA146" s="2" t="s">
        <v>74</v>
      </c>
      <c r="AB146" s="2" t="s">
        <v>293</v>
      </c>
      <c r="AC146" s="2" t="s">
        <v>74</v>
      </c>
      <c r="AD146" s="2" t="s">
        <v>74</v>
      </c>
      <c r="AE146" s="2" t="s">
        <v>74</v>
      </c>
      <c r="AF146" s="2" t="s">
        <v>74</v>
      </c>
      <c r="AG146" s="2" t="s">
        <v>74</v>
      </c>
      <c r="AH146" s="2" t="s">
        <v>74</v>
      </c>
      <c r="AI146" s="2" t="s">
        <v>74</v>
      </c>
      <c r="AJ146" s="2" t="s">
        <v>74</v>
      </c>
      <c r="AK146" s="2" t="s">
        <v>74</v>
      </c>
      <c r="AL146" s="2" t="s">
        <v>74</v>
      </c>
      <c r="AM146" s="2" t="s">
        <v>74</v>
      </c>
      <c r="AN146" s="2" t="s">
        <v>74</v>
      </c>
      <c r="AO146" s="2" t="s">
        <v>143</v>
      </c>
      <c r="AP146" s="2" t="s">
        <v>144</v>
      </c>
      <c r="AQ146" s="2" t="s">
        <v>74</v>
      </c>
      <c r="AR146" s="2" t="s">
        <v>74</v>
      </c>
      <c r="AS146" s="2" t="s">
        <v>74</v>
      </c>
      <c r="AT146" s="2" t="s">
        <v>175</v>
      </c>
      <c r="AU146" s="2">
        <v>2015</v>
      </c>
      <c r="AV146" s="2">
        <v>108</v>
      </c>
      <c r="AW146" s="2" t="s">
        <v>74</v>
      </c>
      <c r="AX146" s="2" t="s">
        <v>74</v>
      </c>
      <c r="AY146" s="2" t="s">
        <v>74</v>
      </c>
      <c r="AZ146" s="2" t="s">
        <v>74</v>
      </c>
      <c r="BA146" s="2" t="s">
        <v>74</v>
      </c>
      <c r="BB146" s="2">
        <v>199</v>
      </c>
      <c r="BC146" s="2">
        <v>206</v>
      </c>
      <c r="BD146" s="2" t="s">
        <v>74</v>
      </c>
      <c r="BE146" s="2" t="s">
        <v>294</v>
      </c>
      <c r="BF146" s="2" t="str">
        <f>HYPERLINK("http://dx.doi.org/10.1016/j.anbehav.2015.07.026","http://dx.doi.org/10.1016/j.anbehav.2015.07.026")</f>
        <v>http://dx.doi.org/10.1016/j.anbehav.2015.07.026</v>
      </c>
      <c r="BG146" s="2" t="s">
        <v>74</v>
      </c>
      <c r="BH146" s="2" t="s">
        <v>74</v>
      </c>
      <c r="BI146" s="2" t="s">
        <v>74</v>
      </c>
      <c r="BJ146" s="2" t="s">
        <v>74</v>
      </c>
      <c r="BK146" s="2" t="s">
        <v>74</v>
      </c>
      <c r="BL146" s="2" t="s">
        <v>74</v>
      </c>
      <c r="BM146" s="2" t="s">
        <v>74</v>
      </c>
      <c r="BN146" s="2">
        <v>29657330</v>
      </c>
      <c r="BO146" s="2" t="s">
        <v>74</v>
      </c>
      <c r="BP146" s="2" t="s">
        <v>74</v>
      </c>
      <c r="BQ146" s="2" t="s">
        <v>74</v>
      </c>
      <c r="BR146" s="2" t="s">
        <v>74</v>
      </c>
      <c r="BS146" s="2" t="s">
        <v>295</v>
      </c>
      <c r="BT146" s="2" t="str">
        <f>HYPERLINK("https%3A%2F%2Fwww.webofscience.com%2Fwos%2Fwoscc%2Ffull-record%2FWOS:000361570000024","View Full Record in Web of Science")</f>
        <v>View Full Record in Web of Science</v>
      </c>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row>
    <row r="147" spans="1:314" s="2" customFormat="1" x14ac:dyDescent="0.4">
      <c r="A147" s="2" t="s">
        <v>72</v>
      </c>
      <c r="B147" s="2" t="s">
        <v>5991</v>
      </c>
      <c r="C147" s="2" t="s">
        <v>74</v>
      </c>
      <c r="D147" s="2" t="s">
        <v>74</v>
      </c>
      <c r="E147" s="2" t="s">
        <v>74</v>
      </c>
      <c r="F147" s="2" t="s">
        <v>5992</v>
      </c>
      <c r="G147" s="2" t="s">
        <v>74</v>
      </c>
      <c r="H147" s="2" t="s">
        <v>74</v>
      </c>
      <c r="I147" s="2" t="s">
        <v>5993</v>
      </c>
      <c r="J147" s="2" t="s">
        <v>5994</v>
      </c>
      <c r="K147" s="2" t="s">
        <v>74</v>
      </c>
      <c r="L147" s="2" t="s">
        <v>74</v>
      </c>
      <c r="M147" s="2" t="s">
        <v>74</v>
      </c>
      <c r="N147" s="2" t="s">
        <v>74</v>
      </c>
      <c r="O147" s="2" t="s">
        <v>74</v>
      </c>
      <c r="P147" s="2" t="s">
        <v>74</v>
      </c>
      <c r="Q147" s="2" t="s">
        <v>74</v>
      </c>
      <c r="R147" s="2" t="s">
        <v>74</v>
      </c>
      <c r="S147" s="2" t="s">
        <v>74</v>
      </c>
      <c r="T147" s="2" t="s">
        <v>74</v>
      </c>
      <c r="U147" s="2" t="s">
        <v>74</v>
      </c>
      <c r="V147" s="5" t="s">
        <v>5995</v>
      </c>
      <c r="W147" s="2" t="s">
        <v>74</v>
      </c>
      <c r="X147" s="2" t="s">
        <v>74</v>
      </c>
      <c r="Y147" s="2" t="s">
        <v>74</v>
      </c>
      <c r="Z147" s="2" t="s">
        <v>74</v>
      </c>
      <c r="AA147" s="2" t="s">
        <v>74</v>
      </c>
      <c r="AB147" s="2" t="s">
        <v>74</v>
      </c>
      <c r="AC147" s="2" t="s">
        <v>74</v>
      </c>
      <c r="AD147" s="2" t="s">
        <v>74</v>
      </c>
      <c r="AE147" s="2" t="s">
        <v>74</v>
      </c>
      <c r="AF147" s="2" t="s">
        <v>74</v>
      </c>
      <c r="AG147" s="2" t="s">
        <v>74</v>
      </c>
      <c r="AH147" s="2" t="s">
        <v>74</v>
      </c>
      <c r="AI147" s="2" t="s">
        <v>74</v>
      </c>
      <c r="AJ147" s="2" t="s">
        <v>74</v>
      </c>
      <c r="AK147" s="2" t="s">
        <v>74</v>
      </c>
      <c r="AL147" s="2" t="s">
        <v>74</v>
      </c>
      <c r="AM147" s="2" t="s">
        <v>74</v>
      </c>
      <c r="AN147" s="2" t="s">
        <v>74</v>
      </c>
      <c r="AO147" s="2" t="s">
        <v>5996</v>
      </c>
      <c r="AP147" s="2" t="s">
        <v>5997</v>
      </c>
      <c r="AQ147" s="2" t="s">
        <v>74</v>
      </c>
      <c r="AR147" s="2" t="s">
        <v>74</v>
      </c>
      <c r="AS147" s="2" t="s">
        <v>74</v>
      </c>
      <c r="AT147" s="2" t="s">
        <v>305</v>
      </c>
      <c r="AU147" s="2">
        <v>2022</v>
      </c>
      <c r="AV147" s="2">
        <v>45</v>
      </c>
      <c r="AW147" s="2">
        <v>4</v>
      </c>
      <c r="AX147" s="2" t="s">
        <v>74</v>
      </c>
      <c r="AY147" s="2" t="s">
        <v>74</v>
      </c>
      <c r="AZ147" s="2" t="s">
        <v>74</v>
      </c>
      <c r="BA147" s="2" t="s">
        <v>74</v>
      </c>
      <c r="BB147" s="2">
        <v>461</v>
      </c>
      <c r="BC147" s="2">
        <v>466</v>
      </c>
      <c r="BD147" s="2" t="s">
        <v>74</v>
      </c>
      <c r="BE147" s="2" t="s">
        <v>5998</v>
      </c>
      <c r="BF147" s="2" t="str">
        <f>HYPERLINK("http://dx.doi.org/10.1675/063.045.0410","http://dx.doi.org/10.1675/063.045.0410")</f>
        <v>http://dx.doi.org/10.1675/063.045.0410</v>
      </c>
      <c r="BG147" s="2" t="s">
        <v>74</v>
      </c>
      <c r="BH147" s="2" t="s">
        <v>74</v>
      </c>
      <c r="BI147" s="2" t="s">
        <v>74</v>
      </c>
      <c r="BJ147" s="2" t="s">
        <v>74</v>
      </c>
      <c r="BK147" s="2" t="s">
        <v>74</v>
      </c>
      <c r="BL147" s="2" t="s">
        <v>74</v>
      </c>
      <c r="BM147" s="2" t="s">
        <v>74</v>
      </c>
      <c r="BN147" s="2" t="s">
        <v>74</v>
      </c>
      <c r="BO147" s="2" t="s">
        <v>74</v>
      </c>
      <c r="BP147" s="2" t="s">
        <v>74</v>
      </c>
      <c r="BQ147" s="2" t="s">
        <v>74</v>
      </c>
      <c r="BR147" s="2" t="s">
        <v>74</v>
      </c>
      <c r="BS147" s="2" t="s">
        <v>5999</v>
      </c>
      <c r="BT147" s="2" t="str">
        <f>HYPERLINK("https%3A%2F%2Fwww.webofscience.com%2Fwos%2Fwoscc%2Ffull-record%2FWOS:001075551200010","View Full Record in Web of Science")</f>
        <v>View Full Record in Web of Science</v>
      </c>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row>
    <row r="148" spans="1:314" s="2" customFormat="1" x14ac:dyDescent="0.4">
      <c r="A148" s="2" t="s">
        <v>72</v>
      </c>
      <c r="B148" s="2" t="s">
        <v>4386</v>
      </c>
      <c r="C148" s="2" t="s">
        <v>74</v>
      </c>
      <c r="D148" s="2" t="s">
        <v>74</v>
      </c>
      <c r="E148" s="2" t="s">
        <v>74</v>
      </c>
      <c r="F148" s="2" t="s">
        <v>4386</v>
      </c>
      <c r="G148" s="2" t="s">
        <v>74</v>
      </c>
      <c r="H148" s="2" t="s">
        <v>74</v>
      </c>
      <c r="I148" s="2" t="s">
        <v>4387</v>
      </c>
      <c r="J148" s="2" t="s">
        <v>333</v>
      </c>
      <c r="K148" s="2" t="s">
        <v>74</v>
      </c>
      <c r="L148" s="2" t="s">
        <v>74</v>
      </c>
      <c r="M148" s="2" t="s">
        <v>74</v>
      </c>
      <c r="N148" s="2" t="s">
        <v>74</v>
      </c>
      <c r="O148" s="2" t="s">
        <v>74</v>
      </c>
      <c r="P148" s="2" t="s">
        <v>74</v>
      </c>
      <c r="Q148" s="2" t="s">
        <v>74</v>
      </c>
      <c r="R148" s="2" t="s">
        <v>74</v>
      </c>
      <c r="S148" s="2" t="s">
        <v>74</v>
      </c>
      <c r="T148" s="2" t="s">
        <v>74</v>
      </c>
      <c r="U148" s="2" t="s">
        <v>74</v>
      </c>
      <c r="V148" s="5" t="s">
        <v>4388</v>
      </c>
      <c r="W148" s="2" t="s">
        <v>74</v>
      </c>
      <c r="X148" s="2" t="s">
        <v>74</v>
      </c>
      <c r="Y148" s="2" t="s">
        <v>74</v>
      </c>
      <c r="Z148" s="2" t="s">
        <v>74</v>
      </c>
      <c r="AA148" s="2" t="s">
        <v>74</v>
      </c>
      <c r="AB148" s="2" t="s">
        <v>74</v>
      </c>
      <c r="AC148" s="2" t="s">
        <v>74</v>
      </c>
      <c r="AD148" s="2" t="s">
        <v>74</v>
      </c>
      <c r="AE148" s="2" t="s">
        <v>74</v>
      </c>
      <c r="AF148" s="2" t="s">
        <v>74</v>
      </c>
      <c r="AG148" s="2" t="s">
        <v>74</v>
      </c>
      <c r="AH148" s="2" t="s">
        <v>74</v>
      </c>
      <c r="AI148" s="2" t="s">
        <v>74</v>
      </c>
      <c r="AJ148" s="2" t="s">
        <v>74</v>
      </c>
      <c r="AK148" s="2" t="s">
        <v>74</v>
      </c>
      <c r="AL148" s="2" t="s">
        <v>74</v>
      </c>
      <c r="AM148" s="2" t="s">
        <v>74</v>
      </c>
      <c r="AN148" s="2" t="s">
        <v>74</v>
      </c>
      <c r="AO148" s="2" t="s">
        <v>337</v>
      </c>
      <c r="AP148" s="2" t="s">
        <v>338</v>
      </c>
      <c r="AQ148" s="2" t="s">
        <v>74</v>
      </c>
      <c r="AR148" s="2" t="s">
        <v>74</v>
      </c>
      <c r="AS148" s="2" t="s">
        <v>74</v>
      </c>
      <c r="AT148" s="2" t="s">
        <v>1013</v>
      </c>
      <c r="AU148" s="2">
        <v>1997</v>
      </c>
      <c r="AV148" s="2">
        <v>8</v>
      </c>
      <c r="AW148" s="2">
        <v>5</v>
      </c>
      <c r="AX148" s="2" t="s">
        <v>74</v>
      </c>
      <c r="AY148" s="2" t="s">
        <v>74</v>
      </c>
      <c r="AZ148" s="2" t="s">
        <v>74</v>
      </c>
      <c r="BA148" s="2" t="s">
        <v>74</v>
      </c>
      <c r="BB148" s="2">
        <v>506</v>
      </c>
      <c r="BC148" s="2">
        <v>517</v>
      </c>
      <c r="BD148" s="2" t="s">
        <v>74</v>
      </c>
      <c r="BE148" s="2" t="s">
        <v>4389</v>
      </c>
      <c r="BF148" s="2" t="str">
        <f>HYPERLINK("http://dx.doi.org/10.1093/beheco/8.5.506","http://dx.doi.org/10.1093/beheco/8.5.506")</f>
        <v>http://dx.doi.org/10.1093/beheco/8.5.506</v>
      </c>
      <c r="BG148" s="2" t="s">
        <v>74</v>
      </c>
      <c r="BH148" s="2" t="s">
        <v>74</v>
      </c>
      <c r="BI148" s="2" t="s">
        <v>74</v>
      </c>
      <c r="BJ148" s="2" t="s">
        <v>74</v>
      </c>
      <c r="BK148" s="2" t="s">
        <v>74</v>
      </c>
      <c r="BL148" s="2" t="s">
        <v>74</v>
      </c>
      <c r="BM148" s="2" t="s">
        <v>74</v>
      </c>
      <c r="BN148" s="2" t="s">
        <v>74</v>
      </c>
      <c r="BO148" s="2" t="s">
        <v>74</v>
      </c>
      <c r="BP148" s="2" t="s">
        <v>74</v>
      </c>
      <c r="BQ148" s="2" t="s">
        <v>74</v>
      </c>
      <c r="BR148" s="2" t="s">
        <v>74</v>
      </c>
      <c r="BS148" s="2" t="s">
        <v>4390</v>
      </c>
      <c r="BT148" s="2" t="str">
        <f>HYPERLINK("https%3A%2F%2Fwww.webofscience.com%2Fwos%2Fwoscc%2Ffull-record%2FWOS:A1997XX33800006","View Full Record in Web of Science")</f>
        <v>View Full Record in Web of Science</v>
      </c>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row>
    <row r="149" spans="1:314" s="2" customFormat="1" x14ac:dyDescent="0.4">
      <c r="A149" s="2" t="s">
        <v>72</v>
      </c>
      <c r="B149" s="2" t="s">
        <v>5001</v>
      </c>
      <c r="C149" s="2" t="s">
        <v>74</v>
      </c>
      <c r="D149" s="2" t="s">
        <v>74</v>
      </c>
      <c r="E149" s="2" t="s">
        <v>74</v>
      </c>
      <c r="F149" s="2" t="s">
        <v>5001</v>
      </c>
      <c r="G149" s="2" t="s">
        <v>74</v>
      </c>
      <c r="H149" s="2" t="s">
        <v>74</v>
      </c>
      <c r="I149" s="2" t="s">
        <v>5002</v>
      </c>
      <c r="J149" s="2" t="s">
        <v>1673</v>
      </c>
      <c r="K149" s="2" t="s">
        <v>74</v>
      </c>
      <c r="L149" s="2" t="s">
        <v>74</v>
      </c>
      <c r="M149" s="2" t="s">
        <v>74</v>
      </c>
      <c r="N149" s="2" t="s">
        <v>74</v>
      </c>
      <c r="O149" s="2" t="s">
        <v>74</v>
      </c>
      <c r="P149" s="2" t="s">
        <v>74</v>
      </c>
      <c r="Q149" s="2" t="s">
        <v>74</v>
      </c>
      <c r="R149" s="2" t="s">
        <v>74</v>
      </c>
      <c r="S149" s="2" t="s">
        <v>74</v>
      </c>
      <c r="T149" s="2" t="s">
        <v>74</v>
      </c>
      <c r="U149" s="2" t="s">
        <v>74</v>
      </c>
      <c r="V149" s="5" t="s">
        <v>5003</v>
      </c>
      <c r="W149" s="2" t="s">
        <v>74</v>
      </c>
      <c r="X149" s="2" t="s">
        <v>74</v>
      </c>
      <c r="Y149" s="2" t="s">
        <v>74</v>
      </c>
      <c r="Z149" s="2" t="s">
        <v>74</v>
      </c>
      <c r="AA149" s="2" t="s">
        <v>5004</v>
      </c>
      <c r="AB149" s="2" t="s">
        <v>5005</v>
      </c>
      <c r="AC149" s="2" t="s">
        <v>74</v>
      </c>
      <c r="AD149" s="2" t="s">
        <v>74</v>
      </c>
      <c r="AE149" s="2" t="s">
        <v>74</v>
      </c>
      <c r="AF149" s="2" t="s">
        <v>74</v>
      </c>
      <c r="AG149" s="2" t="s">
        <v>74</v>
      </c>
      <c r="AH149" s="2" t="s">
        <v>74</v>
      </c>
      <c r="AI149" s="2" t="s">
        <v>74</v>
      </c>
      <c r="AJ149" s="2" t="s">
        <v>74</v>
      </c>
      <c r="AK149" s="2" t="s">
        <v>74</v>
      </c>
      <c r="AL149" s="2" t="s">
        <v>74</v>
      </c>
      <c r="AM149" s="2" t="s">
        <v>74</v>
      </c>
      <c r="AN149" s="2" t="s">
        <v>74</v>
      </c>
      <c r="AO149" s="2" t="s">
        <v>1239</v>
      </c>
      <c r="AP149" s="2" t="s">
        <v>1675</v>
      </c>
      <c r="AQ149" s="2" t="s">
        <v>74</v>
      </c>
      <c r="AR149" s="2" t="s">
        <v>74</v>
      </c>
      <c r="AS149" s="2" t="s">
        <v>74</v>
      </c>
      <c r="AT149" s="2" t="s">
        <v>213</v>
      </c>
      <c r="AU149" s="2">
        <v>2003</v>
      </c>
      <c r="AV149" s="2">
        <v>81</v>
      </c>
      <c r="AW149" s="2">
        <v>11</v>
      </c>
      <c r="AX149" s="2" t="s">
        <v>74</v>
      </c>
      <c r="AY149" s="2" t="s">
        <v>74</v>
      </c>
      <c r="AZ149" s="2" t="s">
        <v>74</v>
      </c>
      <c r="BA149" s="2" t="s">
        <v>74</v>
      </c>
      <c r="BB149" s="2">
        <v>1781</v>
      </c>
      <c r="BC149" s="2">
        <v>1790</v>
      </c>
      <c r="BD149" s="2" t="s">
        <v>74</v>
      </c>
      <c r="BE149" s="2" t="s">
        <v>5006</v>
      </c>
      <c r="BF149" s="2" t="str">
        <f>HYPERLINK("http://dx.doi.org/10.1139/Z03-178","http://dx.doi.org/10.1139/Z03-178")</f>
        <v>http://dx.doi.org/10.1139/Z03-178</v>
      </c>
      <c r="BG149" s="2" t="s">
        <v>74</v>
      </c>
      <c r="BH149" s="2" t="s">
        <v>74</v>
      </c>
      <c r="BI149" s="2" t="s">
        <v>74</v>
      </c>
      <c r="BJ149" s="2" t="s">
        <v>74</v>
      </c>
      <c r="BK149" s="2" t="s">
        <v>74</v>
      </c>
      <c r="BL149" s="2" t="s">
        <v>74</v>
      </c>
      <c r="BM149" s="2" t="s">
        <v>74</v>
      </c>
      <c r="BN149" s="2" t="s">
        <v>74</v>
      </c>
      <c r="BO149" s="2" t="s">
        <v>74</v>
      </c>
      <c r="BP149" s="2" t="s">
        <v>74</v>
      </c>
      <c r="BQ149" s="2" t="s">
        <v>74</v>
      </c>
      <c r="BR149" s="2" t="s">
        <v>74</v>
      </c>
      <c r="BS149" s="2" t="s">
        <v>5007</v>
      </c>
      <c r="BT149" s="2" t="str">
        <f>HYPERLINK("https%3A%2F%2Fwww.webofscience.com%2Fwos%2Fwoscc%2Ffull-record%2FWOS:000188730300001","View Full Record in Web of Science")</f>
        <v>View Full Record in Web of Science</v>
      </c>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row>
    <row r="150" spans="1:314" s="2" customFormat="1" x14ac:dyDescent="0.4">
      <c r="A150" s="2" t="s">
        <v>72</v>
      </c>
      <c r="B150" s="2" t="s">
        <v>6990</v>
      </c>
      <c r="C150" s="2" t="s">
        <v>74</v>
      </c>
      <c r="D150" s="2" t="s">
        <v>74</v>
      </c>
      <c r="E150" s="2" t="s">
        <v>74</v>
      </c>
      <c r="F150" s="2" t="s">
        <v>6991</v>
      </c>
      <c r="G150" s="2" t="s">
        <v>74</v>
      </c>
      <c r="H150" s="2" t="s">
        <v>74</v>
      </c>
      <c r="I150" s="2" t="s">
        <v>6992</v>
      </c>
      <c r="J150" s="2" t="s">
        <v>408</v>
      </c>
      <c r="K150" s="2" t="s">
        <v>74</v>
      </c>
      <c r="L150" s="2" t="s">
        <v>74</v>
      </c>
      <c r="M150" s="2" t="s">
        <v>74</v>
      </c>
      <c r="N150" s="2" t="s">
        <v>74</v>
      </c>
      <c r="O150" s="2" t="s">
        <v>74</v>
      </c>
      <c r="P150" s="2" t="s">
        <v>74</v>
      </c>
      <c r="Q150" s="2" t="s">
        <v>74</v>
      </c>
      <c r="R150" s="2" t="s">
        <v>74</v>
      </c>
      <c r="S150" s="2" t="s">
        <v>74</v>
      </c>
      <c r="T150" s="2" t="s">
        <v>74</v>
      </c>
      <c r="U150" s="2" t="s">
        <v>74</v>
      </c>
      <c r="V150" s="5" t="s">
        <v>6993</v>
      </c>
      <c r="W150" s="2" t="s">
        <v>74</v>
      </c>
      <c r="X150" s="2" t="s">
        <v>74</v>
      </c>
      <c r="Y150" s="2" t="s">
        <v>74</v>
      </c>
      <c r="Z150" s="2" t="s">
        <v>74</v>
      </c>
      <c r="AA150" s="2" t="s">
        <v>74</v>
      </c>
      <c r="AB150" s="2" t="s">
        <v>74</v>
      </c>
      <c r="AC150" s="2" t="s">
        <v>74</v>
      </c>
      <c r="AD150" s="2" t="s">
        <v>74</v>
      </c>
      <c r="AE150" s="2" t="s">
        <v>74</v>
      </c>
      <c r="AF150" s="2" t="s">
        <v>74</v>
      </c>
      <c r="AG150" s="2" t="s">
        <v>74</v>
      </c>
      <c r="AH150" s="2" t="s">
        <v>74</v>
      </c>
      <c r="AI150" s="2" t="s">
        <v>74</v>
      </c>
      <c r="AJ150" s="2" t="s">
        <v>74</v>
      </c>
      <c r="AK150" s="2" t="s">
        <v>74</v>
      </c>
      <c r="AL150" s="2" t="s">
        <v>74</v>
      </c>
      <c r="AM150" s="2" t="s">
        <v>74</v>
      </c>
      <c r="AN150" s="2" t="s">
        <v>74</v>
      </c>
      <c r="AO150" s="2" t="s">
        <v>412</v>
      </c>
      <c r="AP150" s="2" t="s">
        <v>413</v>
      </c>
      <c r="AQ150" s="2" t="s">
        <v>74</v>
      </c>
      <c r="AR150" s="2" t="s">
        <v>74</v>
      </c>
      <c r="AS150" s="2" t="s">
        <v>74</v>
      </c>
      <c r="AT150" s="2" t="s">
        <v>123</v>
      </c>
      <c r="AU150" s="2">
        <v>2013</v>
      </c>
      <c r="AV150" s="2">
        <v>108</v>
      </c>
      <c r="AW150" s="2">
        <v>3</v>
      </c>
      <c r="AX150" s="2" t="s">
        <v>74</v>
      </c>
      <c r="AY150" s="2" t="s">
        <v>74</v>
      </c>
      <c r="AZ150" s="2" t="s">
        <v>74</v>
      </c>
      <c r="BA150" s="2" t="s">
        <v>74</v>
      </c>
      <c r="BB150" s="2">
        <v>636</v>
      </c>
      <c r="BC150" s="2">
        <v>646</v>
      </c>
      <c r="BD150" s="2" t="s">
        <v>74</v>
      </c>
      <c r="BE150" s="2" t="s">
        <v>6994</v>
      </c>
      <c r="BF150" s="2" t="str">
        <f>HYPERLINK("http://dx.doi.org/10.1111/bij.12003","http://dx.doi.org/10.1111/bij.12003")</f>
        <v>http://dx.doi.org/10.1111/bij.12003</v>
      </c>
      <c r="BG150" s="2" t="s">
        <v>74</v>
      </c>
      <c r="BH150" s="2" t="s">
        <v>74</v>
      </c>
      <c r="BI150" s="2" t="s">
        <v>74</v>
      </c>
      <c r="BJ150" s="2" t="s">
        <v>74</v>
      </c>
      <c r="BK150" s="2" t="s">
        <v>74</v>
      </c>
      <c r="BL150" s="2" t="s">
        <v>74</v>
      </c>
      <c r="BM150" s="2" t="s">
        <v>74</v>
      </c>
      <c r="BN150" s="2" t="s">
        <v>74</v>
      </c>
      <c r="BO150" s="2" t="s">
        <v>74</v>
      </c>
      <c r="BP150" s="2" t="s">
        <v>74</v>
      </c>
      <c r="BQ150" s="2" t="s">
        <v>74</v>
      </c>
      <c r="BR150" s="2" t="s">
        <v>74</v>
      </c>
      <c r="BS150" s="2" t="s">
        <v>6995</v>
      </c>
      <c r="BT150" s="2" t="str">
        <f>HYPERLINK("https%3A%2F%2Fwww.webofscience.com%2Fwos%2Fwoscc%2Ffull-record%2FWOS:000315120300013","View Full Record in Web of Science")</f>
        <v>View Full Record in Web of Science</v>
      </c>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row>
    <row r="151" spans="1:314" s="2" customFormat="1" x14ac:dyDescent="0.4">
      <c r="A151" s="2" t="s">
        <v>72</v>
      </c>
      <c r="B151" s="2" t="s">
        <v>3525</v>
      </c>
      <c r="C151" s="2" t="s">
        <v>74</v>
      </c>
      <c r="D151" s="2" t="s">
        <v>74</v>
      </c>
      <c r="E151" s="2" t="s">
        <v>74</v>
      </c>
      <c r="F151" s="2" t="s">
        <v>3526</v>
      </c>
      <c r="G151" s="2" t="s">
        <v>74</v>
      </c>
      <c r="H151" s="2" t="s">
        <v>74</v>
      </c>
      <c r="I151" s="2" t="s">
        <v>3527</v>
      </c>
      <c r="J151" s="2" t="s">
        <v>1198</v>
      </c>
      <c r="K151" s="2" t="s">
        <v>74</v>
      </c>
      <c r="L151" s="2" t="s">
        <v>74</v>
      </c>
      <c r="M151" s="2" t="s">
        <v>74</v>
      </c>
      <c r="N151" s="2" t="s">
        <v>74</v>
      </c>
      <c r="O151" s="2" t="s">
        <v>74</v>
      </c>
      <c r="P151" s="2" t="s">
        <v>74</v>
      </c>
      <c r="Q151" s="2" t="s">
        <v>74</v>
      </c>
      <c r="R151" s="2" t="s">
        <v>74</v>
      </c>
      <c r="S151" s="2" t="s">
        <v>74</v>
      </c>
      <c r="T151" s="2" t="s">
        <v>74</v>
      </c>
      <c r="U151" s="2" t="s">
        <v>74</v>
      </c>
      <c r="V151" s="5" t="s">
        <v>3528</v>
      </c>
      <c r="W151" s="2" t="s">
        <v>74</v>
      </c>
      <c r="X151" s="2" t="s">
        <v>74</v>
      </c>
      <c r="Y151" s="2" t="s">
        <v>74</v>
      </c>
      <c r="Z151" s="2" t="s">
        <v>74</v>
      </c>
      <c r="AA151" s="2" t="s">
        <v>74</v>
      </c>
      <c r="AB151" s="2" t="s">
        <v>74</v>
      </c>
      <c r="AC151" s="2" t="s">
        <v>74</v>
      </c>
      <c r="AD151" s="2" t="s">
        <v>74</v>
      </c>
      <c r="AE151" s="2" t="s">
        <v>74</v>
      </c>
      <c r="AF151" s="2" t="s">
        <v>74</v>
      </c>
      <c r="AG151" s="2" t="s">
        <v>74</v>
      </c>
      <c r="AH151" s="2" t="s">
        <v>74</v>
      </c>
      <c r="AI151" s="2" t="s">
        <v>74</v>
      </c>
      <c r="AJ151" s="2" t="s">
        <v>74</v>
      </c>
      <c r="AK151" s="2" t="s">
        <v>74</v>
      </c>
      <c r="AL151" s="2" t="s">
        <v>74</v>
      </c>
      <c r="AM151" s="2" t="s">
        <v>74</v>
      </c>
      <c r="AN151" s="2" t="s">
        <v>74</v>
      </c>
      <c r="AO151" s="2" t="s">
        <v>1202</v>
      </c>
      <c r="AP151" s="2" t="s">
        <v>1203</v>
      </c>
      <c r="AQ151" s="2" t="s">
        <v>74</v>
      </c>
      <c r="AR151" s="2" t="s">
        <v>74</v>
      </c>
      <c r="AS151" s="2" t="s">
        <v>74</v>
      </c>
      <c r="AT151" s="2" t="s">
        <v>305</v>
      </c>
      <c r="AU151" s="2">
        <v>2013</v>
      </c>
      <c r="AV151" s="2">
        <v>69</v>
      </c>
      <c r="AW151" s="2">
        <v>4</v>
      </c>
      <c r="AX151" s="2" t="s">
        <v>74</v>
      </c>
      <c r="AY151" s="2" t="s">
        <v>74</v>
      </c>
      <c r="AZ151" s="2" t="s">
        <v>74</v>
      </c>
      <c r="BA151" s="2" t="s">
        <v>74</v>
      </c>
      <c r="BB151" s="2">
        <v>436</v>
      </c>
      <c r="BC151" s="2">
        <v>444</v>
      </c>
      <c r="BD151" s="2" t="s">
        <v>74</v>
      </c>
      <c r="BE151" s="2" t="s">
        <v>74</v>
      </c>
      <c r="BF151" s="2" t="s">
        <v>74</v>
      </c>
      <c r="BG151" s="2" t="s">
        <v>74</v>
      </c>
      <c r="BH151" s="2" t="s">
        <v>74</v>
      </c>
      <c r="BI151" s="2" t="s">
        <v>74</v>
      </c>
      <c r="BJ151" s="2" t="s">
        <v>74</v>
      </c>
      <c r="BK151" s="2" t="s">
        <v>74</v>
      </c>
      <c r="BL151" s="2" t="s">
        <v>74</v>
      </c>
      <c r="BM151" s="2" t="s">
        <v>74</v>
      </c>
      <c r="BN151" s="2" t="s">
        <v>74</v>
      </c>
      <c r="BO151" s="2" t="s">
        <v>74</v>
      </c>
      <c r="BP151" s="2" t="s">
        <v>74</v>
      </c>
      <c r="BQ151" s="2" t="s">
        <v>74</v>
      </c>
      <c r="BR151" s="2" t="s">
        <v>74</v>
      </c>
      <c r="BS151" s="2" t="s">
        <v>3529</v>
      </c>
      <c r="BT151" s="2" t="str">
        <f>HYPERLINK("https%3A%2F%2Fwww.webofscience.com%2Fwos%2Fwoscc%2Ffull-record%2FWOS:000328539300005","View Full Record in Web of Science")</f>
        <v>View Full Record in Web of Science</v>
      </c>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row>
    <row r="152" spans="1:314" s="2" customFormat="1" x14ac:dyDescent="0.4">
      <c r="A152" s="2" t="s">
        <v>72</v>
      </c>
      <c r="B152" s="2" t="s">
        <v>7502</v>
      </c>
      <c r="C152" s="2" t="s">
        <v>74</v>
      </c>
      <c r="D152" s="2" t="s">
        <v>74</v>
      </c>
      <c r="E152" s="2" t="s">
        <v>74</v>
      </c>
      <c r="F152" s="2" t="s">
        <v>7503</v>
      </c>
      <c r="G152" s="2" t="s">
        <v>74</v>
      </c>
      <c r="H152" s="2" t="s">
        <v>74</v>
      </c>
      <c r="I152" s="2" t="s">
        <v>7504</v>
      </c>
      <c r="J152" s="2" t="s">
        <v>1755</v>
      </c>
      <c r="K152" s="2" t="s">
        <v>74</v>
      </c>
      <c r="L152" s="2" t="s">
        <v>74</v>
      </c>
      <c r="M152" s="2" t="s">
        <v>74</v>
      </c>
      <c r="N152" s="2" t="s">
        <v>74</v>
      </c>
      <c r="O152" s="2" t="s">
        <v>74</v>
      </c>
      <c r="P152" s="2" t="s">
        <v>74</v>
      </c>
      <c r="Q152" s="2" t="s">
        <v>74</v>
      </c>
      <c r="R152" s="2" t="s">
        <v>74</v>
      </c>
      <c r="S152" s="2" t="s">
        <v>74</v>
      </c>
      <c r="T152" s="2" t="s">
        <v>74</v>
      </c>
      <c r="U152" s="2" t="s">
        <v>74</v>
      </c>
      <c r="V152" s="5" t="s">
        <v>7505</v>
      </c>
      <c r="W152" s="2" t="s">
        <v>74</v>
      </c>
      <c r="X152" s="2" t="s">
        <v>74</v>
      </c>
      <c r="Y152" s="2" t="s">
        <v>74</v>
      </c>
      <c r="Z152" s="2" t="s">
        <v>74</v>
      </c>
      <c r="AA152" s="2" t="s">
        <v>7506</v>
      </c>
      <c r="AB152" s="2" t="s">
        <v>7507</v>
      </c>
      <c r="AC152" s="2" t="s">
        <v>74</v>
      </c>
      <c r="AD152" s="2" t="s">
        <v>74</v>
      </c>
      <c r="AE152" s="2" t="s">
        <v>74</v>
      </c>
      <c r="AF152" s="2" t="s">
        <v>74</v>
      </c>
      <c r="AG152" s="2" t="s">
        <v>74</v>
      </c>
      <c r="AH152" s="2" t="s">
        <v>74</v>
      </c>
      <c r="AI152" s="2" t="s">
        <v>74</v>
      </c>
      <c r="AJ152" s="2" t="s">
        <v>74</v>
      </c>
      <c r="AK152" s="2" t="s">
        <v>74</v>
      </c>
      <c r="AL152" s="2" t="s">
        <v>74</v>
      </c>
      <c r="AM152" s="2" t="s">
        <v>74</v>
      </c>
      <c r="AN152" s="2" t="s">
        <v>74</v>
      </c>
      <c r="AO152" s="2" t="s">
        <v>1759</v>
      </c>
      <c r="AP152" s="2" t="s">
        <v>1760</v>
      </c>
      <c r="AQ152" s="2" t="s">
        <v>74</v>
      </c>
      <c r="AR152" s="2" t="s">
        <v>74</v>
      </c>
      <c r="AS152" s="2" t="s">
        <v>74</v>
      </c>
      <c r="AT152" s="2" t="s">
        <v>255</v>
      </c>
      <c r="AU152" s="2">
        <v>2007</v>
      </c>
      <c r="AV152" s="2">
        <v>20</v>
      </c>
      <c r="AW152" s="2">
        <v>1</v>
      </c>
      <c r="AX152" s="2" t="s">
        <v>74</v>
      </c>
      <c r="AY152" s="2" t="s">
        <v>74</v>
      </c>
      <c r="AZ152" s="2" t="s">
        <v>74</v>
      </c>
      <c r="BA152" s="2" t="s">
        <v>74</v>
      </c>
      <c r="BB152" s="2">
        <v>87</v>
      </c>
      <c r="BC152" s="2">
        <v>98</v>
      </c>
      <c r="BD152" s="2" t="s">
        <v>74</v>
      </c>
      <c r="BE152" s="2" t="s">
        <v>7508</v>
      </c>
      <c r="BF152" s="2" t="str">
        <f>HYPERLINK("http://dx.doi.org/10.1007/s10905-006-9065-9","http://dx.doi.org/10.1007/s10905-006-9065-9")</f>
        <v>http://dx.doi.org/10.1007/s10905-006-9065-9</v>
      </c>
      <c r="BG152" s="2" t="s">
        <v>74</v>
      </c>
      <c r="BH152" s="2" t="s">
        <v>74</v>
      </c>
      <c r="BI152" s="2" t="s">
        <v>74</v>
      </c>
      <c r="BJ152" s="2" t="s">
        <v>74</v>
      </c>
      <c r="BK152" s="2" t="s">
        <v>74</v>
      </c>
      <c r="BL152" s="2" t="s">
        <v>74</v>
      </c>
      <c r="BM152" s="2" t="s">
        <v>74</v>
      </c>
      <c r="BN152" s="2" t="s">
        <v>74</v>
      </c>
      <c r="BO152" s="2" t="s">
        <v>74</v>
      </c>
      <c r="BP152" s="2" t="s">
        <v>74</v>
      </c>
      <c r="BQ152" s="2" t="s">
        <v>74</v>
      </c>
      <c r="BR152" s="2" t="s">
        <v>74</v>
      </c>
      <c r="BS152" s="2" t="s">
        <v>7509</v>
      </c>
      <c r="BT152" s="2" t="str">
        <f>HYPERLINK("https%3A%2F%2Fwww.webofscience.com%2Fwos%2Fwoscc%2Ffull-record%2FWOS:000243906500008","View Full Record in Web of Science")</f>
        <v>View Full Record in Web of Science</v>
      </c>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row>
    <row r="153" spans="1:314" s="2" customFormat="1" x14ac:dyDescent="0.4">
      <c r="A153" s="2" t="s">
        <v>72</v>
      </c>
      <c r="B153" s="2" t="s">
        <v>6952</v>
      </c>
      <c r="C153" s="2" t="s">
        <v>74</v>
      </c>
      <c r="D153" s="2" t="s">
        <v>74</v>
      </c>
      <c r="E153" s="2" t="s">
        <v>74</v>
      </c>
      <c r="F153" s="2" t="s">
        <v>6953</v>
      </c>
      <c r="G153" s="2" t="s">
        <v>74</v>
      </c>
      <c r="H153" s="2" t="s">
        <v>74</v>
      </c>
      <c r="I153" s="2" t="s">
        <v>6954</v>
      </c>
      <c r="J153" s="2" t="s">
        <v>1396</v>
      </c>
      <c r="K153" s="2" t="s">
        <v>74</v>
      </c>
      <c r="L153" s="2" t="s">
        <v>74</v>
      </c>
      <c r="M153" s="2" t="s">
        <v>74</v>
      </c>
      <c r="N153" s="2" t="s">
        <v>74</v>
      </c>
      <c r="O153" s="2" t="s">
        <v>74</v>
      </c>
      <c r="P153" s="2" t="s">
        <v>74</v>
      </c>
      <c r="Q153" s="2" t="s">
        <v>74</v>
      </c>
      <c r="R153" s="2" t="s">
        <v>74</v>
      </c>
      <c r="S153" s="2" t="s">
        <v>74</v>
      </c>
      <c r="T153" s="2" t="s">
        <v>74</v>
      </c>
      <c r="U153" s="2" t="s">
        <v>74</v>
      </c>
      <c r="V153" s="5" t="s">
        <v>6955</v>
      </c>
      <c r="W153" s="2" t="s">
        <v>74</v>
      </c>
      <c r="X153" s="2" t="s">
        <v>74</v>
      </c>
      <c r="Y153" s="2" t="s">
        <v>74</v>
      </c>
      <c r="Z153" s="2" t="s">
        <v>74</v>
      </c>
      <c r="AA153" s="2" t="s">
        <v>6956</v>
      </c>
      <c r="AB153" s="2" t="s">
        <v>6957</v>
      </c>
      <c r="AC153" s="2" t="s">
        <v>74</v>
      </c>
      <c r="AD153" s="2" t="s">
        <v>74</v>
      </c>
      <c r="AE153" s="2" t="s">
        <v>74</v>
      </c>
      <c r="AF153" s="2" t="s">
        <v>74</v>
      </c>
      <c r="AG153" s="2" t="s">
        <v>74</v>
      </c>
      <c r="AH153" s="2" t="s">
        <v>74</v>
      </c>
      <c r="AI153" s="2" t="s">
        <v>74</v>
      </c>
      <c r="AJ153" s="2" t="s">
        <v>74</v>
      </c>
      <c r="AK153" s="2" t="s">
        <v>74</v>
      </c>
      <c r="AL153" s="2" t="s">
        <v>74</v>
      </c>
      <c r="AM153" s="2" t="s">
        <v>74</v>
      </c>
      <c r="AN153" s="2" t="s">
        <v>74</v>
      </c>
      <c r="AO153" s="2" t="s">
        <v>1400</v>
      </c>
      <c r="AP153" s="2" t="s">
        <v>5422</v>
      </c>
      <c r="AQ153" s="2" t="s">
        <v>74</v>
      </c>
      <c r="AR153" s="2" t="s">
        <v>74</v>
      </c>
      <c r="AS153" s="2" t="s">
        <v>74</v>
      </c>
      <c r="AT153" s="2" t="s">
        <v>6958</v>
      </c>
      <c r="AU153" s="2">
        <v>2022</v>
      </c>
      <c r="AV153" s="2">
        <v>2022</v>
      </c>
      <c r="AW153" s="2" t="s">
        <v>74</v>
      </c>
      <c r="AX153" s="2" t="s">
        <v>74</v>
      </c>
      <c r="AY153" s="2" t="s">
        <v>74</v>
      </c>
      <c r="AZ153" s="2" t="s">
        <v>74</v>
      </c>
      <c r="BA153" s="2" t="s">
        <v>74</v>
      </c>
      <c r="BB153" s="2" t="s">
        <v>74</v>
      </c>
      <c r="BC153" s="2" t="s">
        <v>74</v>
      </c>
      <c r="BD153" s="2">
        <v>8378483</v>
      </c>
      <c r="BE153" s="2" t="s">
        <v>6959</v>
      </c>
      <c r="BF153" s="2" t="str">
        <f>HYPERLINK("http://dx.doi.org/10.1155/2022/8378483","http://dx.doi.org/10.1155/2022/8378483")</f>
        <v>http://dx.doi.org/10.1155/2022/8378483</v>
      </c>
      <c r="BG153" s="2" t="s">
        <v>74</v>
      </c>
      <c r="BH153" s="2" t="s">
        <v>74</v>
      </c>
      <c r="BI153" s="2" t="s">
        <v>74</v>
      </c>
      <c r="BJ153" s="2" t="s">
        <v>74</v>
      </c>
      <c r="BK153" s="2" t="s">
        <v>74</v>
      </c>
      <c r="BL153" s="2" t="s">
        <v>74</v>
      </c>
      <c r="BM153" s="2" t="s">
        <v>74</v>
      </c>
      <c r="BN153" s="2" t="s">
        <v>74</v>
      </c>
      <c r="BO153" s="2" t="s">
        <v>74</v>
      </c>
      <c r="BP153" s="2" t="s">
        <v>74</v>
      </c>
      <c r="BQ153" s="2" t="s">
        <v>74</v>
      </c>
      <c r="BR153" s="2" t="s">
        <v>74</v>
      </c>
      <c r="BS153" s="2" t="s">
        <v>6960</v>
      </c>
      <c r="BT153" s="2" t="str">
        <f>HYPERLINK("https%3A%2F%2Fwww.webofscience.com%2Fwos%2Fwoscc%2Ffull-record%2FWOS:000903811100001","View Full Record in Web of Science")</f>
        <v>View Full Record in Web of Science</v>
      </c>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row>
    <row r="154" spans="1:314" s="2" customFormat="1" x14ac:dyDescent="0.4">
      <c r="A154" s="2" t="s">
        <v>72</v>
      </c>
      <c r="B154" s="2" t="s">
        <v>7738</v>
      </c>
      <c r="C154" s="2" t="s">
        <v>74</v>
      </c>
      <c r="D154" s="2" t="s">
        <v>74</v>
      </c>
      <c r="E154" s="2" t="s">
        <v>74</v>
      </c>
      <c r="F154" s="2" t="s">
        <v>7739</v>
      </c>
      <c r="G154" s="2" t="s">
        <v>74</v>
      </c>
      <c r="H154" s="2" t="s">
        <v>74</v>
      </c>
      <c r="I154" s="2" t="s">
        <v>7740</v>
      </c>
      <c r="J154" s="2" t="s">
        <v>1541</v>
      </c>
      <c r="K154" s="2" t="s">
        <v>74</v>
      </c>
      <c r="L154" s="2" t="s">
        <v>74</v>
      </c>
      <c r="M154" s="2" t="s">
        <v>74</v>
      </c>
      <c r="N154" s="2" t="s">
        <v>74</v>
      </c>
      <c r="O154" s="2" t="s">
        <v>74</v>
      </c>
      <c r="P154" s="2" t="s">
        <v>74</v>
      </c>
      <c r="Q154" s="2" t="s">
        <v>74</v>
      </c>
      <c r="R154" s="2" t="s">
        <v>74</v>
      </c>
      <c r="S154" s="2" t="s">
        <v>74</v>
      </c>
      <c r="T154" s="2" t="s">
        <v>74</v>
      </c>
      <c r="U154" s="2" t="s">
        <v>74</v>
      </c>
      <c r="V154" s="5" t="s">
        <v>7741</v>
      </c>
      <c r="W154" s="2" t="s">
        <v>74</v>
      </c>
      <c r="X154" s="2" t="s">
        <v>74</v>
      </c>
      <c r="Y154" s="2" t="s">
        <v>74</v>
      </c>
      <c r="Z154" s="2" t="s">
        <v>74</v>
      </c>
      <c r="AA154" s="2" t="s">
        <v>7742</v>
      </c>
      <c r="AB154" s="2" t="s">
        <v>7743</v>
      </c>
      <c r="AC154" s="2" t="s">
        <v>74</v>
      </c>
      <c r="AD154" s="2" t="s">
        <v>74</v>
      </c>
      <c r="AE154" s="2" t="s">
        <v>74</v>
      </c>
      <c r="AF154" s="2" t="s">
        <v>74</v>
      </c>
      <c r="AG154" s="2" t="s">
        <v>74</v>
      </c>
      <c r="AH154" s="2" t="s">
        <v>74</v>
      </c>
      <c r="AI154" s="2" t="s">
        <v>74</v>
      </c>
      <c r="AJ154" s="2" t="s">
        <v>74</v>
      </c>
      <c r="AK154" s="2" t="s">
        <v>74</v>
      </c>
      <c r="AL154" s="2" t="s">
        <v>74</v>
      </c>
      <c r="AM154" s="2" t="s">
        <v>74</v>
      </c>
      <c r="AN154" s="2" t="s">
        <v>74</v>
      </c>
      <c r="AO154" s="2" t="s">
        <v>1543</v>
      </c>
      <c r="AP154" s="2" t="s">
        <v>1544</v>
      </c>
      <c r="AQ154" s="2" t="s">
        <v>74</v>
      </c>
      <c r="AR154" s="2" t="s">
        <v>74</v>
      </c>
      <c r="AS154" s="2" t="s">
        <v>74</v>
      </c>
      <c r="AT154" s="2" t="s">
        <v>305</v>
      </c>
      <c r="AU154" s="2">
        <v>2009</v>
      </c>
      <c r="AV154" s="2">
        <v>90</v>
      </c>
      <c r="AW154" s="2">
        <v>12</v>
      </c>
      <c r="AX154" s="2" t="s">
        <v>74</v>
      </c>
      <c r="AY154" s="2" t="s">
        <v>74</v>
      </c>
      <c r="AZ154" s="2" t="s">
        <v>74</v>
      </c>
      <c r="BA154" s="2" t="s">
        <v>74</v>
      </c>
      <c r="BB154" s="2">
        <v>3367</v>
      </c>
      <c r="BC154" s="2">
        <v>3378</v>
      </c>
      <c r="BD154" s="2" t="s">
        <v>74</v>
      </c>
      <c r="BE154" s="2" t="s">
        <v>7744</v>
      </c>
      <c r="BF154" s="2" t="str">
        <f>HYPERLINK("http://dx.doi.org/10.1890/08-2291.1","http://dx.doi.org/10.1890/08-2291.1")</f>
        <v>http://dx.doi.org/10.1890/08-2291.1</v>
      </c>
      <c r="BG154" s="2" t="s">
        <v>74</v>
      </c>
      <c r="BH154" s="2" t="s">
        <v>74</v>
      </c>
      <c r="BI154" s="2" t="s">
        <v>74</v>
      </c>
      <c r="BJ154" s="2" t="s">
        <v>74</v>
      </c>
      <c r="BK154" s="2" t="s">
        <v>74</v>
      </c>
      <c r="BL154" s="2" t="s">
        <v>74</v>
      </c>
      <c r="BM154" s="2" t="s">
        <v>74</v>
      </c>
      <c r="BN154" s="2">
        <v>20120806</v>
      </c>
      <c r="BO154" s="2" t="s">
        <v>74</v>
      </c>
      <c r="BP154" s="2" t="s">
        <v>74</v>
      </c>
      <c r="BQ154" s="2" t="s">
        <v>74</v>
      </c>
      <c r="BR154" s="2" t="s">
        <v>74</v>
      </c>
      <c r="BS154" s="2" t="s">
        <v>7745</v>
      </c>
      <c r="BT154" s="2" t="str">
        <f>HYPERLINK("https%3A%2F%2Fwww.webofscience.com%2Fwos%2Fwoscc%2Ffull-record%2FWOS:000272700800009","View Full Record in Web of Science")</f>
        <v>View Full Record in Web of Science</v>
      </c>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row>
    <row r="155" spans="1:314" s="2" customFormat="1" x14ac:dyDescent="0.4">
      <c r="A155" s="2" t="s">
        <v>72</v>
      </c>
      <c r="B155" s="2" t="s">
        <v>2402</v>
      </c>
      <c r="C155" s="2" t="s">
        <v>74</v>
      </c>
      <c r="D155" s="2" t="s">
        <v>74</v>
      </c>
      <c r="E155" s="2" t="s">
        <v>74</v>
      </c>
      <c r="F155" s="2" t="s">
        <v>2403</v>
      </c>
      <c r="G155" s="2" t="s">
        <v>74</v>
      </c>
      <c r="H155" s="2" t="s">
        <v>74</v>
      </c>
      <c r="I155" s="2" t="s">
        <v>2404</v>
      </c>
      <c r="J155" s="2" t="s">
        <v>2405</v>
      </c>
      <c r="K155" s="2" t="s">
        <v>74</v>
      </c>
      <c r="L155" s="2" t="s">
        <v>74</v>
      </c>
      <c r="M155" s="2" t="s">
        <v>74</v>
      </c>
      <c r="N155" s="2" t="s">
        <v>74</v>
      </c>
      <c r="O155" s="2" t="s">
        <v>74</v>
      </c>
      <c r="P155" s="2" t="s">
        <v>74</v>
      </c>
      <c r="Q155" s="2" t="s">
        <v>74</v>
      </c>
      <c r="R155" s="2" t="s">
        <v>74</v>
      </c>
      <c r="S155" s="2" t="s">
        <v>74</v>
      </c>
      <c r="T155" s="2" t="s">
        <v>74</v>
      </c>
      <c r="U155" s="2" t="s">
        <v>74</v>
      </c>
      <c r="V155" s="5" t="s">
        <v>2406</v>
      </c>
      <c r="W155" s="2" t="s">
        <v>74</v>
      </c>
      <c r="X155" s="2" t="s">
        <v>74</v>
      </c>
      <c r="Y155" s="2" t="s">
        <v>74</v>
      </c>
      <c r="Z155" s="2" t="s">
        <v>74</v>
      </c>
      <c r="AA155" s="2" t="s">
        <v>2407</v>
      </c>
      <c r="AB155" s="2" t="s">
        <v>74</v>
      </c>
      <c r="AC155" s="2" t="s">
        <v>74</v>
      </c>
      <c r="AD155" s="2" t="s">
        <v>74</v>
      </c>
      <c r="AE155" s="2" t="s">
        <v>74</v>
      </c>
      <c r="AF155" s="2" t="s">
        <v>74</v>
      </c>
      <c r="AG155" s="2" t="s">
        <v>74</v>
      </c>
      <c r="AH155" s="2" t="s">
        <v>74</v>
      </c>
      <c r="AI155" s="2" t="s">
        <v>74</v>
      </c>
      <c r="AJ155" s="2" t="s">
        <v>74</v>
      </c>
      <c r="AK155" s="2" t="s">
        <v>74</v>
      </c>
      <c r="AL155" s="2" t="s">
        <v>74</v>
      </c>
      <c r="AM155" s="2" t="s">
        <v>74</v>
      </c>
      <c r="AN155" s="2" t="s">
        <v>74</v>
      </c>
      <c r="AO155" s="2" t="s">
        <v>2408</v>
      </c>
      <c r="AP155" s="2" t="s">
        <v>2409</v>
      </c>
      <c r="AQ155" s="2" t="s">
        <v>74</v>
      </c>
      <c r="AR155" s="2" t="s">
        <v>74</v>
      </c>
      <c r="AS155" s="2" t="s">
        <v>74</v>
      </c>
      <c r="AT155" s="2" t="s">
        <v>123</v>
      </c>
      <c r="AU155" s="2">
        <v>2021</v>
      </c>
      <c r="AV155" s="2">
        <v>40</v>
      </c>
      <c r="AW155" s="2">
        <v>2</v>
      </c>
      <c r="AX155" s="2" t="s">
        <v>74</v>
      </c>
      <c r="AY155" s="2" t="s">
        <v>74</v>
      </c>
      <c r="AZ155" s="2" t="s">
        <v>74</v>
      </c>
      <c r="BA155" s="2" t="s">
        <v>74</v>
      </c>
      <c r="BB155" s="2">
        <v>160</v>
      </c>
      <c r="BC155" s="2">
        <v>168</v>
      </c>
      <c r="BD155" s="2" t="s">
        <v>74</v>
      </c>
      <c r="BE155" s="2" t="s">
        <v>2410</v>
      </c>
      <c r="BF155" s="2" t="str">
        <f>HYPERLINK("http://dx.doi.org/10.1002/zoo.21583","http://dx.doi.org/10.1002/zoo.21583")</f>
        <v>http://dx.doi.org/10.1002/zoo.21583</v>
      </c>
      <c r="BG155" s="2" t="s">
        <v>74</v>
      </c>
      <c r="BH155" s="2" t="s">
        <v>2411</v>
      </c>
      <c r="BI155" s="2" t="s">
        <v>74</v>
      </c>
      <c r="BJ155" s="2" t="s">
        <v>74</v>
      </c>
      <c r="BK155" s="2" t="s">
        <v>74</v>
      </c>
      <c r="BL155" s="2" t="s">
        <v>74</v>
      </c>
      <c r="BM155" s="2" t="s">
        <v>74</v>
      </c>
      <c r="BN155" s="2">
        <v>33544907</v>
      </c>
      <c r="BO155" s="2" t="s">
        <v>74</v>
      </c>
      <c r="BP155" s="2" t="s">
        <v>74</v>
      </c>
      <c r="BQ155" s="2" t="s">
        <v>74</v>
      </c>
      <c r="BR155" s="2" t="s">
        <v>74</v>
      </c>
      <c r="BS155" s="2" t="s">
        <v>2412</v>
      </c>
      <c r="BT155" s="2" t="str">
        <f>HYPERLINK("https%3A%2F%2Fwww.webofscience.com%2Fwos%2Fwoscc%2Ffull-record%2FWOS:000614925000001","View Full Record in Web of Science")</f>
        <v>View Full Record in Web of Science</v>
      </c>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row>
    <row r="156" spans="1:314" s="2" customFormat="1" x14ac:dyDescent="0.4">
      <c r="A156" s="2" t="s">
        <v>72</v>
      </c>
      <c r="B156" s="2" t="s">
        <v>8620</v>
      </c>
      <c r="C156" s="2" t="s">
        <v>74</v>
      </c>
      <c r="D156" s="2" t="s">
        <v>74</v>
      </c>
      <c r="E156" s="2" t="s">
        <v>74</v>
      </c>
      <c r="F156" s="2" t="s">
        <v>8621</v>
      </c>
      <c r="G156" s="2" t="s">
        <v>74</v>
      </c>
      <c r="H156" s="2" t="s">
        <v>74</v>
      </c>
      <c r="I156" s="2" t="s">
        <v>8622</v>
      </c>
      <c r="J156" s="2" t="s">
        <v>763</v>
      </c>
      <c r="K156" s="2" t="s">
        <v>74</v>
      </c>
      <c r="L156" s="2" t="s">
        <v>74</v>
      </c>
      <c r="M156" s="2" t="s">
        <v>74</v>
      </c>
      <c r="N156" s="2" t="s">
        <v>74</v>
      </c>
      <c r="O156" s="2" t="s">
        <v>74</v>
      </c>
      <c r="P156" s="2" t="s">
        <v>74</v>
      </c>
      <c r="Q156" s="2" t="s">
        <v>74</v>
      </c>
      <c r="R156" s="2" t="s">
        <v>74</v>
      </c>
      <c r="S156" s="2" t="s">
        <v>74</v>
      </c>
      <c r="T156" s="2" t="s">
        <v>74</v>
      </c>
      <c r="U156" s="2" t="s">
        <v>74</v>
      </c>
      <c r="V156" s="5" t="s">
        <v>8623</v>
      </c>
      <c r="W156" s="2" t="s">
        <v>74</v>
      </c>
      <c r="X156" s="2" t="s">
        <v>74</v>
      </c>
      <c r="Y156" s="2" t="s">
        <v>74</v>
      </c>
      <c r="Z156" s="2" t="s">
        <v>74</v>
      </c>
      <c r="AA156" s="2" t="s">
        <v>8624</v>
      </c>
      <c r="AB156" s="2" t="s">
        <v>8625</v>
      </c>
      <c r="AC156" s="2" t="s">
        <v>74</v>
      </c>
      <c r="AD156" s="2" t="s">
        <v>74</v>
      </c>
      <c r="AE156" s="2" t="s">
        <v>74</v>
      </c>
      <c r="AF156" s="2" t="s">
        <v>74</v>
      </c>
      <c r="AG156" s="2" t="s">
        <v>74</v>
      </c>
      <c r="AH156" s="2" t="s">
        <v>74</v>
      </c>
      <c r="AI156" s="2" t="s">
        <v>74</v>
      </c>
      <c r="AJ156" s="2" t="s">
        <v>74</v>
      </c>
      <c r="AK156" s="2" t="s">
        <v>74</v>
      </c>
      <c r="AL156" s="2" t="s">
        <v>74</v>
      </c>
      <c r="AM156" s="2" t="s">
        <v>74</v>
      </c>
      <c r="AN156" s="2" t="s">
        <v>74</v>
      </c>
      <c r="AO156" s="2" t="s">
        <v>767</v>
      </c>
      <c r="AP156" s="2" t="s">
        <v>768</v>
      </c>
      <c r="AQ156" s="2" t="s">
        <v>74</v>
      </c>
      <c r="AR156" s="2" t="s">
        <v>74</v>
      </c>
      <c r="AS156" s="2" t="s">
        <v>74</v>
      </c>
      <c r="AT156" s="2" t="s">
        <v>175</v>
      </c>
      <c r="AU156" s="2">
        <v>2021</v>
      </c>
      <c r="AV156" s="2">
        <v>224</v>
      </c>
      <c r="AW156" s="2">
        <v>20</v>
      </c>
      <c r="AX156" s="2" t="s">
        <v>74</v>
      </c>
      <c r="AY156" s="2" t="s">
        <v>74</v>
      </c>
      <c r="AZ156" s="2" t="s">
        <v>74</v>
      </c>
      <c r="BA156" s="2" t="s">
        <v>74</v>
      </c>
      <c r="BB156" s="2" t="s">
        <v>74</v>
      </c>
      <c r="BC156" s="2" t="s">
        <v>74</v>
      </c>
      <c r="BD156" s="2" t="s">
        <v>8626</v>
      </c>
      <c r="BE156" s="2" t="s">
        <v>8627</v>
      </c>
      <c r="BF156" s="2" t="str">
        <f>HYPERLINK("http://dx.doi.org/10.1242/jeb.242784","http://dx.doi.org/10.1242/jeb.242784")</f>
        <v>http://dx.doi.org/10.1242/jeb.242784</v>
      </c>
      <c r="BG156" s="2" t="s">
        <v>74</v>
      </c>
      <c r="BH156" s="2" t="s">
        <v>74</v>
      </c>
      <c r="BI156" s="2" t="s">
        <v>74</v>
      </c>
      <c r="BJ156" s="2" t="s">
        <v>74</v>
      </c>
      <c r="BK156" s="2" t="s">
        <v>74</v>
      </c>
      <c r="BL156" s="2" t="s">
        <v>74</v>
      </c>
      <c r="BM156" s="2" t="s">
        <v>74</v>
      </c>
      <c r="BN156" s="2">
        <v>34605911</v>
      </c>
      <c r="BO156" s="2" t="s">
        <v>74</v>
      </c>
      <c r="BP156" s="2" t="s">
        <v>74</v>
      </c>
      <c r="BQ156" s="2" t="s">
        <v>74</v>
      </c>
      <c r="BR156" s="2" t="s">
        <v>74</v>
      </c>
      <c r="BS156" s="2" t="s">
        <v>8628</v>
      </c>
      <c r="BT156" s="2" t="str">
        <f>HYPERLINK("https%3A%2F%2Fwww.webofscience.com%2Fwos%2Fwoscc%2Ffull-record%2FWOS:000715883300008","View Full Record in Web of Science")</f>
        <v>View Full Record in Web of Science</v>
      </c>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row>
    <row r="157" spans="1:314" s="2" customFormat="1" x14ac:dyDescent="0.4">
      <c r="A157" s="2" t="s">
        <v>72</v>
      </c>
      <c r="B157" s="2" t="s">
        <v>1403</v>
      </c>
      <c r="C157" s="2" t="s">
        <v>74</v>
      </c>
      <c r="D157" s="2" t="s">
        <v>74</v>
      </c>
      <c r="E157" s="2" t="s">
        <v>74</v>
      </c>
      <c r="F157" s="2" t="s">
        <v>1404</v>
      </c>
      <c r="G157" s="2" t="s">
        <v>74</v>
      </c>
      <c r="H157" s="2" t="s">
        <v>74</v>
      </c>
      <c r="I157" s="2" t="s">
        <v>1405</v>
      </c>
      <c r="J157" s="2" t="s">
        <v>397</v>
      </c>
      <c r="K157" s="2" t="s">
        <v>74</v>
      </c>
      <c r="L157" s="2" t="s">
        <v>74</v>
      </c>
      <c r="M157" s="2" t="s">
        <v>74</v>
      </c>
      <c r="N157" s="2" t="s">
        <v>74</v>
      </c>
      <c r="O157" s="2" t="s">
        <v>74</v>
      </c>
      <c r="P157" s="2" t="s">
        <v>74</v>
      </c>
      <c r="Q157" s="2" t="s">
        <v>74</v>
      </c>
      <c r="R157" s="2" t="s">
        <v>74</v>
      </c>
      <c r="S157" s="2" t="s">
        <v>74</v>
      </c>
      <c r="T157" s="2" t="s">
        <v>74</v>
      </c>
      <c r="U157" s="2" t="s">
        <v>74</v>
      </c>
      <c r="V157" s="5" t="s">
        <v>1406</v>
      </c>
      <c r="W157" s="2" t="s">
        <v>74</v>
      </c>
      <c r="X157" s="2" t="s">
        <v>74</v>
      </c>
      <c r="Y157" s="2" t="s">
        <v>74</v>
      </c>
      <c r="Z157" s="2" t="s">
        <v>74</v>
      </c>
      <c r="AA157" s="2" t="s">
        <v>74</v>
      </c>
      <c r="AB157" s="2" t="s">
        <v>1407</v>
      </c>
      <c r="AC157" s="2" t="s">
        <v>74</v>
      </c>
      <c r="AD157" s="2" t="s">
        <v>74</v>
      </c>
      <c r="AE157" s="2" t="s">
        <v>74</v>
      </c>
      <c r="AF157" s="2" t="s">
        <v>74</v>
      </c>
      <c r="AG157" s="2" t="s">
        <v>74</v>
      </c>
      <c r="AH157" s="2" t="s">
        <v>74</v>
      </c>
      <c r="AI157" s="2" t="s">
        <v>74</v>
      </c>
      <c r="AJ157" s="2" t="s">
        <v>74</v>
      </c>
      <c r="AK157" s="2" t="s">
        <v>74</v>
      </c>
      <c r="AL157" s="2" t="s">
        <v>74</v>
      </c>
      <c r="AM157" s="2" t="s">
        <v>74</v>
      </c>
      <c r="AN157" s="2" t="s">
        <v>74</v>
      </c>
      <c r="AO157" s="2" t="s">
        <v>401</v>
      </c>
      <c r="AP157" s="2" t="s">
        <v>402</v>
      </c>
      <c r="AQ157" s="2" t="s">
        <v>74</v>
      </c>
      <c r="AR157" s="2" t="s">
        <v>74</v>
      </c>
      <c r="AS157" s="2" t="s">
        <v>74</v>
      </c>
      <c r="AT157" s="2" t="s">
        <v>204</v>
      </c>
      <c r="AU157" s="2">
        <v>2020</v>
      </c>
      <c r="AV157" s="2">
        <v>19</v>
      </c>
      <c r="AW157" s="2">
        <v>6</v>
      </c>
      <c r="AX157" s="2" t="s">
        <v>74</v>
      </c>
      <c r="AY157" s="2" t="s">
        <v>74</v>
      </c>
      <c r="AZ157" s="2" t="s">
        <v>74</v>
      </c>
      <c r="BA157" s="2" t="s">
        <v>74</v>
      </c>
      <c r="BB157" s="2" t="s">
        <v>74</v>
      </c>
      <c r="BC157" s="2" t="s">
        <v>74</v>
      </c>
      <c r="BD157" s="2" t="s">
        <v>1408</v>
      </c>
      <c r="BE157" s="2" t="s">
        <v>1409</v>
      </c>
      <c r="BF157" s="2" t="str">
        <f>HYPERLINK("http://dx.doi.org/10.1111/gbb.12657","http://dx.doi.org/10.1111/gbb.12657")</f>
        <v>http://dx.doi.org/10.1111/gbb.12657</v>
      </c>
      <c r="BG157" s="2" t="s">
        <v>74</v>
      </c>
      <c r="BH157" s="2" t="s">
        <v>1410</v>
      </c>
      <c r="BI157" s="2" t="s">
        <v>74</v>
      </c>
      <c r="BJ157" s="2" t="s">
        <v>74</v>
      </c>
      <c r="BK157" s="2" t="s">
        <v>74</v>
      </c>
      <c r="BL157" s="2" t="s">
        <v>74</v>
      </c>
      <c r="BM157" s="2" t="s">
        <v>74</v>
      </c>
      <c r="BN157" s="2">
        <v>32323443</v>
      </c>
      <c r="BO157" s="2" t="s">
        <v>74</v>
      </c>
      <c r="BP157" s="2" t="s">
        <v>74</v>
      </c>
      <c r="BQ157" s="2" t="s">
        <v>74</v>
      </c>
      <c r="BR157" s="2" t="s">
        <v>74</v>
      </c>
      <c r="BS157" s="2" t="s">
        <v>1411</v>
      </c>
      <c r="BT157" s="2" t="str">
        <f>HYPERLINK("https%3A%2F%2Fwww.webofscience.com%2Fwos%2Fwoscc%2Ffull-record%2FWOS:000530887300001","View Full Record in Web of Science")</f>
        <v>View Full Record in Web of Science</v>
      </c>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row>
    <row r="158" spans="1:314" s="2" customFormat="1" x14ac:dyDescent="0.4">
      <c r="A158" s="2" t="s">
        <v>72</v>
      </c>
      <c r="B158" s="2" t="s">
        <v>8390</v>
      </c>
      <c r="C158" s="2" t="s">
        <v>74</v>
      </c>
      <c r="D158" s="2" t="s">
        <v>74</v>
      </c>
      <c r="E158" s="2" t="s">
        <v>74</v>
      </c>
      <c r="F158" s="2" t="s">
        <v>8391</v>
      </c>
      <c r="G158" s="2" t="s">
        <v>74</v>
      </c>
      <c r="H158" s="2" t="s">
        <v>74</v>
      </c>
      <c r="I158" s="2" t="s">
        <v>8392</v>
      </c>
      <c r="J158" s="2" t="s">
        <v>140</v>
      </c>
      <c r="K158" s="2" t="s">
        <v>74</v>
      </c>
      <c r="L158" s="2" t="s">
        <v>74</v>
      </c>
      <c r="M158" s="2" t="s">
        <v>74</v>
      </c>
      <c r="N158" s="2" t="s">
        <v>74</v>
      </c>
      <c r="O158" s="2" t="s">
        <v>74</v>
      </c>
      <c r="P158" s="2" t="s">
        <v>74</v>
      </c>
      <c r="Q158" s="2" t="s">
        <v>74</v>
      </c>
      <c r="R158" s="2" t="s">
        <v>74</v>
      </c>
      <c r="S158" s="2" t="s">
        <v>74</v>
      </c>
      <c r="T158" s="2" t="s">
        <v>74</v>
      </c>
      <c r="U158" s="2" t="s">
        <v>74</v>
      </c>
      <c r="V158" s="5" t="s">
        <v>8393</v>
      </c>
      <c r="W158" s="2" t="s">
        <v>74</v>
      </c>
      <c r="X158" s="2" t="s">
        <v>74</v>
      </c>
      <c r="Y158" s="2" t="s">
        <v>74</v>
      </c>
      <c r="Z158" s="2" t="s">
        <v>74</v>
      </c>
      <c r="AA158" s="2" t="s">
        <v>8394</v>
      </c>
      <c r="AB158" s="2" t="s">
        <v>8395</v>
      </c>
      <c r="AC158" s="2" t="s">
        <v>74</v>
      </c>
      <c r="AD158" s="2" t="s">
        <v>74</v>
      </c>
      <c r="AE158" s="2" t="s">
        <v>74</v>
      </c>
      <c r="AF158" s="2" t="s">
        <v>74</v>
      </c>
      <c r="AG158" s="2" t="s">
        <v>74</v>
      </c>
      <c r="AH158" s="2" t="s">
        <v>74</v>
      </c>
      <c r="AI158" s="2" t="s">
        <v>74</v>
      </c>
      <c r="AJ158" s="2" t="s">
        <v>74</v>
      </c>
      <c r="AK158" s="2" t="s">
        <v>74</v>
      </c>
      <c r="AL158" s="2" t="s">
        <v>74</v>
      </c>
      <c r="AM158" s="2" t="s">
        <v>74</v>
      </c>
      <c r="AN158" s="2" t="s">
        <v>74</v>
      </c>
      <c r="AO158" s="2" t="s">
        <v>143</v>
      </c>
      <c r="AP158" s="2" t="s">
        <v>144</v>
      </c>
      <c r="AQ158" s="2" t="s">
        <v>74</v>
      </c>
      <c r="AR158" s="2" t="s">
        <v>74</v>
      </c>
      <c r="AS158" s="2" t="s">
        <v>74</v>
      </c>
      <c r="AT158" s="2" t="s">
        <v>102</v>
      </c>
      <c r="AU158" s="2">
        <v>2020</v>
      </c>
      <c r="AV158" s="2">
        <v>164</v>
      </c>
      <c r="AW158" s="2" t="s">
        <v>74</v>
      </c>
      <c r="AX158" s="2" t="s">
        <v>74</v>
      </c>
      <c r="AY158" s="2" t="s">
        <v>74</v>
      </c>
      <c r="AZ158" s="2" t="s">
        <v>74</v>
      </c>
      <c r="BA158" s="2" t="s">
        <v>74</v>
      </c>
      <c r="BB158" s="2">
        <v>91</v>
      </c>
      <c r="BC158" s="2">
        <v>98</v>
      </c>
      <c r="BD158" s="2" t="s">
        <v>74</v>
      </c>
      <c r="BE158" s="2" t="s">
        <v>8396</v>
      </c>
      <c r="BF158" s="2" t="str">
        <f>HYPERLINK("http://dx.doi.org/10.1016/j.anbehav.2020.04.002","http://dx.doi.org/10.1016/j.anbehav.2020.04.002")</f>
        <v>http://dx.doi.org/10.1016/j.anbehav.2020.04.002</v>
      </c>
      <c r="BG158" s="2" t="s">
        <v>74</v>
      </c>
      <c r="BH158" s="2" t="s">
        <v>74</v>
      </c>
      <c r="BI158" s="2" t="s">
        <v>74</v>
      </c>
      <c r="BJ158" s="2" t="s">
        <v>74</v>
      </c>
      <c r="BK158" s="2" t="s">
        <v>74</v>
      </c>
      <c r="BL158" s="2" t="s">
        <v>74</v>
      </c>
      <c r="BM158" s="2" t="s">
        <v>74</v>
      </c>
      <c r="BN158" s="2" t="s">
        <v>74</v>
      </c>
      <c r="BO158" s="2" t="s">
        <v>74</v>
      </c>
      <c r="BP158" s="2" t="s">
        <v>74</v>
      </c>
      <c r="BQ158" s="2" t="s">
        <v>74</v>
      </c>
      <c r="BR158" s="2" t="s">
        <v>74</v>
      </c>
      <c r="BS158" s="2" t="s">
        <v>8397</v>
      </c>
      <c r="BT158" s="2" t="str">
        <f>HYPERLINK("https%3A%2F%2Fwww.webofscience.com%2Fwos%2Fwoscc%2Ffull-record%2FWOS:000539211900009","View Full Record in Web of Science")</f>
        <v>View Full Record in Web of Science</v>
      </c>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row>
    <row r="159" spans="1:314" s="2" customFormat="1" x14ac:dyDescent="0.4">
      <c r="A159" s="2" t="s">
        <v>72</v>
      </c>
      <c r="B159" s="2" t="s">
        <v>4137</v>
      </c>
      <c r="C159" s="2" t="s">
        <v>74</v>
      </c>
      <c r="D159" s="2" t="s">
        <v>74</v>
      </c>
      <c r="E159" s="2" t="s">
        <v>74</v>
      </c>
      <c r="F159" s="2" t="s">
        <v>4137</v>
      </c>
      <c r="G159" s="2" t="s">
        <v>74</v>
      </c>
      <c r="H159" s="2" t="s">
        <v>74</v>
      </c>
      <c r="I159" s="2" t="s">
        <v>4138</v>
      </c>
      <c r="J159" s="2" t="s">
        <v>4139</v>
      </c>
      <c r="K159" s="2" t="s">
        <v>74</v>
      </c>
      <c r="L159" s="2" t="s">
        <v>74</v>
      </c>
      <c r="M159" s="2" t="s">
        <v>74</v>
      </c>
      <c r="N159" s="2" t="s">
        <v>74</v>
      </c>
      <c r="O159" s="2" t="s">
        <v>74</v>
      </c>
      <c r="P159" s="2" t="s">
        <v>74</v>
      </c>
      <c r="Q159" s="2" t="s">
        <v>74</v>
      </c>
      <c r="R159" s="2" t="s">
        <v>74</v>
      </c>
      <c r="S159" s="2" t="s">
        <v>74</v>
      </c>
      <c r="T159" s="2" t="s">
        <v>74</v>
      </c>
      <c r="U159" s="2" t="s">
        <v>74</v>
      </c>
      <c r="V159" s="5" t="s">
        <v>4140</v>
      </c>
      <c r="W159" s="2" t="s">
        <v>74</v>
      </c>
      <c r="X159" s="2" t="s">
        <v>74</v>
      </c>
      <c r="Y159" s="2" t="s">
        <v>74</v>
      </c>
      <c r="Z159" s="2" t="s">
        <v>74</v>
      </c>
      <c r="AA159" s="2" t="s">
        <v>74</v>
      </c>
      <c r="AB159" s="2" t="s">
        <v>74</v>
      </c>
      <c r="AC159" s="2" t="s">
        <v>74</v>
      </c>
      <c r="AD159" s="2" t="s">
        <v>74</v>
      </c>
      <c r="AE159" s="2" t="s">
        <v>74</v>
      </c>
      <c r="AF159" s="2" t="s">
        <v>74</v>
      </c>
      <c r="AG159" s="2" t="s">
        <v>74</v>
      </c>
      <c r="AH159" s="2" t="s">
        <v>74</v>
      </c>
      <c r="AI159" s="2" t="s">
        <v>74</v>
      </c>
      <c r="AJ159" s="2" t="s">
        <v>74</v>
      </c>
      <c r="AK159" s="2" t="s">
        <v>74</v>
      </c>
      <c r="AL159" s="2" t="s">
        <v>74</v>
      </c>
      <c r="AM159" s="2" t="s">
        <v>74</v>
      </c>
      <c r="AN159" s="2" t="s">
        <v>74</v>
      </c>
      <c r="AO159" s="2" t="s">
        <v>4141</v>
      </c>
      <c r="AP159" s="2" t="s">
        <v>74</v>
      </c>
      <c r="AQ159" s="2" t="s">
        <v>74</v>
      </c>
      <c r="AR159" s="2" t="s">
        <v>74</v>
      </c>
      <c r="AS159" s="2" t="s">
        <v>74</v>
      </c>
      <c r="AT159" s="2" t="s">
        <v>74</v>
      </c>
      <c r="AU159" s="2">
        <v>1992</v>
      </c>
      <c r="AV159" s="2">
        <v>32</v>
      </c>
      <c r="AW159" s="2">
        <v>1</v>
      </c>
      <c r="AX159" s="2" t="s">
        <v>74</v>
      </c>
      <c r="AY159" s="2" t="s">
        <v>74</v>
      </c>
      <c r="AZ159" s="2" t="s">
        <v>74</v>
      </c>
      <c r="BA159" s="2" t="s">
        <v>74</v>
      </c>
      <c r="BB159" s="2">
        <v>91</v>
      </c>
      <c r="BC159" s="2">
        <v>99</v>
      </c>
      <c r="BD159" s="2" t="s">
        <v>74</v>
      </c>
      <c r="BE159" s="2" t="s">
        <v>74</v>
      </c>
      <c r="BF159" s="2" t="s">
        <v>74</v>
      </c>
      <c r="BG159" s="2" t="s">
        <v>74</v>
      </c>
      <c r="BH159" s="2" t="s">
        <v>74</v>
      </c>
      <c r="BI159" s="2" t="s">
        <v>74</v>
      </c>
      <c r="BJ159" s="2" t="s">
        <v>74</v>
      </c>
      <c r="BK159" s="2" t="s">
        <v>74</v>
      </c>
      <c r="BL159" s="2" t="s">
        <v>74</v>
      </c>
      <c r="BM159" s="2" t="s">
        <v>74</v>
      </c>
      <c r="BN159" s="2" t="s">
        <v>74</v>
      </c>
      <c r="BO159" s="2" t="s">
        <v>74</v>
      </c>
      <c r="BP159" s="2" t="s">
        <v>74</v>
      </c>
      <c r="BQ159" s="2" t="s">
        <v>74</v>
      </c>
      <c r="BR159" s="2" t="s">
        <v>74</v>
      </c>
      <c r="BS159" s="2" t="s">
        <v>4142</v>
      </c>
      <c r="BT159" s="2" t="str">
        <f>HYPERLINK("https%3A%2F%2Fwww.webofscience.com%2Fwos%2Fwoscc%2Ffull-record%2FWOS:A1992JK51200010","View Full Record in Web of Science")</f>
        <v>View Full Record in Web of Science</v>
      </c>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row>
    <row r="160" spans="1:314" s="2" customFormat="1" x14ac:dyDescent="0.4">
      <c r="A160" s="2" t="s">
        <v>72</v>
      </c>
      <c r="B160" s="2" t="s">
        <v>4137</v>
      </c>
      <c r="C160" s="2" t="s">
        <v>74</v>
      </c>
      <c r="D160" s="2" t="s">
        <v>74</v>
      </c>
      <c r="E160" s="2" t="s">
        <v>74</v>
      </c>
      <c r="F160" s="2" t="s">
        <v>4137</v>
      </c>
      <c r="G160" s="2" t="s">
        <v>74</v>
      </c>
      <c r="H160" s="2" t="s">
        <v>74</v>
      </c>
      <c r="I160" s="2" t="s">
        <v>7408</v>
      </c>
      <c r="J160" s="2" t="s">
        <v>344</v>
      </c>
      <c r="K160" s="2" t="s">
        <v>74</v>
      </c>
      <c r="L160" s="2" t="s">
        <v>74</v>
      </c>
      <c r="M160" s="2" t="s">
        <v>74</v>
      </c>
      <c r="N160" s="2" t="s">
        <v>74</v>
      </c>
      <c r="O160" s="2" t="s">
        <v>74</v>
      </c>
      <c r="P160" s="2" t="s">
        <v>74</v>
      </c>
      <c r="Q160" s="2" t="s">
        <v>74</v>
      </c>
      <c r="R160" s="2" t="s">
        <v>74</v>
      </c>
      <c r="S160" s="2" t="s">
        <v>74</v>
      </c>
      <c r="T160" s="2" t="s">
        <v>74</v>
      </c>
      <c r="U160" s="2" t="s">
        <v>74</v>
      </c>
      <c r="V160" s="5" t="s">
        <v>7409</v>
      </c>
      <c r="W160" s="2" t="s">
        <v>74</v>
      </c>
      <c r="X160" s="2" t="s">
        <v>74</v>
      </c>
      <c r="Y160" s="2" t="s">
        <v>74</v>
      </c>
      <c r="Z160" s="2" t="s">
        <v>74</v>
      </c>
      <c r="AA160" s="2" t="s">
        <v>74</v>
      </c>
      <c r="AB160" s="2" t="s">
        <v>74</v>
      </c>
      <c r="AC160" s="2" t="s">
        <v>74</v>
      </c>
      <c r="AD160" s="2" t="s">
        <v>74</v>
      </c>
      <c r="AE160" s="2" t="s">
        <v>74</v>
      </c>
      <c r="AF160" s="2" t="s">
        <v>74</v>
      </c>
      <c r="AG160" s="2" t="s">
        <v>74</v>
      </c>
      <c r="AH160" s="2" t="s">
        <v>74</v>
      </c>
      <c r="AI160" s="2" t="s">
        <v>74</v>
      </c>
      <c r="AJ160" s="2" t="s">
        <v>74</v>
      </c>
      <c r="AK160" s="2" t="s">
        <v>74</v>
      </c>
      <c r="AL160" s="2" t="s">
        <v>74</v>
      </c>
      <c r="AM160" s="2" t="s">
        <v>74</v>
      </c>
      <c r="AN160" s="2" t="s">
        <v>74</v>
      </c>
      <c r="AO160" s="2" t="s">
        <v>346</v>
      </c>
      <c r="AP160" s="2" t="s">
        <v>6569</v>
      </c>
      <c r="AQ160" s="2" t="s">
        <v>74</v>
      </c>
      <c r="AR160" s="2" t="s">
        <v>74</v>
      </c>
      <c r="AS160" s="2" t="s">
        <v>74</v>
      </c>
      <c r="AT160" s="2" t="s">
        <v>213</v>
      </c>
      <c r="AU160" s="2">
        <v>1987</v>
      </c>
      <c r="AV160" s="2">
        <v>20</v>
      </c>
      <c r="AW160" s="2">
        <v>3</v>
      </c>
      <c r="AX160" s="2" t="s">
        <v>74</v>
      </c>
      <c r="AY160" s="2" t="s">
        <v>74</v>
      </c>
      <c r="AZ160" s="2" t="s">
        <v>74</v>
      </c>
      <c r="BA160" s="2" t="s">
        <v>74</v>
      </c>
      <c r="BB160" s="2">
        <v>183</v>
      </c>
      <c r="BC160" s="2">
        <v>194</v>
      </c>
      <c r="BD160" s="2" t="s">
        <v>74</v>
      </c>
      <c r="BE160" s="2" t="s">
        <v>7410</v>
      </c>
      <c r="BF160" s="2" t="str">
        <f>HYPERLINK("http://dx.doi.org/10.1007/BF00004953","http://dx.doi.org/10.1007/BF00004953")</f>
        <v>http://dx.doi.org/10.1007/BF00004953</v>
      </c>
      <c r="BG160" s="2" t="s">
        <v>74</v>
      </c>
      <c r="BH160" s="2" t="s">
        <v>74</v>
      </c>
      <c r="BI160" s="2" t="s">
        <v>74</v>
      </c>
      <c r="BJ160" s="2" t="s">
        <v>74</v>
      </c>
      <c r="BK160" s="2" t="s">
        <v>74</v>
      </c>
      <c r="BL160" s="2" t="s">
        <v>74</v>
      </c>
      <c r="BM160" s="2" t="s">
        <v>74</v>
      </c>
      <c r="BN160" s="2" t="s">
        <v>74</v>
      </c>
      <c r="BO160" s="2" t="s">
        <v>74</v>
      </c>
      <c r="BP160" s="2" t="s">
        <v>74</v>
      </c>
      <c r="BQ160" s="2" t="s">
        <v>74</v>
      </c>
      <c r="BR160" s="2" t="s">
        <v>74</v>
      </c>
      <c r="BS160" s="2" t="s">
        <v>7411</v>
      </c>
      <c r="BT160" s="2" t="str">
        <f>HYPERLINK("https%3A%2F%2Fwww.webofscience.com%2Fwos%2Fwoscc%2Ffull-record%2FWOS:A1987K628700003","View Full Record in Web of Science")</f>
        <v>View Full Record in Web of Science</v>
      </c>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row>
    <row r="161" spans="1:314" s="2" customFormat="1" x14ac:dyDescent="0.4">
      <c r="A161" s="2" t="s">
        <v>72</v>
      </c>
      <c r="B161" s="2" t="s">
        <v>2808</v>
      </c>
      <c r="C161" s="2" t="s">
        <v>74</v>
      </c>
      <c r="D161" s="2" t="s">
        <v>74</v>
      </c>
      <c r="E161" s="2" t="s">
        <v>74</v>
      </c>
      <c r="F161" s="2" t="s">
        <v>2808</v>
      </c>
      <c r="G161" s="2" t="s">
        <v>74</v>
      </c>
      <c r="H161" s="2" t="s">
        <v>74</v>
      </c>
      <c r="I161" s="2" t="s">
        <v>2809</v>
      </c>
      <c r="J161" s="2" t="s">
        <v>77</v>
      </c>
      <c r="K161" s="2" t="s">
        <v>74</v>
      </c>
      <c r="L161" s="2" t="s">
        <v>74</v>
      </c>
      <c r="M161" s="2" t="s">
        <v>74</v>
      </c>
      <c r="N161" s="2" t="s">
        <v>74</v>
      </c>
      <c r="O161" s="2" t="s">
        <v>74</v>
      </c>
      <c r="P161" s="2" t="s">
        <v>74</v>
      </c>
      <c r="Q161" s="2" t="s">
        <v>74</v>
      </c>
      <c r="R161" s="2" t="s">
        <v>74</v>
      </c>
      <c r="S161" s="2" t="s">
        <v>74</v>
      </c>
      <c r="T161" s="2" t="s">
        <v>74</v>
      </c>
      <c r="U161" s="2" t="s">
        <v>74</v>
      </c>
      <c r="V161" s="5" t="s">
        <v>74</v>
      </c>
      <c r="W161" s="2" t="s">
        <v>74</v>
      </c>
      <c r="X161" s="2" t="s">
        <v>74</v>
      </c>
      <c r="Y161" s="2" t="s">
        <v>74</v>
      </c>
      <c r="Z161" s="2" t="s">
        <v>74</v>
      </c>
      <c r="AA161" s="2" t="s">
        <v>74</v>
      </c>
      <c r="AB161" s="2" t="s">
        <v>74</v>
      </c>
      <c r="AC161" s="2" t="s">
        <v>74</v>
      </c>
      <c r="AD161" s="2" t="s">
        <v>74</v>
      </c>
      <c r="AE161" s="2" t="s">
        <v>74</v>
      </c>
      <c r="AF161" s="2" t="s">
        <v>74</v>
      </c>
      <c r="AG161" s="2" t="s">
        <v>74</v>
      </c>
      <c r="AH161" s="2" t="s">
        <v>74</v>
      </c>
      <c r="AI161" s="2" t="s">
        <v>74</v>
      </c>
      <c r="AJ161" s="2" t="s">
        <v>74</v>
      </c>
      <c r="AK161" s="2" t="s">
        <v>74</v>
      </c>
      <c r="AL161" s="2" t="s">
        <v>74</v>
      </c>
      <c r="AM161" s="2" t="s">
        <v>74</v>
      </c>
      <c r="AN161" s="2" t="s">
        <v>74</v>
      </c>
      <c r="AO161" s="2" t="s">
        <v>81</v>
      </c>
      <c r="AP161" s="2" t="s">
        <v>74</v>
      </c>
      <c r="AQ161" s="2" t="s">
        <v>74</v>
      </c>
      <c r="AR161" s="2" t="s">
        <v>74</v>
      </c>
      <c r="AS161" s="2" t="s">
        <v>74</v>
      </c>
      <c r="AT161" s="2" t="s">
        <v>74</v>
      </c>
      <c r="AU161" s="2">
        <v>1975</v>
      </c>
      <c r="AV161" s="2">
        <v>54</v>
      </c>
      <c r="AW161" s="2" t="s">
        <v>74</v>
      </c>
      <c r="AX161" s="2" t="s">
        <v>74</v>
      </c>
      <c r="AY161" s="2" t="s">
        <v>74</v>
      </c>
      <c r="AZ161" s="2" t="s">
        <v>74</v>
      </c>
      <c r="BA161" s="2" t="s">
        <v>74</v>
      </c>
      <c r="BB161" s="2">
        <v>72</v>
      </c>
      <c r="BC161" s="2">
        <v>96</v>
      </c>
      <c r="BD161" s="2" t="s">
        <v>74</v>
      </c>
      <c r="BE161" s="2" t="s">
        <v>2810</v>
      </c>
      <c r="BF161" s="2" t="str">
        <f>HYPERLINK("http://dx.doi.org/10.1163/156853975X00344","http://dx.doi.org/10.1163/156853975X00344")</f>
        <v>http://dx.doi.org/10.1163/156853975X00344</v>
      </c>
      <c r="BG161" s="2" t="s">
        <v>74</v>
      </c>
      <c r="BH161" s="2" t="s">
        <v>74</v>
      </c>
      <c r="BI161" s="2" t="s">
        <v>74</v>
      </c>
      <c r="BJ161" s="2" t="s">
        <v>74</v>
      </c>
      <c r="BK161" s="2" t="s">
        <v>74</v>
      </c>
      <c r="BL161" s="2" t="s">
        <v>74</v>
      </c>
      <c r="BM161" s="2" t="s">
        <v>74</v>
      </c>
      <c r="BN161" s="2" t="s">
        <v>74</v>
      </c>
      <c r="BO161" s="2" t="s">
        <v>74</v>
      </c>
      <c r="BP161" s="2" t="s">
        <v>74</v>
      </c>
      <c r="BQ161" s="2" t="s">
        <v>74</v>
      </c>
      <c r="BR161" s="2" t="s">
        <v>74</v>
      </c>
      <c r="BS161" s="2" t="s">
        <v>2811</v>
      </c>
      <c r="BT161" s="2" t="str">
        <f>HYPERLINK("https%3A%2F%2Fwww.webofscience.com%2Fwos%2Fwoscc%2Ffull-record%2FWOS:A1975AN77800005","View Full Record in Web of Science")</f>
        <v>View Full Record in Web of Science</v>
      </c>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row>
    <row r="162" spans="1:314" s="2" customFormat="1" x14ac:dyDescent="0.4">
      <c r="A162" s="2" t="s">
        <v>72</v>
      </c>
      <c r="B162" s="2" t="s">
        <v>1316</v>
      </c>
      <c r="C162" s="2" t="s">
        <v>74</v>
      </c>
      <c r="D162" s="2" t="s">
        <v>74</v>
      </c>
      <c r="E162" s="2" t="s">
        <v>74</v>
      </c>
      <c r="F162" s="2" t="s">
        <v>1316</v>
      </c>
      <c r="G162" s="2" t="s">
        <v>74</v>
      </c>
      <c r="H162" s="2" t="s">
        <v>74</v>
      </c>
      <c r="I162" s="2" t="s">
        <v>1317</v>
      </c>
      <c r="J162" s="2" t="s">
        <v>77</v>
      </c>
      <c r="K162" s="2" t="s">
        <v>74</v>
      </c>
      <c r="L162" s="2" t="s">
        <v>74</v>
      </c>
      <c r="M162" s="2" t="s">
        <v>74</v>
      </c>
      <c r="N162" s="2" t="s">
        <v>74</v>
      </c>
      <c r="O162" s="2" t="s">
        <v>74</v>
      </c>
      <c r="P162" s="2" t="s">
        <v>74</v>
      </c>
      <c r="Q162" s="2" t="s">
        <v>74</v>
      </c>
      <c r="R162" s="2" t="s">
        <v>74</v>
      </c>
      <c r="S162" s="2" t="s">
        <v>74</v>
      </c>
      <c r="T162" s="2" t="s">
        <v>74</v>
      </c>
      <c r="U162" s="2" t="s">
        <v>74</v>
      </c>
      <c r="V162" s="5" t="s">
        <v>1318</v>
      </c>
      <c r="W162" s="2" t="s">
        <v>74</v>
      </c>
      <c r="X162" s="2" t="s">
        <v>74</v>
      </c>
      <c r="Y162" s="2" t="s">
        <v>74</v>
      </c>
      <c r="Z162" s="2" t="s">
        <v>74</v>
      </c>
      <c r="AA162" s="2" t="s">
        <v>74</v>
      </c>
      <c r="AB162" s="2" t="s">
        <v>74</v>
      </c>
      <c r="AC162" s="2" t="s">
        <v>74</v>
      </c>
      <c r="AD162" s="2" t="s">
        <v>74</v>
      </c>
      <c r="AE162" s="2" t="s">
        <v>74</v>
      </c>
      <c r="AF162" s="2" t="s">
        <v>74</v>
      </c>
      <c r="AG162" s="2" t="s">
        <v>74</v>
      </c>
      <c r="AH162" s="2" t="s">
        <v>74</v>
      </c>
      <c r="AI162" s="2" t="s">
        <v>74</v>
      </c>
      <c r="AJ162" s="2" t="s">
        <v>74</v>
      </c>
      <c r="AK162" s="2" t="s">
        <v>74</v>
      </c>
      <c r="AL162" s="2" t="s">
        <v>74</v>
      </c>
      <c r="AM162" s="2" t="s">
        <v>74</v>
      </c>
      <c r="AN162" s="2" t="s">
        <v>74</v>
      </c>
      <c r="AO162" s="2" t="s">
        <v>81</v>
      </c>
      <c r="AP162" s="2" t="s">
        <v>82</v>
      </c>
      <c r="AQ162" s="2" t="s">
        <v>74</v>
      </c>
      <c r="AR162" s="2" t="s">
        <v>74</v>
      </c>
      <c r="AS162" s="2" t="s">
        <v>74</v>
      </c>
      <c r="AT162" s="2" t="s">
        <v>74</v>
      </c>
      <c r="AU162" s="2">
        <v>1982</v>
      </c>
      <c r="AV162" s="2">
        <v>80</v>
      </c>
      <c r="AW162" s="2" t="s">
        <v>74</v>
      </c>
      <c r="AX162" s="2" t="s">
        <v>1276</v>
      </c>
      <c r="AY162" s="2" t="s">
        <v>74</v>
      </c>
      <c r="AZ162" s="2" t="s">
        <v>74</v>
      </c>
      <c r="BA162" s="2" t="s">
        <v>74</v>
      </c>
      <c r="BB162" s="2">
        <v>127</v>
      </c>
      <c r="BC162" s="2">
        <v>142</v>
      </c>
      <c r="BD162" s="2" t="s">
        <v>74</v>
      </c>
      <c r="BE162" s="2" t="s">
        <v>1319</v>
      </c>
      <c r="BF162" s="2" t="str">
        <f>HYPERLINK("http://dx.doi.org/10.1163/156853982X00328","http://dx.doi.org/10.1163/156853982X00328")</f>
        <v>http://dx.doi.org/10.1163/156853982X00328</v>
      </c>
      <c r="BG162" s="2" t="s">
        <v>74</v>
      </c>
      <c r="BH162" s="2" t="s">
        <v>74</v>
      </c>
      <c r="BI162" s="2" t="s">
        <v>74</v>
      </c>
      <c r="BJ162" s="2" t="s">
        <v>74</v>
      </c>
      <c r="BK162" s="2" t="s">
        <v>74</v>
      </c>
      <c r="BL162" s="2" t="s">
        <v>74</v>
      </c>
      <c r="BM162" s="2" t="s">
        <v>74</v>
      </c>
      <c r="BN162" s="2" t="s">
        <v>74</v>
      </c>
      <c r="BO162" s="2" t="s">
        <v>74</v>
      </c>
      <c r="BP162" s="2" t="s">
        <v>74</v>
      </c>
      <c r="BQ162" s="2" t="s">
        <v>74</v>
      </c>
      <c r="BR162" s="2" t="s">
        <v>74</v>
      </c>
      <c r="BS162" s="2" t="s">
        <v>1320</v>
      </c>
      <c r="BT162" s="2" t="str">
        <f>HYPERLINK("https%3A%2F%2Fwww.webofscience.com%2Fwos%2Fwoscc%2Ffull-record%2FWOS:A1982PH83900001","View Full Record in Web of Science")</f>
        <v>View Full Record in Web of Science</v>
      </c>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row>
    <row r="163" spans="1:314" s="2" customFormat="1" x14ac:dyDescent="0.4">
      <c r="A163" s="2" t="s">
        <v>72</v>
      </c>
      <c r="B163" s="2" t="s">
        <v>4331</v>
      </c>
      <c r="C163" s="2" t="s">
        <v>74</v>
      </c>
      <c r="D163" s="2" t="s">
        <v>74</v>
      </c>
      <c r="E163" s="2" t="s">
        <v>74</v>
      </c>
      <c r="F163" s="2" t="s">
        <v>4331</v>
      </c>
      <c r="G163" s="2" t="s">
        <v>74</v>
      </c>
      <c r="H163" s="2" t="s">
        <v>74</v>
      </c>
      <c r="I163" s="2" t="s">
        <v>4332</v>
      </c>
      <c r="J163" s="2" t="s">
        <v>4333</v>
      </c>
      <c r="K163" s="2" t="s">
        <v>74</v>
      </c>
      <c r="L163" s="2" t="s">
        <v>74</v>
      </c>
      <c r="M163" s="2" t="s">
        <v>74</v>
      </c>
      <c r="N163" s="2" t="s">
        <v>74</v>
      </c>
      <c r="O163" s="2" t="s">
        <v>74</v>
      </c>
      <c r="P163" s="2" t="s">
        <v>74</v>
      </c>
      <c r="Q163" s="2" t="s">
        <v>74</v>
      </c>
      <c r="R163" s="2" t="s">
        <v>74</v>
      </c>
      <c r="S163" s="2" t="s">
        <v>74</v>
      </c>
      <c r="T163" s="2" t="s">
        <v>74</v>
      </c>
      <c r="U163" s="2" t="s">
        <v>74</v>
      </c>
      <c r="V163" s="5" t="s">
        <v>4334</v>
      </c>
      <c r="W163" s="2" t="s">
        <v>74</v>
      </c>
      <c r="X163" s="2" t="s">
        <v>74</v>
      </c>
      <c r="Y163" s="2" t="s">
        <v>74</v>
      </c>
      <c r="Z163" s="2" t="s">
        <v>74</v>
      </c>
      <c r="AA163" s="2" t="s">
        <v>74</v>
      </c>
      <c r="AB163" s="2" t="s">
        <v>74</v>
      </c>
      <c r="AC163" s="2" t="s">
        <v>74</v>
      </c>
      <c r="AD163" s="2" t="s">
        <v>74</v>
      </c>
      <c r="AE163" s="2" t="s">
        <v>74</v>
      </c>
      <c r="AF163" s="2" t="s">
        <v>74</v>
      </c>
      <c r="AG163" s="2" t="s">
        <v>74</v>
      </c>
      <c r="AH163" s="2" t="s">
        <v>74</v>
      </c>
      <c r="AI163" s="2" t="s">
        <v>74</v>
      </c>
      <c r="AJ163" s="2" t="s">
        <v>74</v>
      </c>
      <c r="AK163" s="2" t="s">
        <v>74</v>
      </c>
      <c r="AL163" s="2" t="s">
        <v>74</v>
      </c>
      <c r="AM163" s="2" t="s">
        <v>74</v>
      </c>
      <c r="AN163" s="2" t="s">
        <v>74</v>
      </c>
      <c r="AO163" s="2" t="s">
        <v>4335</v>
      </c>
      <c r="AP163" s="2" t="s">
        <v>74</v>
      </c>
      <c r="AQ163" s="2" t="s">
        <v>74</v>
      </c>
      <c r="AR163" s="2" t="s">
        <v>74</v>
      </c>
      <c r="AS163" s="2" t="s">
        <v>74</v>
      </c>
      <c r="AT163" s="2" t="s">
        <v>74</v>
      </c>
      <c r="AU163" s="2">
        <v>1984</v>
      </c>
      <c r="AV163" s="2">
        <v>9</v>
      </c>
      <c r="AW163" s="2">
        <v>2</v>
      </c>
      <c r="AX163" s="2" t="s">
        <v>74</v>
      </c>
      <c r="AY163" s="2" t="s">
        <v>74</v>
      </c>
      <c r="AZ163" s="2" t="s">
        <v>74</v>
      </c>
      <c r="BA163" s="2" t="s">
        <v>74</v>
      </c>
      <c r="BB163" s="2">
        <v>115</v>
      </c>
      <c r="BC163" s="2">
        <v>130</v>
      </c>
      <c r="BD163" s="2" t="s">
        <v>74</v>
      </c>
      <c r="BE163" s="2" t="s">
        <v>74</v>
      </c>
      <c r="BF163" s="2" t="s">
        <v>74</v>
      </c>
      <c r="BG163" s="2" t="s">
        <v>74</v>
      </c>
      <c r="BH163" s="2" t="s">
        <v>74</v>
      </c>
      <c r="BI163" s="2" t="s">
        <v>74</v>
      </c>
      <c r="BJ163" s="2" t="s">
        <v>74</v>
      </c>
      <c r="BK163" s="2" t="s">
        <v>74</v>
      </c>
      <c r="BL163" s="2" t="s">
        <v>74</v>
      </c>
      <c r="BM163" s="2" t="s">
        <v>74</v>
      </c>
      <c r="BN163" s="2" t="s">
        <v>74</v>
      </c>
      <c r="BO163" s="2" t="s">
        <v>74</v>
      </c>
      <c r="BP163" s="2" t="s">
        <v>74</v>
      </c>
      <c r="BQ163" s="2" t="s">
        <v>74</v>
      </c>
      <c r="BR163" s="2" t="s">
        <v>74</v>
      </c>
      <c r="BS163" s="2" t="s">
        <v>4336</v>
      </c>
      <c r="BT163" s="2" t="str">
        <f>HYPERLINK("https%3A%2F%2Fwww.webofscience.com%2Fwos%2Fwoscc%2Ffull-record%2FWOS:A1984SS90700002","View Full Record in Web of Science")</f>
        <v>View Full Record in Web of Science</v>
      </c>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row>
    <row r="164" spans="1:314" s="2" customFormat="1" x14ac:dyDescent="0.4">
      <c r="A164" s="2" t="s">
        <v>72</v>
      </c>
      <c r="B164" s="2" t="s">
        <v>325</v>
      </c>
      <c r="C164" s="2" t="s">
        <v>74</v>
      </c>
      <c r="D164" s="2" t="s">
        <v>74</v>
      </c>
      <c r="E164" s="2" t="s">
        <v>74</v>
      </c>
      <c r="F164" s="2" t="s">
        <v>325</v>
      </c>
      <c r="G164" s="2" t="s">
        <v>74</v>
      </c>
      <c r="H164" s="2" t="s">
        <v>74</v>
      </c>
      <c r="I164" s="2" t="s">
        <v>326</v>
      </c>
      <c r="J164" s="2" t="s">
        <v>140</v>
      </c>
      <c r="K164" s="2" t="s">
        <v>74</v>
      </c>
      <c r="L164" s="2" t="s">
        <v>74</v>
      </c>
      <c r="M164" s="2" t="s">
        <v>74</v>
      </c>
      <c r="N164" s="2" t="s">
        <v>74</v>
      </c>
      <c r="O164" s="2" t="s">
        <v>74</v>
      </c>
      <c r="P164" s="2" t="s">
        <v>74</v>
      </c>
      <c r="Q164" s="2" t="s">
        <v>74</v>
      </c>
      <c r="R164" s="2" t="s">
        <v>74</v>
      </c>
      <c r="S164" s="2" t="s">
        <v>74</v>
      </c>
      <c r="T164" s="2" t="s">
        <v>74</v>
      </c>
      <c r="U164" s="2" t="s">
        <v>74</v>
      </c>
      <c r="V164" s="5" t="s">
        <v>327</v>
      </c>
      <c r="W164" s="2" t="s">
        <v>74</v>
      </c>
      <c r="X164" s="2" t="s">
        <v>74</v>
      </c>
      <c r="Y164" s="2" t="s">
        <v>74</v>
      </c>
      <c r="Z164" s="2" t="s">
        <v>74</v>
      </c>
      <c r="AA164" s="2" t="s">
        <v>74</v>
      </c>
      <c r="AB164" s="2" t="s">
        <v>74</v>
      </c>
      <c r="AC164" s="2" t="s">
        <v>74</v>
      </c>
      <c r="AD164" s="2" t="s">
        <v>74</v>
      </c>
      <c r="AE164" s="2" t="s">
        <v>74</v>
      </c>
      <c r="AF164" s="2" t="s">
        <v>74</v>
      </c>
      <c r="AG164" s="2" t="s">
        <v>74</v>
      </c>
      <c r="AH164" s="2" t="s">
        <v>74</v>
      </c>
      <c r="AI164" s="2" t="s">
        <v>74</v>
      </c>
      <c r="AJ164" s="2" t="s">
        <v>74</v>
      </c>
      <c r="AK164" s="2" t="s">
        <v>74</v>
      </c>
      <c r="AL164" s="2" t="s">
        <v>74</v>
      </c>
      <c r="AM164" s="2" t="s">
        <v>74</v>
      </c>
      <c r="AN164" s="2" t="s">
        <v>74</v>
      </c>
      <c r="AO164" s="2" t="s">
        <v>143</v>
      </c>
      <c r="AP164" s="2" t="s">
        <v>144</v>
      </c>
      <c r="AQ164" s="2" t="s">
        <v>74</v>
      </c>
      <c r="AR164" s="2" t="s">
        <v>74</v>
      </c>
      <c r="AS164" s="2" t="s">
        <v>74</v>
      </c>
      <c r="AT164" s="2" t="s">
        <v>74</v>
      </c>
      <c r="AU164" s="2">
        <v>1976</v>
      </c>
      <c r="AV164" s="2">
        <v>24</v>
      </c>
      <c r="AW164" s="2" t="s">
        <v>213</v>
      </c>
      <c r="AX164" s="2" t="s">
        <v>74</v>
      </c>
      <c r="AY164" s="2" t="s">
        <v>74</v>
      </c>
      <c r="AZ164" s="2" t="s">
        <v>74</v>
      </c>
      <c r="BA164" s="2" t="s">
        <v>74</v>
      </c>
      <c r="BB164" s="2">
        <v>814</v>
      </c>
      <c r="BC164" s="2">
        <v>817</v>
      </c>
      <c r="BD164" s="2" t="s">
        <v>74</v>
      </c>
      <c r="BE164" s="2" t="s">
        <v>328</v>
      </c>
      <c r="BF164" s="2" t="str">
        <f>HYPERLINK("http://dx.doi.org/10.1016/S0003-3472(76)80011-5","http://dx.doi.org/10.1016/S0003-3472(76)80011-5")</f>
        <v>http://dx.doi.org/10.1016/S0003-3472(76)80011-5</v>
      </c>
      <c r="BG164" s="2" t="s">
        <v>74</v>
      </c>
      <c r="BH164" s="2" t="s">
        <v>74</v>
      </c>
      <c r="BI164" s="2" t="s">
        <v>74</v>
      </c>
      <c r="BJ164" s="2" t="s">
        <v>74</v>
      </c>
      <c r="BK164" s="2" t="s">
        <v>74</v>
      </c>
      <c r="BL164" s="2" t="s">
        <v>74</v>
      </c>
      <c r="BM164" s="2" t="s">
        <v>74</v>
      </c>
      <c r="BN164" s="2" t="s">
        <v>74</v>
      </c>
      <c r="BO164" s="2" t="s">
        <v>74</v>
      </c>
      <c r="BP164" s="2" t="s">
        <v>74</v>
      </c>
      <c r="BQ164" s="2" t="s">
        <v>74</v>
      </c>
      <c r="BR164" s="2" t="s">
        <v>74</v>
      </c>
      <c r="BS164" s="2" t="s">
        <v>329</v>
      </c>
      <c r="BT164" s="2" t="str">
        <f>HYPERLINK("https%3A%2F%2Fwww.webofscience.com%2Fwos%2Fwoscc%2Ffull-record%2FWOS:A1976CN83700010","View Full Record in Web of Science")</f>
        <v>View Full Record in Web of Science</v>
      </c>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row>
    <row r="165" spans="1:314" s="2" customFormat="1" x14ac:dyDescent="0.4">
      <c r="A165" s="2" t="s">
        <v>72</v>
      </c>
      <c r="B165" s="2" t="s">
        <v>7190</v>
      </c>
      <c r="C165" s="2" t="s">
        <v>74</v>
      </c>
      <c r="D165" s="2" t="s">
        <v>74</v>
      </c>
      <c r="E165" s="2" t="s">
        <v>74</v>
      </c>
      <c r="F165" s="2" t="s">
        <v>7191</v>
      </c>
      <c r="G165" s="2" t="s">
        <v>74</v>
      </c>
      <c r="H165" s="2" t="s">
        <v>74</v>
      </c>
      <c r="I165" s="2" t="s">
        <v>7192</v>
      </c>
      <c r="J165" s="2" t="s">
        <v>4661</v>
      </c>
      <c r="K165" s="2" t="s">
        <v>74</v>
      </c>
      <c r="L165" s="2" t="s">
        <v>74</v>
      </c>
      <c r="M165" s="2" t="s">
        <v>74</v>
      </c>
      <c r="N165" s="2" t="s">
        <v>74</v>
      </c>
      <c r="O165" s="2" t="s">
        <v>74</v>
      </c>
      <c r="P165" s="2" t="s">
        <v>74</v>
      </c>
      <c r="Q165" s="2" t="s">
        <v>74</v>
      </c>
      <c r="R165" s="2" t="s">
        <v>74</v>
      </c>
      <c r="S165" s="2" t="s">
        <v>74</v>
      </c>
      <c r="T165" s="2" t="s">
        <v>74</v>
      </c>
      <c r="U165" s="2" t="s">
        <v>74</v>
      </c>
      <c r="V165" s="5" t="s">
        <v>7193</v>
      </c>
      <c r="W165" s="2" t="s">
        <v>74</v>
      </c>
      <c r="X165" s="2" t="s">
        <v>74</v>
      </c>
      <c r="Y165" s="2" t="s">
        <v>74</v>
      </c>
      <c r="Z165" s="2" t="s">
        <v>74</v>
      </c>
      <c r="AA165" s="2" t="s">
        <v>74</v>
      </c>
      <c r="AB165" s="2" t="s">
        <v>74</v>
      </c>
      <c r="AC165" s="2" t="s">
        <v>74</v>
      </c>
      <c r="AD165" s="2" t="s">
        <v>74</v>
      </c>
      <c r="AE165" s="2" t="s">
        <v>74</v>
      </c>
      <c r="AF165" s="2" t="s">
        <v>74</v>
      </c>
      <c r="AG165" s="2" t="s">
        <v>74</v>
      </c>
      <c r="AH165" s="2" t="s">
        <v>74</v>
      </c>
      <c r="AI165" s="2" t="s">
        <v>74</v>
      </c>
      <c r="AJ165" s="2" t="s">
        <v>74</v>
      </c>
      <c r="AK165" s="2" t="s">
        <v>74</v>
      </c>
      <c r="AL165" s="2" t="s">
        <v>74</v>
      </c>
      <c r="AM165" s="2" t="s">
        <v>74</v>
      </c>
      <c r="AN165" s="2" t="s">
        <v>74</v>
      </c>
      <c r="AO165" s="2" t="s">
        <v>4663</v>
      </c>
      <c r="AP165" s="2" t="s">
        <v>74</v>
      </c>
      <c r="AQ165" s="2" t="s">
        <v>74</v>
      </c>
      <c r="AR165" s="2" t="s">
        <v>74</v>
      </c>
      <c r="AS165" s="2" t="s">
        <v>74</v>
      </c>
      <c r="AT165" s="2" t="s">
        <v>74</v>
      </c>
      <c r="AU165" s="2">
        <v>2010</v>
      </c>
      <c r="AV165" s="2">
        <v>38</v>
      </c>
      <c r="AW165" s="2">
        <v>3</v>
      </c>
      <c r="AX165" s="2" t="s">
        <v>74</v>
      </c>
      <c r="AY165" s="2" t="s">
        <v>74</v>
      </c>
      <c r="AZ165" s="2" t="s">
        <v>74</v>
      </c>
      <c r="BA165" s="2" t="s">
        <v>74</v>
      </c>
      <c r="BB165" s="2">
        <v>485</v>
      </c>
      <c r="BC165" s="2">
        <v>494</v>
      </c>
      <c r="BD165" s="2" t="s">
        <v>74</v>
      </c>
      <c r="BE165" s="2" t="s">
        <v>7194</v>
      </c>
      <c r="BF165" s="2" t="str">
        <f>HYPERLINK("http://dx.doi.org/10.1636/B10-05.1","http://dx.doi.org/10.1636/B10-05.1")</f>
        <v>http://dx.doi.org/10.1636/B10-05.1</v>
      </c>
      <c r="BG165" s="2" t="s">
        <v>74</v>
      </c>
      <c r="BH165" s="2" t="s">
        <v>74</v>
      </c>
      <c r="BI165" s="2" t="s">
        <v>74</v>
      </c>
      <c r="BJ165" s="2" t="s">
        <v>74</v>
      </c>
      <c r="BK165" s="2" t="s">
        <v>74</v>
      </c>
      <c r="BL165" s="2" t="s">
        <v>74</v>
      </c>
      <c r="BM165" s="2" t="s">
        <v>74</v>
      </c>
      <c r="BN165" s="2" t="s">
        <v>74</v>
      </c>
      <c r="BO165" s="2" t="s">
        <v>74</v>
      </c>
      <c r="BP165" s="2" t="s">
        <v>74</v>
      </c>
      <c r="BQ165" s="2" t="s">
        <v>74</v>
      </c>
      <c r="BR165" s="2" t="s">
        <v>74</v>
      </c>
      <c r="BS165" s="2" t="s">
        <v>7195</v>
      </c>
      <c r="BT165" s="2" t="str">
        <f>HYPERLINK("https%3A%2F%2Fwww.webofscience.com%2Fwos%2Fwoscc%2Ffull-record%2FWOS:000297386000013","View Full Record in Web of Science")</f>
        <v>View Full Record in Web of Science</v>
      </c>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row>
    <row r="166" spans="1:314" s="2" customFormat="1" x14ac:dyDescent="0.4">
      <c r="A166" s="2" t="s">
        <v>72</v>
      </c>
      <c r="B166" s="2" t="s">
        <v>4976</v>
      </c>
      <c r="C166" s="2" t="s">
        <v>74</v>
      </c>
      <c r="D166" s="2" t="s">
        <v>74</v>
      </c>
      <c r="E166" s="2" t="s">
        <v>74</v>
      </c>
      <c r="F166" s="2" t="s">
        <v>4977</v>
      </c>
      <c r="G166" s="2" t="s">
        <v>74</v>
      </c>
      <c r="H166" s="2" t="s">
        <v>74</v>
      </c>
      <c r="I166" s="2" t="s">
        <v>4978</v>
      </c>
      <c r="J166" s="2" t="s">
        <v>970</v>
      </c>
      <c r="K166" s="2" t="s">
        <v>74</v>
      </c>
      <c r="L166" s="2" t="s">
        <v>74</v>
      </c>
      <c r="M166" s="2" t="s">
        <v>74</v>
      </c>
      <c r="N166" s="2" t="s">
        <v>74</v>
      </c>
      <c r="O166" s="2" t="s">
        <v>74</v>
      </c>
      <c r="P166" s="2" t="s">
        <v>74</v>
      </c>
      <c r="Q166" s="2" t="s">
        <v>74</v>
      </c>
      <c r="R166" s="2" t="s">
        <v>74</v>
      </c>
      <c r="S166" s="2" t="s">
        <v>74</v>
      </c>
      <c r="T166" s="2" t="s">
        <v>74</v>
      </c>
      <c r="U166" s="2" t="s">
        <v>74</v>
      </c>
      <c r="V166" s="5" t="s">
        <v>4979</v>
      </c>
      <c r="W166" s="2" t="s">
        <v>74</v>
      </c>
      <c r="X166" s="2" t="s">
        <v>74</v>
      </c>
      <c r="Y166" s="2" t="s">
        <v>74</v>
      </c>
      <c r="Z166" s="2" t="s">
        <v>74</v>
      </c>
      <c r="AA166" s="2" t="s">
        <v>74</v>
      </c>
      <c r="AB166" s="2" t="s">
        <v>4980</v>
      </c>
      <c r="AC166" s="2" t="s">
        <v>74</v>
      </c>
      <c r="AD166" s="2" t="s">
        <v>74</v>
      </c>
      <c r="AE166" s="2" t="s">
        <v>74</v>
      </c>
      <c r="AF166" s="2" t="s">
        <v>74</v>
      </c>
      <c r="AG166" s="2" t="s">
        <v>74</v>
      </c>
      <c r="AH166" s="2" t="s">
        <v>74</v>
      </c>
      <c r="AI166" s="2" t="s">
        <v>74</v>
      </c>
      <c r="AJ166" s="2" t="s">
        <v>74</v>
      </c>
      <c r="AK166" s="2" t="s">
        <v>74</v>
      </c>
      <c r="AL166" s="2" t="s">
        <v>74</v>
      </c>
      <c r="AM166" s="2" t="s">
        <v>74</v>
      </c>
      <c r="AN166" s="2" t="s">
        <v>74</v>
      </c>
      <c r="AO166" s="2" t="s">
        <v>974</v>
      </c>
      <c r="AP166" s="2" t="s">
        <v>975</v>
      </c>
      <c r="AQ166" s="2" t="s">
        <v>74</v>
      </c>
      <c r="AR166" s="2" t="s">
        <v>74</v>
      </c>
      <c r="AS166" s="2" t="s">
        <v>74</v>
      </c>
      <c r="AT166" s="2" t="s">
        <v>204</v>
      </c>
      <c r="AU166" s="2">
        <v>2021</v>
      </c>
      <c r="AV166" s="2">
        <v>162</v>
      </c>
      <c r="AW166" s="2">
        <v>3</v>
      </c>
      <c r="AX166" s="2" t="s">
        <v>74</v>
      </c>
      <c r="AY166" s="2" t="s">
        <v>74</v>
      </c>
      <c r="AZ166" s="2" t="s">
        <v>74</v>
      </c>
      <c r="BA166" s="2" t="s">
        <v>74</v>
      </c>
      <c r="BB166" s="2">
        <v>737</v>
      </c>
      <c r="BC166" s="2">
        <v>748</v>
      </c>
      <c r="BD166" s="2" t="s">
        <v>74</v>
      </c>
      <c r="BE166" s="2" t="s">
        <v>4981</v>
      </c>
      <c r="BF166" s="2" t="str">
        <f>HYPERLINK("http://dx.doi.org/10.1007/s10336-021-01864-2","http://dx.doi.org/10.1007/s10336-021-01864-2")</f>
        <v>http://dx.doi.org/10.1007/s10336-021-01864-2</v>
      </c>
      <c r="BG166" s="2" t="s">
        <v>74</v>
      </c>
      <c r="BH166" s="2" t="s">
        <v>2411</v>
      </c>
      <c r="BI166" s="2" t="s">
        <v>74</v>
      </c>
      <c r="BJ166" s="2" t="s">
        <v>74</v>
      </c>
      <c r="BK166" s="2" t="s">
        <v>74</v>
      </c>
      <c r="BL166" s="2" t="s">
        <v>74</v>
      </c>
      <c r="BM166" s="2" t="s">
        <v>74</v>
      </c>
      <c r="BN166" s="2" t="s">
        <v>74</v>
      </c>
      <c r="BO166" s="2" t="s">
        <v>74</v>
      </c>
      <c r="BP166" s="2" t="s">
        <v>74</v>
      </c>
      <c r="BQ166" s="2" t="s">
        <v>74</v>
      </c>
      <c r="BR166" s="2" t="s">
        <v>74</v>
      </c>
      <c r="BS166" s="2" t="s">
        <v>4982</v>
      </c>
      <c r="BT166" s="2" t="str">
        <f>HYPERLINK("https%3A%2F%2Fwww.webofscience.com%2Fwos%2Fwoscc%2Ffull-record%2FWOS:000619907200001","View Full Record in Web of Science")</f>
        <v>View Full Record in Web of Science</v>
      </c>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row>
    <row r="167" spans="1:314" s="2" customFormat="1" x14ac:dyDescent="0.4">
      <c r="A167" s="2" t="s">
        <v>72</v>
      </c>
      <c r="B167" s="2" t="s">
        <v>5056</v>
      </c>
      <c r="C167" s="2" t="s">
        <v>74</v>
      </c>
      <c r="D167" s="2" t="s">
        <v>74</v>
      </c>
      <c r="E167" s="2" t="s">
        <v>74</v>
      </c>
      <c r="F167" s="2" t="s">
        <v>5057</v>
      </c>
      <c r="G167" s="2" t="s">
        <v>74</v>
      </c>
      <c r="H167" s="2" t="s">
        <v>74</v>
      </c>
      <c r="I167" s="2" t="s">
        <v>5058</v>
      </c>
      <c r="J167" s="2" t="s">
        <v>431</v>
      </c>
      <c r="K167" s="2" t="s">
        <v>74</v>
      </c>
      <c r="L167" s="2" t="s">
        <v>74</v>
      </c>
      <c r="M167" s="2" t="s">
        <v>74</v>
      </c>
      <c r="N167" s="2" t="s">
        <v>74</v>
      </c>
      <c r="O167" s="2" t="s">
        <v>74</v>
      </c>
      <c r="P167" s="2" t="s">
        <v>74</v>
      </c>
      <c r="Q167" s="2" t="s">
        <v>74</v>
      </c>
      <c r="R167" s="2" t="s">
        <v>74</v>
      </c>
      <c r="S167" s="2" t="s">
        <v>74</v>
      </c>
      <c r="T167" s="2" t="s">
        <v>74</v>
      </c>
      <c r="U167" s="2" t="s">
        <v>74</v>
      </c>
      <c r="V167" s="5" t="s">
        <v>5059</v>
      </c>
      <c r="W167" s="2" t="s">
        <v>74</v>
      </c>
      <c r="X167" s="2" t="s">
        <v>74</v>
      </c>
      <c r="Y167" s="2" t="s">
        <v>74</v>
      </c>
      <c r="Z167" s="2" t="s">
        <v>74</v>
      </c>
      <c r="AA167" s="2" t="s">
        <v>74</v>
      </c>
      <c r="AB167" s="2" t="s">
        <v>5060</v>
      </c>
      <c r="AC167" s="2" t="s">
        <v>74</v>
      </c>
      <c r="AD167" s="2" t="s">
        <v>74</v>
      </c>
      <c r="AE167" s="2" t="s">
        <v>74</v>
      </c>
      <c r="AF167" s="2" t="s">
        <v>74</v>
      </c>
      <c r="AG167" s="2" t="s">
        <v>74</v>
      </c>
      <c r="AH167" s="2" t="s">
        <v>74</v>
      </c>
      <c r="AI167" s="2" t="s">
        <v>74</v>
      </c>
      <c r="AJ167" s="2" t="s">
        <v>74</v>
      </c>
      <c r="AK167" s="2" t="s">
        <v>74</v>
      </c>
      <c r="AL167" s="2" t="s">
        <v>74</v>
      </c>
      <c r="AM167" s="2" t="s">
        <v>74</v>
      </c>
      <c r="AN167" s="2" t="s">
        <v>74</v>
      </c>
      <c r="AO167" s="2" t="s">
        <v>74</v>
      </c>
      <c r="AP167" s="2" t="s">
        <v>435</v>
      </c>
      <c r="AQ167" s="2" t="s">
        <v>74</v>
      </c>
      <c r="AR167" s="2" t="s">
        <v>74</v>
      </c>
      <c r="AS167" s="2" t="s">
        <v>74</v>
      </c>
      <c r="AT167" s="2" t="s">
        <v>204</v>
      </c>
      <c r="AU167" s="2">
        <v>2016</v>
      </c>
      <c r="AV167" s="2">
        <v>133</v>
      </c>
      <c r="AW167" s="2">
        <v>3</v>
      </c>
      <c r="AX167" s="2" t="s">
        <v>74</v>
      </c>
      <c r="AY167" s="2" t="s">
        <v>74</v>
      </c>
      <c r="AZ167" s="2" t="s">
        <v>74</v>
      </c>
      <c r="BA167" s="2" t="s">
        <v>74</v>
      </c>
      <c r="BB167" s="2">
        <v>530</v>
      </c>
      <c r="BC167" s="2">
        <v>543</v>
      </c>
      <c r="BD167" s="2" t="s">
        <v>74</v>
      </c>
      <c r="BE167" s="2" t="s">
        <v>5061</v>
      </c>
      <c r="BF167" s="2" t="str">
        <f>HYPERLINK("http://dx.doi.org/10.1642/AUK-15-170.1","http://dx.doi.org/10.1642/AUK-15-170.1")</f>
        <v>http://dx.doi.org/10.1642/AUK-15-170.1</v>
      </c>
      <c r="BG167" s="2" t="s">
        <v>74</v>
      </c>
      <c r="BH167" s="2" t="s">
        <v>74</v>
      </c>
      <c r="BI167" s="2" t="s">
        <v>74</v>
      </c>
      <c r="BJ167" s="2" t="s">
        <v>74</v>
      </c>
      <c r="BK167" s="2" t="s">
        <v>74</v>
      </c>
      <c r="BL167" s="2" t="s">
        <v>74</v>
      </c>
      <c r="BM167" s="2" t="s">
        <v>74</v>
      </c>
      <c r="BN167" s="2" t="s">
        <v>74</v>
      </c>
      <c r="BO167" s="2" t="s">
        <v>74</v>
      </c>
      <c r="BP167" s="2" t="s">
        <v>74</v>
      </c>
      <c r="BQ167" s="2" t="s">
        <v>74</v>
      </c>
      <c r="BR167" s="2" t="s">
        <v>74</v>
      </c>
      <c r="BS167" s="2" t="s">
        <v>5062</v>
      </c>
      <c r="BT167" s="2" t="str">
        <f>HYPERLINK("https%3A%2F%2Fwww.webofscience.com%2Fwos%2Fwoscc%2Ffull-record%2FWOS:000379663400017","View Full Record in Web of Science")</f>
        <v>View Full Record in Web of Science</v>
      </c>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row>
    <row r="168" spans="1:314" s="2" customFormat="1" x14ac:dyDescent="0.4">
      <c r="A168" s="2" t="s">
        <v>72</v>
      </c>
      <c r="B168" s="2" t="s">
        <v>4286</v>
      </c>
      <c r="C168" s="2" t="s">
        <v>74</v>
      </c>
      <c r="D168" s="2" t="s">
        <v>74</v>
      </c>
      <c r="E168" s="2" t="s">
        <v>74</v>
      </c>
      <c r="F168" s="2" t="s">
        <v>4287</v>
      </c>
      <c r="G168" s="2" t="s">
        <v>74</v>
      </c>
      <c r="H168" s="2" t="s">
        <v>74</v>
      </c>
      <c r="I168" s="2" t="s">
        <v>4288</v>
      </c>
      <c r="J168" s="2" t="s">
        <v>814</v>
      </c>
      <c r="K168" s="2" t="s">
        <v>74</v>
      </c>
      <c r="L168" s="2" t="s">
        <v>74</v>
      </c>
      <c r="M168" s="2" t="s">
        <v>74</v>
      </c>
      <c r="N168" s="2" t="s">
        <v>74</v>
      </c>
      <c r="O168" s="2" t="s">
        <v>74</v>
      </c>
      <c r="P168" s="2" t="s">
        <v>74</v>
      </c>
      <c r="Q168" s="2" t="s">
        <v>74</v>
      </c>
      <c r="R168" s="2" t="s">
        <v>74</v>
      </c>
      <c r="S168" s="2" t="s">
        <v>74</v>
      </c>
      <c r="T168" s="2" t="s">
        <v>74</v>
      </c>
      <c r="U168" s="2" t="s">
        <v>74</v>
      </c>
      <c r="V168" s="5" t="s">
        <v>4289</v>
      </c>
      <c r="W168" s="2" t="s">
        <v>74</v>
      </c>
      <c r="X168" s="2" t="s">
        <v>74</v>
      </c>
      <c r="Y168" s="2" t="s">
        <v>74</v>
      </c>
      <c r="Z168" s="2" t="s">
        <v>74</v>
      </c>
      <c r="AA168" s="2" t="s">
        <v>4290</v>
      </c>
      <c r="AB168" s="2" t="s">
        <v>4291</v>
      </c>
      <c r="AC168" s="2" t="s">
        <v>74</v>
      </c>
      <c r="AD168" s="2" t="s">
        <v>74</v>
      </c>
      <c r="AE168" s="2" t="s">
        <v>74</v>
      </c>
      <c r="AF168" s="2" t="s">
        <v>74</v>
      </c>
      <c r="AG168" s="2" t="s">
        <v>74</v>
      </c>
      <c r="AH168" s="2" t="s">
        <v>74</v>
      </c>
      <c r="AI168" s="2" t="s">
        <v>74</v>
      </c>
      <c r="AJ168" s="2" t="s">
        <v>74</v>
      </c>
      <c r="AK168" s="2" t="s">
        <v>74</v>
      </c>
      <c r="AL168" s="2" t="s">
        <v>74</v>
      </c>
      <c r="AM168" s="2" t="s">
        <v>74</v>
      </c>
      <c r="AN168" s="2" t="s">
        <v>74</v>
      </c>
      <c r="AO168" s="2" t="s">
        <v>818</v>
      </c>
      <c r="AP168" s="2" t="s">
        <v>74</v>
      </c>
      <c r="AQ168" s="2" t="s">
        <v>74</v>
      </c>
      <c r="AR168" s="2" t="s">
        <v>74</v>
      </c>
      <c r="AS168" s="2" t="s">
        <v>74</v>
      </c>
      <c r="AT168" s="2" t="s">
        <v>964</v>
      </c>
      <c r="AU168" s="2">
        <v>2011</v>
      </c>
      <c r="AV168" s="2">
        <v>114</v>
      </c>
      <c r="AW168" s="2">
        <v>1</v>
      </c>
      <c r="AX168" s="2" t="s">
        <v>74</v>
      </c>
      <c r="AY168" s="2" t="s">
        <v>74</v>
      </c>
      <c r="AZ168" s="2" t="s">
        <v>74</v>
      </c>
      <c r="BA168" s="2" t="s">
        <v>74</v>
      </c>
      <c r="BB168" s="2">
        <v>53</v>
      </c>
      <c r="BC168" s="2">
        <v>57</v>
      </c>
      <c r="BD168" s="2" t="s">
        <v>74</v>
      </c>
      <c r="BE168" s="2" t="s">
        <v>4292</v>
      </c>
      <c r="BF168" s="2" t="str">
        <f>HYPERLINK("http://dx.doi.org/10.1016/j.zool.2010.09.001","http://dx.doi.org/10.1016/j.zool.2010.09.001")</f>
        <v>http://dx.doi.org/10.1016/j.zool.2010.09.001</v>
      </c>
      <c r="BG168" s="2" t="s">
        <v>74</v>
      </c>
      <c r="BH168" s="2" t="s">
        <v>74</v>
      </c>
      <c r="BI168" s="2" t="s">
        <v>74</v>
      </c>
      <c r="BJ168" s="2" t="s">
        <v>74</v>
      </c>
      <c r="BK168" s="2" t="s">
        <v>74</v>
      </c>
      <c r="BL168" s="2" t="s">
        <v>74</v>
      </c>
      <c r="BM168" s="2" t="s">
        <v>74</v>
      </c>
      <c r="BN168" s="2">
        <v>21196103</v>
      </c>
      <c r="BO168" s="2" t="s">
        <v>74</v>
      </c>
      <c r="BP168" s="2" t="s">
        <v>74</v>
      </c>
      <c r="BQ168" s="2" t="s">
        <v>74</v>
      </c>
      <c r="BR168" s="2" t="s">
        <v>74</v>
      </c>
      <c r="BS168" s="2" t="s">
        <v>4293</v>
      </c>
      <c r="BT168" s="2" t="str">
        <f>HYPERLINK("https%3A%2F%2Fwww.webofscience.com%2Fwos%2Fwoscc%2Ffull-record%2FWOS:000289139000007","View Full Record in Web of Science")</f>
        <v>View Full Record in Web of Science</v>
      </c>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row>
    <row r="169" spans="1:314" s="1" customFormat="1" x14ac:dyDescent="0.4">
      <c r="A169" s="2" t="s">
        <v>72</v>
      </c>
      <c r="B169" s="2" t="s">
        <v>1800</v>
      </c>
      <c r="C169" s="2" t="s">
        <v>74</v>
      </c>
      <c r="D169" s="2" t="s">
        <v>74</v>
      </c>
      <c r="E169" s="2" t="s">
        <v>74</v>
      </c>
      <c r="F169" s="2" t="s">
        <v>1801</v>
      </c>
      <c r="G169" s="2" t="s">
        <v>74</v>
      </c>
      <c r="H169" s="2" t="s">
        <v>74</v>
      </c>
      <c r="I169" s="2" t="s">
        <v>1802</v>
      </c>
      <c r="J169" s="2" t="s">
        <v>1803</v>
      </c>
      <c r="K169" s="2" t="s">
        <v>74</v>
      </c>
      <c r="L169" s="2" t="s">
        <v>74</v>
      </c>
      <c r="M169" s="2" t="s">
        <v>74</v>
      </c>
      <c r="N169" s="2" t="s">
        <v>74</v>
      </c>
      <c r="O169" s="2" t="s">
        <v>74</v>
      </c>
      <c r="P169" s="2" t="s">
        <v>74</v>
      </c>
      <c r="Q169" s="2" t="s">
        <v>74</v>
      </c>
      <c r="R169" s="2" t="s">
        <v>74</v>
      </c>
      <c r="S169" s="2" t="s">
        <v>74</v>
      </c>
      <c r="T169" s="2" t="s">
        <v>74</v>
      </c>
      <c r="U169" s="2" t="s">
        <v>74</v>
      </c>
      <c r="V169" s="5" t="s">
        <v>1804</v>
      </c>
      <c r="W169" s="2" t="s">
        <v>74</v>
      </c>
      <c r="X169" s="2" t="s">
        <v>74</v>
      </c>
      <c r="Y169" s="2" t="s">
        <v>74</v>
      </c>
      <c r="Z169" s="2" t="s">
        <v>74</v>
      </c>
      <c r="AA169" s="2" t="s">
        <v>1805</v>
      </c>
      <c r="AB169" s="2" t="s">
        <v>1806</v>
      </c>
      <c r="AC169" s="2" t="s">
        <v>74</v>
      </c>
      <c r="AD169" s="2" t="s">
        <v>74</v>
      </c>
      <c r="AE169" s="2" t="s">
        <v>74</v>
      </c>
      <c r="AF169" s="2" t="s">
        <v>74</v>
      </c>
      <c r="AG169" s="2" t="s">
        <v>74</v>
      </c>
      <c r="AH169" s="2" t="s">
        <v>74</v>
      </c>
      <c r="AI169" s="2" t="s">
        <v>74</v>
      </c>
      <c r="AJ169" s="2" t="s">
        <v>74</v>
      </c>
      <c r="AK169" s="2" t="s">
        <v>74</v>
      </c>
      <c r="AL169" s="2" t="s">
        <v>74</v>
      </c>
      <c r="AM169" s="2" t="s">
        <v>74</v>
      </c>
      <c r="AN169" s="2" t="s">
        <v>74</v>
      </c>
      <c r="AO169" s="2" t="s">
        <v>1807</v>
      </c>
      <c r="AP169" s="2" t="s">
        <v>1808</v>
      </c>
      <c r="AQ169" s="2" t="s">
        <v>74</v>
      </c>
      <c r="AR169" s="2" t="s">
        <v>74</v>
      </c>
      <c r="AS169" s="2" t="s">
        <v>74</v>
      </c>
      <c r="AT169" s="2" t="s">
        <v>633</v>
      </c>
      <c r="AU169" s="2">
        <v>2015</v>
      </c>
      <c r="AV169" s="2">
        <v>29</v>
      </c>
      <c r="AW169" s="2">
        <v>4</v>
      </c>
      <c r="AX169" s="2" t="s">
        <v>74</v>
      </c>
      <c r="AY169" s="2" t="s">
        <v>74</v>
      </c>
      <c r="AZ169" s="2" t="s">
        <v>74</v>
      </c>
      <c r="BA169" s="2" t="s">
        <v>74</v>
      </c>
      <c r="BB169" s="2">
        <v>531</v>
      </c>
      <c r="BC169" s="2">
        <v>539</v>
      </c>
      <c r="BD169" s="2" t="s">
        <v>74</v>
      </c>
      <c r="BE169" s="2" t="s">
        <v>1809</v>
      </c>
      <c r="BF169" s="2" t="str">
        <f>HYPERLINK("http://dx.doi.org/10.1111/1365-2435.12363","http://dx.doi.org/10.1111/1365-2435.12363")</f>
        <v>http://dx.doi.org/10.1111/1365-2435.12363</v>
      </c>
      <c r="BG169" s="2" t="s">
        <v>74</v>
      </c>
      <c r="BH169" s="2" t="s">
        <v>74</v>
      </c>
      <c r="BI169" s="2" t="s">
        <v>74</v>
      </c>
      <c r="BJ169" s="2" t="s">
        <v>74</v>
      </c>
      <c r="BK169" s="2" t="s">
        <v>74</v>
      </c>
      <c r="BL169" s="2" t="s">
        <v>74</v>
      </c>
      <c r="BM169" s="2" t="s">
        <v>74</v>
      </c>
      <c r="BN169" s="2" t="s">
        <v>74</v>
      </c>
      <c r="BO169" s="2" t="s">
        <v>74</v>
      </c>
      <c r="BP169" s="2" t="s">
        <v>74</v>
      </c>
      <c r="BQ169" s="2" t="s">
        <v>74</v>
      </c>
      <c r="BR169" s="2" t="s">
        <v>74</v>
      </c>
      <c r="BS169" s="2" t="s">
        <v>1810</v>
      </c>
      <c r="BT169" s="2" t="str">
        <f>HYPERLINK("https%3A%2F%2Fwww.webofscience.com%2Fwos%2Fwoscc%2Ffull-record%2FWOS:000353684800011","View Full Record in Web of Science")</f>
        <v>View Full Record in Web of Science</v>
      </c>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row>
    <row r="170" spans="1:314" s="2" customFormat="1" x14ac:dyDescent="0.4">
      <c r="A170" s="2" t="s">
        <v>72</v>
      </c>
      <c r="B170" s="2" t="s">
        <v>2979</v>
      </c>
      <c r="C170" s="2" t="s">
        <v>74</v>
      </c>
      <c r="D170" s="2" t="s">
        <v>74</v>
      </c>
      <c r="E170" s="2" t="s">
        <v>74</v>
      </c>
      <c r="F170" s="2" t="s">
        <v>2979</v>
      </c>
      <c r="G170" s="2" t="s">
        <v>74</v>
      </c>
      <c r="H170" s="2" t="s">
        <v>74</v>
      </c>
      <c r="I170" s="2" t="s">
        <v>2980</v>
      </c>
      <c r="J170" s="2" t="s">
        <v>344</v>
      </c>
      <c r="K170" s="2" t="s">
        <v>74</v>
      </c>
      <c r="L170" s="2" t="s">
        <v>74</v>
      </c>
      <c r="M170" s="2" t="s">
        <v>74</v>
      </c>
      <c r="N170" s="2" t="s">
        <v>74</v>
      </c>
      <c r="O170" s="2" t="s">
        <v>74</v>
      </c>
      <c r="P170" s="2" t="s">
        <v>74</v>
      </c>
      <c r="Q170" s="2" t="s">
        <v>74</v>
      </c>
      <c r="R170" s="2" t="s">
        <v>74</v>
      </c>
      <c r="S170" s="2" t="s">
        <v>74</v>
      </c>
      <c r="T170" s="2" t="s">
        <v>74</v>
      </c>
      <c r="U170" s="2" t="s">
        <v>74</v>
      </c>
      <c r="V170" s="5" t="s">
        <v>2981</v>
      </c>
      <c r="W170" s="2" t="s">
        <v>74</v>
      </c>
      <c r="X170" s="2" t="s">
        <v>74</v>
      </c>
      <c r="Y170" s="2" t="s">
        <v>74</v>
      </c>
      <c r="Z170" s="2" t="s">
        <v>74</v>
      </c>
      <c r="AA170" s="2" t="s">
        <v>2982</v>
      </c>
      <c r="AB170" s="2" t="s">
        <v>74</v>
      </c>
      <c r="AC170" s="2" t="s">
        <v>74</v>
      </c>
      <c r="AD170" s="2" t="s">
        <v>74</v>
      </c>
      <c r="AE170" s="2" t="s">
        <v>74</v>
      </c>
      <c r="AF170" s="2" t="s">
        <v>74</v>
      </c>
      <c r="AG170" s="2" t="s">
        <v>74</v>
      </c>
      <c r="AH170" s="2" t="s">
        <v>74</v>
      </c>
      <c r="AI170" s="2" t="s">
        <v>74</v>
      </c>
      <c r="AJ170" s="2" t="s">
        <v>74</v>
      </c>
      <c r="AK170" s="2" t="s">
        <v>74</v>
      </c>
      <c r="AL170" s="2" t="s">
        <v>74</v>
      </c>
      <c r="AM170" s="2" t="s">
        <v>74</v>
      </c>
      <c r="AN170" s="2" t="s">
        <v>74</v>
      </c>
      <c r="AO170" s="2" t="s">
        <v>346</v>
      </c>
      <c r="AP170" s="2" t="s">
        <v>74</v>
      </c>
      <c r="AQ170" s="2" t="s">
        <v>74</v>
      </c>
      <c r="AR170" s="2" t="s">
        <v>74</v>
      </c>
      <c r="AS170" s="2" t="s">
        <v>74</v>
      </c>
      <c r="AT170" s="2" t="s">
        <v>305</v>
      </c>
      <c r="AU170" s="2">
        <v>1999</v>
      </c>
      <c r="AV170" s="2">
        <v>56</v>
      </c>
      <c r="AW170" s="2">
        <v>4</v>
      </c>
      <c r="AX170" s="2" t="s">
        <v>74</v>
      </c>
      <c r="AY170" s="2" t="s">
        <v>74</v>
      </c>
      <c r="AZ170" s="2" t="s">
        <v>74</v>
      </c>
      <c r="BA170" s="2" t="s">
        <v>74</v>
      </c>
      <c r="BB170" s="2">
        <v>429</v>
      </c>
      <c r="BC170" s="2">
        <v>442</v>
      </c>
      <c r="BD170" s="2" t="s">
        <v>74</v>
      </c>
      <c r="BE170" s="2" t="s">
        <v>2983</v>
      </c>
      <c r="BF170" s="2" t="str">
        <f>HYPERLINK("http://dx.doi.org/10.1023/A:1007556112449","http://dx.doi.org/10.1023/A:1007556112449")</f>
        <v>http://dx.doi.org/10.1023/A:1007556112449</v>
      </c>
      <c r="BG170" s="2" t="s">
        <v>74</v>
      </c>
      <c r="BH170" s="2" t="s">
        <v>74</v>
      </c>
      <c r="BI170" s="2" t="s">
        <v>74</v>
      </c>
      <c r="BJ170" s="2" t="s">
        <v>74</v>
      </c>
      <c r="BK170" s="2" t="s">
        <v>74</v>
      </c>
      <c r="BL170" s="2" t="s">
        <v>74</v>
      </c>
      <c r="BM170" s="2" t="s">
        <v>74</v>
      </c>
      <c r="BN170" s="2" t="s">
        <v>74</v>
      </c>
      <c r="BO170" s="2" t="s">
        <v>74</v>
      </c>
      <c r="BP170" s="2" t="s">
        <v>74</v>
      </c>
      <c r="BQ170" s="2" t="s">
        <v>74</v>
      </c>
      <c r="BR170" s="2" t="s">
        <v>74</v>
      </c>
      <c r="BS170" s="2" t="s">
        <v>2984</v>
      </c>
      <c r="BT170" s="2" t="str">
        <f>HYPERLINK("https%3A%2F%2Fwww.webofscience.com%2Fwos%2Fwoscc%2Ffull-record%2FWOS:000084346500010","View Full Record in Web of Science")</f>
        <v>View Full Record in Web of Science</v>
      </c>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row>
    <row r="171" spans="1:314" s="2" customFormat="1" x14ac:dyDescent="0.4">
      <c r="A171" s="2" t="s">
        <v>72</v>
      </c>
      <c r="B171" s="2" t="s">
        <v>3592</v>
      </c>
      <c r="C171" s="2" t="s">
        <v>74</v>
      </c>
      <c r="D171" s="2" t="s">
        <v>74</v>
      </c>
      <c r="E171" s="2" t="s">
        <v>74</v>
      </c>
      <c r="F171" s="2" t="s">
        <v>3593</v>
      </c>
      <c r="G171" s="2" t="s">
        <v>74</v>
      </c>
      <c r="H171" s="2" t="s">
        <v>74</v>
      </c>
      <c r="I171" s="2" t="s">
        <v>3594</v>
      </c>
      <c r="J171" s="2" t="s">
        <v>3595</v>
      </c>
      <c r="K171" s="2" t="s">
        <v>74</v>
      </c>
      <c r="L171" s="2" t="s">
        <v>74</v>
      </c>
      <c r="M171" s="2" t="s">
        <v>74</v>
      </c>
      <c r="N171" s="2" t="s">
        <v>74</v>
      </c>
      <c r="O171" s="2" t="s">
        <v>74</v>
      </c>
      <c r="P171" s="2" t="s">
        <v>74</v>
      </c>
      <c r="Q171" s="2" t="s">
        <v>74</v>
      </c>
      <c r="R171" s="2" t="s">
        <v>74</v>
      </c>
      <c r="S171" s="2" t="s">
        <v>74</v>
      </c>
      <c r="T171" s="2" t="s">
        <v>74</v>
      </c>
      <c r="U171" s="2" t="s">
        <v>74</v>
      </c>
      <c r="V171" s="5" t="s">
        <v>3596</v>
      </c>
      <c r="W171" s="2" t="s">
        <v>74</v>
      </c>
      <c r="X171" s="2" t="s">
        <v>74</v>
      </c>
      <c r="Y171" s="2" t="s">
        <v>74</v>
      </c>
      <c r="Z171" s="2" t="s">
        <v>74</v>
      </c>
      <c r="AA171" s="2" t="s">
        <v>3597</v>
      </c>
      <c r="AB171" s="2" t="s">
        <v>3598</v>
      </c>
      <c r="AC171" s="2" t="s">
        <v>74</v>
      </c>
      <c r="AD171" s="2" t="s">
        <v>74</v>
      </c>
      <c r="AE171" s="2" t="s">
        <v>74</v>
      </c>
      <c r="AF171" s="2" t="s">
        <v>74</v>
      </c>
      <c r="AG171" s="2" t="s">
        <v>74</v>
      </c>
      <c r="AH171" s="2" t="s">
        <v>74</v>
      </c>
      <c r="AI171" s="2" t="s">
        <v>74</v>
      </c>
      <c r="AJ171" s="2" t="s">
        <v>74</v>
      </c>
      <c r="AK171" s="2" t="s">
        <v>74</v>
      </c>
      <c r="AL171" s="2" t="s">
        <v>74</v>
      </c>
      <c r="AM171" s="2" t="s">
        <v>74</v>
      </c>
      <c r="AN171" s="2" t="s">
        <v>74</v>
      </c>
      <c r="AO171" s="2" t="s">
        <v>3599</v>
      </c>
      <c r="AP171" s="2" t="s">
        <v>3600</v>
      </c>
      <c r="AQ171" s="2" t="s">
        <v>74</v>
      </c>
      <c r="AR171" s="2" t="s">
        <v>74</v>
      </c>
      <c r="AS171" s="2" t="s">
        <v>74</v>
      </c>
      <c r="AT171" s="2" t="s">
        <v>255</v>
      </c>
      <c r="AU171" s="2">
        <v>2009</v>
      </c>
      <c r="AV171" s="2">
        <v>138</v>
      </c>
      <c r="AW171" s="2">
        <v>1</v>
      </c>
      <c r="AX171" s="2" t="s">
        <v>74</v>
      </c>
      <c r="AY171" s="2" t="s">
        <v>74</v>
      </c>
      <c r="AZ171" s="2" t="s">
        <v>74</v>
      </c>
      <c r="BA171" s="2" t="s">
        <v>74</v>
      </c>
      <c r="BB171" s="2">
        <v>1</v>
      </c>
      <c r="BC171" s="2">
        <v>10</v>
      </c>
      <c r="BD171" s="2" t="s">
        <v>74</v>
      </c>
      <c r="BE171" s="2" t="s">
        <v>3601</v>
      </c>
      <c r="BF171" s="2" t="str">
        <f>HYPERLINK("http://dx.doi.org/10.1002/ajpa.20868","http://dx.doi.org/10.1002/ajpa.20868")</f>
        <v>http://dx.doi.org/10.1002/ajpa.20868</v>
      </c>
      <c r="BG171" s="2" t="s">
        <v>74</v>
      </c>
      <c r="BH171" s="2" t="s">
        <v>74</v>
      </c>
      <c r="BI171" s="2" t="s">
        <v>74</v>
      </c>
      <c r="BJ171" s="2" t="s">
        <v>74</v>
      </c>
      <c r="BK171" s="2" t="s">
        <v>74</v>
      </c>
      <c r="BL171" s="2" t="s">
        <v>74</v>
      </c>
      <c r="BM171" s="2" t="s">
        <v>74</v>
      </c>
      <c r="BN171" s="2">
        <v>18615575</v>
      </c>
      <c r="BO171" s="2" t="s">
        <v>74</v>
      </c>
      <c r="BP171" s="2" t="s">
        <v>74</v>
      </c>
      <c r="BQ171" s="2" t="s">
        <v>74</v>
      </c>
      <c r="BR171" s="2" t="s">
        <v>74</v>
      </c>
      <c r="BS171" s="2" t="s">
        <v>3602</v>
      </c>
      <c r="BT171" s="2" t="str">
        <f>HYPERLINK("https%3A%2F%2Fwww.webofscience.com%2Fwos%2Fwoscc%2Ffull-record%2FWOS:000261759100001","View Full Record in Web of Science")</f>
        <v>View Full Record in Web of Science</v>
      </c>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row>
    <row r="172" spans="1:314" s="2" customFormat="1" x14ac:dyDescent="0.4">
      <c r="A172" s="2" t="s">
        <v>72</v>
      </c>
      <c r="B172" s="2" t="s">
        <v>330</v>
      </c>
      <c r="C172" s="2" t="s">
        <v>74</v>
      </c>
      <c r="D172" s="2" t="s">
        <v>74</v>
      </c>
      <c r="E172" s="2" t="s">
        <v>74</v>
      </c>
      <c r="F172" s="2" t="s">
        <v>331</v>
      </c>
      <c r="G172" s="2" t="s">
        <v>74</v>
      </c>
      <c r="H172" s="2" t="s">
        <v>74</v>
      </c>
      <c r="I172" s="2" t="s">
        <v>332</v>
      </c>
      <c r="J172" s="2" t="s">
        <v>333</v>
      </c>
      <c r="K172" s="2" t="s">
        <v>74</v>
      </c>
      <c r="L172" s="2" t="s">
        <v>74</v>
      </c>
      <c r="M172" s="2" t="s">
        <v>74</v>
      </c>
      <c r="N172" s="2" t="s">
        <v>74</v>
      </c>
      <c r="O172" s="2" t="s">
        <v>74</v>
      </c>
      <c r="P172" s="2" t="s">
        <v>74</v>
      </c>
      <c r="Q172" s="2" t="s">
        <v>74</v>
      </c>
      <c r="R172" s="2" t="s">
        <v>74</v>
      </c>
      <c r="S172" s="2" t="s">
        <v>74</v>
      </c>
      <c r="T172" s="2" t="s">
        <v>74</v>
      </c>
      <c r="U172" s="2" t="s">
        <v>74</v>
      </c>
      <c r="V172" s="5" t="s">
        <v>334</v>
      </c>
      <c r="W172" s="2" t="s">
        <v>74</v>
      </c>
      <c r="X172" s="2" t="s">
        <v>74</v>
      </c>
      <c r="Y172" s="2" t="s">
        <v>74</v>
      </c>
      <c r="Z172" s="2" t="s">
        <v>74</v>
      </c>
      <c r="AA172" s="2" t="s">
        <v>335</v>
      </c>
      <c r="AB172" s="2" t="s">
        <v>336</v>
      </c>
      <c r="AC172" s="2" t="s">
        <v>74</v>
      </c>
      <c r="AD172" s="2" t="s">
        <v>74</v>
      </c>
      <c r="AE172" s="2" t="s">
        <v>74</v>
      </c>
      <c r="AF172" s="2" t="s">
        <v>74</v>
      </c>
      <c r="AG172" s="2" t="s">
        <v>74</v>
      </c>
      <c r="AH172" s="2" t="s">
        <v>74</v>
      </c>
      <c r="AI172" s="2" t="s">
        <v>74</v>
      </c>
      <c r="AJ172" s="2" t="s">
        <v>74</v>
      </c>
      <c r="AK172" s="2" t="s">
        <v>74</v>
      </c>
      <c r="AL172" s="2" t="s">
        <v>74</v>
      </c>
      <c r="AM172" s="2" t="s">
        <v>74</v>
      </c>
      <c r="AN172" s="2" t="s">
        <v>74</v>
      </c>
      <c r="AO172" s="2" t="s">
        <v>337</v>
      </c>
      <c r="AP172" s="2" t="s">
        <v>338</v>
      </c>
      <c r="AQ172" s="2" t="s">
        <v>74</v>
      </c>
      <c r="AR172" s="2" t="s">
        <v>74</v>
      </c>
      <c r="AS172" s="2" t="s">
        <v>74</v>
      </c>
      <c r="AT172" s="2" t="s">
        <v>339</v>
      </c>
      <c r="AU172" s="2">
        <v>2013</v>
      </c>
      <c r="AV172" s="2">
        <v>24</v>
      </c>
      <c r="AW172" s="2">
        <v>4</v>
      </c>
      <c r="AX172" s="2" t="s">
        <v>74</v>
      </c>
      <c r="AY172" s="2" t="s">
        <v>74</v>
      </c>
      <c r="AZ172" s="2" t="s">
        <v>74</v>
      </c>
      <c r="BA172" s="2" t="s">
        <v>74</v>
      </c>
      <c r="BB172" s="2">
        <v>968</v>
      </c>
      <c r="BC172" s="2">
        <v>981</v>
      </c>
      <c r="BD172" s="2" t="s">
        <v>74</v>
      </c>
      <c r="BE172" s="2" t="s">
        <v>340</v>
      </c>
      <c r="BF172" s="2" t="str">
        <f>HYPERLINK("http://dx.doi.org/10.1093/beheco/art010","http://dx.doi.org/10.1093/beheco/art010")</f>
        <v>http://dx.doi.org/10.1093/beheco/art010</v>
      </c>
      <c r="BG172" s="2" t="s">
        <v>74</v>
      </c>
      <c r="BH172" s="2" t="s">
        <v>74</v>
      </c>
      <c r="BI172" s="2" t="s">
        <v>74</v>
      </c>
      <c r="BJ172" s="2" t="s">
        <v>74</v>
      </c>
      <c r="BK172" s="2" t="s">
        <v>74</v>
      </c>
      <c r="BL172" s="2" t="s">
        <v>74</v>
      </c>
      <c r="BM172" s="2" t="s">
        <v>74</v>
      </c>
      <c r="BN172" s="2" t="s">
        <v>74</v>
      </c>
      <c r="BO172" s="2" t="s">
        <v>74</v>
      </c>
      <c r="BP172" s="2" t="s">
        <v>74</v>
      </c>
      <c r="BQ172" s="2" t="s">
        <v>74</v>
      </c>
      <c r="BR172" s="2" t="s">
        <v>74</v>
      </c>
      <c r="BS172" s="2" t="s">
        <v>341</v>
      </c>
      <c r="BT172" s="2" t="str">
        <f>HYPERLINK("https%3A%2F%2Fwww.webofscience.com%2Fwos%2Fwoscc%2Ffull-record%2FWOS:000320409900028","View Full Record in Web of Science")</f>
        <v>View Full Record in Web of Science</v>
      </c>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row>
    <row r="173" spans="1:314" s="2" customFormat="1" x14ac:dyDescent="0.4">
      <c r="A173" s="2" t="s">
        <v>72</v>
      </c>
      <c r="B173" s="2" t="s">
        <v>791</v>
      </c>
      <c r="C173" s="2" t="s">
        <v>74</v>
      </c>
      <c r="D173" s="2" t="s">
        <v>74</v>
      </c>
      <c r="E173" s="2" t="s">
        <v>74</v>
      </c>
      <c r="F173" s="2" t="s">
        <v>792</v>
      </c>
      <c r="G173" s="2" t="s">
        <v>74</v>
      </c>
      <c r="H173" s="2" t="s">
        <v>74</v>
      </c>
      <c r="I173" s="2" t="s">
        <v>793</v>
      </c>
      <c r="J173" s="2" t="s">
        <v>763</v>
      </c>
      <c r="K173" s="2" t="s">
        <v>74</v>
      </c>
      <c r="L173" s="2" t="s">
        <v>74</v>
      </c>
      <c r="M173" s="2" t="s">
        <v>74</v>
      </c>
      <c r="N173" s="2" t="s">
        <v>74</v>
      </c>
      <c r="O173" s="2" t="s">
        <v>74</v>
      </c>
      <c r="P173" s="2" t="s">
        <v>74</v>
      </c>
      <c r="Q173" s="2" t="s">
        <v>74</v>
      </c>
      <c r="R173" s="2" t="s">
        <v>74</v>
      </c>
      <c r="S173" s="2" t="s">
        <v>74</v>
      </c>
      <c r="T173" s="2" t="s">
        <v>74</v>
      </c>
      <c r="U173" s="2" t="s">
        <v>74</v>
      </c>
      <c r="V173" s="5" t="s">
        <v>794</v>
      </c>
      <c r="W173" s="2" t="s">
        <v>74</v>
      </c>
      <c r="X173" s="2" t="s">
        <v>74</v>
      </c>
      <c r="Y173" s="2" t="s">
        <v>74</v>
      </c>
      <c r="Z173" s="2" t="s">
        <v>74</v>
      </c>
      <c r="AA173" s="2" t="s">
        <v>795</v>
      </c>
      <c r="AB173" s="2" t="s">
        <v>796</v>
      </c>
      <c r="AC173" s="2" t="s">
        <v>74</v>
      </c>
      <c r="AD173" s="2" t="s">
        <v>74</v>
      </c>
      <c r="AE173" s="2" t="s">
        <v>74</v>
      </c>
      <c r="AF173" s="2" t="s">
        <v>74</v>
      </c>
      <c r="AG173" s="2" t="s">
        <v>74</v>
      </c>
      <c r="AH173" s="2" t="s">
        <v>74</v>
      </c>
      <c r="AI173" s="2" t="s">
        <v>74</v>
      </c>
      <c r="AJ173" s="2" t="s">
        <v>74</v>
      </c>
      <c r="AK173" s="2" t="s">
        <v>74</v>
      </c>
      <c r="AL173" s="2" t="s">
        <v>74</v>
      </c>
      <c r="AM173" s="2" t="s">
        <v>74</v>
      </c>
      <c r="AN173" s="2" t="s">
        <v>74</v>
      </c>
      <c r="AO173" s="2" t="s">
        <v>767</v>
      </c>
      <c r="AP173" s="2" t="s">
        <v>768</v>
      </c>
      <c r="AQ173" s="2" t="s">
        <v>74</v>
      </c>
      <c r="AR173" s="2" t="s">
        <v>74</v>
      </c>
      <c r="AS173" s="2" t="s">
        <v>74</v>
      </c>
      <c r="AT173" s="2" t="s">
        <v>123</v>
      </c>
      <c r="AU173" s="2">
        <v>2018</v>
      </c>
      <c r="AV173" s="2">
        <v>221</v>
      </c>
      <c r="AW173" s="2">
        <v>5</v>
      </c>
      <c r="AX173" s="2" t="s">
        <v>74</v>
      </c>
      <c r="AY173" s="2" t="s">
        <v>74</v>
      </c>
      <c r="AZ173" s="2" t="s">
        <v>74</v>
      </c>
      <c r="BA173" s="2" t="s">
        <v>74</v>
      </c>
      <c r="BB173" s="2" t="s">
        <v>74</v>
      </c>
      <c r="BC173" s="2" t="s">
        <v>74</v>
      </c>
      <c r="BD173" s="2" t="s">
        <v>797</v>
      </c>
      <c r="BE173" s="2" t="s">
        <v>798</v>
      </c>
      <c r="BF173" s="2" t="str">
        <f>HYPERLINK("http://dx.doi.org/10.1242/jeb.173252","http://dx.doi.org/10.1242/jeb.173252")</f>
        <v>http://dx.doi.org/10.1242/jeb.173252</v>
      </c>
      <c r="BG173" s="2" t="s">
        <v>74</v>
      </c>
      <c r="BH173" s="2" t="s">
        <v>74</v>
      </c>
      <c r="BI173" s="2" t="s">
        <v>74</v>
      </c>
      <c r="BJ173" s="2" t="s">
        <v>74</v>
      </c>
      <c r="BK173" s="2" t="s">
        <v>74</v>
      </c>
      <c r="BL173" s="2" t="s">
        <v>74</v>
      </c>
      <c r="BM173" s="2" t="s">
        <v>74</v>
      </c>
      <c r="BN173" s="2">
        <v>29361602</v>
      </c>
      <c r="BO173" s="2" t="s">
        <v>74</v>
      </c>
      <c r="BP173" s="2" t="s">
        <v>74</v>
      </c>
      <c r="BQ173" s="2" t="s">
        <v>74</v>
      </c>
      <c r="BR173" s="2" t="s">
        <v>74</v>
      </c>
      <c r="BS173" s="2" t="s">
        <v>799</v>
      </c>
      <c r="BT173" s="2" t="str">
        <f>HYPERLINK("https%3A%2F%2Fwww.webofscience.com%2Fwos%2Fwoscc%2Ffull-record%2FWOS:000427353100021","View Full Record in Web of Science")</f>
        <v>View Full Record in Web of Science</v>
      </c>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row>
    <row r="174" spans="1:314" s="2" customFormat="1" x14ac:dyDescent="0.4">
      <c r="A174" s="2" t="s">
        <v>72</v>
      </c>
      <c r="B174" s="2" t="s">
        <v>791</v>
      </c>
      <c r="C174" s="2" t="s">
        <v>74</v>
      </c>
      <c r="D174" s="2" t="s">
        <v>74</v>
      </c>
      <c r="E174" s="2" t="s">
        <v>74</v>
      </c>
      <c r="F174" s="2" t="s">
        <v>792</v>
      </c>
      <c r="G174" s="2" t="s">
        <v>74</v>
      </c>
      <c r="H174" s="2" t="s">
        <v>74</v>
      </c>
      <c r="I174" s="2" t="s">
        <v>1172</v>
      </c>
      <c r="J174" s="2" t="s">
        <v>140</v>
      </c>
      <c r="K174" s="2" t="s">
        <v>74</v>
      </c>
      <c r="L174" s="2" t="s">
        <v>74</v>
      </c>
      <c r="M174" s="2" t="s">
        <v>74</v>
      </c>
      <c r="N174" s="2" t="s">
        <v>74</v>
      </c>
      <c r="O174" s="2" t="s">
        <v>74</v>
      </c>
      <c r="P174" s="2" t="s">
        <v>74</v>
      </c>
      <c r="Q174" s="2" t="s">
        <v>74</v>
      </c>
      <c r="R174" s="2" t="s">
        <v>74</v>
      </c>
      <c r="S174" s="2" t="s">
        <v>74</v>
      </c>
      <c r="T174" s="2" t="s">
        <v>74</v>
      </c>
      <c r="U174" s="2" t="s">
        <v>74</v>
      </c>
      <c r="V174" s="5" t="s">
        <v>1173</v>
      </c>
      <c r="W174" s="2" t="s">
        <v>74</v>
      </c>
      <c r="X174" s="2" t="s">
        <v>74</v>
      </c>
      <c r="Y174" s="2" t="s">
        <v>74</v>
      </c>
      <c r="Z174" s="2" t="s">
        <v>74</v>
      </c>
      <c r="AA174" s="2" t="s">
        <v>795</v>
      </c>
      <c r="AB174" s="2" t="s">
        <v>796</v>
      </c>
      <c r="AC174" s="2" t="s">
        <v>74</v>
      </c>
      <c r="AD174" s="2" t="s">
        <v>74</v>
      </c>
      <c r="AE174" s="2" t="s">
        <v>74</v>
      </c>
      <c r="AF174" s="2" t="s">
        <v>74</v>
      </c>
      <c r="AG174" s="2" t="s">
        <v>74</v>
      </c>
      <c r="AH174" s="2" t="s">
        <v>74</v>
      </c>
      <c r="AI174" s="2" t="s">
        <v>74</v>
      </c>
      <c r="AJ174" s="2" t="s">
        <v>74</v>
      </c>
      <c r="AK174" s="2" t="s">
        <v>74</v>
      </c>
      <c r="AL174" s="2" t="s">
        <v>74</v>
      </c>
      <c r="AM174" s="2" t="s">
        <v>74</v>
      </c>
      <c r="AN174" s="2" t="s">
        <v>74</v>
      </c>
      <c r="AO174" s="2" t="s">
        <v>143</v>
      </c>
      <c r="AP174" s="2" t="s">
        <v>144</v>
      </c>
      <c r="AQ174" s="2" t="s">
        <v>74</v>
      </c>
      <c r="AR174" s="2" t="s">
        <v>74</v>
      </c>
      <c r="AS174" s="2" t="s">
        <v>74</v>
      </c>
      <c r="AT174" s="2" t="s">
        <v>204</v>
      </c>
      <c r="AU174" s="2">
        <v>2017</v>
      </c>
      <c r="AV174" s="2">
        <v>129</v>
      </c>
      <c r="AW174" s="2" t="s">
        <v>74</v>
      </c>
      <c r="AX174" s="2" t="s">
        <v>74</v>
      </c>
      <c r="AY174" s="2" t="s">
        <v>74</v>
      </c>
      <c r="AZ174" s="2" t="s">
        <v>74</v>
      </c>
      <c r="BA174" s="2" t="s">
        <v>74</v>
      </c>
      <c r="BB174" s="2">
        <v>229</v>
      </c>
      <c r="BC174" s="2">
        <v>236</v>
      </c>
      <c r="BD174" s="2" t="s">
        <v>74</v>
      </c>
      <c r="BE174" s="2" t="s">
        <v>1174</v>
      </c>
      <c r="BF174" s="2" t="str">
        <f>HYPERLINK("http://dx.doi.org/10.1016/j.anbehav.2017.05.018","http://dx.doi.org/10.1016/j.anbehav.2017.05.018")</f>
        <v>http://dx.doi.org/10.1016/j.anbehav.2017.05.018</v>
      </c>
      <c r="BG174" s="2" t="s">
        <v>74</v>
      </c>
      <c r="BH174" s="2" t="s">
        <v>74</v>
      </c>
      <c r="BI174" s="2" t="s">
        <v>74</v>
      </c>
      <c r="BJ174" s="2" t="s">
        <v>74</v>
      </c>
      <c r="BK174" s="2" t="s">
        <v>74</v>
      </c>
      <c r="BL174" s="2" t="s">
        <v>74</v>
      </c>
      <c r="BM174" s="2" t="s">
        <v>74</v>
      </c>
      <c r="BN174" s="2" t="s">
        <v>74</v>
      </c>
      <c r="BO174" s="2" t="s">
        <v>74</v>
      </c>
      <c r="BP174" s="2" t="s">
        <v>74</v>
      </c>
      <c r="BQ174" s="2" t="s">
        <v>74</v>
      </c>
      <c r="BR174" s="2" t="s">
        <v>74</v>
      </c>
      <c r="BS174" s="2" t="s">
        <v>1175</v>
      </c>
      <c r="BT174" s="2" t="str">
        <f>HYPERLINK("https%3A%2F%2Fwww.webofscience.com%2Fwos%2Fwoscc%2Ffull-record%2FWOS:000405821200025","View Full Record in Web of Science")</f>
        <v>View Full Record in Web of Science</v>
      </c>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row>
    <row r="175" spans="1:314" s="2" customFormat="1" x14ac:dyDescent="0.4">
      <c r="A175" s="2" t="s">
        <v>72</v>
      </c>
      <c r="B175" s="2" t="s">
        <v>7974</v>
      </c>
      <c r="C175" s="2" t="s">
        <v>74</v>
      </c>
      <c r="D175" s="2" t="s">
        <v>74</v>
      </c>
      <c r="E175" s="2" t="s">
        <v>74</v>
      </c>
      <c r="F175" s="2" t="s">
        <v>7975</v>
      </c>
      <c r="G175" s="2" t="s">
        <v>74</v>
      </c>
      <c r="H175" s="2" t="s">
        <v>74</v>
      </c>
      <c r="I175" s="2" t="s">
        <v>7976</v>
      </c>
      <c r="J175" s="2" t="s">
        <v>6427</v>
      </c>
      <c r="K175" s="2" t="s">
        <v>74</v>
      </c>
      <c r="L175" s="2" t="s">
        <v>74</v>
      </c>
      <c r="M175" s="2" t="s">
        <v>74</v>
      </c>
      <c r="N175" s="2" t="s">
        <v>74</v>
      </c>
      <c r="O175" s="2" t="s">
        <v>74</v>
      </c>
      <c r="P175" s="2" t="s">
        <v>74</v>
      </c>
      <c r="Q175" s="2" t="s">
        <v>74</v>
      </c>
      <c r="R175" s="2" t="s">
        <v>74</v>
      </c>
      <c r="S175" s="2" t="s">
        <v>74</v>
      </c>
      <c r="T175" s="2" t="s">
        <v>74</v>
      </c>
      <c r="U175" s="2" t="s">
        <v>74</v>
      </c>
      <c r="V175" s="5" t="s">
        <v>7977</v>
      </c>
      <c r="W175" s="2" t="s">
        <v>74</v>
      </c>
      <c r="X175" s="2" t="s">
        <v>74</v>
      </c>
      <c r="Y175" s="2" t="s">
        <v>74</v>
      </c>
      <c r="Z175" s="2" t="s">
        <v>74</v>
      </c>
      <c r="AA175" s="2" t="s">
        <v>7978</v>
      </c>
      <c r="AB175" s="2" t="s">
        <v>7979</v>
      </c>
      <c r="AC175" s="2" t="s">
        <v>74</v>
      </c>
      <c r="AD175" s="2" t="s">
        <v>74</v>
      </c>
      <c r="AE175" s="2" t="s">
        <v>74</v>
      </c>
      <c r="AF175" s="2" t="s">
        <v>74</v>
      </c>
      <c r="AG175" s="2" t="s">
        <v>74</v>
      </c>
      <c r="AH175" s="2" t="s">
        <v>74</v>
      </c>
      <c r="AI175" s="2" t="s">
        <v>74</v>
      </c>
      <c r="AJ175" s="2" t="s">
        <v>74</v>
      </c>
      <c r="AK175" s="2" t="s">
        <v>74</v>
      </c>
      <c r="AL175" s="2" t="s">
        <v>74</v>
      </c>
      <c r="AM175" s="2" t="s">
        <v>74</v>
      </c>
      <c r="AN175" s="2" t="s">
        <v>74</v>
      </c>
      <c r="AO175" s="2" t="s">
        <v>6431</v>
      </c>
      <c r="AP175" s="2" t="s">
        <v>74</v>
      </c>
      <c r="AQ175" s="2" t="s">
        <v>74</v>
      </c>
      <c r="AR175" s="2" t="s">
        <v>74</v>
      </c>
      <c r="AS175" s="2" t="s">
        <v>74</v>
      </c>
      <c r="AT175" s="2" t="s">
        <v>7980</v>
      </c>
      <c r="AU175" s="2">
        <v>2014</v>
      </c>
      <c r="AV175" s="2">
        <v>50</v>
      </c>
      <c r="AW175" s="2">
        <v>3</v>
      </c>
      <c r="AX175" s="2" t="s">
        <v>74</v>
      </c>
      <c r="AY175" s="2" t="s">
        <v>74</v>
      </c>
      <c r="AZ175" s="2" t="s">
        <v>74</v>
      </c>
      <c r="BA175" s="2" t="s">
        <v>74</v>
      </c>
      <c r="BB175" s="2">
        <v>155</v>
      </c>
      <c r="BC175" s="2">
        <v>171</v>
      </c>
      <c r="BD175" s="2" t="s">
        <v>74</v>
      </c>
      <c r="BE175" s="2" t="s">
        <v>74</v>
      </c>
      <c r="BF175" s="2" t="s">
        <v>74</v>
      </c>
      <c r="BG175" s="2" t="s">
        <v>74</v>
      </c>
      <c r="BH175" s="2" t="s">
        <v>74</v>
      </c>
      <c r="BI175" s="2" t="s">
        <v>74</v>
      </c>
      <c r="BJ175" s="2" t="s">
        <v>74</v>
      </c>
      <c r="BK175" s="2" t="s">
        <v>74</v>
      </c>
      <c r="BL175" s="2" t="s">
        <v>74</v>
      </c>
      <c r="BM175" s="2" t="s">
        <v>74</v>
      </c>
      <c r="BN175" s="2" t="s">
        <v>74</v>
      </c>
      <c r="BO175" s="2" t="s">
        <v>74</v>
      </c>
      <c r="BP175" s="2" t="s">
        <v>74</v>
      </c>
      <c r="BQ175" s="2" t="s">
        <v>74</v>
      </c>
      <c r="BR175" s="2" t="s">
        <v>74</v>
      </c>
      <c r="BS175" s="2" t="s">
        <v>7981</v>
      </c>
      <c r="BT175" s="2" t="str">
        <f>HYPERLINK("https%3A%2F%2Fwww.webofscience.com%2Fwos%2Fwoscc%2Ffull-record%2FWOS:000344312600005","View Full Record in Web of Science")</f>
        <v>View Full Record in Web of Science</v>
      </c>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row>
    <row r="176" spans="1:314" s="2" customFormat="1" x14ac:dyDescent="0.4">
      <c r="A176" s="2" t="s">
        <v>72</v>
      </c>
      <c r="B176" s="2" t="s">
        <v>4626</v>
      </c>
      <c r="C176" s="2" t="s">
        <v>74</v>
      </c>
      <c r="D176" s="2" t="s">
        <v>74</v>
      </c>
      <c r="E176" s="2" t="s">
        <v>74</v>
      </c>
      <c r="F176" s="2" t="s">
        <v>4627</v>
      </c>
      <c r="G176" s="2" t="s">
        <v>74</v>
      </c>
      <c r="H176" s="2" t="s">
        <v>74</v>
      </c>
      <c r="I176" s="2" t="s">
        <v>4628</v>
      </c>
      <c r="J176" s="2" t="s">
        <v>119</v>
      </c>
      <c r="K176" s="2" t="s">
        <v>74</v>
      </c>
      <c r="L176" s="2" t="s">
        <v>74</v>
      </c>
      <c r="M176" s="2" t="s">
        <v>74</v>
      </c>
      <c r="N176" s="2" t="s">
        <v>74</v>
      </c>
      <c r="O176" s="2" t="s">
        <v>74</v>
      </c>
      <c r="P176" s="2" t="s">
        <v>74</v>
      </c>
      <c r="Q176" s="2" t="s">
        <v>74</v>
      </c>
      <c r="R176" s="2" t="s">
        <v>74</v>
      </c>
      <c r="S176" s="2" t="s">
        <v>74</v>
      </c>
      <c r="T176" s="2" t="s">
        <v>74</v>
      </c>
      <c r="U176" s="2" t="s">
        <v>74</v>
      </c>
      <c r="V176" s="5" t="s">
        <v>4629</v>
      </c>
      <c r="W176" s="2" t="s">
        <v>74</v>
      </c>
      <c r="X176" s="2" t="s">
        <v>74</v>
      </c>
      <c r="Y176" s="2" t="s">
        <v>74</v>
      </c>
      <c r="Z176" s="2" t="s">
        <v>74</v>
      </c>
      <c r="AA176" s="2" t="s">
        <v>4630</v>
      </c>
      <c r="AB176" s="2" t="s">
        <v>4631</v>
      </c>
      <c r="AC176" s="2" t="s">
        <v>74</v>
      </c>
      <c r="AD176" s="2" t="s">
        <v>74</v>
      </c>
      <c r="AE176" s="2" t="s">
        <v>74</v>
      </c>
      <c r="AF176" s="2" t="s">
        <v>74</v>
      </c>
      <c r="AG176" s="2" t="s">
        <v>74</v>
      </c>
      <c r="AH176" s="2" t="s">
        <v>74</v>
      </c>
      <c r="AI176" s="2" t="s">
        <v>74</v>
      </c>
      <c r="AJ176" s="2" t="s">
        <v>74</v>
      </c>
      <c r="AK176" s="2" t="s">
        <v>74</v>
      </c>
      <c r="AL176" s="2" t="s">
        <v>74</v>
      </c>
      <c r="AM176" s="2" t="s">
        <v>74</v>
      </c>
      <c r="AN176" s="2" t="s">
        <v>74</v>
      </c>
      <c r="AO176" s="2" t="s">
        <v>121</v>
      </c>
      <c r="AP176" s="2" t="s">
        <v>122</v>
      </c>
      <c r="AQ176" s="2" t="s">
        <v>74</v>
      </c>
      <c r="AR176" s="2" t="s">
        <v>74</v>
      </c>
      <c r="AS176" s="2" t="s">
        <v>74</v>
      </c>
      <c r="AT176" s="2" t="s">
        <v>134</v>
      </c>
      <c r="AU176" s="2">
        <v>2017</v>
      </c>
      <c r="AV176" s="2">
        <v>138</v>
      </c>
      <c r="AW176" s="2" t="s">
        <v>74</v>
      </c>
      <c r="AX176" s="2" t="s">
        <v>74</v>
      </c>
      <c r="AY176" s="2" t="s">
        <v>74</v>
      </c>
      <c r="AZ176" s="2" t="s">
        <v>74</v>
      </c>
      <c r="BA176" s="2" t="s">
        <v>74</v>
      </c>
      <c r="BB176" s="2">
        <v>123</v>
      </c>
      <c r="BC176" s="2">
        <v>126</v>
      </c>
      <c r="BD176" s="2" t="s">
        <v>74</v>
      </c>
      <c r="BE176" s="2" t="s">
        <v>4632</v>
      </c>
      <c r="BF176" s="2" t="str">
        <f>HYPERLINK("http://dx.doi.org/10.1016/j.beproc.2017.03.001","http://dx.doi.org/10.1016/j.beproc.2017.03.001")</f>
        <v>http://dx.doi.org/10.1016/j.beproc.2017.03.001</v>
      </c>
      <c r="BG176" s="2" t="s">
        <v>74</v>
      </c>
      <c r="BH176" s="2" t="s">
        <v>74</v>
      </c>
      <c r="BI176" s="2" t="s">
        <v>74</v>
      </c>
      <c r="BJ176" s="2" t="s">
        <v>74</v>
      </c>
      <c r="BK176" s="2" t="s">
        <v>74</v>
      </c>
      <c r="BL176" s="2" t="s">
        <v>74</v>
      </c>
      <c r="BM176" s="2" t="s">
        <v>74</v>
      </c>
      <c r="BN176" s="2">
        <v>28274764</v>
      </c>
      <c r="BO176" s="2" t="s">
        <v>74</v>
      </c>
      <c r="BP176" s="2" t="s">
        <v>74</v>
      </c>
      <c r="BQ176" s="2" t="s">
        <v>74</v>
      </c>
      <c r="BR176" s="2" t="s">
        <v>74</v>
      </c>
      <c r="BS176" s="2" t="s">
        <v>4633</v>
      </c>
      <c r="BT176" s="2" t="str">
        <f>HYPERLINK("https%3A%2F%2Fwww.webofscience.com%2Fwos%2Fwoscc%2Ffull-record%2FWOS:000400878800016","View Full Record in Web of Science")</f>
        <v>View Full Record in Web of Science</v>
      </c>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row>
    <row r="177" spans="1:314" s="2" customFormat="1" x14ac:dyDescent="0.4">
      <c r="A177" s="2" t="s">
        <v>72</v>
      </c>
      <c r="B177" s="2" t="s">
        <v>6399</v>
      </c>
      <c r="C177" s="2" t="s">
        <v>74</v>
      </c>
      <c r="D177" s="2" t="s">
        <v>74</v>
      </c>
      <c r="E177" s="2" t="s">
        <v>74</v>
      </c>
      <c r="F177" s="2" t="s">
        <v>6400</v>
      </c>
      <c r="G177" s="2" t="s">
        <v>74</v>
      </c>
      <c r="H177" s="2" t="s">
        <v>74</v>
      </c>
      <c r="I177" s="2" t="s">
        <v>6401</v>
      </c>
      <c r="J177" s="2" t="s">
        <v>6402</v>
      </c>
      <c r="K177" s="2" t="s">
        <v>74</v>
      </c>
      <c r="L177" s="2" t="s">
        <v>74</v>
      </c>
      <c r="M177" s="2" t="s">
        <v>74</v>
      </c>
      <c r="N177" s="2" t="s">
        <v>74</v>
      </c>
      <c r="O177" s="2" t="s">
        <v>74</v>
      </c>
      <c r="P177" s="2" t="s">
        <v>74</v>
      </c>
      <c r="Q177" s="2" t="s">
        <v>74</v>
      </c>
      <c r="R177" s="2" t="s">
        <v>74</v>
      </c>
      <c r="S177" s="2" t="s">
        <v>74</v>
      </c>
      <c r="T177" s="2" t="s">
        <v>74</v>
      </c>
      <c r="U177" s="2" t="s">
        <v>74</v>
      </c>
      <c r="V177" s="5" t="s">
        <v>6403</v>
      </c>
      <c r="W177" s="2" t="s">
        <v>74</v>
      </c>
      <c r="X177" s="2" t="s">
        <v>74</v>
      </c>
      <c r="Y177" s="2" t="s">
        <v>74</v>
      </c>
      <c r="Z177" s="2" t="s">
        <v>74</v>
      </c>
      <c r="AA177" s="2" t="s">
        <v>6404</v>
      </c>
      <c r="AB177" s="2" t="s">
        <v>6405</v>
      </c>
      <c r="AC177" s="2" t="s">
        <v>74</v>
      </c>
      <c r="AD177" s="2" t="s">
        <v>74</v>
      </c>
      <c r="AE177" s="2" t="s">
        <v>74</v>
      </c>
      <c r="AF177" s="2" t="s">
        <v>74</v>
      </c>
      <c r="AG177" s="2" t="s">
        <v>74</v>
      </c>
      <c r="AH177" s="2" t="s">
        <v>74</v>
      </c>
      <c r="AI177" s="2" t="s">
        <v>74</v>
      </c>
      <c r="AJ177" s="2" t="s">
        <v>74</v>
      </c>
      <c r="AK177" s="2" t="s">
        <v>74</v>
      </c>
      <c r="AL177" s="2" t="s">
        <v>74</v>
      </c>
      <c r="AM177" s="2" t="s">
        <v>74</v>
      </c>
      <c r="AN177" s="2" t="s">
        <v>74</v>
      </c>
      <c r="AO177" s="2" t="s">
        <v>6406</v>
      </c>
      <c r="AP177" s="2" t="s">
        <v>6407</v>
      </c>
      <c r="AQ177" s="2" t="s">
        <v>74</v>
      </c>
      <c r="AR177" s="2" t="s">
        <v>74</v>
      </c>
      <c r="AS177" s="2" t="s">
        <v>74</v>
      </c>
      <c r="AT177" s="2" t="s">
        <v>123</v>
      </c>
      <c r="AU177" s="2">
        <v>2014</v>
      </c>
      <c r="AV177" s="2">
        <v>169</v>
      </c>
      <c r="AW177" s="2" t="s">
        <v>74</v>
      </c>
      <c r="AX177" s="2" t="s">
        <v>74</v>
      </c>
      <c r="AY177" s="2" t="s">
        <v>74</v>
      </c>
      <c r="AZ177" s="2" t="s">
        <v>74</v>
      </c>
      <c r="BA177" s="2" t="s">
        <v>74</v>
      </c>
      <c r="BB177" s="2">
        <v>25</v>
      </c>
      <c r="BC177" s="2">
        <v>32</v>
      </c>
      <c r="BD177" s="2" t="s">
        <v>74</v>
      </c>
      <c r="BE177" s="2" t="s">
        <v>6408</v>
      </c>
      <c r="BF177" s="2" t="str">
        <f>HYPERLINK("http://dx.doi.org/10.1016/j.cbpa.2013.12.001","http://dx.doi.org/10.1016/j.cbpa.2013.12.001")</f>
        <v>http://dx.doi.org/10.1016/j.cbpa.2013.12.001</v>
      </c>
      <c r="BG177" s="2" t="s">
        <v>74</v>
      </c>
      <c r="BH177" s="2" t="s">
        <v>74</v>
      </c>
      <c r="BI177" s="2" t="s">
        <v>74</v>
      </c>
      <c r="BJ177" s="2" t="s">
        <v>74</v>
      </c>
      <c r="BK177" s="2" t="s">
        <v>74</v>
      </c>
      <c r="BL177" s="2" t="s">
        <v>74</v>
      </c>
      <c r="BM177" s="2" t="s">
        <v>74</v>
      </c>
      <c r="BN177" s="2">
        <v>24326244</v>
      </c>
      <c r="BO177" s="2" t="s">
        <v>74</v>
      </c>
      <c r="BP177" s="2" t="s">
        <v>74</v>
      </c>
      <c r="BQ177" s="2" t="s">
        <v>74</v>
      </c>
      <c r="BR177" s="2" t="s">
        <v>74</v>
      </c>
      <c r="BS177" s="2" t="s">
        <v>6409</v>
      </c>
      <c r="BT177" s="2" t="str">
        <f>HYPERLINK("https%3A%2F%2Fwww.webofscience.com%2Fwos%2Fwoscc%2Ffull-record%2FWOS:000331428700005","View Full Record in Web of Science")</f>
        <v>View Full Record in Web of Science</v>
      </c>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row>
    <row r="178" spans="1:314" s="2" customFormat="1" x14ac:dyDescent="0.4">
      <c r="A178" s="2" t="s">
        <v>72</v>
      </c>
      <c r="B178" s="2" t="s">
        <v>2188</v>
      </c>
      <c r="C178" s="2" t="s">
        <v>74</v>
      </c>
      <c r="D178" s="2" t="s">
        <v>74</v>
      </c>
      <c r="E178" s="2" t="s">
        <v>74</v>
      </c>
      <c r="F178" s="2" t="s">
        <v>2189</v>
      </c>
      <c r="G178" s="2" t="s">
        <v>74</v>
      </c>
      <c r="H178" s="2" t="s">
        <v>74</v>
      </c>
      <c r="I178" s="2" t="s">
        <v>2190</v>
      </c>
      <c r="J178" s="2" t="s">
        <v>2191</v>
      </c>
      <c r="K178" s="2" t="s">
        <v>74</v>
      </c>
      <c r="L178" s="2" t="s">
        <v>74</v>
      </c>
      <c r="M178" s="2" t="s">
        <v>74</v>
      </c>
      <c r="N178" s="2" t="s">
        <v>74</v>
      </c>
      <c r="O178" s="2" t="s">
        <v>74</v>
      </c>
      <c r="P178" s="2" t="s">
        <v>74</v>
      </c>
      <c r="Q178" s="2" t="s">
        <v>74</v>
      </c>
      <c r="R178" s="2" t="s">
        <v>74</v>
      </c>
      <c r="S178" s="2" t="s">
        <v>74</v>
      </c>
      <c r="T178" s="2" t="s">
        <v>74</v>
      </c>
      <c r="U178" s="2" t="s">
        <v>74</v>
      </c>
      <c r="V178" s="5" t="s">
        <v>2192</v>
      </c>
      <c r="W178" s="2" t="s">
        <v>74</v>
      </c>
      <c r="X178" s="2" t="s">
        <v>74</v>
      </c>
      <c r="Y178" s="2" t="s">
        <v>74</v>
      </c>
      <c r="Z178" s="2" t="s">
        <v>74</v>
      </c>
      <c r="AA178" s="2" t="s">
        <v>74</v>
      </c>
      <c r="AB178" s="2" t="s">
        <v>74</v>
      </c>
      <c r="AC178" s="2" t="s">
        <v>74</v>
      </c>
      <c r="AD178" s="2" t="s">
        <v>74</v>
      </c>
      <c r="AE178" s="2" t="s">
        <v>74</v>
      </c>
      <c r="AF178" s="2" t="s">
        <v>74</v>
      </c>
      <c r="AG178" s="2" t="s">
        <v>74</v>
      </c>
      <c r="AH178" s="2" t="s">
        <v>74</v>
      </c>
      <c r="AI178" s="2" t="s">
        <v>74</v>
      </c>
      <c r="AJ178" s="2" t="s">
        <v>74</v>
      </c>
      <c r="AK178" s="2" t="s">
        <v>74</v>
      </c>
      <c r="AL178" s="2" t="s">
        <v>74</v>
      </c>
      <c r="AM178" s="2" t="s">
        <v>74</v>
      </c>
      <c r="AN178" s="2" t="s">
        <v>74</v>
      </c>
      <c r="AO178" s="2" t="s">
        <v>2193</v>
      </c>
      <c r="AP178" s="2" t="s">
        <v>2194</v>
      </c>
      <c r="AQ178" s="2" t="s">
        <v>74</v>
      </c>
      <c r="AR178" s="2" t="s">
        <v>74</v>
      </c>
      <c r="AS178" s="2" t="s">
        <v>74</v>
      </c>
      <c r="AT178" s="2" t="s">
        <v>352</v>
      </c>
      <c r="AU178" s="2">
        <v>2014</v>
      </c>
      <c r="AV178" s="2">
        <v>62</v>
      </c>
      <c r="AW178" s="2" t="s">
        <v>74</v>
      </c>
      <c r="AX178" s="2" t="s">
        <v>74</v>
      </c>
      <c r="AY178" s="2" t="s">
        <v>74</v>
      </c>
      <c r="AZ178" s="2" t="s">
        <v>74</v>
      </c>
      <c r="BA178" s="2" t="s">
        <v>74</v>
      </c>
      <c r="BB178" s="2">
        <v>49</v>
      </c>
      <c r="BC178" s="2">
        <v>53</v>
      </c>
      <c r="BD178" s="2" t="s">
        <v>74</v>
      </c>
      <c r="BE178" s="2" t="s">
        <v>2195</v>
      </c>
      <c r="BF178" s="2" t="str">
        <f>HYPERLINK("http://dx.doi.org/10.1016/j.aquaeng.2014.06.004","http://dx.doi.org/10.1016/j.aquaeng.2014.06.004")</f>
        <v>http://dx.doi.org/10.1016/j.aquaeng.2014.06.004</v>
      </c>
      <c r="BG178" s="2" t="s">
        <v>74</v>
      </c>
      <c r="BH178" s="2" t="s">
        <v>74</v>
      </c>
      <c r="BI178" s="2" t="s">
        <v>74</v>
      </c>
      <c r="BJ178" s="2" t="s">
        <v>74</v>
      </c>
      <c r="BK178" s="2" t="s">
        <v>74</v>
      </c>
      <c r="BL178" s="2" t="s">
        <v>74</v>
      </c>
      <c r="BM178" s="2" t="s">
        <v>74</v>
      </c>
      <c r="BN178" s="2" t="s">
        <v>74</v>
      </c>
      <c r="BO178" s="2" t="s">
        <v>74</v>
      </c>
      <c r="BP178" s="2" t="s">
        <v>74</v>
      </c>
      <c r="BQ178" s="2" t="s">
        <v>74</v>
      </c>
      <c r="BR178" s="2" t="s">
        <v>74</v>
      </c>
      <c r="BS178" s="2" t="s">
        <v>2196</v>
      </c>
      <c r="BT178" s="2" t="str">
        <f>HYPERLINK("https%3A%2F%2Fwww.webofscience.com%2Fwos%2Fwoscc%2Ffull-record%2FWOS:000342263700007","View Full Record in Web of Science")</f>
        <v>View Full Record in Web of Science</v>
      </c>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row>
    <row r="179" spans="1:314" s="2" customFormat="1" x14ac:dyDescent="0.4">
      <c r="A179" s="2" t="s">
        <v>72</v>
      </c>
      <c r="B179" s="2" t="s">
        <v>2188</v>
      </c>
      <c r="C179" s="2" t="s">
        <v>74</v>
      </c>
      <c r="D179" s="2" t="s">
        <v>74</v>
      </c>
      <c r="E179" s="2" t="s">
        <v>74</v>
      </c>
      <c r="F179" s="2" t="s">
        <v>2189</v>
      </c>
      <c r="G179" s="2" t="s">
        <v>74</v>
      </c>
      <c r="H179" s="2" t="s">
        <v>74</v>
      </c>
      <c r="I179" s="2" t="s">
        <v>8563</v>
      </c>
      <c r="J179" s="2" t="s">
        <v>4551</v>
      </c>
      <c r="K179" s="2" t="s">
        <v>74</v>
      </c>
      <c r="L179" s="2" t="s">
        <v>74</v>
      </c>
      <c r="M179" s="2" t="s">
        <v>74</v>
      </c>
      <c r="N179" s="2" t="s">
        <v>74</v>
      </c>
      <c r="O179" s="2" t="s">
        <v>74</v>
      </c>
      <c r="P179" s="2" t="s">
        <v>74</v>
      </c>
      <c r="Q179" s="2" t="s">
        <v>74</v>
      </c>
      <c r="R179" s="2" t="s">
        <v>74</v>
      </c>
      <c r="S179" s="2" t="s">
        <v>74</v>
      </c>
      <c r="T179" s="2" t="s">
        <v>74</v>
      </c>
      <c r="U179" s="2" t="s">
        <v>74</v>
      </c>
      <c r="V179" s="5" t="s">
        <v>8564</v>
      </c>
      <c r="W179" s="2" t="s">
        <v>74</v>
      </c>
      <c r="X179" s="2" t="s">
        <v>74</v>
      </c>
      <c r="Y179" s="2" t="s">
        <v>74</v>
      </c>
      <c r="Z179" s="2" t="s">
        <v>74</v>
      </c>
      <c r="AA179" s="2" t="s">
        <v>74</v>
      </c>
      <c r="AB179" s="2" t="s">
        <v>74</v>
      </c>
      <c r="AC179" s="2" t="s">
        <v>74</v>
      </c>
      <c r="AD179" s="2" t="s">
        <v>74</v>
      </c>
      <c r="AE179" s="2" t="s">
        <v>74</v>
      </c>
      <c r="AF179" s="2" t="s">
        <v>74</v>
      </c>
      <c r="AG179" s="2" t="s">
        <v>74</v>
      </c>
      <c r="AH179" s="2" t="s">
        <v>74</v>
      </c>
      <c r="AI179" s="2" t="s">
        <v>74</v>
      </c>
      <c r="AJ179" s="2" t="s">
        <v>74</v>
      </c>
      <c r="AK179" s="2" t="s">
        <v>74</v>
      </c>
      <c r="AL179" s="2" t="s">
        <v>74</v>
      </c>
      <c r="AM179" s="2" t="s">
        <v>74</v>
      </c>
      <c r="AN179" s="2" t="s">
        <v>74</v>
      </c>
      <c r="AO179" s="2" t="s">
        <v>4555</v>
      </c>
      <c r="AP179" s="2" t="s">
        <v>4556</v>
      </c>
      <c r="AQ179" s="2" t="s">
        <v>74</v>
      </c>
      <c r="AR179" s="2" t="s">
        <v>74</v>
      </c>
      <c r="AS179" s="2" t="s">
        <v>74</v>
      </c>
      <c r="AT179" s="2" t="s">
        <v>8565</v>
      </c>
      <c r="AU179" s="2">
        <v>2012</v>
      </c>
      <c r="AV179" s="2">
        <v>370</v>
      </c>
      <c r="AW179" s="2" t="s">
        <v>74</v>
      </c>
      <c r="AX179" s="2" t="s">
        <v>74</v>
      </c>
      <c r="AY179" s="2" t="s">
        <v>74</v>
      </c>
      <c r="AZ179" s="2" t="s">
        <v>74</v>
      </c>
      <c r="BA179" s="2" t="s">
        <v>74</v>
      </c>
      <c r="BB179" s="2">
        <v>54</v>
      </c>
      <c r="BC179" s="2">
        <v>60</v>
      </c>
      <c r="BD179" s="2" t="s">
        <v>74</v>
      </c>
      <c r="BE179" s="2" t="s">
        <v>8566</v>
      </c>
      <c r="BF179" s="2" t="str">
        <f>HYPERLINK("http://dx.doi.org/10.1016/j.aquaculture.2012.10.005","http://dx.doi.org/10.1016/j.aquaculture.2012.10.005")</f>
        <v>http://dx.doi.org/10.1016/j.aquaculture.2012.10.005</v>
      </c>
      <c r="BG179" s="2" t="s">
        <v>74</v>
      </c>
      <c r="BH179" s="2" t="s">
        <v>74</v>
      </c>
      <c r="BI179" s="2" t="s">
        <v>74</v>
      </c>
      <c r="BJ179" s="2" t="s">
        <v>74</v>
      </c>
      <c r="BK179" s="2" t="s">
        <v>74</v>
      </c>
      <c r="BL179" s="2" t="s">
        <v>74</v>
      </c>
      <c r="BM179" s="2" t="s">
        <v>74</v>
      </c>
      <c r="BN179" s="2" t="s">
        <v>74</v>
      </c>
      <c r="BO179" s="2" t="s">
        <v>74</v>
      </c>
      <c r="BP179" s="2" t="s">
        <v>74</v>
      </c>
      <c r="BQ179" s="2" t="s">
        <v>74</v>
      </c>
      <c r="BR179" s="2" t="s">
        <v>74</v>
      </c>
      <c r="BS179" s="2" t="s">
        <v>8567</v>
      </c>
      <c r="BT179" s="2" t="str">
        <f>HYPERLINK("https%3A%2F%2Fwww.webofscience.com%2Fwos%2Fwoscc%2Ffull-record%2FWOS:000311215700008","View Full Record in Web of Science")</f>
        <v>View Full Record in Web of Science</v>
      </c>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row>
    <row r="180" spans="1:314" s="2" customFormat="1" x14ac:dyDescent="0.4">
      <c r="A180" s="2" t="s">
        <v>72</v>
      </c>
      <c r="B180" s="2" t="s">
        <v>4103</v>
      </c>
      <c r="C180" s="2" t="s">
        <v>74</v>
      </c>
      <c r="D180" s="2" t="s">
        <v>74</v>
      </c>
      <c r="E180" s="2" t="s">
        <v>74</v>
      </c>
      <c r="F180" s="2" t="s">
        <v>4104</v>
      </c>
      <c r="G180" s="2" t="s">
        <v>74</v>
      </c>
      <c r="H180" s="2" t="s">
        <v>74</v>
      </c>
      <c r="I180" s="2" t="s">
        <v>4105</v>
      </c>
      <c r="J180" s="2" t="s">
        <v>108</v>
      </c>
      <c r="K180" s="2" t="s">
        <v>74</v>
      </c>
      <c r="L180" s="2" t="s">
        <v>74</v>
      </c>
      <c r="M180" s="2" t="s">
        <v>74</v>
      </c>
      <c r="N180" s="2" t="s">
        <v>74</v>
      </c>
      <c r="O180" s="2" t="s">
        <v>74</v>
      </c>
      <c r="P180" s="2" t="s">
        <v>74</v>
      </c>
      <c r="Q180" s="2" t="s">
        <v>74</v>
      </c>
      <c r="R180" s="2" t="s">
        <v>74</v>
      </c>
      <c r="S180" s="2" t="s">
        <v>74</v>
      </c>
      <c r="T180" s="2" t="s">
        <v>74</v>
      </c>
      <c r="U180" s="2" t="s">
        <v>74</v>
      </c>
      <c r="V180" s="5" t="s">
        <v>4106</v>
      </c>
      <c r="W180" s="2" t="s">
        <v>74</v>
      </c>
      <c r="X180" s="2" t="s">
        <v>74</v>
      </c>
      <c r="Y180" s="2" t="s">
        <v>74</v>
      </c>
      <c r="Z180" s="2" t="s">
        <v>74</v>
      </c>
      <c r="AA180" s="2" t="s">
        <v>4107</v>
      </c>
      <c r="AB180" s="2" t="s">
        <v>4108</v>
      </c>
      <c r="AC180" s="2" t="s">
        <v>74</v>
      </c>
      <c r="AD180" s="2" t="s">
        <v>74</v>
      </c>
      <c r="AE180" s="2" t="s">
        <v>74</v>
      </c>
      <c r="AF180" s="2" t="s">
        <v>74</v>
      </c>
      <c r="AG180" s="2" t="s">
        <v>74</v>
      </c>
      <c r="AH180" s="2" t="s">
        <v>74</v>
      </c>
      <c r="AI180" s="2" t="s">
        <v>74</v>
      </c>
      <c r="AJ180" s="2" t="s">
        <v>74</v>
      </c>
      <c r="AK180" s="2" t="s">
        <v>74</v>
      </c>
      <c r="AL180" s="2" t="s">
        <v>74</v>
      </c>
      <c r="AM180" s="2" t="s">
        <v>74</v>
      </c>
      <c r="AN180" s="2" t="s">
        <v>74</v>
      </c>
      <c r="AO180" s="2" t="s">
        <v>111</v>
      </c>
      <c r="AP180" s="2" t="s">
        <v>112</v>
      </c>
      <c r="AQ180" s="2" t="s">
        <v>74</v>
      </c>
      <c r="AR180" s="2" t="s">
        <v>74</v>
      </c>
      <c r="AS180" s="2" t="s">
        <v>74</v>
      </c>
      <c r="AT180" s="2" t="s">
        <v>165</v>
      </c>
      <c r="AU180" s="2">
        <v>2011</v>
      </c>
      <c r="AV180" s="2">
        <v>278</v>
      </c>
      <c r="AW180" s="2">
        <v>1719</v>
      </c>
      <c r="AX180" s="2" t="s">
        <v>74</v>
      </c>
      <c r="AY180" s="2" t="s">
        <v>74</v>
      </c>
      <c r="AZ180" s="2" t="s">
        <v>74</v>
      </c>
      <c r="BA180" s="2" t="s">
        <v>74</v>
      </c>
      <c r="BB180" s="2">
        <v>2806</v>
      </c>
      <c r="BC180" s="2">
        <v>2813</v>
      </c>
      <c r="BD180" s="2" t="s">
        <v>74</v>
      </c>
      <c r="BE180" s="2" t="s">
        <v>4109</v>
      </c>
      <c r="BF180" s="2" t="str">
        <f>HYPERLINK("http://dx.doi.org/10.1098/rspb.2010.2659","http://dx.doi.org/10.1098/rspb.2010.2659")</f>
        <v>http://dx.doi.org/10.1098/rspb.2010.2659</v>
      </c>
      <c r="BG180" s="2" t="s">
        <v>74</v>
      </c>
      <c r="BH180" s="2" t="s">
        <v>74</v>
      </c>
      <c r="BI180" s="2" t="s">
        <v>74</v>
      </c>
      <c r="BJ180" s="2" t="s">
        <v>74</v>
      </c>
      <c r="BK180" s="2" t="s">
        <v>74</v>
      </c>
      <c r="BL180" s="2" t="s">
        <v>74</v>
      </c>
      <c r="BM180" s="2" t="s">
        <v>74</v>
      </c>
      <c r="BN180" s="2">
        <v>21288951</v>
      </c>
      <c r="BO180" s="2" t="s">
        <v>74</v>
      </c>
      <c r="BP180" s="2" t="s">
        <v>74</v>
      </c>
      <c r="BQ180" s="2" t="s">
        <v>74</v>
      </c>
      <c r="BR180" s="2" t="s">
        <v>74</v>
      </c>
      <c r="BS180" s="2" t="s">
        <v>4110</v>
      </c>
      <c r="BT180" s="2" t="str">
        <f>HYPERLINK("https%3A%2F%2Fwww.webofscience.com%2Fwos%2Fwoscc%2Ffull-record%2FWOS:000293733600015","View Full Record in Web of Science")</f>
        <v>View Full Record in Web of Science</v>
      </c>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row>
    <row r="181" spans="1:314" s="2" customFormat="1" x14ac:dyDescent="0.4">
      <c r="A181" s="2" t="s">
        <v>72</v>
      </c>
      <c r="B181" s="2" t="s">
        <v>7085</v>
      </c>
      <c r="C181" s="2" t="s">
        <v>74</v>
      </c>
      <c r="D181" s="2" t="s">
        <v>74</v>
      </c>
      <c r="E181" s="2" t="s">
        <v>74</v>
      </c>
      <c r="F181" s="2" t="s">
        <v>7086</v>
      </c>
      <c r="G181" s="2" t="s">
        <v>74</v>
      </c>
      <c r="H181" s="2" t="s">
        <v>74</v>
      </c>
      <c r="I181" s="2" t="s">
        <v>7087</v>
      </c>
      <c r="J181" s="2" t="s">
        <v>7088</v>
      </c>
      <c r="K181" s="2" t="s">
        <v>74</v>
      </c>
      <c r="L181" s="2" t="s">
        <v>74</v>
      </c>
      <c r="M181" s="2" t="s">
        <v>74</v>
      </c>
      <c r="N181" s="2" t="s">
        <v>74</v>
      </c>
      <c r="O181" s="2" t="s">
        <v>74</v>
      </c>
      <c r="P181" s="2" t="s">
        <v>74</v>
      </c>
      <c r="Q181" s="2" t="s">
        <v>74</v>
      </c>
      <c r="R181" s="2" t="s">
        <v>74</v>
      </c>
      <c r="S181" s="2" t="s">
        <v>74</v>
      </c>
      <c r="T181" s="2" t="s">
        <v>74</v>
      </c>
      <c r="U181" s="2" t="s">
        <v>74</v>
      </c>
      <c r="V181" s="5" t="s">
        <v>7089</v>
      </c>
      <c r="W181" s="2" t="s">
        <v>74</v>
      </c>
      <c r="X181" s="2" t="s">
        <v>74</v>
      </c>
      <c r="Y181" s="2" t="s">
        <v>74</v>
      </c>
      <c r="Z181" s="2" t="s">
        <v>74</v>
      </c>
      <c r="AA181" s="2" t="s">
        <v>74</v>
      </c>
      <c r="AB181" s="2" t="s">
        <v>74</v>
      </c>
      <c r="AC181" s="2" t="s">
        <v>74</v>
      </c>
      <c r="AD181" s="2" t="s">
        <v>74</v>
      </c>
      <c r="AE181" s="2" t="s">
        <v>74</v>
      </c>
      <c r="AF181" s="2" t="s">
        <v>74</v>
      </c>
      <c r="AG181" s="2" t="s">
        <v>74</v>
      </c>
      <c r="AH181" s="2" t="s">
        <v>74</v>
      </c>
      <c r="AI181" s="2" t="s">
        <v>74</v>
      </c>
      <c r="AJ181" s="2" t="s">
        <v>74</v>
      </c>
      <c r="AK181" s="2" t="s">
        <v>74</v>
      </c>
      <c r="AL181" s="2" t="s">
        <v>74</v>
      </c>
      <c r="AM181" s="2" t="s">
        <v>74</v>
      </c>
      <c r="AN181" s="2" t="s">
        <v>74</v>
      </c>
      <c r="AO181" s="2" t="s">
        <v>7090</v>
      </c>
      <c r="AP181" s="2" t="s">
        <v>74</v>
      </c>
      <c r="AQ181" s="2" t="s">
        <v>74</v>
      </c>
      <c r="AR181" s="2" t="s">
        <v>74</v>
      </c>
      <c r="AS181" s="2" t="s">
        <v>74</v>
      </c>
      <c r="AT181" s="2" t="s">
        <v>74</v>
      </c>
      <c r="AU181" s="2">
        <v>2020</v>
      </c>
      <c r="AV181" s="2">
        <v>14</v>
      </c>
      <c r="AW181" s="2">
        <v>3</v>
      </c>
      <c r="AX181" s="2" t="s">
        <v>74</v>
      </c>
      <c r="AY181" s="2" t="s">
        <v>74</v>
      </c>
      <c r="AZ181" s="2" t="s">
        <v>74</v>
      </c>
      <c r="BA181" s="2" t="s">
        <v>74</v>
      </c>
      <c r="BB181" s="2">
        <v>231</v>
      </c>
      <c r="BC181" s="2">
        <v>250</v>
      </c>
      <c r="BD181" s="2" t="s">
        <v>7091</v>
      </c>
      <c r="BE181" s="2" t="s">
        <v>74</v>
      </c>
      <c r="BF181" s="2" t="s">
        <v>74</v>
      </c>
      <c r="BG181" s="2" t="s">
        <v>74</v>
      </c>
      <c r="BH181" s="2" t="s">
        <v>74</v>
      </c>
      <c r="BI181" s="2" t="s">
        <v>74</v>
      </c>
      <c r="BJ181" s="2" t="s">
        <v>74</v>
      </c>
      <c r="BK181" s="2" t="s">
        <v>74</v>
      </c>
      <c r="BL181" s="2" t="s">
        <v>74</v>
      </c>
      <c r="BM181" s="2" t="s">
        <v>74</v>
      </c>
      <c r="BN181" s="2" t="s">
        <v>74</v>
      </c>
      <c r="BO181" s="2" t="s">
        <v>74</v>
      </c>
      <c r="BP181" s="2" t="s">
        <v>74</v>
      </c>
      <c r="BQ181" s="2" t="s">
        <v>74</v>
      </c>
      <c r="BR181" s="2" t="s">
        <v>74</v>
      </c>
      <c r="BS181" s="2" t="s">
        <v>7092</v>
      </c>
      <c r="BT181" s="2" t="str">
        <f>HYPERLINK("https%3A%2F%2Fwww.webofscience.com%2Fwos%2Fwoscc%2Ffull-record%2FWOS:000620656500007","View Full Record in Web of Science")</f>
        <v>View Full Record in Web of Science</v>
      </c>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row>
    <row r="182" spans="1:314" s="1" customFormat="1" x14ac:dyDescent="0.4">
      <c r="A182" s="2" t="s">
        <v>72</v>
      </c>
      <c r="B182" s="2" t="s">
        <v>2495</v>
      </c>
      <c r="C182" s="2" t="s">
        <v>74</v>
      </c>
      <c r="D182" s="2" t="s">
        <v>74</v>
      </c>
      <c r="E182" s="2" t="s">
        <v>74</v>
      </c>
      <c r="F182" s="2" t="s">
        <v>2495</v>
      </c>
      <c r="G182" s="2" t="s">
        <v>74</v>
      </c>
      <c r="H182" s="2" t="s">
        <v>74</v>
      </c>
      <c r="I182" s="2" t="s">
        <v>2496</v>
      </c>
      <c r="J182" s="2" t="s">
        <v>77</v>
      </c>
      <c r="K182" s="2" t="s">
        <v>74</v>
      </c>
      <c r="L182" s="2" t="s">
        <v>74</v>
      </c>
      <c r="M182" s="2" t="s">
        <v>74</v>
      </c>
      <c r="N182" s="2" t="s">
        <v>74</v>
      </c>
      <c r="O182" s="2" t="s">
        <v>74</v>
      </c>
      <c r="P182" s="2" t="s">
        <v>74</v>
      </c>
      <c r="Q182" s="2" t="s">
        <v>74</v>
      </c>
      <c r="R182" s="2" t="s">
        <v>74</v>
      </c>
      <c r="S182" s="2" t="s">
        <v>74</v>
      </c>
      <c r="T182" s="2" t="s">
        <v>74</v>
      </c>
      <c r="U182" s="2" t="s">
        <v>74</v>
      </c>
      <c r="V182" s="5" t="s">
        <v>2497</v>
      </c>
      <c r="W182" s="2" t="s">
        <v>74</v>
      </c>
      <c r="X182" s="2" t="s">
        <v>74</v>
      </c>
      <c r="Y182" s="2" t="s">
        <v>74</v>
      </c>
      <c r="Z182" s="2" t="s">
        <v>74</v>
      </c>
      <c r="AA182" s="2" t="s">
        <v>74</v>
      </c>
      <c r="AB182" s="2" t="s">
        <v>74</v>
      </c>
      <c r="AC182" s="2" t="s">
        <v>74</v>
      </c>
      <c r="AD182" s="2" t="s">
        <v>74</v>
      </c>
      <c r="AE182" s="2" t="s">
        <v>74</v>
      </c>
      <c r="AF182" s="2" t="s">
        <v>74</v>
      </c>
      <c r="AG182" s="2" t="s">
        <v>74</v>
      </c>
      <c r="AH182" s="2" t="s">
        <v>74</v>
      </c>
      <c r="AI182" s="2" t="s">
        <v>74</v>
      </c>
      <c r="AJ182" s="2" t="s">
        <v>74</v>
      </c>
      <c r="AK182" s="2" t="s">
        <v>74</v>
      </c>
      <c r="AL182" s="2" t="s">
        <v>74</v>
      </c>
      <c r="AM182" s="2" t="s">
        <v>74</v>
      </c>
      <c r="AN182" s="2" t="s">
        <v>74</v>
      </c>
      <c r="AO182" s="2" t="s">
        <v>81</v>
      </c>
      <c r="AP182" s="2" t="s">
        <v>74</v>
      </c>
      <c r="AQ182" s="2" t="s">
        <v>74</v>
      </c>
      <c r="AR182" s="2" t="s">
        <v>74</v>
      </c>
      <c r="AS182" s="2" t="s">
        <v>74</v>
      </c>
      <c r="AT182" s="2" t="s">
        <v>305</v>
      </c>
      <c r="AU182" s="2">
        <v>1994</v>
      </c>
      <c r="AV182" s="2">
        <v>131</v>
      </c>
      <c r="AW182" s="2" t="s">
        <v>74</v>
      </c>
      <c r="AX182" s="2" t="s">
        <v>1276</v>
      </c>
      <c r="AY182" s="2" t="s">
        <v>74</v>
      </c>
      <c r="AZ182" s="2" t="s">
        <v>74</v>
      </c>
      <c r="BA182" s="2" t="s">
        <v>74</v>
      </c>
      <c r="BB182" s="2">
        <v>207</v>
      </c>
      <c r="BC182" s="2">
        <v>224</v>
      </c>
      <c r="BD182" s="2" t="s">
        <v>74</v>
      </c>
      <c r="BE182" s="2" t="s">
        <v>2498</v>
      </c>
      <c r="BF182" s="2" t="str">
        <f>HYPERLINK("http://dx.doi.org/10.1163/156853994X00442","http://dx.doi.org/10.1163/156853994X00442")</f>
        <v>http://dx.doi.org/10.1163/156853994X00442</v>
      </c>
      <c r="BG182" s="2" t="s">
        <v>74</v>
      </c>
      <c r="BH182" s="2" t="s">
        <v>74</v>
      </c>
      <c r="BI182" s="2" t="s">
        <v>74</v>
      </c>
      <c r="BJ182" s="2" t="s">
        <v>74</v>
      </c>
      <c r="BK182" s="2" t="s">
        <v>74</v>
      </c>
      <c r="BL182" s="2" t="s">
        <v>74</v>
      </c>
      <c r="BM182" s="2" t="s">
        <v>74</v>
      </c>
      <c r="BN182" s="2" t="s">
        <v>74</v>
      </c>
      <c r="BO182" s="2" t="s">
        <v>74</v>
      </c>
      <c r="BP182" s="2" t="s">
        <v>74</v>
      </c>
      <c r="BQ182" s="2" t="s">
        <v>74</v>
      </c>
      <c r="BR182" s="2" t="s">
        <v>74</v>
      </c>
      <c r="BS182" s="2" t="s">
        <v>2499</v>
      </c>
      <c r="BT182" s="2" t="str">
        <f>HYPERLINK("https%3A%2F%2Fwww.webofscience.com%2Fwos%2Fwoscc%2Ffull-record%2FWOS:A1994QT85100005","View Full Record in Web of Science")</f>
        <v>View Full Record in Web of Science</v>
      </c>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row>
    <row r="183" spans="1:314" s="2" customFormat="1" x14ac:dyDescent="0.4">
      <c r="A183" s="2" t="s">
        <v>72</v>
      </c>
      <c r="B183" s="2" t="s">
        <v>199</v>
      </c>
      <c r="C183" s="2" t="s">
        <v>74</v>
      </c>
      <c r="D183" s="2" t="s">
        <v>74</v>
      </c>
      <c r="E183" s="2" t="s">
        <v>74</v>
      </c>
      <c r="F183" s="2" t="s">
        <v>199</v>
      </c>
      <c r="G183" s="2" t="s">
        <v>74</v>
      </c>
      <c r="H183" s="2" t="s">
        <v>74</v>
      </c>
      <c r="I183" s="2" t="s">
        <v>200</v>
      </c>
      <c r="J183" s="2" t="s">
        <v>201</v>
      </c>
      <c r="K183" s="2" t="s">
        <v>74</v>
      </c>
      <c r="L183" s="2" t="s">
        <v>74</v>
      </c>
      <c r="M183" s="2" t="s">
        <v>74</v>
      </c>
      <c r="N183" s="2" t="s">
        <v>74</v>
      </c>
      <c r="O183" s="2" t="s">
        <v>74</v>
      </c>
      <c r="P183" s="2" t="s">
        <v>74</v>
      </c>
      <c r="Q183" s="2" t="s">
        <v>74</v>
      </c>
      <c r="R183" s="2" t="s">
        <v>74</v>
      </c>
      <c r="S183" s="2" t="s">
        <v>74</v>
      </c>
      <c r="T183" s="2" t="s">
        <v>74</v>
      </c>
      <c r="U183" s="2" t="s">
        <v>74</v>
      </c>
      <c r="V183" s="5" t="s">
        <v>202</v>
      </c>
      <c r="W183" s="2" t="s">
        <v>74</v>
      </c>
      <c r="X183" s="2" t="s">
        <v>74</v>
      </c>
      <c r="Y183" s="2" t="s">
        <v>74</v>
      </c>
      <c r="Z183" s="2" t="s">
        <v>74</v>
      </c>
      <c r="AA183" s="2" t="s">
        <v>74</v>
      </c>
      <c r="AB183" s="2" t="s">
        <v>74</v>
      </c>
      <c r="AC183" s="2" t="s">
        <v>74</v>
      </c>
      <c r="AD183" s="2" t="s">
        <v>74</v>
      </c>
      <c r="AE183" s="2" t="s">
        <v>74</v>
      </c>
      <c r="AF183" s="2" t="s">
        <v>74</v>
      </c>
      <c r="AG183" s="2" t="s">
        <v>74</v>
      </c>
      <c r="AH183" s="2" t="s">
        <v>74</v>
      </c>
      <c r="AI183" s="2" t="s">
        <v>74</v>
      </c>
      <c r="AJ183" s="2" t="s">
        <v>74</v>
      </c>
      <c r="AK183" s="2" t="s">
        <v>74</v>
      </c>
      <c r="AL183" s="2" t="s">
        <v>74</v>
      </c>
      <c r="AM183" s="2" t="s">
        <v>74</v>
      </c>
      <c r="AN183" s="2" t="s">
        <v>74</v>
      </c>
      <c r="AO183" s="2" t="s">
        <v>203</v>
      </c>
      <c r="AP183" s="2" t="s">
        <v>74</v>
      </c>
      <c r="AQ183" s="2" t="s">
        <v>74</v>
      </c>
      <c r="AR183" s="2" t="s">
        <v>74</v>
      </c>
      <c r="AS183" s="2" t="s">
        <v>74</v>
      </c>
      <c r="AT183" s="2" t="s">
        <v>204</v>
      </c>
      <c r="AU183" s="2">
        <v>1995</v>
      </c>
      <c r="AV183" s="2">
        <v>47</v>
      </c>
      <c r="AW183" s="2">
        <v>1</v>
      </c>
      <c r="AX183" s="2" t="s">
        <v>74</v>
      </c>
      <c r="AY183" s="2" t="s">
        <v>74</v>
      </c>
      <c r="AZ183" s="2" t="s">
        <v>74</v>
      </c>
      <c r="BA183" s="2" t="s">
        <v>74</v>
      </c>
      <c r="BB183" s="2">
        <v>50</v>
      </c>
      <c r="BC183" s="2">
        <v>58</v>
      </c>
      <c r="BD183" s="2" t="s">
        <v>74</v>
      </c>
      <c r="BE183" s="2" t="s">
        <v>205</v>
      </c>
      <c r="BF183" s="2" t="str">
        <f>HYPERLINK("http://dx.doi.org/10.1111/j.1095-8649.1995.tb01872.x","http://dx.doi.org/10.1111/j.1095-8649.1995.tb01872.x")</f>
        <v>http://dx.doi.org/10.1111/j.1095-8649.1995.tb01872.x</v>
      </c>
      <c r="BG183" s="2" t="s">
        <v>74</v>
      </c>
      <c r="BH183" s="2" t="s">
        <v>74</v>
      </c>
      <c r="BI183" s="2" t="s">
        <v>74</v>
      </c>
      <c r="BJ183" s="2" t="s">
        <v>74</v>
      </c>
      <c r="BK183" s="2" t="s">
        <v>74</v>
      </c>
      <c r="BL183" s="2" t="s">
        <v>74</v>
      </c>
      <c r="BM183" s="2" t="s">
        <v>74</v>
      </c>
      <c r="BN183" s="2" t="s">
        <v>74</v>
      </c>
      <c r="BO183" s="2" t="s">
        <v>74</v>
      </c>
      <c r="BP183" s="2" t="s">
        <v>74</v>
      </c>
      <c r="BQ183" s="2" t="s">
        <v>74</v>
      </c>
      <c r="BR183" s="2" t="s">
        <v>74</v>
      </c>
      <c r="BS183" s="2" t="s">
        <v>206</v>
      </c>
      <c r="BT183" s="2" t="str">
        <f>HYPERLINK("https%3A%2F%2Fwww.webofscience.com%2Fwos%2Fwoscc%2Ffull-record%2FWOS:A1995RK16500006","View Full Record in Web of Science")</f>
        <v>View Full Record in Web of Science</v>
      </c>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row>
    <row r="184" spans="1:314" s="2" customFormat="1" x14ac:dyDescent="0.4">
      <c r="A184" s="2" t="s">
        <v>72</v>
      </c>
      <c r="B184" s="2" t="s">
        <v>2039</v>
      </c>
      <c r="C184" s="2" t="s">
        <v>74</v>
      </c>
      <c r="D184" s="2" t="s">
        <v>74</v>
      </c>
      <c r="E184" s="2" t="s">
        <v>74</v>
      </c>
      <c r="F184" s="2" t="s">
        <v>2040</v>
      </c>
      <c r="G184" s="2" t="s">
        <v>74</v>
      </c>
      <c r="H184" s="2" t="s">
        <v>74</v>
      </c>
      <c r="I184" s="2" t="s">
        <v>2041</v>
      </c>
      <c r="J184" s="2" t="s">
        <v>2042</v>
      </c>
      <c r="K184" s="2" t="s">
        <v>74</v>
      </c>
      <c r="L184" s="2" t="s">
        <v>74</v>
      </c>
      <c r="M184" s="2" t="s">
        <v>74</v>
      </c>
      <c r="N184" s="2" t="s">
        <v>74</v>
      </c>
      <c r="O184" s="2" t="s">
        <v>74</v>
      </c>
      <c r="P184" s="2" t="s">
        <v>74</v>
      </c>
      <c r="Q184" s="2" t="s">
        <v>74</v>
      </c>
      <c r="R184" s="2" t="s">
        <v>74</v>
      </c>
      <c r="S184" s="2" t="s">
        <v>74</v>
      </c>
      <c r="T184" s="2" t="s">
        <v>74</v>
      </c>
      <c r="U184" s="2" t="s">
        <v>74</v>
      </c>
      <c r="V184" s="5" t="s">
        <v>2043</v>
      </c>
      <c r="W184" s="2" t="s">
        <v>74</v>
      </c>
      <c r="X184" s="2" t="s">
        <v>74</v>
      </c>
      <c r="Y184" s="2" t="s">
        <v>74</v>
      </c>
      <c r="Z184" s="2" t="s">
        <v>74</v>
      </c>
      <c r="AA184" s="2" t="s">
        <v>74</v>
      </c>
      <c r="AB184" s="2" t="s">
        <v>2044</v>
      </c>
      <c r="AC184" s="2" t="s">
        <v>74</v>
      </c>
      <c r="AD184" s="2" t="s">
        <v>74</v>
      </c>
      <c r="AE184" s="2" t="s">
        <v>74</v>
      </c>
      <c r="AF184" s="2" t="s">
        <v>74</v>
      </c>
      <c r="AG184" s="2" t="s">
        <v>74</v>
      </c>
      <c r="AH184" s="2" t="s">
        <v>74</v>
      </c>
      <c r="AI184" s="2" t="s">
        <v>74</v>
      </c>
      <c r="AJ184" s="2" t="s">
        <v>74</v>
      </c>
      <c r="AK184" s="2" t="s">
        <v>74</v>
      </c>
      <c r="AL184" s="2" t="s">
        <v>74</v>
      </c>
      <c r="AM184" s="2" t="s">
        <v>74</v>
      </c>
      <c r="AN184" s="2" t="s">
        <v>74</v>
      </c>
      <c r="AO184" s="2" t="s">
        <v>2045</v>
      </c>
      <c r="AP184" s="2" t="s">
        <v>2046</v>
      </c>
      <c r="AQ184" s="2" t="s">
        <v>74</v>
      </c>
      <c r="AR184" s="2" t="s">
        <v>74</v>
      </c>
      <c r="AS184" s="2" t="s">
        <v>74</v>
      </c>
      <c r="AT184" s="2" t="s">
        <v>204</v>
      </c>
      <c r="AU184" s="2">
        <v>2017</v>
      </c>
      <c r="AV184" s="2">
        <v>64</v>
      </c>
      <c r="AW184" s="2">
        <v>3</v>
      </c>
      <c r="AX184" s="2" t="s">
        <v>74</v>
      </c>
      <c r="AY184" s="2" t="s">
        <v>74</v>
      </c>
      <c r="AZ184" s="2" t="s">
        <v>74</v>
      </c>
      <c r="BA184" s="2" t="s">
        <v>74</v>
      </c>
      <c r="BB184" s="2">
        <v>301</v>
      </c>
      <c r="BC184" s="2">
        <v>307</v>
      </c>
      <c r="BD184" s="2" t="s">
        <v>74</v>
      </c>
      <c r="BE184" s="2" t="s">
        <v>2047</v>
      </c>
      <c r="BF184" s="2" t="str">
        <f>HYPERLINK("http://dx.doi.org/10.1007/s10228-016-0567-y","http://dx.doi.org/10.1007/s10228-016-0567-y")</f>
        <v>http://dx.doi.org/10.1007/s10228-016-0567-y</v>
      </c>
      <c r="BG184" s="2" t="s">
        <v>74</v>
      </c>
      <c r="BH184" s="2" t="s">
        <v>74</v>
      </c>
      <c r="BI184" s="2" t="s">
        <v>74</v>
      </c>
      <c r="BJ184" s="2" t="s">
        <v>74</v>
      </c>
      <c r="BK184" s="2" t="s">
        <v>74</v>
      </c>
      <c r="BL184" s="2" t="s">
        <v>74</v>
      </c>
      <c r="BM184" s="2" t="s">
        <v>74</v>
      </c>
      <c r="BN184" s="2" t="s">
        <v>74</v>
      </c>
      <c r="BO184" s="2" t="s">
        <v>74</v>
      </c>
      <c r="BP184" s="2" t="s">
        <v>74</v>
      </c>
      <c r="BQ184" s="2" t="s">
        <v>74</v>
      </c>
      <c r="BR184" s="2" t="s">
        <v>74</v>
      </c>
      <c r="BS184" s="2" t="s">
        <v>2048</v>
      </c>
      <c r="BT184" s="2" t="str">
        <f>HYPERLINK("https%3A%2F%2Fwww.webofscience.com%2Fwos%2Fwoscc%2Ffull-record%2FWOS:000404661100003","View Full Record in Web of Science")</f>
        <v>View Full Record in Web of Science</v>
      </c>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row>
    <row r="185" spans="1:314" s="2" customFormat="1" x14ac:dyDescent="0.4">
      <c r="A185" s="2" t="s">
        <v>72</v>
      </c>
      <c r="B185" s="2" t="s">
        <v>3097</v>
      </c>
      <c r="C185" s="2" t="s">
        <v>74</v>
      </c>
      <c r="D185" s="2" t="s">
        <v>74</v>
      </c>
      <c r="E185" s="2" t="s">
        <v>74</v>
      </c>
      <c r="F185" s="2" t="s">
        <v>3098</v>
      </c>
      <c r="G185" s="2" t="s">
        <v>74</v>
      </c>
      <c r="H185" s="2" t="s">
        <v>74</v>
      </c>
      <c r="I185" s="2" t="s">
        <v>3099</v>
      </c>
      <c r="J185" s="2" t="s">
        <v>3100</v>
      </c>
      <c r="K185" s="2" t="s">
        <v>74</v>
      </c>
      <c r="L185" s="2" t="s">
        <v>74</v>
      </c>
      <c r="M185" s="2" t="s">
        <v>74</v>
      </c>
      <c r="N185" s="2" t="s">
        <v>74</v>
      </c>
      <c r="O185" s="2" t="s">
        <v>74</v>
      </c>
      <c r="P185" s="2" t="s">
        <v>74</v>
      </c>
      <c r="Q185" s="2" t="s">
        <v>74</v>
      </c>
      <c r="R185" s="2" t="s">
        <v>74</v>
      </c>
      <c r="S185" s="2" t="s">
        <v>74</v>
      </c>
      <c r="T185" s="2" t="s">
        <v>74</v>
      </c>
      <c r="U185" s="2" t="s">
        <v>74</v>
      </c>
      <c r="V185" s="5" t="s">
        <v>3101</v>
      </c>
      <c r="W185" s="2" t="s">
        <v>74</v>
      </c>
      <c r="X185" s="2" t="s">
        <v>74</v>
      </c>
      <c r="Y185" s="2" t="s">
        <v>74</v>
      </c>
      <c r="Z185" s="2" t="s">
        <v>74</v>
      </c>
      <c r="AA185" s="2" t="s">
        <v>3102</v>
      </c>
      <c r="AB185" s="2" t="s">
        <v>3103</v>
      </c>
      <c r="AC185" s="2" t="s">
        <v>74</v>
      </c>
      <c r="AD185" s="2" t="s">
        <v>74</v>
      </c>
      <c r="AE185" s="2" t="s">
        <v>74</v>
      </c>
      <c r="AF185" s="2" t="s">
        <v>74</v>
      </c>
      <c r="AG185" s="2" t="s">
        <v>74</v>
      </c>
      <c r="AH185" s="2" t="s">
        <v>74</v>
      </c>
      <c r="AI185" s="2" t="s">
        <v>74</v>
      </c>
      <c r="AJ185" s="2" t="s">
        <v>74</v>
      </c>
      <c r="AK185" s="2" t="s">
        <v>74</v>
      </c>
      <c r="AL185" s="2" t="s">
        <v>74</v>
      </c>
      <c r="AM185" s="2" t="s">
        <v>74</v>
      </c>
      <c r="AN185" s="2" t="s">
        <v>74</v>
      </c>
      <c r="AO185" s="2" t="s">
        <v>74</v>
      </c>
      <c r="AP185" s="2" t="s">
        <v>3104</v>
      </c>
      <c r="AQ185" s="2" t="s">
        <v>74</v>
      </c>
      <c r="AR185" s="2" t="s">
        <v>74</v>
      </c>
      <c r="AS185" s="2" t="s">
        <v>74</v>
      </c>
      <c r="AT185" s="2" t="s">
        <v>3105</v>
      </c>
      <c r="AU185" s="2">
        <v>2017</v>
      </c>
      <c r="AV185" s="2">
        <v>4</v>
      </c>
      <c r="AW185" s="2" t="s">
        <v>74</v>
      </c>
      <c r="AX185" s="2" t="s">
        <v>74</v>
      </c>
      <c r="AY185" s="2" t="s">
        <v>74</v>
      </c>
      <c r="AZ185" s="2" t="s">
        <v>74</v>
      </c>
      <c r="BA185" s="2" t="s">
        <v>74</v>
      </c>
      <c r="BB185" s="2" t="s">
        <v>74</v>
      </c>
      <c r="BC185" s="2" t="s">
        <v>74</v>
      </c>
      <c r="BD185" s="2">
        <v>188</v>
      </c>
      <c r="BE185" s="2" t="s">
        <v>3106</v>
      </c>
      <c r="BF185" s="2" t="str">
        <f>HYPERLINK("http://dx.doi.org/10.3389/fvets.2017.00188","http://dx.doi.org/10.3389/fvets.2017.00188")</f>
        <v>http://dx.doi.org/10.3389/fvets.2017.00188</v>
      </c>
      <c r="BG185" s="2" t="s">
        <v>74</v>
      </c>
      <c r="BH185" s="2" t="s">
        <v>74</v>
      </c>
      <c r="BI185" s="2" t="s">
        <v>74</v>
      </c>
      <c r="BJ185" s="2" t="s">
        <v>74</v>
      </c>
      <c r="BK185" s="2" t="s">
        <v>74</v>
      </c>
      <c r="BL185" s="2" t="s">
        <v>74</v>
      </c>
      <c r="BM185" s="2" t="s">
        <v>74</v>
      </c>
      <c r="BN185" s="2">
        <v>29164143</v>
      </c>
      <c r="BO185" s="2" t="s">
        <v>74</v>
      </c>
      <c r="BP185" s="2" t="s">
        <v>74</v>
      </c>
      <c r="BQ185" s="2" t="s">
        <v>74</v>
      </c>
      <c r="BR185" s="2" t="s">
        <v>74</v>
      </c>
      <c r="BS185" s="2" t="s">
        <v>3107</v>
      </c>
      <c r="BT185" s="2" t="str">
        <f>HYPERLINK("https%3A%2F%2Fwww.webofscience.com%2Fwos%2Fwoscc%2Ffull-record%2FWOS:000451800800002","View Full Record in Web of Science")</f>
        <v>View Full Record in Web of Science</v>
      </c>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row>
    <row r="186" spans="1:314" s="2" customFormat="1" x14ac:dyDescent="0.4">
      <c r="A186" s="2" t="s">
        <v>72</v>
      </c>
      <c r="B186" s="2" t="s">
        <v>4646</v>
      </c>
      <c r="C186" s="2" t="s">
        <v>74</v>
      </c>
      <c r="D186" s="2" t="s">
        <v>74</v>
      </c>
      <c r="E186" s="2" t="s">
        <v>74</v>
      </c>
      <c r="F186" s="2" t="s">
        <v>4646</v>
      </c>
      <c r="G186" s="2" t="s">
        <v>74</v>
      </c>
      <c r="H186" s="2" t="s">
        <v>74</v>
      </c>
      <c r="I186" s="2" t="s">
        <v>4647</v>
      </c>
      <c r="J186" s="2" t="s">
        <v>1526</v>
      </c>
      <c r="K186" s="2" t="s">
        <v>74</v>
      </c>
      <c r="L186" s="2" t="s">
        <v>74</v>
      </c>
      <c r="M186" s="2" t="s">
        <v>74</v>
      </c>
      <c r="N186" s="2" t="s">
        <v>74</v>
      </c>
      <c r="O186" s="2" t="s">
        <v>74</v>
      </c>
      <c r="P186" s="2" t="s">
        <v>74</v>
      </c>
      <c r="Q186" s="2" t="s">
        <v>74</v>
      </c>
      <c r="R186" s="2" t="s">
        <v>74</v>
      </c>
      <c r="S186" s="2" t="s">
        <v>74</v>
      </c>
      <c r="T186" s="2" t="s">
        <v>74</v>
      </c>
      <c r="U186" s="2" t="s">
        <v>74</v>
      </c>
      <c r="V186" s="5" t="s">
        <v>4648</v>
      </c>
      <c r="W186" s="2" t="s">
        <v>74</v>
      </c>
      <c r="X186" s="2" t="s">
        <v>74</v>
      </c>
      <c r="Y186" s="2" t="s">
        <v>74</v>
      </c>
      <c r="Z186" s="2" t="s">
        <v>74</v>
      </c>
      <c r="AA186" s="2" t="s">
        <v>4649</v>
      </c>
      <c r="AB186" s="2" t="s">
        <v>4650</v>
      </c>
      <c r="AC186" s="2" t="s">
        <v>74</v>
      </c>
      <c r="AD186" s="2" t="s">
        <v>74</v>
      </c>
      <c r="AE186" s="2" t="s">
        <v>74</v>
      </c>
      <c r="AF186" s="2" t="s">
        <v>74</v>
      </c>
      <c r="AG186" s="2" t="s">
        <v>74</v>
      </c>
      <c r="AH186" s="2" t="s">
        <v>74</v>
      </c>
      <c r="AI186" s="2" t="s">
        <v>74</v>
      </c>
      <c r="AJ186" s="2" t="s">
        <v>74</v>
      </c>
      <c r="AK186" s="2" t="s">
        <v>74</v>
      </c>
      <c r="AL186" s="2" t="s">
        <v>74</v>
      </c>
      <c r="AM186" s="2" t="s">
        <v>74</v>
      </c>
      <c r="AN186" s="2" t="s">
        <v>74</v>
      </c>
      <c r="AO186" s="2" t="s">
        <v>1528</v>
      </c>
      <c r="AP186" s="2" t="s">
        <v>74</v>
      </c>
      <c r="AQ186" s="2" t="s">
        <v>74</v>
      </c>
      <c r="AR186" s="2" t="s">
        <v>74</v>
      </c>
      <c r="AS186" s="2" t="s">
        <v>74</v>
      </c>
      <c r="AT186" s="2" t="s">
        <v>145</v>
      </c>
      <c r="AU186" s="2">
        <v>1994</v>
      </c>
      <c r="AV186" s="2">
        <v>96</v>
      </c>
      <c r="AW186" s="2">
        <v>3</v>
      </c>
      <c r="AX186" s="2" t="s">
        <v>74</v>
      </c>
      <c r="AY186" s="2" t="s">
        <v>74</v>
      </c>
      <c r="AZ186" s="2" t="s">
        <v>74</v>
      </c>
      <c r="BA186" s="2" t="s">
        <v>74</v>
      </c>
      <c r="BB186" s="2">
        <v>614</v>
      </c>
      <c r="BC186" s="2">
        <v>625</v>
      </c>
      <c r="BD186" s="2" t="s">
        <v>74</v>
      </c>
      <c r="BE186" s="2" t="s">
        <v>4651</v>
      </c>
      <c r="BF186" s="2" t="str">
        <f>HYPERLINK("http://dx.doi.org/10.2307/1369464","http://dx.doi.org/10.2307/1369464")</f>
        <v>http://dx.doi.org/10.2307/1369464</v>
      </c>
      <c r="BG186" s="2" t="s">
        <v>74</v>
      </c>
      <c r="BH186" s="2" t="s">
        <v>74</v>
      </c>
      <c r="BI186" s="2" t="s">
        <v>74</v>
      </c>
      <c r="BJ186" s="2" t="s">
        <v>74</v>
      </c>
      <c r="BK186" s="2" t="s">
        <v>74</v>
      </c>
      <c r="BL186" s="2" t="s">
        <v>74</v>
      </c>
      <c r="BM186" s="2" t="s">
        <v>74</v>
      </c>
      <c r="BN186" s="2" t="s">
        <v>74</v>
      </c>
      <c r="BO186" s="2" t="s">
        <v>74</v>
      </c>
      <c r="BP186" s="2" t="s">
        <v>74</v>
      </c>
      <c r="BQ186" s="2" t="s">
        <v>74</v>
      </c>
      <c r="BR186" s="2" t="s">
        <v>74</v>
      </c>
      <c r="BS186" s="2" t="s">
        <v>4652</v>
      </c>
      <c r="BT186" s="2" t="str">
        <f>HYPERLINK("https%3A%2F%2Fwww.webofscience.com%2Fwos%2Fwoscc%2Ffull-record%2FWOS:A1994PE53800005","View Full Record in Web of Science")</f>
        <v>View Full Record in Web of Science</v>
      </c>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row>
    <row r="187" spans="1:314" s="2" customFormat="1" x14ac:dyDescent="0.4">
      <c r="A187" s="2" t="s">
        <v>72</v>
      </c>
      <c r="B187" s="2" t="s">
        <v>5369</v>
      </c>
      <c r="C187" s="2" t="s">
        <v>74</v>
      </c>
      <c r="D187" s="2" t="s">
        <v>74</v>
      </c>
      <c r="E187" s="2" t="s">
        <v>74</v>
      </c>
      <c r="F187" s="2" t="s">
        <v>5370</v>
      </c>
      <c r="G187" s="2" t="s">
        <v>74</v>
      </c>
      <c r="H187" s="2" t="s">
        <v>74</v>
      </c>
      <c r="I187" s="2" t="s">
        <v>5371</v>
      </c>
      <c r="J187" s="2" t="s">
        <v>140</v>
      </c>
      <c r="K187" s="2" t="s">
        <v>74</v>
      </c>
      <c r="L187" s="2" t="s">
        <v>74</v>
      </c>
      <c r="M187" s="2" t="s">
        <v>74</v>
      </c>
      <c r="N187" s="2" t="s">
        <v>74</v>
      </c>
      <c r="O187" s="2" t="s">
        <v>74</v>
      </c>
      <c r="P187" s="2" t="s">
        <v>74</v>
      </c>
      <c r="Q187" s="2" t="s">
        <v>74</v>
      </c>
      <c r="R187" s="2" t="s">
        <v>74</v>
      </c>
      <c r="S187" s="2" t="s">
        <v>74</v>
      </c>
      <c r="T187" s="2" t="s">
        <v>74</v>
      </c>
      <c r="U187" s="2" t="s">
        <v>74</v>
      </c>
      <c r="V187" s="5" t="s">
        <v>5372</v>
      </c>
      <c r="W187" s="2" t="s">
        <v>74</v>
      </c>
      <c r="X187" s="2" t="s">
        <v>74</v>
      </c>
      <c r="Y187" s="2" t="s">
        <v>74</v>
      </c>
      <c r="Z187" s="2" t="s">
        <v>74</v>
      </c>
      <c r="AA187" s="2" t="s">
        <v>5373</v>
      </c>
      <c r="AB187" s="2" t="s">
        <v>5374</v>
      </c>
      <c r="AC187" s="2" t="s">
        <v>74</v>
      </c>
      <c r="AD187" s="2" t="s">
        <v>74</v>
      </c>
      <c r="AE187" s="2" t="s">
        <v>74</v>
      </c>
      <c r="AF187" s="2" t="s">
        <v>74</v>
      </c>
      <c r="AG187" s="2" t="s">
        <v>74</v>
      </c>
      <c r="AH187" s="2" t="s">
        <v>74</v>
      </c>
      <c r="AI187" s="2" t="s">
        <v>74</v>
      </c>
      <c r="AJ187" s="2" t="s">
        <v>74</v>
      </c>
      <c r="AK187" s="2" t="s">
        <v>74</v>
      </c>
      <c r="AL187" s="2" t="s">
        <v>74</v>
      </c>
      <c r="AM187" s="2" t="s">
        <v>74</v>
      </c>
      <c r="AN187" s="2" t="s">
        <v>74</v>
      </c>
      <c r="AO187" s="2" t="s">
        <v>143</v>
      </c>
      <c r="AP187" s="2" t="s">
        <v>144</v>
      </c>
      <c r="AQ187" s="2" t="s">
        <v>74</v>
      </c>
      <c r="AR187" s="2" t="s">
        <v>74</v>
      </c>
      <c r="AS187" s="2" t="s">
        <v>74</v>
      </c>
      <c r="AT187" s="2" t="s">
        <v>352</v>
      </c>
      <c r="AU187" s="2">
        <v>2021</v>
      </c>
      <c r="AV187" s="2">
        <v>179</v>
      </c>
      <c r="AW187" s="2" t="s">
        <v>74</v>
      </c>
      <c r="AX187" s="2" t="s">
        <v>74</v>
      </c>
      <c r="AY187" s="2" t="s">
        <v>74</v>
      </c>
      <c r="AZ187" s="2" t="s">
        <v>74</v>
      </c>
      <c r="BA187" s="2" t="s">
        <v>74</v>
      </c>
      <c r="BB187" s="2">
        <v>307</v>
      </c>
      <c r="BC187" s="2">
        <v>315</v>
      </c>
      <c r="BD187" s="2" t="s">
        <v>74</v>
      </c>
      <c r="BE187" s="2" t="s">
        <v>5375</v>
      </c>
      <c r="BF187" s="2" t="str">
        <f>HYPERLINK("http://dx.doi.org/10.1016/j.anbehav.2021.07.016","http://dx.doi.org/10.1016/j.anbehav.2021.07.016")</f>
        <v>http://dx.doi.org/10.1016/j.anbehav.2021.07.016</v>
      </c>
      <c r="BG187" s="2" t="s">
        <v>74</v>
      </c>
      <c r="BH187" s="2" t="s">
        <v>4990</v>
      </c>
      <c r="BI187" s="2" t="s">
        <v>74</v>
      </c>
      <c r="BJ187" s="2" t="s">
        <v>74</v>
      </c>
      <c r="BK187" s="2" t="s">
        <v>74</v>
      </c>
      <c r="BL187" s="2" t="s">
        <v>74</v>
      </c>
      <c r="BM187" s="2" t="s">
        <v>74</v>
      </c>
      <c r="BN187" s="2" t="s">
        <v>74</v>
      </c>
      <c r="BO187" s="2" t="s">
        <v>74</v>
      </c>
      <c r="BP187" s="2" t="s">
        <v>74</v>
      </c>
      <c r="BQ187" s="2" t="s">
        <v>74</v>
      </c>
      <c r="BR187" s="2" t="s">
        <v>74</v>
      </c>
      <c r="BS187" s="2" t="s">
        <v>5376</v>
      </c>
      <c r="BT187" s="2" t="str">
        <f>HYPERLINK("https%3A%2F%2Fwww.webofscience.com%2Fwos%2Fwoscc%2Ffull-record%2FWOS:000693411000026","View Full Record in Web of Science")</f>
        <v>View Full Record in Web of Science</v>
      </c>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row>
    <row r="188" spans="1:314" s="2" customFormat="1" x14ac:dyDescent="0.4">
      <c r="A188" s="2" t="s">
        <v>72</v>
      </c>
      <c r="B188" s="2" t="s">
        <v>1632</v>
      </c>
      <c r="C188" s="2" t="s">
        <v>74</v>
      </c>
      <c r="D188" s="2" t="s">
        <v>74</v>
      </c>
      <c r="E188" s="2" t="s">
        <v>74</v>
      </c>
      <c r="F188" s="2" t="s">
        <v>1633</v>
      </c>
      <c r="G188" s="2" t="s">
        <v>74</v>
      </c>
      <c r="H188" s="2" t="s">
        <v>74</v>
      </c>
      <c r="I188" s="2" t="s">
        <v>1634</v>
      </c>
      <c r="J188" s="2" t="s">
        <v>1635</v>
      </c>
      <c r="K188" s="2" t="s">
        <v>74</v>
      </c>
      <c r="L188" s="2" t="s">
        <v>74</v>
      </c>
      <c r="M188" s="2" t="s">
        <v>74</v>
      </c>
      <c r="N188" s="2" t="s">
        <v>74</v>
      </c>
      <c r="O188" s="2" t="s">
        <v>74</v>
      </c>
      <c r="P188" s="2" t="s">
        <v>74</v>
      </c>
      <c r="Q188" s="2" t="s">
        <v>74</v>
      </c>
      <c r="R188" s="2" t="s">
        <v>74</v>
      </c>
      <c r="S188" s="2" t="s">
        <v>74</v>
      </c>
      <c r="T188" s="2" t="s">
        <v>74</v>
      </c>
      <c r="U188" s="2" t="s">
        <v>74</v>
      </c>
      <c r="V188" s="5" t="s">
        <v>1636</v>
      </c>
      <c r="W188" s="2" t="s">
        <v>74</v>
      </c>
      <c r="X188" s="2" t="s">
        <v>74</v>
      </c>
      <c r="Y188" s="2" t="s">
        <v>74</v>
      </c>
      <c r="Z188" s="2" t="s">
        <v>74</v>
      </c>
      <c r="AA188" s="2" t="s">
        <v>1637</v>
      </c>
      <c r="AB188" s="2" t="s">
        <v>1638</v>
      </c>
      <c r="AC188" s="2" t="s">
        <v>74</v>
      </c>
      <c r="AD188" s="2" t="s">
        <v>74</v>
      </c>
      <c r="AE188" s="2" t="s">
        <v>74</v>
      </c>
      <c r="AF188" s="2" t="s">
        <v>74</v>
      </c>
      <c r="AG188" s="2" t="s">
        <v>74</v>
      </c>
      <c r="AH188" s="2" t="s">
        <v>74</v>
      </c>
      <c r="AI188" s="2" t="s">
        <v>74</v>
      </c>
      <c r="AJ188" s="2" t="s">
        <v>74</v>
      </c>
      <c r="AK188" s="2" t="s">
        <v>74</v>
      </c>
      <c r="AL188" s="2" t="s">
        <v>74</v>
      </c>
      <c r="AM188" s="2" t="s">
        <v>74</v>
      </c>
      <c r="AN188" s="2" t="s">
        <v>74</v>
      </c>
      <c r="AO188" s="2" t="s">
        <v>1639</v>
      </c>
      <c r="AP188" s="2" t="s">
        <v>1640</v>
      </c>
      <c r="AQ188" s="2" t="s">
        <v>74</v>
      </c>
      <c r="AR188" s="2" t="s">
        <v>74</v>
      </c>
      <c r="AS188" s="2" t="s">
        <v>74</v>
      </c>
      <c r="AT188" s="2" t="s">
        <v>1641</v>
      </c>
      <c r="AU188" s="2">
        <v>2021</v>
      </c>
      <c r="AV188" s="2">
        <v>376</v>
      </c>
      <c r="AW188" s="2">
        <v>1824</v>
      </c>
      <c r="AX188" s="2" t="s">
        <v>74</v>
      </c>
      <c r="AY188" s="2" t="s">
        <v>74</v>
      </c>
      <c r="AZ188" s="2" t="s">
        <v>74</v>
      </c>
      <c r="BA188" s="2" t="s">
        <v>74</v>
      </c>
      <c r="BB188" s="2" t="s">
        <v>74</v>
      </c>
      <c r="BC188" s="2" t="s">
        <v>74</v>
      </c>
      <c r="BD188" s="2">
        <v>20200188</v>
      </c>
      <c r="BE188" s="2" t="s">
        <v>1642</v>
      </c>
      <c r="BF188" s="2" t="str">
        <f>HYPERLINK("http://dx.doi.org/10.1098/rstb.2020.0188","http://dx.doi.org/10.1098/rstb.2020.0188")</f>
        <v>http://dx.doi.org/10.1098/rstb.2020.0188</v>
      </c>
      <c r="BG188" s="2" t="s">
        <v>74</v>
      </c>
      <c r="BH188" s="2" t="s">
        <v>74</v>
      </c>
      <c r="BI188" s="2" t="s">
        <v>74</v>
      </c>
      <c r="BJ188" s="2" t="s">
        <v>74</v>
      </c>
      <c r="BK188" s="2" t="s">
        <v>74</v>
      </c>
      <c r="BL188" s="2" t="s">
        <v>74</v>
      </c>
      <c r="BM188" s="2" t="s">
        <v>74</v>
      </c>
      <c r="BN188" s="2">
        <v>33745319</v>
      </c>
      <c r="BO188" s="2" t="s">
        <v>74</v>
      </c>
      <c r="BP188" s="2" t="s">
        <v>74</v>
      </c>
      <c r="BQ188" s="2" t="s">
        <v>74</v>
      </c>
      <c r="BR188" s="2" t="s">
        <v>74</v>
      </c>
      <c r="BS188" s="2" t="s">
        <v>1643</v>
      </c>
      <c r="BT188" s="2" t="str">
        <f>HYPERLINK("https%3A%2F%2Fwww.webofscience.com%2Fwos%2Fwoscc%2Ffull-record%2FWOS:000631504800001","View Full Record in Web of Science")</f>
        <v>View Full Record in Web of Science</v>
      </c>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row>
    <row r="189" spans="1:314" s="2" customFormat="1" x14ac:dyDescent="0.4">
      <c r="A189" s="2" t="s">
        <v>72</v>
      </c>
      <c r="B189" s="2" t="s">
        <v>5226</v>
      </c>
      <c r="C189" s="2" t="s">
        <v>74</v>
      </c>
      <c r="D189" s="2" t="s">
        <v>74</v>
      </c>
      <c r="E189" s="2" t="s">
        <v>74</v>
      </c>
      <c r="F189" s="2" t="s">
        <v>5227</v>
      </c>
      <c r="G189" s="2" t="s">
        <v>74</v>
      </c>
      <c r="H189" s="2" t="s">
        <v>74</v>
      </c>
      <c r="I189" s="2" t="s">
        <v>5228</v>
      </c>
      <c r="J189" s="2" t="s">
        <v>119</v>
      </c>
      <c r="K189" s="2" t="s">
        <v>74</v>
      </c>
      <c r="L189" s="2" t="s">
        <v>74</v>
      </c>
      <c r="M189" s="2" t="s">
        <v>74</v>
      </c>
      <c r="N189" s="2" t="s">
        <v>74</v>
      </c>
      <c r="O189" s="2" t="s">
        <v>74</v>
      </c>
      <c r="P189" s="2" t="s">
        <v>74</v>
      </c>
      <c r="Q189" s="2" t="s">
        <v>74</v>
      </c>
      <c r="R189" s="2" t="s">
        <v>74</v>
      </c>
      <c r="S189" s="2" t="s">
        <v>74</v>
      </c>
      <c r="T189" s="2" t="s">
        <v>74</v>
      </c>
      <c r="U189" s="2" t="s">
        <v>74</v>
      </c>
      <c r="V189" s="5" t="s">
        <v>5229</v>
      </c>
      <c r="W189" s="2" t="s">
        <v>74</v>
      </c>
      <c r="X189" s="2" t="s">
        <v>74</v>
      </c>
      <c r="Y189" s="2" t="s">
        <v>74</v>
      </c>
      <c r="Z189" s="2" t="s">
        <v>74</v>
      </c>
      <c r="AA189" s="2" t="s">
        <v>5230</v>
      </c>
      <c r="AB189" s="2" t="s">
        <v>5231</v>
      </c>
      <c r="AC189" s="2" t="s">
        <v>74</v>
      </c>
      <c r="AD189" s="2" t="s">
        <v>74</v>
      </c>
      <c r="AE189" s="2" t="s">
        <v>74</v>
      </c>
      <c r="AF189" s="2" t="s">
        <v>74</v>
      </c>
      <c r="AG189" s="2" t="s">
        <v>74</v>
      </c>
      <c r="AH189" s="2" t="s">
        <v>74</v>
      </c>
      <c r="AI189" s="2" t="s">
        <v>74</v>
      </c>
      <c r="AJ189" s="2" t="s">
        <v>74</v>
      </c>
      <c r="AK189" s="2" t="s">
        <v>74</v>
      </c>
      <c r="AL189" s="2" t="s">
        <v>74</v>
      </c>
      <c r="AM189" s="2" t="s">
        <v>74</v>
      </c>
      <c r="AN189" s="2" t="s">
        <v>74</v>
      </c>
      <c r="AO189" s="2" t="s">
        <v>121</v>
      </c>
      <c r="AP189" s="2" t="s">
        <v>122</v>
      </c>
      <c r="AQ189" s="2" t="s">
        <v>74</v>
      </c>
      <c r="AR189" s="2" t="s">
        <v>74</v>
      </c>
      <c r="AS189" s="2" t="s">
        <v>74</v>
      </c>
      <c r="AT189" s="2" t="s">
        <v>213</v>
      </c>
      <c r="AU189" s="2">
        <v>2015</v>
      </c>
      <c r="AV189" s="2">
        <v>120</v>
      </c>
      <c r="AW189" s="2" t="s">
        <v>74</v>
      </c>
      <c r="AX189" s="2" t="s">
        <v>74</v>
      </c>
      <c r="AY189" s="2" t="s">
        <v>74</v>
      </c>
      <c r="AZ189" s="2" t="s">
        <v>74</v>
      </c>
      <c r="BA189" s="2" t="s">
        <v>74</v>
      </c>
      <c r="BB189" s="2">
        <v>128</v>
      </c>
      <c r="BC189" s="2">
        <v>134</v>
      </c>
      <c r="BD189" s="2" t="s">
        <v>74</v>
      </c>
      <c r="BE189" s="2" t="s">
        <v>5232</v>
      </c>
      <c r="BF189" s="2" t="str">
        <f>HYPERLINK("http://dx.doi.org/10.1016/j.beproc.2015.09.015","http://dx.doi.org/10.1016/j.beproc.2015.09.015")</f>
        <v>http://dx.doi.org/10.1016/j.beproc.2015.09.015</v>
      </c>
      <c r="BG189" s="2" t="s">
        <v>74</v>
      </c>
      <c r="BH189" s="2" t="s">
        <v>74</v>
      </c>
      <c r="BI189" s="2" t="s">
        <v>74</v>
      </c>
      <c r="BJ189" s="2" t="s">
        <v>74</v>
      </c>
      <c r="BK189" s="2" t="s">
        <v>74</v>
      </c>
      <c r="BL189" s="2" t="s">
        <v>74</v>
      </c>
      <c r="BM189" s="2" t="s">
        <v>74</v>
      </c>
      <c r="BN189" s="2">
        <v>26449315</v>
      </c>
      <c r="BO189" s="2" t="s">
        <v>74</v>
      </c>
      <c r="BP189" s="2" t="s">
        <v>74</v>
      </c>
      <c r="BQ189" s="2" t="s">
        <v>74</v>
      </c>
      <c r="BR189" s="2" t="s">
        <v>74</v>
      </c>
      <c r="BS189" s="2" t="s">
        <v>5233</v>
      </c>
      <c r="BT189" s="2" t="str">
        <f>HYPERLINK("https%3A%2F%2Fwww.webofscience.com%2Fwos%2Fwoscc%2Ffull-record%2FWOS:000364503300018","View Full Record in Web of Science")</f>
        <v>View Full Record in Web of Science</v>
      </c>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row>
    <row r="190" spans="1:314" s="2" customFormat="1" x14ac:dyDescent="0.4">
      <c r="A190" s="2" t="s">
        <v>72</v>
      </c>
      <c r="B190" s="2" t="s">
        <v>7547</v>
      </c>
      <c r="C190" s="2" t="s">
        <v>74</v>
      </c>
      <c r="D190" s="2" t="s">
        <v>74</v>
      </c>
      <c r="E190" s="2" t="s">
        <v>74</v>
      </c>
      <c r="F190" s="2" t="s">
        <v>7548</v>
      </c>
      <c r="G190" s="2" t="s">
        <v>74</v>
      </c>
      <c r="H190" s="2" t="s">
        <v>74</v>
      </c>
      <c r="I190" s="2" t="s">
        <v>7549</v>
      </c>
      <c r="J190" s="2" t="s">
        <v>7550</v>
      </c>
      <c r="K190" s="2" t="s">
        <v>74</v>
      </c>
      <c r="L190" s="2" t="s">
        <v>74</v>
      </c>
      <c r="M190" s="2" t="s">
        <v>74</v>
      </c>
      <c r="N190" s="2" t="s">
        <v>74</v>
      </c>
      <c r="O190" s="2" t="s">
        <v>74</v>
      </c>
      <c r="P190" s="2" t="s">
        <v>74</v>
      </c>
      <c r="Q190" s="2" t="s">
        <v>74</v>
      </c>
      <c r="R190" s="2" t="s">
        <v>74</v>
      </c>
      <c r="S190" s="2" t="s">
        <v>74</v>
      </c>
      <c r="T190" s="2" t="s">
        <v>74</v>
      </c>
      <c r="U190" s="2" t="s">
        <v>74</v>
      </c>
      <c r="V190" s="5" t="s">
        <v>7551</v>
      </c>
      <c r="W190" s="2" t="s">
        <v>74</v>
      </c>
      <c r="X190" s="2" t="s">
        <v>74</v>
      </c>
      <c r="Y190" s="2" t="s">
        <v>74</v>
      </c>
      <c r="Z190" s="2" t="s">
        <v>74</v>
      </c>
      <c r="AA190" s="2" t="s">
        <v>74</v>
      </c>
      <c r="AB190" s="2" t="s">
        <v>74</v>
      </c>
      <c r="AC190" s="2" t="s">
        <v>74</v>
      </c>
      <c r="AD190" s="2" t="s">
        <v>74</v>
      </c>
      <c r="AE190" s="2" t="s">
        <v>74</v>
      </c>
      <c r="AF190" s="2" t="s">
        <v>74</v>
      </c>
      <c r="AG190" s="2" t="s">
        <v>74</v>
      </c>
      <c r="AH190" s="2" t="s">
        <v>74</v>
      </c>
      <c r="AI190" s="2" t="s">
        <v>74</v>
      </c>
      <c r="AJ190" s="2" t="s">
        <v>74</v>
      </c>
      <c r="AK190" s="2" t="s">
        <v>74</v>
      </c>
      <c r="AL190" s="2" t="s">
        <v>74</v>
      </c>
      <c r="AM190" s="2" t="s">
        <v>74</v>
      </c>
      <c r="AN190" s="2" t="s">
        <v>74</v>
      </c>
      <c r="AO190" s="2" t="s">
        <v>7552</v>
      </c>
      <c r="AP190" s="2" t="s">
        <v>7553</v>
      </c>
      <c r="AQ190" s="2" t="s">
        <v>74</v>
      </c>
      <c r="AR190" s="2" t="s">
        <v>74</v>
      </c>
      <c r="AS190" s="2" t="s">
        <v>74</v>
      </c>
      <c r="AT190" s="2" t="s">
        <v>74</v>
      </c>
      <c r="AU190" s="2">
        <v>2015</v>
      </c>
      <c r="AV190" s="2">
        <v>144</v>
      </c>
      <c r="AW190" s="2">
        <v>4</v>
      </c>
      <c r="AX190" s="2" t="s">
        <v>74</v>
      </c>
      <c r="AY190" s="2" t="s">
        <v>74</v>
      </c>
      <c r="AZ190" s="2" t="s">
        <v>74</v>
      </c>
      <c r="BA190" s="2" t="s">
        <v>74</v>
      </c>
      <c r="BB190" s="2">
        <v>717</v>
      </c>
      <c r="BC190" s="2">
        <v>723</v>
      </c>
      <c r="BD190" s="2" t="s">
        <v>74</v>
      </c>
      <c r="BE190" s="2" t="s">
        <v>7554</v>
      </c>
      <c r="BF190" s="2" t="str">
        <f>HYPERLINK("http://dx.doi.org/10.1080/00028487.2015.1037017","http://dx.doi.org/10.1080/00028487.2015.1037017")</f>
        <v>http://dx.doi.org/10.1080/00028487.2015.1037017</v>
      </c>
      <c r="BG190" s="2" t="s">
        <v>74</v>
      </c>
      <c r="BH190" s="2" t="s">
        <v>74</v>
      </c>
      <c r="BI190" s="2" t="s">
        <v>74</v>
      </c>
      <c r="BJ190" s="2" t="s">
        <v>74</v>
      </c>
      <c r="BK190" s="2" t="s">
        <v>74</v>
      </c>
      <c r="BL190" s="2" t="s">
        <v>74</v>
      </c>
      <c r="BM190" s="2" t="s">
        <v>74</v>
      </c>
      <c r="BN190" s="2" t="s">
        <v>74</v>
      </c>
      <c r="BO190" s="2" t="s">
        <v>74</v>
      </c>
      <c r="BP190" s="2" t="s">
        <v>74</v>
      </c>
      <c r="BQ190" s="2" t="s">
        <v>74</v>
      </c>
      <c r="BR190" s="2" t="s">
        <v>74</v>
      </c>
      <c r="BS190" s="2" t="s">
        <v>7555</v>
      </c>
      <c r="BT190" s="2" t="str">
        <f>HYPERLINK("https%3A%2F%2Fwww.webofscience.com%2Fwos%2Fwoscc%2Ffull-record%2FWOS:000358854700006","View Full Record in Web of Science")</f>
        <v>View Full Record in Web of Science</v>
      </c>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row>
    <row r="191" spans="1:314" s="2" customFormat="1" x14ac:dyDescent="0.4">
      <c r="A191" s="2" t="s">
        <v>72</v>
      </c>
      <c r="B191" s="2" t="s">
        <v>5735</v>
      </c>
      <c r="C191" s="2" t="s">
        <v>74</v>
      </c>
      <c r="D191" s="2" t="s">
        <v>74</v>
      </c>
      <c r="E191" s="2" t="s">
        <v>74</v>
      </c>
      <c r="F191" s="2" t="s">
        <v>5736</v>
      </c>
      <c r="G191" s="2" t="s">
        <v>74</v>
      </c>
      <c r="H191" s="2" t="s">
        <v>74</v>
      </c>
      <c r="I191" s="2" t="s">
        <v>5737</v>
      </c>
      <c r="J191" s="2" t="s">
        <v>5738</v>
      </c>
      <c r="K191" s="2" t="s">
        <v>74</v>
      </c>
      <c r="L191" s="2" t="s">
        <v>74</v>
      </c>
      <c r="M191" s="2" t="s">
        <v>74</v>
      </c>
      <c r="N191" s="2" t="s">
        <v>74</v>
      </c>
      <c r="O191" s="2" t="s">
        <v>74</v>
      </c>
      <c r="P191" s="2" t="s">
        <v>74</v>
      </c>
      <c r="Q191" s="2" t="s">
        <v>74</v>
      </c>
      <c r="R191" s="2" t="s">
        <v>74</v>
      </c>
      <c r="S191" s="2" t="s">
        <v>74</v>
      </c>
      <c r="T191" s="2" t="s">
        <v>74</v>
      </c>
      <c r="U191" s="2" t="s">
        <v>74</v>
      </c>
      <c r="V191" s="5" t="s">
        <v>5739</v>
      </c>
      <c r="W191" s="2" t="s">
        <v>74</v>
      </c>
      <c r="X191" s="2" t="s">
        <v>74</v>
      </c>
      <c r="Y191" s="2" t="s">
        <v>74</v>
      </c>
      <c r="Z191" s="2" t="s">
        <v>74</v>
      </c>
      <c r="AA191" s="2" t="s">
        <v>74</v>
      </c>
      <c r="AB191" s="2" t="s">
        <v>74</v>
      </c>
      <c r="AC191" s="2" t="s">
        <v>74</v>
      </c>
      <c r="AD191" s="2" t="s">
        <v>74</v>
      </c>
      <c r="AE191" s="2" t="s">
        <v>74</v>
      </c>
      <c r="AF191" s="2" t="s">
        <v>74</v>
      </c>
      <c r="AG191" s="2" t="s">
        <v>74</v>
      </c>
      <c r="AH191" s="2" t="s">
        <v>74</v>
      </c>
      <c r="AI191" s="2" t="s">
        <v>74</v>
      </c>
      <c r="AJ191" s="2" t="s">
        <v>74</v>
      </c>
      <c r="AK191" s="2" t="s">
        <v>74</v>
      </c>
      <c r="AL191" s="2" t="s">
        <v>74</v>
      </c>
      <c r="AM191" s="2" t="s">
        <v>74</v>
      </c>
      <c r="AN191" s="2" t="s">
        <v>74</v>
      </c>
      <c r="AO191" s="2" t="s">
        <v>5740</v>
      </c>
      <c r="AP191" s="2" t="s">
        <v>74</v>
      </c>
      <c r="AQ191" s="2" t="s">
        <v>74</v>
      </c>
      <c r="AR191" s="2" t="s">
        <v>74</v>
      </c>
      <c r="AS191" s="2" t="s">
        <v>74</v>
      </c>
      <c r="AT191" s="2" t="s">
        <v>74</v>
      </c>
      <c r="AU191" s="2">
        <v>2016</v>
      </c>
      <c r="AV191" s="2">
        <v>33</v>
      </c>
      <c r="AW191" s="2">
        <v>2</v>
      </c>
      <c r="AX191" s="2" t="s">
        <v>74</v>
      </c>
      <c r="AY191" s="2" t="s">
        <v>74</v>
      </c>
      <c r="AZ191" s="2" t="s">
        <v>74</v>
      </c>
      <c r="BA191" s="2" t="s">
        <v>74</v>
      </c>
      <c r="BB191" s="2" t="s">
        <v>74</v>
      </c>
      <c r="BC191" s="2" t="s">
        <v>74</v>
      </c>
      <c r="BD191" s="2" t="s">
        <v>5741</v>
      </c>
      <c r="BE191" s="2" t="s">
        <v>5742</v>
      </c>
      <c r="BF191" s="2" t="str">
        <f>HYPERLINK("http://dx.doi.org/10.1590/S1984-4689zool-20150190","http://dx.doi.org/10.1590/S1984-4689zool-20150190")</f>
        <v>http://dx.doi.org/10.1590/S1984-4689zool-20150190</v>
      </c>
      <c r="BG191" s="2" t="s">
        <v>74</v>
      </c>
      <c r="BH191" s="2" t="s">
        <v>74</v>
      </c>
      <c r="BI191" s="2" t="s">
        <v>74</v>
      </c>
      <c r="BJ191" s="2" t="s">
        <v>74</v>
      </c>
      <c r="BK191" s="2" t="s">
        <v>74</v>
      </c>
      <c r="BL191" s="2" t="s">
        <v>74</v>
      </c>
      <c r="BM191" s="2" t="s">
        <v>74</v>
      </c>
      <c r="BN191" s="2" t="s">
        <v>74</v>
      </c>
      <c r="BO191" s="2" t="s">
        <v>74</v>
      </c>
      <c r="BP191" s="2" t="s">
        <v>74</v>
      </c>
      <c r="BQ191" s="2" t="s">
        <v>74</v>
      </c>
      <c r="BR191" s="2" t="s">
        <v>74</v>
      </c>
      <c r="BS191" s="2" t="s">
        <v>5743</v>
      </c>
      <c r="BT191" s="2" t="str">
        <f>HYPERLINK("https%3A%2F%2Fwww.webofscience.com%2Fwos%2Fwoscc%2Ffull-record%2FWOS:000376449900006","View Full Record in Web of Science")</f>
        <v>View Full Record in Web of Science</v>
      </c>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row>
    <row r="192" spans="1:314" s="2" customFormat="1" x14ac:dyDescent="0.4">
      <c r="A192" s="2" t="s">
        <v>72</v>
      </c>
      <c r="B192" s="2" t="s">
        <v>8013</v>
      </c>
      <c r="C192" s="2" t="s">
        <v>74</v>
      </c>
      <c r="D192" s="2" t="s">
        <v>74</v>
      </c>
      <c r="E192" s="2" t="s">
        <v>74</v>
      </c>
      <c r="F192" s="2" t="s">
        <v>8014</v>
      </c>
      <c r="G192" s="2" t="s">
        <v>74</v>
      </c>
      <c r="H192" s="2" t="s">
        <v>74</v>
      </c>
      <c r="I192" s="2" t="s">
        <v>8015</v>
      </c>
      <c r="J192" s="2" t="s">
        <v>1437</v>
      </c>
      <c r="K192" s="2" t="s">
        <v>74</v>
      </c>
      <c r="L192" s="2" t="s">
        <v>74</v>
      </c>
      <c r="M192" s="2" t="s">
        <v>74</v>
      </c>
      <c r="N192" s="2" t="s">
        <v>74</v>
      </c>
      <c r="O192" s="2" t="s">
        <v>74</v>
      </c>
      <c r="P192" s="2" t="s">
        <v>74</v>
      </c>
      <c r="Q192" s="2" t="s">
        <v>74</v>
      </c>
      <c r="R192" s="2" t="s">
        <v>74</v>
      </c>
      <c r="S192" s="2" t="s">
        <v>74</v>
      </c>
      <c r="T192" s="2" t="s">
        <v>74</v>
      </c>
      <c r="U192" s="2" t="s">
        <v>74</v>
      </c>
      <c r="V192" s="5" t="s">
        <v>8016</v>
      </c>
      <c r="W192" s="2" t="s">
        <v>74</v>
      </c>
      <c r="X192" s="2" t="s">
        <v>74</v>
      </c>
      <c r="Y192" s="2" t="s">
        <v>74</v>
      </c>
      <c r="Z192" s="2" t="s">
        <v>74</v>
      </c>
      <c r="AA192" s="2" t="s">
        <v>8017</v>
      </c>
      <c r="AB192" s="2" t="s">
        <v>8018</v>
      </c>
      <c r="AC192" s="2" t="s">
        <v>74</v>
      </c>
      <c r="AD192" s="2" t="s">
        <v>74</v>
      </c>
      <c r="AE192" s="2" t="s">
        <v>74</v>
      </c>
      <c r="AF192" s="2" t="s">
        <v>74</v>
      </c>
      <c r="AG192" s="2" t="s">
        <v>74</v>
      </c>
      <c r="AH192" s="2" t="s">
        <v>74</v>
      </c>
      <c r="AI192" s="2" t="s">
        <v>74</v>
      </c>
      <c r="AJ192" s="2" t="s">
        <v>74</v>
      </c>
      <c r="AK192" s="2" t="s">
        <v>74</v>
      </c>
      <c r="AL192" s="2" t="s">
        <v>74</v>
      </c>
      <c r="AM192" s="2" t="s">
        <v>74</v>
      </c>
      <c r="AN192" s="2" t="s">
        <v>74</v>
      </c>
      <c r="AO192" s="2" t="s">
        <v>1440</v>
      </c>
      <c r="AP192" s="2" t="s">
        <v>3347</v>
      </c>
      <c r="AQ192" s="2" t="s">
        <v>74</v>
      </c>
      <c r="AR192" s="2" t="s">
        <v>74</v>
      </c>
      <c r="AS192" s="2" t="s">
        <v>74</v>
      </c>
      <c r="AT192" s="2" t="s">
        <v>204</v>
      </c>
      <c r="AU192" s="2">
        <v>2015</v>
      </c>
      <c r="AV192" s="2">
        <v>115</v>
      </c>
      <c r="AW192" s="2">
        <v>1</v>
      </c>
      <c r="AX192" s="2" t="s">
        <v>74</v>
      </c>
      <c r="AY192" s="2" t="s">
        <v>74</v>
      </c>
      <c r="AZ192" s="2" t="s">
        <v>74</v>
      </c>
      <c r="BA192" s="2" t="s">
        <v>74</v>
      </c>
      <c r="BB192" s="2">
        <v>47</v>
      </c>
      <c r="BC192" s="2">
        <v>55</v>
      </c>
      <c r="BD192" s="2" t="s">
        <v>74</v>
      </c>
      <c r="BE192" s="2" t="s">
        <v>8019</v>
      </c>
      <c r="BF192" s="2" t="str">
        <f>HYPERLINK("http://dx.doi.org/10.1038/hdy.2015.15","http://dx.doi.org/10.1038/hdy.2015.15")</f>
        <v>http://dx.doi.org/10.1038/hdy.2015.15</v>
      </c>
      <c r="BG192" s="2" t="s">
        <v>74</v>
      </c>
      <c r="BH192" s="2" t="s">
        <v>74</v>
      </c>
      <c r="BI192" s="2" t="s">
        <v>74</v>
      </c>
      <c r="BJ192" s="2" t="s">
        <v>74</v>
      </c>
      <c r="BK192" s="2" t="s">
        <v>74</v>
      </c>
      <c r="BL192" s="2" t="s">
        <v>74</v>
      </c>
      <c r="BM192" s="2" t="s">
        <v>74</v>
      </c>
      <c r="BN192" s="2">
        <v>26059968</v>
      </c>
      <c r="BO192" s="2" t="s">
        <v>74</v>
      </c>
      <c r="BP192" s="2" t="s">
        <v>74</v>
      </c>
      <c r="BQ192" s="2" t="s">
        <v>74</v>
      </c>
      <c r="BR192" s="2" t="s">
        <v>74</v>
      </c>
      <c r="BS192" s="2" t="s">
        <v>8020</v>
      </c>
      <c r="BT192" s="2" t="str">
        <f>HYPERLINK("https%3A%2F%2Fwww.webofscience.com%2Fwos%2Fwoscc%2Ffull-record%2FWOS:000356024900007","View Full Record in Web of Science")</f>
        <v>View Full Record in Web of Science</v>
      </c>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row>
    <row r="193" spans="1:314" s="2" customFormat="1" x14ac:dyDescent="0.4">
      <c r="A193" s="2" t="s">
        <v>72</v>
      </c>
      <c r="B193" s="2" t="s">
        <v>1242</v>
      </c>
      <c r="C193" s="2" t="s">
        <v>74</v>
      </c>
      <c r="D193" s="2" t="s">
        <v>74</v>
      </c>
      <c r="E193" s="2" t="s">
        <v>74</v>
      </c>
      <c r="F193" s="2" t="s">
        <v>1242</v>
      </c>
      <c r="G193" s="2" t="s">
        <v>74</v>
      </c>
      <c r="H193" s="2" t="s">
        <v>74</v>
      </c>
      <c r="I193" s="2" t="s">
        <v>1243</v>
      </c>
      <c r="J193" s="2" t="s">
        <v>1244</v>
      </c>
      <c r="K193" s="2" t="s">
        <v>74</v>
      </c>
      <c r="L193" s="2" t="s">
        <v>74</v>
      </c>
      <c r="M193" s="2" t="s">
        <v>74</v>
      </c>
      <c r="N193" s="2" t="s">
        <v>74</v>
      </c>
      <c r="O193" s="2" t="s">
        <v>74</v>
      </c>
      <c r="P193" s="2" t="s">
        <v>74</v>
      </c>
      <c r="Q193" s="2" t="s">
        <v>74</v>
      </c>
      <c r="R193" s="2" t="s">
        <v>74</v>
      </c>
      <c r="S193" s="2" t="s">
        <v>74</v>
      </c>
      <c r="T193" s="2" t="s">
        <v>74</v>
      </c>
      <c r="U193" s="2" t="s">
        <v>74</v>
      </c>
      <c r="V193" s="5" t="s">
        <v>1245</v>
      </c>
      <c r="W193" s="2" t="s">
        <v>74</v>
      </c>
      <c r="X193" s="2" t="s">
        <v>74</v>
      </c>
      <c r="Y193" s="2" t="s">
        <v>74</v>
      </c>
      <c r="Z193" s="2" t="s">
        <v>74</v>
      </c>
      <c r="AA193" s="2" t="s">
        <v>74</v>
      </c>
      <c r="AB193" s="2" t="s">
        <v>74</v>
      </c>
      <c r="AC193" s="2" t="s">
        <v>74</v>
      </c>
      <c r="AD193" s="2" t="s">
        <v>74</v>
      </c>
      <c r="AE193" s="2" t="s">
        <v>74</v>
      </c>
      <c r="AF193" s="2" t="s">
        <v>74</v>
      </c>
      <c r="AG193" s="2" t="s">
        <v>74</v>
      </c>
      <c r="AH193" s="2" t="s">
        <v>74</v>
      </c>
      <c r="AI193" s="2" t="s">
        <v>74</v>
      </c>
      <c r="AJ193" s="2" t="s">
        <v>74</v>
      </c>
      <c r="AK193" s="2" t="s">
        <v>74</v>
      </c>
      <c r="AL193" s="2" t="s">
        <v>74</v>
      </c>
      <c r="AM193" s="2" t="s">
        <v>74</v>
      </c>
      <c r="AN193" s="2" t="s">
        <v>74</v>
      </c>
      <c r="AO193" s="2" t="s">
        <v>1246</v>
      </c>
      <c r="AP193" s="2" t="s">
        <v>74</v>
      </c>
      <c r="AQ193" s="2" t="s">
        <v>74</v>
      </c>
      <c r="AR193" s="2" t="s">
        <v>74</v>
      </c>
      <c r="AS193" s="2" t="s">
        <v>74</v>
      </c>
      <c r="AT193" s="2" t="s">
        <v>1247</v>
      </c>
      <c r="AU193" s="2">
        <v>2004</v>
      </c>
      <c r="AV193" s="2">
        <v>33</v>
      </c>
      <c r="AW193" s="2">
        <v>2</v>
      </c>
      <c r="AX193" s="2" t="s">
        <v>74</v>
      </c>
      <c r="AY193" s="2" t="s">
        <v>74</v>
      </c>
      <c r="AZ193" s="2" t="s">
        <v>74</v>
      </c>
      <c r="BA193" s="2" t="s">
        <v>74</v>
      </c>
      <c r="BB193" s="2">
        <v>147</v>
      </c>
      <c r="BC193" s="2">
        <v>156</v>
      </c>
      <c r="BD193" s="2" t="s">
        <v>74</v>
      </c>
      <c r="BE193" s="2" t="s">
        <v>74</v>
      </c>
      <c r="BF193" s="2" t="s">
        <v>74</v>
      </c>
      <c r="BG193" s="2" t="s">
        <v>74</v>
      </c>
      <c r="BH193" s="2" t="s">
        <v>74</v>
      </c>
      <c r="BI193" s="2" t="s">
        <v>74</v>
      </c>
      <c r="BJ193" s="2" t="s">
        <v>74</v>
      </c>
      <c r="BK193" s="2" t="s">
        <v>74</v>
      </c>
      <c r="BL193" s="2" t="s">
        <v>74</v>
      </c>
      <c r="BM193" s="2" t="s">
        <v>74</v>
      </c>
      <c r="BN193" s="2" t="s">
        <v>74</v>
      </c>
      <c r="BO193" s="2" t="s">
        <v>74</v>
      </c>
      <c r="BP193" s="2" t="s">
        <v>74</v>
      </c>
      <c r="BQ193" s="2" t="s">
        <v>74</v>
      </c>
      <c r="BR193" s="2" t="s">
        <v>74</v>
      </c>
      <c r="BS193" s="2" t="s">
        <v>1248</v>
      </c>
      <c r="BT193" s="2" t="str">
        <f>HYPERLINK("https%3A%2F%2Fwww.webofscience.com%2Fwos%2Fwoscc%2Ffull-record%2FWOS:000221702600002","View Full Record in Web of Science")</f>
        <v>View Full Record in Web of Science</v>
      </c>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row>
    <row r="194" spans="1:314" s="2" customFormat="1" x14ac:dyDescent="0.4">
      <c r="A194" s="2" t="s">
        <v>72</v>
      </c>
      <c r="B194" s="2" t="s">
        <v>5707</v>
      </c>
      <c r="C194" s="2" t="s">
        <v>74</v>
      </c>
      <c r="D194" s="2" t="s">
        <v>74</v>
      </c>
      <c r="E194" s="2" t="s">
        <v>74</v>
      </c>
      <c r="F194" s="2" t="s">
        <v>5708</v>
      </c>
      <c r="G194" s="2" t="s">
        <v>74</v>
      </c>
      <c r="H194" s="2" t="s">
        <v>74</v>
      </c>
      <c r="I194" s="2" t="s">
        <v>5709</v>
      </c>
      <c r="J194" s="2" t="s">
        <v>5710</v>
      </c>
      <c r="K194" s="2" t="s">
        <v>74</v>
      </c>
      <c r="L194" s="2" t="s">
        <v>74</v>
      </c>
      <c r="M194" s="2" t="s">
        <v>74</v>
      </c>
      <c r="N194" s="2" t="s">
        <v>74</v>
      </c>
      <c r="O194" s="2" t="s">
        <v>74</v>
      </c>
      <c r="P194" s="2" t="s">
        <v>74</v>
      </c>
      <c r="Q194" s="2" t="s">
        <v>74</v>
      </c>
      <c r="R194" s="2" t="s">
        <v>74</v>
      </c>
      <c r="S194" s="2" t="s">
        <v>74</v>
      </c>
      <c r="T194" s="2" t="s">
        <v>74</v>
      </c>
      <c r="U194" s="2" t="s">
        <v>74</v>
      </c>
      <c r="V194" s="5" t="s">
        <v>5711</v>
      </c>
      <c r="W194" s="2" t="s">
        <v>74</v>
      </c>
      <c r="X194" s="2" t="s">
        <v>74</v>
      </c>
      <c r="Y194" s="2" t="s">
        <v>74</v>
      </c>
      <c r="Z194" s="2" t="s">
        <v>74</v>
      </c>
      <c r="AA194" s="2" t="s">
        <v>5712</v>
      </c>
      <c r="AB194" s="2" t="s">
        <v>5713</v>
      </c>
      <c r="AC194" s="2" t="s">
        <v>74</v>
      </c>
      <c r="AD194" s="2" t="s">
        <v>74</v>
      </c>
      <c r="AE194" s="2" t="s">
        <v>74</v>
      </c>
      <c r="AF194" s="2" t="s">
        <v>74</v>
      </c>
      <c r="AG194" s="2" t="s">
        <v>74</v>
      </c>
      <c r="AH194" s="2" t="s">
        <v>74</v>
      </c>
      <c r="AI194" s="2" t="s">
        <v>74</v>
      </c>
      <c r="AJ194" s="2" t="s">
        <v>74</v>
      </c>
      <c r="AK194" s="2" t="s">
        <v>74</v>
      </c>
      <c r="AL194" s="2" t="s">
        <v>74</v>
      </c>
      <c r="AM194" s="2" t="s">
        <v>74</v>
      </c>
      <c r="AN194" s="2" t="s">
        <v>74</v>
      </c>
      <c r="AO194" s="2" t="s">
        <v>5714</v>
      </c>
      <c r="AP194" s="2" t="s">
        <v>5715</v>
      </c>
      <c r="AQ194" s="2" t="s">
        <v>74</v>
      </c>
      <c r="AR194" s="2" t="s">
        <v>74</v>
      </c>
      <c r="AS194" s="2" t="s">
        <v>74</v>
      </c>
      <c r="AT194" s="2" t="s">
        <v>74</v>
      </c>
      <c r="AU194" s="2">
        <v>2015</v>
      </c>
      <c r="AV194" s="2">
        <v>65</v>
      </c>
      <c r="AW194" s="2">
        <v>1</v>
      </c>
      <c r="AX194" s="2" t="s">
        <v>74</v>
      </c>
      <c r="AY194" s="2" t="s">
        <v>74</v>
      </c>
      <c r="AZ194" s="2" t="s">
        <v>74</v>
      </c>
      <c r="BA194" s="2" t="s">
        <v>74</v>
      </c>
      <c r="BB194" s="2">
        <v>21</v>
      </c>
      <c r="BC194" s="2">
        <v>39</v>
      </c>
      <c r="BD194" s="2" t="s">
        <v>74</v>
      </c>
      <c r="BE194" s="2" t="s">
        <v>5716</v>
      </c>
      <c r="BF194" s="2" t="str">
        <f>HYPERLINK("http://dx.doi.org/10.3161/00034541ANZ2015.65.1.003","http://dx.doi.org/10.3161/00034541ANZ2015.65.1.003")</f>
        <v>http://dx.doi.org/10.3161/00034541ANZ2015.65.1.003</v>
      </c>
      <c r="BG194" s="2" t="s">
        <v>74</v>
      </c>
      <c r="BH194" s="2" t="s">
        <v>74</v>
      </c>
      <c r="BI194" s="2" t="s">
        <v>74</v>
      </c>
      <c r="BJ194" s="2" t="s">
        <v>74</v>
      </c>
      <c r="BK194" s="2" t="s">
        <v>74</v>
      </c>
      <c r="BL194" s="2" t="s">
        <v>74</v>
      </c>
      <c r="BM194" s="2" t="s">
        <v>74</v>
      </c>
      <c r="BN194" s="2" t="s">
        <v>74</v>
      </c>
      <c r="BO194" s="2" t="s">
        <v>74</v>
      </c>
      <c r="BP194" s="2" t="s">
        <v>74</v>
      </c>
      <c r="BQ194" s="2" t="s">
        <v>74</v>
      </c>
      <c r="BR194" s="2" t="s">
        <v>74</v>
      </c>
      <c r="BS194" s="2" t="s">
        <v>5717</v>
      </c>
      <c r="BT194" s="2" t="str">
        <f>HYPERLINK("https%3A%2F%2Fwww.webofscience.com%2Fwos%2Fwoscc%2Ffull-record%2FWOS:000353527500003","View Full Record in Web of Science")</f>
        <v>View Full Record in Web of Science</v>
      </c>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row>
    <row r="195" spans="1:314" s="2" customFormat="1" x14ac:dyDescent="0.4">
      <c r="A195" s="2" t="s">
        <v>72</v>
      </c>
      <c r="B195" s="2" t="s">
        <v>7966</v>
      </c>
      <c r="C195" s="2" t="s">
        <v>74</v>
      </c>
      <c r="D195" s="2" t="s">
        <v>74</v>
      </c>
      <c r="E195" s="2" t="s">
        <v>74</v>
      </c>
      <c r="F195" s="2" t="s">
        <v>7967</v>
      </c>
      <c r="G195" s="2" t="s">
        <v>74</v>
      </c>
      <c r="H195" s="2" t="s">
        <v>74</v>
      </c>
      <c r="I195" s="2" t="s">
        <v>7968</v>
      </c>
      <c r="J195" s="2" t="s">
        <v>3353</v>
      </c>
      <c r="K195" s="2" t="s">
        <v>74</v>
      </c>
      <c r="L195" s="2" t="s">
        <v>74</v>
      </c>
      <c r="M195" s="2" t="s">
        <v>74</v>
      </c>
      <c r="N195" s="2" t="s">
        <v>74</v>
      </c>
      <c r="O195" s="2" t="s">
        <v>74</v>
      </c>
      <c r="P195" s="2" t="s">
        <v>74</v>
      </c>
      <c r="Q195" s="2" t="s">
        <v>74</v>
      </c>
      <c r="R195" s="2" t="s">
        <v>74</v>
      </c>
      <c r="S195" s="2" t="s">
        <v>74</v>
      </c>
      <c r="T195" s="2" t="s">
        <v>74</v>
      </c>
      <c r="U195" s="2" t="s">
        <v>74</v>
      </c>
      <c r="V195" s="5" t="s">
        <v>7969</v>
      </c>
      <c r="W195" s="2" t="s">
        <v>74</v>
      </c>
      <c r="X195" s="2" t="s">
        <v>74</v>
      </c>
      <c r="Y195" s="2" t="s">
        <v>74</v>
      </c>
      <c r="Z195" s="2" t="s">
        <v>74</v>
      </c>
      <c r="AA195" s="2" t="s">
        <v>7970</v>
      </c>
      <c r="AB195" s="2" t="s">
        <v>7971</v>
      </c>
      <c r="AC195" s="2" t="s">
        <v>74</v>
      </c>
      <c r="AD195" s="2" t="s">
        <v>74</v>
      </c>
      <c r="AE195" s="2" t="s">
        <v>74</v>
      </c>
      <c r="AF195" s="2" t="s">
        <v>74</v>
      </c>
      <c r="AG195" s="2" t="s">
        <v>74</v>
      </c>
      <c r="AH195" s="2" t="s">
        <v>74</v>
      </c>
      <c r="AI195" s="2" t="s">
        <v>74</v>
      </c>
      <c r="AJ195" s="2" t="s">
        <v>74</v>
      </c>
      <c r="AK195" s="2" t="s">
        <v>74</v>
      </c>
      <c r="AL195" s="2" t="s">
        <v>74</v>
      </c>
      <c r="AM195" s="2" t="s">
        <v>74</v>
      </c>
      <c r="AN195" s="2" t="s">
        <v>74</v>
      </c>
      <c r="AO195" s="2" t="s">
        <v>3357</v>
      </c>
      <c r="AP195" s="2" t="s">
        <v>3358</v>
      </c>
      <c r="AQ195" s="2" t="s">
        <v>74</v>
      </c>
      <c r="AR195" s="2" t="s">
        <v>74</v>
      </c>
      <c r="AS195" s="2" t="s">
        <v>74</v>
      </c>
      <c r="AT195" s="2" t="s">
        <v>633</v>
      </c>
      <c r="AU195" s="2">
        <v>2013</v>
      </c>
      <c r="AV195" s="2">
        <v>38</v>
      </c>
      <c r="AW195" s="2">
        <v>2</v>
      </c>
      <c r="AX195" s="2" t="s">
        <v>74</v>
      </c>
      <c r="AY195" s="2" t="s">
        <v>74</v>
      </c>
      <c r="AZ195" s="2" t="s">
        <v>74</v>
      </c>
      <c r="BA195" s="2" t="s">
        <v>74</v>
      </c>
      <c r="BB195" s="2">
        <v>169</v>
      </c>
      <c r="BC195" s="2">
        <v>176</v>
      </c>
      <c r="BD195" s="2" t="s">
        <v>74</v>
      </c>
      <c r="BE195" s="2" t="s">
        <v>7972</v>
      </c>
      <c r="BF195" s="2" t="str">
        <f>HYPERLINK("http://dx.doi.org/10.1111/j.1442-9993.2012.02389.x","http://dx.doi.org/10.1111/j.1442-9993.2012.02389.x")</f>
        <v>http://dx.doi.org/10.1111/j.1442-9993.2012.02389.x</v>
      </c>
      <c r="BG195" s="2" t="s">
        <v>74</v>
      </c>
      <c r="BH195" s="2" t="s">
        <v>74</v>
      </c>
      <c r="BI195" s="2" t="s">
        <v>74</v>
      </c>
      <c r="BJ195" s="2" t="s">
        <v>74</v>
      </c>
      <c r="BK195" s="2" t="s">
        <v>74</v>
      </c>
      <c r="BL195" s="2" t="s">
        <v>74</v>
      </c>
      <c r="BM195" s="2" t="s">
        <v>74</v>
      </c>
      <c r="BN195" s="2" t="s">
        <v>74</v>
      </c>
      <c r="BO195" s="2" t="s">
        <v>74</v>
      </c>
      <c r="BP195" s="2" t="s">
        <v>74</v>
      </c>
      <c r="BQ195" s="2" t="s">
        <v>74</v>
      </c>
      <c r="BR195" s="2" t="s">
        <v>74</v>
      </c>
      <c r="BS195" s="2" t="s">
        <v>7973</v>
      </c>
      <c r="BT195" s="2" t="str">
        <f>HYPERLINK("https%3A%2F%2Fwww.webofscience.com%2Fwos%2Fwoscc%2Ffull-record%2FWOS:000316623400006","View Full Record in Web of Science")</f>
        <v>View Full Record in Web of Science</v>
      </c>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row>
    <row r="196" spans="1:314" s="2" customFormat="1" x14ac:dyDescent="0.4">
      <c r="A196" s="2" t="s">
        <v>72</v>
      </c>
      <c r="B196" s="2" t="s">
        <v>682</v>
      </c>
      <c r="C196" s="2" t="s">
        <v>74</v>
      </c>
      <c r="D196" s="2" t="s">
        <v>74</v>
      </c>
      <c r="E196" s="2" t="s">
        <v>74</v>
      </c>
      <c r="F196" s="2" t="s">
        <v>683</v>
      </c>
      <c r="G196" s="2" t="s">
        <v>74</v>
      </c>
      <c r="H196" s="2" t="s">
        <v>74</v>
      </c>
      <c r="I196" s="2" t="s">
        <v>684</v>
      </c>
      <c r="J196" s="2" t="s">
        <v>140</v>
      </c>
      <c r="K196" s="2" t="s">
        <v>74</v>
      </c>
      <c r="L196" s="2" t="s">
        <v>74</v>
      </c>
      <c r="M196" s="2" t="s">
        <v>74</v>
      </c>
      <c r="N196" s="2" t="s">
        <v>74</v>
      </c>
      <c r="O196" s="2" t="s">
        <v>74</v>
      </c>
      <c r="P196" s="2" t="s">
        <v>74</v>
      </c>
      <c r="Q196" s="2" t="s">
        <v>74</v>
      </c>
      <c r="R196" s="2" t="s">
        <v>74</v>
      </c>
      <c r="S196" s="2" t="s">
        <v>74</v>
      </c>
      <c r="T196" s="2" t="s">
        <v>74</v>
      </c>
      <c r="U196" s="2" t="s">
        <v>74</v>
      </c>
      <c r="V196" s="5" t="s">
        <v>685</v>
      </c>
      <c r="W196" s="2" t="s">
        <v>74</v>
      </c>
      <c r="X196" s="2" t="s">
        <v>74</v>
      </c>
      <c r="Y196" s="2" t="s">
        <v>74</v>
      </c>
      <c r="Z196" s="2" t="s">
        <v>74</v>
      </c>
      <c r="AA196" s="2" t="s">
        <v>74</v>
      </c>
      <c r="AB196" s="2" t="s">
        <v>686</v>
      </c>
      <c r="AC196" s="2" t="s">
        <v>74</v>
      </c>
      <c r="AD196" s="2" t="s">
        <v>74</v>
      </c>
      <c r="AE196" s="2" t="s">
        <v>74</v>
      </c>
      <c r="AF196" s="2" t="s">
        <v>74</v>
      </c>
      <c r="AG196" s="2" t="s">
        <v>74</v>
      </c>
      <c r="AH196" s="2" t="s">
        <v>74</v>
      </c>
      <c r="AI196" s="2" t="s">
        <v>74</v>
      </c>
      <c r="AJ196" s="2" t="s">
        <v>74</v>
      </c>
      <c r="AK196" s="2" t="s">
        <v>74</v>
      </c>
      <c r="AL196" s="2" t="s">
        <v>74</v>
      </c>
      <c r="AM196" s="2" t="s">
        <v>74</v>
      </c>
      <c r="AN196" s="2" t="s">
        <v>74</v>
      </c>
      <c r="AO196" s="2" t="s">
        <v>143</v>
      </c>
      <c r="AP196" s="2" t="s">
        <v>144</v>
      </c>
      <c r="AQ196" s="2" t="s">
        <v>74</v>
      </c>
      <c r="AR196" s="2" t="s">
        <v>74</v>
      </c>
      <c r="AS196" s="2" t="s">
        <v>74</v>
      </c>
      <c r="AT196" s="2" t="s">
        <v>102</v>
      </c>
      <c r="AU196" s="2">
        <v>2016</v>
      </c>
      <c r="AV196" s="2">
        <v>116</v>
      </c>
      <c r="AW196" s="2" t="s">
        <v>74</v>
      </c>
      <c r="AX196" s="2" t="s">
        <v>74</v>
      </c>
      <c r="AY196" s="2" t="s">
        <v>74</v>
      </c>
      <c r="AZ196" s="2" t="s">
        <v>74</v>
      </c>
      <c r="BA196" s="2" t="s">
        <v>74</v>
      </c>
      <c r="BB196" s="2">
        <v>213</v>
      </c>
      <c r="BC196" s="2">
        <v>221</v>
      </c>
      <c r="BD196" s="2" t="s">
        <v>74</v>
      </c>
      <c r="BE196" s="2" t="s">
        <v>687</v>
      </c>
      <c r="BF196" s="2" t="str">
        <f>HYPERLINK("http://dx.doi.org/10.1016/j.anbehav.2016.03.035","http://dx.doi.org/10.1016/j.anbehav.2016.03.035")</f>
        <v>http://dx.doi.org/10.1016/j.anbehav.2016.03.035</v>
      </c>
      <c r="BG196" s="2" t="s">
        <v>74</v>
      </c>
      <c r="BH196" s="2" t="s">
        <v>74</v>
      </c>
      <c r="BI196" s="2" t="s">
        <v>74</v>
      </c>
      <c r="BJ196" s="2" t="s">
        <v>74</v>
      </c>
      <c r="BK196" s="2" t="s">
        <v>74</v>
      </c>
      <c r="BL196" s="2" t="s">
        <v>74</v>
      </c>
      <c r="BM196" s="2" t="s">
        <v>74</v>
      </c>
      <c r="BN196" s="2" t="s">
        <v>74</v>
      </c>
      <c r="BO196" s="2" t="s">
        <v>74</v>
      </c>
      <c r="BP196" s="2" t="s">
        <v>74</v>
      </c>
      <c r="BQ196" s="2" t="s">
        <v>74</v>
      </c>
      <c r="BR196" s="2" t="s">
        <v>74</v>
      </c>
      <c r="BS196" s="2" t="s">
        <v>688</v>
      </c>
      <c r="BT196" s="2" t="str">
        <f>HYPERLINK("https%3A%2F%2Fwww.webofscience.com%2Fwos%2Fwoscc%2Ffull-record%2FWOS:000377286700023","View Full Record in Web of Science")</f>
        <v>View Full Record in Web of Science</v>
      </c>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row>
    <row r="197" spans="1:314" s="1" customFormat="1" x14ac:dyDescent="0.4">
      <c r="A197" s="2" t="s">
        <v>72</v>
      </c>
      <c r="B197" s="2" t="s">
        <v>2820</v>
      </c>
      <c r="C197" s="2" t="s">
        <v>74</v>
      </c>
      <c r="D197" s="2" t="s">
        <v>74</v>
      </c>
      <c r="E197" s="2" t="s">
        <v>74</v>
      </c>
      <c r="F197" s="2" t="s">
        <v>2821</v>
      </c>
      <c r="G197" s="2" t="s">
        <v>74</v>
      </c>
      <c r="H197" s="2" t="s">
        <v>74</v>
      </c>
      <c r="I197" s="2" t="s">
        <v>2822</v>
      </c>
      <c r="J197" s="2" t="s">
        <v>1656</v>
      </c>
      <c r="K197" s="2" t="s">
        <v>74</v>
      </c>
      <c r="L197" s="2" t="s">
        <v>74</v>
      </c>
      <c r="M197" s="2" t="s">
        <v>74</v>
      </c>
      <c r="N197" s="2" t="s">
        <v>74</v>
      </c>
      <c r="O197" s="2" t="s">
        <v>74</v>
      </c>
      <c r="P197" s="2" t="s">
        <v>74</v>
      </c>
      <c r="Q197" s="2" t="s">
        <v>74</v>
      </c>
      <c r="R197" s="2" t="s">
        <v>74</v>
      </c>
      <c r="S197" s="2" t="s">
        <v>74</v>
      </c>
      <c r="T197" s="2" t="s">
        <v>74</v>
      </c>
      <c r="U197" s="2" t="s">
        <v>74</v>
      </c>
      <c r="V197" s="5" t="s">
        <v>2823</v>
      </c>
      <c r="W197" s="2" t="s">
        <v>74</v>
      </c>
      <c r="X197" s="2" t="s">
        <v>74</v>
      </c>
      <c r="Y197" s="2" t="s">
        <v>74</v>
      </c>
      <c r="Z197" s="2" t="s">
        <v>74</v>
      </c>
      <c r="AA197" s="2" t="s">
        <v>74</v>
      </c>
      <c r="AB197" s="2" t="s">
        <v>74</v>
      </c>
      <c r="AC197" s="2" t="s">
        <v>74</v>
      </c>
      <c r="AD197" s="2" t="s">
        <v>74</v>
      </c>
      <c r="AE197" s="2" t="s">
        <v>74</v>
      </c>
      <c r="AF197" s="2" t="s">
        <v>74</v>
      </c>
      <c r="AG197" s="2" t="s">
        <v>74</v>
      </c>
      <c r="AH197" s="2" t="s">
        <v>74</v>
      </c>
      <c r="AI197" s="2" t="s">
        <v>74</v>
      </c>
      <c r="AJ197" s="2" t="s">
        <v>74</v>
      </c>
      <c r="AK197" s="2" t="s">
        <v>74</v>
      </c>
      <c r="AL197" s="2" t="s">
        <v>74</v>
      </c>
      <c r="AM197" s="2" t="s">
        <v>74</v>
      </c>
      <c r="AN197" s="2" t="s">
        <v>74</v>
      </c>
      <c r="AO197" s="2" t="s">
        <v>1658</v>
      </c>
      <c r="AP197" s="2" t="s">
        <v>1659</v>
      </c>
      <c r="AQ197" s="2" t="s">
        <v>74</v>
      </c>
      <c r="AR197" s="2" t="s">
        <v>74</v>
      </c>
      <c r="AS197" s="2" t="s">
        <v>74</v>
      </c>
      <c r="AT197" s="2" t="s">
        <v>2824</v>
      </c>
      <c r="AU197" s="2">
        <v>2011</v>
      </c>
      <c r="AV197" s="2" t="s">
        <v>74</v>
      </c>
      <c r="AW197" s="2">
        <v>3110</v>
      </c>
      <c r="AX197" s="2" t="s">
        <v>74</v>
      </c>
      <c r="AY197" s="2" t="s">
        <v>74</v>
      </c>
      <c r="AZ197" s="2" t="s">
        <v>74</v>
      </c>
      <c r="BA197" s="2" t="s">
        <v>74</v>
      </c>
      <c r="BB197" s="2">
        <v>53</v>
      </c>
      <c r="BC197" s="2">
        <v>60</v>
      </c>
      <c r="BD197" s="2" t="s">
        <v>74</v>
      </c>
      <c r="BE197" s="2" t="s">
        <v>74</v>
      </c>
      <c r="BF197" s="2" t="s">
        <v>74</v>
      </c>
      <c r="BG197" s="2" t="s">
        <v>74</v>
      </c>
      <c r="BH197" s="2" t="s">
        <v>74</v>
      </c>
      <c r="BI197" s="2" t="s">
        <v>74</v>
      </c>
      <c r="BJ197" s="2" t="s">
        <v>74</v>
      </c>
      <c r="BK197" s="2" t="s">
        <v>74</v>
      </c>
      <c r="BL197" s="2" t="s">
        <v>74</v>
      </c>
      <c r="BM197" s="2" t="s">
        <v>74</v>
      </c>
      <c r="BN197" s="2" t="s">
        <v>74</v>
      </c>
      <c r="BO197" s="2" t="s">
        <v>74</v>
      </c>
      <c r="BP197" s="2" t="s">
        <v>74</v>
      </c>
      <c r="BQ197" s="2" t="s">
        <v>74</v>
      </c>
      <c r="BR197" s="2" t="s">
        <v>74</v>
      </c>
      <c r="BS197" s="2" t="s">
        <v>2825</v>
      </c>
      <c r="BT197" s="2" t="str">
        <f>HYPERLINK("https%3A%2F%2Fwww.webofscience.com%2Fwos%2Fwoscc%2Ffull-record%2FWOS:000297328000005","View Full Record in Web of Science")</f>
        <v>View Full Record in Web of Science</v>
      </c>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row>
    <row r="198" spans="1:314" s="2" customFormat="1" x14ac:dyDescent="0.4">
      <c r="A198" s="2" t="s">
        <v>72</v>
      </c>
      <c r="B198" s="2" t="s">
        <v>6352</v>
      </c>
      <c r="C198" s="2" t="s">
        <v>74</v>
      </c>
      <c r="D198" s="2" t="s">
        <v>74</v>
      </c>
      <c r="E198" s="2" t="s">
        <v>74</v>
      </c>
      <c r="F198" s="2" t="s">
        <v>6352</v>
      </c>
      <c r="G198" s="2" t="s">
        <v>74</v>
      </c>
      <c r="H198" s="2" t="s">
        <v>74</v>
      </c>
      <c r="I198" s="2" t="s">
        <v>6353</v>
      </c>
      <c r="J198" s="2" t="s">
        <v>3498</v>
      </c>
      <c r="K198" s="2" t="s">
        <v>74</v>
      </c>
      <c r="L198" s="2" t="s">
        <v>74</v>
      </c>
      <c r="M198" s="2" t="s">
        <v>74</v>
      </c>
      <c r="N198" s="2" t="s">
        <v>74</v>
      </c>
      <c r="O198" s="2" t="s">
        <v>74</v>
      </c>
      <c r="P198" s="2" t="s">
        <v>74</v>
      </c>
      <c r="Q198" s="2" t="s">
        <v>74</v>
      </c>
      <c r="R198" s="2" t="s">
        <v>74</v>
      </c>
      <c r="S198" s="2" t="s">
        <v>74</v>
      </c>
      <c r="T198" s="2" t="s">
        <v>74</v>
      </c>
      <c r="U198" s="2" t="s">
        <v>74</v>
      </c>
      <c r="V198" s="5" t="s">
        <v>6354</v>
      </c>
      <c r="W198" s="2" t="s">
        <v>74</v>
      </c>
      <c r="X198" s="2" t="s">
        <v>74</v>
      </c>
      <c r="Y198" s="2" t="s">
        <v>74</v>
      </c>
      <c r="Z198" s="2" t="s">
        <v>74</v>
      </c>
      <c r="AA198" s="2" t="s">
        <v>74</v>
      </c>
      <c r="AB198" s="2" t="s">
        <v>74</v>
      </c>
      <c r="AC198" s="2" t="s">
        <v>74</v>
      </c>
      <c r="AD198" s="2" t="s">
        <v>74</v>
      </c>
      <c r="AE198" s="2" t="s">
        <v>74</v>
      </c>
      <c r="AF198" s="2" t="s">
        <v>74</v>
      </c>
      <c r="AG198" s="2" t="s">
        <v>74</v>
      </c>
      <c r="AH198" s="2" t="s">
        <v>74</v>
      </c>
      <c r="AI198" s="2" t="s">
        <v>74</v>
      </c>
      <c r="AJ198" s="2" t="s">
        <v>74</v>
      </c>
      <c r="AK198" s="2" t="s">
        <v>74</v>
      </c>
      <c r="AL198" s="2" t="s">
        <v>74</v>
      </c>
      <c r="AM198" s="2" t="s">
        <v>74</v>
      </c>
      <c r="AN198" s="2" t="s">
        <v>74</v>
      </c>
      <c r="AO198" s="2" t="s">
        <v>3501</v>
      </c>
      <c r="AP198" s="2" t="s">
        <v>3502</v>
      </c>
      <c r="AQ198" s="2" t="s">
        <v>74</v>
      </c>
      <c r="AR198" s="2" t="s">
        <v>74</v>
      </c>
      <c r="AS198" s="2" t="s">
        <v>74</v>
      </c>
      <c r="AT198" s="2" t="s">
        <v>305</v>
      </c>
      <c r="AU198" s="2">
        <v>2005</v>
      </c>
      <c r="AV198" s="2">
        <v>34</v>
      </c>
      <c r="AW198" s="2">
        <v>6</v>
      </c>
      <c r="AX198" s="2" t="s">
        <v>74</v>
      </c>
      <c r="AY198" s="2" t="s">
        <v>74</v>
      </c>
      <c r="AZ198" s="2" t="s">
        <v>74</v>
      </c>
      <c r="BA198" s="2" t="s">
        <v>74</v>
      </c>
      <c r="BB198" s="2">
        <v>1524</v>
      </c>
      <c r="BC198" s="2">
        <v>1533</v>
      </c>
      <c r="BD198" s="2" t="s">
        <v>74</v>
      </c>
      <c r="BE198" s="2" t="s">
        <v>6355</v>
      </c>
      <c r="BF198" s="2" t="str">
        <f>HYPERLINK("http://dx.doi.org/10.1603/0046-225X-34.6.1524","http://dx.doi.org/10.1603/0046-225X-34.6.1524")</f>
        <v>http://dx.doi.org/10.1603/0046-225X-34.6.1524</v>
      </c>
      <c r="BG198" s="2" t="s">
        <v>74</v>
      </c>
      <c r="BH198" s="2" t="s">
        <v>74</v>
      </c>
      <c r="BI198" s="2" t="s">
        <v>74</v>
      </c>
      <c r="BJ198" s="2" t="s">
        <v>74</v>
      </c>
      <c r="BK198" s="2" t="s">
        <v>74</v>
      </c>
      <c r="BL198" s="2" t="s">
        <v>74</v>
      </c>
      <c r="BM198" s="2" t="s">
        <v>74</v>
      </c>
      <c r="BN198" s="2" t="s">
        <v>74</v>
      </c>
      <c r="BO198" s="2" t="s">
        <v>74</v>
      </c>
      <c r="BP198" s="2" t="s">
        <v>74</v>
      </c>
      <c r="BQ198" s="2" t="s">
        <v>74</v>
      </c>
      <c r="BR198" s="2" t="s">
        <v>74</v>
      </c>
      <c r="BS198" s="2" t="s">
        <v>6356</v>
      </c>
      <c r="BT198" s="2" t="str">
        <f>HYPERLINK("https%3A%2F%2Fwww.webofscience.com%2Fwos%2Fwoscc%2Ffull-record%2FWOS:000234031400020","View Full Record in Web of Science")</f>
        <v>View Full Record in Web of Science</v>
      </c>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row>
    <row r="199" spans="1:314" s="2" customFormat="1" x14ac:dyDescent="0.4">
      <c r="A199" s="2" t="s">
        <v>72</v>
      </c>
      <c r="B199" s="2" t="s">
        <v>7711</v>
      </c>
      <c r="C199" s="2" t="s">
        <v>74</v>
      </c>
      <c r="D199" s="2" t="s">
        <v>74</v>
      </c>
      <c r="E199" s="2" t="s">
        <v>74</v>
      </c>
      <c r="F199" s="2" t="s">
        <v>7712</v>
      </c>
      <c r="G199" s="2" t="s">
        <v>74</v>
      </c>
      <c r="H199" s="2" t="s">
        <v>74</v>
      </c>
      <c r="I199" s="2" t="s">
        <v>7713</v>
      </c>
      <c r="J199" s="2" t="s">
        <v>108</v>
      </c>
      <c r="K199" s="2" t="s">
        <v>74</v>
      </c>
      <c r="L199" s="2" t="s">
        <v>74</v>
      </c>
      <c r="M199" s="2" t="s">
        <v>74</v>
      </c>
      <c r="N199" s="2" t="s">
        <v>74</v>
      </c>
      <c r="O199" s="2" t="s">
        <v>74</v>
      </c>
      <c r="P199" s="2" t="s">
        <v>74</v>
      </c>
      <c r="Q199" s="2" t="s">
        <v>74</v>
      </c>
      <c r="R199" s="2" t="s">
        <v>74</v>
      </c>
      <c r="S199" s="2" t="s">
        <v>74</v>
      </c>
      <c r="T199" s="2" t="s">
        <v>74</v>
      </c>
      <c r="U199" s="2" t="s">
        <v>74</v>
      </c>
      <c r="V199" s="5" t="s">
        <v>7714</v>
      </c>
      <c r="W199" s="2" t="s">
        <v>74</v>
      </c>
      <c r="X199" s="2" t="s">
        <v>74</v>
      </c>
      <c r="Y199" s="2" t="s">
        <v>74</v>
      </c>
      <c r="Z199" s="2" t="s">
        <v>74</v>
      </c>
      <c r="AA199" s="2" t="s">
        <v>7715</v>
      </c>
      <c r="AB199" s="2" t="s">
        <v>7716</v>
      </c>
      <c r="AC199" s="2" t="s">
        <v>74</v>
      </c>
      <c r="AD199" s="2" t="s">
        <v>74</v>
      </c>
      <c r="AE199" s="2" t="s">
        <v>74</v>
      </c>
      <c r="AF199" s="2" t="s">
        <v>74</v>
      </c>
      <c r="AG199" s="2" t="s">
        <v>74</v>
      </c>
      <c r="AH199" s="2" t="s">
        <v>74</v>
      </c>
      <c r="AI199" s="2" t="s">
        <v>74</v>
      </c>
      <c r="AJ199" s="2" t="s">
        <v>74</v>
      </c>
      <c r="AK199" s="2" t="s">
        <v>74</v>
      </c>
      <c r="AL199" s="2" t="s">
        <v>74</v>
      </c>
      <c r="AM199" s="2" t="s">
        <v>74</v>
      </c>
      <c r="AN199" s="2" t="s">
        <v>74</v>
      </c>
      <c r="AO199" s="2" t="s">
        <v>111</v>
      </c>
      <c r="AP199" s="2" t="s">
        <v>112</v>
      </c>
      <c r="AQ199" s="2" t="s">
        <v>74</v>
      </c>
      <c r="AR199" s="2" t="s">
        <v>74</v>
      </c>
      <c r="AS199" s="2" t="s">
        <v>74</v>
      </c>
      <c r="AT199" s="2" t="s">
        <v>7717</v>
      </c>
      <c r="AU199" s="2">
        <v>2023</v>
      </c>
      <c r="AV199" s="2">
        <v>290</v>
      </c>
      <c r="AW199" s="2">
        <v>1991</v>
      </c>
      <c r="AX199" s="2" t="s">
        <v>74</v>
      </c>
      <c r="AY199" s="2" t="s">
        <v>74</v>
      </c>
      <c r="AZ199" s="2" t="s">
        <v>74</v>
      </c>
      <c r="BA199" s="2" t="s">
        <v>74</v>
      </c>
      <c r="BB199" s="2" t="s">
        <v>74</v>
      </c>
      <c r="BC199" s="2" t="s">
        <v>74</v>
      </c>
      <c r="BD199" s="2">
        <v>20221862</v>
      </c>
      <c r="BE199" s="2" t="s">
        <v>7718</v>
      </c>
      <c r="BF199" s="2" t="str">
        <f>HYPERLINK("http://dx.doi.org/10.1098/rspb.2022.1862","http://dx.doi.org/10.1098/rspb.2022.1862")</f>
        <v>http://dx.doi.org/10.1098/rspb.2022.1862</v>
      </c>
      <c r="BG199" s="2" t="s">
        <v>74</v>
      </c>
      <c r="BH199" s="2" t="s">
        <v>74</v>
      </c>
      <c r="BI199" s="2" t="s">
        <v>74</v>
      </c>
      <c r="BJ199" s="2" t="s">
        <v>74</v>
      </c>
      <c r="BK199" s="2" t="s">
        <v>74</v>
      </c>
      <c r="BL199" s="2" t="s">
        <v>74</v>
      </c>
      <c r="BM199" s="2" t="s">
        <v>74</v>
      </c>
      <c r="BN199" s="2">
        <v>36651041</v>
      </c>
      <c r="BO199" s="2" t="s">
        <v>74</v>
      </c>
      <c r="BP199" s="2" t="s">
        <v>74</v>
      </c>
      <c r="BQ199" s="2" t="s">
        <v>74</v>
      </c>
      <c r="BR199" s="2" t="s">
        <v>74</v>
      </c>
      <c r="BS199" s="2" t="s">
        <v>7719</v>
      </c>
      <c r="BT199" s="2" t="str">
        <f>HYPERLINK("https%3A%2F%2Fwww.webofscience.com%2Fwos%2Fwoscc%2Ffull-record%2FWOS:000914748200003","View Full Record in Web of Science")</f>
        <v>View Full Record in Web of Science</v>
      </c>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row>
    <row r="200" spans="1:314" s="2" customFormat="1" x14ac:dyDescent="0.4">
      <c r="A200" s="2" t="s">
        <v>72</v>
      </c>
      <c r="B200" s="2" t="s">
        <v>4992</v>
      </c>
      <c r="C200" s="2" t="s">
        <v>74</v>
      </c>
      <c r="D200" s="2" t="s">
        <v>74</v>
      </c>
      <c r="E200" s="2" t="s">
        <v>74</v>
      </c>
      <c r="F200" s="2" t="s">
        <v>4993</v>
      </c>
      <c r="G200" s="2" t="s">
        <v>74</v>
      </c>
      <c r="H200" s="2" t="s">
        <v>74</v>
      </c>
      <c r="I200" s="2" t="s">
        <v>4994</v>
      </c>
      <c r="J200" s="2" t="s">
        <v>108</v>
      </c>
      <c r="K200" s="2" t="s">
        <v>74</v>
      </c>
      <c r="L200" s="2" t="s">
        <v>74</v>
      </c>
      <c r="M200" s="2" t="s">
        <v>74</v>
      </c>
      <c r="N200" s="2" t="s">
        <v>74</v>
      </c>
      <c r="O200" s="2" t="s">
        <v>74</v>
      </c>
      <c r="P200" s="2" t="s">
        <v>74</v>
      </c>
      <c r="Q200" s="2" t="s">
        <v>74</v>
      </c>
      <c r="R200" s="2" t="s">
        <v>74</v>
      </c>
      <c r="S200" s="2" t="s">
        <v>74</v>
      </c>
      <c r="T200" s="2" t="s">
        <v>74</v>
      </c>
      <c r="U200" s="2" t="s">
        <v>74</v>
      </c>
      <c r="V200" s="5" t="s">
        <v>4995</v>
      </c>
      <c r="W200" s="2" t="s">
        <v>74</v>
      </c>
      <c r="X200" s="2" t="s">
        <v>74</v>
      </c>
      <c r="Y200" s="2" t="s">
        <v>74</v>
      </c>
      <c r="Z200" s="2" t="s">
        <v>74</v>
      </c>
      <c r="AA200" s="2" t="s">
        <v>4996</v>
      </c>
      <c r="AB200" s="2" t="s">
        <v>4997</v>
      </c>
      <c r="AC200" s="2" t="s">
        <v>74</v>
      </c>
      <c r="AD200" s="2" t="s">
        <v>74</v>
      </c>
      <c r="AE200" s="2" t="s">
        <v>74</v>
      </c>
      <c r="AF200" s="2" t="s">
        <v>74</v>
      </c>
      <c r="AG200" s="2" t="s">
        <v>74</v>
      </c>
      <c r="AH200" s="2" t="s">
        <v>74</v>
      </c>
      <c r="AI200" s="2" t="s">
        <v>74</v>
      </c>
      <c r="AJ200" s="2" t="s">
        <v>74</v>
      </c>
      <c r="AK200" s="2" t="s">
        <v>74</v>
      </c>
      <c r="AL200" s="2" t="s">
        <v>74</v>
      </c>
      <c r="AM200" s="2" t="s">
        <v>74</v>
      </c>
      <c r="AN200" s="2" t="s">
        <v>74</v>
      </c>
      <c r="AO200" s="2" t="s">
        <v>111</v>
      </c>
      <c r="AP200" s="2" t="s">
        <v>112</v>
      </c>
      <c r="AQ200" s="2" t="s">
        <v>74</v>
      </c>
      <c r="AR200" s="2" t="s">
        <v>74</v>
      </c>
      <c r="AS200" s="2" t="s">
        <v>74</v>
      </c>
      <c r="AT200" s="2" t="s">
        <v>4998</v>
      </c>
      <c r="AU200" s="2">
        <v>2015</v>
      </c>
      <c r="AV200" s="2">
        <v>282</v>
      </c>
      <c r="AW200" s="2">
        <v>1798</v>
      </c>
      <c r="AX200" s="2" t="s">
        <v>74</v>
      </c>
      <c r="AY200" s="2" t="s">
        <v>74</v>
      </c>
      <c r="AZ200" s="2" t="s">
        <v>74</v>
      </c>
      <c r="BA200" s="2" t="s">
        <v>74</v>
      </c>
      <c r="BB200" s="2" t="s">
        <v>74</v>
      </c>
      <c r="BC200" s="2" t="s">
        <v>74</v>
      </c>
      <c r="BD200" s="2">
        <v>20142321</v>
      </c>
      <c r="BE200" s="2" t="s">
        <v>4999</v>
      </c>
      <c r="BF200" s="2" t="str">
        <f>HYPERLINK("http://dx.doi.org/10.1098/rspb.2014.2321","http://dx.doi.org/10.1098/rspb.2014.2321")</f>
        <v>http://dx.doi.org/10.1098/rspb.2014.2321</v>
      </c>
      <c r="BG200" s="2" t="s">
        <v>74</v>
      </c>
      <c r="BH200" s="2" t="s">
        <v>74</v>
      </c>
      <c r="BI200" s="2" t="s">
        <v>74</v>
      </c>
      <c r="BJ200" s="2" t="s">
        <v>74</v>
      </c>
      <c r="BK200" s="2" t="s">
        <v>74</v>
      </c>
      <c r="BL200" s="2" t="s">
        <v>74</v>
      </c>
      <c r="BM200" s="2" t="s">
        <v>74</v>
      </c>
      <c r="BN200" s="2">
        <v>25429020</v>
      </c>
      <c r="BO200" s="2" t="s">
        <v>74</v>
      </c>
      <c r="BP200" s="2" t="s">
        <v>74</v>
      </c>
      <c r="BQ200" s="2" t="s">
        <v>74</v>
      </c>
      <c r="BR200" s="2" t="s">
        <v>74</v>
      </c>
      <c r="BS200" s="2" t="s">
        <v>5000</v>
      </c>
      <c r="BT200" s="2" t="str">
        <f>HYPERLINK("https%3A%2F%2Fwww.webofscience.com%2Fwos%2Fwoscc%2Ffull-record%2FWOS:000347160800015","View Full Record in Web of Science")</f>
        <v>View Full Record in Web of Science</v>
      </c>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row>
    <row r="201" spans="1:314" s="2" customFormat="1" x14ac:dyDescent="0.4">
      <c r="A201" s="2" t="s">
        <v>72</v>
      </c>
      <c r="B201" s="2" t="s">
        <v>3652</v>
      </c>
      <c r="C201" s="2" t="s">
        <v>74</v>
      </c>
      <c r="D201" s="2" t="s">
        <v>74</v>
      </c>
      <c r="E201" s="2" t="s">
        <v>74</v>
      </c>
      <c r="F201" s="2" t="s">
        <v>3653</v>
      </c>
      <c r="G201" s="2" t="s">
        <v>74</v>
      </c>
      <c r="H201" s="2" t="s">
        <v>74</v>
      </c>
      <c r="I201" s="2" t="s">
        <v>3654</v>
      </c>
      <c r="J201" s="2" t="s">
        <v>229</v>
      </c>
      <c r="K201" s="2" t="s">
        <v>74</v>
      </c>
      <c r="L201" s="2" t="s">
        <v>74</v>
      </c>
      <c r="M201" s="2" t="s">
        <v>74</v>
      </c>
      <c r="N201" s="2" t="s">
        <v>74</v>
      </c>
      <c r="O201" s="2" t="s">
        <v>74</v>
      </c>
      <c r="P201" s="2" t="s">
        <v>74</v>
      </c>
      <c r="Q201" s="2" t="s">
        <v>74</v>
      </c>
      <c r="R201" s="2" t="s">
        <v>74</v>
      </c>
      <c r="S201" s="2" t="s">
        <v>74</v>
      </c>
      <c r="T201" s="2" t="s">
        <v>74</v>
      </c>
      <c r="U201" s="2" t="s">
        <v>74</v>
      </c>
      <c r="V201" s="5" t="s">
        <v>3655</v>
      </c>
      <c r="W201" s="2" t="s">
        <v>74</v>
      </c>
      <c r="X201" s="2" t="s">
        <v>74</v>
      </c>
      <c r="Y201" s="2" t="s">
        <v>74</v>
      </c>
      <c r="Z201" s="2" t="s">
        <v>74</v>
      </c>
      <c r="AA201" s="2" t="s">
        <v>3656</v>
      </c>
      <c r="AB201" s="2" t="s">
        <v>3657</v>
      </c>
      <c r="AC201" s="2" t="s">
        <v>74</v>
      </c>
      <c r="AD201" s="2" t="s">
        <v>74</v>
      </c>
      <c r="AE201" s="2" t="s">
        <v>74</v>
      </c>
      <c r="AF201" s="2" t="s">
        <v>74</v>
      </c>
      <c r="AG201" s="2" t="s">
        <v>74</v>
      </c>
      <c r="AH201" s="2" t="s">
        <v>74</v>
      </c>
      <c r="AI201" s="2" t="s">
        <v>74</v>
      </c>
      <c r="AJ201" s="2" t="s">
        <v>74</v>
      </c>
      <c r="AK201" s="2" t="s">
        <v>74</v>
      </c>
      <c r="AL201" s="2" t="s">
        <v>74</v>
      </c>
      <c r="AM201" s="2" t="s">
        <v>74</v>
      </c>
      <c r="AN201" s="2" t="s">
        <v>74</v>
      </c>
      <c r="AO201" s="2" t="s">
        <v>233</v>
      </c>
      <c r="AP201" s="2" t="s">
        <v>234</v>
      </c>
      <c r="AQ201" s="2" t="s">
        <v>74</v>
      </c>
      <c r="AR201" s="2" t="s">
        <v>74</v>
      </c>
      <c r="AS201" s="2" t="s">
        <v>74</v>
      </c>
      <c r="AT201" s="2" t="s">
        <v>1475</v>
      </c>
      <c r="AU201" s="2">
        <v>2010</v>
      </c>
      <c r="AV201" s="2">
        <v>36</v>
      </c>
      <c r="AW201" s="2">
        <v>1</v>
      </c>
      <c r="AX201" s="2" t="s">
        <v>74</v>
      </c>
      <c r="AY201" s="2" t="s">
        <v>74</v>
      </c>
      <c r="AZ201" s="2" t="s">
        <v>74</v>
      </c>
      <c r="BA201" s="2" t="s">
        <v>74</v>
      </c>
      <c r="BB201" s="2">
        <v>1</v>
      </c>
      <c r="BC201" s="2">
        <v>13</v>
      </c>
      <c r="BD201" s="2" t="s">
        <v>74</v>
      </c>
      <c r="BE201" s="2" t="s">
        <v>3658</v>
      </c>
      <c r="BF201" s="2" t="str">
        <f>HYPERLINK("http://dx.doi.org/10.1002/ab.20329","http://dx.doi.org/10.1002/ab.20329")</f>
        <v>http://dx.doi.org/10.1002/ab.20329</v>
      </c>
      <c r="BG201" s="2" t="s">
        <v>74</v>
      </c>
      <c r="BH201" s="2" t="s">
        <v>74</v>
      </c>
      <c r="BI201" s="2" t="s">
        <v>74</v>
      </c>
      <c r="BJ201" s="2" t="s">
        <v>74</v>
      </c>
      <c r="BK201" s="2" t="s">
        <v>74</v>
      </c>
      <c r="BL201" s="2" t="s">
        <v>74</v>
      </c>
      <c r="BM201" s="2" t="s">
        <v>74</v>
      </c>
      <c r="BN201" s="2">
        <v>19859912</v>
      </c>
      <c r="BO201" s="2" t="s">
        <v>74</v>
      </c>
      <c r="BP201" s="2" t="s">
        <v>74</v>
      </c>
      <c r="BQ201" s="2" t="s">
        <v>74</v>
      </c>
      <c r="BR201" s="2" t="s">
        <v>74</v>
      </c>
      <c r="BS201" s="2" t="s">
        <v>3659</v>
      </c>
      <c r="BT201" s="2" t="str">
        <f>HYPERLINK("https%3A%2F%2Fwww.webofscience.com%2Fwos%2Fwoscc%2Ffull-record%2FWOS:000272728400001","View Full Record in Web of Science")</f>
        <v>View Full Record in Web of Science</v>
      </c>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row>
    <row r="202" spans="1:314" s="2" customFormat="1" x14ac:dyDescent="0.4">
      <c r="A202" s="2" t="s">
        <v>72</v>
      </c>
      <c r="B202" s="2" t="s">
        <v>8340</v>
      </c>
      <c r="C202" s="2" t="s">
        <v>74</v>
      </c>
      <c r="D202" s="2" t="s">
        <v>74</v>
      </c>
      <c r="E202" s="2" t="s">
        <v>74</v>
      </c>
      <c r="F202" s="2" t="s">
        <v>8341</v>
      </c>
      <c r="G202" s="2" t="s">
        <v>74</v>
      </c>
      <c r="H202" s="2" t="s">
        <v>74</v>
      </c>
      <c r="I202" s="2" t="s">
        <v>8342</v>
      </c>
      <c r="J202" s="2" t="s">
        <v>119</v>
      </c>
      <c r="K202" s="2" t="s">
        <v>74</v>
      </c>
      <c r="L202" s="2" t="s">
        <v>74</v>
      </c>
      <c r="M202" s="2" t="s">
        <v>74</v>
      </c>
      <c r="N202" s="2" t="s">
        <v>74</v>
      </c>
      <c r="O202" s="2" t="s">
        <v>74</v>
      </c>
      <c r="P202" s="2" t="s">
        <v>74</v>
      </c>
      <c r="Q202" s="2" t="s">
        <v>74</v>
      </c>
      <c r="R202" s="2" t="s">
        <v>74</v>
      </c>
      <c r="S202" s="2" t="s">
        <v>74</v>
      </c>
      <c r="T202" s="2" t="s">
        <v>74</v>
      </c>
      <c r="U202" s="2" t="s">
        <v>74</v>
      </c>
      <c r="V202" s="5" t="s">
        <v>8343</v>
      </c>
      <c r="W202" s="2" t="s">
        <v>74</v>
      </c>
      <c r="X202" s="2" t="s">
        <v>74</v>
      </c>
      <c r="Y202" s="2" t="s">
        <v>74</v>
      </c>
      <c r="Z202" s="2" t="s">
        <v>74</v>
      </c>
      <c r="AA202" s="2" t="s">
        <v>74</v>
      </c>
      <c r="AB202" s="2" t="s">
        <v>74</v>
      </c>
      <c r="AC202" s="2" t="s">
        <v>74</v>
      </c>
      <c r="AD202" s="2" t="s">
        <v>74</v>
      </c>
      <c r="AE202" s="2" t="s">
        <v>74</v>
      </c>
      <c r="AF202" s="2" t="s">
        <v>74</v>
      </c>
      <c r="AG202" s="2" t="s">
        <v>74</v>
      </c>
      <c r="AH202" s="2" t="s">
        <v>74</v>
      </c>
      <c r="AI202" s="2" t="s">
        <v>74</v>
      </c>
      <c r="AJ202" s="2" t="s">
        <v>74</v>
      </c>
      <c r="AK202" s="2" t="s">
        <v>74</v>
      </c>
      <c r="AL202" s="2" t="s">
        <v>74</v>
      </c>
      <c r="AM202" s="2" t="s">
        <v>74</v>
      </c>
      <c r="AN202" s="2" t="s">
        <v>74</v>
      </c>
      <c r="AO202" s="2" t="s">
        <v>121</v>
      </c>
      <c r="AP202" s="2" t="s">
        <v>122</v>
      </c>
      <c r="AQ202" s="2" t="s">
        <v>74</v>
      </c>
      <c r="AR202" s="2" t="s">
        <v>74</v>
      </c>
      <c r="AS202" s="2" t="s">
        <v>74</v>
      </c>
      <c r="AT202" s="2" t="s">
        <v>255</v>
      </c>
      <c r="AU202" s="2">
        <v>2011</v>
      </c>
      <c r="AV202" s="2">
        <v>86</v>
      </c>
      <c r="AW202" s="2">
        <v>1</v>
      </c>
      <c r="AX202" s="2" t="s">
        <v>74</v>
      </c>
      <c r="AY202" s="2" t="s">
        <v>74</v>
      </c>
      <c r="AZ202" s="2" t="s">
        <v>74</v>
      </c>
      <c r="BA202" s="2" t="s">
        <v>74</v>
      </c>
      <c r="BB202" s="2">
        <v>109</v>
      </c>
      <c r="BC202" s="2">
        <v>118</v>
      </c>
      <c r="BD202" s="2" t="s">
        <v>74</v>
      </c>
      <c r="BE202" s="2" t="s">
        <v>8344</v>
      </c>
      <c r="BF202" s="2" t="str">
        <f>HYPERLINK("http://dx.doi.org/10.1016/j.beproc.2010.10.002","http://dx.doi.org/10.1016/j.beproc.2010.10.002")</f>
        <v>http://dx.doi.org/10.1016/j.beproc.2010.10.002</v>
      </c>
      <c r="BG202" s="2" t="s">
        <v>74</v>
      </c>
      <c r="BH202" s="2" t="s">
        <v>74</v>
      </c>
      <c r="BI202" s="2" t="s">
        <v>74</v>
      </c>
      <c r="BJ202" s="2" t="s">
        <v>74</v>
      </c>
      <c r="BK202" s="2" t="s">
        <v>74</v>
      </c>
      <c r="BL202" s="2" t="s">
        <v>74</v>
      </c>
      <c r="BM202" s="2" t="s">
        <v>74</v>
      </c>
      <c r="BN202" s="2">
        <v>20971169</v>
      </c>
      <c r="BO202" s="2" t="s">
        <v>74</v>
      </c>
      <c r="BP202" s="2" t="s">
        <v>74</v>
      </c>
      <c r="BQ202" s="2" t="s">
        <v>74</v>
      </c>
      <c r="BR202" s="2" t="s">
        <v>74</v>
      </c>
      <c r="BS202" s="2" t="s">
        <v>8345</v>
      </c>
      <c r="BT202" s="2" t="str">
        <f>HYPERLINK("https%3A%2F%2Fwww.webofscience.com%2Fwos%2Fwoscc%2Ffull-record%2FWOS:000286861200015","View Full Record in Web of Science")</f>
        <v>View Full Record in Web of Science</v>
      </c>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row>
    <row r="203" spans="1:314" s="2" customFormat="1" x14ac:dyDescent="0.4">
      <c r="A203" s="2" t="s">
        <v>72</v>
      </c>
      <c r="B203" s="2" t="s">
        <v>3208</v>
      </c>
      <c r="C203" s="2" t="s">
        <v>74</v>
      </c>
      <c r="D203" s="2" t="s">
        <v>74</v>
      </c>
      <c r="E203" s="2" t="s">
        <v>74</v>
      </c>
      <c r="F203" s="2" t="s">
        <v>3209</v>
      </c>
      <c r="G203" s="2" t="s">
        <v>74</v>
      </c>
      <c r="H203" s="2" t="s">
        <v>74</v>
      </c>
      <c r="I203" s="2" t="s">
        <v>3210</v>
      </c>
      <c r="J203" s="2" t="s">
        <v>3211</v>
      </c>
      <c r="K203" s="2" t="s">
        <v>74</v>
      </c>
      <c r="L203" s="2" t="s">
        <v>74</v>
      </c>
      <c r="M203" s="2" t="s">
        <v>74</v>
      </c>
      <c r="N203" s="2" t="s">
        <v>74</v>
      </c>
      <c r="O203" s="2" t="s">
        <v>74</v>
      </c>
      <c r="P203" s="2" t="s">
        <v>74</v>
      </c>
      <c r="Q203" s="2" t="s">
        <v>74</v>
      </c>
      <c r="R203" s="2" t="s">
        <v>74</v>
      </c>
      <c r="S203" s="2" t="s">
        <v>74</v>
      </c>
      <c r="T203" s="2" t="s">
        <v>74</v>
      </c>
      <c r="U203" s="2" t="s">
        <v>74</v>
      </c>
      <c r="V203" s="5" t="s">
        <v>3212</v>
      </c>
      <c r="W203" s="2" t="s">
        <v>74</v>
      </c>
      <c r="X203" s="2" t="s">
        <v>74</v>
      </c>
      <c r="Y203" s="2" t="s">
        <v>74</v>
      </c>
      <c r="Z203" s="2" t="s">
        <v>74</v>
      </c>
      <c r="AA203" s="2" t="s">
        <v>74</v>
      </c>
      <c r="AB203" s="2" t="s">
        <v>74</v>
      </c>
      <c r="AC203" s="2" t="s">
        <v>74</v>
      </c>
      <c r="AD203" s="2" t="s">
        <v>74</v>
      </c>
      <c r="AE203" s="2" t="s">
        <v>74</v>
      </c>
      <c r="AF203" s="2" t="s">
        <v>74</v>
      </c>
      <c r="AG203" s="2" t="s">
        <v>74</v>
      </c>
      <c r="AH203" s="2" t="s">
        <v>74</v>
      </c>
      <c r="AI203" s="2" t="s">
        <v>74</v>
      </c>
      <c r="AJ203" s="2" t="s">
        <v>74</v>
      </c>
      <c r="AK203" s="2" t="s">
        <v>74</v>
      </c>
      <c r="AL203" s="2" t="s">
        <v>74</v>
      </c>
      <c r="AM203" s="2" t="s">
        <v>74</v>
      </c>
      <c r="AN203" s="2" t="s">
        <v>74</v>
      </c>
      <c r="AO203" s="2" t="s">
        <v>3213</v>
      </c>
      <c r="AP203" s="2" t="s">
        <v>3214</v>
      </c>
      <c r="AQ203" s="2" t="s">
        <v>74</v>
      </c>
      <c r="AR203" s="2" t="s">
        <v>74</v>
      </c>
      <c r="AS203" s="2" t="s">
        <v>74</v>
      </c>
      <c r="AT203" s="2" t="s">
        <v>175</v>
      </c>
      <c r="AU203" s="2">
        <v>2017</v>
      </c>
      <c r="AV203" s="2">
        <v>178</v>
      </c>
      <c r="AW203" s="2">
        <v>2</v>
      </c>
      <c r="AX203" s="2" t="s">
        <v>74</v>
      </c>
      <c r="AY203" s="2" t="s">
        <v>74</v>
      </c>
      <c r="AZ203" s="2" t="s">
        <v>74</v>
      </c>
      <c r="BA203" s="2" t="s">
        <v>74</v>
      </c>
      <c r="BB203" s="2">
        <v>226</v>
      </c>
      <c r="BC203" s="2">
        <v>236</v>
      </c>
      <c r="BD203" s="2" t="s">
        <v>74</v>
      </c>
      <c r="BE203" s="2" t="s">
        <v>3215</v>
      </c>
      <c r="BF203" s="2" t="str">
        <f>HYPERLINK("http://dx.doi.org/10.1674/0003-0031-178.2.226","http://dx.doi.org/10.1674/0003-0031-178.2.226")</f>
        <v>http://dx.doi.org/10.1674/0003-0031-178.2.226</v>
      </c>
      <c r="BG203" s="2" t="s">
        <v>74</v>
      </c>
      <c r="BH203" s="2" t="s">
        <v>74</v>
      </c>
      <c r="BI203" s="2" t="s">
        <v>74</v>
      </c>
      <c r="BJ203" s="2" t="s">
        <v>74</v>
      </c>
      <c r="BK203" s="2" t="s">
        <v>74</v>
      </c>
      <c r="BL203" s="2" t="s">
        <v>74</v>
      </c>
      <c r="BM203" s="2" t="s">
        <v>74</v>
      </c>
      <c r="BN203" s="2" t="s">
        <v>74</v>
      </c>
      <c r="BO203" s="2" t="s">
        <v>74</v>
      </c>
      <c r="BP203" s="2" t="s">
        <v>74</v>
      </c>
      <c r="BQ203" s="2" t="s">
        <v>74</v>
      </c>
      <c r="BR203" s="2" t="s">
        <v>74</v>
      </c>
      <c r="BS203" s="2" t="s">
        <v>3216</v>
      </c>
      <c r="BT203" s="2" t="str">
        <f>HYPERLINK("https%3A%2F%2Fwww.webofscience.com%2Fwos%2Fwoscc%2Ffull-record%2FWOS:000416392800005","View Full Record in Web of Science")</f>
        <v>View Full Record in Web of Science</v>
      </c>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row>
    <row r="204" spans="1:314" s="2" customFormat="1" x14ac:dyDescent="0.4">
      <c r="A204" s="2" t="s">
        <v>72</v>
      </c>
      <c r="B204" s="2" t="s">
        <v>1140</v>
      </c>
      <c r="C204" s="2" t="s">
        <v>74</v>
      </c>
      <c r="D204" s="2" t="s">
        <v>74</v>
      </c>
      <c r="E204" s="2" t="s">
        <v>74</v>
      </c>
      <c r="F204" s="2" t="s">
        <v>1141</v>
      </c>
      <c r="G204" s="2" t="s">
        <v>74</v>
      </c>
      <c r="H204" s="2" t="s">
        <v>74</v>
      </c>
      <c r="I204" s="2" t="s">
        <v>1142</v>
      </c>
      <c r="J204" s="2" t="s">
        <v>88</v>
      </c>
      <c r="K204" s="2" t="s">
        <v>74</v>
      </c>
      <c r="L204" s="2" t="s">
        <v>74</v>
      </c>
      <c r="M204" s="2" t="s">
        <v>74</v>
      </c>
      <c r="N204" s="2" t="s">
        <v>74</v>
      </c>
      <c r="O204" s="2" t="s">
        <v>74</v>
      </c>
      <c r="P204" s="2" t="s">
        <v>74</v>
      </c>
      <c r="Q204" s="2" t="s">
        <v>74</v>
      </c>
      <c r="R204" s="2" t="s">
        <v>74</v>
      </c>
      <c r="S204" s="2" t="s">
        <v>74</v>
      </c>
      <c r="T204" s="2" t="s">
        <v>74</v>
      </c>
      <c r="U204" s="2" t="s">
        <v>74</v>
      </c>
      <c r="V204" s="5" t="s">
        <v>1143</v>
      </c>
      <c r="W204" s="2" t="s">
        <v>74</v>
      </c>
      <c r="X204" s="2" t="s">
        <v>74</v>
      </c>
      <c r="Y204" s="2" t="s">
        <v>74</v>
      </c>
      <c r="Z204" s="2" t="s">
        <v>74</v>
      </c>
      <c r="AA204" s="2" t="s">
        <v>1144</v>
      </c>
      <c r="AB204" s="2" t="s">
        <v>1145</v>
      </c>
      <c r="AC204" s="2" t="s">
        <v>74</v>
      </c>
      <c r="AD204" s="2" t="s">
        <v>74</v>
      </c>
      <c r="AE204" s="2" t="s">
        <v>74</v>
      </c>
      <c r="AF204" s="2" t="s">
        <v>74</v>
      </c>
      <c r="AG204" s="2" t="s">
        <v>74</v>
      </c>
      <c r="AH204" s="2" t="s">
        <v>74</v>
      </c>
      <c r="AI204" s="2" t="s">
        <v>74</v>
      </c>
      <c r="AJ204" s="2" t="s">
        <v>74</v>
      </c>
      <c r="AK204" s="2" t="s">
        <v>74</v>
      </c>
      <c r="AL204" s="2" t="s">
        <v>74</v>
      </c>
      <c r="AM204" s="2" t="s">
        <v>74</v>
      </c>
      <c r="AN204" s="2" t="s">
        <v>74</v>
      </c>
      <c r="AO204" s="2" t="s">
        <v>91</v>
      </c>
      <c r="AP204" s="2" t="s">
        <v>92</v>
      </c>
      <c r="AQ204" s="2" t="s">
        <v>74</v>
      </c>
      <c r="AR204" s="2" t="s">
        <v>74</v>
      </c>
      <c r="AS204" s="2" t="s">
        <v>74</v>
      </c>
      <c r="AT204" s="2" t="s">
        <v>1146</v>
      </c>
      <c r="AU204" s="2">
        <v>2016</v>
      </c>
      <c r="AV204" s="2">
        <v>12</v>
      </c>
      <c r="AW204" s="2">
        <v>8</v>
      </c>
      <c r="AX204" s="2" t="s">
        <v>74</v>
      </c>
      <c r="AY204" s="2" t="s">
        <v>74</v>
      </c>
      <c r="AZ204" s="2" t="s">
        <v>74</v>
      </c>
      <c r="BA204" s="2" t="s">
        <v>74</v>
      </c>
      <c r="BB204" s="2" t="s">
        <v>74</v>
      </c>
      <c r="BC204" s="2" t="s">
        <v>74</v>
      </c>
      <c r="BD204" s="2">
        <v>20160467</v>
      </c>
      <c r="BE204" s="2" t="s">
        <v>1147</v>
      </c>
      <c r="BF204" s="2" t="str">
        <f>HYPERLINK("http://dx.doi.org/10.1098/rsbl.2016.0467","http://dx.doi.org/10.1098/rsbl.2016.0467")</f>
        <v>http://dx.doi.org/10.1098/rsbl.2016.0467</v>
      </c>
      <c r="BG204" s="2" t="s">
        <v>74</v>
      </c>
      <c r="BH204" s="2" t="s">
        <v>74</v>
      </c>
      <c r="BI204" s="2" t="s">
        <v>74</v>
      </c>
      <c r="BJ204" s="2" t="s">
        <v>74</v>
      </c>
      <c r="BK204" s="2" t="s">
        <v>74</v>
      </c>
      <c r="BL204" s="2" t="s">
        <v>74</v>
      </c>
      <c r="BM204" s="2" t="s">
        <v>74</v>
      </c>
      <c r="BN204" s="2">
        <v>27512135</v>
      </c>
      <c r="BO204" s="2" t="s">
        <v>74</v>
      </c>
      <c r="BP204" s="2" t="s">
        <v>74</v>
      </c>
      <c r="BQ204" s="2" t="s">
        <v>74</v>
      </c>
      <c r="BR204" s="2" t="s">
        <v>74</v>
      </c>
      <c r="BS204" s="2" t="s">
        <v>1148</v>
      </c>
      <c r="BT204" s="2" t="str">
        <f>HYPERLINK("https%3A%2F%2Fwww.webofscience.com%2Fwos%2Fwoscc%2Ffull-record%2FWOS:000390331600027","View Full Record in Web of Science")</f>
        <v>View Full Record in Web of Science</v>
      </c>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row>
    <row r="205" spans="1:314" s="1" customFormat="1" x14ac:dyDescent="0.4">
      <c r="A205" s="2" t="s">
        <v>72</v>
      </c>
      <c r="B205" s="2" t="s">
        <v>3034</v>
      </c>
      <c r="C205" s="2" t="s">
        <v>74</v>
      </c>
      <c r="D205" s="2" t="s">
        <v>74</v>
      </c>
      <c r="E205" s="2" t="s">
        <v>74</v>
      </c>
      <c r="F205" s="2" t="s">
        <v>3034</v>
      </c>
      <c r="G205" s="2" t="s">
        <v>74</v>
      </c>
      <c r="H205" s="2" t="s">
        <v>74</v>
      </c>
      <c r="I205" s="2" t="s">
        <v>3035</v>
      </c>
      <c r="J205" s="2" t="s">
        <v>140</v>
      </c>
      <c r="K205" s="2" t="s">
        <v>74</v>
      </c>
      <c r="L205" s="2" t="s">
        <v>74</v>
      </c>
      <c r="M205" s="2" t="s">
        <v>74</v>
      </c>
      <c r="N205" s="2" t="s">
        <v>74</v>
      </c>
      <c r="O205" s="2" t="s">
        <v>74</v>
      </c>
      <c r="P205" s="2" t="s">
        <v>74</v>
      </c>
      <c r="Q205" s="2" t="s">
        <v>74</v>
      </c>
      <c r="R205" s="2" t="s">
        <v>74</v>
      </c>
      <c r="S205" s="2" t="s">
        <v>74</v>
      </c>
      <c r="T205" s="2" t="s">
        <v>74</v>
      </c>
      <c r="U205" s="2" t="s">
        <v>74</v>
      </c>
      <c r="V205" s="5" t="s">
        <v>3036</v>
      </c>
      <c r="W205" s="2" t="s">
        <v>74</v>
      </c>
      <c r="X205" s="2" t="s">
        <v>74</v>
      </c>
      <c r="Y205" s="2" t="s">
        <v>74</v>
      </c>
      <c r="Z205" s="2" t="s">
        <v>74</v>
      </c>
      <c r="AA205" s="2" t="s">
        <v>74</v>
      </c>
      <c r="AB205" s="2" t="s">
        <v>74</v>
      </c>
      <c r="AC205" s="2" t="s">
        <v>74</v>
      </c>
      <c r="AD205" s="2" t="s">
        <v>74</v>
      </c>
      <c r="AE205" s="2" t="s">
        <v>74</v>
      </c>
      <c r="AF205" s="2" t="s">
        <v>74</v>
      </c>
      <c r="AG205" s="2" t="s">
        <v>74</v>
      </c>
      <c r="AH205" s="2" t="s">
        <v>74</v>
      </c>
      <c r="AI205" s="2" t="s">
        <v>74</v>
      </c>
      <c r="AJ205" s="2" t="s">
        <v>74</v>
      </c>
      <c r="AK205" s="2" t="s">
        <v>74</v>
      </c>
      <c r="AL205" s="2" t="s">
        <v>74</v>
      </c>
      <c r="AM205" s="2" t="s">
        <v>74</v>
      </c>
      <c r="AN205" s="2" t="s">
        <v>74</v>
      </c>
      <c r="AO205" s="2" t="s">
        <v>143</v>
      </c>
      <c r="AP205" s="2" t="s">
        <v>74</v>
      </c>
      <c r="AQ205" s="2" t="s">
        <v>74</v>
      </c>
      <c r="AR205" s="2" t="s">
        <v>74</v>
      </c>
      <c r="AS205" s="2" t="s">
        <v>74</v>
      </c>
      <c r="AT205" s="2" t="s">
        <v>213</v>
      </c>
      <c r="AU205" s="2">
        <v>1996</v>
      </c>
      <c r="AV205" s="2">
        <v>52</v>
      </c>
      <c r="AW205" s="2" t="s">
        <v>74</v>
      </c>
      <c r="AX205" s="2">
        <v>5</v>
      </c>
      <c r="AY205" s="2" t="s">
        <v>74</v>
      </c>
      <c r="AZ205" s="2" t="s">
        <v>74</v>
      </c>
      <c r="BA205" s="2" t="s">
        <v>74</v>
      </c>
      <c r="BB205" s="2">
        <v>923</v>
      </c>
      <c r="BC205" s="2">
        <v>927</v>
      </c>
      <c r="BD205" s="2" t="s">
        <v>74</v>
      </c>
      <c r="BE205" s="2" t="s">
        <v>3037</v>
      </c>
      <c r="BF205" s="2" t="str">
        <f>HYPERLINK("http://dx.doi.org/10.1006/anbe.1996.0240","http://dx.doi.org/10.1006/anbe.1996.0240")</f>
        <v>http://dx.doi.org/10.1006/anbe.1996.0240</v>
      </c>
      <c r="BG205" s="2" t="s">
        <v>74</v>
      </c>
      <c r="BH205" s="2" t="s">
        <v>74</v>
      </c>
      <c r="BI205" s="2" t="s">
        <v>74</v>
      </c>
      <c r="BJ205" s="2" t="s">
        <v>74</v>
      </c>
      <c r="BK205" s="2" t="s">
        <v>74</v>
      </c>
      <c r="BL205" s="2" t="s">
        <v>74</v>
      </c>
      <c r="BM205" s="2" t="s">
        <v>74</v>
      </c>
      <c r="BN205" s="2" t="s">
        <v>74</v>
      </c>
      <c r="BO205" s="2" t="s">
        <v>74</v>
      </c>
      <c r="BP205" s="2" t="s">
        <v>74</v>
      </c>
      <c r="BQ205" s="2" t="s">
        <v>74</v>
      </c>
      <c r="BR205" s="2" t="s">
        <v>74</v>
      </c>
      <c r="BS205" s="2" t="s">
        <v>3038</v>
      </c>
      <c r="BT205" s="2" t="str">
        <f>HYPERLINK("https%3A%2F%2Fwww.webofscience.com%2Fwos%2Fwoscc%2Ffull-record%2FWOS:A1996VT21600007","View Full Record in Web of Science")</f>
        <v>View Full Record in Web of Science</v>
      </c>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row>
    <row r="206" spans="1:314" s="2" customFormat="1" x14ac:dyDescent="0.4">
      <c r="A206" s="2" t="s">
        <v>72</v>
      </c>
      <c r="B206" s="2" t="s">
        <v>6410</v>
      </c>
      <c r="C206" s="2" t="s">
        <v>74</v>
      </c>
      <c r="D206" s="2" t="s">
        <v>74</v>
      </c>
      <c r="E206" s="2" t="s">
        <v>74</v>
      </c>
      <c r="F206" s="2" t="s">
        <v>6411</v>
      </c>
      <c r="G206" s="2" t="s">
        <v>74</v>
      </c>
      <c r="H206" s="2" t="s">
        <v>74</v>
      </c>
      <c r="I206" s="2" t="s">
        <v>6412</v>
      </c>
      <c r="J206" s="2" t="s">
        <v>530</v>
      </c>
      <c r="K206" s="2" t="s">
        <v>74</v>
      </c>
      <c r="L206" s="2" t="s">
        <v>74</v>
      </c>
      <c r="M206" s="2" t="s">
        <v>74</v>
      </c>
      <c r="N206" s="2" t="s">
        <v>74</v>
      </c>
      <c r="O206" s="2" t="s">
        <v>74</v>
      </c>
      <c r="P206" s="2" t="s">
        <v>74</v>
      </c>
      <c r="Q206" s="2" t="s">
        <v>74</v>
      </c>
      <c r="R206" s="2" t="s">
        <v>74</v>
      </c>
      <c r="S206" s="2" t="s">
        <v>74</v>
      </c>
      <c r="T206" s="2" t="s">
        <v>74</v>
      </c>
      <c r="U206" s="2" t="s">
        <v>74</v>
      </c>
      <c r="V206" s="5" t="s">
        <v>6413</v>
      </c>
      <c r="W206" s="2" t="s">
        <v>74</v>
      </c>
      <c r="X206" s="2" t="s">
        <v>74</v>
      </c>
      <c r="Y206" s="2" t="s">
        <v>74</v>
      </c>
      <c r="Z206" s="2" t="s">
        <v>74</v>
      </c>
      <c r="AA206" s="2" t="s">
        <v>74</v>
      </c>
      <c r="AB206" s="2" t="s">
        <v>74</v>
      </c>
      <c r="AC206" s="2" t="s">
        <v>74</v>
      </c>
      <c r="AD206" s="2" t="s">
        <v>74</v>
      </c>
      <c r="AE206" s="2" t="s">
        <v>74</v>
      </c>
      <c r="AF206" s="2" t="s">
        <v>74</v>
      </c>
      <c r="AG206" s="2" t="s">
        <v>74</v>
      </c>
      <c r="AH206" s="2" t="s">
        <v>74</v>
      </c>
      <c r="AI206" s="2" t="s">
        <v>74</v>
      </c>
      <c r="AJ206" s="2" t="s">
        <v>74</v>
      </c>
      <c r="AK206" s="2" t="s">
        <v>74</v>
      </c>
      <c r="AL206" s="2" t="s">
        <v>74</v>
      </c>
      <c r="AM206" s="2" t="s">
        <v>74</v>
      </c>
      <c r="AN206" s="2" t="s">
        <v>74</v>
      </c>
      <c r="AO206" s="2" t="s">
        <v>532</v>
      </c>
      <c r="AP206" s="2" t="s">
        <v>533</v>
      </c>
      <c r="AQ206" s="2" t="s">
        <v>74</v>
      </c>
      <c r="AR206" s="2" t="s">
        <v>74</v>
      </c>
      <c r="AS206" s="2" t="s">
        <v>74</v>
      </c>
      <c r="AT206" s="2" t="s">
        <v>102</v>
      </c>
      <c r="AU206" s="2">
        <v>2006</v>
      </c>
      <c r="AV206" s="2">
        <v>149</v>
      </c>
      <c r="AW206" s="2">
        <v>3</v>
      </c>
      <c r="AX206" s="2" t="s">
        <v>74</v>
      </c>
      <c r="AY206" s="2" t="s">
        <v>74</v>
      </c>
      <c r="AZ206" s="2" t="s">
        <v>74</v>
      </c>
      <c r="BA206" s="2" t="s">
        <v>74</v>
      </c>
      <c r="BB206" s="2">
        <v>423</v>
      </c>
      <c r="BC206" s="2">
        <v>433</v>
      </c>
      <c r="BD206" s="2" t="s">
        <v>74</v>
      </c>
      <c r="BE206" s="2" t="s">
        <v>6414</v>
      </c>
      <c r="BF206" s="2" t="str">
        <f>HYPERLINK("http://dx.doi.org/10.1007/s00227-005-0233-9","http://dx.doi.org/10.1007/s00227-005-0233-9")</f>
        <v>http://dx.doi.org/10.1007/s00227-005-0233-9</v>
      </c>
      <c r="BG206" s="2" t="s">
        <v>74</v>
      </c>
      <c r="BH206" s="2" t="s">
        <v>74</v>
      </c>
      <c r="BI206" s="2" t="s">
        <v>74</v>
      </c>
      <c r="BJ206" s="2" t="s">
        <v>74</v>
      </c>
      <c r="BK206" s="2" t="s">
        <v>74</v>
      </c>
      <c r="BL206" s="2" t="s">
        <v>74</v>
      </c>
      <c r="BM206" s="2" t="s">
        <v>74</v>
      </c>
      <c r="BN206" s="2" t="s">
        <v>74</v>
      </c>
      <c r="BO206" s="2" t="s">
        <v>74</v>
      </c>
      <c r="BP206" s="2" t="s">
        <v>74</v>
      </c>
      <c r="BQ206" s="2" t="s">
        <v>74</v>
      </c>
      <c r="BR206" s="2" t="s">
        <v>74</v>
      </c>
      <c r="BS206" s="2" t="s">
        <v>6415</v>
      </c>
      <c r="BT206" s="2" t="str">
        <f>HYPERLINK("https%3A%2F%2Fwww.webofscience.com%2Fwos%2Fwoscc%2Ffull-record%2FWOS:000238327200002","View Full Record in Web of Science")</f>
        <v>View Full Record in Web of Science</v>
      </c>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row>
    <row r="207" spans="1:314" s="2" customFormat="1" x14ac:dyDescent="0.4">
      <c r="A207" s="2" t="s">
        <v>72</v>
      </c>
      <c r="B207" s="2" t="s">
        <v>2473</v>
      </c>
      <c r="C207" s="2" t="s">
        <v>74</v>
      </c>
      <c r="D207" s="2" t="s">
        <v>74</v>
      </c>
      <c r="E207" s="2" t="s">
        <v>74</v>
      </c>
      <c r="F207" s="2" t="s">
        <v>2474</v>
      </c>
      <c r="G207" s="2" t="s">
        <v>74</v>
      </c>
      <c r="H207" s="2" t="s">
        <v>74</v>
      </c>
      <c r="I207" s="2" t="s">
        <v>2475</v>
      </c>
      <c r="J207" s="2" t="s">
        <v>333</v>
      </c>
      <c r="K207" s="2" t="s">
        <v>74</v>
      </c>
      <c r="L207" s="2" t="s">
        <v>74</v>
      </c>
      <c r="M207" s="2" t="s">
        <v>74</v>
      </c>
      <c r="N207" s="2" t="s">
        <v>74</v>
      </c>
      <c r="O207" s="2" t="s">
        <v>74</v>
      </c>
      <c r="P207" s="2" t="s">
        <v>74</v>
      </c>
      <c r="Q207" s="2" t="s">
        <v>74</v>
      </c>
      <c r="R207" s="2" t="s">
        <v>74</v>
      </c>
      <c r="S207" s="2" t="s">
        <v>74</v>
      </c>
      <c r="T207" s="2" t="s">
        <v>74</v>
      </c>
      <c r="U207" s="2" t="s">
        <v>74</v>
      </c>
      <c r="V207" s="5" t="s">
        <v>2476</v>
      </c>
      <c r="W207" s="2" t="s">
        <v>74</v>
      </c>
      <c r="X207" s="2" t="s">
        <v>74</v>
      </c>
      <c r="Y207" s="2" t="s">
        <v>74</v>
      </c>
      <c r="Z207" s="2" t="s">
        <v>74</v>
      </c>
      <c r="AA207" s="2" t="s">
        <v>2477</v>
      </c>
      <c r="AB207" s="2" t="s">
        <v>2478</v>
      </c>
      <c r="AC207" s="2" t="s">
        <v>74</v>
      </c>
      <c r="AD207" s="2" t="s">
        <v>74</v>
      </c>
      <c r="AE207" s="2" t="s">
        <v>74</v>
      </c>
      <c r="AF207" s="2" t="s">
        <v>74</v>
      </c>
      <c r="AG207" s="2" t="s">
        <v>74</v>
      </c>
      <c r="AH207" s="2" t="s">
        <v>74</v>
      </c>
      <c r="AI207" s="2" t="s">
        <v>74</v>
      </c>
      <c r="AJ207" s="2" t="s">
        <v>74</v>
      </c>
      <c r="AK207" s="2" t="s">
        <v>74</v>
      </c>
      <c r="AL207" s="2" t="s">
        <v>74</v>
      </c>
      <c r="AM207" s="2" t="s">
        <v>74</v>
      </c>
      <c r="AN207" s="2" t="s">
        <v>74</v>
      </c>
      <c r="AO207" s="2" t="s">
        <v>337</v>
      </c>
      <c r="AP207" s="2" t="s">
        <v>338</v>
      </c>
      <c r="AQ207" s="2" t="s">
        <v>74</v>
      </c>
      <c r="AR207" s="2" t="s">
        <v>74</v>
      </c>
      <c r="AS207" s="2" t="s">
        <v>74</v>
      </c>
      <c r="AT207" s="2" t="s">
        <v>1038</v>
      </c>
      <c r="AU207" s="2">
        <v>2019</v>
      </c>
      <c r="AV207" s="2">
        <v>30</v>
      </c>
      <c r="AW207" s="2">
        <v>2</v>
      </c>
      <c r="AX207" s="2" t="s">
        <v>74</v>
      </c>
      <c r="AY207" s="2" t="s">
        <v>74</v>
      </c>
      <c r="AZ207" s="2" t="s">
        <v>74</v>
      </c>
      <c r="BA207" s="2" t="s">
        <v>74</v>
      </c>
      <c r="BB207" s="2">
        <v>490</v>
      </c>
      <c r="BC207" s="2">
        <v>499</v>
      </c>
      <c r="BD207" s="2" t="s">
        <v>74</v>
      </c>
      <c r="BE207" s="2" t="s">
        <v>2479</v>
      </c>
      <c r="BF207" s="2" t="str">
        <f>HYPERLINK("http://dx.doi.org/10.1093/beheco/ary189","http://dx.doi.org/10.1093/beheco/ary189")</f>
        <v>http://dx.doi.org/10.1093/beheco/ary189</v>
      </c>
      <c r="BG207" s="2" t="s">
        <v>74</v>
      </c>
      <c r="BH207" s="2" t="s">
        <v>74</v>
      </c>
      <c r="BI207" s="2" t="s">
        <v>74</v>
      </c>
      <c r="BJ207" s="2" t="s">
        <v>74</v>
      </c>
      <c r="BK207" s="2" t="s">
        <v>74</v>
      </c>
      <c r="BL207" s="2" t="s">
        <v>74</v>
      </c>
      <c r="BM207" s="2" t="s">
        <v>74</v>
      </c>
      <c r="BN207" s="2" t="s">
        <v>74</v>
      </c>
      <c r="BO207" s="2" t="s">
        <v>74</v>
      </c>
      <c r="BP207" s="2" t="s">
        <v>74</v>
      </c>
      <c r="BQ207" s="2" t="s">
        <v>74</v>
      </c>
      <c r="BR207" s="2" t="s">
        <v>74</v>
      </c>
      <c r="BS207" s="2" t="s">
        <v>2480</v>
      </c>
      <c r="BT207" s="2" t="str">
        <f>HYPERLINK("https%3A%2F%2Fwww.webofscience.com%2Fwos%2Fwoscc%2Ffull-record%2FWOS:000464932900025","View Full Record in Web of Science")</f>
        <v>View Full Record in Web of Science</v>
      </c>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row>
    <row r="208" spans="1:314" s="2" customFormat="1" x14ac:dyDescent="0.4">
      <c r="A208" s="2" t="s">
        <v>72</v>
      </c>
      <c r="B208" s="2" t="s">
        <v>2155</v>
      </c>
      <c r="C208" s="2" t="s">
        <v>74</v>
      </c>
      <c r="D208" s="2" t="s">
        <v>74</v>
      </c>
      <c r="E208" s="2" t="s">
        <v>74</v>
      </c>
      <c r="F208" s="2" t="s">
        <v>2156</v>
      </c>
      <c r="G208" s="2" t="s">
        <v>74</v>
      </c>
      <c r="H208" s="2" t="s">
        <v>74</v>
      </c>
      <c r="I208" s="2" t="s">
        <v>2157</v>
      </c>
      <c r="J208" s="2" t="s">
        <v>1673</v>
      </c>
      <c r="K208" s="2" t="s">
        <v>74</v>
      </c>
      <c r="L208" s="2" t="s">
        <v>74</v>
      </c>
      <c r="M208" s="2" t="s">
        <v>74</v>
      </c>
      <c r="N208" s="2" t="s">
        <v>74</v>
      </c>
      <c r="O208" s="2" t="s">
        <v>74</v>
      </c>
      <c r="P208" s="2" t="s">
        <v>74</v>
      </c>
      <c r="Q208" s="2" t="s">
        <v>74</v>
      </c>
      <c r="R208" s="2" t="s">
        <v>74</v>
      </c>
      <c r="S208" s="2" t="s">
        <v>74</v>
      </c>
      <c r="T208" s="2" t="s">
        <v>74</v>
      </c>
      <c r="U208" s="2" t="s">
        <v>74</v>
      </c>
      <c r="V208" s="5" t="s">
        <v>2158</v>
      </c>
      <c r="W208" s="2" t="s">
        <v>74</v>
      </c>
      <c r="X208" s="2" t="s">
        <v>74</v>
      </c>
      <c r="Y208" s="2" t="s">
        <v>74</v>
      </c>
      <c r="Z208" s="2" t="s">
        <v>74</v>
      </c>
      <c r="AA208" s="2" t="s">
        <v>2159</v>
      </c>
      <c r="AB208" s="2" t="s">
        <v>2160</v>
      </c>
      <c r="AC208" s="2" t="s">
        <v>74</v>
      </c>
      <c r="AD208" s="2" t="s">
        <v>74</v>
      </c>
      <c r="AE208" s="2" t="s">
        <v>74</v>
      </c>
      <c r="AF208" s="2" t="s">
        <v>74</v>
      </c>
      <c r="AG208" s="2" t="s">
        <v>74</v>
      </c>
      <c r="AH208" s="2" t="s">
        <v>74</v>
      </c>
      <c r="AI208" s="2" t="s">
        <v>74</v>
      </c>
      <c r="AJ208" s="2" t="s">
        <v>74</v>
      </c>
      <c r="AK208" s="2" t="s">
        <v>74</v>
      </c>
      <c r="AL208" s="2" t="s">
        <v>74</v>
      </c>
      <c r="AM208" s="2" t="s">
        <v>74</v>
      </c>
      <c r="AN208" s="2" t="s">
        <v>74</v>
      </c>
      <c r="AO208" s="2" t="s">
        <v>1239</v>
      </c>
      <c r="AP208" s="2" t="s">
        <v>1675</v>
      </c>
      <c r="AQ208" s="2" t="s">
        <v>74</v>
      </c>
      <c r="AR208" s="2" t="s">
        <v>74</v>
      </c>
      <c r="AS208" s="2" t="s">
        <v>74</v>
      </c>
      <c r="AT208" s="2" t="s">
        <v>123</v>
      </c>
      <c r="AU208" s="2">
        <v>2017</v>
      </c>
      <c r="AV208" s="2">
        <v>95</v>
      </c>
      <c r="AW208" s="2">
        <v>3</v>
      </c>
      <c r="AX208" s="2" t="s">
        <v>74</v>
      </c>
      <c r="AY208" s="2" t="s">
        <v>74</v>
      </c>
      <c r="AZ208" s="2" t="s">
        <v>74</v>
      </c>
      <c r="BA208" s="2" t="s">
        <v>74</v>
      </c>
      <c r="BB208" s="2">
        <v>213</v>
      </c>
      <c r="BC208" s="2">
        <v>219</v>
      </c>
      <c r="BD208" s="2" t="s">
        <v>74</v>
      </c>
      <c r="BE208" s="2" t="s">
        <v>2161</v>
      </c>
      <c r="BF208" s="2" t="str">
        <f>HYPERLINK("http://dx.doi.org/10.1139/cjz-2016-0200","http://dx.doi.org/10.1139/cjz-2016-0200")</f>
        <v>http://dx.doi.org/10.1139/cjz-2016-0200</v>
      </c>
      <c r="BG208" s="2" t="s">
        <v>74</v>
      </c>
      <c r="BH208" s="2" t="s">
        <v>74</v>
      </c>
      <c r="BI208" s="2" t="s">
        <v>74</v>
      </c>
      <c r="BJ208" s="2" t="s">
        <v>74</v>
      </c>
      <c r="BK208" s="2" t="s">
        <v>74</v>
      </c>
      <c r="BL208" s="2" t="s">
        <v>74</v>
      </c>
      <c r="BM208" s="2" t="s">
        <v>74</v>
      </c>
      <c r="BN208" s="2" t="s">
        <v>74</v>
      </c>
      <c r="BO208" s="2" t="s">
        <v>74</v>
      </c>
      <c r="BP208" s="2" t="s">
        <v>74</v>
      </c>
      <c r="BQ208" s="2" t="s">
        <v>74</v>
      </c>
      <c r="BR208" s="2" t="s">
        <v>74</v>
      </c>
      <c r="BS208" s="2" t="s">
        <v>2162</v>
      </c>
      <c r="BT208" s="2" t="str">
        <f>HYPERLINK("https%3A%2F%2Fwww.webofscience.com%2Fwos%2Fwoscc%2Ffull-record%2FWOS:000398092400009","View Full Record in Web of Science")</f>
        <v>View Full Record in Web of Science</v>
      </c>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row>
    <row r="209" spans="1:314" s="2" customFormat="1" x14ac:dyDescent="0.4">
      <c r="A209" s="2" t="s">
        <v>72</v>
      </c>
      <c r="B209" s="2" t="s">
        <v>722</v>
      </c>
      <c r="C209" s="2" t="s">
        <v>74</v>
      </c>
      <c r="D209" s="2" t="s">
        <v>74</v>
      </c>
      <c r="E209" s="2" t="s">
        <v>74</v>
      </c>
      <c r="F209" s="2" t="s">
        <v>722</v>
      </c>
      <c r="G209" s="2" t="s">
        <v>74</v>
      </c>
      <c r="H209" s="2" t="s">
        <v>74</v>
      </c>
      <c r="I209" s="2" t="s">
        <v>723</v>
      </c>
      <c r="J209" s="2" t="s">
        <v>140</v>
      </c>
      <c r="K209" s="2" t="s">
        <v>74</v>
      </c>
      <c r="L209" s="2" t="s">
        <v>74</v>
      </c>
      <c r="M209" s="2" t="s">
        <v>74</v>
      </c>
      <c r="N209" s="2" t="s">
        <v>74</v>
      </c>
      <c r="O209" s="2" t="s">
        <v>74</v>
      </c>
      <c r="P209" s="2" t="s">
        <v>74</v>
      </c>
      <c r="Q209" s="2" t="s">
        <v>74</v>
      </c>
      <c r="R209" s="2" t="s">
        <v>74</v>
      </c>
      <c r="S209" s="2" t="s">
        <v>74</v>
      </c>
      <c r="T209" s="2" t="s">
        <v>74</v>
      </c>
      <c r="U209" s="2" t="s">
        <v>74</v>
      </c>
      <c r="V209" s="5" t="s">
        <v>724</v>
      </c>
      <c r="W209" s="2" t="s">
        <v>74</v>
      </c>
      <c r="X209" s="2" t="s">
        <v>74</v>
      </c>
      <c r="Y209" s="2" t="s">
        <v>74</v>
      </c>
      <c r="Z209" s="2" t="s">
        <v>74</v>
      </c>
      <c r="AA209" s="2" t="s">
        <v>725</v>
      </c>
      <c r="AB209" s="2" t="s">
        <v>74</v>
      </c>
      <c r="AC209" s="2" t="s">
        <v>74</v>
      </c>
      <c r="AD209" s="2" t="s">
        <v>74</v>
      </c>
      <c r="AE209" s="2" t="s">
        <v>74</v>
      </c>
      <c r="AF209" s="2" t="s">
        <v>74</v>
      </c>
      <c r="AG209" s="2" t="s">
        <v>74</v>
      </c>
      <c r="AH209" s="2" t="s">
        <v>74</v>
      </c>
      <c r="AI209" s="2" t="s">
        <v>74</v>
      </c>
      <c r="AJ209" s="2" t="s">
        <v>74</v>
      </c>
      <c r="AK209" s="2" t="s">
        <v>74</v>
      </c>
      <c r="AL209" s="2" t="s">
        <v>74</v>
      </c>
      <c r="AM209" s="2" t="s">
        <v>74</v>
      </c>
      <c r="AN209" s="2" t="s">
        <v>74</v>
      </c>
      <c r="AO209" s="2" t="s">
        <v>143</v>
      </c>
      <c r="AP209" s="2" t="s">
        <v>144</v>
      </c>
      <c r="AQ209" s="2" t="s">
        <v>74</v>
      </c>
      <c r="AR209" s="2" t="s">
        <v>74</v>
      </c>
      <c r="AS209" s="2" t="s">
        <v>74</v>
      </c>
      <c r="AT209" s="2" t="s">
        <v>74</v>
      </c>
      <c r="AU209" s="2">
        <v>1979</v>
      </c>
      <c r="AV209" s="2">
        <v>27</v>
      </c>
      <c r="AW209" s="2" t="s">
        <v>134</v>
      </c>
      <c r="AX209" s="2" t="s">
        <v>74</v>
      </c>
      <c r="AY209" s="2" t="s">
        <v>74</v>
      </c>
      <c r="AZ209" s="2" t="s">
        <v>74</v>
      </c>
      <c r="BA209" s="2" t="s">
        <v>74</v>
      </c>
      <c r="BB209" s="2">
        <v>553</v>
      </c>
      <c r="BC209" s="2" t="s">
        <v>726</v>
      </c>
      <c r="BD209" s="2" t="s">
        <v>74</v>
      </c>
      <c r="BE209" s="2" t="s">
        <v>727</v>
      </c>
      <c r="BF209" s="2" t="str">
        <f>HYPERLINK("http://dx.doi.org/10.1016/0003-3472(79)90190-8","http://dx.doi.org/10.1016/0003-3472(79)90190-8")</f>
        <v>http://dx.doi.org/10.1016/0003-3472(79)90190-8</v>
      </c>
      <c r="BG209" s="2" t="s">
        <v>74</v>
      </c>
      <c r="BH209" s="2" t="s">
        <v>74</v>
      </c>
      <c r="BI209" s="2" t="s">
        <v>74</v>
      </c>
      <c r="BJ209" s="2" t="s">
        <v>74</v>
      </c>
      <c r="BK209" s="2" t="s">
        <v>74</v>
      </c>
      <c r="BL209" s="2" t="s">
        <v>74</v>
      </c>
      <c r="BM209" s="2" t="s">
        <v>74</v>
      </c>
      <c r="BN209" s="2" t="s">
        <v>74</v>
      </c>
      <c r="BO209" s="2" t="s">
        <v>74</v>
      </c>
      <c r="BP209" s="2" t="s">
        <v>74</v>
      </c>
      <c r="BQ209" s="2" t="s">
        <v>74</v>
      </c>
      <c r="BR209" s="2" t="s">
        <v>74</v>
      </c>
      <c r="BS209" s="2" t="s">
        <v>728</v>
      </c>
      <c r="BT209" s="2" t="str">
        <f>HYPERLINK("https%3A%2F%2Fwww.webofscience.com%2Fwos%2Fwoscc%2Ffull-record%2FWOS:A1979HE66900025","View Full Record in Web of Science")</f>
        <v>View Full Record in Web of Science</v>
      </c>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row>
    <row r="210" spans="1:314" s="2" customFormat="1" x14ac:dyDescent="0.4">
      <c r="A210" s="2" t="s">
        <v>72</v>
      </c>
      <c r="B210" s="2" t="s">
        <v>3603</v>
      </c>
      <c r="C210" s="2" t="s">
        <v>74</v>
      </c>
      <c r="D210" s="2" t="s">
        <v>74</v>
      </c>
      <c r="E210" s="2" t="s">
        <v>74</v>
      </c>
      <c r="F210" s="2" t="s">
        <v>3603</v>
      </c>
      <c r="G210" s="2" t="s">
        <v>74</v>
      </c>
      <c r="H210" s="2" t="s">
        <v>74</v>
      </c>
      <c r="I210" s="2" t="s">
        <v>3604</v>
      </c>
      <c r="J210" s="2" t="s">
        <v>3605</v>
      </c>
      <c r="K210" s="2" t="s">
        <v>74</v>
      </c>
      <c r="L210" s="2" t="s">
        <v>74</v>
      </c>
      <c r="M210" s="2" t="s">
        <v>74</v>
      </c>
      <c r="N210" s="2" t="s">
        <v>74</v>
      </c>
      <c r="O210" s="2" t="s">
        <v>74</v>
      </c>
      <c r="P210" s="2" t="s">
        <v>74</v>
      </c>
      <c r="Q210" s="2" t="s">
        <v>74</v>
      </c>
      <c r="R210" s="2" t="s">
        <v>74</v>
      </c>
      <c r="S210" s="2" t="s">
        <v>74</v>
      </c>
      <c r="T210" s="2" t="s">
        <v>74</v>
      </c>
      <c r="U210" s="2" t="s">
        <v>74</v>
      </c>
      <c r="V210" s="5" t="s">
        <v>3606</v>
      </c>
      <c r="W210" s="2" t="s">
        <v>74</v>
      </c>
      <c r="X210" s="2" t="s">
        <v>74</v>
      </c>
      <c r="Y210" s="2" t="s">
        <v>74</v>
      </c>
      <c r="Z210" s="2" t="s">
        <v>74</v>
      </c>
      <c r="AA210" s="2" t="s">
        <v>74</v>
      </c>
      <c r="AB210" s="2" t="s">
        <v>74</v>
      </c>
      <c r="AC210" s="2" t="s">
        <v>74</v>
      </c>
      <c r="AD210" s="2" t="s">
        <v>74</v>
      </c>
      <c r="AE210" s="2" t="s">
        <v>74</v>
      </c>
      <c r="AF210" s="2" t="s">
        <v>74</v>
      </c>
      <c r="AG210" s="2" t="s">
        <v>74</v>
      </c>
      <c r="AH210" s="2" t="s">
        <v>74</v>
      </c>
      <c r="AI210" s="2" t="s">
        <v>74</v>
      </c>
      <c r="AJ210" s="2" t="s">
        <v>74</v>
      </c>
      <c r="AK210" s="2" t="s">
        <v>74</v>
      </c>
      <c r="AL210" s="2" t="s">
        <v>74</v>
      </c>
      <c r="AM210" s="2" t="s">
        <v>74</v>
      </c>
      <c r="AN210" s="2" t="s">
        <v>74</v>
      </c>
      <c r="AO210" s="2" t="s">
        <v>3607</v>
      </c>
      <c r="AP210" s="2" t="s">
        <v>3608</v>
      </c>
      <c r="AQ210" s="2" t="s">
        <v>74</v>
      </c>
      <c r="AR210" s="2" t="s">
        <v>74</v>
      </c>
      <c r="AS210" s="2" t="s">
        <v>74</v>
      </c>
      <c r="AT210" s="2" t="s">
        <v>134</v>
      </c>
      <c r="AU210" s="2">
        <v>1989</v>
      </c>
      <c r="AV210" s="2">
        <v>69</v>
      </c>
      <c r="AW210" s="2">
        <v>2</v>
      </c>
      <c r="AX210" s="2" t="s">
        <v>74</v>
      </c>
      <c r="AY210" s="2" t="s">
        <v>74</v>
      </c>
      <c r="AZ210" s="2" t="s">
        <v>74</v>
      </c>
      <c r="BA210" s="2" t="s">
        <v>74</v>
      </c>
      <c r="BB210" s="2">
        <v>273</v>
      </c>
      <c r="BC210" s="2">
        <v>278</v>
      </c>
      <c r="BD210" s="2" t="s">
        <v>74</v>
      </c>
      <c r="BE210" s="2" t="s">
        <v>3609</v>
      </c>
      <c r="BF210" s="2" t="str">
        <f>HYPERLINK("http://dx.doi.org/10.1017/S0025315400029398","http://dx.doi.org/10.1017/S0025315400029398")</f>
        <v>http://dx.doi.org/10.1017/S0025315400029398</v>
      </c>
      <c r="BG210" s="2" t="s">
        <v>74</v>
      </c>
      <c r="BH210" s="2" t="s">
        <v>74</v>
      </c>
      <c r="BI210" s="2" t="s">
        <v>74</v>
      </c>
      <c r="BJ210" s="2" t="s">
        <v>74</v>
      </c>
      <c r="BK210" s="2" t="s">
        <v>74</v>
      </c>
      <c r="BL210" s="2" t="s">
        <v>74</v>
      </c>
      <c r="BM210" s="2" t="s">
        <v>74</v>
      </c>
      <c r="BN210" s="2" t="s">
        <v>74</v>
      </c>
      <c r="BO210" s="2" t="s">
        <v>74</v>
      </c>
      <c r="BP210" s="2" t="s">
        <v>74</v>
      </c>
      <c r="BQ210" s="2" t="s">
        <v>74</v>
      </c>
      <c r="BR210" s="2" t="s">
        <v>74</v>
      </c>
      <c r="BS210" s="2" t="s">
        <v>3610</v>
      </c>
      <c r="BT210" s="2" t="str">
        <f>HYPERLINK("https%3A%2F%2Fwww.webofscience.com%2Fwos%2Fwoscc%2Ffull-record%2FWOS:A1989AD16200003","View Full Record in Web of Science")</f>
        <v>View Full Record in Web of Science</v>
      </c>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row>
    <row r="211" spans="1:314" s="2" customFormat="1" x14ac:dyDescent="0.4">
      <c r="A211" s="2" t="s">
        <v>72</v>
      </c>
      <c r="B211" s="2" t="s">
        <v>950</v>
      </c>
      <c r="C211" s="2" t="s">
        <v>74</v>
      </c>
      <c r="D211" s="2" t="s">
        <v>74</v>
      </c>
      <c r="E211" s="2" t="s">
        <v>74</v>
      </c>
      <c r="F211" s="2" t="s">
        <v>950</v>
      </c>
      <c r="G211" s="2" t="s">
        <v>74</v>
      </c>
      <c r="H211" s="2" t="s">
        <v>74</v>
      </c>
      <c r="I211" s="2" t="s">
        <v>951</v>
      </c>
      <c r="J211" s="2" t="s">
        <v>192</v>
      </c>
      <c r="K211" s="2" t="s">
        <v>74</v>
      </c>
      <c r="L211" s="2" t="s">
        <v>74</v>
      </c>
      <c r="M211" s="2" t="s">
        <v>74</v>
      </c>
      <c r="N211" s="2" t="s">
        <v>74</v>
      </c>
      <c r="O211" s="2" t="s">
        <v>952</v>
      </c>
      <c r="P211" s="2" t="s">
        <v>953</v>
      </c>
      <c r="Q211" s="2" t="s">
        <v>954</v>
      </c>
      <c r="R211" s="2" t="s">
        <v>74</v>
      </c>
      <c r="S211" s="2" t="s">
        <v>955</v>
      </c>
      <c r="T211" s="2" t="s">
        <v>74</v>
      </c>
      <c r="U211" s="2" t="s">
        <v>74</v>
      </c>
      <c r="V211" s="5" t="s">
        <v>956</v>
      </c>
      <c r="W211" s="2" t="s">
        <v>74</v>
      </c>
      <c r="X211" s="2" t="s">
        <v>74</v>
      </c>
      <c r="Y211" s="2" t="s">
        <v>74</v>
      </c>
      <c r="Z211" s="2" t="s">
        <v>74</v>
      </c>
      <c r="AA211" s="2" t="s">
        <v>74</v>
      </c>
      <c r="AB211" s="2" t="s">
        <v>74</v>
      </c>
      <c r="AC211" s="2" t="s">
        <v>74</v>
      </c>
      <c r="AD211" s="2" t="s">
        <v>74</v>
      </c>
      <c r="AE211" s="2" t="s">
        <v>74</v>
      </c>
      <c r="AF211" s="2" t="s">
        <v>74</v>
      </c>
      <c r="AG211" s="2" t="s">
        <v>74</v>
      </c>
      <c r="AH211" s="2" t="s">
        <v>74</v>
      </c>
      <c r="AI211" s="2" t="s">
        <v>74</v>
      </c>
      <c r="AJ211" s="2" t="s">
        <v>74</v>
      </c>
      <c r="AK211" s="2" t="s">
        <v>74</v>
      </c>
      <c r="AL211" s="2" t="s">
        <v>74</v>
      </c>
      <c r="AM211" s="2" t="s">
        <v>74</v>
      </c>
      <c r="AN211" s="2" t="s">
        <v>74</v>
      </c>
      <c r="AO211" s="2" t="s">
        <v>195</v>
      </c>
      <c r="AP211" s="2" t="s">
        <v>74</v>
      </c>
      <c r="AQ211" s="2" t="s">
        <v>74</v>
      </c>
      <c r="AR211" s="2" t="s">
        <v>74</v>
      </c>
      <c r="AS211" s="2" t="s">
        <v>74</v>
      </c>
      <c r="AT211" s="2" t="s">
        <v>957</v>
      </c>
      <c r="AU211" s="2">
        <v>1991</v>
      </c>
      <c r="AV211" s="2">
        <v>216</v>
      </c>
      <c r="AW211" s="2" t="s">
        <v>74</v>
      </c>
      <c r="AX211" s="2" t="s">
        <v>74</v>
      </c>
      <c r="AY211" s="2" t="s">
        <v>74</v>
      </c>
      <c r="AZ211" s="2" t="s">
        <v>74</v>
      </c>
      <c r="BA211" s="2" t="s">
        <v>74</v>
      </c>
      <c r="BB211" s="2">
        <v>533</v>
      </c>
      <c r="BC211" s="2">
        <v>537</v>
      </c>
      <c r="BD211" s="2" t="s">
        <v>74</v>
      </c>
      <c r="BE211" s="2" t="s">
        <v>958</v>
      </c>
      <c r="BF211" s="2" t="str">
        <f>HYPERLINK("http://dx.doi.org/10.1007/BF00026510","http://dx.doi.org/10.1007/BF00026510")</f>
        <v>http://dx.doi.org/10.1007/BF00026510</v>
      </c>
      <c r="BG211" s="2" t="s">
        <v>74</v>
      </c>
      <c r="BH211" s="2" t="s">
        <v>74</v>
      </c>
      <c r="BI211" s="2" t="s">
        <v>74</v>
      </c>
      <c r="BJ211" s="2" t="s">
        <v>74</v>
      </c>
      <c r="BK211" s="2" t="s">
        <v>74</v>
      </c>
      <c r="BL211" s="2" t="s">
        <v>74</v>
      </c>
      <c r="BM211" s="2" t="s">
        <v>74</v>
      </c>
      <c r="BN211" s="2" t="s">
        <v>74</v>
      </c>
      <c r="BO211" s="2" t="s">
        <v>74</v>
      </c>
      <c r="BP211" s="2" t="s">
        <v>74</v>
      </c>
      <c r="BQ211" s="2" t="s">
        <v>74</v>
      </c>
      <c r="BR211" s="2" t="s">
        <v>74</v>
      </c>
      <c r="BS211" s="2" t="s">
        <v>959</v>
      </c>
      <c r="BT211" s="2" t="str">
        <f>HYPERLINK("https%3A%2F%2Fwww.webofscience.com%2Fwos%2Fwoscc%2Ffull-record%2FWOS:A1991GP24400079","View Full Record in Web of Science")</f>
        <v>View Full Record in Web of Science</v>
      </c>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row>
    <row r="212" spans="1:314" s="2" customFormat="1" x14ac:dyDescent="0.4">
      <c r="A212" s="2" t="s">
        <v>6684</v>
      </c>
      <c r="B212" s="2" t="s">
        <v>6685</v>
      </c>
      <c r="C212" s="2" t="s">
        <v>74</v>
      </c>
      <c r="D212" s="2" t="s">
        <v>6686</v>
      </c>
      <c r="E212" s="2" t="s">
        <v>74</v>
      </c>
      <c r="F212" s="2" t="s">
        <v>6685</v>
      </c>
      <c r="G212" s="2" t="s">
        <v>74</v>
      </c>
      <c r="H212" s="2" t="s">
        <v>74</v>
      </c>
      <c r="I212" s="2" t="s">
        <v>6687</v>
      </c>
      <c r="J212" s="2" t="s">
        <v>6688</v>
      </c>
      <c r="K212" s="2" t="s">
        <v>6689</v>
      </c>
      <c r="L212" s="2" t="s">
        <v>74</v>
      </c>
      <c r="M212" s="2" t="s">
        <v>74</v>
      </c>
      <c r="N212" s="2" t="s">
        <v>74</v>
      </c>
      <c r="O212" s="2" t="s">
        <v>6690</v>
      </c>
      <c r="P212" s="2" t="s">
        <v>6691</v>
      </c>
      <c r="Q212" s="2" t="s">
        <v>6692</v>
      </c>
      <c r="R212" s="2" t="s">
        <v>6693</v>
      </c>
      <c r="S212" s="2" t="s">
        <v>74</v>
      </c>
      <c r="T212" s="2" t="s">
        <v>74</v>
      </c>
      <c r="U212" s="2" t="s">
        <v>74</v>
      </c>
      <c r="V212" s="5" t="s">
        <v>6694</v>
      </c>
      <c r="W212" s="2" t="s">
        <v>74</v>
      </c>
      <c r="X212" s="2" t="s">
        <v>74</v>
      </c>
      <c r="Y212" s="2" t="s">
        <v>74</v>
      </c>
      <c r="Z212" s="2" t="s">
        <v>74</v>
      </c>
      <c r="AA212" s="2" t="s">
        <v>74</v>
      </c>
      <c r="AB212" s="2" t="s">
        <v>74</v>
      </c>
      <c r="AC212" s="2" t="s">
        <v>74</v>
      </c>
      <c r="AD212" s="2" t="s">
        <v>74</v>
      </c>
      <c r="AE212" s="2" t="s">
        <v>74</v>
      </c>
      <c r="AF212" s="2" t="s">
        <v>74</v>
      </c>
      <c r="AG212" s="2" t="s">
        <v>74</v>
      </c>
      <c r="AH212" s="2" t="s">
        <v>74</v>
      </c>
      <c r="AI212" s="2" t="s">
        <v>74</v>
      </c>
      <c r="AJ212" s="2" t="s">
        <v>74</v>
      </c>
      <c r="AK212" s="2" t="s">
        <v>74</v>
      </c>
      <c r="AL212" s="2" t="s">
        <v>74</v>
      </c>
      <c r="AM212" s="2" t="s">
        <v>74</v>
      </c>
      <c r="AN212" s="2" t="s">
        <v>74</v>
      </c>
      <c r="AO212" s="2" t="s">
        <v>6695</v>
      </c>
      <c r="AP212" s="2" t="s">
        <v>74</v>
      </c>
      <c r="AQ212" s="2" t="s">
        <v>6696</v>
      </c>
      <c r="AR212" s="2" t="s">
        <v>74</v>
      </c>
      <c r="AS212" s="2" t="s">
        <v>74</v>
      </c>
      <c r="AT212" s="2" t="s">
        <v>74</v>
      </c>
      <c r="AU212" s="2">
        <v>2004</v>
      </c>
      <c r="AV212" s="2">
        <v>1036</v>
      </c>
      <c r="AW212" s="2" t="s">
        <v>74</v>
      </c>
      <c r="AX212" s="2" t="s">
        <v>74</v>
      </c>
      <c r="AY212" s="2" t="s">
        <v>74</v>
      </c>
      <c r="AZ212" s="2" t="s">
        <v>74</v>
      </c>
      <c r="BA212" s="2" t="s">
        <v>74</v>
      </c>
      <c r="BB212" s="2">
        <v>85</v>
      </c>
      <c r="BC212" s="2">
        <v>105</v>
      </c>
      <c r="BD212" s="2" t="s">
        <v>74</v>
      </c>
      <c r="BE212" s="2" t="s">
        <v>6697</v>
      </c>
      <c r="BF212" s="2" t="str">
        <f>HYPERLINK("http://dx.doi.org/10.1196/annals.1330.005","http://dx.doi.org/10.1196/annals.1330.005")</f>
        <v>http://dx.doi.org/10.1196/annals.1330.005</v>
      </c>
      <c r="BG212" s="2" t="s">
        <v>74</v>
      </c>
      <c r="BH212" s="2" t="s">
        <v>74</v>
      </c>
      <c r="BI212" s="2" t="s">
        <v>74</v>
      </c>
      <c r="BJ212" s="2" t="s">
        <v>74</v>
      </c>
      <c r="BK212" s="2" t="s">
        <v>74</v>
      </c>
      <c r="BL212" s="2" t="s">
        <v>74</v>
      </c>
      <c r="BM212" s="2" t="s">
        <v>74</v>
      </c>
      <c r="BN212" s="2">
        <v>15817732</v>
      </c>
      <c r="BO212" s="2" t="s">
        <v>74</v>
      </c>
      <c r="BP212" s="2" t="s">
        <v>74</v>
      </c>
      <c r="BQ212" s="2" t="s">
        <v>74</v>
      </c>
      <c r="BR212" s="2" t="s">
        <v>74</v>
      </c>
      <c r="BS212" s="2" t="s">
        <v>6698</v>
      </c>
      <c r="BT212" s="2" t="str">
        <f>HYPERLINK("https%3A%2F%2Fwww.webofscience.com%2Fwos%2Fwoscc%2Ffull-record%2FWOS:000229993700006","View Full Record in Web of Science")</f>
        <v>View Full Record in Web of Science</v>
      </c>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row>
    <row r="213" spans="1:314" s="2" customFormat="1" x14ac:dyDescent="0.4">
      <c r="A213" s="2" t="s">
        <v>72</v>
      </c>
      <c r="B213" s="2" t="s">
        <v>4270</v>
      </c>
      <c r="C213" s="2" t="s">
        <v>74</v>
      </c>
      <c r="D213" s="2" t="s">
        <v>74</v>
      </c>
      <c r="E213" s="2" t="s">
        <v>74</v>
      </c>
      <c r="F213" s="2" t="s">
        <v>4270</v>
      </c>
      <c r="G213" s="2" t="s">
        <v>74</v>
      </c>
      <c r="H213" s="2" t="s">
        <v>74</v>
      </c>
      <c r="I213" s="2" t="s">
        <v>4271</v>
      </c>
      <c r="J213" s="2" t="s">
        <v>1112</v>
      </c>
      <c r="K213" s="2" t="s">
        <v>74</v>
      </c>
      <c r="L213" s="2" t="s">
        <v>74</v>
      </c>
      <c r="M213" s="2" t="s">
        <v>74</v>
      </c>
      <c r="N213" s="2" t="s">
        <v>74</v>
      </c>
      <c r="O213" s="2" t="s">
        <v>74</v>
      </c>
      <c r="P213" s="2" t="s">
        <v>74</v>
      </c>
      <c r="Q213" s="2" t="s">
        <v>74</v>
      </c>
      <c r="R213" s="2" t="s">
        <v>74</v>
      </c>
      <c r="S213" s="2" t="s">
        <v>74</v>
      </c>
      <c r="T213" s="2" t="s">
        <v>74</v>
      </c>
      <c r="U213" s="2" t="s">
        <v>74</v>
      </c>
      <c r="V213" s="5" t="s">
        <v>4272</v>
      </c>
      <c r="W213" s="2" t="s">
        <v>74</v>
      </c>
      <c r="X213" s="2" t="s">
        <v>74</v>
      </c>
      <c r="Y213" s="2" t="s">
        <v>74</v>
      </c>
      <c r="Z213" s="2" t="s">
        <v>74</v>
      </c>
      <c r="AA213" s="2" t="s">
        <v>74</v>
      </c>
      <c r="AB213" s="2" t="s">
        <v>74</v>
      </c>
      <c r="AC213" s="2" t="s">
        <v>74</v>
      </c>
      <c r="AD213" s="2" t="s">
        <v>74</v>
      </c>
      <c r="AE213" s="2" t="s">
        <v>74</v>
      </c>
      <c r="AF213" s="2" t="s">
        <v>74</v>
      </c>
      <c r="AG213" s="2" t="s">
        <v>74</v>
      </c>
      <c r="AH213" s="2" t="s">
        <v>74</v>
      </c>
      <c r="AI213" s="2" t="s">
        <v>74</v>
      </c>
      <c r="AJ213" s="2" t="s">
        <v>74</v>
      </c>
      <c r="AK213" s="2" t="s">
        <v>74</v>
      </c>
      <c r="AL213" s="2" t="s">
        <v>74</v>
      </c>
      <c r="AM213" s="2" t="s">
        <v>74</v>
      </c>
      <c r="AN213" s="2" t="s">
        <v>74</v>
      </c>
      <c r="AO213" s="2" t="s">
        <v>1114</v>
      </c>
      <c r="AP213" s="2" t="s">
        <v>74</v>
      </c>
      <c r="AQ213" s="2" t="s">
        <v>74</v>
      </c>
      <c r="AR213" s="2" t="s">
        <v>74</v>
      </c>
      <c r="AS213" s="2" t="s">
        <v>74</v>
      </c>
      <c r="AT213" s="2" t="s">
        <v>352</v>
      </c>
      <c r="AU213" s="2">
        <v>1992</v>
      </c>
      <c r="AV213" s="2">
        <v>34</v>
      </c>
      <c r="AW213" s="2">
        <v>4</v>
      </c>
      <c r="AX213" s="2" t="s">
        <v>74</v>
      </c>
      <c r="AY213" s="2" t="s">
        <v>74</v>
      </c>
      <c r="AZ213" s="2" t="s">
        <v>74</v>
      </c>
      <c r="BA213" s="2" t="s">
        <v>74</v>
      </c>
      <c r="BB213" s="2">
        <v>359</v>
      </c>
      <c r="BC213" s="2">
        <v>363</v>
      </c>
      <c r="BD213" s="2" t="s">
        <v>74</v>
      </c>
      <c r="BE213" s="2" t="s">
        <v>4273</v>
      </c>
      <c r="BF213" s="2" t="str">
        <f>HYPERLINK("http://dx.doi.org/10.1016/S0168-1591(05)80095-4","http://dx.doi.org/10.1016/S0168-1591(05)80095-4")</f>
        <v>http://dx.doi.org/10.1016/S0168-1591(05)80095-4</v>
      </c>
      <c r="BG213" s="2" t="s">
        <v>74</v>
      </c>
      <c r="BH213" s="2" t="s">
        <v>74</v>
      </c>
      <c r="BI213" s="2" t="s">
        <v>74</v>
      </c>
      <c r="BJ213" s="2" t="s">
        <v>74</v>
      </c>
      <c r="BK213" s="2" t="s">
        <v>74</v>
      </c>
      <c r="BL213" s="2" t="s">
        <v>74</v>
      </c>
      <c r="BM213" s="2" t="s">
        <v>74</v>
      </c>
      <c r="BN213" s="2" t="s">
        <v>74</v>
      </c>
      <c r="BO213" s="2" t="s">
        <v>74</v>
      </c>
      <c r="BP213" s="2" t="s">
        <v>74</v>
      </c>
      <c r="BQ213" s="2" t="s">
        <v>74</v>
      </c>
      <c r="BR213" s="2" t="s">
        <v>74</v>
      </c>
      <c r="BS213" s="2" t="s">
        <v>4274</v>
      </c>
      <c r="BT213" s="2" t="str">
        <f>HYPERLINK("https%3A%2F%2Fwww.webofscience.com%2Fwos%2Fwoscc%2Ffull-record%2FWOS:A1992JL53300007","View Full Record in Web of Science")</f>
        <v>View Full Record in Web of Science</v>
      </c>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row>
    <row r="214" spans="1:314" s="2" customFormat="1" x14ac:dyDescent="0.4">
      <c r="A214" s="2" t="s">
        <v>72</v>
      </c>
      <c r="B214" s="2" t="s">
        <v>3879</v>
      </c>
      <c r="C214" s="2" t="s">
        <v>74</v>
      </c>
      <c r="D214" s="2" t="s">
        <v>74</v>
      </c>
      <c r="E214" s="2" t="s">
        <v>74</v>
      </c>
      <c r="F214" s="2" t="s">
        <v>3879</v>
      </c>
      <c r="G214" s="2" t="s">
        <v>74</v>
      </c>
      <c r="H214" s="2" t="s">
        <v>74</v>
      </c>
      <c r="I214" s="2" t="s">
        <v>3880</v>
      </c>
      <c r="J214" s="2" t="s">
        <v>129</v>
      </c>
      <c r="K214" s="2" t="s">
        <v>74</v>
      </c>
      <c r="L214" s="2" t="s">
        <v>74</v>
      </c>
      <c r="M214" s="2" t="s">
        <v>74</v>
      </c>
      <c r="N214" s="2" t="s">
        <v>74</v>
      </c>
      <c r="O214" s="2" t="s">
        <v>74</v>
      </c>
      <c r="P214" s="2" t="s">
        <v>74</v>
      </c>
      <c r="Q214" s="2" t="s">
        <v>74</v>
      </c>
      <c r="R214" s="2" t="s">
        <v>74</v>
      </c>
      <c r="S214" s="2" t="s">
        <v>74</v>
      </c>
      <c r="T214" s="2" t="s">
        <v>74</v>
      </c>
      <c r="U214" s="2" t="s">
        <v>74</v>
      </c>
      <c r="V214" s="5" t="s">
        <v>3881</v>
      </c>
      <c r="W214" s="2" t="s">
        <v>74</v>
      </c>
      <c r="X214" s="2" t="s">
        <v>74</v>
      </c>
      <c r="Y214" s="2" t="s">
        <v>74</v>
      </c>
      <c r="Z214" s="2" t="s">
        <v>74</v>
      </c>
      <c r="AA214" s="2" t="s">
        <v>3882</v>
      </c>
      <c r="AB214" s="2" t="s">
        <v>3883</v>
      </c>
      <c r="AC214" s="2" t="s">
        <v>74</v>
      </c>
      <c r="AD214" s="2" t="s">
        <v>74</v>
      </c>
      <c r="AE214" s="2" t="s">
        <v>74</v>
      </c>
      <c r="AF214" s="2" t="s">
        <v>74</v>
      </c>
      <c r="AG214" s="2" t="s">
        <v>74</v>
      </c>
      <c r="AH214" s="2" t="s">
        <v>74</v>
      </c>
      <c r="AI214" s="2" t="s">
        <v>74</v>
      </c>
      <c r="AJ214" s="2" t="s">
        <v>74</v>
      </c>
      <c r="AK214" s="2" t="s">
        <v>74</v>
      </c>
      <c r="AL214" s="2" t="s">
        <v>74</v>
      </c>
      <c r="AM214" s="2" t="s">
        <v>74</v>
      </c>
      <c r="AN214" s="2" t="s">
        <v>74</v>
      </c>
      <c r="AO214" s="2" t="s">
        <v>132</v>
      </c>
      <c r="AP214" s="2" t="s">
        <v>74</v>
      </c>
      <c r="AQ214" s="2" t="s">
        <v>74</v>
      </c>
      <c r="AR214" s="2" t="s">
        <v>74</v>
      </c>
      <c r="AS214" s="2" t="s">
        <v>74</v>
      </c>
      <c r="AT214" s="2" t="s">
        <v>134</v>
      </c>
      <c r="AU214" s="2">
        <v>2000</v>
      </c>
      <c r="AV214" s="2">
        <v>47</v>
      </c>
      <c r="AW214" s="2">
        <v>6</v>
      </c>
      <c r="AX214" s="2" t="s">
        <v>74</v>
      </c>
      <c r="AY214" s="2" t="s">
        <v>74</v>
      </c>
      <c r="AZ214" s="2" t="s">
        <v>74</v>
      </c>
      <c r="BA214" s="2" t="s">
        <v>74</v>
      </c>
      <c r="BB214" s="2">
        <v>413</v>
      </c>
      <c r="BC214" s="2">
        <v>416</v>
      </c>
      <c r="BD214" s="2" t="s">
        <v>74</v>
      </c>
      <c r="BE214" s="2" t="s">
        <v>3884</v>
      </c>
      <c r="BF214" s="2" t="str">
        <f>HYPERLINK("http://dx.doi.org/10.1007/s002650050684","http://dx.doi.org/10.1007/s002650050684")</f>
        <v>http://dx.doi.org/10.1007/s002650050684</v>
      </c>
      <c r="BG214" s="2" t="s">
        <v>74</v>
      </c>
      <c r="BH214" s="2" t="s">
        <v>74</v>
      </c>
      <c r="BI214" s="2" t="s">
        <v>74</v>
      </c>
      <c r="BJ214" s="2" t="s">
        <v>74</v>
      </c>
      <c r="BK214" s="2" t="s">
        <v>74</v>
      </c>
      <c r="BL214" s="2" t="s">
        <v>74</v>
      </c>
      <c r="BM214" s="2" t="s">
        <v>74</v>
      </c>
      <c r="BN214" s="2" t="s">
        <v>74</v>
      </c>
      <c r="BO214" s="2" t="s">
        <v>74</v>
      </c>
      <c r="BP214" s="2" t="s">
        <v>74</v>
      </c>
      <c r="BQ214" s="2" t="s">
        <v>74</v>
      </c>
      <c r="BR214" s="2" t="s">
        <v>74</v>
      </c>
      <c r="BS214" s="2" t="s">
        <v>3885</v>
      </c>
      <c r="BT214" s="2" t="str">
        <f>HYPERLINK("https%3A%2F%2Fwww.webofscience.com%2Fwos%2Fwoscc%2Ffull-record%2FWOS:000087531600006","View Full Record in Web of Science")</f>
        <v>View Full Record in Web of Science</v>
      </c>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row>
    <row r="215" spans="1:314" s="2" customFormat="1" x14ac:dyDescent="0.4">
      <c r="A215" s="2" t="s">
        <v>72</v>
      </c>
      <c r="B215" s="2" t="s">
        <v>7865</v>
      </c>
      <c r="C215" s="2" t="s">
        <v>74</v>
      </c>
      <c r="D215" s="2" t="s">
        <v>74</v>
      </c>
      <c r="E215" s="2" t="s">
        <v>74</v>
      </c>
      <c r="F215" s="2" t="s">
        <v>7866</v>
      </c>
      <c r="G215" s="2" t="s">
        <v>74</v>
      </c>
      <c r="H215" s="2" t="s">
        <v>74</v>
      </c>
      <c r="I215" s="2" t="s">
        <v>7867</v>
      </c>
      <c r="J215" s="2" t="s">
        <v>5937</v>
      </c>
      <c r="K215" s="2" t="s">
        <v>74</v>
      </c>
      <c r="L215" s="2" t="s">
        <v>74</v>
      </c>
      <c r="M215" s="2" t="s">
        <v>74</v>
      </c>
      <c r="N215" s="2" t="s">
        <v>74</v>
      </c>
      <c r="O215" s="2" t="s">
        <v>74</v>
      </c>
      <c r="P215" s="2" t="s">
        <v>74</v>
      </c>
      <c r="Q215" s="2" t="s">
        <v>74</v>
      </c>
      <c r="R215" s="2" t="s">
        <v>74</v>
      </c>
      <c r="S215" s="2" t="s">
        <v>74</v>
      </c>
      <c r="T215" s="2" t="s">
        <v>74</v>
      </c>
      <c r="U215" s="2" t="s">
        <v>74</v>
      </c>
      <c r="V215" s="5" t="s">
        <v>7868</v>
      </c>
      <c r="W215" s="2" t="s">
        <v>74</v>
      </c>
      <c r="X215" s="2" t="s">
        <v>74</v>
      </c>
      <c r="Y215" s="2" t="s">
        <v>74</v>
      </c>
      <c r="Z215" s="2" t="s">
        <v>74</v>
      </c>
      <c r="AA215" s="2" t="s">
        <v>74</v>
      </c>
      <c r="AB215" s="2" t="s">
        <v>74</v>
      </c>
      <c r="AC215" s="2" t="s">
        <v>74</v>
      </c>
      <c r="AD215" s="2" t="s">
        <v>74</v>
      </c>
      <c r="AE215" s="2" t="s">
        <v>74</v>
      </c>
      <c r="AF215" s="2" t="s">
        <v>74</v>
      </c>
      <c r="AG215" s="2" t="s">
        <v>74</v>
      </c>
      <c r="AH215" s="2" t="s">
        <v>74</v>
      </c>
      <c r="AI215" s="2" t="s">
        <v>74</v>
      </c>
      <c r="AJ215" s="2" t="s">
        <v>74</v>
      </c>
      <c r="AK215" s="2" t="s">
        <v>74</v>
      </c>
      <c r="AL215" s="2" t="s">
        <v>74</v>
      </c>
      <c r="AM215" s="2" t="s">
        <v>74</v>
      </c>
      <c r="AN215" s="2" t="s">
        <v>74</v>
      </c>
      <c r="AO215" s="2" t="s">
        <v>5941</v>
      </c>
      <c r="AP215" s="2" t="s">
        <v>74</v>
      </c>
      <c r="AQ215" s="2" t="s">
        <v>74</v>
      </c>
      <c r="AR215" s="2" t="s">
        <v>74</v>
      </c>
      <c r="AS215" s="2" t="s">
        <v>74</v>
      </c>
      <c r="AT215" s="2" t="s">
        <v>204</v>
      </c>
      <c r="AU215" s="2">
        <v>2021</v>
      </c>
      <c r="AV215" s="2">
        <v>11</v>
      </c>
      <c r="AW215" s="2">
        <v>7</v>
      </c>
      <c r="AX215" s="2" t="s">
        <v>74</v>
      </c>
      <c r="AY215" s="2" t="s">
        <v>74</v>
      </c>
      <c r="AZ215" s="2" t="s">
        <v>74</v>
      </c>
      <c r="BA215" s="2" t="s">
        <v>74</v>
      </c>
      <c r="BB215" s="2" t="s">
        <v>74</v>
      </c>
      <c r="BC215" s="2" t="s">
        <v>74</v>
      </c>
      <c r="BD215" s="2">
        <v>2070</v>
      </c>
      <c r="BE215" s="2" t="s">
        <v>7869</v>
      </c>
      <c r="BF215" s="2" t="str">
        <f>HYPERLINK("http://dx.doi.org/10.3390/ani11072070","http://dx.doi.org/10.3390/ani11072070")</f>
        <v>http://dx.doi.org/10.3390/ani11072070</v>
      </c>
      <c r="BG215" s="2" t="s">
        <v>74</v>
      </c>
      <c r="BH215" s="2" t="s">
        <v>74</v>
      </c>
      <c r="BI215" s="2" t="s">
        <v>74</v>
      </c>
      <c r="BJ215" s="2" t="s">
        <v>74</v>
      </c>
      <c r="BK215" s="2" t="s">
        <v>74</v>
      </c>
      <c r="BL215" s="2" t="s">
        <v>74</v>
      </c>
      <c r="BM215" s="2" t="s">
        <v>74</v>
      </c>
      <c r="BN215" s="2">
        <v>34359198</v>
      </c>
      <c r="BO215" s="2" t="s">
        <v>74</v>
      </c>
      <c r="BP215" s="2" t="s">
        <v>74</v>
      </c>
      <c r="BQ215" s="2" t="s">
        <v>74</v>
      </c>
      <c r="BR215" s="2" t="s">
        <v>74</v>
      </c>
      <c r="BS215" s="2" t="s">
        <v>7870</v>
      </c>
      <c r="BT215" s="2" t="str">
        <f>HYPERLINK("https%3A%2F%2Fwww.webofscience.com%2Fwos%2Fwoscc%2Ffull-record%2FWOS:000675936800001","View Full Record in Web of Science")</f>
        <v>View Full Record in Web of Science</v>
      </c>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row>
    <row r="216" spans="1:314" s="2" customFormat="1" x14ac:dyDescent="0.4">
      <c r="A216" s="2" t="s">
        <v>72</v>
      </c>
      <c r="B216" s="2" t="s">
        <v>7359</v>
      </c>
      <c r="C216" s="2" t="s">
        <v>74</v>
      </c>
      <c r="D216" s="2" t="s">
        <v>74</v>
      </c>
      <c r="E216" s="2" t="s">
        <v>74</v>
      </c>
      <c r="F216" s="2" t="s">
        <v>7360</v>
      </c>
      <c r="G216" s="2" t="s">
        <v>74</v>
      </c>
      <c r="H216" s="2" t="s">
        <v>74</v>
      </c>
      <c r="I216" s="2" t="s">
        <v>7361</v>
      </c>
      <c r="J216" s="2" t="s">
        <v>882</v>
      </c>
      <c r="K216" s="2" t="s">
        <v>74</v>
      </c>
      <c r="L216" s="2" t="s">
        <v>74</v>
      </c>
      <c r="M216" s="2" t="s">
        <v>74</v>
      </c>
      <c r="N216" s="2" t="s">
        <v>74</v>
      </c>
      <c r="O216" s="2" t="s">
        <v>74</v>
      </c>
      <c r="P216" s="2" t="s">
        <v>74</v>
      </c>
      <c r="Q216" s="2" t="s">
        <v>74</v>
      </c>
      <c r="R216" s="2" t="s">
        <v>74</v>
      </c>
      <c r="S216" s="2" t="s">
        <v>74</v>
      </c>
      <c r="T216" s="2" t="s">
        <v>74</v>
      </c>
      <c r="U216" s="2" t="s">
        <v>74</v>
      </c>
      <c r="V216" s="5" t="s">
        <v>7362</v>
      </c>
      <c r="W216" s="2" t="s">
        <v>74</v>
      </c>
      <c r="X216" s="2" t="s">
        <v>74</v>
      </c>
      <c r="Y216" s="2" t="s">
        <v>74</v>
      </c>
      <c r="Z216" s="2" t="s">
        <v>74</v>
      </c>
      <c r="AA216" s="2" t="s">
        <v>7363</v>
      </c>
      <c r="AB216" s="2" t="s">
        <v>7364</v>
      </c>
      <c r="AC216" s="2" t="s">
        <v>74</v>
      </c>
      <c r="AD216" s="2" t="s">
        <v>74</v>
      </c>
      <c r="AE216" s="2" t="s">
        <v>74</v>
      </c>
      <c r="AF216" s="2" t="s">
        <v>74</v>
      </c>
      <c r="AG216" s="2" t="s">
        <v>74</v>
      </c>
      <c r="AH216" s="2" t="s">
        <v>74</v>
      </c>
      <c r="AI216" s="2" t="s">
        <v>74</v>
      </c>
      <c r="AJ216" s="2" t="s">
        <v>74</v>
      </c>
      <c r="AK216" s="2" t="s">
        <v>74</v>
      </c>
      <c r="AL216" s="2" t="s">
        <v>74</v>
      </c>
      <c r="AM216" s="2" t="s">
        <v>74</v>
      </c>
      <c r="AN216" s="2" t="s">
        <v>74</v>
      </c>
      <c r="AO216" s="2" t="s">
        <v>886</v>
      </c>
      <c r="AP216" s="2" t="s">
        <v>887</v>
      </c>
      <c r="AQ216" s="2" t="s">
        <v>74</v>
      </c>
      <c r="AR216" s="2" t="s">
        <v>74</v>
      </c>
      <c r="AS216" s="2" t="s">
        <v>74</v>
      </c>
      <c r="AT216" s="2" t="s">
        <v>74</v>
      </c>
      <c r="AU216" s="2">
        <v>2019</v>
      </c>
      <c r="AV216" s="2">
        <v>28</v>
      </c>
      <c r="AW216" s="2" t="s">
        <v>74</v>
      </c>
      <c r="AX216" s="2" t="s">
        <v>74</v>
      </c>
      <c r="AY216" s="2" t="s">
        <v>74</v>
      </c>
      <c r="AZ216" s="2" t="s">
        <v>74</v>
      </c>
      <c r="BA216" s="2" t="s">
        <v>74</v>
      </c>
      <c r="BB216" s="2">
        <v>127</v>
      </c>
      <c r="BC216" s="2">
        <v>136</v>
      </c>
      <c r="BD216" s="2" t="s">
        <v>74</v>
      </c>
      <c r="BE216" s="2" t="s">
        <v>7365</v>
      </c>
      <c r="BF216" s="2" t="str">
        <f>HYPERLINK("http://dx.doi.org/10.3354/ab00718","http://dx.doi.org/10.3354/ab00718")</f>
        <v>http://dx.doi.org/10.3354/ab00718</v>
      </c>
      <c r="BG216" s="2" t="s">
        <v>74</v>
      </c>
      <c r="BH216" s="2" t="s">
        <v>74</v>
      </c>
      <c r="BI216" s="2" t="s">
        <v>74</v>
      </c>
      <c r="BJ216" s="2" t="s">
        <v>74</v>
      </c>
      <c r="BK216" s="2" t="s">
        <v>74</v>
      </c>
      <c r="BL216" s="2" t="s">
        <v>74</v>
      </c>
      <c r="BM216" s="2" t="s">
        <v>74</v>
      </c>
      <c r="BN216" s="2" t="s">
        <v>74</v>
      </c>
      <c r="BO216" s="2" t="s">
        <v>74</v>
      </c>
      <c r="BP216" s="2" t="s">
        <v>74</v>
      </c>
      <c r="BQ216" s="2" t="s">
        <v>74</v>
      </c>
      <c r="BR216" s="2" t="s">
        <v>74</v>
      </c>
      <c r="BS216" s="2" t="s">
        <v>7366</v>
      </c>
      <c r="BT216" s="2" t="str">
        <f>HYPERLINK("https%3A%2F%2Fwww.webofscience.com%2Fwos%2Fwoscc%2Ffull-record%2FWOS:000518432200009","View Full Record in Web of Science")</f>
        <v>View Full Record in Web of Science</v>
      </c>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row>
    <row r="217" spans="1:314" s="2" customFormat="1" x14ac:dyDescent="0.4">
      <c r="A217" s="2" t="s">
        <v>72</v>
      </c>
      <c r="B217" s="2" t="s">
        <v>148</v>
      </c>
      <c r="C217" s="2" t="s">
        <v>74</v>
      </c>
      <c r="D217" s="2" t="s">
        <v>74</v>
      </c>
      <c r="E217" s="2" t="s">
        <v>74</v>
      </c>
      <c r="F217" s="2" t="s">
        <v>149</v>
      </c>
      <c r="G217" s="2" t="s">
        <v>74</v>
      </c>
      <c r="H217" s="2" t="s">
        <v>74</v>
      </c>
      <c r="I217" s="2" t="s">
        <v>150</v>
      </c>
      <c r="J217" s="2" t="s">
        <v>151</v>
      </c>
      <c r="K217" s="2" t="s">
        <v>74</v>
      </c>
      <c r="L217" s="2" t="s">
        <v>74</v>
      </c>
      <c r="M217" s="2" t="s">
        <v>74</v>
      </c>
      <c r="N217" s="2" t="s">
        <v>74</v>
      </c>
      <c r="O217" s="2" t="s">
        <v>74</v>
      </c>
      <c r="P217" s="2" t="s">
        <v>74</v>
      </c>
      <c r="Q217" s="2" t="s">
        <v>74</v>
      </c>
      <c r="R217" s="2" t="s">
        <v>74</v>
      </c>
      <c r="S217" s="2" t="s">
        <v>74</v>
      </c>
      <c r="T217" s="2" t="s">
        <v>74</v>
      </c>
      <c r="U217" s="2" t="s">
        <v>74</v>
      </c>
      <c r="V217" s="5" t="s">
        <v>152</v>
      </c>
      <c r="W217" s="2" t="s">
        <v>74</v>
      </c>
      <c r="X217" s="2" t="s">
        <v>74</v>
      </c>
      <c r="Y217" s="2" t="s">
        <v>74</v>
      </c>
      <c r="Z217" s="2" t="s">
        <v>74</v>
      </c>
      <c r="AA217" s="2" t="s">
        <v>153</v>
      </c>
      <c r="AB217" s="2" t="s">
        <v>154</v>
      </c>
      <c r="AC217" s="2" t="s">
        <v>74</v>
      </c>
      <c r="AD217" s="2" t="s">
        <v>74</v>
      </c>
      <c r="AE217" s="2" t="s">
        <v>74</v>
      </c>
      <c r="AF217" s="2" t="s">
        <v>74</v>
      </c>
      <c r="AG217" s="2" t="s">
        <v>74</v>
      </c>
      <c r="AH217" s="2" t="s">
        <v>74</v>
      </c>
      <c r="AI217" s="2" t="s">
        <v>74</v>
      </c>
      <c r="AJ217" s="2" t="s">
        <v>74</v>
      </c>
      <c r="AK217" s="2" t="s">
        <v>74</v>
      </c>
      <c r="AL217" s="2" t="s">
        <v>74</v>
      </c>
      <c r="AM217" s="2" t="s">
        <v>74</v>
      </c>
      <c r="AN217" s="2" t="s">
        <v>74</v>
      </c>
      <c r="AO217" s="2" t="s">
        <v>155</v>
      </c>
      <c r="AP217" s="2" t="s">
        <v>156</v>
      </c>
      <c r="AQ217" s="2" t="s">
        <v>74</v>
      </c>
      <c r="AR217" s="2" t="s">
        <v>74</v>
      </c>
      <c r="AS217" s="2" t="s">
        <v>74</v>
      </c>
      <c r="AT217" s="2" t="s">
        <v>74</v>
      </c>
      <c r="AU217" s="2">
        <v>2014</v>
      </c>
      <c r="AV217" s="2">
        <v>504</v>
      </c>
      <c r="AW217" s="2" t="s">
        <v>74</v>
      </c>
      <c r="AX217" s="2" t="s">
        <v>74</v>
      </c>
      <c r="AY217" s="2" t="s">
        <v>74</v>
      </c>
      <c r="AZ217" s="2" t="s">
        <v>74</v>
      </c>
      <c r="BA217" s="2" t="s">
        <v>74</v>
      </c>
      <c r="BB217" s="2">
        <v>277</v>
      </c>
      <c r="BC217" s="2">
        <v>286</v>
      </c>
      <c r="BD217" s="2" t="s">
        <v>74</v>
      </c>
      <c r="BE217" s="2" t="s">
        <v>157</v>
      </c>
      <c r="BF217" s="2" t="str">
        <f>HYPERLINK("http://dx.doi.org/10.3354/meps10760","http://dx.doi.org/10.3354/meps10760")</f>
        <v>http://dx.doi.org/10.3354/meps10760</v>
      </c>
      <c r="BG217" s="2" t="s">
        <v>74</v>
      </c>
      <c r="BH217" s="2" t="s">
        <v>74</v>
      </c>
      <c r="BI217" s="2" t="s">
        <v>74</v>
      </c>
      <c r="BJ217" s="2" t="s">
        <v>74</v>
      </c>
      <c r="BK217" s="2" t="s">
        <v>74</v>
      </c>
      <c r="BL217" s="2" t="s">
        <v>74</v>
      </c>
      <c r="BM217" s="2" t="s">
        <v>74</v>
      </c>
      <c r="BN217" s="2" t="s">
        <v>74</v>
      </c>
      <c r="BO217" s="2" t="s">
        <v>74</v>
      </c>
      <c r="BP217" s="2" t="s">
        <v>74</v>
      </c>
      <c r="BQ217" s="2" t="s">
        <v>74</v>
      </c>
      <c r="BR217" s="2" t="s">
        <v>74</v>
      </c>
      <c r="BS217" s="2" t="s">
        <v>158</v>
      </c>
      <c r="BT217" s="2" t="str">
        <f>HYPERLINK("https%3A%2F%2Fwww.webofscience.com%2Fwos%2Fwoscc%2Ffull-record%2FWOS:000335963100021","View Full Record in Web of Science")</f>
        <v>View Full Record in Web of Science</v>
      </c>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row>
    <row r="218" spans="1:314" s="2" customFormat="1" x14ac:dyDescent="0.4">
      <c r="A218" s="2" t="s">
        <v>72</v>
      </c>
      <c r="B218" s="2" t="s">
        <v>4220</v>
      </c>
      <c r="C218" s="2" t="s">
        <v>74</v>
      </c>
      <c r="D218" s="2" t="s">
        <v>74</v>
      </c>
      <c r="E218" s="2" t="s">
        <v>74</v>
      </c>
      <c r="F218" s="2" t="s">
        <v>4221</v>
      </c>
      <c r="G218" s="2" t="s">
        <v>74</v>
      </c>
      <c r="H218" s="2" t="s">
        <v>74</v>
      </c>
      <c r="I218" s="2" t="s">
        <v>4222</v>
      </c>
      <c r="J218" s="2" t="s">
        <v>1384</v>
      </c>
      <c r="K218" s="2" t="s">
        <v>74</v>
      </c>
      <c r="L218" s="2" t="s">
        <v>74</v>
      </c>
      <c r="M218" s="2" t="s">
        <v>74</v>
      </c>
      <c r="N218" s="2" t="s">
        <v>74</v>
      </c>
      <c r="O218" s="2" t="s">
        <v>74</v>
      </c>
      <c r="P218" s="2" t="s">
        <v>74</v>
      </c>
      <c r="Q218" s="2" t="s">
        <v>74</v>
      </c>
      <c r="R218" s="2" t="s">
        <v>74</v>
      </c>
      <c r="S218" s="2" t="s">
        <v>74</v>
      </c>
      <c r="T218" s="2" t="s">
        <v>74</v>
      </c>
      <c r="U218" s="2" t="s">
        <v>74</v>
      </c>
      <c r="V218" s="5" t="s">
        <v>4223</v>
      </c>
      <c r="W218" s="2" t="s">
        <v>74</v>
      </c>
      <c r="X218" s="2" t="s">
        <v>74</v>
      </c>
      <c r="Y218" s="2" t="s">
        <v>74</v>
      </c>
      <c r="Z218" s="2" t="s">
        <v>74</v>
      </c>
      <c r="AA218" s="2" t="s">
        <v>4224</v>
      </c>
      <c r="AB218" s="2" t="s">
        <v>74</v>
      </c>
      <c r="AC218" s="2" t="s">
        <v>74</v>
      </c>
      <c r="AD218" s="2" t="s">
        <v>74</v>
      </c>
      <c r="AE218" s="2" t="s">
        <v>74</v>
      </c>
      <c r="AF218" s="2" t="s">
        <v>74</v>
      </c>
      <c r="AG218" s="2" t="s">
        <v>74</v>
      </c>
      <c r="AH218" s="2" t="s">
        <v>74</v>
      </c>
      <c r="AI218" s="2" t="s">
        <v>74</v>
      </c>
      <c r="AJ218" s="2" t="s">
        <v>74</v>
      </c>
      <c r="AK218" s="2" t="s">
        <v>74</v>
      </c>
      <c r="AL218" s="2" t="s">
        <v>74</v>
      </c>
      <c r="AM218" s="2" t="s">
        <v>74</v>
      </c>
      <c r="AN218" s="2" t="s">
        <v>74</v>
      </c>
      <c r="AO218" s="2" t="s">
        <v>1388</v>
      </c>
      <c r="AP218" s="2" t="s">
        <v>74</v>
      </c>
      <c r="AQ218" s="2" t="s">
        <v>74</v>
      </c>
      <c r="AR218" s="2" t="s">
        <v>74</v>
      </c>
      <c r="AS218" s="2" t="s">
        <v>74</v>
      </c>
      <c r="AT218" s="2" t="s">
        <v>255</v>
      </c>
      <c r="AU218" s="2">
        <v>2013</v>
      </c>
      <c r="AV218" s="2">
        <v>155</v>
      </c>
      <c r="AW218" s="2">
        <v>1</v>
      </c>
      <c r="AX218" s="2" t="s">
        <v>74</v>
      </c>
      <c r="AY218" s="2" t="s">
        <v>74</v>
      </c>
      <c r="AZ218" s="2" t="s">
        <v>74</v>
      </c>
      <c r="BA218" s="2" t="s">
        <v>74</v>
      </c>
      <c r="BB218" s="2">
        <v>189</v>
      </c>
      <c r="BC218" s="2">
        <v>193</v>
      </c>
      <c r="BD218" s="2" t="s">
        <v>74</v>
      </c>
      <c r="BE218" s="2" t="s">
        <v>4225</v>
      </c>
      <c r="BF218" s="2" t="str">
        <f>HYPERLINK("http://dx.doi.org/10.1111/j.1474-919X.2012.01264.x","http://dx.doi.org/10.1111/j.1474-919X.2012.01264.x")</f>
        <v>http://dx.doi.org/10.1111/j.1474-919X.2012.01264.x</v>
      </c>
      <c r="BG218" s="2" t="s">
        <v>74</v>
      </c>
      <c r="BH218" s="2" t="s">
        <v>74</v>
      </c>
      <c r="BI218" s="2" t="s">
        <v>74</v>
      </c>
      <c r="BJ218" s="2" t="s">
        <v>74</v>
      </c>
      <c r="BK218" s="2" t="s">
        <v>74</v>
      </c>
      <c r="BL218" s="2" t="s">
        <v>74</v>
      </c>
      <c r="BM218" s="2" t="s">
        <v>74</v>
      </c>
      <c r="BN218" s="2" t="s">
        <v>74</v>
      </c>
      <c r="BO218" s="2" t="s">
        <v>74</v>
      </c>
      <c r="BP218" s="2" t="s">
        <v>74</v>
      </c>
      <c r="BQ218" s="2" t="s">
        <v>74</v>
      </c>
      <c r="BR218" s="2" t="s">
        <v>74</v>
      </c>
      <c r="BS218" s="2" t="s">
        <v>4226</v>
      </c>
      <c r="BT218" s="2" t="str">
        <f>HYPERLINK("https%3A%2F%2Fwww.webofscience.com%2Fwos%2Fwoscc%2Ffull-record%2FWOS:000316326600017","View Full Record in Web of Science")</f>
        <v>View Full Record in Web of Science</v>
      </c>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row>
    <row r="219" spans="1:314" s="2" customFormat="1" x14ac:dyDescent="0.4">
      <c r="A219" s="2" t="s">
        <v>72</v>
      </c>
      <c r="B219" s="2" t="s">
        <v>3260</v>
      </c>
      <c r="C219" s="2" t="s">
        <v>74</v>
      </c>
      <c r="D219" s="2" t="s">
        <v>74</v>
      </c>
      <c r="E219" s="2" t="s">
        <v>74</v>
      </c>
      <c r="F219" s="2" t="s">
        <v>3261</v>
      </c>
      <c r="G219" s="2" t="s">
        <v>74</v>
      </c>
      <c r="H219" s="2" t="s">
        <v>74</v>
      </c>
      <c r="I219" s="2" t="s">
        <v>3262</v>
      </c>
      <c r="J219" s="2" t="s">
        <v>576</v>
      </c>
      <c r="K219" s="2" t="s">
        <v>74</v>
      </c>
      <c r="L219" s="2" t="s">
        <v>74</v>
      </c>
      <c r="M219" s="2" t="s">
        <v>74</v>
      </c>
      <c r="N219" s="2" t="s">
        <v>74</v>
      </c>
      <c r="O219" s="2" t="s">
        <v>74</v>
      </c>
      <c r="P219" s="2" t="s">
        <v>74</v>
      </c>
      <c r="Q219" s="2" t="s">
        <v>74</v>
      </c>
      <c r="R219" s="2" t="s">
        <v>74</v>
      </c>
      <c r="S219" s="2" t="s">
        <v>74</v>
      </c>
      <c r="T219" s="2" t="s">
        <v>74</v>
      </c>
      <c r="U219" s="2" t="s">
        <v>74</v>
      </c>
      <c r="V219" s="5" t="s">
        <v>3263</v>
      </c>
      <c r="W219" s="2" t="s">
        <v>74</v>
      </c>
      <c r="X219" s="2" t="s">
        <v>74</v>
      </c>
      <c r="Y219" s="2" t="s">
        <v>74</v>
      </c>
      <c r="Z219" s="2" t="s">
        <v>74</v>
      </c>
      <c r="AA219" s="2" t="s">
        <v>3264</v>
      </c>
      <c r="AB219" s="2" t="s">
        <v>434</v>
      </c>
      <c r="AC219" s="2" t="s">
        <v>74</v>
      </c>
      <c r="AD219" s="2" t="s">
        <v>74</v>
      </c>
      <c r="AE219" s="2" t="s">
        <v>74</v>
      </c>
      <c r="AF219" s="2" t="s">
        <v>74</v>
      </c>
      <c r="AG219" s="2" t="s">
        <v>74</v>
      </c>
      <c r="AH219" s="2" t="s">
        <v>74</v>
      </c>
      <c r="AI219" s="2" t="s">
        <v>74</v>
      </c>
      <c r="AJ219" s="2" t="s">
        <v>74</v>
      </c>
      <c r="AK219" s="2" t="s">
        <v>74</v>
      </c>
      <c r="AL219" s="2" t="s">
        <v>74</v>
      </c>
      <c r="AM219" s="2" t="s">
        <v>74</v>
      </c>
      <c r="AN219" s="2" t="s">
        <v>74</v>
      </c>
      <c r="AO219" s="2" t="s">
        <v>579</v>
      </c>
      <c r="AP219" s="2" t="s">
        <v>580</v>
      </c>
      <c r="AQ219" s="2" t="s">
        <v>74</v>
      </c>
      <c r="AR219" s="2" t="s">
        <v>74</v>
      </c>
      <c r="AS219" s="2" t="s">
        <v>74</v>
      </c>
      <c r="AT219" s="2" t="s">
        <v>213</v>
      </c>
      <c r="AU219" s="2">
        <v>2013</v>
      </c>
      <c r="AV219" s="2">
        <v>27</v>
      </c>
      <c r="AW219" s="2">
        <v>6</v>
      </c>
      <c r="AX219" s="2" t="s">
        <v>74</v>
      </c>
      <c r="AY219" s="2" t="s">
        <v>74</v>
      </c>
      <c r="AZ219" s="2" t="s">
        <v>74</v>
      </c>
      <c r="BA219" s="2" t="s">
        <v>74</v>
      </c>
      <c r="BB219" s="2">
        <v>1189</v>
      </c>
      <c r="BC219" s="2">
        <v>1198</v>
      </c>
      <c r="BD219" s="2" t="s">
        <v>74</v>
      </c>
      <c r="BE219" s="2" t="s">
        <v>3265</v>
      </c>
      <c r="BF219" s="2" t="str">
        <f>HYPERLINK("http://dx.doi.org/10.1007/s10682-013-9651-1","http://dx.doi.org/10.1007/s10682-013-9651-1")</f>
        <v>http://dx.doi.org/10.1007/s10682-013-9651-1</v>
      </c>
      <c r="BG219" s="2" t="s">
        <v>74</v>
      </c>
      <c r="BH219" s="2" t="s">
        <v>74</v>
      </c>
      <c r="BI219" s="2" t="s">
        <v>74</v>
      </c>
      <c r="BJ219" s="2" t="s">
        <v>74</v>
      </c>
      <c r="BK219" s="2" t="s">
        <v>74</v>
      </c>
      <c r="BL219" s="2" t="s">
        <v>74</v>
      </c>
      <c r="BM219" s="2" t="s">
        <v>74</v>
      </c>
      <c r="BN219" s="2" t="s">
        <v>74</v>
      </c>
      <c r="BO219" s="2" t="s">
        <v>74</v>
      </c>
      <c r="BP219" s="2" t="s">
        <v>74</v>
      </c>
      <c r="BQ219" s="2" t="s">
        <v>74</v>
      </c>
      <c r="BR219" s="2" t="s">
        <v>74</v>
      </c>
      <c r="BS219" s="2" t="s">
        <v>3266</v>
      </c>
      <c r="BT219" s="2" t="str">
        <f>HYPERLINK("https%3A%2F%2Fwww.webofscience.com%2Fwos%2Fwoscc%2Ffull-record%2FWOS:000326897500010","View Full Record in Web of Science")</f>
        <v>View Full Record in Web of Science</v>
      </c>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row>
    <row r="220" spans="1:314" s="2" customFormat="1" x14ac:dyDescent="0.4">
      <c r="A220" s="2" t="s">
        <v>72</v>
      </c>
      <c r="B220" s="2" t="s">
        <v>7578</v>
      </c>
      <c r="C220" s="2" t="s">
        <v>74</v>
      </c>
      <c r="D220" s="2" t="s">
        <v>74</v>
      </c>
      <c r="E220" s="2" t="s">
        <v>74</v>
      </c>
      <c r="F220" s="2" t="s">
        <v>7579</v>
      </c>
      <c r="G220" s="2" t="s">
        <v>74</v>
      </c>
      <c r="H220" s="2" t="s">
        <v>74</v>
      </c>
      <c r="I220" s="2" t="s">
        <v>7580</v>
      </c>
      <c r="J220" s="2" t="s">
        <v>6899</v>
      </c>
      <c r="K220" s="2" t="s">
        <v>74</v>
      </c>
      <c r="L220" s="2" t="s">
        <v>74</v>
      </c>
      <c r="M220" s="2" t="s">
        <v>74</v>
      </c>
      <c r="N220" s="2" t="s">
        <v>74</v>
      </c>
      <c r="O220" s="2" t="s">
        <v>74</v>
      </c>
      <c r="P220" s="2" t="s">
        <v>74</v>
      </c>
      <c r="Q220" s="2" t="s">
        <v>74</v>
      </c>
      <c r="R220" s="2" t="s">
        <v>74</v>
      </c>
      <c r="S220" s="2" t="s">
        <v>74</v>
      </c>
      <c r="T220" s="2" t="s">
        <v>74</v>
      </c>
      <c r="U220" s="2" t="s">
        <v>74</v>
      </c>
      <c r="V220" s="5" t="s">
        <v>7581</v>
      </c>
      <c r="W220" s="2" t="s">
        <v>74</v>
      </c>
      <c r="X220" s="2" t="s">
        <v>74</v>
      </c>
      <c r="Y220" s="2" t="s">
        <v>74</v>
      </c>
      <c r="Z220" s="2" t="s">
        <v>74</v>
      </c>
      <c r="AA220" s="2" t="s">
        <v>7582</v>
      </c>
      <c r="AB220" s="2" t="s">
        <v>7583</v>
      </c>
      <c r="AC220" s="2" t="s">
        <v>74</v>
      </c>
      <c r="AD220" s="2" t="s">
        <v>74</v>
      </c>
      <c r="AE220" s="2" t="s">
        <v>74</v>
      </c>
      <c r="AF220" s="2" t="s">
        <v>74</v>
      </c>
      <c r="AG220" s="2" t="s">
        <v>74</v>
      </c>
      <c r="AH220" s="2" t="s">
        <v>74</v>
      </c>
      <c r="AI220" s="2" t="s">
        <v>74</v>
      </c>
      <c r="AJ220" s="2" t="s">
        <v>74</v>
      </c>
      <c r="AK220" s="2" t="s">
        <v>74</v>
      </c>
      <c r="AL220" s="2" t="s">
        <v>74</v>
      </c>
      <c r="AM220" s="2" t="s">
        <v>74</v>
      </c>
      <c r="AN220" s="2" t="s">
        <v>74</v>
      </c>
      <c r="AO220" s="2" t="s">
        <v>6903</v>
      </c>
      <c r="AP220" s="2" t="s">
        <v>7584</v>
      </c>
      <c r="AQ220" s="2" t="s">
        <v>74</v>
      </c>
      <c r="AR220" s="2" t="s">
        <v>74</v>
      </c>
      <c r="AS220" s="2" t="s">
        <v>74</v>
      </c>
      <c r="AT220" s="2" t="s">
        <v>213</v>
      </c>
      <c r="AU220" s="2">
        <v>2009</v>
      </c>
      <c r="AV220" s="2">
        <v>133</v>
      </c>
      <c r="AW220" s="2">
        <v>2</v>
      </c>
      <c r="AX220" s="2" t="s">
        <v>74</v>
      </c>
      <c r="AY220" s="2" t="s">
        <v>74</v>
      </c>
      <c r="AZ220" s="2" t="s">
        <v>74</v>
      </c>
      <c r="BA220" s="2" t="s">
        <v>74</v>
      </c>
      <c r="BB220" s="2">
        <v>165</v>
      </c>
      <c r="BC220" s="2">
        <v>173</v>
      </c>
      <c r="BD220" s="2" t="s">
        <v>74</v>
      </c>
      <c r="BE220" s="2" t="s">
        <v>7585</v>
      </c>
      <c r="BF220" s="2" t="str">
        <f>HYPERLINK("http://dx.doi.org/10.1111/j.1570-7458.2009.00913.x","http://dx.doi.org/10.1111/j.1570-7458.2009.00913.x")</f>
        <v>http://dx.doi.org/10.1111/j.1570-7458.2009.00913.x</v>
      </c>
      <c r="BG220" s="2" t="s">
        <v>74</v>
      </c>
      <c r="BH220" s="2" t="s">
        <v>74</v>
      </c>
      <c r="BI220" s="2" t="s">
        <v>74</v>
      </c>
      <c r="BJ220" s="2" t="s">
        <v>74</v>
      </c>
      <c r="BK220" s="2" t="s">
        <v>74</v>
      </c>
      <c r="BL220" s="2" t="s">
        <v>74</v>
      </c>
      <c r="BM220" s="2" t="s">
        <v>74</v>
      </c>
      <c r="BN220" s="2" t="s">
        <v>74</v>
      </c>
      <c r="BO220" s="2" t="s">
        <v>74</v>
      </c>
      <c r="BP220" s="2" t="s">
        <v>74</v>
      </c>
      <c r="BQ220" s="2" t="s">
        <v>74</v>
      </c>
      <c r="BR220" s="2" t="s">
        <v>74</v>
      </c>
      <c r="BS220" s="2" t="s">
        <v>7586</v>
      </c>
      <c r="BT220" s="2" t="str">
        <f>HYPERLINK("https%3A%2F%2Fwww.webofscience.com%2Fwos%2Fwoscc%2Ffull-record%2FWOS:000270648800007","View Full Record in Web of Science")</f>
        <v>View Full Record in Web of Science</v>
      </c>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row>
    <row r="221" spans="1:314" s="2" customFormat="1" x14ac:dyDescent="0.4">
      <c r="A221" s="2" t="s">
        <v>72</v>
      </c>
      <c r="B221" s="2" t="s">
        <v>8306</v>
      </c>
      <c r="C221" s="2" t="s">
        <v>74</v>
      </c>
      <c r="D221" s="2" t="s">
        <v>74</v>
      </c>
      <c r="E221" s="2" t="s">
        <v>74</v>
      </c>
      <c r="F221" s="2" t="s">
        <v>8306</v>
      </c>
      <c r="G221" s="2" t="s">
        <v>74</v>
      </c>
      <c r="H221" s="2" t="s">
        <v>74</v>
      </c>
      <c r="I221" s="2" t="s">
        <v>8307</v>
      </c>
      <c r="J221" s="2" t="s">
        <v>140</v>
      </c>
      <c r="K221" s="2" t="s">
        <v>74</v>
      </c>
      <c r="L221" s="2" t="s">
        <v>74</v>
      </c>
      <c r="M221" s="2" t="s">
        <v>74</v>
      </c>
      <c r="N221" s="2" t="s">
        <v>74</v>
      </c>
      <c r="O221" s="2" t="s">
        <v>74</v>
      </c>
      <c r="P221" s="2" t="s">
        <v>74</v>
      </c>
      <c r="Q221" s="2" t="s">
        <v>74</v>
      </c>
      <c r="R221" s="2" t="s">
        <v>74</v>
      </c>
      <c r="S221" s="2" t="s">
        <v>74</v>
      </c>
      <c r="T221" s="2" t="s">
        <v>74</v>
      </c>
      <c r="U221" s="2" t="s">
        <v>74</v>
      </c>
      <c r="V221" s="5" t="s">
        <v>8308</v>
      </c>
      <c r="W221" s="2" t="s">
        <v>74</v>
      </c>
      <c r="X221" s="2" t="s">
        <v>74</v>
      </c>
      <c r="Y221" s="2" t="s">
        <v>74</v>
      </c>
      <c r="Z221" s="2" t="s">
        <v>74</v>
      </c>
      <c r="AA221" s="2" t="s">
        <v>74</v>
      </c>
      <c r="AB221" s="2" t="s">
        <v>74</v>
      </c>
      <c r="AC221" s="2" t="s">
        <v>74</v>
      </c>
      <c r="AD221" s="2" t="s">
        <v>74</v>
      </c>
      <c r="AE221" s="2" t="s">
        <v>74</v>
      </c>
      <c r="AF221" s="2" t="s">
        <v>74</v>
      </c>
      <c r="AG221" s="2" t="s">
        <v>74</v>
      </c>
      <c r="AH221" s="2" t="s">
        <v>74</v>
      </c>
      <c r="AI221" s="2" t="s">
        <v>74</v>
      </c>
      <c r="AJ221" s="2" t="s">
        <v>74</v>
      </c>
      <c r="AK221" s="2" t="s">
        <v>74</v>
      </c>
      <c r="AL221" s="2" t="s">
        <v>74</v>
      </c>
      <c r="AM221" s="2" t="s">
        <v>74</v>
      </c>
      <c r="AN221" s="2" t="s">
        <v>74</v>
      </c>
      <c r="AO221" s="2" t="s">
        <v>143</v>
      </c>
      <c r="AP221" s="2" t="s">
        <v>74</v>
      </c>
      <c r="AQ221" s="2" t="s">
        <v>74</v>
      </c>
      <c r="AR221" s="2" t="s">
        <v>74</v>
      </c>
      <c r="AS221" s="2" t="s">
        <v>74</v>
      </c>
      <c r="AT221" s="2" t="s">
        <v>145</v>
      </c>
      <c r="AU221" s="2">
        <v>2002</v>
      </c>
      <c r="AV221" s="2">
        <v>64</v>
      </c>
      <c r="AW221" s="2" t="s">
        <v>74</v>
      </c>
      <c r="AX221" s="2">
        <v>2</v>
      </c>
      <c r="AY221" s="2" t="s">
        <v>74</v>
      </c>
      <c r="AZ221" s="2" t="s">
        <v>74</v>
      </c>
      <c r="BA221" s="2" t="s">
        <v>74</v>
      </c>
      <c r="BB221" s="2">
        <v>207</v>
      </c>
      <c r="BC221" s="2">
        <v>213</v>
      </c>
      <c r="BD221" s="2" t="s">
        <v>74</v>
      </c>
      <c r="BE221" s="2" t="s">
        <v>8309</v>
      </c>
      <c r="BF221" s="2" t="str">
        <f>HYPERLINK("http://dx.doi.org/10.1006/anbe.2002.3042","http://dx.doi.org/10.1006/anbe.2002.3042")</f>
        <v>http://dx.doi.org/10.1006/anbe.2002.3042</v>
      </c>
      <c r="BG221" s="2" t="s">
        <v>74</v>
      </c>
      <c r="BH221" s="2" t="s">
        <v>74</v>
      </c>
      <c r="BI221" s="2" t="s">
        <v>74</v>
      </c>
      <c r="BJ221" s="2" t="s">
        <v>74</v>
      </c>
      <c r="BK221" s="2" t="s">
        <v>74</v>
      </c>
      <c r="BL221" s="2" t="s">
        <v>74</v>
      </c>
      <c r="BM221" s="2" t="s">
        <v>74</v>
      </c>
      <c r="BN221" s="2" t="s">
        <v>74</v>
      </c>
      <c r="BO221" s="2" t="s">
        <v>74</v>
      </c>
      <c r="BP221" s="2" t="s">
        <v>74</v>
      </c>
      <c r="BQ221" s="2" t="s">
        <v>74</v>
      </c>
      <c r="BR221" s="2" t="s">
        <v>74</v>
      </c>
      <c r="BS221" s="2" t="s">
        <v>8310</v>
      </c>
      <c r="BT221" s="2" t="str">
        <f>HYPERLINK("https%3A%2F%2Fwww.webofscience.com%2Fwos%2Fwoscc%2Ffull-record%2FWOS:000179248600006","View Full Record in Web of Science")</f>
        <v>View Full Record in Web of Science</v>
      </c>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row>
    <row r="222" spans="1:314" s="2" customFormat="1" x14ac:dyDescent="0.4">
      <c r="A222" s="2" t="s">
        <v>72</v>
      </c>
      <c r="B222" s="2" t="s">
        <v>5827</v>
      </c>
      <c r="C222" s="2" t="s">
        <v>74</v>
      </c>
      <c r="D222" s="2" t="s">
        <v>74</v>
      </c>
      <c r="E222" s="2" t="s">
        <v>74</v>
      </c>
      <c r="F222" s="2" t="s">
        <v>5827</v>
      </c>
      <c r="G222" s="2" t="s">
        <v>74</v>
      </c>
      <c r="H222" s="2" t="s">
        <v>74</v>
      </c>
      <c r="I222" s="2" t="s">
        <v>5828</v>
      </c>
      <c r="J222" s="2" t="s">
        <v>5829</v>
      </c>
      <c r="K222" s="2" t="s">
        <v>74</v>
      </c>
      <c r="L222" s="2" t="s">
        <v>74</v>
      </c>
      <c r="M222" s="2" t="s">
        <v>74</v>
      </c>
      <c r="N222" s="2" t="s">
        <v>74</v>
      </c>
      <c r="O222" s="2" t="s">
        <v>74</v>
      </c>
      <c r="P222" s="2" t="s">
        <v>74</v>
      </c>
      <c r="Q222" s="2" t="s">
        <v>74</v>
      </c>
      <c r="R222" s="2" t="s">
        <v>74</v>
      </c>
      <c r="S222" s="2" t="s">
        <v>74</v>
      </c>
      <c r="T222" s="2" t="s">
        <v>74</v>
      </c>
      <c r="U222" s="2" t="s">
        <v>74</v>
      </c>
      <c r="V222" s="5" t="s">
        <v>5830</v>
      </c>
      <c r="W222" s="2" t="s">
        <v>74</v>
      </c>
      <c r="X222" s="2" t="s">
        <v>74</v>
      </c>
      <c r="Y222" s="2" t="s">
        <v>74</v>
      </c>
      <c r="Z222" s="2" t="s">
        <v>74</v>
      </c>
      <c r="AA222" s="2" t="s">
        <v>5831</v>
      </c>
      <c r="AB222" s="2" t="s">
        <v>5832</v>
      </c>
      <c r="AC222" s="2" t="s">
        <v>74</v>
      </c>
      <c r="AD222" s="2" t="s">
        <v>74</v>
      </c>
      <c r="AE222" s="2" t="s">
        <v>74</v>
      </c>
      <c r="AF222" s="2" t="s">
        <v>74</v>
      </c>
      <c r="AG222" s="2" t="s">
        <v>74</v>
      </c>
      <c r="AH222" s="2" t="s">
        <v>74</v>
      </c>
      <c r="AI222" s="2" t="s">
        <v>74</v>
      </c>
      <c r="AJ222" s="2" t="s">
        <v>74</v>
      </c>
      <c r="AK222" s="2" t="s">
        <v>74</v>
      </c>
      <c r="AL222" s="2" t="s">
        <v>74</v>
      </c>
      <c r="AM222" s="2" t="s">
        <v>74</v>
      </c>
      <c r="AN222" s="2" t="s">
        <v>74</v>
      </c>
      <c r="AO222" s="2" t="s">
        <v>5833</v>
      </c>
      <c r="AP222" s="2" t="s">
        <v>74</v>
      </c>
      <c r="AQ222" s="2" t="s">
        <v>74</v>
      </c>
      <c r="AR222" s="2" t="s">
        <v>74</v>
      </c>
      <c r="AS222" s="2" t="s">
        <v>74</v>
      </c>
      <c r="AT222" s="2" t="s">
        <v>633</v>
      </c>
      <c r="AU222" s="2">
        <v>1999</v>
      </c>
      <c r="AV222" s="2">
        <v>34</v>
      </c>
      <c r="AW222" s="2">
        <v>2</v>
      </c>
      <c r="AX222" s="2" t="s">
        <v>74</v>
      </c>
      <c r="AY222" s="2" t="s">
        <v>74</v>
      </c>
      <c r="AZ222" s="2" t="s">
        <v>74</v>
      </c>
      <c r="BA222" s="2" t="s">
        <v>74</v>
      </c>
      <c r="BB222" s="2">
        <v>48</v>
      </c>
      <c r="BC222" s="2">
        <v>52</v>
      </c>
      <c r="BD222" s="2" t="s">
        <v>74</v>
      </c>
      <c r="BE222" s="2" t="s">
        <v>74</v>
      </c>
      <c r="BF222" s="2" t="s">
        <v>74</v>
      </c>
      <c r="BG222" s="2" t="s">
        <v>74</v>
      </c>
      <c r="BH222" s="2" t="s">
        <v>74</v>
      </c>
      <c r="BI222" s="2" t="s">
        <v>74</v>
      </c>
      <c r="BJ222" s="2" t="s">
        <v>74</v>
      </c>
      <c r="BK222" s="2" t="s">
        <v>74</v>
      </c>
      <c r="BL222" s="2" t="s">
        <v>74</v>
      </c>
      <c r="BM222" s="2" t="s">
        <v>74</v>
      </c>
      <c r="BN222" s="2" t="s">
        <v>74</v>
      </c>
      <c r="BO222" s="2" t="s">
        <v>74</v>
      </c>
      <c r="BP222" s="2" t="s">
        <v>74</v>
      </c>
      <c r="BQ222" s="2" t="s">
        <v>74</v>
      </c>
      <c r="BR222" s="2" t="s">
        <v>74</v>
      </c>
      <c r="BS222" s="2" t="s">
        <v>5834</v>
      </c>
      <c r="BT222" s="2" t="str">
        <f>HYPERLINK("https%3A%2F%2Fwww.webofscience.com%2Fwos%2Fwoscc%2Ffull-record%2FWOS:000080718600002","View Full Record in Web of Science")</f>
        <v>View Full Record in Web of Science</v>
      </c>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row>
    <row r="223" spans="1:314" s="2" customFormat="1" x14ac:dyDescent="0.4">
      <c r="A223" s="2" t="s">
        <v>72</v>
      </c>
      <c r="B223" s="2" t="s">
        <v>8497</v>
      </c>
      <c r="C223" s="2" t="s">
        <v>74</v>
      </c>
      <c r="D223" s="2" t="s">
        <v>74</v>
      </c>
      <c r="E223" s="2" t="s">
        <v>74</v>
      </c>
      <c r="F223" s="2" t="s">
        <v>8498</v>
      </c>
      <c r="G223" s="2" t="s">
        <v>74</v>
      </c>
      <c r="H223" s="2" t="s">
        <v>74</v>
      </c>
      <c r="I223" s="2" t="s">
        <v>8499</v>
      </c>
      <c r="J223" s="2" t="s">
        <v>1656</v>
      </c>
      <c r="K223" s="2" t="s">
        <v>74</v>
      </c>
      <c r="L223" s="2" t="s">
        <v>74</v>
      </c>
      <c r="M223" s="2" t="s">
        <v>74</v>
      </c>
      <c r="N223" s="2" t="s">
        <v>74</v>
      </c>
      <c r="O223" s="2" t="s">
        <v>74</v>
      </c>
      <c r="P223" s="2" t="s">
        <v>74</v>
      </c>
      <c r="Q223" s="2" t="s">
        <v>74</v>
      </c>
      <c r="R223" s="2" t="s">
        <v>74</v>
      </c>
      <c r="S223" s="2" t="s">
        <v>74</v>
      </c>
      <c r="T223" s="2" t="s">
        <v>74</v>
      </c>
      <c r="U223" s="2" t="s">
        <v>74</v>
      </c>
      <c r="V223" s="5" t="s">
        <v>8500</v>
      </c>
      <c r="W223" s="2" t="s">
        <v>74</v>
      </c>
      <c r="X223" s="2" t="s">
        <v>74</v>
      </c>
      <c r="Y223" s="2" t="s">
        <v>74</v>
      </c>
      <c r="Z223" s="2" t="s">
        <v>74</v>
      </c>
      <c r="AA223" s="2" t="s">
        <v>8501</v>
      </c>
      <c r="AB223" s="2" t="s">
        <v>8502</v>
      </c>
      <c r="AC223" s="2" t="s">
        <v>74</v>
      </c>
      <c r="AD223" s="2" t="s">
        <v>74</v>
      </c>
      <c r="AE223" s="2" t="s">
        <v>74</v>
      </c>
      <c r="AF223" s="2" t="s">
        <v>74</v>
      </c>
      <c r="AG223" s="2" t="s">
        <v>74</v>
      </c>
      <c r="AH223" s="2" t="s">
        <v>74</v>
      </c>
      <c r="AI223" s="2" t="s">
        <v>74</v>
      </c>
      <c r="AJ223" s="2" t="s">
        <v>74</v>
      </c>
      <c r="AK223" s="2" t="s">
        <v>74</v>
      </c>
      <c r="AL223" s="2" t="s">
        <v>74</v>
      </c>
      <c r="AM223" s="2" t="s">
        <v>74</v>
      </c>
      <c r="AN223" s="2" t="s">
        <v>74</v>
      </c>
      <c r="AO223" s="2" t="s">
        <v>1658</v>
      </c>
      <c r="AP223" s="2" t="s">
        <v>1659</v>
      </c>
      <c r="AQ223" s="2" t="s">
        <v>74</v>
      </c>
      <c r="AR223" s="2" t="s">
        <v>74</v>
      </c>
      <c r="AS223" s="2" t="s">
        <v>74</v>
      </c>
      <c r="AT223" s="2" t="s">
        <v>5768</v>
      </c>
      <c r="AU223" s="2">
        <v>2011</v>
      </c>
      <c r="AV223" s="2" t="s">
        <v>74</v>
      </c>
      <c r="AW223" s="2">
        <v>3083</v>
      </c>
      <c r="AX223" s="2" t="s">
        <v>74</v>
      </c>
      <c r="AY223" s="2" t="s">
        <v>74</v>
      </c>
      <c r="AZ223" s="2" t="s">
        <v>74</v>
      </c>
      <c r="BA223" s="2" t="s">
        <v>74</v>
      </c>
      <c r="BB223" s="2">
        <v>1</v>
      </c>
      <c r="BC223" s="2">
        <v>120</v>
      </c>
      <c r="BD223" s="2" t="s">
        <v>74</v>
      </c>
      <c r="BE223" s="2" t="s">
        <v>74</v>
      </c>
      <c r="BF223" s="2" t="s">
        <v>74</v>
      </c>
      <c r="BG223" s="2" t="s">
        <v>74</v>
      </c>
      <c r="BH223" s="2" t="s">
        <v>74</v>
      </c>
      <c r="BI223" s="2" t="s">
        <v>74</v>
      </c>
      <c r="BJ223" s="2" t="s">
        <v>74</v>
      </c>
      <c r="BK223" s="2" t="s">
        <v>74</v>
      </c>
      <c r="BL223" s="2" t="s">
        <v>74</v>
      </c>
      <c r="BM223" s="2" t="s">
        <v>74</v>
      </c>
      <c r="BN223" s="2" t="s">
        <v>74</v>
      </c>
      <c r="BO223" s="2" t="s">
        <v>74</v>
      </c>
      <c r="BP223" s="2" t="s">
        <v>74</v>
      </c>
      <c r="BQ223" s="2" t="s">
        <v>74</v>
      </c>
      <c r="BR223" s="2" t="s">
        <v>74</v>
      </c>
      <c r="BS223" s="2" t="s">
        <v>8503</v>
      </c>
      <c r="BT223" s="2" t="str">
        <f>HYPERLINK("https%3A%2F%2Fwww.webofscience.com%2Fwos%2Fwoscc%2Ffull-record%2FWOS:000296876100001","View Full Record in Web of Science")</f>
        <v>View Full Record in Web of Science</v>
      </c>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row>
    <row r="224" spans="1:314" s="2" customFormat="1" x14ac:dyDescent="0.4">
      <c r="A224" s="2" t="s">
        <v>72</v>
      </c>
      <c r="B224" s="2" t="s">
        <v>2240</v>
      </c>
      <c r="C224" s="2" t="s">
        <v>74</v>
      </c>
      <c r="D224" s="2" t="s">
        <v>74</v>
      </c>
      <c r="E224" s="2" t="s">
        <v>74</v>
      </c>
      <c r="F224" s="2" t="s">
        <v>2240</v>
      </c>
      <c r="G224" s="2" t="s">
        <v>74</v>
      </c>
      <c r="H224" s="2" t="s">
        <v>74</v>
      </c>
      <c r="I224" s="2" t="s">
        <v>2241</v>
      </c>
      <c r="J224" s="2" t="s">
        <v>367</v>
      </c>
      <c r="K224" s="2" t="s">
        <v>74</v>
      </c>
      <c r="L224" s="2" t="s">
        <v>74</v>
      </c>
      <c r="M224" s="2" t="s">
        <v>74</v>
      </c>
      <c r="N224" s="2" t="s">
        <v>74</v>
      </c>
      <c r="O224" s="2" t="s">
        <v>74</v>
      </c>
      <c r="P224" s="2" t="s">
        <v>74</v>
      </c>
      <c r="Q224" s="2" t="s">
        <v>74</v>
      </c>
      <c r="R224" s="2" t="s">
        <v>74</v>
      </c>
      <c r="S224" s="2" t="s">
        <v>74</v>
      </c>
      <c r="T224" s="2" t="s">
        <v>74</v>
      </c>
      <c r="U224" s="2" t="s">
        <v>74</v>
      </c>
      <c r="V224" s="5" t="s">
        <v>2242</v>
      </c>
      <c r="W224" s="2" t="s">
        <v>74</v>
      </c>
      <c r="X224" s="2" t="s">
        <v>74</v>
      </c>
      <c r="Y224" s="2" t="s">
        <v>74</v>
      </c>
      <c r="Z224" s="2" t="s">
        <v>74</v>
      </c>
      <c r="AA224" s="2" t="s">
        <v>74</v>
      </c>
      <c r="AB224" s="2" t="s">
        <v>74</v>
      </c>
      <c r="AC224" s="2" t="s">
        <v>74</v>
      </c>
      <c r="AD224" s="2" t="s">
        <v>74</v>
      </c>
      <c r="AE224" s="2" t="s">
        <v>74</v>
      </c>
      <c r="AF224" s="2" t="s">
        <v>74</v>
      </c>
      <c r="AG224" s="2" t="s">
        <v>74</v>
      </c>
      <c r="AH224" s="2" t="s">
        <v>74</v>
      </c>
      <c r="AI224" s="2" t="s">
        <v>74</v>
      </c>
      <c r="AJ224" s="2" t="s">
        <v>74</v>
      </c>
      <c r="AK224" s="2" t="s">
        <v>74</v>
      </c>
      <c r="AL224" s="2" t="s">
        <v>74</v>
      </c>
      <c r="AM224" s="2" t="s">
        <v>74</v>
      </c>
      <c r="AN224" s="2" t="s">
        <v>74</v>
      </c>
      <c r="AO224" s="2" t="s">
        <v>371</v>
      </c>
      <c r="AP224" s="2" t="s">
        <v>74</v>
      </c>
      <c r="AQ224" s="2" t="s">
        <v>74</v>
      </c>
      <c r="AR224" s="2" t="s">
        <v>74</v>
      </c>
      <c r="AS224" s="2" t="s">
        <v>74</v>
      </c>
      <c r="AT224" s="2" t="s">
        <v>352</v>
      </c>
      <c r="AU224" s="2">
        <v>1992</v>
      </c>
      <c r="AV224" s="2">
        <v>106</v>
      </c>
      <c r="AW224" s="2">
        <v>3</v>
      </c>
      <c r="AX224" s="2" t="s">
        <v>74</v>
      </c>
      <c r="AY224" s="2" t="s">
        <v>74</v>
      </c>
      <c r="AZ224" s="2" t="s">
        <v>74</v>
      </c>
      <c r="BA224" s="2" t="s">
        <v>74</v>
      </c>
      <c r="BB224" s="2">
        <v>203</v>
      </c>
      <c r="BC224" s="2">
        <v>216</v>
      </c>
      <c r="BD224" s="2" t="s">
        <v>74</v>
      </c>
      <c r="BE224" s="2" t="s">
        <v>2243</v>
      </c>
      <c r="BF224" s="2" t="str">
        <f>HYPERLINK("http://dx.doi.org/10.1037/0735-7036.106.3.203","http://dx.doi.org/10.1037/0735-7036.106.3.203")</f>
        <v>http://dx.doi.org/10.1037/0735-7036.106.3.203</v>
      </c>
      <c r="BG224" s="2" t="s">
        <v>74</v>
      </c>
      <c r="BH224" s="2" t="s">
        <v>74</v>
      </c>
      <c r="BI224" s="2" t="s">
        <v>74</v>
      </c>
      <c r="BJ224" s="2" t="s">
        <v>74</v>
      </c>
      <c r="BK224" s="2" t="s">
        <v>74</v>
      </c>
      <c r="BL224" s="2" t="s">
        <v>74</v>
      </c>
      <c r="BM224" s="2" t="s">
        <v>74</v>
      </c>
      <c r="BN224" s="2">
        <v>1395490</v>
      </c>
      <c r="BO224" s="2" t="s">
        <v>74</v>
      </c>
      <c r="BP224" s="2" t="s">
        <v>74</v>
      </c>
      <c r="BQ224" s="2" t="s">
        <v>74</v>
      </c>
      <c r="BR224" s="2" t="s">
        <v>74</v>
      </c>
      <c r="BS224" s="2" t="s">
        <v>2244</v>
      </c>
      <c r="BT224" s="2" t="str">
        <f>HYPERLINK("https%3A%2F%2Fwww.webofscience.com%2Fwos%2Fwoscc%2Ffull-record%2FWOS:A1992JK69600001","View Full Record in Web of Science")</f>
        <v>View Full Record in Web of Science</v>
      </c>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row>
    <row r="225" spans="1:314" s="2" customFormat="1" x14ac:dyDescent="0.4">
      <c r="A225" s="2" t="s">
        <v>72</v>
      </c>
      <c r="B225" s="2" t="s">
        <v>2879</v>
      </c>
      <c r="C225" s="2" t="s">
        <v>74</v>
      </c>
      <c r="D225" s="2" t="s">
        <v>74</v>
      </c>
      <c r="E225" s="2" t="s">
        <v>74</v>
      </c>
      <c r="F225" s="2" t="s">
        <v>2879</v>
      </c>
      <c r="G225" s="2" t="s">
        <v>74</v>
      </c>
      <c r="H225" s="2" t="s">
        <v>74</v>
      </c>
      <c r="I225" s="2" t="s">
        <v>2880</v>
      </c>
      <c r="J225" s="2" t="s">
        <v>1526</v>
      </c>
      <c r="K225" s="2" t="s">
        <v>74</v>
      </c>
      <c r="L225" s="2" t="s">
        <v>74</v>
      </c>
      <c r="M225" s="2" t="s">
        <v>74</v>
      </c>
      <c r="N225" s="2" t="s">
        <v>74</v>
      </c>
      <c r="O225" s="2" t="s">
        <v>74</v>
      </c>
      <c r="P225" s="2" t="s">
        <v>74</v>
      </c>
      <c r="Q225" s="2" t="s">
        <v>74</v>
      </c>
      <c r="R225" s="2" t="s">
        <v>74</v>
      </c>
      <c r="S225" s="2" t="s">
        <v>74</v>
      </c>
      <c r="T225" s="2" t="s">
        <v>74</v>
      </c>
      <c r="U225" s="2" t="s">
        <v>74</v>
      </c>
      <c r="V225" s="5" t="s">
        <v>2881</v>
      </c>
      <c r="W225" s="2" t="s">
        <v>74</v>
      </c>
      <c r="X225" s="2" t="s">
        <v>74</v>
      </c>
      <c r="Y225" s="2" t="s">
        <v>74</v>
      </c>
      <c r="Z225" s="2" t="s">
        <v>74</v>
      </c>
      <c r="AA225" s="2" t="s">
        <v>2882</v>
      </c>
      <c r="AB225" s="2" t="s">
        <v>2883</v>
      </c>
      <c r="AC225" s="2" t="s">
        <v>74</v>
      </c>
      <c r="AD225" s="2" t="s">
        <v>74</v>
      </c>
      <c r="AE225" s="2" t="s">
        <v>74</v>
      </c>
      <c r="AF225" s="2" t="s">
        <v>74</v>
      </c>
      <c r="AG225" s="2" t="s">
        <v>74</v>
      </c>
      <c r="AH225" s="2" t="s">
        <v>74</v>
      </c>
      <c r="AI225" s="2" t="s">
        <v>74</v>
      </c>
      <c r="AJ225" s="2" t="s">
        <v>74</v>
      </c>
      <c r="AK225" s="2" t="s">
        <v>74</v>
      </c>
      <c r="AL225" s="2" t="s">
        <v>74</v>
      </c>
      <c r="AM225" s="2" t="s">
        <v>74</v>
      </c>
      <c r="AN225" s="2" t="s">
        <v>74</v>
      </c>
      <c r="AO225" s="2" t="s">
        <v>1528</v>
      </c>
      <c r="AP225" s="2" t="s">
        <v>74</v>
      </c>
      <c r="AQ225" s="2" t="s">
        <v>74</v>
      </c>
      <c r="AR225" s="2" t="s">
        <v>74</v>
      </c>
      <c r="AS225" s="2" t="s">
        <v>74</v>
      </c>
      <c r="AT225" s="2" t="s">
        <v>134</v>
      </c>
      <c r="AU225" s="2">
        <v>2001</v>
      </c>
      <c r="AV225" s="2">
        <v>103</v>
      </c>
      <c r="AW225" s="2">
        <v>2</v>
      </c>
      <c r="AX225" s="2" t="s">
        <v>74</v>
      </c>
      <c r="AY225" s="2" t="s">
        <v>74</v>
      </c>
      <c r="AZ225" s="2" t="s">
        <v>74</v>
      </c>
      <c r="BA225" s="2" t="s">
        <v>74</v>
      </c>
      <c r="BB225" s="2">
        <v>248</v>
      </c>
      <c r="BC225" s="2">
        <v>258</v>
      </c>
      <c r="BD225" s="2" t="s">
        <v>74</v>
      </c>
      <c r="BE225" s="2" t="s">
        <v>2884</v>
      </c>
      <c r="BF225" s="2" t="str">
        <f>HYPERLINK("http://dx.doi.org/10.1650/0010-5422(2001)103[0248:PRIBMP]2.0.CO;2","http://dx.doi.org/10.1650/0010-5422(2001)103[0248:PRIBMP]2.0.CO;2")</f>
        <v>http://dx.doi.org/10.1650/0010-5422(2001)103[0248:PRIBMP]2.0.CO;2</v>
      </c>
      <c r="BG225" s="2" t="s">
        <v>74</v>
      </c>
      <c r="BH225" s="2" t="s">
        <v>74</v>
      </c>
      <c r="BI225" s="2" t="s">
        <v>74</v>
      </c>
      <c r="BJ225" s="2" t="s">
        <v>74</v>
      </c>
      <c r="BK225" s="2" t="s">
        <v>74</v>
      </c>
      <c r="BL225" s="2" t="s">
        <v>74</v>
      </c>
      <c r="BM225" s="2" t="s">
        <v>74</v>
      </c>
      <c r="BN225" s="2" t="s">
        <v>74</v>
      </c>
      <c r="BO225" s="2" t="s">
        <v>74</v>
      </c>
      <c r="BP225" s="2" t="s">
        <v>74</v>
      </c>
      <c r="BQ225" s="2" t="s">
        <v>74</v>
      </c>
      <c r="BR225" s="2" t="s">
        <v>74</v>
      </c>
      <c r="BS225" s="2" t="s">
        <v>2885</v>
      </c>
      <c r="BT225" s="2" t="str">
        <f>HYPERLINK("https%3A%2F%2Fwww.webofscience.com%2Fwos%2Fwoscc%2Ffull-record%2FWOS:000168569600005","View Full Record in Web of Science")</f>
        <v>View Full Record in Web of Science</v>
      </c>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row>
    <row r="226" spans="1:314" s="2" customFormat="1" x14ac:dyDescent="0.4">
      <c r="A226" s="2" t="s">
        <v>72</v>
      </c>
      <c r="B226" s="2" t="s">
        <v>1069</v>
      </c>
      <c r="C226" s="2" t="s">
        <v>74</v>
      </c>
      <c r="D226" s="2" t="s">
        <v>74</v>
      </c>
      <c r="E226" s="2" t="s">
        <v>74</v>
      </c>
      <c r="F226" s="2" t="s">
        <v>1070</v>
      </c>
      <c r="G226" s="2" t="s">
        <v>74</v>
      </c>
      <c r="H226" s="2" t="s">
        <v>74</v>
      </c>
      <c r="I226" s="2" t="s">
        <v>1071</v>
      </c>
      <c r="J226" s="2" t="s">
        <v>229</v>
      </c>
      <c r="K226" s="2" t="s">
        <v>74</v>
      </c>
      <c r="L226" s="2" t="s">
        <v>74</v>
      </c>
      <c r="M226" s="2" t="s">
        <v>74</v>
      </c>
      <c r="N226" s="2" t="s">
        <v>74</v>
      </c>
      <c r="O226" s="2" t="s">
        <v>74</v>
      </c>
      <c r="P226" s="2" t="s">
        <v>74</v>
      </c>
      <c r="Q226" s="2" t="s">
        <v>74</v>
      </c>
      <c r="R226" s="2" t="s">
        <v>74</v>
      </c>
      <c r="S226" s="2" t="s">
        <v>74</v>
      </c>
      <c r="T226" s="2" t="s">
        <v>74</v>
      </c>
      <c r="U226" s="2" t="s">
        <v>74</v>
      </c>
      <c r="V226" s="5" t="s">
        <v>1072</v>
      </c>
      <c r="W226" s="2" t="s">
        <v>74</v>
      </c>
      <c r="X226" s="2" t="s">
        <v>74</v>
      </c>
      <c r="Y226" s="2" t="s">
        <v>74</v>
      </c>
      <c r="Z226" s="2" t="s">
        <v>74</v>
      </c>
      <c r="AA226" s="2" t="s">
        <v>1073</v>
      </c>
      <c r="AB226" s="2" t="s">
        <v>1074</v>
      </c>
      <c r="AC226" s="2" t="s">
        <v>74</v>
      </c>
      <c r="AD226" s="2" t="s">
        <v>74</v>
      </c>
      <c r="AE226" s="2" t="s">
        <v>74</v>
      </c>
      <c r="AF226" s="2" t="s">
        <v>74</v>
      </c>
      <c r="AG226" s="2" t="s">
        <v>74</v>
      </c>
      <c r="AH226" s="2" t="s">
        <v>74</v>
      </c>
      <c r="AI226" s="2" t="s">
        <v>74</v>
      </c>
      <c r="AJ226" s="2" t="s">
        <v>74</v>
      </c>
      <c r="AK226" s="2" t="s">
        <v>74</v>
      </c>
      <c r="AL226" s="2" t="s">
        <v>74</v>
      </c>
      <c r="AM226" s="2" t="s">
        <v>74</v>
      </c>
      <c r="AN226" s="2" t="s">
        <v>74</v>
      </c>
      <c r="AO226" s="2" t="s">
        <v>233</v>
      </c>
      <c r="AP226" s="2" t="s">
        <v>234</v>
      </c>
      <c r="AQ226" s="2" t="s">
        <v>74</v>
      </c>
      <c r="AR226" s="2" t="s">
        <v>74</v>
      </c>
      <c r="AS226" s="2" t="s">
        <v>74</v>
      </c>
      <c r="AT226" s="2" t="s">
        <v>1075</v>
      </c>
      <c r="AU226" s="2">
        <v>2018</v>
      </c>
      <c r="AV226" s="2">
        <v>44</v>
      </c>
      <c r="AW226" s="2">
        <v>6</v>
      </c>
      <c r="AX226" s="2" t="s">
        <v>74</v>
      </c>
      <c r="AY226" s="2" t="s">
        <v>74</v>
      </c>
      <c r="AZ226" s="2" t="s">
        <v>74</v>
      </c>
      <c r="BA226" s="2" t="s">
        <v>74</v>
      </c>
      <c r="BB226" s="2">
        <v>624</v>
      </c>
      <c r="BC226" s="2">
        <v>637</v>
      </c>
      <c r="BD226" s="2" t="s">
        <v>74</v>
      </c>
      <c r="BE226" s="2" t="s">
        <v>1076</v>
      </c>
      <c r="BF226" s="2" t="str">
        <f>HYPERLINK("http://dx.doi.org/10.1002/ab.21787","http://dx.doi.org/10.1002/ab.21787")</f>
        <v>http://dx.doi.org/10.1002/ab.21787</v>
      </c>
      <c r="BG226" s="2" t="s">
        <v>74</v>
      </c>
      <c r="BH226" s="2" t="s">
        <v>74</v>
      </c>
      <c r="BI226" s="2" t="s">
        <v>74</v>
      </c>
      <c r="BJ226" s="2" t="s">
        <v>74</v>
      </c>
      <c r="BK226" s="2" t="s">
        <v>74</v>
      </c>
      <c r="BL226" s="2" t="s">
        <v>74</v>
      </c>
      <c r="BM226" s="2" t="s">
        <v>74</v>
      </c>
      <c r="BN226" s="2">
        <v>30141188</v>
      </c>
      <c r="BO226" s="2" t="s">
        <v>74</v>
      </c>
      <c r="BP226" s="2" t="s">
        <v>74</v>
      </c>
      <c r="BQ226" s="2" t="s">
        <v>74</v>
      </c>
      <c r="BR226" s="2" t="s">
        <v>74</v>
      </c>
      <c r="BS226" s="2" t="s">
        <v>1077</v>
      </c>
      <c r="BT226" s="2" t="str">
        <f>HYPERLINK("https%3A%2F%2Fwww.webofscience.com%2Fwos%2Fwoscc%2Ffull-record%2FWOS:000446552400008","View Full Record in Web of Science")</f>
        <v>View Full Record in Web of Science</v>
      </c>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row>
    <row r="227" spans="1:314" s="2" customFormat="1" x14ac:dyDescent="0.4">
      <c r="A227" s="2" t="s">
        <v>72</v>
      </c>
      <c r="B227" s="2" t="s">
        <v>2601</v>
      </c>
      <c r="C227" s="2" t="s">
        <v>74</v>
      </c>
      <c r="D227" s="2" t="s">
        <v>74</v>
      </c>
      <c r="E227" s="2" t="s">
        <v>74</v>
      </c>
      <c r="F227" s="2" t="s">
        <v>2601</v>
      </c>
      <c r="G227" s="2" t="s">
        <v>74</v>
      </c>
      <c r="H227" s="2" t="s">
        <v>74</v>
      </c>
      <c r="I227" s="2" t="s">
        <v>2602</v>
      </c>
      <c r="J227" s="2" t="s">
        <v>281</v>
      </c>
      <c r="K227" s="2" t="s">
        <v>74</v>
      </c>
      <c r="L227" s="2" t="s">
        <v>74</v>
      </c>
      <c r="M227" s="2" t="s">
        <v>74</v>
      </c>
      <c r="N227" s="2" t="s">
        <v>74</v>
      </c>
      <c r="O227" s="2" t="s">
        <v>74</v>
      </c>
      <c r="P227" s="2" t="s">
        <v>74</v>
      </c>
      <c r="Q227" s="2" t="s">
        <v>74</v>
      </c>
      <c r="R227" s="2" t="s">
        <v>74</v>
      </c>
      <c r="S227" s="2" t="s">
        <v>74</v>
      </c>
      <c r="T227" s="2" t="s">
        <v>74</v>
      </c>
      <c r="U227" s="2" t="s">
        <v>74</v>
      </c>
      <c r="V227" s="5" t="s">
        <v>2603</v>
      </c>
      <c r="W227" s="2" t="s">
        <v>74</v>
      </c>
      <c r="X227" s="2" t="s">
        <v>74</v>
      </c>
      <c r="Y227" s="2" t="s">
        <v>74</v>
      </c>
      <c r="Z227" s="2" t="s">
        <v>74</v>
      </c>
      <c r="AA227" s="2" t="s">
        <v>2604</v>
      </c>
      <c r="AB227" s="2" t="s">
        <v>2605</v>
      </c>
      <c r="AC227" s="2" t="s">
        <v>74</v>
      </c>
      <c r="AD227" s="2" t="s">
        <v>74</v>
      </c>
      <c r="AE227" s="2" t="s">
        <v>74</v>
      </c>
      <c r="AF227" s="2" t="s">
        <v>74</v>
      </c>
      <c r="AG227" s="2" t="s">
        <v>74</v>
      </c>
      <c r="AH227" s="2" t="s">
        <v>74</v>
      </c>
      <c r="AI227" s="2" t="s">
        <v>74</v>
      </c>
      <c r="AJ227" s="2" t="s">
        <v>74</v>
      </c>
      <c r="AK227" s="2" t="s">
        <v>74</v>
      </c>
      <c r="AL227" s="2" t="s">
        <v>74</v>
      </c>
      <c r="AM227" s="2" t="s">
        <v>74</v>
      </c>
      <c r="AN227" s="2" t="s">
        <v>74</v>
      </c>
      <c r="AO227" s="2" t="s">
        <v>285</v>
      </c>
      <c r="AP227" s="2" t="s">
        <v>286</v>
      </c>
      <c r="AQ227" s="2" t="s">
        <v>74</v>
      </c>
      <c r="AR227" s="2" t="s">
        <v>74</v>
      </c>
      <c r="AS227" s="2" t="s">
        <v>74</v>
      </c>
      <c r="AT227" s="2" t="s">
        <v>633</v>
      </c>
      <c r="AU227" s="2">
        <v>2004</v>
      </c>
      <c r="AV227" s="2">
        <v>7</v>
      </c>
      <c r="AW227" s="2">
        <v>2</v>
      </c>
      <c r="AX227" s="2" t="s">
        <v>74</v>
      </c>
      <c r="AY227" s="2" t="s">
        <v>74</v>
      </c>
      <c r="AZ227" s="2" t="s">
        <v>74</v>
      </c>
      <c r="BA227" s="2" t="s">
        <v>74</v>
      </c>
      <c r="BB227" s="2">
        <v>69</v>
      </c>
      <c r="BC227" s="2">
        <v>76</v>
      </c>
      <c r="BD227" s="2" t="s">
        <v>74</v>
      </c>
      <c r="BE227" s="2" t="s">
        <v>2606</v>
      </c>
      <c r="BF227" s="2" t="str">
        <f>HYPERLINK("http://dx.doi.org/10.1007/s10071-003-0189-4","http://dx.doi.org/10.1007/s10071-003-0189-4")</f>
        <v>http://dx.doi.org/10.1007/s10071-003-0189-4</v>
      </c>
      <c r="BG227" s="2" t="s">
        <v>74</v>
      </c>
      <c r="BH227" s="2" t="s">
        <v>74</v>
      </c>
      <c r="BI227" s="2" t="s">
        <v>74</v>
      </c>
      <c r="BJ227" s="2" t="s">
        <v>74</v>
      </c>
      <c r="BK227" s="2" t="s">
        <v>74</v>
      </c>
      <c r="BL227" s="2" t="s">
        <v>74</v>
      </c>
      <c r="BM227" s="2" t="s">
        <v>74</v>
      </c>
      <c r="BN227" s="2">
        <v>15069605</v>
      </c>
      <c r="BO227" s="2" t="s">
        <v>74</v>
      </c>
      <c r="BP227" s="2" t="s">
        <v>74</v>
      </c>
      <c r="BQ227" s="2" t="s">
        <v>74</v>
      </c>
      <c r="BR227" s="2" t="s">
        <v>74</v>
      </c>
      <c r="BS227" s="2" t="s">
        <v>2607</v>
      </c>
      <c r="BT227" s="2" t="str">
        <f>HYPERLINK("https%3A%2F%2Fwww.webofscience.com%2Fwos%2Fwoscc%2Ffull-record%2FWOS:000221649900001","View Full Record in Web of Science")</f>
        <v>View Full Record in Web of Science</v>
      </c>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row>
    <row r="228" spans="1:314" s="2" customFormat="1" x14ac:dyDescent="0.4">
      <c r="A228" s="2" t="s">
        <v>72</v>
      </c>
      <c r="B228" s="2" t="s">
        <v>6542</v>
      </c>
      <c r="C228" s="2" t="s">
        <v>74</v>
      </c>
      <c r="D228" s="2" t="s">
        <v>74</v>
      </c>
      <c r="E228" s="2" t="s">
        <v>74</v>
      </c>
      <c r="F228" s="2" t="s">
        <v>6543</v>
      </c>
      <c r="G228" s="2" t="s">
        <v>74</v>
      </c>
      <c r="H228" s="2" t="s">
        <v>74</v>
      </c>
      <c r="I228" s="2" t="s">
        <v>6544</v>
      </c>
      <c r="J228" s="2" t="s">
        <v>970</v>
      </c>
      <c r="K228" s="2" t="s">
        <v>74</v>
      </c>
      <c r="L228" s="2" t="s">
        <v>74</v>
      </c>
      <c r="M228" s="2" t="s">
        <v>74</v>
      </c>
      <c r="N228" s="2" t="s">
        <v>74</v>
      </c>
      <c r="O228" s="2" t="s">
        <v>74</v>
      </c>
      <c r="P228" s="2" t="s">
        <v>74</v>
      </c>
      <c r="Q228" s="2" t="s">
        <v>74</v>
      </c>
      <c r="R228" s="2" t="s">
        <v>74</v>
      </c>
      <c r="S228" s="2" t="s">
        <v>74</v>
      </c>
      <c r="T228" s="2" t="s">
        <v>74</v>
      </c>
      <c r="U228" s="2" t="s">
        <v>74</v>
      </c>
      <c r="V228" s="5" t="s">
        <v>6545</v>
      </c>
      <c r="W228" s="2" t="s">
        <v>74</v>
      </c>
      <c r="X228" s="2" t="s">
        <v>74</v>
      </c>
      <c r="Y228" s="2" t="s">
        <v>74</v>
      </c>
      <c r="Z228" s="2" t="s">
        <v>74</v>
      </c>
      <c r="AA228" s="2" t="s">
        <v>6546</v>
      </c>
      <c r="AB228" s="2" t="s">
        <v>6547</v>
      </c>
      <c r="AC228" s="2" t="s">
        <v>74</v>
      </c>
      <c r="AD228" s="2" t="s">
        <v>74</v>
      </c>
      <c r="AE228" s="2" t="s">
        <v>74</v>
      </c>
      <c r="AF228" s="2" t="s">
        <v>74</v>
      </c>
      <c r="AG228" s="2" t="s">
        <v>74</v>
      </c>
      <c r="AH228" s="2" t="s">
        <v>74</v>
      </c>
      <c r="AI228" s="2" t="s">
        <v>74</v>
      </c>
      <c r="AJ228" s="2" t="s">
        <v>74</v>
      </c>
      <c r="AK228" s="2" t="s">
        <v>74</v>
      </c>
      <c r="AL228" s="2" t="s">
        <v>74</v>
      </c>
      <c r="AM228" s="2" t="s">
        <v>74</v>
      </c>
      <c r="AN228" s="2" t="s">
        <v>74</v>
      </c>
      <c r="AO228" s="2" t="s">
        <v>974</v>
      </c>
      <c r="AP228" s="2" t="s">
        <v>975</v>
      </c>
      <c r="AQ228" s="2" t="s">
        <v>74</v>
      </c>
      <c r="AR228" s="2" t="s">
        <v>74</v>
      </c>
      <c r="AS228" s="2" t="s">
        <v>74</v>
      </c>
      <c r="AT228" s="2" t="s">
        <v>633</v>
      </c>
      <c r="AU228" s="2">
        <v>2020</v>
      </c>
      <c r="AV228" s="2">
        <v>161</v>
      </c>
      <c r="AW228" s="2">
        <v>2</v>
      </c>
      <c r="AX228" s="2" t="s">
        <v>74</v>
      </c>
      <c r="AY228" s="2" t="s">
        <v>74</v>
      </c>
      <c r="AZ228" s="2" t="s">
        <v>74</v>
      </c>
      <c r="BA228" s="2" t="s">
        <v>74</v>
      </c>
      <c r="BB228" s="2">
        <v>341</v>
      </c>
      <c r="BC228" s="2">
        <v>350</v>
      </c>
      <c r="BD228" s="2" t="s">
        <v>74</v>
      </c>
      <c r="BE228" s="2" t="s">
        <v>6548</v>
      </c>
      <c r="BF228" s="2" t="str">
        <f>HYPERLINK("http://dx.doi.org/10.1007/s10336-019-01730-2","http://dx.doi.org/10.1007/s10336-019-01730-2")</f>
        <v>http://dx.doi.org/10.1007/s10336-019-01730-2</v>
      </c>
      <c r="BG228" s="2" t="s">
        <v>74</v>
      </c>
      <c r="BH228" s="2" t="s">
        <v>2283</v>
      </c>
      <c r="BI228" s="2" t="s">
        <v>74</v>
      </c>
      <c r="BJ228" s="2" t="s">
        <v>74</v>
      </c>
      <c r="BK228" s="2" t="s">
        <v>74</v>
      </c>
      <c r="BL228" s="2" t="s">
        <v>74</v>
      </c>
      <c r="BM228" s="2" t="s">
        <v>74</v>
      </c>
      <c r="BN228" s="2" t="s">
        <v>74</v>
      </c>
      <c r="BO228" s="2" t="s">
        <v>74</v>
      </c>
      <c r="BP228" s="2" t="s">
        <v>74</v>
      </c>
      <c r="BQ228" s="2" t="s">
        <v>74</v>
      </c>
      <c r="BR228" s="2" t="s">
        <v>74</v>
      </c>
      <c r="BS228" s="2" t="s">
        <v>6549</v>
      </c>
      <c r="BT228" s="2" t="str">
        <f>HYPERLINK("https%3A%2F%2Fwww.webofscience.com%2Fwos%2Fwoscc%2Ffull-record%2FWOS:000493944300001","View Full Record in Web of Science")</f>
        <v>View Full Record in Web of Science</v>
      </c>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row>
    <row r="229" spans="1:314" s="2" customFormat="1" x14ac:dyDescent="0.4">
      <c r="A229" s="2" t="s">
        <v>72</v>
      </c>
      <c r="B229" s="2" t="s">
        <v>7896</v>
      </c>
      <c r="C229" s="2" t="s">
        <v>74</v>
      </c>
      <c r="D229" s="2" t="s">
        <v>74</v>
      </c>
      <c r="E229" s="2" t="s">
        <v>74</v>
      </c>
      <c r="F229" s="2" t="s">
        <v>7897</v>
      </c>
      <c r="G229" s="2" t="s">
        <v>74</v>
      </c>
      <c r="H229" s="2" t="s">
        <v>74</v>
      </c>
      <c r="I229" s="2" t="s">
        <v>7898</v>
      </c>
      <c r="J229" s="2" t="s">
        <v>842</v>
      </c>
      <c r="K229" s="2" t="s">
        <v>74</v>
      </c>
      <c r="L229" s="2" t="s">
        <v>74</v>
      </c>
      <c r="M229" s="2" t="s">
        <v>74</v>
      </c>
      <c r="N229" s="2" t="s">
        <v>74</v>
      </c>
      <c r="O229" s="2" t="s">
        <v>74</v>
      </c>
      <c r="P229" s="2" t="s">
        <v>74</v>
      </c>
      <c r="Q229" s="2" t="s">
        <v>74</v>
      </c>
      <c r="R229" s="2" t="s">
        <v>74</v>
      </c>
      <c r="S229" s="2" t="s">
        <v>74</v>
      </c>
      <c r="T229" s="2" t="s">
        <v>74</v>
      </c>
      <c r="U229" s="2" t="s">
        <v>74</v>
      </c>
      <c r="V229" s="5" t="s">
        <v>7899</v>
      </c>
      <c r="W229" s="2" t="s">
        <v>74</v>
      </c>
      <c r="X229" s="2" t="s">
        <v>74</v>
      </c>
      <c r="Y229" s="2" t="s">
        <v>74</v>
      </c>
      <c r="Z229" s="2" t="s">
        <v>74</v>
      </c>
      <c r="AA229" s="2" t="s">
        <v>7900</v>
      </c>
      <c r="AB229" s="2" t="s">
        <v>74</v>
      </c>
      <c r="AC229" s="2" t="s">
        <v>74</v>
      </c>
      <c r="AD229" s="2" t="s">
        <v>74</v>
      </c>
      <c r="AE229" s="2" t="s">
        <v>74</v>
      </c>
      <c r="AF229" s="2" t="s">
        <v>74</v>
      </c>
      <c r="AG229" s="2" t="s">
        <v>74</v>
      </c>
      <c r="AH229" s="2" t="s">
        <v>74</v>
      </c>
      <c r="AI229" s="2" t="s">
        <v>74</v>
      </c>
      <c r="AJ229" s="2" t="s">
        <v>74</v>
      </c>
      <c r="AK229" s="2" t="s">
        <v>74</v>
      </c>
      <c r="AL229" s="2" t="s">
        <v>74</v>
      </c>
      <c r="AM229" s="2" t="s">
        <v>74</v>
      </c>
      <c r="AN229" s="2" t="s">
        <v>74</v>
      </c>
      <c r="AO229" s="2" t="s">
        <v>846</v>
      </c>
      <c r="AP229" s="2" t="s">
        <v>847</v>
      </c>
      <c r="AQ229" s="2" t="s">
        <v>74</v>
      </c>
      <c r="AR229" s="2" t="s">
        <v>74</v>
      </c>
      <c r="AS229" s="2" t="s">
        <v>74</v>
      </c>
      <c r="AT229" s="2" t="s">
        <v>305</v>
      </c>
      <c r="AU229" s="2">
        <v>2017</v>
      </c>
      <c r="AV229" s="2">
        <v>79</v>
      </c>
      <c r="AW229" s="2">
        <v>12</v>
      </c>
      <c r="AX229" s="2" t="s">
        <v>74</v>
      </c>
      <c r="AY229" s="2" t="s">
        <v>74</v>
      </c>
      <c r="AZ229" s="2" t="s">
        <v>74</v>
      </c>
      <c r="BA229" s="2" t="s">
        <v>74</v>
      </c>
      <c r="BB229" s="2" t="s">
        <v>74</v>
      </c>
      <c r="BC229" s="2" t="s">
        <v>74</v>
      </c>
      <c r="BD229" s="2" t="s">
        <v>7901</v>
      </c>
      <c r="BE229" s="2" t="s">
        <v>7902</v>
      </c>
      <c r="BF229" s="2" t="str">
        <f>HYPERLINK("http://dx.doi.org/10.1002/ajp.22726","http://dx.doi.org/10.1002/ajp.22726")</f>
        <v>http://dx.doi.org/10.1002/ajp.22726</v>
      </c>
      <c r="BG229" s="2" t="s">
        <v>74</v>
      </c>
      <c r="BH229" s="2" t="s">
        <v>74</v>
      </c>
      <c r="BI229" s="2" t="s">
        <v>74</v>
      </c>
      <c r="BJ229" s="2" t="s">
        <v>74</v>
      </c>
      <c r="BK229" s="2" t="s">
        <v>74</v>
      </c>
      <c r="BL229" s="2" t="s">
        <v>74</v>
      </c>
      <c r="BM229" s="2" t="s">
        <v>74</v>
      </c>
      <c r="BN229" s="2">
        <v>29095514</v>
      </c>
      <c r="BO229" s="2" t="s">
        <v>74</v>
      </c>
      <c r="BP229" s="2" t="s">
        <v>74</v>
      </c>
      <c r="BQ229" s="2" t="s">
        <v>74</v>
      </c>
      <c r="BR229" s="2" t="s">
        <v>74</v>
      </c>
      <c r="BS229" s="2" t="s">
        <v>7903</v>
      </c>
      <c r="BT229" s="2" t="str">
        <f>HYPERLINK("https%3A%2F%2Fwww.webofscience.com%2Fwos%2Fwoscc%2Ffull-record%2FWOS:000417173400004","View Full Record in Web of Science")</f>
        <v>View Full Record in Web of Science</v>
      </c>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row>
    <row r="230" spans="1:314" s="2" customFormat="1" x14ac:dyDescent="0.4">
      <c r="A230" s="2" t="s">
        <v>72</v>
      </c>
      <c r="B230" s="2" t="s">
        <v>662</v>
      </c>
      <c r="C230" s="2" t="s">
        <v>74</v>
      </c>
      <c r="D230" s="2" t="s">
        <v>74</v>
      </c>
      <c r="E230" s="2" t="s">
        <v>74</v>
      </c>
      <c r="F230" s="2" t="s">
        <v>662</v>
      </c>
      <c r="G230" s="2" t="s">
        <v>74</v>
      </c>
      <c r="H230" s="2" t="s">
        <v>74</v>
      </c>
      <c r="I230" s="2" t="s">
        <v>663</v>
      </c>
      <c r="J230" s="2" t="s">
        <v>140</v>
      </c>
      <c r="K230" s="2" t="s">
        <v>74</v>
      </c>
      <c r="L230" s="2" t="s">
        <v>74</v>
      </c>
      <c r="M230" s="2" t="s">
        <v>74</v>
      </c>
      <c r="N230" s="2" t="s">
        <v>74</v>
      </c>
      <c r="O230" s="2" t="s">
        <v>74</v>
      </c>
      <c r="P230" s="2" t="s">
        <v>74</v>
      </c>
      <c r="Q230" s="2" t="s">
        <v>74</v>
      </c>
      <c r="R230" s="2" t="s">
        <v>74</v>
      </c>
      <c r="S230" s="2" t="s">
        <v>74</v>
      </c>
      <c r="T230" s="2" t="s">
        <v>74</v>
      </c>
      <c r="U230" s="2" t="s">
        <v>74</v>
      </c>
      <c r="V230" s="5" t="s">
        <v>664</v>
      </c>
      <c r="W230" s="2" t="s">
        <v>74</v>
      </c>
      <c r="X230" s="2" t="s">
        <v>74</v>
      </c>
      <c r="Y230" s="2" t="s">
        <v>74</v>
      </c>
      <c r="Z230" s="2" t="s">
        <v>74</v>
      </c>
      <c r="AA230" s="2" t="s">
        <v>665</v>
      </c>
      <c r="AB230" s="2" t="s">
        <v>666</v>
      </c>
      <c r="AC230" s="2" t="s">
        <v>74</v>
      </c>
      <c r="AD230" s="2" t="s">
        <v>74</v>
      </c>
      <c r="AE230" s="2" t="s">
        <v>74</v>
      </c>
      <c r="AF230" s="2" t="s">
        <v>74</v>
      </c>
      <c r="AG230" s="2" t="s">
        <v>74</v>
      </c>
      <c r="AH230" s="2" t="s">
        <v>74</v>
      </c>
      <c r="AI230" s="2" t="s">
        <v>74</v>
      </c>
      <c r="AJ230" s="2" t="s">
        <v>74</v>
      </c>
      <c r="AK230" s="2" t="s">
        <v>74</v>
      </c>
      <c r="AL230" s="2" t="s">
        <v>74</v>
      </c>
      <c r="AM230" s="2" t="s">
        <v>74</v>
      </c>
      <c r="AN230" s="2" t="s">
        <v>74</v>
      </c>
      <c r="AO230" s="2" t="s">
        <v>143</v>
      </c>
      <c r="AP230" s="2" t="s">
        <v>144</v>
      </c>
      <c r="AQ230" s="2" t="s">
        <v>74</v>
      </c>
      <c r="AR230" s="2" t="s">
        <v>74</v>
      </c>
      <c r="AS230" s="2" t="s">
        <v>74</v>
      </c>
      <c r="AT230" s="2" t="s">
        <v>74</v>
      </c>
      <c r="AU230" s="2">
        <v>1982</v>
      </c>
      <c r="AV230" s="2">
        <v>30</v>
      </c>
      <c r="AW230" s="2" t="s">
        <v>134</v>
      </c>
      <c r="AX230" s="2" t="s">
        <v>74</v>
      </c>
      <c r="AY230" s="2" t="s">
        <v>74</v>
      </c>
      <c r="AZ230" s="2" t="s">
        <v>74</v>
      </c>
      <c r="BA230" s="2" t="s">
        <v>74</v>
      </c>
      <c r="BB230" s="2">
        <v>444</v>
      </c>
      <c r="BC230" s="2">
        <v>455</v>
      </c>
      <c r="BD230" s="2" t="s">
        <v>74</v>
      </c>
      <c r="BE230" s="2" t="s">
        <v>667</v>
      </c>
      <c r="BF230" s="2" t="str">
        <f>HYPERLINK("http://dx.doi.org/10.1016/S0003-3472(82)80055-9","http://dx.doi.org/10.1016/S0003-3472(82)80055-9")</f>
        <v>http://dx.doi.org/10.1016/S0003-3472(82)80055-9</v>
      </c>
      <c r="BG230" s="2" t="s">
        <v>74</v>
      </c>
      <c r="BH230" s="2" t="s">
        <v>74</v>
      </c>
      <c r="BI230" s="2" t="s">
        <v>74</v>
      </c>
      <c r="BJ230" s="2" t="s">
        <v>74</v>
      </c>
      <c r="BK230" s="2" t="s">
        <v>74</v>
      </c>
      <c r="BL230" s="2" t="s">
        <v>74</v>
      </c>
      <c r="BM230" s="2" t="s">
        <v>74</v>
      </c>
      <c r="BN230" s="2" t="s">
        <v>74</v>
      </c>
      <c r="BO230" s="2" t="s">
        <v>74</v>
      </c>
      <c r="BP230" s="2" t="s">
        <v>74</v>
      </c>
      <c r="BQ230" s="2" t="s">
        <v>74</v>
      </c>
      <c r="BR230" s="2" t="s">
        <v>74</v>
      </c>
      <c r="BS230" s="2" t="s">
        <v>668</v>
      </c>
      <c r="BT230" s="2" t="str">
        <f>HYPERLINK("https%3A%2F%2Fwww.webofscience.com%2Fwos%2Fwoscc%2Ffull-record%2FWOS:A1982NQ92800014","View Full Record in Web of Science")</f>
        <v>View Full Record in Web of Science</v>
      </c>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row>
    <row r="231" spans="1:314" s="1" customFormat="1" x14ac:dyDescent="0.4">
      <c r="A231" s="2" t="s">
        <v>72</v>
      </c>
      <c r="B231" s="2" t="s">
        <v>6112</v>
      </c>
      <c r="C231" s="2" t="s">
        <v>74</v>
      </c>
      <c r="D231" s="2" t="s">
        <v>74</v>
      </c>
      <c r="E231" s="2" t="s">
        <v>74</v>
      </c>
      <c r="F231" s="2" t="s">
        <v>6112</v>
      </c>
      <c r="G231" s="2" t="s">
        <v>74</v>
      </c>
      <c r="H231" s="2" t="s">
        <v>74</v>
      </c>
      <c r="I231" s="2" t="s">
        <v>6113</v>
      </c>
      <c r="J231" s="2" t="s">
        <v>4655</v>
      </c>
      <c r="K231" s="2" t="s">
        <v>74</v>
      </c>
      <c r="L231" s="2" t="s">
        <v>74</v>
      </c>
      <c r="M231" s="2" t="s">
        <v>74</v>
      </c>
      <c r="N231" s="2" t="s">
        <v>74</v>
      </c>
      <c r="O231" s="2" t="s">
        <v>74</v>
      </c>
      <c r="P231" s="2" t="s">
        <v>74</v>
      </c>
      <c r="Q231" s="2" t="s">
        <v>74</v>
      </c>
      <c r="R231" s="2" t="s">
        <v>74</v>
      </c>
      <c r="S231" s="2" t="s">
        <v>74</v>
      </c>
      <c r="T231" s="2" t="s">
        <v>74</v>
      </c>
      <c r="U231" s="2" t="s">
        <v>74</v>
      </c>
      <c r="V231" s="5" t="s">
        <v>6114</v>
      </c>
      <c r="W231" s="2" t="s">
        <v>74</v>
      </c>
      <c r="X231" s="2" t="s">
        <v>74</v>
      </c>
      <c r="Y231" s="2" t="s">
        <v>74</v>
      </c>
      <c r="Z231" s="2" t="s">
        <v>74</v>
      </c>
      <c r="AA231" s="2" t="s">
        <v>74</v>
      </c>
      <c r="AB231" s="2" t="s">
        <v>74</v>
      </c>
      <c r="AC231" s="2" t="s">
        <v>74</v>
      </c>
      <c r="AD231" s="2" t="s">
        <v>74</v>
      </c>
      <c r="AE231" s="2" t="s">
        <v>74</v>
      </c>
      <c r="AF231" s="2" t="s">
        <v>74</v>
      </c>
      <c r="AG231" s="2" t="s">
        <v>74</v>
      </c>
      <c r="AH231" s="2" t="s">
        <v>74</v>
      </c>
      <c r="AI231" s="2" t="s">
        <v>74</v>
      </c>
      <c r="AJ231" s="2" t="s">
        <v>74</v>
      </c>
      <c r="AK231" s="2" t="s">
        <v>74</v>
      </c>
      <c r="AL231" s="2" t="s">
        <v>74</v>
      </c>
      <c r="AM231" s="2" t="s">
        <v>74</v>
      </c>
      <c r="AN231" s="2" t="s">
        <v>74</v>
      </c>
      <c r="AO231" s="2" t="s">
        <v>4657</v>
      </c>
      <c r="AP231" s="2" t="s">
        <v>74</v>
      </c>
      <c r="AQ231" s="2" t="s">
        <v>74</v>
      </c>
      <c r="AR231" s="2" t="s">
        <v>74</v>
      </c>
      <c r="AS231" s="2" t="s">
        <v>74</v>
      </c>
      <c r="AT231" s="2" t="s">
        <v>352</v>
      </c>
      <c r="AU231" s="2">
        <v>2000</v>
      </c>
      <c r="AV231" s="2">
        <v>112</v>
      </c>
      <c r="AW231" s="2">
        <v>3</v>
      </c>
      <c r="AX231" s="2" t="s">
        <v>74</v>
      </c>
      <c r="AY231" s="2" t="s">
        <v>74</v>
      </c>
      <c r="AZ231" s="2" t="s">
        <v>74</v>
      </c>
      <c r="BA231" s="2" t="s">
        <v>74</v>
      </c>
      <c r="BB231" s="2">
        <v>313</v>
      </c>
      <c r="BC231" s="2">
        <v>317</v>
      </c>
      <c r="BD231" s="2" t="s">
        <v>74</v>
      </c>
      <c r="BE231" s="2" t="s">
        <v>6115</v>
      </c>
      <c r="BF231" s="2" t="str">
        <f>HYPERLINK("http://dx.doi.org/10.1676/0043-5643(2000)112[0313:NROFAS]2.0.CO;2","http://dx.doi.org/10.1676/0043-5643(2000)112[0313:NROFAS]2.0.CO;2")</f>
        <v>http://dx.doi.org/10.1676/0043-5643(2000)112[0313:NROFAS]2.0.CO;2</v>
      </c>
      <c r="BG231" s="2" t="s">
        <v>74</v>
      </c>
      <c r="BH231" s="2" t="s">
        <v>74</v>
      </c>
      <c r="BI231" s="2" t="s">
        <v>74</v>
      </c>
      <c r="BJ231" s="2" t="s">
        <v>74</v>
      </c>
      <c r="BK231" s="2" t="s">
        <v>74</v>
      </c>
      <c r="BL231" s="2" t="s">
        <v>74</v>
      </c>
      <c r="BM231" s="2" t="s">
        <v>74</v>
      </c>
      <c r="BN231" s="2" t="s">
        <v>74</v>
      </c>
      <c r="BO231" s="2" t="s">
        <v>74</v>
      </c>
      <c r="BP231" s="2" t="s">
        <v>74</v>
      </c>
      <c r="BQ231" s="2" t="s">
        <v>74</v>
      </c>
      <c r="BR231" s="2" t="s">
        <v>74</v>
      </c>
      <c r="BS231" s="2" t="s">
        <v>6116</v>
      </c>
      <c r="BT231" s="2" t="str">
        <f>HYPERLINK("https%3A%2F%2Fwww.webofscience.com%2Fwos%2Fwoscc%2Ffull-record%2FWOS:000089097200002","View Full Record in Web of Science")</f>
        <v>View Full Record in Web of Science</v>
      </c>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row>
    <row r="232" spans="1:314" s="1" customFormat="1" x14ac:dyDescent="0.4">
      <c r="A232" s="2" t="s">
        <v>72</v>
      </c>
      <c r="B232" s="2" t="s">
        <v>1372</v>
      </c>
      <c r="C232" s="2" t="s">
        <v>74</v>
      </c>
      <c r="D232" s="2" t="s">
        <v>74</v>
      </c>
      <c r="E232" s="2" t="s">
        <v>74</v>
      </c>
      <c r="F232" s="2" t="s">
        <v>1373</v>
      </c>
      <c r="G232" s="2" t="s">
        <v>74</v>
      </c>
      <c r="H232" s="2" t="s">
        <v>74</v>
      </c>
      <c r="I232" s="2" t="s">
        <v>1374</v>
      </c>
      <c r="J232" s="2" t="s">
        <v>1375</v>
      </c>
      <c r="K232" s="2" t="s">
        <v>74</v>
      </c>
      <c r="L232" s="2" t="s">
        <v>74</v>
      </c>
      <c r="M232" s="2" t="s">
        <v>74</v>
      </c>
      <c r="N232" s="2" t="s">
        <v>74</v>
      </c>
      <c r="O232" s="2" t="s">
        <v>74</v>
      </c>
      <c r="P232" s="2" t="s">
        <v>74</v>
      </c>
      <c r="Q232" s="2" t="s">
        <v>74</v>
      </c>
      <c r="R232" s="2" t="s">
        <v>74</v>
      </c>
      <c r="S232" s="2" t="s">
        <v>74</v>
      </c>
      <c r="T232" s="2" t="s">
        <v>74</v>
      </c>
      <c r="U232" s="2" t="s">
        <v>74</v>
      </c>
      <c r="V232" s="5" t="s">
        <v>1376</v>
      </c>
      <c r="W232" s="2" t="s">
        <v>74</v>
      </c>
      <c r="X232" s="2" t="s">
        <v>74</v>
      </c>
      <c r="Y232" s="2" t="s">
        <v>74</v>
      </c>
      <c r="Z232" s="2" t="s">
        <v>74</v>
      </c>
      <c r="AA232" s="2" t="s">
        <v>74</v>
      </c>
      <c r="AB232" s="2" t="s">
        <v>1377</v>
      </c>
      <c r="AC232" s="2" t="s">
        <v>74</v>
      </c>
      <c r="AD232" s="2" t="s">
        <v>74</v>
      </c>
      <c r="AE232" s="2" t="s">
        <v>74</v>
      </c>
      <c r="AF232" s="2" t="s">
        <v>74</v>
      </c>
      <c r="AG232" s="2" t="s">
        <v>74</v>
      </c>
      <c r="AH232" s="2" t="s">
        <v>74</v>
      </c>
      <c r="AI232" s="2" t="s">
        <v>74</v>
      </c>
      <c r="AJ232" s="2" t="s">
        <v>74</v>
      </c>
      <c r="AK232" s="2" t="s">
        <v>74</v>
      </c>
      <c r="AL232" s="2" t="s">
        <v>74</v>
      </c>
      <c r="AM232" s="2" t="s">
        <v>74</v>
      </c>
      <c r="AN232" s="2" t="s">
        <v>74</v>
      </c>
      <c r="AO232" s="2" t="s">
        <v>1378</v>
      </c>
      <c r="AP232" s="2" t="s">
        <v>74</v>
      </c>
      <c r="AQ232" s="2" t="s">
        <v>74</v>
      </c>
      <c r="AR232" s="2" t="s">
        <v>74</v>
      </c>
      <c r="AS232" s="2" t="s">
        <v>74</v>
      </c>
      <c r="AT232" s="2" t="s">
        <v>74</v>
      </c>
      <c r="AU232" s="2">
        <v>2023</v>
      </c>
      <c r="AV232" s="2">
        <v>14</v>
      </c>
      <c r="AW232" s="2" t="s">
        <v>74</v>
      </c>
      <c r="AX232" s="2" t="s">
        <v>74</v>
      </c>
      <c r="AY232" s="2" t="s">
        <v>74</v>
      </c>
      <c r="AZ232" s="2" t="s">
        <v>74</v>
      </c>
      <c r="BA232" s="2" t="s">
        <v>74</v>
      </c>
      <c r="BB232" s="2" t="s">
        <v>74</v>
      </c>
      <c r="BC232" s="2" t="s">
        <v>74</v>
      </c>
      <c r="BD232" s="2">
        <v>100077</v>
      </c>
      <c r="BE232" s="2" t="s">
        <v>1379</v>
      </c>
      <c r="BF232" s="2" t="str">
        <f>HYPERLINK("http://dx.doi.org/10.1016/j.avrs.2023.100077","http://dx.doi.org/10.1016/j.avrs.2023.100077")</f>
        <v>http://dx.doi.org/10.1016/j.avrs.2023.100077</v>
      </c>
      <c r="BG232" s="2" t="s">
        <v>74</v>
      </c>
      <c r="BH232" s="2" t="s">
        <v>74</v>
      </c>
      <c r="BI232" s="2" t="s">
        <v>74</v>
      </c>
      <c r="BJ232" s="2" t="s">
        <v>74</v>
      </c>
      <c r="BK232" s="2" t="s">
        <v>74</v>
      </c>
      <c r="BL232" s="2" t="s">
        <v>74</v>
      </c>
      <c r="BM232" s="2" t="s">
        <v>74</v>
      </c>
      <c r="BN232" s="2" t="s">
        <v>74</v>
      </c>
      <c r="BO232" s="2" t="s">
        <v>74</v>
      </c>
      <c r="BP232" s="2" t="s">
        <v>74</v>
      </c>
      <c r="BQ232" s="2" t="s">
        <v>74</v>
      </c>
      <c r="BR232" s="2" t="s">
        <v>74</v>
      </c>
      <c r="BS232" s="2" t="s">
        <v>1380</v>
      </c>
      <c r="BT232" s="2" t="str">
        <f>HYPERLINK("https%3A%2F%2Fwww.webofscience.com%2Fwos%2Fwoscc%2Ffull-record%2FWOS:000933848900001","View Full Record in Web of Science")</f>
        <v>View Full Record in Web of Science</v>
      </c>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row>
    <row r="233" spans="1:314" s="2" customFormat="1" x14ac:dyDescent="0.4">
      <c r="A233" s="2" t="s">
        <v>72</v>
      </c>
      <c r="B233" s="2" t="s">
        <v>2067</v>
      </c>
      <c r="C233" s="2" t="s">
        <v>74</v>
      </c>
      <c r="D233" s="2" t="s">
        <v>74</v>
      </c>
      <c r="E233" s="2" t="s">
        <v>74</v>
      </c>
      <c r="F233" s="2" t="s">
        <v>2068</v>
      </c>
      <c r="G233" s="2" t="s">
        <v>74</v>
      </c>
      <c r="H233" s="2" t="s">
        <v>74</v>
      </c>
      <c r="I233" s="2" t="s">
        <v>2069</v>
      </c>
      <c r="J233" s="2" t="s">
        <v>2070</v>
      </c>
      <c r="K233" s="2" t="s">
        <v>74</v>
      </c>
      <c r="L233" s="2" t="s">
        <v>74</v>
      </c>
      <c r="M233" s="2" t="s">
        <v>74</v>
      </c>
      <c r="N233" s="2" t="s">
        <v>74</v>
      </c>
      <c r="O233" s="2" t="s">
        <v>74</v>
      </c>
      <c r="P233" s="2" t="s">
        <v>74</v>
      </c>
      <c r="Q233" s="2" t="s">
        <v>74</v>
      </c>
      <c r="R233" s="2" t="s">
        <v>74</v>
      </c>
      <c r="S233" s="2" t="s">
        <v>74</v>
      </c>
      <c r="T233" s="2" t="s">
        <v>74</v>
      </c>
      <c r="U233" s="2" t="s">
        <v>74</v>
      </c>
      <c r="V233" s="5" t="s">
        <v>2071</v>
      </c>
      <c r="W233" s="2" t="s">
        <v>74</v>
      </c>
      <c r="X233" s="2" t="s">
        <v>74</v>
      </c>
      <c r="Y233" s="2" t="s">
        <v>74</v>
      </c>
      <c r="Z233" s="2" t="s">
        <v>74</v>
      </c>
      <c r="AA233" s="2" t="s">
        <v>74</v>
      </c>
      <c r="AB233" s="2" t="s">
        <v>274</v>
      </c>
      <c r="AC233" s="2" t="s">
        <v>74</v>
      </c>
      <c r="AD233" s="2" t="s">
        <v>74</v>
      </c>
      <c r="AE233" s="2" t="s">
        <v>74</v>
      </c>
      <c r="AF233" s="2" t="s">
        <v>74</v>
      </c>
      <c r="AG233" s="2" t="s">
        <v>74</v>
      </c>
      <c r="AH233" s="2" t="s">
        <v>74</v>
      </c>
      <c r="AI233" s="2" t="s">
        <v>74</v>
      </c>
      <c r="AJ233" s="2" t="s">
        <v>74</v>
      </c>
      <c r="AK233" s="2" t="s">
        <v>74</v>
      </c>
      <c r="AL233" s="2" t="s">
        <v>74</v>
      </c>
      <c r="AM233" s="2" t="s">
        <v>74</v>
      </c>
      <c r="AN233" s="2" t="s">
        <v>74</v>
      </c>
      <c r="AO233" s="2" t="s">
        <v>2072</v>
      </c>
      <c r="AP233" s="2" t="s">
        <v>2073</v>
      </c>
      <c r="AQ233" s="2" t="s">
        <v>74</v>
      </c>
      <c r="AR233" s="2" t="s">
        <v>74</v>
      </c>
      <c r="AS233" s="2" t="s">
        <v>74</v>
      </c>
      <c r="AT233" s="2" t="s">
        <v>145</v>
      </c>
      <c r="AU233" s="2">
        <v>2007</v>
      </c>
      <c r="AV233" s="2">
        <v>177</v>
      </c>
      <c r="AW233" s="2">
        <v>6</v>
      </c>
      <c r="AX233" s="2" t="s">
        <v>74</v>
      </c>
      <c r="AY233" s="2" t="s">
        <v>74</v>
      </c>
      <c r="AZ233" s="2" t="s">
        <v>74</v>
      </c>
      <c r="BA233" s="2" t="s">
        <v>74</v>
      </c>
      <c r="BB233" s="2">
        <v>641</v>
      </c>
      <c r="BC233" s="2">
        <v>654</v>
      </c>
      <c r="BD233" s="2" t="s">
        <v>74</v>
      </c>
      <c r="BE233" s="2" t="s">
        <v>2074</v>
      </c>
      <c r="BF233" s="2" t="str">
        <f>HYPERLINK("http://dx.doi.org/10.1007/s00360-007-0162-7","http://dx.doi.org/10.1007/s00360-007-0162-7")</f>
        <v>http://dx.doi.org/10.1007/s00360-007-0162-7</v>
      </c>
      <c r="BG233" s="2" t="s">
        <v>74</v>
      </c>
      <c r="BH233" s="2" t="s">
        <v>74</v>
      </c>
      <c r="BI233" s="2" t="s">
        <v>74</v>
      </c>
      <c r="BJ233" s="2" t="s">
        <v>74</v>
      </c>
      <c r="BK233" s="2" t="s">
        <v>74</v>
      </c>
      <c r="BL233" s="2" t="s">
        <v>74</v>
      </c>
      <c r="BM233" s="2" t="s">
        <v>74</v>
      </c>
      <c r="BN233" s="2">
        <v>17520263</v>
      </c>
      <c r="BO233" s="2" t="s">
        <v>74</v>
      </c>
      <c r="BP233" s="2" t="s">
        <v>74</v>
      </c>
      <c r="BQ233" s="2" t="s">
        <v>74</v>
      </c>
      <c r="BR233" s="2" t="s">
        <v>74</v>
      </c>
      <c r="BS233" s="2" t="s">
        <v>2075</v>
      </c>
      <c r="BT233" s="2" t="str">
        <f>HYPERLINK("https%3A%2F%2Fwww.webofscience.com%2Fwos%2Fwoscc%2Ffull-record%2FWOS:000248301500005","View Full Record in Web of Science")</f>
        <v>View Full Record in Web of Science</v>
      </c>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row>
    <row r="234" spans="1:314" s="2" customFormat="1" x14ac:dyDescent="0.4">
      <c r="A234" s="2" t="s">
        <v>72</v>
      </c>
      <c r="B234" s="2" t="s">
        <v>6668</v>
      </c>
      <c r="C234" s="2" t="s">
        <v>74</v>
      </c>
      <c r="D234" s="2" t="s">
        <v>74</v>
      </c>
      <c r="E234" s="2" t="s">
        <v>74</v>
      </c>
      <c r="F234" s="2" t="s">
        <v>6669</v>
      </c>
      <c r="G234" s="2" t="s">
        <v>74</v>
      </c>
      <c r="H234" s="2" t="s">
        <v>74</v>
      </c>
      <c r="I234" s="2" t="s">
        <v>6670</v>
      </c>
      <c r="J234" s="2" t="s">
        <v>129</v>
      </c>
      <c r="K234" s="2" t="s">
        <v>74</v>
      </c>
      <c r="L234" s="2" t="s">
        <v>74</v>
      </c>
      <c r="M234" s="2" t="s">
        <v>74</v>
      </c>
      <c r="N234" s="2" t="s">
        <v>74</v>
      </c>
      <c r="O234" s="2" t="s">
        <v>74</v>
      </c>
      <c r="P234" s="2" t="s">
        <v>74</v>
      </c>
      <c r="Q234" s="2" t="s">
        <v>74</v>
      </c>
      <c r="R234" s="2" t="s">
        <v>74</v>
      </c>
      <c r="S234" s="2" t="s">
        <v>74</v>
      </c>
      <c r="T234" s="2" t="s">
        <v>74</v>
      </c>
      <c r="U234" s="2" t="s">
        <v>74</v>
      </c>
      <c r="V234" s="5" t="s">
        <v>6671</v>
      </c>
      <c r="W234" s="2" t="s">
        <v>74</v>
      </c>
      <c r="X234" s="2" t="s">
        <v>74</v>
      </c>
      <c r="Y234" s="2" t="s">
        <v>74</v>
      </c>
      <c r="Z234" s="2" t="s">
        <v>74</v>
      </c>
      <c r="AA234" s="2" t="s">
        <v>6672</v>
      </c>
      <c r="AB234" s="2" t="s">
        <v>6673</v>
      </c>
      <c r="AC234" s="2" t="s">
        <v>74</v>
      </c>
      <c r="AD234" s="2" t="s">
        <v>74</v>
      </c>
      <c r="AE234" s="2" t="s">
        <v>74</v>
      </c>
      <c r="AF234" s="2" t="s">
        <v>74</v>
      </c>
      <c r="AG234" s="2" t="s">
        <v>74</v>
      </c>
      <c r="AH234" s="2" t="s">
        <v>74</v>
      </c>
      <c r="AI234" s="2" t="s">
        <v>74</v>
      </c>
      <c r="AJ234" s="2" t="s">
        <v>74</v>
      </c>
      <c r="AK234" s="2" t="s">
        <v>74</v>
      </c>
      <c r="AL234" s="2" t="s">
        <v>74</v>
      </c>
      <c r="AM234" s="2" t="s">
        <v>74</v>
      </c>
      <c r="AN234" s="2" t="s">
        <v>74</v>
      </c>
      <c r="AO234" s="2" t="s">
        <v>132</v>
      </c>
      <c r="AP234" s="2" t="s">
        <v>133</v>
      </c>
      <c r="AQ234" s="2" t="s">
        <v>74</v>
      </c>
      <c r="AR234" s="2" t="s">
        <v>74</v>
      </c>
      <c r="AS234" s="2" t="s">
        <v>74</v>
      </c>
      <c r="AT234" s="2" t="s">
        <v>204</v>
      </c>
      <c r="AU234" s="2">
        <v>2013</v>
      </c>
      <c r="AV234" s="2">
        <v>67</v>
      </c>
      <c r="AW234" s="2">
        <v>7</v>
      </c>
      <c r="AX234" s="2" t="s">
        <v>74</v>
      </c>
      <c r="AY234" s="2" t="s">
        <v>74</v>
      </c>
      <c r="AZ234" s="2" t="s">
        <v>74</v>
      </c>
      <c r="BA234" s="2" t="s">
        <v>74</v>
      </c>
      <c r="BB234" s="2">
        <v>1163</v>
      </c>
      <c r="BC234" s="2">
        <v>1167</v>
      </c>
      <c r="BD234" s="2" t="s">
        <v>74</v>
      </c>
      <c r="BE234" s="2" t="s">
        <v>6674</v>
      </c>
      <c r="BF234" s="2" t="str">
        <f>HYPERLINK("http://dx.doi.org/10.1007/s00265-013-1541-6","http://dx.doi.org/10.1007/s00265-013-1541-6")</f>
        <v>http://dx.doi.org/10.1007/s00265-013-1541-6</v>
      </c>
      <c r="BG234" s="2" t="s">
        <v>74</v>
      </c>
      <c r="BH234" s="2" t="s">
        <v>74</v>
      </c>
      <c r="BI234" s="2" t="s">
        <v>74</v>
      </c>
      <c r="BJ234" s="2" t="s">
        <v>74</v>
      </c>
      <c r="BK234" s="2" t="s">
        <v>74</v>
      </c>
      <c r="BL234" s="2" t="s">
        <v>74</v>
      </c>
      <c r="BM234" s="2" t="s">
        <v>74</v>
      </c>
      <c r="BN234" s="2" t="s">
        <v>74</v>
      </c>
      <c r="BO234" s="2" t="s">
        <v>74</v>
      </c>
      <c r="BP234" s="2" t="s">
        <v>74</v>
      </c>
      <c r="BQ234" s="2" t="s">
        <v>74</v>
      </c>
      <c r="BR234" s="2" t="s">
        <v>74</v>
      </c>
      <c r="BS234" s="2" t="s">
        <v>6675</v>
      </c>
      <c r="BT234" s="2" t="str">
        <f>HYPERLINK("https%3A%2F%2Fwww.webofscience.com%2Fwos%2Fwoscc%2Ffull-record%2FWOS:000320024200013","View Full Record in Web of Science")</f>
        <v>View Full Record in Web of Science</v>
      </c>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row>
    <row r="235" spans="1:314" s="2" customFormat="1" x14ac:dyDescent="0.4">
      <c r="A235" s="2" t="s">
        <v>72</v>
      </c>
      <c r="B235" s="2" t="s">
        <v>4848</v>
      </c>
      <c r="C235" s="2" t="s">
        <v>74</v>
      </c>
      <c r="D235" s="2" t="s">
        <v>74</v>
      </c>
      <c r="E235" s="2" t="s">
        <v>74</v>
      </c>
      <c r="F235" s="2" t="s">
        <v>4848</v>
      </c>
      <c r="G235" s="2" t="s">
        <v>74</v>
      </c>
      <c r="H235" s="2" t="s">
        <v>74</v>
      </c>
      <c r="I235" s="2" t="s">
        <v>4849</v>
      </c>
      <c r="J235" s="2" t="s">
        <v>241</v>
      </c>
      <c r="K235" s="2" t="s">
        <v>74</v>
      </c>
      <c r="L235" s="2" t="s">
        <v>74</v>
      </c>
      <c r="M235" s="2" t="s">
        <v>74</v>
      </c>
      <c r="N235" s="2" t="s">
        <v>74</v>
      </c>
      <c r="O235" s="2" t="s">
        <v>74</v>
      </c>
      <c r="P235" s="2" t="s">
        <v>74</v>
      </c>
      <c r="Q235" s="2" t="s">
        <v>74</v>
      </c>
      <c r="R235" s="2" t="s">
        <v>74</v>
      </c>
      <c r="S235" s="2" t="s">
        <v>74</v>
      </c>
      <c r="T235" s="2" t="s">
        <v>74</v>
      </c>
      <c r="U235" s="2" t="s">
        <v>74</v>
      </c>
      <c r="V235" s="5" t="s">
        <v>4850</v>
      </c>
      <c r="W235" s="2" t="s">
        <v>74</v>
      </c>
      <c r="X235" s="2" t="s">
        <v>74</v>
      </c>
      <c r="Y235" s="2" t="s">
        <v>74</v>
      </c>
      <c r="Z235" s="2" t="s">
        <v>74</v>
      </c>
      <c r="AA235" s="2" t="s">
        <v>74</v>
      </c>
      <c r="AB235" s="2" t="s">
        <v>4851</v>
      </c>
      <c r="AC235" s="2" t="s">
        <v>74</v>
      </c>
      <c r="AD235" s="2" t="s">
        <v>74</v>
      </c>
      <c r="AE235" s="2" t="s">
        <v>74</v>
      </c>
      <c r="AF235" s="2" t="s">
        <v>74</v>
      </c>
      <c r="AG235" s="2" t="s">
        <v>74</v>
      </c>
      <c r="AH235" s="2" t="s">
        <v>74</v>
      </c>
      <c r="AI235" s="2" t="s">
        <v>74</v>
      </c>
      <c r="AJ235" s="2" t="s">
        <v>74</v>
      </c>
      <c r="AK235" s="2" t="s">
        <v>74</v>
      </c>
      <c r="AL235" s="2" t="s">
        <v>74</v>
      </c>
      <c r="AM235" s="2" t="s">
        <v>74</v>
      </c>
      <c r="AN235" s="2" t="s">
        <v>74</v>
      </c>
      <c r="AO235" s="2" t="s">
        <v>245</v>
      </c>
      <c r="AP235" s="2" t="s">
        <v>246</v>
      </c>
      <c r="AQ235" s="2" t="s">
        <v>74</v>
      </c>
      <c r="AR235" s="2" t="s">
        <v>74</v>
      </c>
      <c r="AS235" s="2" t="s">
        <v>74</v>
      </c>
      <c r="AT235" s="2" t="s">
        <v>145</v>
      </c>
      <c r="AU235" s="2">
        <v>2002</v>
      </c>
      <c r="AV235" s="2">
        <v>132</v>
      </c>
      <c r="AW235" s="2">
        <v>3</v>
      </c>
      <c r="AX235" s="2" t="s">
        <v>74</v>
      </c>
      <c r="AY235" s="2" t="s">
        <v>74</v>
      </c>
      <c r="AZ235" s="2" t="s">
        <v>74</v>
      </c>
      <c r="BA235" s="2" t="s">
        <v>74</v>
      </c>
      <c r="BB235" s="2">
        <v>468</v>
      </c>
      <c r="BC235" s="2">
        <v>477</v>
      </c>
      <c r="BD235" s="2" t="s">
        <v>74</v>
      </c>
      <c r="BE235" s="2" t="s">
        <v>4852</v>
      </c>
      <c r="BF235" s="2" t="str">
        <f>HYPERLINK("http://dx.doi.org/10.1007/s00442-002-0975-8","http://dx.doi.org/10.1007/s00442-002-0975-8")</f>
        <v>http://dx.doi.org/10.1007/s00442-002-0975-8</v>
      </c>
      <c r="BG235" s="2" t="s">
        <v>74</v>
      </c>
      <c r="BH235" s="2" t="s">
        <v>74</v>
      </c>
      <c r="BI235" s="2" t="s">
        <v>74</v>
      </c>
      <c r="BJ235" s="2" t="s">
        <v>74</v>
      </c>
      <c r="BK235" s="2" t="s">
        <v>74</v>
      </c>
      <c r="BL235" s="2" t="s">
        <v>74</v>
      </c>
      <c r="BM235" s="2" t="s">
        <v>74</v>
      </c>
      <c r="BN235" s="2">
        <v>28547426</v>
      </c>
      <c r="BO235" s="2" t="s">
        <v>74</v>
      </c>
      <c r="BP235" s="2" t="s">
        <v>74</v>
      </c>
      <c r="BQ235" s="2" t="s">
        <v>74</v>
      </c>
      <c r="BR235" s="2" t="s">
        <v>74</v>
      </c>
      <c r="BS235" s="2" t="s">
        <v>4853</v>
      </c>
      <c r="BT235" s="2" t="str">
        <f>HYPERLINK("https%3A%2F%2Fwww.webofscience.com%2Fwos%2Fwoscc%2Ffull-record%2FWOS:000177752500018","View Full Record in Web of Science")</f>
        <v>View Full Record in Web of Science</v>
      </c>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row>
    <row r="236" spans="1:314" s="7" customFormat="1" x14ac:dyDescent="0.4">
      <c r="A236" s="2" t="s">
        <v>72</v>
      </c>
      <c r="B236" s="2" t="s">
        <v>4499</v>
      </c>
      <c r="C236" s="2" t="s">
        <v>74</v>
      </c>
      <c r="D236" s="2" t="s">
        <v>74</v>
      </c>
      <c r="E236" s="2" t="s">
        <v>74</v>
      </c>
      <c r="F236" s="2" t="s">
        <v>4500</v>
      </c>
      <c r="G236" s="2" t="s">
        <v>74</v>
      </c>
      <c r="H236" s="2" t="s">
        <v>74</v>
      </c>
      <c r="I236" s="2" t="s">
        <v>4501</v>
      </c>
      <c r="J236" s="2" t="s">
        <v>281</v>
      </c>
      <c r="K236" s="2" t="s">
        <v>74</v>
      </c>
      <c r="L236" s="2" t="s">
        <v>74</v>
      </c>
      <c r="M236" s="2" t="s">
        <v>74</v>
      </c>
      <c r="N236" s="2" t="s">
        <v>74</v>
      </c>
      <c r="O236" s="2" t="s">
        <v>74</v>
      </c>
      <c r="P236" s="2" t="s">
        <v>74</v>
      </c>
      <c r="Q236" s="2" t="s">
        <v>74</v>
      </c>
      <c r="R236" s="2" t="s">
        <v>74</v>
      </c>
      <c r="S236" s="2" t="s">
        <v>74</v>
      </c>
      <c r="T236" s="2" t="s">
        <v>74</v>
      </c>
      <c r="U236" s="2" t="s">
        <v>74</v>
      </c>
      <c r="V236" s="5" t="s">
        <v>4502</v>
      </c>
      <c r="W236" s="2" t="s">
        <v>74</v>
      </c>
      <c r="X236" s="2" t="s">
        <v>74</v>
      </c>
      <c r="Y236" s="2" t="s">
        <v>74</v>
      </c>
      <c r="Z236" s="2" t="s">
        <v>74</v>
      </c>
      <c r="AA236" s="2" t="s">
        <v>4503</v>
      </c>
      <c r="AB236" s="2" t="s">
        <v>4504</v>
      </c>
      <c r="AC236" s="2" t="s">
        <v>74</v>
      </c>
      <c r="AD236" s="2" t="s">
        <v>74</v>
      </c>
      <c r="AE236" s="2" t="s">
        <v>74</v>
      </c>
      <c r="AF236" s="2" t="s">
        <v>74</v>
      </c>
      <c r="AG236" s="2" t="s">
        <v>74</v>
      </c>
      <c r="AH236" s="2" t="s">
        <v>74</v>
      </c>
      <c r="AI236" s="2" t="s">
        <v>74</v>
      </c>
      <c r="AJ236" s="2" t="s">
        <v>74</v>
      </c>
      <c r="AK236" s="2" t="s">
        <v>74</v>
      </c>
      <c r="AL236" s="2" t="s">
        <v>74</v>
      </c>
      <c r="AM236" s="2" t="s">
        <v>74</v>
      </c>
      <c r="AN236" s="2" t="s">
        <v>74</v>
      </c>
      <c r="AO236" s="2" t="s">
        <v>285</v>
      </c>
      <c r="AP236" s="2" t="s">
        <v>286</v>
      </c>
      <c r="AQ236" s="2" t="s">
        <v>74</v>
      </c>
      <c r="AR236" s="2" t="s">
        <v>74</v>
      </c>
      <c r="AS236" s="2" t="s">
        <v>74</v>
      </c>
      <c r="AT236" s="2" t="s">
        <v>213</v>
      </c>
      <c r="AU236" s="2">
        <v>2021</v>
      </c>
      <c r="AV236" s="2">
        <v>24</v>
      </c>
      <c r="AW236" s="2">
        <v>6</v>
      </c>
      <c r="AX236" s="2" t="s">
        <v>74</v>
      </c>
      <c r="AY236" s="2" t="s">
        <v>74</v>
      </c>
      <c r="AZ236" s="2" t="s">
        <v>74</v>
      </c>
      <c r="BA236" s="2" t="s">
        <v>74</v>
      </c>
      <c r="BB236" s="2">
        <v>1267</v>
      </c>
      <c r="BC236" s="2">
        <v>1277</v>
      </c>
      <c r="BD236" s="2" t="s">
        <v>74</v>
      </c>
      <c r="BE236" s="2" t="s">
        <v>4505</v>
      </c>
      <c r="BF236" s="2" t="str">
        <f>HYPERLINK("http://dx.doi.org/10.1007/s10071-021-01519-y","http://dx.doi.org/10.1007/s10071-021-01519-y")</f>
        <v>http://dx.doi.org/10.1007/s10071-021-01519-y</v>
      </c>
      <c r="BG236" s="2" t="s">
        <v>74</v>
      </c>
      <c r="BH236" s="2" t="s">
        <v>571</v>
      </c>
      <c r="BI236" s="2" t="s">
        <v>74</v>
      </c>
      <c r="BJ236" s="2" t="s">
        <v>74</v>
      </c>
      <c r="BK236" s="2" t="s">
        <v>74</v>
      </c>
      <c r="BL236" s="2" t="s">
        <v>74</v>
      </c>
      <c r="BM236" s="2" t="s">
        <v>74</v>
      </c>
      <c r="BN236" s="2">
        <v>33959875</v>
      </c>
      <c r="BO236" s="2" t="s">
        <v>74</v>
      </c>
      <c r="BP236" s="2" t="s">
        <v>74</v>
      </c>
      <c r="BQ236" s="2" t="s">
        <v>74</v>
      </c>
      <c r="BR236" s="2" t="s">
        <v>74</v>
      </c>
      <c r="BS236" s="2" t="s">
        <v>4506</v>
      </c>
      <c r="BT236" s="2" t="str">
        <f>HYPERLINK("https%3A%2F%2Fwww.webofscience.com%2Fwos%2Fwoscc%2Ffull-record%2FWOS:000647849200001","View Full Record in Web of Science")</f>
        <v>View Full Record in Web of Science</v>
      </c>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row>
    <row r="237" spans="1:314" s="2" customFormat="1" x14ac:dyDescent="0.4">
      <c r="A237" s="2" t="s">
        <v>72</v>
      </c>
      <c r="B237" s="2" t="s">
        <v>364</v>
      </c>
      <c r="C237" s="2" t="s">
        <v>74</v>
      </c>
      <c r="D237" s="2" t="s">
        <v>74</v>
      </c>
      <c r="E237" s="2" t="s">
        <v>74</v>
      </c>
      <c r="F237" s="2" t="s">
        <v>2899</v>
      </c>
      <c r="G237" s="2" t="s">
        <v>74</v>
      </c>
      <c r="H237" s="2" t="s">
        <v>74</v>
      </c>
      <c r="I237" s="2" t="s">
        <v>2900</v>
      </c>
      <c r="J237" s="2" t="s">
        <v>2901</v>
      </c>
      <c r="K237" s="2" t="s">
        <v>74</v>
      </c>
      <c r="L237" s="2" t="s">
        <v>74</v>
      </c>
      <c r="M237" s="2" t="s">
        <v>74</v>
      </c>
      <c r="N237" s="2" t="s">
        <v>74</v>
      </c>
      <c r="O237" s="2" t="s">
        <v>74</v>
      </c>
      <c r="P237" s="2" t="s">
        <v>74</v>
      </c>
      <c r="Q237" s="2" t="s">
        <v>74</v>
      </c>
      <c r="R237" s="2" t="s">
        <v>74</v>
      </c>
      <c r="S237" s="2" t="s">
        <v>74</v>
      </c>
      <c r="T237" s="2" t="s">
        <v>74</v>
      </c>
      <c r="U237" s="2" t="s">
        <v>74</v>
      </c>
      <c r="V237" s="5" t="s">
        <v>2902</v>
      </c>
      <c r="W237" s="2" t="s">
        <v>74</v>
      </c>
      <c r="X237" s="2" t="s">
        <v>74</v>
      </c>
      <c r="Y237" s="2" t="s">
        <v>74</v>
      </c>
      <c r="Z237" s="2" t="s">
        <v>74</v>
      </c>
      <c r="AA237" s="2" t="s">
        <v>369</v>
      </c>
      <c r="AB237" s="2" t="s">
        <v>370</v>
      </c>
      <c r="AC237" s="2" t="s">
        <v>74</v>
      </c>
      <c r="AD237" s="2" t="s">
        <v>74</v>
      </c>
      <c r="AE237" s="2" t="s">
        <v>74</v>
      </c>
      <c r="AF237" s="2" t="s">
        <v>74</v>
      </c>
      <c r="AG237" s="2" t="s">
        <v>74</v>
      </c>
      <c r="AH237" s="2" t="s">
        <v>74</v>
      </c>
      <c r="AI237" s="2" t="s">
        <v>74</v>
      </c>
      <c r="AJ237" s="2" t="s">
        <v>74</v>
      </c>
      <c r="AK237" s="2" t="s">
        <v>74</v>
      </c>
      <c r="AL237" s="2" t="s">
        <v>74</v>
      </c>
      <c r="AM237" s="2" t="s">
        <v>74</v>
      </c>
      <c r="AN237" s="2" t="s">
        <v>74</v>
      </c>
      <c r="AO237" s="2" t="s">
        <v>2903</v>
      </c>
      <c r="AP237" s="2" t="s">
        <v>2904</v>
      </c>
      <c r="AQ237" s="2" t="s">
        <v>74</v>
      </c>
      <c r="AR237" s="2" t="s">
        <v>74</v>
      </c>
      <c r="AS237" s="2" t="s">
        <v>74</v>
      </c>
      <c r="AT237" s="2" t="s">
        <v>74</v>
      </c>
      <c r="AU237" s="2">
        <v>2010</v>
      </c>
      <c r="AV237" s="2">
        <v>22</v>
      </c>
      <c r="AW237" s="2">
        <v>2</v>
      </c>
      <c r="AX237" s="2" t="s">
        <v>74</v>
      </c>
      <c r="AY237" s="2" t="s">
        <v>74</v>
      </c>
      <c r="AZ237" s="2" t="s">
        <v>74</v>
      </c>
      <c r="BA237" s="2" t="s">
        <v>74</v>
      </c>
      <c r="BB237" s="2">
        <v>167</v>
      </c>
      <c r="BC237" s="2">
        <v>181</v>
      </c>
      <c r="BD237" s="2" t="s">
        <v>2905</v>
      </c>
      <c r="BE237" s="2" t="s">
        <v>2906</v>
      </c>
      <c r="BF237" s="2" t="str">
        <f>HYPERLINK("http://dx.doi.org/10.1080/03949371003707885","http://dx.doi.org/10.1080/03949371003707885")</f>
        <v>http://dx.doi.org/10.1080/03949371003707885</v>
      </c>
      <c r="BG237" s="2" t="s">
        <v>74</v>
      </c>
      <c r="BH237" s="2" t="s">
        <v>74</v>
      </c>
      <c r="BI237" s="2" t="s">
        <v>74</v>
      </c>
      <c r="BJ237" s="2" t="s">
        <v>74</v>
      </c>
      <c r="BK237" s="2" t="s">
        <v>74</v>
      </c>
      <c r="BL237" s="2" t="s">
        <v>74</v>
      </c>
      <c r="BM237" s="2" t="s">
        <v>74</v>
      </c>
      <c r="BN237" s="2" t="s">
        <v>74</v>
      </c>
      <c r="BO237" s="2" t="s">
        <v>74</v>
      </c>
      <c r="BP237" s="2" t="s">
        <v>74</v>
      </c>
      <c r="BQ237" s="2" t="s">
        <v>74</v>
      </c>
      <c r="BR237" s="2" t="s">
        <v>74</v>
      </c>
      <c r="BS237" s="2" t="s">
        <v>2907</v>
      </c>
      <c r="BT237" s="2" t="str">
        <f>HYPERLINK("https%3A%2F%2Fwww.webofscience.com%2Fwos%2Fwoscc%2Ffull-record%2FWOS:000277606200006","View Full Record in Web of Science")</f>
        <v>View Full Record in Web of Science</v>
      </c>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row>
    <row r="238" spans="1:314" s="2" customFormat="1" x14ac:dyDescent="0.4">
      <c r="A238" s="2" t="s">
        <v>72</v>
      </c>
      <c r="B238" s="2" t="s">
        <v>3471</v>
      </c>
      <c r="C238" s="2" t="s">
        <v>74</v>
      </c>
      <c r="D238" s="2" t="s">
        <v>74</v>
      </c>
      <c r="E238" s="2" t="s">
        <v>74</v>
      </c>
      <c r="F238" s="2" t="s">
        <v>3472</v>
      </c>
      <c r="G238" s="2" t="s">
        <v>74</v>
      </c>
      <c r="H238" s="2" t="s">
        <v>74</v>
      </c>
      <c r="I238" s="2" t="s">
        <v>3473</v>
      </c>
      <c r="J238" s="2" t="s">
        <v>218</v>
      </c>
      <c r="K238" s="2" t="s">
        <v>74</v>
      </c>
      <c r="L238" s="2" t="s">
        <v>74</v>
      </c>
      <c r="M238" s="2" t="s">
        <v>74</v>
      </c>
      <c r="N238" s="2" t="s">
        <v>74</v>
      </c>
      <c r="O238" s="2" t="s">
        <v>74</v>
      </c>
      <c r="P238" s="2" t="s">
        <v>74</v>
      </c>
      <c r="Q238" s="2" t="s">
        <v>74</v>
      </c>
      <c r="R238" s="2" t="s">
        <v>74</v>
      </c>
      <c r="S238" s="2" t="s">
        <v>74</v>
      </c>
      <c r="T238" s="2" t="s">
        <v>74</v>
      </c>
      <c r="U238" s="2" t="s">
        <v>74</v>
      </c>
      <c r="V238" s="5" t="s">
        <v>3474</v>
      </c>
      <c r="W238" s="2" t="s">
        <v>74</v>
      </c>
      <c r="X238" s="2" t="s">
        <v>74</v>
      </c>
      <c r="Y238" s="2" t="s">
        <v>74</v>
      </c>
      <c r="Z238" s="2" t="s">
        <v>74</v>
      </c>
      <c r="AA238" s="2" t="s">
        <v>1724</v>
      </c>
      <c r="AB238" s="2" t="s">
        <v>1725</v>
      </c>
      <c r="AC238" s="2" t="s">
        <v>74</v>
      </c>
      <c r="AD238" s="2" t="s">
        <v>74</v>
      </c>
      <c r="AE238" s="2" t="s">
        <v>74</v>
      </c>
      <c r="AF238" s="2" t="s">
        <v>74</v>
      </c>
      <c r="AG238" s="2" t="s">
        <v>74</v>
      </c>
      <c r="AH238" s="2" t="s">
        <v>74</v>
      </c>
      <c r="AI238" s="2" t="s">
        <v>74</v>
      </c>
      <c r="AJ238" s="2" t="s">
        <v>74</v>
      </c>
      <c r="AK238" s="2" t="s">
        <v>74</v>
      </c>
      <c r="AL238" s="2" t="s">
        <v>74</v>
      </c>
      <c r="AM238" s="2" t="s">
        <v>74</v>
      </c>
      <c r="AN238" s="2" t="s">
        <v>74</v>
      </c>
      <c r="AO238" s="2" t="s">
        <v>221</v>
      </c>
      <c r="AP238" s="2" t="s">
        <v>222</v>
      </c>
      <c r="AQ238" s="2" t="s">
        <v>74</v>
      </c>
      <c r="AR238" s="2" t="s">
        <v>74</v>
      </c>
      <c r="AS238" s="2" t="s">
        <v>74</v>
      </c>
      <c r="AT238" s="2" t="s">
        <v>964</v>
      </c>
      <c r="AU238" s="2">
        <v>2014</v>
      </c>
      <c r="AV238" s="2">
        <v>27</v>
      </c>
      <c r="AW238" s="2">
        <v>2</v>
      </c>
      <c r="AX238" s="2" t="s">
        <v>74</v>
      </c>
      <c r="AY238" s="2" t="s">
        <v>74</v>
      </c>
      <c r="AZ238" s="2" t="s">
        <v>74</v>
      </c>
      <c r="BA238" s="2" t="s">
        <v>74</v>
      </c>
      <c r="BB238" s="2">
        <v>325</v>
      </c>
      <c r="BC238" s="2">
        <v>336</v>
      </c>
      <c r="BD238" s="2" t="s">
        <v>74</v>
      </c>
      <c r="BE238" s="2" t="s">
        <v>3475</v>
      </c>
      <c r="BF238" s="2" t="str">
        <f>HYPERLINK("http://dx.doi.org/10.1111/jeb.12295","http://dx.doi.org/10.1111/jeb.12295")</f>
        <v>http://dx.doi.org/10.1111/jeb.12295</v>
      </c>
      <c r="BG238" s="2" t="s">
        <v>74</v>
      </c>
      <c r="BH238" s="2" t="s">
        <v>74</v>
      </c>
      <c r="BI238" s="2" t="s">
        <v>74</v>
      </c>
      <c r="BJ238" s="2" t="s">
        <v>74</v>
      </c>
      <c r="BK238" s="2" t="s">
        <v>74</v>
      </c>
      <c r="BL238" s="2" t="s">
        <v>74</v>
      </c>
      <c r="BM238" s="2" t="s">
        <v>74</v>
      </c>
      <c r="BN238" s="2">
        <v>24341383</v>
      </c>
      <c r="BO238" s="2" t="s">
        <v>74</v>
      </c>
      <c r="BP238" s="2" t="s">
        <v>74</v>
      </c>
      <c r="BQ238" s="2" t="s">
        <v>74</v>
      </c>
      <c r="BR238" s="2" t="s">
        <v>74</v>
      </c>
      <c r="BS238" s="2" t="s">
        <v>3476</v>
      </c>
      <c r="BT238" s="2" t="str">
        <f>HYPERLINK("https%3A%2F%2Fwww.webofscience.com%2Fwos%2Fwoscc%2Ffull-record%2FWOS:000330016400008","View Full Record in Web of Science")</f>
        <v>View Full Record in Web of Science</v>
      </c>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row>
    <row r="239" spans="1:314" s="2" customFormat="1" x14ac:dyDescent="0.4">
      <c r="A239" s="2" t="s">
        <v>72</v>
      </c>
      <c r="B239" s="2" t="s">
        <v>364</v>
      </c>
      <c r="C239" s="2" t="s">
        <v>74</v>
      </c>
      <c r="D239" s="2" t="s">
        <v>74</v>
      </c>
      <c r="E239" s="2" t="s">
        <v>74</v>
      </c>
      <c r="F239" s="2" t="s">
        <v>365</v>
      </c>
      <c r="G239" s="2" t="s">
        <v>74</v>
      </c>
      <c r="H239" s="2" t="s">
        <v>74</v>
      </c>
      <c r="I239" s="2" t="s">
        <v>366</v>
      </c>
      <c r="J239" s="2" t="s">
        <v>367</v>
      </c>
      <c r="K239" s="2" t="s">
        <v>74</v>
      </c>
      <c r="L239" s="2" t="s">
        <v>74</v>
      </c>
      <c r="M239" s="2" t="s">
        <v>74</v>
      </c>
      <c r="N239" s="2" t="s">
        <v>74</v>
      </c>
      <c r="O239" s="2" t="s">
        <v>74</v>
      </c>
      <c r="P239" s="2" t="s">
        <v>74</v>
      </c>
      <c r="Q239" s="2" t="s">
        <v>74</v>
      </c>
      <c r="R239" s="2" t="s">
        <v>74</v>
      </c>
      <c r="S239" s="2" t="s">
        <v>74</v>
      </c>
      <c r="T239" s="2" t="s">
        <v>74</v>
      </c>
      <c r="U239" s="2" t="s">
        <v>74</v>
      </c>
      <c r="V239" s="5" t="s">
        <v>368</v>
      </c>
      <c r="W239" s="2" t="s">
        <v>74</v>
      </c>
      <c r="X239" s="2" t="s">
        <v>74</v>
      </c>
      <c r="Y239" s="2" t="s">
        <v>74</v>
      </c>
      <c r="Z239" s="2" t="s">
        <v>74</v>
      </c>
      <c r="AA239" s="2" t="s">
        <v>369</v>
      </c>
      <c r="AB239" s="2" t="s">
        <v>370</v>
      </c>
      <c r="AC239" s="2" t="s">
        <v>74</v>
      </c>
      <c r="AD239" s="2" t="s">
        <v>74</v>
      </c>
      <c r="AE239" s="2" t="s">
        <v>74</v>
      </c>
      <c r="AF239" s="2" t="s">
        <v>74</v>
      </c>
      <c r="AG239" s="2" t="s">
        <v>74</v>
      </c>
      <c r="AH239" s="2" t="s">
        <v>74</v>
      </c>
      <c r="AI239" s="2" t="s">
        <v>74</v>
      </c>
      <c r="AJ239" s="2" t="s">
        <v>74</v>
      </c>
      <c r="AK239" s="2" t="s">
        <v>74</v>
      </c>
      <c r="AL239" s="2" t="s">
        <v>74</v>
      </c>
      <c r="AM239" s="2" t="s">
        <v>74</v>
      </c>
      <c r="AN239" s="2" t="s">
        <v>74</v>
      </c>
      <c r="AO239" s="2" t="s">
        <v>371</v>
      </c>
      <c r="AP239" s="2" t="s">
        <v>372</v>
      </c>
      <c r="AQ239" s="2" t="s">
        <v>74</v>
      </c>
      <c r="AR239" s="2" t="s">
        <v>74</v>
      </c>
      <c r="AS239" s="2" t="s">
        <v>74</v>
      </c>
      <c r="AT239" s="2" t="s">
        <v>145</v>
      </c>
      <c r="AU239" s="2">
        <v>2009</v>
      </c>
      <c r="AV239" s="2">
        <v>123</v>
      </c>
      <c r="AW239" s="2">
        <v>3</v>
      </c>
      <c r="AX239" s="2" t="s">
        <v>74</v>
      </c>
      <c r="AY239" s="2" t="s">
        <v>74</v>
      </c>
      <c r="AZ239" s="2" t="s">
        <v>74</v>
      </c>
      <c r="BA239" s="2" t="s">
        <v>74</v>
      </c>
      <c r="BB239" s="2">
        <v>310</v>
      </c>
      <c r="BC239" s="2">
        <v>315</v>
      </c>
      <c r="BD239" s="2" t="s">
        <v>74</v>
      </c>
      <c r="BE239" s="2" t="s">
        <v>373</v>
      </c>
      <c r="BF239" s="2" t="str">
        <f>HYPERLINK("http://dx.doi.org/10.1037/a0015837","http://dx.doi.org/10.1037/a0015837")</f>
        <v>http://dx.doi.org/10.1037/a0015837</v>
      </c>
      <c r="BG239" s="2" t="s">
        <v>74</v>
      </c>
      <c r="BH239" s="2" t="s">
        <v>74</v>
      </c>
      <c r="BI239" s="2" t="s">
        <v>74</v>
      </c>
      <c r="BJ239" s="2" t="s">
        <v>74</v>
      </c>
      <c r="BK239" s="2" t="s">
        <v>74</v>
      </c>
      <c r="BL239" s="2" t="s">
        <v>74</v>
      </c>
      <c r="BM239" s="2" t="s">
        <v>74</v>
      </c>
      <c r="BN239" s="2">
        <v>19685973</v>
      </c>
      <c r="BO239" s="2" t="s">
        <v>74</v>
      </c>
      <c r="BP239" s="2" t="s">
        <v>74</v>
      </c>
      <c r="BQ239" s="2" t="s">
        <v>74</v>
      </c>
      <c r="BR239" s="2" t="s">
        <v>74</v>
      </c>
      <c r="BS239" s="2" t="s">
        <v>374</v>
      </c>
      <c r="BT239" s="2" t="str">
        <f>HYPERLINK("https%3A%2F%2Fwww.webofscience.com%2Fwos%2Fwoscc%2Ffull-record%2FWOS:000268963900010","View Full Record in Web of Science")</f>
        <v>View Full Record in Web of Science</v>
      </c>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row>
    <row r="240" spans="1:314" s="2" customFormat="1" x14ac:dyDescent="0.4">
      <c r="A240" s="2" t="s">
        <v>72</v>
      </c>
      <c r="B240" s="2" t="s">
        <v>364</v>
      </c>
      <c r="C240" s="2" t="s">
        <v>74</v>
      </c>
      <c r="D240" s="2" t="s">
        <v>74</v>
      </c>
      <c r="E240" s="2" t="s">
        <v>74</v>
      </c>
      <c r="F240" s="2" t="s">
        <v>365</v>
      </c>
      <c r="G240" s="2" t="s">
        <v>74</v>
      </c>
      <c r="H240" s="2" t="s">
        <v>74</v>
      </c>
      <c r="I240" s="2" t="s">
        <v>5467</v>
      </c>
      <c r="J240" s="2" t="s">
        <v>119</v>
      </c>
      <c r="K240" s="2" t="s">
        <v>74</v>
      </c>
      <c r="L240" s="2" t="s">
        <v>74</v>
      </c>
      <c r="M240" s="2" t="s">
        <v>74</v>
      </c>
      <c r="N240" s="2" t="s">
        <v>74</v>
      </c>
      <c r="O240" s="2" t="s">
        <v>74</v>
      </c>
      <c r="P240" s="2" t="s">
        <v>74</v>
      </c>
      <c r="Q240" s="2" t="s">
        <v>74</v>
      </c>
      <c r="R240" s="2" t="s">
        <v>74</v>
      </c>
      <c r="S240" s="2" t="s">
        <v>74</v>
      </c>
      <c r="T240" s="2" t="s">
        <v>74</v>
      </c>
      <c r="U240" s="2" t="s">
        <v>74</v>
      </c>
      <c r="V240" s="5" t="s">
        <v>5468</v>
      </c>
      <c r="W240" s="2" t="s">
        <v>74</v>
      </c>
      <c r="X240" s="2" t="s">
        <v>74</v>
      </c>
      <c r="Y240" s="2" t="s">
        <v>74</v>
      </c>
      <c r="Z240" s="2" t="s">
        <v>74</v>
      </c>
      <c r="AA240" s="2" t="s">
        <v>369</v>
      </c>
      <c r="AB240" s="2" t="s">
        <v>370</v>
      </c>
      <c r="AC240" s="2" t="s">
        <v>74</v>
      </c>
      <c r="AD240" s="2" t="s">
        <v>74</v>
      </c>
      <c r="AE240" s="2" t="s">
        <v>74</v>
      </c>
      <c r="AF240" s="2" t="s">
        <v>74</v>
      </c>
      <c r="AG240" s="2" t="s">
        <v>74</v>
      </c>
      <c r="AH240" s="2" t="s">
        <v>74</v>
      </c>
      <c r="AI240" s="2" t="s">
        <v>74</v>
      </c>
      <c r="AJ240" s="2" t="s">
        <v>74</v>
      </c>
      <c r="AK240" s="2" t="s">
        <v>74</v>
      </c>
      <c r="AL240" s="2" t="s">
        <v>74</v>
      </c>
      <c r="AM240" s="2" t="s">
        <v>74</v>
      </c>
      <c r="AN240" s="2" t="s">
        <v>74</v>
      </c>
      <c r="AO240" s="2" t="s">
        <v>121</v>
      </c>
      <c r="AP240" s="2" t="s">
        <v>122</v>
      </c>
      <c r="AQ240" s="2" t="s">
        <v>74</v>
      </c>
      <c r="AR240" s="2" t="s">
        <v>74</v>
      </c>
      <c r="AS240" s="2" t="s">
        <v>74</v>
      </c>
      <c r="AT240" s="2" t="s">
        <v>255</v>
      </c>
      <c r="AU240" s="2">
        <v>2009</v>
      </c>
      <c r="AV240" s="2">
        <v>80</v>
      </c>
      <c r="AW240" s="2">
        <v>1</v>
      </c>
      <c r="AX240" s="2" t="s">
        <v>74</v>
      </c>
      <c r="AY240" s="2" t="s">
        <v>74</v>
      </c>
      <c r="AZ240" s="2" t="s">
        <v>74</v>
      </c>
      <c r="BA240" s="2" t="s">
        <v>74</v>
      </c>
      <c r="BB240" s="2">
        <v>90</v>
      </c>
      <c r="BC240" s="2">
        <v>98</v>
      </c>
      <c r="BD240" s="2" t="s">
        <v>74</v>
      </c>
      <c r="BE240" s="2" t="s">
        <v>5469</v>
      </c>
      <c r="BF240" s="2" t="str">
        <f>HYPERLINK("http://dx.doi.org/10.1016/j.beproc.2008.10.007","http://dx.doi.org/10.1016/j.beproc.2008.10.007")</f>
        <v>http://dx.doi.org/10.1016/j.beproc.2008.10.007</v>
      </c>
      <c r="BG240" s="2" t="s">
        <v>74</v>
      </c>
      <c r="BH240" s="2" t="s">
        <v>74</v>
      </c>
      <c r="BI240" s="2" t="s">
        <v>74</v>
      </c>
      <c r="BJ240" s="2" t="s">
        <v>74</v>
      </c>
      <c r="BK240" s="2" t="s">
        <v>74</v>
      </c>
      <c r="BL240" s="2" t="s">
        <v>74</v>
      </c>
      <c r="BM240" s="2" t="s">
        <v>74</v>
      </c>
      <c r="BN240" s="2">
        <v>19010401</v>
      </c>
      <c r="BO240" s="2" t="s">
        <v>74</v>
      </c>
      <c r="BP240" s="2" t="s">
        <v>74</v>
      </c>
      <c r="BQ240" s="2" t="s">
        <v>74</v>
      </c>
      <c r="BR240" s="2" t="s">
        <v>74</v>
      </c>
      <c r="BS240" s="2" t="s">
        <v>5470</v>
      </c>
      <c r="BT240" s="2" t="str">
        <f>HYPERLINK("https%3A%2F%2Fwww.webofscience.com%2Fwos%2Fwoscc%2Ffull-record%2FWOS:000262546900014","View Full Record in Web of Science")</f>
        <v>View Full Record in Web of Science</v>
      </c>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row>
    <row r="241" spans="1:314" s="2" customFormat="1" x14ac:dyDescent="0.4">
      <c r="A241" s="2" t="s">
        <v>72</v>
      </c>
      <c r="B241" s="2" t="s">
        <v>4862</v>
      </c>
      <c r="C241" s="2" t="s">
        <v>74</v>
      </c>
      <c r="D241" s="2" t="s">
        <v>74</v>
      </c>
      <c r="E241" s="2" t="s">
        <v>74</v>
      </c>
      <c r="F241" s="2" t="s">
        <v>4863</v>
      </c>
      <c r="G241" s="2" t="s">
        <v>74</v>
      </c>
      <c r="H241" s="2" t="s">
        <v>74</v>
      </c>
      <c r="I241" s="2" t="s">
        <v>4864</v>
      </c>
      <c r="J241" s="2" t="s">
        <v>610</v>
      </c>
      <c r="K241" s="2" t="s">
        <v>74</v>
      </c>
      <c r="L241" s="2" t="s">
        <v>74</v>
      </c>
      <c r="M241" s="2" t="s">
        <v>74</v>
      </c>
      <c r="N241" s="2" t="s">
        <v>74</v>
      </c>
      <c r="O241" s="2" t="s">
        <v>74</v>
      </c>
      <c r="P241" s="2" t="s">
        <v>74</v>
      </c>
      <c r="Q241" s="2" t="s">
        <v>74</v>
      </c>
      <c r="R241" s="2" t="s">
        <v>74</v>
      </c>
      <c r="S241" s="2" t="s">
        <v>74</v>
      </c>
      <c r="T241" s="2" t="s">
        <v>74</v>
      </c>
      <c r="U241" s="2" t="s">
        <v>74</v>
      </c>
      <c r="V241" s="5" t="s">
        <v>4865</v>
      </c>
      <c r="W241" s="2" t="s">
        <v>74</v>
      </c>
      <c r="X241" s="2" t="s">
        <v>74</v>
      </c>
      <c r="Y241" s="2" t="s">
        <v>74</v>
      </c>
      <c r="Z241" s="2" t="s">
        <v>74</v>
      </c>
      <c r="AA241" s="2" t="s">
        <v>4866</v>
      </c>
      <c r="AB241" s="2" t="s">
        <v>4867</v>
      </c>
      <c r="AC241" s="2" t="s">
        <v>74</v>
      </c>
      <c r="AD241" s="2" t="s">
        <v>74</v>
      </c>
      <c r="AE241" s="2" t="s">
        <v>74</v>
      </c>
      <c r="AF241" s="2" t="s">
        <v>74</v>
      </c>
      <c r="AG241" s="2" t="s">
        <v>74</v>
      </c>
      <c r="AH241" s="2" t="s">
        <v>74</v>
      </c>
      <c r="AI241" s="2" t="s">
        <v>74</v>
      </c>
      <c r="AJ241" s="2" t="s">
        <v>74</v>
      </c>
      <c r="AK241" s="2" t="s">
        <v>74</v>
      </c>
      <c r="AL241" s="2" t="s">
        <v>74</v>
      </c>
      <c r="AM241" s="2" t="s">
        <v>74</v>
      </c>
      <c r="AN241" s="2" t="s">
        <v>74</v>
      </c>
      <c r="AO241" s="2" t="s">
        <v>614</v>
      </c>
      <c r="AP241" s="2" t="s">
        <v>615</v>
      </c>
      <c r="AQ241" s="2" t="s">
        <v>74</v>
      </c>
      <c r="AR241" s="2" t="s">
        <v>74</v>
      </c>
      <c r="AS241" s="2" t="s">
        <v>74</v>
      </c>
      <c r="AT241" s="2" t="s">
        <v>255</v>
      </c>
      <c r="AU241" s="2">
        <v>2009</v>
      </c>
      <c r="AV241" s="2">
        <v>115</v>
      </c>
      <c r="AW241" s="2">
        <v>1</v>
      </c>
      <c r="AX241" s="2" t="s">
        <v>74</v>
      </c>
      <c r="AY241" s="2" t="s">
        <v>74</v>
      </c>
      <c r="AZ241" s="2" t="s">
        <v>74</v>
      </c>
      <c r="BA241" s="2" t="s">
        <v>74</v>
      </c>
      <c r="BB241" s="2">
        <v>23</v>
      </c>
      <c r="BC241" s="2">
        <v>32</v>
      </c>
      <c r="BD241" s="2" t="s">
        <v>74</v>
      </c>
      <c r="BE241" s="2" t="s">
        <v>4868</v>
      </c>
      <c r="BF241" s="2" t="str">
        <f>HYPERLINK("http://dx.doi.org/10.1111/j.1439-0310.2008.01584.x","http://dx.doi.org/10.1111/j.1439-0310.2008.01584.x")</f>
        <v>http://dx.doi.org/10.1111/j.1439-0310.2008.01584.x</v>
      </c>
      <c r="BG241" s="2" t="s">
        <v>74</v>
      </c>
      <c r="BH241" s="2" t="s">
        <v>74</v>
      </c>
      <c r="BI241" s="2" t="s">
        <v>74</v>
      </c>
      <c r="BJ241" s="2" t="s">
        <v>74</v>
      </c>
      <c r="BK241" s="2" t="s">
        <v>74</v>
      </c>
      <c r="BL241" s="2" t="s">
        <v>74</v>
      </c>
      <c r="BM241" s="2" t="s">
        <v>74</v>
      </c>
      <c r="BN241" s="2" t="s">
        <v>74</v>
      </c>
      <c r="BO241" s="2" t="s">
        <v>74</v>
      </c>
      <c r="BP241" s="2" t="s">
        <v>74</v>
      </c>
      <c r="BQ241" s="2" t="s">
        <v>74</v>
      </c>
      <c r="BR241" s="2" t="s">
        <v>74</v>
      </c>
      <c r="BS241" s="2" t="s">
        <v>4869</v>
      </c>
      <c r="BT241" s="2" t="str">
        <f>HYPERLINK("https%3A%2F%2Fwww.webofscience.com%2Fwos%2Fwoscc%2Ffull-record%2FWOS:000261836000004","View Full Record in Web of Science")</f>
        <v>View Full Record in Web of Science</v>
      </c>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row>
    <row r="242" spans="1:314" s="2" customFormat="1" x14ac:dyDescent="0.4">
      <c r="A242" s="2" t="s">
        <v>72</v>
      </c>
      <c r="B242" s="2" t="s">
        <v>6759</v>
      </c>
      <c r="C242" s="2" t="s">
        <v>74</v>
      </c>
      <c r="D242" s="2" t="s">
        <v>74</v>
      </c>
      <c r="E242" s="2" t="s">
        <v>74</v>
      </c>
      <c r="F242" s="2" t="s">
        <v>6759</v>
      </c>
      <c r="G242" s="2" t="s">
        <v>74</v>
      </c>
      <c r="H242" s="2" t="s">
        <v>74</v>
      </c>
      <c r="I242" s="2" t="s">
        <v>6760</v>
      </c>
      <c r="J242" s="2" t="s">
        <v>312</v>
      </c>
      <c r="K242" s="2" t="s">
        <v>74</v>
      </c>
      <c r="L242" s="2" t="s">
        <v>74</v>
      </c>
      <c r="M242" s="2" t="s">
        <v>74</v>
      </c>
      <c r="N242" s="2" t="s">
        <v>74</v>
      </c>
      <c r="O242" s="2" t="s">
        <v>74</v>
      </c>
      <c r="P242" s="2" t="s">
        <v>74</v>
      </c>
      <c r="Q242" s="2" t="s">
        <v>74</v>
      </c>
      <c r="R242" s="2" t="s">
        <v>74</v>
      </c>
      <c r="S242" s="2" t="s">
        <v>74</v>
      </c>
      <c r="T242" s="2" t="s">
        <v>74</v>
      </c>
      <c r="U242" s="2" t="s">
        <v>74</v>
      </c>
      <c r="V242" s="5" t="s">
        <v>6761</v>
      </c>
      <c r="W242" s="2" t="s">
        <v>74</v>
      </c>
      <c r="X242" s="2" t="s">
        <v>74</v>
      </c>
      <c r="Y242" s="2" t="s">
        <v>74</v>
      </c>
      <c r="Z242" s="2" t="s">
        <v>74</v>
      </c>
      <c r="AA242" s="2" t="s">
        <v>1724</v>
      </c>
      <c r="AB242" s="2" t="s">
        <v>1725</v>
      </c>
      <c r="AC242" s="2" t="s">
        <v>74</v>
      </c>
      <c r="AD242" s="2" t="s">
        <v>74</v>
      </c>
      <c r="AE242" s="2" t="s">
        <v>74</v>
      </c>
      <c r="AF242" s="2" t="s">
        <v>74</v>
      </c>
      <c r="AG242" s="2" t="s">
        <v>74</v>
      </c>
      <c r="AH242" s="2" t="s">
        <v>74</v>
      </c>
      <c r="AI242" s="2" t="s">
        <v>74</v>
      </c>
      <c r="AJ242" s="2" t="s">
        <v>74</v>
      </c>
      <c r="AK242" s="2" t="s">
        <v>74</v>
      </c>
      <c r="AL242" s="2" t="s">
        <v>74</v>
      </c>
      <c r="AM242" s="2" t="s">
        <v>74</v>
      </c>
      <c r="AN242" s="2" t="s">
        <v>74</v>
      </c>
      <c r="AO242" s="2" t="s">
        <v>314</v>
      </c>
      <c r="AP242" s="2" t="s">
        <v>74</v>
      </c>
      <c r="AQ242" s="2" t="s">
        <v>74</v>
      </c>
      <c r="AR242" s="2" t="s">
        <v>74</v>
      </c>
      <c r="AS242" s="2" t="s">
        <v>74</v>
      </c>
      <c r="AT242" s="2" t="s">
        <v>134</v>
      </c>
      <c r="AU242" s="2">
        <v>2002</v>
      </c>
      <c r="AV242" s="2">
        <v>159</v>
      </c>
      <c r="AW242" s="2">
        <v>5</v>
      </c>
      <c r="AX242" s="2" t="s">
        <v>74</v>
      </c>
      <c r="AY242" s="2" t="s">
        <v>74</v>
      </c>
      <c r="AZ242" s="2" t="s">
        <v>74</v>
      </c>
      <c r="BA242" s="2" t="s">
        <v>74</v>
      </c>
      <c r="BB242" s="2">
        <v>438</v>
      </c>
      <c r="BC242" s="2">
        <v>450</v>
      </c>
      <c r="BD242" s="2" t="s">
        <v>74</v>
      </c>
      <c r="BE242" s="2" t="s">
        <v>6762</v>
      </c>
      <c r="BF242" s="2" t="str">
        <f>HYPERLINK("http://dx.doi.org/10.1086/339457","http://dx.doi.org/10.1086/339457")</f>
        <v>http://dx.doi.org/10.1086/339457</v>
      </c>
      <c r="BG242" s="2" t="s">
        <v>74</v>
      </c>
      <c r="BH242" s="2" t="s">
        <v>74</v>
      </c>
      <c r="BI242" s="2" t="s">
        <v>74</v>
      </c>
      <c r="BJ242" s="2" t="s">
        <v>74</v>
      </c>
      <c r="BK242" s="2" t="s">
        <v>74</v>
      </c>
      <c r="BL242" s="2" t="s">
        <v>74</v>
      </c>
      <c r="BM242" s="2" t="s">
        <v>74</v>
      </c>
      <c r="BN242" s="2">
        <v>18707428</v>
      </c>
      <c r="BO242" s="2" t="s">
        <v>74</v>
      </c>
      <c r="BP242" s="2" t="s">
        <v>74</v>
      </c>
      <c r="BQ242" s="2" t="s">
        <v>74</v>
      </c>
      <c r="BR242" s="2" t="s">
        <v>74</v>
      </c>
      <c r="BS242" s="2" t="s">
        <v>6763</v>
      </c>
      <c r="BT242" s="2" t="str">
        <f>HYPERLINK("https%3A%2F%2Fwww.webofscience.com%2Fwos%2Fwoscc%2Ffull-record%2FWOS:000175302800002","View Full Record in Web of Science")</f>
        <v>View Full Record in Web of Science</v>
      </c>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row>
    <row r="243" spans="1:314" s="2" customFormat="1" x14ac:dyDescent="0.4">
      <c r="A243" s="2" t="s">
        <v>72</v>
      </c>
      <c r="B243" s="2" t="s">
        <v>8168</v>
      </c>
      <c r="C243" s="2" t="s">
        <v>74</v>
      </c>
      <c r="D243" s="2" t="s">
        <v>74</v>
      </c>
      <c r="E243" s="2" t="s">
        <v>74</v>
      </c>
      <c r="F243" s="2" t="s">
        <v>8168</v>
      </c>
      <c r="G243" s="2" t="s">
        <v>74</v>
      </c>
      <c r="H243" s="2" t="s">
        <v>74</v>
      </c>
      <c r="I243" s="2" t="s">
        <v>8169</v>
      </c>
      <c r="J243" s="2" t="s">
        <v>171</v>
      </c>
      <c r="K243" s="2" t="s">
        <v>74</v>
      </c>
      <c r="L243" s="2" t="s">
        <v>74</v>
      </c>
      <c r="M243" s="2" t="s">
        <v>74</v>
      </c>
      <c r="N243" s="2" t="s">
        <v>74</v>
      </c>
      <c r="O243" s="2" t="s">
        <v>74</v>
      </c>
      <c r="P243" s="2" t="s">
        <v>74</v>
      </c>
      <c r="Q243" s="2" t="s">
        <v>74</v>
      </c>
      <c r="R243" s="2" t="s">
        <v>74</v>
      </c>
      <c r="S243" s="2" t="s">
        <v>74</v>
      </c>
      <c r="T243" s="2" t="s">
        <v>74</v>
      </c>
      <c r="U243" s="2" t="s">
        <v>74</v>
      </c>
      <c r="V243" s="5" t="s">
        <v>8170</v>
      </c>
      <c r="W243" s="2" t="s">
        <v>74</v>
      </c>
      <c r="X243" s="2" t="s">
        <v>74</v>
      </c>
      <c r="Y243" s="2" t="s">
        <v>74</v>
      </c>
      <c r="Z243" s="2" t="s">
        <v>74</v>
      </c>
      <c r="AA243" s="2" t="s">
        <v>8171</v>
      </c>
      <c r="AB243" s="2" t="s">
        <v>8172</v>
      </c>
      <c r="AC243" s="2" t="s">
        <v>74</v>
      </c>
      <c r="AD243" s="2" t="s">
        <v>74</v>
      </c>
      <c r="AE243" s="2" t="s">
        <v>74</v>
      </c>
      <c r="AF243" s="2" t="s">
        <v>74</v>
      </c>
      <c r="AG243" s="2" t="s">
        <v>74</v>
      </c>
      <c r="AH243" s="2" t="s">
        <v>74</v>
      </c>
      <c r="AI243" s="2" t="s">
        <v>74</v>
      </c>
      <c r="AJ243" s="2" t="s">
        <v>74</v>
      </c>
      <c r="AK243" s="2" t="s">
        <v>74</v>
      </c>
      <c r="AL243" s="2" t="s">
        <v>74</v>
      </c>
      <c r="AM243" s="2" t="s">
        <v>74</v>
      </c>
      <c r="AN243" s="2" t="s">
        <v>74</v>
      </c>
      <c r="AO243" s="2" t="s">
        <v>173</v>
      </c>
      <c r="AP243" s="2" t="s">
        <v>174</v>
      </c>
      <c r="AQ243" s="2" t="s">
        <v>74</v>
      </c>
      <c r="AR243" s="2" t="s">
        <v>74</v>
      </c>
      <c r="AS243" s="2" t="s">
        <v>74</v>
      </c>
      <c r="AT243" s="2" t="s">
        <v>305</v>
      </c>
      <c r="AU243" s="2">
        <v>1998</v>
      </c>
      <c r="AV243" s="2">
        <v>52</v>
      </c>
      <c r="AW243" s="2">
        <v>6</v>
      </c>
      <c r="AX243" s="2" t="s">
        <v>74</v>
      </c>
      <c r="AY243" s="2" t="s">
        <v>74</v>
      </c>
      <c r="AZ243" s="2" t="s">
        <v>74</v>
      </c>
      <c r="BA243" s="2" t="s">
        <v>74</v>
      </c>
      <c r="BB243" s="2">
        <v>1602</v>
      </c>
      <c r="BC243" s="2">
        <v>1611</v>
      </c>
      <c r="BD243" s="2" t="s">
        <v>74</v>
      </c>
      <c r="BE243" s="2" t="s">
        <v>8173</v>
      </c>
      <c r="BF243" s="2" t="str">
        <f>HYPERLINK("http://dx.doi.org/10.1111/j.1558-5646.1998.tb02241.x","http://dx.doi.org/10.1111/j.1558-5646.1998.tb02241.x")</f>
        <v>http://dx.doi.org/10.1111/j.1558-5646.1998.tb02241.x</v>
      </c>
      <c r="BG243" s="2" t="s">
        <v>74</v>
      </c>
      <c r="BH243" s="2" t="s">
        <v>74</v>
      </c>
      <c r="BI243" s="2" t="s">
        <v>74</v>
      </c>
      <c r="BJ243" s="2" t="s">
        <v>74</v>
      </c>
      <c r="BK243" s="2" t="s">
        <v>74</v>
      </c>
      <c r="BL243" s="2" t="s">
        <v>74</v>
      </c>
      <c r="BM243" s="2" t="s">
        <v>74</v>
      </c>
      <c r="BN243" s="2">
        <v>28565336</v>
      </c>
      <c r="BO243" s="2" t="s">
        <v>74</v>
      </c>
      <c r="BP243" s="2" t="s">
        <v>74</v>
      </c>
      <c r="BQ243" s="2" t="s">
        <v>74</v>
      </c>
      <c r="BR243" s="2" t="s">
        <v>74</v>
      </c>
      <c r="BS243" s="2" t="s">
        <v>8174</v>
      </c>
      <c r="BT243" s="2" t="str">
        <f>HYPERLINK("https%3A%2F%2Fwww.webofscience.com%2Fwos%2Fwoscc%2Ffull-record%2FWOS:000078076700007","View Full Record in Web of Science")</f>
        <v>View Full Record in Web of Science</v>
      </c>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row>
    <row r="244" spans="1:314" s="2" customFormat="1" x14ac:dyDescent="0.4">
      <c r="A244" s="2" t="s">
        <v>72</v>
      </c>
      <c r="B244" s="2" t="s">
        <v>4640</v>
      </c>
      <c r="C244" s="2" t="s">
        <v>74</v>
      </c>
      <c r="D244" s="2" t="s">
        <v>74</v>
      </c>
      <c r="E244" s="2" t="s">
        <v>74</v>
      </c>
      <c r="F244" s="2" t="s">
        <v>4640</v>
      </c>
      <c r="G244" s="2" t="s">
        <v>74</v>
      </c>
      <c r="H244" s="2" t="s">
        <v>74</v>
      </c>
      <c r="I244" s="2" t="s">
        <v>4641</v>
      </c>
      <c r="J244" s="2" t="s">
        <v>140</v>
      </c>
      <c r="K244" s="2" t="s">
        <v>74</v>
      </c>
      <c r="L244" s="2" t="s">
        <v>74</v>
      </c>
      <c r="M244" s="2" t="s">
        <v>74</v>
      </c>
      <c r="N244" s="2" t="s">
        <v>74</v>
      </c>
      <c r="O244" s="2" t="s">
        <v>74</v>
      </c>
      <c r="P244" s="2" t="s">
        <v>74</v>
      </c>
      <c r="Q244" s="2" t="s">
        <v>74</v>
      </c>
      <c r="R244" s="2" t="s">
        <v>74</v>
      </c>
      <c r="S244" s="2" t="s">
        <v>74</v>
      </c>
      <c r="T244" s="2" t="s">
        <v>74</v>
      </c>
      <c r="U244" s="2" t="s">
        <v>74</v>
      </c>
      <c r="V244" s="5" t="s">
        <v>4642</v>
      </c>
      <c r="W244" s="2" t="s">
        <v>74</v>
      </c>
      <c r="X244" s="2" t="s">
        <v>74</v>
      </c>
      <c r="Y244" s="2" t="s">
        <v>74</v>
      </c>
      <c r="Z244" s="2" t="s">
        <v>74</v>
      </c>
      <c r="AA244" s="2" t="s">
        <v>4643</v>
      </c>
      <c r="AB244" s="2" t="s">
        <v>74</v>
      </c>
      <c r="AC244" s="2" t="s">
        <v>74</v>
      </c>
      <c r="AD244" s="2" t="s">
        <v>74</v>
      </c>
      <c r="AE244" s="2" t="s">
        <v>74</v>
      </c>
      <c r="AF244" s="2" t="s">
        <v>74</v>
      </c>
      <c r="AG244" s="2" t="s">
        <v>74</v>
      </c>
      <c r="AH244" s="2" t="s">
        <v>74</v>
      </c>
      <c r="AI244" s="2" t="s">
        <v>74</v>
      </c>
      <c r="AJ244" s="2" t="s">
        <v>74</v>
      </c>
      <c r="AK244" s="2" t="s">
        <v>74</v>
      </c>
      <c r="AL244" s="2" t="s">
        <v>74</v>
      </c>
      <c r="AM244" s="2" t="s">
        <v>74</v>
      </c>
      <c r="AN244" s="2" t="s">
        <v>74</v>
      </c>
      <c r="AO244" s="2" t="s">
        <v>143</v>
      </c>
      <c r="AP244" s="2" t="s">
        <v>74</v>
      </c>
      <c r="AQ244" s="2" t="s">
        <v>74</v>
      </c>
      <c r="AR244" s="2" t="s">
        <v>74</v>
      </c>
      <c r="AS244" s="2" t="s">
        <v>74</v>
      </c>
      <c r="AT244" s="2" t="s">
        <v>204</v>
      </c>
      <c r="AU244" s="2">
        <v>1999</v>
      </c>
      <c r="AV244" s="2">
        <v>58</v>
      </c>
      <c r="AW244" s="2" t="s">
        <v>74</v>
      </c>
      <c r="AX244" s="2">
        <v>1</v>
      </c>
      <c r="AY244" s="2" t="s">
        <v>74</v>
      </c>
      <c r="AZ244" s="2" t="s">
        <v>74</v>
      </c>
      <c r="BA244" s="2" t="s">
        <v>74</v>
      </c>
      <c r="BB244" s="2">
        <v>151</v>
      </c>
      <c r="BC244" s="2">
        <v>158</v>
      </c>
      <c r="BD244" s="2" t="s">
        <v>74</v>
      </c>
      <c r="BE244" s="2" t="s">
        <v>4644</v>
      </c>
      <c r="BF244" s="2" t="str">
        <f>HYPERLINK("http://dx.doi.org/10.1006/anbe.1999.1121","http://dx.doi.org/10.1006/anbe.1999.1121")</f>
        <v>http://dx.doi.org/10.1006/anbe.1999.1121</v>
      </c>
      <c r="BG244" s="2" t="s">
        <v>74</v>
      </c>
      <c r="BH244" s="2" t="s">
        <v>74</v>
      </c>
      <c r="BI244" s="2" t="s">
        <v>74</v>
      </c>
      <c r="BJ244" s="2" t="s">
        <v>74</v>
      </c>
      <c r="BK244" s="2" t="s">
        <v>74</v>
      </c>
      <c r="BL244" s="2" t="s">
        <v>74</v>
      </c>
      <c r="BM244" s="2" t="s">
        <v>74</v>
      </c>
      <c r="BN244" s="2">
        <v>10413551</v>
      </c>
      <c r="BO244" s="2" t="s">
        <v>74</v>
      </c>
      <c r="BP244" s="2" t="s">
        <v>74</v>
      </c>
      <c r="BQ244" s="2" t="s">
        <v>74</v>
      </c>
      <c r="BR244" s="2" t="s">
        <v>74</v>
      </c>
      <c r="BS244" s="2" t="s">
        <v>4645</v>
      </c>
      <c r="BT244" s="2" t="str">
        <f>HYPERLINK("https%3A%2F%2Fwww.webofscience.com%2Fwos%2Fwoscc%2Ffull-record%2FWOS:000081982700017","View Full Record in Web of Science")</f>
        <v>View Full Record in Web of Science</v>
      </c>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row>
    <row r="245" spans="1:314" s="2" customFormat="1" x14ac:dyDescent="0.4">
      <c r="A245" s="2" t="s">
        <v>72</v>
      </c>
      <c r="B245" s="2" t="s">
        <v>8216</v>
      </c>
      <c r="C245" s="2" t="s">
        <v>74</v>
      </c>
      <c r="D245" s="2" t="s">
        <v>74</v>
      </c>
      <c r="E245" s="2" t="s">
        <v>74</v>
      </c>
      <c r="F245" s="2" t="s">
        <v>8217</v>
      </c>
      <c r="G245" s="2" t="s">
        <v>74</v>
      </c>
      <c r="H245" s="2" t="s">
        <v>74</v>
      </c>
      <c r="I245" s="2" t="s">
        <v>8218</v>
      </c>
      <c r="J245" s="2" t="s">
        <v>1574</v>
      </c>
      <c r="K245" s="2" t="s">
        <v>74</v>
      </c>
      <c r="L245" s="2" t="s">
        <v>74</v>
      </c>
      <c r="M245" s="2" t="s">
        <v>74</v>
      </c>
      <c r="N245" s="2" t="s">
        <v>74</v>
      </c>
      <c r="O245" s="2" t="s">
        <v>74</v>
      </c>
      <c r="P245" s="2" t="s">
        <v>74</v>
      </c>
      <c r="Q245" s="2" t="s">
        <v>74</v>
      </c>
      <c r="R245" s="2" t="s">
        <v>74</v>
      </c>
      <c r="S245" s="2" t="s">
        <v>74</v>
      </c>
      <c r="T245" s="2" t="s">
        <v>74</v>
      </c>
      <c r="U245" s="2" t="s">
        <v>74</v>
      </c>
      <c r="V245" s="5" t="s">
        <v>8219</v>
      </c>
      <c r="W245" s="2" t="s">
        <v>74</v>
      </c>
      <c r="X245" s="2" t="s">
        <v>74</v>
      </c>
      <c r="Y245" s="2" t="s">
        <v>74</v>
      </c>
      <c r="Z245" s="2" t="s">
        <v>74</v>
      </c>
      <c r="AA245" s="2" t="s">
        <v>74</v>
      </c>
      <c r="AB245" s="2" t="s">
        <v>74</v>
      </c>
      <c r="AC245" s="2" t="s">
        <v>74</v>
      </c>
      <c r="AD245" s="2" t="s">
        <v>74</v>
      </c>
      <c r="AE245" s="2" t="s">
        <v>74</v>
      </c>
      <c r="AF245" s="2" t="s">
        <v>74</v>
      </c>
      <c r="AG245" s="2" t="s">
        <v>74</v>
      </c>
      <c r="AH245" s="2" t="s">
        <v>74</v>
      </c>
      <c r="AI245" s="2" t="s">
        <v>74</v>
      </c>
      <c r="AJ245" s="2" t="s">
        <v>74</v>
      </c>
      <c r="AK245" s="2" t="s">
        <v>74</v>
      </c>
      <c r="AL245" s="2" t="s">
        <v>74</v>
      </c>
      <c r="AM245" s="2" t="s">
        <v>74</v>
      </c>
      <c r="AN245" s="2" t="s">
        <v>74</v>
      </c>
      <c r="AO245" s="2" t="s">
        <v>1576</v>
      </c>
      <c r="AP245" s="2" t="s">
        <v>1577</v>
      </c>
      <c r="AQ245" s="2" t="s">
        <v>74</v>
      </c>
      <c r="AR245" s="2" t="s">
        <v>74</v>
      </c>
      <c r="AS245" s="2" t="s">
        <v>74</v>
      </c>
      <c r="AT245" s="2" t="s">
        <v>204</v>
      </c>
      <c r="AU245" s="2">
        <v>2022</v>
      </c>
      <c r="AV245" s="2">
        <v>97</v>
      </c>
      <c r="AW245" s="2" t="s">
        <v>1276</v>
      </c>
      <c r="AX245" s="2" t="s">
        <v>74</v>
      </c>
      <c r="AY245" s="2" t="s">
        <v>74</v>
      </c>
      <c r="AZ245" s="2" t="s">
        <v>74</v>
      </c>
      <c r="BA245" s="2" t="s">
        <v>74</v>
      </c>
      <c r="BB245" s="2">
        <v>184</v>
      </c>
      <c r="BC245" s="2">
        <v>196</v>
      </c>
      <c r="BD245" s="2" t="s">
        <v>74</v>
      </c>
      <c r="BE245" s="2" t="s">
        <v>8220</v>
      </c>
      <c r="BF245" s="2" t="str">
        <f>HYPERLINK("http://dx.doi.org/10.1159/000524217","http://dx.doi.org/10.1159/000524217")</f>
        <v>http://dx.doi.org/10.1159/000524217</v>
      </c>
      <c r="BG245" s="2" t="s">
        <v>74</v>
      </c>
      <c r="BH245" s="2" t="s">
        <v>74</v>
      </c>
      <c r="BI245" s="2" t="s">
        <v>74</v>
      </c>
      <c r="BJ245" s="2" t="s">
        <v>74</v>
      </c>
      <c r="BK245" s="2" t="s">
        <v>74</v>
      </c>
      <c r="BL245" s="2" t="s">
        <v>74</v>
      </c>
      <c r="BM245" s="2" t="s">
        <v>74</v>
      </c>
      <c r="BN245" s="2">
        <v>35320812</v>
      </c>
      <c r="BO245" s="2" t="s">
        <v>74</v>
      </c>
      <c r="BP245" s="2" t="s">
        <v>74</v>
      </c>
      <c r="BQ245" s="2" t="s">
        <v>74</v>
      </c>
      <c r="BR245" s="2" t="s">
        <v>74</v>
      </c>
      <c r="BS245" s="2" t="s">
        <v>8221</v>
      </c>
      <c r="BT245" s="2" t="str">
        <f>HYPERLINK("https%3A%2F%2Fwww.webofscience.com%2Fwos%2Fwoscc%2Ffull-record%2FWOS:000840266300008","View Full Record in Web of Science")</f>
        <v>View Full Record in Web of Science</v>
      </c>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row>
    <row r="246" spans="1:314" s="2" customFormat="1" x14ac:dyDescent="0.4">
      <c r="A246" s="2" t="s">
        <v>72</v>
      </c>
      <c r="B246" s="2" t="s">
        <v>3913</v>
      </c>
      <c r="C246" s="2" t="s">
        <v>74</v>
      </c>
      <c r="D246" s="2" t="s">
        <v>74</v>
      </c>
      <c r="E246" s="2" t="s">
        <v>74</v>
      </c>
      <c r="F246" s="2" t="s">
        <v>3914</v>
      </c>
      <c r="G246" s="2" t="s">
        <v>74</v>
      </c>
      <c r="H246" s="2" t="s">
        <v>74</v>
      </c>
      <c r="I246" s="2" t="s">
        <v>3915</v>
      </c>
      <c r="J246" s="2" t="s">
        <v>1995</v>
      </c>
      <c r="K246" s="2" t="s">
        <v>74</v>
      </c>
      <c r="L246" s="2" t="s">
        <v>74</v>
      </c>
      <c r="M246" s="2" t="s">
        <v>74</v>
      </c>
      <c r="N246" s="2" t="s">
        <v>74</v>
      </c>
      <c r="O246" s="2" t="s">
        <v>74</v>
      </c>
      <c r="P246" s="2" t="s">
        <v>74</v>
      </c>
      <c r="Q246" s="2" t="s">
        <v>74</v>
      </c>
      <c r="R246" s="2" t="s">
        <v>74</v>
      </c>
      <c r="S246" s="2" t="s">
        <v>74</v>
      </c>
      <c r="T246" s="2" t="s">
        <v>74</v>
      </c>
      <c r="U246" s="2" t="s">
        <v>74</v>
      </c>
      <c r="V246" s="5" t="s">
        <v>3916</v>
      </c>
      <c r="W246" s="2" t="s">
        <v>74</v>
      </c>
      <c r="X246" s="2" t="s">
        <v>74</v>
      </c>
      <c r="Y246" s="2" t="s">
        <v>74</v>
      </c>
      <c r="Z246" s="2" t="s">
        <v>74</v>
      </c>
      <c r="AA246" s="2" t="s">
        <v>74</v>
      </c>
      <c r="AB246" s="2" t="s">
        <v>74</v>
      </c>
      <c r="AC246" s="2" t="s">
        <v>74</v>
      </c>
      <c r="AD246" s="2" t="s">
        <v>74</v>
      </c>
      <c r="AE246" s="2" t="s">
        <v>74</v>
      </c>
      <c r="AF246" s="2" t="s">
        <v>74</v>
      </c>
      <c r="AG246" s="2" t="s">
        <v>74</v>
      </c>
      <c r="AH246" s="2" t="s">
        <v>74</v>
      </c>
      <c r="AI246" s="2" t="s">
        <v>74</v>
      </c>
      <c r="AJ246" s="2" t="s">
        <v>74</v>
      </c>
      <c r="AK246" s="2" t="s">
        <v>74</v>
      </c>
      <c r="AL246" s="2" t="s">
        <v>74</v>
      </c>
      <c r="AM246" s="2" t="s">
        <v>74</v>
      </c>
      <c r="AN246" s="2" t="s">
        <v>74</v>
      </c>
      <c r="AO246" s="2" t="s">
        <v>1997</v>
      </c>
      <c r="AP246" s="2" t="s">
        <v>3917</v>
      </c>
      <c r="AQ246" s="2" t="s">
        <v>74</v>
      </c>
      <c r="AR246" s="2" t="s">
        <v>74</v>
      </c>
      <c r="AS246" s="2" t="s">
        <v>74</v>
      </c>
      <c r="AT246" s="2" t="s">
        <v>102</v>
      </c>
      <c r="AU246" s="2">
        <v>2009</v>
      </c>
      <c r="AV246" s="2">
        <v>80</v>
      </c>
      <c r="AW246" s="2">
        <v>2</v>
      </c>
      <c r="AX246" s="2" t="s">
        <v>74</v>
      </c>
      <c r="AY246" s="2" t="s">
        <v>74</v>
      </c>
      <c r="AZ246" s="2" t="s">
        <v>74</v>
      </c>
      <c r="BA246" s="2" t="s">
        <v>74</v>
      </c>
      <c r="BB246" s="2">
        <v>163</v>
      </c>
      <c r="BC246" s="2">
        <v>170</v>
      </c>
      <c r="BD246" s="2" t="s">
        <v>74</v>
      </c>
      <c r="BE246" s="2" t="s">
        <v>3918</v>
      </c>
      <c r="BF246" s="2" t="str">
        <f>HYPERLINK("http://dx.doi.org/10.1111/j.1557-9263.2009.00218.x","http://dx.doi.org/10.1111/j.1557-9263.2009.00218.x")</f>
        <v>http://dx.doi.org/10.1111/j.1557-9263.2009.00218.x</v>
      </c>
      <c r="BG246" s="2" t="s">
        <v>74</v>
      </c>
      <c r="BH246" s="2" t="s">
        <v>74</v>
      </c>
      <c r="BI246" s="2" t="s">
        <v>74</v>
      </c>
      <c r="BJ246" s="2" t="s">
        <v>74</v>
      </c>
      <c r="BK246" s="2" t="s">
        <v>74</v>
      </c>
      <c r="BL246" s="2" t="s">
        <v>74</v>
      </c>
      <c r="BM246" s="2" t="s">
        <v>74</v>
      </c>
      <c r="BN246" s="2" t="s">
        <v>74</v>
      </c>
      <c r="BO246" s="2" t="s">
        <v>74</v>
      </c>
      <c r="BP246" s="2" t="s">
        <v>74</v>
      </c>
      <c r="BQ246" s="2" t="s">
        <v>74</v>
      </c>
      <c r="BR246" s="2" t="s">
        <v>74</v>
      </c>
      <c r="BS246" s="2" t="s">
        <v>3919</v>
      </c>
      <c r="BT246" s="2" t="str">
        <f>HYPERLINK("https%3A%2F%2Fwww.webofscience.com%2Fwos%2Fwoscc%2Ffull-record%2FWOS:000266465200007","View Full Record in Web of Science")</f>
        <v>View Full Record in Web of Science</v>
      </c>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row>
    <row r="247" spans="1:314" s="1" customFormat="1" x14ac:dyDescent="0.4">
      <c r="A247" s="2" t="s">
        <v>72</v>
      </c>
      <c r="B247" s="2" t="s">
        <v>4769</v>
      </c>
      <c r="C247" s="2" t="s">
        <v>74</v>
      </c>
      <c r="D247" s="2" t="s">
        <v>74</v>
      </c>
      <c r="E247" s="2" t="s">
        <v>74</v>
      </c>
      <c r="F247" s="2" t="s">
        <v>4770</v>
      </c>
      <c r="G247" s="2" t="s">
        <v>74</v>
      </c>
      <c r="H247" s="2" t="s">
        <v>74</v>
      </c>
      <c r="I247" s="2" t="s">
        <v>4771</v>
      </c>
      <c r="J247" s="2" t="s">
        <v>4772</v>
      </c>
      <c r="K247" s="2" t="s">
        <v>74</v>
      </c>
      <c r="L247" s="2" t="s">
        <v>74</v>
      </c>
      <c r="M247" s="2" t="s">
        <v>74</v>
      </c>
      <c r="N247" s="2" t="s">
        <v>74</v>
      </c>
      <c r="O247" s="2" t="s">
        <v>74</v>
      </c>
      <c r="P247" s="2" t="s">
        <v>74</v>
      </c>
      <c r="Q247" s="2" t="s">
        <v>74</v>
      </c>
      <c r="R247" s="2" t="s">
        <v>74</v>
      </c>
      <c r="S247" s="2" t="s">
        <v>74</v>
      </c>
      <c r="T247" s="2" t="s">
        <v>74</v>
      </c>
      <c r="U247" s="2" t="s">
        <v>74</v>
      </c>
      <c r="V247" s="5" t="s">
        <v>4773</v>
      </c>
      <c r="W247" s="2" t="s">
        <v>74</v>
      </c>
      <c r="X247" s="2" t="s">
        <v>74</v>
      </c>
      <c r="Y247" s="2" t="s">
        <v>74</v>
      </c>
      <c r="Z247" s="2" t="s">
        <v>74</v>
      </c>
      <c r="AA247" s="2" t="s">
        <v>74</v>
      </c>
      <c r="AB247" s="2" t="s">
        <v>74</v>
      </c>
      <c r="AC247" s="2" t="s">
        <v>74</v>
      </c>
      <c r="AD247" s="2" t="s">
        <v>74</v>
      </c>
      <c r="AE247" s="2" t="s">
        <v>74</v>
      </c>
      <c r="AF247" s="2" t="s">
        <v>74</v>
      </c>
      <c r="AG247" s="2" t="s">
        <v>74</v>
      </c>
      <c r="AH247" s="2" t="s">
        <v>74</v>
      </c>
      <c r="AI247" s="2" t="s">
        <v>74</v>
      </c>
      <c r="AJ247" s="2" t="s">
        <v>74</v>
      </c>
      <c r="AK247" s="2" t="s">
        <v>74</v>
      </c>
      <c r="AL247" s="2" t="s">
        <v>74</v>
      </c>
      <c r="AM247" s="2" t="s">
        <v>74</v>
      </c>
      <c r="AN247" s="2" t="s">
        <v>74</v>
      </c>
      <c r="AO247" s="2" t="s">
        <v>4774</v>
      </c>
      <c r="AP247" s="2" t="s">
        <v>74</v>
      </c>
      <c r="AQ247" s="2" t="s">
        <v>74</v>
      </c>
      <c r="AR247" s="2" t="s">
        <v>74</v>
      </c>
      <c r="AS247" s="2" t="s">
        <v>74</v>
      </c>
      <c r="AT247" s="2" t="s">
        <v>204</v>
      </c>
      <c r="AU247" s="2">
        <v>2010</v>
      </c>
      <c r="AV247" s="2">
        <v>49</v>
      </c>
      <c r="AW247" s="2">
        <v>4</v>
      </c>
      <c r="AX247" s="2" t="s">
        <v>74</v>
      </c>
      <c r="AY247" s="2" t="s">
        <v>74</v>
      </c>
      <c r="AZ247" s="2" t="s">
        <v>74</v>
      </c>
      <c r="BA247" s="2" t="s">
        <v>74</v>
      </c>
      <c r="BB247" s="2">
        <v>336</v>
      </c>
      <c r="BC247" s="2">
        <v>344</v>
      </c>
      <c r="BD247" s="2" t="s">
        <v>74</v>
      </c>
      <c r="BE247" s="2" t="s">
        <v>4775</v>
      </c>
      <c r="BF247" s="2" t="str">
        <f>HYPERLINK("http://dx.doi.org/10.2216/09-19.1","http://dx.doi.org/10.2216/09-19.1")</f>
        <v>http://dx.doi.org/10.2216/09-19.1</v>
      </c>
      <c r="BG247" s="2" t="s">
        <v>74</v>
      </c>
      <c r="BH247" s="2" t="s">
        <v>74</v>
      </c>
      <c r="BI247" s="2" t="s">
        <v>74</v>
      </c>
      <c r="BJ247" s="2" t="s">
        <v>74</v>
      </c>
      <c r="BK247" s="2" t="s">
        <v>74</v>
      </c>
      <c r="BL247" s="2" t="s">
        <v>74</v>
      </c>
      <c r="BM247" s="2" t="s">
        <v>74</v>
      </c>
      <c r="BN247" s="2" t="s">
        <v>74</v>
      </c>
      <c r="BO247" s="2" t="s">
        <v>74</v>
      </c>
      <c r="BP247" s="2" t="s">
        <v>74</v>
      </c>
      <c r="BQ247" s="2" t="s">
        <v>74</v>
      </c>
      <c r="BR247" s="2" t="s">
        <v>74</v>
      </c>
      <c r="BS247" s="2" t="s">
        <v>4776</v>
      </c>
      <c r="BT247" s="2" t="str">
        <f>HYPERLINK("https%3A%2F%2Fwww.webofscience.com%2Fwos%2Fwoscc%2Ffull-record%2FWOS:000280232300004","View Full Record in Web of Science")</f>
        <v>View Full Record in Web of Science</v>
      </c>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row>
    <row r="248" spans="1:314" s="2" customFormat="1" x14ac:dyDescent="0.4">
      <c r="A248" s="2" t="s">
        <v>72</v>
      </c>
      <c r="B248" s="2" t="s">
        <v>6800</v>
      </c>
      <c r="C248" s="2" t="s">
        <v>74</v>
      </c>
      <c r="D248" s="2" t="s">
        <v>74</v>
      </c>
      <c r="E248" s="2" t="s">
        <v>74</v>
      </c>
      <c r="F248" s="2" t="s">
        <v>6800</v>
      </c>
      <c r="G248" s="2" t="s">
        <v>74</v>
      </c>
      <c r="H248" s="2" t="s">
        <v>74</v>
      </c>
      <c r="I248" s="2" t="s">
        <v>6801</v>
      </c>
      <c r="J248" s="2" t="s">
        <v>1198</v>
      </c>
      <c r="K248" s="2" t="s">
        <v>74</v>
      </c>
      <c r="L248" s="2" t="s">
        <v>74</v>
      </c>
      <c r="M248" s="2" t="s">
        <v>74</v>
      </c>
      <c r="N248" s="2" t="s">
        <v>74</v>
      </c>
      <c r="O248" s="2" t="s">
        <v>74</v>
      </c>
      <c r="P248" s="2" t="s">
        <v>74</v>
      </c>
      <c r="Q248" s="2" t="s">
        <v>74</v>
      </c>
      <c r="R248" s="2" t="s">
        <v>74</v>
      </c>
      <c r="S248" s="2" t="s">
        <v>74</v>
      </c>
      <c r="T248" s="2" t="s">
        <v>74</v>
      </c>
      <c r="U248" s="2" t="s">
        <v>74</v>
      </c>
      <c r="V248" s="5" t="s">
        <v>6802</v>
      </c>
      <c r="W248" s="2" t="s">
        <v>74</v>
      </c>
      <c r="X248" s="2" t="s">
        <v>74</v>
      </c>
      <c r="Y248" s="2" t="s">
        <v>74</v>
      </c>
      <c r="Z248" s="2" t="s">
        <v>74</v>
      </c>
      <c r="AA248" s="2" t="s">
        <v>74</v>
      </c>
      <c r="AB248" s="2" t="s">
        <v>74</v>
      </c>
      <c r="AC248" s="2" t="s">
        <v>74</v>
      </c>
      <c r="AD248" s="2" t="s">
        <v>74</v>
      </c>
      <c r="AE248" s="2" t="s">
        <v>74</v>
      </c>
      <c r="AF248" s="2" t="s">
        <v>74</v>
      </c>
      <c r="AG248" s="2" t="s">
        <v>74</v>
      </c>
      <c r="AH248" s="2" t="s">
        <v>74</v>
      </c>
      <c r="AI248" s="2" t="s">
        <v>74</v>
      </c>
      <c r="AJ248" s="2" t="s">
        <v>74</v>
      </c>
      <c r="AK248" s="2" t="s">
        <v>74</v>
      </c>
      <c r="AL248" s="2" t="s">
        <v>74</v>
      </c>
      <c r="AM248" s="2" t="s">
        <v>74</v>
      </c>
      <c r="AN248" s="2" t="s">
        <v>74</v>
      </c>
      <c r="AO248" s="2" t="s">
        <v>1202</v>
      </c>
      <c r="AP248" s="2" t="s">
        <v>1203</v>
      </c>
      <c r="AQ248" s="2" t="s">
        <v>74</v>
      </c>
      <c r="AR248" s="2" t="s">
        <v>74</v>
      </c>
      <c r="AS248" s="2" t="s">
        <v>74</v>
      </c>
      <c r="AT248" s="2" t="s">
        <v>102</v>
      </c>
      <c r="AU248" s="2">
        <v>1997</v>
      </c>
      <c r="AV248" s="2">
        <v>53</v>
      </c>
      <c r="AW248" s="2">
        <v>2</v>
      </c>
      <c r="AX248" s="2" t="s">
        <v>74</v>
      </c>
      <c r="AY248" s="2" t="s">
        <v>74</v>
      </c>
      <c r="AZ248" s="2" t="s">
        <v>74</v>
      </c>
      <c r="BA248" s="2" t="s">
        <v>74</v>
      </c>
      <c r="BB248" s="2">
        <v>206</v>
      </c>
      <c r="BC248" s="2">
        <v>217</v>
      </c>
      <c r="BD248" s="2" t="s">
        <v>74</v>
      </c>
      <c r="BE248" s="2" t="s">
        <v>74</v>
      </c>
      <c r="BF248" s="2" t="s">
        <v>74</v>
      </c>
      <c r="BG248" s="2" t="s">
        <v>74</v>
      </c>
      <c r="BH248" s="2" t="s">
        <v>74</v>
      </c>
      <c r="BI248" s="2" t="s">
        <v>74</v>
      </c>
      <c r="BJ248" s="2" t="s">
        <v>74</v>
      </c>
      <c r="BK248" s="2" t="s">
        <v>74</v>
      </c>
      <c r="BL248" s="2" t="s">
        <v>74</v>
      </c>
      <c r="BM248" s="2" t="s">
        <v>74</v>
      </c>
      <c r="BN248" s="2" t="s">
        <v>74</v>
      </c>
      <c r="BO248" s="2" t="s">
        <v>74</v>
      </c>
      <c r="BP248" s="2" t="s">
        <v>74</v>
      </c>
      <c r="BQ248" s="2" t="s">
        <v>74</v>
      </c>
      <c r="BR248" s="2" t="s">
        <v>74</v>
      </c>
      <c r="BS248" s="2" t="s">
        <v>6803</v>
      </c>
      <c r="BT248" s="2" t="str">
        <f>HYPERLINK("https%3A%2F%2Fwww.webofscience.com%2Fwos%2Fwoscc%2Ffull-record%2FWOS:A1997XC82700006","View Full Record in Web of Science")</f>
        <v>View Full Record in Web of Science</v>
      </c>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row>
    <row r="249" spans="1:314" s="2" customFormat="1" x14ac:dyDescent="0.4">
      <c r="A249" s="2" t="s">
        <v>72</v>
      </c>
      <c r="B249" s="2" t="s">
        <v>8646</v>
      </c>
      <c r="C249" s="2" t="s">
        <v>74</v>
      </c>
      <c r="D249" s="2" t="s">
        <v>74</v>
      </c>
      <c r="E249" s="2" t="s">
        <v>74</v>
      </c>
      <c r="F249" s="2" t="s">
        <v>8647</v>
      </c>
      <c r="G249" s="2" t="s">
        <v>74</v>
      </c>
      <c r="H249" s="2" t="s">
        <v>74</v>
      </c>
      <c r="I249" s="2" t="s">
        <v>8648</v>
      </c>
      <c r="J249" s="2" t="s">
        <v>3605</v>
      </c>
      <c r="K249" s="2" t="s">
        <v>74</v>
      </c>
      <c r="L249" s="2" t="s">
        <v>74</v>
      </c>
      <c r="M249" s="2" t="s">
        <v>74</v>
      </c>
      <c r="N249" s="2" t="s">
        <v>74</v>
      </c>
      <c r="O249" s="2" t="s">
        <v>74</v>
      </c>
      <c r="P249" s="2" t="s">
        <v>74</v>
      </c>
      <c r="Q249" s="2" t="s">
        <v>74</v>
      </c>
      <c r="R249" s="2" t="s">
        <v>74</v>
      </c>
      <c r="S249" s="2" t="s">
        <v>74</v>
      </c>
      <c r="T249" s="2" t="s">
        <v>74</v>
      </c>
      <c r="U249" s="2" t="s">
        <v>74</v>
      </c>
      <c r="V249" s="5" t="s">
        <v>8649</v>
      </c>
      <c r="W249" s="2" t="s">
        <v>74</v>
      </c>
      <c r="X249" s="2" t="s">
        <v>74</v>
      </c>
      <c r="Y249" s="2" t="s">
        <v>74</v>
      </c>
      <c r="Z249" s="2" t="s">
        <v>74</v>
      </c>
      <c r="AA249" s="2" t="s">
        <v>8650</v>
      </c>
      <c r="AB249" s="2" t="s">
        <v>8651</v>
      </c>
      <c r="AC249" s="2" t="s">
        <v>74</v>
      </c>
      <c r="AD249" s="2" t="s">
        <v>74</v>
      </c>
      <c r="AE249" s="2" t="s">
        <v>74</v>
      </c>
      <c r="AF249" s="2" t="s">
        <v>74</v>
      </c>
      <c r="AG249" s="2" t="s">
        <v>74</v>
      </c>
      <c r="AH249" s="2" t="s">
        <v>74</v>
      </c>
      <c r="AI249" s="2" t="s">
        <v>74</v>
      </c>
      <c r="AJ249" s="2" t="s">
        <v>74</v>
      </c>
      <c r="AK249" s="2" t="s">
        <v>74</v>
      </c>
      <c r="AL249" s="2" t="s">
        <v>74</v>
      </c>
      <c r="AM249" s="2" t="s">
        <v>74</v>
      </c>
      <c r="AN249" s="2" t="s">
        <v>74</v>
      </c>
      <c r="AO249" s="2" t="s">
        <v>3607</v>
      </c>
      <c r="AP249" s="2" t="s">
        <v>3608</v>
      </c>
      <c r="AQ249" s="2" t="s">
        <v>74</v>
      </c>
      <c r="AR249" s="2" t="s">
        <v>74</v>
      </c>
      <c r="AS249" s="2" t="s">
        <v>74</v>
      </c>
      <c r="AT249" s="2" t="s">
        <v>352</v>
      </c>
      <c r="AU249" s="2">
        <v>2019</v>
      </c>
      <c r="AV249" s="2">
        <v>99</v>
      </c>
      <c r="AW249" s="2">
        <v>6</v>
      </c>
      <c r="AX249" s="2" t="s">
        <v>74</v>
      </c>
      <c r="AY249" s="2" t="s">
        <v>74</v>
      </c>
      <c r="AZ249" s="2" t="s">
        <v>74</v>
      </c>
      <c r="BA249" s="2" t="s">
        <v>74</v>
      </c>
      <c r="BB249" s="2">
        <v>1267</v>
      </c>
      <c r="BC249" s="2">
        <v>1271</v>
      </c>
      <c r="BD249" s="2" t="s">
        <v>8652</v>
      </c>
      <c r="BE249" s="2" t="s">
        <v>8653</v>
      </c>
      <c r="BF249" s="2" t="str">
        <f>HYPERLINK("http://dx.doi.org/10.1017/S0025315419000171","http://dx.doi.org/10.1017/S0025315419000171")</f>
        <v>http://dx.doi.org/10.1017/S0025315419000171</v>
      </c>
      <c r="BG249" s="2" t="s">
        <v>74</v>
      </c>
      <c r="BH249" s="2" t="s">
        <v>74</v>
      </c>
      <c r="BI249" s="2" t="s">
        <v>74</v>
      </c>
      <c r="BJ249" s="2" t="s">
        <v>74</v>
      </c>
      <c r="BK249" s="2" t="s">
        <v>74</v>
      </c>
      <c r="BL249" s="2" t="s">
        <v>74</v>
      </c>
      <c r="BM249" s="2" t="s">
        <v>74</v>
      </c>
      <c r="BN249" s="2" t="s">
        <v>74</v>
      </c>
      <c r="BO249" s="2" t="s">
        <v>74</v>
      </c>
      <c r="BP249" s="2" t="s">
        <v>74</v>
      </c>
      <c r="BQ249" s="2" t="s">
        <v>74</v>
      </c>
      <c r="BR249" s="2" t="s">
        <v>74</v>
      </c>
      <c r="BS249" s="2" t="s">
        <v>8654</v>
      </c>
      <c r="BT249" s="2" t="str">
        <f>HYPERLINK("https%3A%2F%2Fwww.webofscience.com%2Fwos%2Fwoscc%2Ffull-record%2FWOS:000482975700004","View Full Record in Web of Science")</f>
        <v>View Full Record in Web of Science</v>
      </c>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row>
    <row r="250" spans="1:314" s="2" customFormat="1" x14ac:dyDescent="0.4">
      <c r="A250" s="2" t="s">
        <v>72</v>
      </c>
      <c r="B250" s="2" t="s">
        <v>5088</v>
      </c>
      <c r="C250" s="2" t="s">
        <v>74</v>
      </c>
      <c r="D250" s="2" t="s">
        <v>74</v>
      </c>
      <c r="E250" s="2" t="s">
        <v>74</v>
      </c>
      <c r="F250" s="2" t="s">
        <v>5089</v>
      </c>
      <c r="G250" s="2" t="s">
        <v>74</v>
      </c>
      <c r="H250" s="2" t="s">
        <v>74</v>
      </c>
      <c r="I250" s="2" t="s">
        <v>5090</v>
      </c>
      <c r="J250" s="2" t="s">
        <v>1635</v>
      </c>
      <c r="K250" s="2" t="s">
        <v>74</v>
      </c>
      <c r="L250" s="2" t="s">
        <v>74</v>
      </c>
      <c r="M250" s="2" t="s">
        <v>74</v>
      </c>
      <c r="N250" s="2" t="s">
        <v>74</v>
      </c>
      <c r="O250" s="2" t="s">
        <v>74</v>
      </c>
      <c r="P250" s="2" t="s">
        <v>74</v>
      </c>
      <c r="Q250" s="2" t="s">
        <v>74</v>
      </c>
      <c r="R250" s="2" t="s">
        <v>74</v>
      </c>
      <c r="S250" s="2" t="s">
        <v>74</v>
      </c>
      <c r="T250" s="2" t="s">
        <v>74</v>
      </c>
      <c r="U250" s="2" t="s">
        <v>74</v>
      </c>
      <c r="V250" s="5" t="s">
        <v>5091</v>
      </c>
      <c r="W250" s="2" t="s">
        <v>74</v>
      </c>
      <c r="X250" s="2" t="s">
        <v>74</v>
      </c>
      <c r="Y250" s="2" t="s">
        <v>74</v>
      </c>
      <c r="Z250" s="2" t="s">
        <v>74</v>
      </c>
      <c r="AA250" s="2" t="s">
        <v>74</v>
      </c>
      <c r="AB250" s="2" t="s">
        <v>74</v>
      </c>
      <c r="AC250" s="2" t="s">
        <v>74</v>
      </c>
      <c r="AD250" s="2" t="s">
        <v>74</v>
      </c>
      <c r="AE250" s="2" t="s">
        <v>74</v>
      </c>
      <c r="AF250" s="2" t="s">
        <v>74</v>
      </c>
      <c r="AG250" s="2" t="s">
        <v>74</v>
      </c>
      <c r="AH250" s="2" t="s">
        <v>74</v>
      </c>
      <c r="AI250" s="2" t="s">
        <v>74</v>
      </c>
      <c r="AJ250" s="2" t="s">
        <v>74</v>
      </c>
      <c r="AK250" s="2" t="s">
        <v>74</v>
      </c>
      <c r="AL250" s="2" t="s">
        <v>74</v>
      </c>
      <c r="AM250" s="2" t="s">
        <v>74</v>
      </c>
      <c r="AN250" s="2" t="s">
        <v>74</v>
      </c>
      <c r="AO250" s="2" t="s">
        <v>1639</v>
      </c>
      <c r="AP250" s="2" t="s">
        <v>1640</v>
      </c>
      <c r="AQ250" s="2" t="s">
        <v>74</v>
      </c>
      <c r="AR250" s="2" t="s">
        <v>74</v>
      </c>
      <c r="AS250" s="2" t="s">
        <v>74</v>
      </c>
      <c r="AT250" s="2" t="s">
        <v>5092</v>
      </c>
      <c r="AU250" s="2">
        <v>2009</v>
      </c>
      <c r="AV250" s="2">
        <v>364</v>
      </c>
      <c r="AW250" s="2">
        <v>1516</v>
      </c>
      <c r="AX250" s="2" t="s">
        <v>74</v>
      </c>
      <c r="AY250" s="2" t="s">
        <v>74</v>
      </c>
      <c r="AZ250" s="2" t="s">
        <v>74</v>
      </c>
      <c r="BA250" s="2" t="s">
        <v>74</v>
      </c>
      <c r="BB250" s="2">
        <v>537</v>
      </c>
      <c r="BC250" s="2">
        <v>548</v>
      </c>
      <c r="BD250" s="2" t="s">
        <v>74</v>
      </c>
      <c r="BE250" s="2" t="s">
        <v>5093</v>
      </c>
      <c r="BF250" s="2" t="str">
        <f>HYPERLINK("http://dx.doi.org/10.1098/rstb.2008.0221","http://dx.doi.org/10.1098/rstb.2008.0221")</f>
        <v>http://dx.doi.org/10.1098/rstb.2008.0221</v>
      </c>
      <c r="BG250" s="2" t="s">
        <v>74</v>
      </c>
      <c r="BH250" s="2" t="s">
        <v>74</v>
      </c>
      <c r="BI250" s="2" t="s">
        <v>74</v>
      </c>
      <c r="BJ250" s="2" t="s">
        <v>74</v>
      </c>
      <c r="BK250" s="2" t="s">
        <v>74</v>
      </c>
      <c r="BL250" s="2" t="s">
        <v>74</v>
      </c>
      <c r="BM250" s="2" t="s">
        <v>74</v>
      </c>
      <c r="BN250" s="2">
        <v>18990666</v>
      </c>
      <c r="BO250" s="2" t="s">
        <v>74</v>
      </c>
      <c r="BP250" s="2" t="s">
        <v>74</v>
      </c>
      <c r="BQ250" s="2" t="s">
        <v>74</v>
      </c>
      <c r="BR250" s="2" t="s">
        <v>74</v>
      </c>
      <c r="BS250" s="2" t="s">
        <v>5094</v>
      </c>
      <c r="BT250" s="2" t="str">
        <f>HYPERLINK("https%3A%2F%2Fwww.webofscience.com%2Fwos%2Fwoscc%2Ffull-record%2FWOS:000262353500014","View Full Record in Web of Science")</f>
        <v>View Full Record in Web of Science</v>
      </c>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row>
    <row r="251" spans="1:314" s="2" customFormat="1" x14ac:dyDescent="0.4">
      <c r="A251" s="2" t="s">
        <v>72</v>
      </c>
      <c r="B251" s="2" t="s">
        <v>2615</v>
      </c>
      <c r="C251" s="2" t="s">
        <v>74</v>
      </c>
      <c r="D251" s="2" t="s">
        <v>74</v>
      </c>
      <c r="E251" s="2" t="s">
        <v>74</v>
      </c>
      <c r="F251" s="2" t="s">
        <v>2615</v>
      </c>
      <c r="G251" s="2" t="s">
        <v>74</v>
      </c>
      <c r="H251" s="2" t="s">
        <v>74</v>
      </c>
      <c r="I251" s="2" t="s">
        <v>2616</v>
      </c>
      <c r="J251" s="2" t="s">
        <v>1812</v>
      </c>
      <c r="K251" s="2" t="s">
        <v>74</v>
      </c>
      <c r="L251" s="2" t="s">
        <v>74</v>
      </c>
      <c r="M251" s="2" t="s">
        <v>74</v>
      </c>
      <c r="N251" s="2" t="s">
        <v>74</v>
      </c>
      <c r="O251" s="2" t="s">
        <v>74</v>
      </c>
      <c r="P251" s="2" t="s">
        <v>74</v>
      </c>
      <c r="Q251" s="2" t="s">
        <v>74</v>
      </c>
      <c r="R251" s="2" t="s">
        <v>74</v>
      </c>
      <c r="S251" s="2" t="s">
        <v>74</v>
      </c>
      <c r="T251" s="2" t="s">
        <v>74</v>
      </c>
      <c r="U251" s="2" t="s">
        <v>74</v>
      </c>
      <c r="V251" s="5" t="s">
        <v>2617</v>
      </c>
      <c r="W251" s="2" t="s">
        <v>74</v>
      </c>
      <c r="X251" s="2" t="s">
        <v>74</v>
      </c>
      <c r="Y251" s="2" t="s">
        <v>74</v>
      </c>
      <c r="Z251" s="2" t="s">
        <v>74</v>
      </c>
      <c r="AA251" s="2" t="s">
        <v>74</v>
      </c>
      <c r="AB251" s="2" t="s">
        <v>74</v>
      </c>
      <c r="AC251" s="2" t="s">
        <v>74</v>
      </c>
      <c r="AD251" s="2" t="s">
        <v>74</v>
      </c>
      <c r="AE251" s="2" t="s">
        <v>74</v>
      </c>
      <c r="AF251" s="2" t="s">
        <v>74</v>
      </c>
      <c r="AG251" s="2" t="s">
        <v>74</v>
      </c>
      <c r="AH251" s="2" t="s">
        <v>74</v>
      </c>
      <c r="AI251" s="2" t="s">
        <v>74</v>
      </c>
      <c r="AJ251" s="2" t="s">
        <v>74</v>
      </c>
      <c r="AK251" s="2" t="s">
        <v>74</v>
      </c>
      <c r="AL251" s="2" t="s">
        <v>74</v>
      </c>
      <c r="AM251" s="2" t="s">
        <v>74</v>
      </c>
      <c r="AN251" s="2" t="s">
        <v>74</v>
      </c>
      <c r="AO251" s="2" t="s">
        <v>1814</v>
      </c>
      <c r="AP251" s="2" t="s">
        <v>74</v>
      </c>
      <c r="AQ251" s="2" t="s">
        <v>74</v>
      </c>
      <c r="AR251" s="2" t="s">
        <v>74</v>
      </c>
      <c r="AS251" s="2" t="s">
        <v>74</v>
      </c>
      <c r="AT251" s="2" t="s">
        <v>123</v>
      </c>
      <c r="AU251" s="2">
        <v>1995</v>
      </c>
      <c r="AV251" s="2">
        <v>29</v>
      </c>
      <c r="AW251" s="2">
        <v>1</v>
      </c>
      <c r="AX251" s="2" t="s">
        <v>74</v>
      </c>
      <c r="AY251" s="2" t="s">
        <v>74</v>
      </c>
      <c r="AZ251" s="2" t="s">
        <v>74</v>
      </c>
      <c r="BA251" s="2" t="s">
        <v>74</v>
      </c>
      <c r="BB251" s="2">
        <v>7</v>
      </c>
      <c r="BC251" s="2">
        <v>13</v>
      </c>
      <c r="BD251" s="2" t="s">
        <v>74</v>
      </c>
      <c r="BE251" s="2" t="s">
        <v>2618</v>
      </c>
      <c r="BF251" s="2" t="str">
        <f>HYPERLINK("http://dx.doi.org/10.2307/1565079","http://dx.doi.org/10.2307/1565079")</f>
        <v>http://dx.doi.org/10.2307/1565079</v>
      </c>
      <c r="BG251" s="2" t="s">
        <v>74</v>
      </c>
      <c r="BH251" s="2" t="s">
        <v>74</v>
      </c>
      <c r="BI251" s="2" t="s">
        <v>74</v>
      </c>
      <c r="BJ251" s="2" t="s">
        <v>74</v>
      </c>
      <c r="BK251" s="2" t="s">
        <v>74</v>
      </c>
      <c r="BL251" s="2" t="s">
        <v>74</v>
      </c>
      <c r="BM251" s="2" t="s">
        <v>74</v>
      </c>
      <c r="BN251" s="2" t="s">
        <v>74</v>
      </c>
      <c r="BO251" s="2" t="s">
        <v>74</v>
      </c>
      <c r="BP251" s="2" t="s">
        <v>74</v>
      </c>
      <c r="BQ251" s="2" t="s">
        <v>74</v>
      </c>
      <c r="BR251" s="2" t="s">
        <v>74</v>
      </c>
      <c r="BS251" s="2" t="s">
        <v>2619</v>
      </c>
      <c r="BT251" s="2" t="str">
        <f>HYPERLINK("https%3A%2F%2Fwww.webofscience.com%2Fwos%2Fwoscc%2Ffull-record%2FWOS:A1995QM52600002","View Full Record in Web of Science")</f>
        <v>View Full Record in Web of Science</v>
      </c>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row>
    <row r="252" spans="1:314" s="2" customFormat="1" x14ac:dyDescent="0.4">
      <c r="A252" s="2" t="s">
        <v>72</v>
      </c>
      <c r="B252" s="2" t="s">
        <v>7904</v>
      </c>
      <c r="C252" s="2" t="s">
        <v>74</v>
      </c>
      <c r="D252" s="2" t="s">
        <v>74</v>
      </c>
      <c r="E252" s="2" t="s">
        <v>74</v>
      </c>
      <c r="F252" s="2" t="s">
        <v>7905</v>
      </c>
      <c r="G252" s="2" t="s">
        <v>74</v>
      </c>
      <c r="H252" s="2" t="s">
        <v>74</v>
      </c>
      <c r="I252" s="2" t="s">
        <v>7906</v>
      </c>
      <c r="J252" s="2" t="s">
        <v>99</v>
      </c>
      <c r="K252" s="2" t="s">
        <v>74</v>
      </c>
      <c r="L252" s="2" t="s">
        <v>74</v>
      </c>
      <c r="M252" s="2" t="s">
        <v>74</v>
      </c>
      <c r="N252" s="2" t="s">
        <v>74</v>
      </c>
      <c r="O252" s="2" t="s">
        <v>74</v>
      </c>
      <c r="P252" s="2" t="s">
        <v>74</v>
      </c>
      <c r="Q252" s="2" t="s">
        <v>74</v>
      </c>
      <c r="R252" s="2" t="s">
        <v>74</v>
      </c>
      <c r="S252" s="2" t="s">
        <v>74</v>
      </c>
      <c r="T252" s="2" t="s">
        <v>74</v>
      </c>
      <c r="U252" s="2" t="s">
        <v>74</v>
      </c>
      <c r="V252" s="5" t="s">
        <v>7907</v>
      </c>
      <c r="W252" s="2" t="s">
        <v>74</v>
      </c>
      <c r="X252" s="2" t="s">
        <v>74</v>
      </c>
      <c r="Y252" s="2" t="s">
        <v>74</v>
      </c>
      <c r="Z252" s="2" t="s">
        <v>74</v>
      </c>
      <c r="AA252" s="2" t="s">
        <v>74</v>
      </c>
      <c r="AB252" s="2" t="s">
        <v>74</v>
      </c>
      <c r="AC252" s="2" t="s">
        <v>74</v>
      </c>
      <c r="AD252" s="2" t="s">
        <v>74</v>
      </c>
      <c r="AE252" s="2" t="s">
        <v>74</v>
      </c>
      <c r="AF252" s="2" t="s">
        <v>74</v>
      </c>
      <c r="AG252" s="2" t="s">
        <v>74</v>
      </c>
      <c r="AH252" s="2" t="s">
        <v>74</v>
      </c>
      <c r="AI252" s="2" t="s">
        <v>74</v>
      </c>
      <c r="AJ252" s="2" t="s">
        <v>74</v>
      </c>
      <c r="AK252" s="2" t="s">
        <v>74</v>
      </c>
      <c r="AL252" s="2" t="s">
        <v>74</v>
      </c>
      <c r="AM252" s="2" t="s">
        <v>74</v>
      </c>
      <c r="AN252" s="2" t="s">
        <v>74</v>
      </c>
      <c r="AO252" s="2" t="s">
        <v>101</v>
      </c>
      <c r="AP252" s="2" t="s">
        <v>1218</v>
      </c>
      <c r="AQ252" s="2" t="s">
        <v>74</v>
      </c>
      <c r="AR252" s="2" t="s">
        <v>74</v>
      </c>
      <c r="AS252" s="2" t="s">
        <v>74</v>
      </c>
      <c r="AT252" s="2" t="s">
        <v>102</v>
      </c>
      <c r="AU252" s="2">
        <v>2020</v>
      </c>
      <c r="AV252" s="2">
        <v>132</v>
      </c>
      <c r="AW252" s="2">
        <v>2</v>
      </c>
      <c r="AX252" s="2" t="s">
        <v>74</v>
      </c>
      <c r="AY252" s="2" t="s">
        <v>74</v>
      </c>
      <c r="AZ252" s="2" t="s">
        <v>74</v>
      </c>
      <c r="BA252" s="2" t="s">
        <v>74</v>
      </c>
      <c r="BB252" s="2">
        <v>295</v>
      </c>
      <c r="BC252" s="2">
        <v>305</v>
      </c>
      <c r="BD252" s="2" t="s">
        <v>74</v>
      </c>
      <c r="BE252" s="2" t="s">
        <v>7908</v>
      </c>
      <c r="BF252" s="2" t="str">
        <f>HYPERLINK("http://dx.doi.org/10.1676/1559-4491-132.2.295","http://dx.doi.org/10.1676/1559-4491-132.2.295")</f>
        <v>http://dx.doi.org/10.1676/1559-4491-132.2.295</v>
      </c>
      <c r="BG252" s="2" t="s">
        <v>74</v>
      </c>
      <c r="BH252" s="2" t="s">
        <v>74</v>
      </c>
      <c r="BI252" s="2" t="s">
        <v>74</v>
      </c>
      <c r="BJ252" s="2" t="s">
        <v>74</v>
      </c>
      <c r="BK252" s="2" t="s">
        <v>74</v>
      </c>
      <c r="BL252" s="2" t="s">
        <v>74</v>
      </c>
      <c r="BM252" s="2" t="s">
        <v>74</v>
      </c>
      <c r="BN252" s="2" t="s">
        <v>74</v>
      </c>
      <c r="BO252" s="2" t="s">
        <v>74</v>
      </c>
      <c r="BP252" s="2" t="s">
        <v>74</v>
      </c>
      <c r="BQ252" s="2" t="s">
        <v>74</v>
      </c>
      <c r="BR252" s="2" t="s">
        <v>74</v>
      </c>
      <c r="BS252" s="2" t="s">
        <v>7909</v>
      </c>
      <c r="BT252" s="2" t="str">
        <f>HYPERLINK("https%3A%2F%2Fwww.webofscience.com%2Fwos%2Fwoscc%2Ffull-record%2FWOS:000617763600006","View Full Record in Web of Science")</f>
        <v>View Full Record in Web of Science</v>
      </c>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row>
    <row r="253" spans="1:314" s="2" customFormat="1" x14ac:dyDescent="0.4">
      <c r="A253" s="2" t="s">
        <v>72</v>
      </c>
      <c r="B253" s="2" t="s">
        <v>5482</v>
      </c>
      <c r="C253" s="2" t="s">
        <v>74</v>
      </c>
      <c r="D253" s="2" t="s">
        <v>74</v>
      </c>
      <c r="E253" s="2" t="s">
        <v>74</v>
      </c>
      <c r="F253" s="2" t="s">
        <v>5483</v>
      </c>
      <c r="G253" s="2" t="s">
        <v>74</v>
      </c>
      <c r="H253" s="2" t="s">
        <v>74</v>
      </c>
      <c r="I253" s="2" t="s">
        <v>5484</v>
      </c>
      <c r="J253" s="2" t="s">
        <v>129</v>
      </c>
      <c r="K253" s="2" t="s">
        <v>74</v>
      </c>
      <c r="L253" s="2" t="s">
        <v>74</v>
      </c>
      <c r="M253" s="2" t="s">
        <v>74</v>
      </c>
      <c r="N253" s="2" t="s">
        <v>74</v>
      </c>
      <c r="O253" s="2" t="s">
        <v>74</v>
      </c>
      <c r="P253" s="2" t="s">
        <v>74</v>
      </c>
      <c r="Q253" s="2" t="s">
        <v>74</v>
      </c>
      <c r="R253" s="2" t="s">
        <v>74</v>
      </c>
      <c r="S253" s="2" t="s">
        <v>74</v>
      </c>
      <c r="T253" s="2" t="s">
        <v>74</v>
      </c>
      <c r="U253" s="2" t="s">
        <v>74</v>
      </c>
      <c r="V253" s="5" t="s">
        <v>5485</v>
      </c>
      <c r="W253" s="2" t="s">
        <v>74</v>
      </c>
      <c r="X253" s="2" t="s">
        <v>74</v>
      </c>
      <c r="Y253" s="2" t="s">
        <v>74</v>
      </c>
      <c r="Z253" s="2" t="s">
        <v>74</v>
      </c>
      <c r="AA253" s="2" t="s">
        <v>5486</v>
      </c>
      <c r="AB253" s="2" t="s">
        <v>5487</v>
      </c>
      <c r="AC253" s="2" t="s">
        <v>74</v>
      </c>
      <c r="AD253" s="2" t="s">
        <v>74</v>
      </c>
      <c r="AE253" s="2" t="s">
        <v>74</v>
      </c>
      <c r="AF253" s="2" t="s">
        <v>74</v>
      </c>
      <c r="AG253" s="2" t="s">
        <v>74</v>
      </c>
      <c r="AH253" s="2" t="s">
        <v>74</v>
      </c>
      <c r="AI253" s="2" t="s">
        <v>74</v>
      </c>
      <c r="AJ253" s="2" t="s">
        <v>74</v>
      </c>
      <c r="AK253" s="2" t="s">
        <v>74</v>
      </c>
      <c r="AL253" s="2" t="s">
        <v>74</v>
      </c>
      <c r="AM253" s="2" t="s">
        <v>74</v>
      </c>
      <c r="AN253" s="2" t="s">
        <v>74</v>
      </c>
      <c r="AO253" s="2" t="s">
        <v>132</v>
      </c>
      <c r="AP253" s="2" t="s">
        <v>133</v>
      </c>
      <c r="AQ253" s="2" t="s">
        <v>74</v>
      </c>
      <c r="AR253" s="2" t="s">
        <v>74</v>
      </c>
      <c r="AS253" s="2" t="s">
        <v>74</v>
      </c>
      <c r="AT253" s="2" t="s">
        <v>102</v>
      </c>
      <c r="AU253" s="2">
        <v>2022</v>
      </c>
      <c r="AV253" s="2">
        <v>76</v>
      </c>
      <c r="AW253" s="2">
        <v>6</v>
      </c>
      <c r="AX253" s="2" t="s">
        <v>74</v>
      </c>
      <c r="AY253" s="2" t="s">
        <v>74</v>
      </c>
      <c r="AZ253" s="2" t="s">
        <v>74</v>
      </c>
      <c r="BA253" s="2" t="s">
        <v>74</v>
      </c>
      <c r="BB253" s="2" t="s">
        <v>74</v>
      </c>
      <c r="BC253" s="2" t="s">
        <v>74</v>
      </c>
      <c r="BD253" s="2">
        <v>77</v>
      </c>
      <c r="BE253" s="2" t="s">
        <v>5488</v>
      </c>
      <c r="BF253" s="2" t="str">
        <f>HYPERLINK("http://dx.doi.org/10.1007/s00265-022-03181-x","http://dx.doi.org/10.1007/s00265-022-03181-x")</f>
        <v>http://dx.doi.org/10.1007/s00265-022-03181-x</v>
      </c>
      <c r="BG253" s="2" t="s">
        <v>74</v>
      </c>
      <c r="BH253" s="2" t="s">
        <v>74</v>
      </c>
      <c r="BI253" s="2" t="s">
        <v>74</v>
      </c>
      <c r="BJ253" s="2" t="s">
        <v>74</v>
      </c>
      <c r="BK253" s="2" t="s">
        <v>74</v>
      </c>
      <c r="BL253" s="2" t="s">
        <v>74</v>
      </c>
      <c r="BM253" s="2" t="s">
        <v>74</v>
      </c>
      <c r="BN253" s="2" t="s">
        <v>74</v>
      </c>
      <c r="BO253" s="2" t="s">
        <v>74</v>
      </c>
      <c r="BP253" s="2" t="s">
        <v>74</v>
      </c>
      <c r="BQ253" s="2" t="s">
        <v>74</v>
      </c>
      <c r="BR253" s="2" t="s">
        <v>74</v>
      </c>
      <c r="BS253" s="2" t="s">
        <v>5489</v>
      </c>
      <c r="BT253" s="2" t="str">
        <f>HYPERLINK("https%3A%2F%2Fwww.webofscience.com%2Fwos%2Fwoscc%2Ffull-record%2FWOS:000804747400001","View Full Record in Web of Science")</f>
        <v>View Full Record in Web of Science</v>
      </c>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row>
    <row r="254" spans="1:314" s="2" customFormat="1" x14ac:dyDescent="0.4">
      <c r="A254" s="2" t="s">
        <v>72</v>
      </c>
      <c r="B254" s="2" t="s">
        <v>1892</v>
      </c>
      <c r="C254" s="2" t="s">
        <v>74</v>
      </c>
      <c r="D254" s="2" t="s">
        <v>74</v>
      </c>
      <c r="E254" s="2" t="s">
        <v>74</v>
      </c>
      <c r="F254" s="2" t="s">
        <v>1893</v>
      </c>
      <c r="G254" s="2" t="s">
        <v>74</v>
      </c>
      <c r="H254" s="2" t="s">
        <v>74</v>
      </c>
      <c r="I254" s="2" t="s">
        <v>1894</v>
      </c>
      <c r="J254" s="2" t="s">
        <v>1384</v>
      </c>
      <c r="K254" s="2" t="s">
        <v>74</v>
      </c>
      <c r="L254" s="2" t="s">
        <v>74</v>
      </c>
      <c r="M254" s="2" t="s">
        <v>74</v>
      </c>
      <c r="N254" s="2" t="s">
        <v>74</v>
      </c>
      <c r="O254" s="2" t="s">
        <v>74</v>
      </c>
      <c r="P254" s="2" t="s">
        <v>74</v>
      </c>
      <c r="Q254" s="2" t="s">
        <v>74</v>
      </c>
      <c r="R254" s="2" t="s">
        <v>74</v>
      </c>
      <c r="S254" s="2" t="s">
        <v>74</v>
      </c>
      <c r="T254" s="2" t="s">
        <v>74</v>
      </c>
      <c r="U254" s="2" t="s">
        <v>74</v>
      </c>
      <c r="V254" s="5" t="s">
        <v>1895</v>
      </c>
      <c r="W254" s="2" t="s">
        <v>74</v>
      </c>
      <c r="X254" s="2" t="s">
        <v>74</v>
      </c>
      <c r="Y254" s="2" t="s">
        <v>74</v>
      </c>
      <c r="Z254" s="2" t="s">
        <v>74</v>
      </c>
      <c r="AA254" s="2" t="s">
        <v>1896</v>
      </c>
      <c r="AB254" s="2" t="s">
        <v>1897</v>
      </c>
      <c r="AC254" s="2" t="s">
        <v>74</v>
      </c>
      <c r="AD254" s="2" t="s">
        <v>74</v>
      </c>
      <c r="AE254" s="2" t="s">
        <v>74</v>
      </c>
      <c r="AF254" s="2" t="s">
        <v>74</v>
      </c>
      <c r="AG254" s="2" t="s">
        <v>74</v>
      </c>
      <c r="AH254" s="2" t="s">
        <v>74</v>
      </c>
      <c r="AI254" s="2" t="s">
        <v>74</v>
      </c>
      <c r="AJ254" s="2" t="s">
        <v>74</v>
      </c>
      <c r="AK254" s="2" t="s">
        <v>74</v>
      </c>
      <c r="AL254" s="2" t="s">
        <v>74</v>
      </c>
      <c r="AM254" s="2" t="s">
        <v>74</v>
      </c>
      <c r="AN254" s="2" t="s">
        <v>74</v>
      </c>
      <c r="AO254" s="2" t="s">
        <v>1388</v>
      </c>
      <c r="AP254" s="2" t="s">
        <v>1389</v>
      </c>
      <c r="AQ254" s="2" t="s">
        <v>74</v>
      </c>
      <c r="AR254" s="2" t="s">
        <v>74</v>
      </c>
      <c r="AS254" s="2" t="s">
        <v>74</v>
      </c>
      <c r="AT254" s="2" t="s">
        <v>175</v>
      </c>
      <c r="AU254" s="2">
        <v>2009</v>
      </c>
      <c r="AV254" s="2">
        <v>151</v>
      </c>
      <c r="AW254" s="2">
        <v>4</v>
      </c>
      <c r="AX254" s="2" t="s">
        <v>74</v>
      </c>
      <c r="AY254" s="2" t="s">
        <v>74</v>
      </c>
      <c r="AZ254" s="2" t="s">
        <v>74</v>
      </c>
      <c r="BA254" s="2" t="s">
        <v>74</v>
      </c>
      <c r="BB254" s="2">
        <v>689</v>
      </c>
      <c r="BC254" s="2">
        <v>698</v>
      </c>
      <c r="BD254" s="2" t="s">
        <v>74</v>
      </c>
      <c r="BE254" s="2" t="s">
        <v>1898</v>
      </c>
      <c r="BF254" s="2" t="str">
        <f>HYPERLINK("http://dx.doi.org/10.1111/j.1474-919X.2009.00953.x","http://dx.doi.org/10.1111/j.1474-919X.2009.00953.x")</f>
        <v>http://dx.doi.org/10.1111/j.1474-919X.2009.00953.x</v>
      </c>
      <c r="BG254" s="2" t="s">
        <v>74</v>
      </c>
      <c r="BH254" s="2" t="s">
        <v>74</v>
      </c>
      <c r="BI254" s="2" t="s">
        <v>74</v>
      </c>
      <c r="BJ254" s="2" t="s">
        <v>74</v>
      </c>
      <c r="BK254" s="2" t="s">
        <v>74</v>
      </c>
      <c r="BL254" s="2" t="s">
        <v>74</v>
      </c>
      <c r="BM254" s="2" t="s">
        <v>74</v>
      </c>
      <c r="BN254" s="2" t="s">
        <v>74</v>
      </c>
      <c r="BO254" s="2" t="s">
        <v>74</v>
      </c>
      <c r="BP254" s="2" t="s">
        <v>74</v>
      </c>
      <c r="BQ254" s="2" t="s">
        <v>74</v>
      </c>
      <c r="BR254" s="2" t="s">
        <v>74</v>
      </c>
      <c r="BS254" s="2" t="s">
        <v>1899</v>
      </c>
      <c r="BT254" s="2" t="str">
        <f>HYPERLINK("https%3A%2F%2Fwww.webofscience.com%2Fwos%2Fwoscc%2Ffull-record%2FWOS:000269977000006","View Full Record in Web of Science")</f>
        <v>View Full Record in Web of Science</v>
      </c>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row>
    <row r="255" spans="1:314" s="2" customFormat="1" x14ac:dyDescent="0.4">
      <c r="A255" s="2" t="s">
        <v>72</v>
      </c>
      <c r="B255" s="2" t="s">
        <v>1264</v>
      </c>
      <c r="C255" s="2" t="s">
        <v>74</v>
      </c>
      <c r="D255" s="2" t="s">
        <v>74</v>
      </c>
      <c r="E255" s="2" t="s">
        <v>74</v>
      </c>
      <c r="F255" s="2" t="s">
        <v>1265</v>
      </c>
      <c r="G255" s="2" t="s">
        <v>74</v>
      </c>
      <c r="H255" s="2" t="s">
        <v>74</v>
      </c>
      <c r="I255" s="2" t="s">
        <v>1266</v>
      </c>
      <c r="J255" s="2" t="s">
        <v>88</v>
      </c>
      <c r="K255" s="2" t="s">
        <v>74</v>
      </c>
      <c r="L255" s="2" t="s">
        <v>74</v>
      </c>
      <c r="M255" s="2" t="s">
        <v>74</v>
      </c>
      <c r="N255" s="2" t="s">
        <v>74</v>
      </c>
      <c r="O255" s="2" t="s">
        <v>74</v>
      </c>
      <c r="P255" s="2" t="s">
        <v>74</v>
      </c>
      <c r="Q255" s="2" t="s">
        <v>74</v>
      </c>
      <c r="R255" s="2" t="s">
        <v>74</v>
      </c>
      <c r="S255" s="2" t="s">
        <v>74</v>
      </c>
      <c r="T255" s="2" t="s">
        <v>74</v>
      </c>
      <c r="U255" s="2" t="s">
        <v>74</v>
      </c>
      <c r="V255" s="5" t="s">
        <v>1267</v>
      </c>
      <c r="W255" s="2" t="s">
        <v>74</v>
      </c>
      <c r="X255" s="2" t="s">
        <v>74</v>
      </c>
      <c r="Y255" s="2" t="s">
        <v>74</v>
      </c>
      <c r="Z255" s="2" t="s">
        <v>74</v>
      </c>
      <c r="AA255" s="2" t="s">
        <v>1268</v>
      </c>
      <c r="AB255" s="2" t="s">
        <v>1269</v>
      </c>
      <c r="AC255" s="2" t="s">
        <v>74</v>
      </c>
      <c r="AD255" s="2" t="s">
        <v>74</v>
      </c>
      <c r="AE255" s="2" t="s">
        <v>74</v>
      </c>
      <c r="AF255" s="2" t="s">
        <v>74</v>
      </c>
      <c r="AG255" s="2" t="s">
        <v>74</v>
      </c>
      <c r="AH255" s="2" t="s">
        <v>74</v>
      </c>
      <c r="AI255" s="2" t="s">
        <v>74</v>
      </c>
      <c r="AJ255" s="2" t="s">
        <v>74</v>
      </c>
      <c r="AK255" s="2" t="s">
        <v>74</v>
      </c>
      <c r="AL255" s="2" t="s">
        <v>74</v>
      </c>
      <c r="AM255" s="2" t="s">
        <v>74</v>
      </c>
      <c r="AN255" s="2" t="s">
        <v>74</v>
      </c>
      <c r="AO255" s="2" t="s">
        <v>91</v>
      </c>
      <c r="AP255" s="2" t="s">
        <v>74</v>
      </c>
      <c r="AQ255" s="2" t="s">
        <v>74</v>
      </c>
      <c r="AR255" s="2" t="s">
        <v>74</v>
      </c>
      <c r="AS255" s="2" t="s">
        <v>74</v>
      </c>
      <c r="AT255" s="2" t="s">
        <v>895</v>
      </c>
      <c r="AU255" s="2">
        <v>2008</v>
      </c>
      <c r="AV255" s="2">
        <v>4</v>
      </c>
      <c r="AW255" s="2">
        <v>5</v>
      </c>
      <c r="AX255" s="2" t="s">
        <v>74</v>
      </c>
      <c r="AY255" s="2" t="s">
        <v>74</v>
      </c>
      <c r="AZ255" s="2" t="s">
        <v>74</v>
      </c>
      <c r="BA255" s="2" t="s">
        <v>74</v>
      </c>
      <c r="BB255" s="2">
        <v>515</v>
      </c>
      <c r="BC255" s="2">
        <v>517</v>
      </c>
      <c r="BD255" s="2" t="s">
        <v>74</v>
      </c>
      <c r="BE255" s="2" t="s">
        <v>1270</v>
      </c>
      <c r="BF255" s="2" t="str">
        <f>HYPERLINK("http://dx.doi.org/10.1098/rsbl.2008.0279","http://dx.doi.org/10.1098/rsbl.2008.0279")</f>
        <v>http://dx.doi.org/10.1098/rsbl.2008.0279</v>
      </c>
      <c r="BG255" s="2" t="s">
        <v>74</v>
      </c>
      <c r="BH255" s="2" t="s">
        <v>74</v>
      </c>
      <c r="BI255" s="2" t="s">
        <v>74</v>
      </c>
      <c r="BJ255" s="2" t="s">
        <v>74</v>
      </c>
      <c r="BK255" s="2" t="s">
        <v>74</v>
      </c>
      <c r="BL255" s="2" t="s">
        <v>74</v>
      </c>
      <c r="BM255" s="2" t="s">
        <v>74</v>
      </c>
      <c r="BN255" s="2">
        <v>18593669</v>
      </c>
      <c r="BO255" s="2" t="s">
        <v>74</v>
      </c>
      <c r="BP255" s="2" t="s">
        <v>74</v>
      </c>
      <c r="BQ255" s="2" t="s">
        <v>74</v>
      </c>
      <c r="BR255" s="2" t="s">
        <v>74</v>
      </c>
      <c r="BS255" s="2" t="s">
        <v>1271</v>
      </c>
      <c r="BT255" s="2" t="str">
        <f>HYPERLINK("https%3A%2F%2Fwww.webofscience.com%2Fwos%2Fwoscc%2Ffull-record%2FWOS:000259085900022","View Full Record in Web of Science")</f>
        <v>View Full Record in Web of Science</v>
      </c>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row>
    <row r="256" spans="1:314" s="2" customFormat="1" x14ac:dyDescent="0.4">
      <c r="A256" s="2" t="s">
        <v>72</v>
      </c>
      <c r="B256" s="2" t="s">
        <v>116</v>
      </c>
      <c r="C256" s="2" t="s">
        <v>74</v>
      </c>
      <c r="D256" s="2" t="s">
        <v>74</v>
      </c>
      <c r="E256" s="2" t="s">
        <v>74</v>
      </c>
      <c r="F256" s="2" t="s">
        <v>117</v>
      </c>
      <c r="G256" s="2" t="s">
        <v>74</v>
      </c>
      <c r="H256" s="2" t="s">
        <v>74</v>
      </c>
      <c r="I256" s="2" t="s">
        <v>118</v>
      </c>
      <c r="J256" s="2" t="s">
        <v>119</v>
      </c>
      <c r="K256" s="2" t="s">
        <v>74</v>
      </c>
      <c r="L256" s="2" t="s">
        <v>74</v>
      </c>
      <c r="M256" s="2" t="s">
        <v>74</v>
      </c>
      <c r="N256" s="2" t="s">
        <v>74</v>
      </c>
      <c r="O256" s="2" t="s">
        <v>74</v>
      </c>
      <c r="P256" s="2" t="s">
        <v>74</v>
      </c>
      <c r="Q256" s="2" t="s">
        <v>74</v>
      </c>
      <c r="R256" s="2" t="s">
        <v>74</v>
      </c>
      <c r="S256" s="2" t="s">
        <v>74</v>
      </c>
      <c r="T256" s="2" t="s">
        <v>74</v>
      </c>
      <c r="U256" s="2" t="s">
        <v>74</v>
      </c>
      <c r="V256" s="5" t="s">
        <v>120</v>
      </c>
      <c r="W256" s="2" t="s">
        <v>74</v>
      </c>
      <c r="X256" s="2" t="s">
        <v>74</v>
      </c>
      <c r="Y256" s="2" t="s">
        <v>74</v>
      </c>
      <c r="Z256" s="2" t="s">
        <v>74</v>
      </c>
      <c r="AA256" s="2" t="s">
        <v>74</v>
      </c>
      <c r="AB256" s="2" t="s">
        <v>74</v>
      </c>
      <c r="AC256" s="2" t="s">
        <v>74</v>
      </c>
      <c r="AD256" s="2" t="s">
        <v>74</v>
      </c>
      <c r="AE256" s="2" t="s">
        <v>74</v>
      </c>
      <c r="AF256" s="2" t="s">
        <v>74</v>
      </c>
      <c r="AG256" s="2" t="s">
        <v>74</v>
      </c>
      <c r="AH256" s="2" t="s">
        <v>74</v>
      </c>
      <c r="AI256" s="2" t="s">
        <v>74</v>
      </c>
      <c r="AJ256" s="2" t="s">
        <v>74</v>
      </c>
      <c r="AK256" s="2" t="s">
        <v>74</v>
      </c>
      <c r="AL256" s="2" t="s">
        <v>74</v>
      </c>
      <c r="AM256" s="2" t="s">
        <v>74</v>
      </c>
      <c r="AN256" s="2" t="s">
        <v>74</v>
      </c>
      <c r="AO256" s="2" t="s">
        <v>121</v>
      </c>
      <c r="AP256" s="2" t="s">
        <v>122</v>
      </c>
      <c r="AQ256" s="2" t="s">
        <v>74</v>
      </c>
      <c r="AR256" s="2" t="s">
        <v>74</v>
      </c>
      <c r="AS256" s="2" t="s">
        <v>74</v>
      </c>
      <c r="AT256" s="2" t="s">
        <v>123</v>
      </c>
      <c r="AU256" s="2">
        <v>2017</v>
      </c>
      <c r="AV256" s="2">
        <v>136</v>
      </c>
      <c r="AW256" s="2" t="s">
        <v>74</v>
      </c>
      <c r="AX256" s="2" t="s">
        <v>74</v>
      </c>
      <c r="AY256" s="2" t="s">
        <v>74</v>
      </c>
      <c r="AZ256" s="2" t="s">
        <v>74</v>
      </c>
      <c r="BA256" s="2" t="s">
        <v>74</v>
      </c>
      <c r="BB256" s="2">
        <v>64</v>
      </c>
      <c r="BC256" s="2">
        <v>72</v>
      </c>
      <c r="BD256" s="2" t="s">
        <v>74</v>
      </c>
      <c r="BE256" s="2" t="s">
        <v>124</v>
      </c>
      <c r="BF256" s="2" t="str">
        <f>HYPERLINK("http://dx.doi.org/10.1016/j.beproc.2017.01.011","http://dx.doi.org/10.1016/j.beproc.2017.01.011")</f>
        <v>http://dx.doi.org/10.1016/j.beproc.2017.01.011</v>
      </c>
      <c r="BG256" s="2" t="s">
        <v>74</v>
      </c>
      <c r="BH256" s="2" t="s">
        <v>74</v>
      </c>
      <c r="BI256" s="2" t="s">
        <v>74</v>
      </c>
      <c r="BJ256" s="2" t="s">
        <v>74</v>
      </c>
      <c r="BK256" s="2" t="s">
        <v>74</v>
      </c>
      <c r="BL256" s="2" t="s">
        <v>74</v>
      </c>
      <c r="BM256" s="2" t="s">
        <v>74</v>
      </c>
      <c r="BN256" s="2">
        <v>28143722</v>
      </c>
      <c r="BO256" s="2" t="s">
        <v>74</v>
      </c>
      <c r="BP256" s="2" t="s">
        <v>74</v>
      </c>
      <c r="BQ256" s="2" t="s">
        <v>74</v>
      </c>
      <c r="BR256" s="2" t="s">
        <v>74</v>
      </c>
      <c r="BS256" s="2" t="s">
        <v>125</v>
      </c>
      <c r="BT256" s="2" t="str">
        <f>HYPERLINK("https%3A%2F%2Fwww.webofscience.com%2Fwos%2Fwoscc%2Ffull-record%2FWOS:000395844600010","View Full Record in Web of Science")</f>
        <v>View Full Record in Web of Science</v>
      </c>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row>
    <row r="257" spans="1:314" s="2" customFormat="1" x14ac:dyDescent="0.4">
      <c r="A257" s="2" t="s">
        <v>72</v>
      </c>
      <c r="B257" s="2" t="s">
        <v>619</v>
      </c>
      <c r="C257" s="2" t="s">
        <v>74</v>
      </c>
      <c r="D257" s="2" t="s">
        <v>74</v>
      </c>
      <c r="E257" s="2" t="s">
        <v>74</v>
      </c>
      <c r="F257" s="2" t="s">
        <v>620</v>
      </c>
      <c r="G257" s="2" t="s">
        <v>74</v>
      </c>
      <c r="H257" s="2" t="s">
        <v>74</v>
      </c>
      <c r="I257" s="2" t="s">
        <v>621</v>
      </c>
      <c r="J257" s="2" t="s">
        <v>610</v>
      </c>
      <c r="K257" s="2" t="s">
        <v>74</v>
      </c>
      <c r="L257" s="2" t="s">
        <v>74</v>
      </c>
      <c r="M257" s="2" t="s">
        <v>74</v>
      </c>
      <c r="N257" s="2" t="s">
        <v>74</v>
      </c>
      <c r="O257" s="2" t="s">
        <v>74</v>
      </c>
      <c r="P257" s="2" t="s">
        <v>74</v>
      </c>
      <c r="Q257" s="2" t="s">
        <v>74</v>
      </c>
      <c r="R257" s="2" t="s">
        <v>74</v>
      </c>
      <c r="S257" s="2" t="s">
        <v>74</v>
      </c>
      <c r="T257" s="2" t="s">
        <v>74</v>
      </c>
      <c r="U257" s="2" t="s">
        <v>74</v>
      </c>
      <c r="V257" s="5" t="s">
        <v>622</v>
      </c>
      <c r="W257" s="2" t="s">
        <v>74</v>
      </c>
      <c r="X257" s="2" t="s">
        <v>74</v>
      </c>
      <c r="Y257" s="2" t="s">
        <v>74</v>
      </c>
      <c r="Z257" s="2" t="s">
        <v>74</v>
      </c>
      <c r="AA257" s="2" t="s">
        <v>623</v>
      </c>
      <c r="AB257" s="2" t="s">
        <v>624</v>
      </c>
      <c r="AC257" s="2" t="s">
        <v>74</v>
      </c>
      <c r="AD257" s="2" t="s">
        <v>74</v>
      </c>
      <c r="AE257" s="2" t="s">
        <v>74</v>
      </c>
      <c r="AF257" s="2" t="s">
        <v>74</v>
      </c>
      <c r="AG257" s="2" t="s">
        <v>74</v>
      </c>
      <c r="AH257" s="2" t="s">
        <v>74</v>
      </c>
      <c r="AI257" s="2" t="s">
        <v>74</v>
      </c>
      <c r="AJ257" s="2" t="s">
        <v>74</v>
      </c>
      <c r="AK257" s="2" t="s">
        <v>74</v>
      </c>
      <c r="AL257" s="2" t="s">
        <v>74</v>
      </c>
      <c r="AM257" s="2" t="s">
        <v>74</v>
      </c>
      <c r="AN257" s="2" t="s">
        <v>74</v>
      </c>
      <c r="AO257" s="2" t="s">
        <v>614</v>
      </c>
      <c r="AP257" s="2" t="s">
        <v>615</v>
      </c>
      <c r="AQ257" s="2" t="s">
        <v>74</v>
      </c>
      <c r="AR257" s="2" t="s">
        <v>74</v>
      </c>
      <c r="AS257" s="2" t="s">
        <v>74</v>
      </c>
      <c r="AT257" s="2" t="s">
        <v>352</v>
      </c>
      <c r="AU257" s="2">
        <v>2018</v>
      </c>
      <c r="AV257" s="2">
        <v>124</v>
      </c>
      <c r="AW257" s="2">
        <v>9</v>
      </c>
      <c r="AX257" s="2" t="s">
        <v>74</v>
      </c>
      <c r="AY257" s="2" t="s">
        <v>74</v>
      </c>
      <c r="AZ257" s="2" t="s">
        <v>74</v>
      </c>
      <c r="BA257" s="2" t="s">
        <v>74</v>
      </c>
      <c r="BB257" s="2">
        <v>667</v>
      </c>
      <c r="BC257" s="2">
        <v>673</v>
      </c>
      <c r="BD257" s="2" t="s">
        <v>74</v>
      </c>
      <c r="BE257" s="2" t="s">
        <v>625</v>
      </c>
      <c r="BF257" s="2" t="str">
        <f>HYPERLINK("http://dx.doi.org/10.1111/eth.12771","http://dx.doi.org/10.1111/eth.12771")</f>
        <v>http://dx.doi.org/10.1111/eth.12771</v>
      </c>
      <c r="BG257" s="2" t="s">
        <v>74</v>
      </c>
      <c r="BH257" s="2" t="s">
        <v>74</v>
      </c>
      <c r="BI257" s="2" t="s">
        <v>74</v>
      </c>
      <c r="BJ257" s="2" t="s">
        <v>74</v>
      </c>
      <c r="BK257" s="2" t="s">
        <v>74</v>
      </c>
      <c r="BL257" s="2" t="s">
        <v>74</v>
      </c>
      <c r="BM257" s="2" t="s">
        <v>74</v>
      </c>
      <c r="BN257" s="2" t="s">
        <v>74</v>
      </c>
      <c r="BO257" s="2" t="s">
        <v>74</v>
      </c>
      <c r="BP257" s="2" t="s">
        <v>74</v>
      </c>
      <c r="BQ257" s="2" t="s">
        <v>74</v>
      </c>
      <c r="BR257" s="2" t="s">
        <v>74</v>
      </c>
      <c r="BS257" s="2" t="s">
        <v>626</v>
      </c>
      <c r="BT257" s="2" t="str">
        <f>HYPERLINK("https%3A%2F%2Fwww.webofscience.com%2Fwos%2Fwoscc%2Ffull-record%2FWOS:000440649700006","View Full Record in Web of Science")</f>
        <v>View Full Record in Web of Science</v>
      </c>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row>
    <row r="258" spans="1:314" s="2" customFormat="1" x14ac:dyDescent="0.4">
      <c r="A258" s="2" t="s">
        <v>72</v>
      </c>
      <c r="B258" s="2" t="s">
        <v>7993</v>
      </c>
      <c r="C258" s="2" t="s">
        <v>74</v>
      </c>
      <c r="D258" s="2" t="s">
        <v>74</v>
      </c>
      <c r="E258" s="2" t="s">
        <v>74</v>
      </c>
      <c r="F258" s="2" t="s">
        <v>7994</v>
      </c>
      <c r="G258" s="2" t="s">
        <v>74</v>
      </c>
      <c r="H258" s="2" t="s">
        <v>74</v>
      </c>
      <c r="I258" s="2" t="s">
        <v>7995</v>
      </c>
      <c r="J258" s="2" t="s">
        <v>408</v>
      </c>
      <c r="K258" s="2" t="s">
        <v>74</v>
      </c>
      <c r="L258" s="2" t="s">
        <v>74</v>
      </c>
      <c r="M258" s="2" t="s">
        <v>74</v>
      </c>
      <c r="N258" s="2" t="s">
        <v>74</v>
      </c>
      <c r="O258" s="2" t="s">
        <v>74</v>
      </c>
      <c r="P258" s="2" t="s">
        <v>74</v>
      </c>
      <c r="Q258" s="2" t="s">
        <v>74</v>
      </c>
      <c r="R258" s="2" t="s">
        <v>74</v>
      </c>
      <c r="S258" s="2" t="s">
        <v>74</v>
      </c>
      <c r="T258" s="2" t="s">
        <v>74</v>
      </c>
      <c r="U258" s="2" t="s">
        <v>74</v>
      </c>
      <c r="V258" s="5" t="s">
        <v>7996</v>
      </c>
      <c r="W258" s="2" t="s">
        <v>74</v>
      </c>
      <c r="X258" s="2" t="s">
        <v>74</v>
      </c>
      <c r="Y258" s="2" t="s">
        <v>74</v>
      </c>
      <c r="Z258" s="2" t="s">
        <v>74</v>
      </c>
      <c r="AA258" s="2" t="s">
        <v>74</v>
      </c>
      <c r="AB258" s="2" t="s">
        <v>74</v>
      </c>
      <c r="AC258" s="2" t="s">
        <v>74</v>
      </c>
      <c r="AD258" s="2" t="s">
        <v>74</v>
      </c>
      <c r="AE258" s="2" t="s">
        <v>74</v>
      </c>
      <c r="AF258" s="2" t="s">
        <v>74</v>
      </c>
      <c r="AG258" s="2" t="s">
        <v>74</v>
      </c>
      <c r="AH258" s="2" t="s">
        <v>74</v>
      </c>
      <c r="AI258" s="2" t="s">
        <v>74</v>
      </c>
      <c r="AJ258" s="2" t="s">
        <v>74</v>
      </c>
      <c r="AK258" s="2" t="s">
        <v>74</v>
      </c>
      <c r="AL258" s="2" t="s">
        <v>74</v>
      </c>
      <c r="AM258" s="2" t="s">
        <v>74</v>
      </c>
      <c r="AN258" s="2" t="s">
        <v>74</v>
      </c>
      <c r="AO258" s="2" t="s">
        <v>412</v>
      </c>
      <c r="AP258" s="2" t="s">
        <v>413</v>
      </c>
      <c r="AQ258" s="2" t="s">
        <v>74</v>
      </c>
      <c r="AR258" s="2" t="s">
        <v>74</v>
      </c>
      <c r="AS258" s="2" t="s">
        <v>74</v>
      </c>
      <c r="AT258" s="2" t="s">
        <v>5887</v>
      </c>
      <c r="AU258" s="2">
        <v>2023</v>
      </c>
      <c r="AV258" s="2">
        <v>139</v>
      </c>
      <c r="AW258" s="2">
        <v>3</v>
      </c>
      <c r="AX258" s="2" t="s">
        <v>74</v>
      </c>
      <c r="AY258" s="2" t="s">
        <v>74</v>
      </c>
      <c r="AZ258" s="2" t="s">
        <v>74</v>
      </c>
      <c r="BA258" s="2" t="s">
        <v>74</v>
      </c>
      <c r="BB258" s="2">
        <v>214</v>
      </c>
      <c r="BC258" s="2">
        <v>230</v>
      </c>
      <c r="BD258" s="2" t="s">
        <v>74</v>
      </c>
      <c r="BE258" s="2" t="s">
        <v>7997</v>
      </c>
      <c r="BF258" s="2" t="str">
        <f>HYPERLINK("http://dx.doi.org/10.1093/biolinnean/blad051","http://dx.doi.org/10.1093/biolinnean/blad051")</f>
        <v>http://dx.doi.org/10.1093/biolinnean/blad051</v>
      </c>
      <c r="BG258" s="2" t="s">
        <v>74</v>
      </c>
      <c r="BH258" s="2" t="s">
        <v>5120</v>
      </c>
      <c r="BI258" s="2" t="s">
        <v>74</v>
      </c>
      <c r="BJ258" s="2" t="s">
        <v>74</v>
      </c>
      <c r="BK258" s="2" t="s">
        <v>74</v>
      </c>
      <c r="BL258" s="2" t="s">
        <v>74</v>
      </c>
      <c r="BM258" s="2" t="s">
        <v>74</v>
      </c>
      <c r="BN258" s="2" t="s">
        <v>74</v>
      </c>
      <c r="BO258" s="2" t="s">
        <v>74</v>
      </c>
      <c r="BP258" s="2" t="s">
        <v>74</v>
      </c>
      <c r="BQ258" s="2" t="s">
        <v>74</v>
      </c>
      <c r="BR258" s="2" t="s">
        <v>74</v>
      </c>
      <c r="BS258" s="2" t="s">
        <v>7998</v>
      </c>
      <c r="BT258" s="2" t="str">
        <f>HYPERLINK("https%3A%2F%2Fwww.webofscience.com%2Fwos%2Fwoscc%2Ffull-record%2FWOS:001004104800001","View Full Record in Web of Science")</f>
        <v>View Full Record in Web of Science</v>
      </c>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row>
    <row r="259" spans="1:314" s="2" customFormat="1" x14ac:dyDescent="0.4">
      <c r="A259" s="2" t="s">
        <v>72</v>
      </c>
      <c r="B259" s="2" t="s">
        <v>1843</v>
      </c>
      <c r="C259" s="2" t="s">
        <v>74</v>
      </c>
      <c r="D259" s="2" t="s">
        <v>74</v>
      </c>
      <c r="E259" s="2" t="s">
        <v>74</v>
      </c>
      <c r="F259" s="2" t="s">
        <v>1844</v>
      </c>
      <c r="G259" s="2" t="s">
        <v>74</v>
      </c>
      <c r="H259" s="2" t="s">
        <v>74</v>
      </c>
      <c r="I259" s="2" t="s">
        <v>1845</v>
      </c>
      <c r="J259" s="2" t="s">
        <v>241</v>
      </c>
      <c r="K259" s="2" t="s">
        <v>74</v>
      </c>
      <c r="L259" s="2" t="s">
        <v>74</v>
      </c>
      <c r="M259" s="2" t="s">
        <v>74</v>
      </c>
      <c r="N259" s="2" t="s">
        <v>74</v>
      </c>
      <c r="O259" s="2" t="s">
        <v>74</v>
      </c>
      <c r="P259" s="2" t="s">
        <v>74</v>
      </c>
      <c r="Q259" s="2" t="s">
        <v>74</v>
      </c>
      <c r="R259" s="2" t="s">
        <v>74</v>
      </c>
      <c r="S259" s="2" t="s">
        <v>74</v>
      </c>
      <c r="T259" s="2" t="s">
        <v>74</v>
      </c>
      <c r="U259" s="2" t="s">
        <v>74</v>
      </c>
      <c r="V259" s="5" t="s">
        <v>1846</v>
      </c>
      <c r="W259" s="2" t="s">
        <v>74</v>
      </c>
      <c r="X259" s="2" t="s">
        <v>74</v>
      </c>
      <c r="Y259" s="2" t="s">
        <v>74</v>
      </c>
      <c r="Z259" s="2" t="s">
        <v>74</v>
      </c>
      <c r="AA259" s="2" t="s">
        <v>1847</v>
      </c>
      <c r="AB259" s="2" t="s">
        <v>1848</v>
      </c>
      <c r="AC259" s="2" t="s">
        <v>74</v>
      </c>
      <c r="AD259" s="2" t="s">
        <v>74</v>
      </c>
      <c r="AE259" s="2" t="s">
        <v>74</v>
      </c>
      <c r="AF259" s="2" t="s">
        <v>74</v>
      </c>
      <c r="AG259" s="2" t="s">
        <v>74</v>
      </c>
      <c r="AH259" s="2" t="s">
        <v>74</v>
      </c>
      <c r="AI259" s="2" t="s">
        <v>74</v>
      </c>
      <c r="AJ259" s="2" t="s">
        <v>74</v>
      </c>
      <c r="AK259" s="2" t="s">
        <v>74</v>
      </c>
      <c r="AL259" s="2" t="s">
        <v>74</v>
      </c>
      <c r="AM259" s="2" t="s">
        <v>74</v>
      </c>
      <c r="AN259" s="2" t="s">
        <v>74</v>
      </c>
      <c r="AO259" s="2" t="s">
        <v>245</v>
      </c>
      <c r="AP259" s="2" t="s">
        <v>246</v>
      </c>
      <c r="AQ259" s="2" t="s">
        <v>74</v>
      </c>
      <c r="AR259" s="2" t="s">
        <v>74</v>
      </c>
      <c r="AS259" s="2" t="s">
        <v>74</v>
      </c>
      <c r="AT259" s="2" t="s">
        <v>175</v>
      </c>
      <c r="AU259" s="2">
        <v>2018</v>
      </c>
      <c r="AV259" s="2">
        <v>188</v>
      </c>
      <c r="AW259" s="2">
        <v>2</v>
      </c>
      <c r="AX259" s="2" t="s">
        <v>74</v>
      </c>
      <c r="AY259" s="2" t="s">
        <v>74</v>
      </c>
      <c r="AZ259" s="2" t="s">
        <v>74</v>
      </c>
      <c r="BA259" s="2" t="s">
        <v>74</v>
      </c>
      <c r="BB259" s="2">
        <v>501</v>
      </c>
      <c r="BC259" s="2">
        <v>513</v>
      </c>
      <c r="BD259" s="2" t="s">
        <v>74</v>
      </c>
      <c r="BE259" s="2" t="s">
        <v>1849</v>
      </c>
      <c r="BF259" s="2" t="str">
        <f>HYPERLINK("http://dx.doi.org/10.1007/s00442-018-4239-7","http://dx.doi.org/10.1007/s00442-018-4239-7")</f>
        <v>http://dx.doi.org/10.1007/s00442-018-4239-7</v>
      </c>
      <c r="BG259" s="2" t="s">
        <v>74</v>
      </c>
      <c r="BH259" s="2" t="s">
        <v>74</v>
      </c>
      <c r="BI259" s="2" t="s">
        <v>74</v>
      </c>
      <c r="BJ259" s="2" t="s">
        <v>74</v>
      </c>
      <c r="BK259" s="2" t="s">
        <v>74</v>
      </c>
      <c r="BL259" s="2" t="s">
        <v>74</v>
      </c>
      <c r="BM259" s="2" t="s">
        <v>74</v>
      </c>
      <c r="BN259" s="2">
        <v>30099605</v>
      </c>
      <c r="BO259" s="2" t="s">
        <v>74</v>
      </c>
      <c r="BP259" s="2" t="s">
        <v>74</v>
      </c>
      <c r="BQ259" s="2" t="s">
        <v>74</v>
      </c>
      <c r="BR259" s="2" t="s">
        <v>74</v>
      </c>
      <c r="BS259" s="2" t="s">
        <v>1850</v>
      </c>
      <c r="BT259" s="2" t="str">
        <f>HYPERLINK("https%3A%2F%2Fwww.webofscience.com%2Fwos%2Fwoscc%2Ffull-record%2FWOS:000445426400015","View Full Record in Web of Science")</f>
        <v>View Full Record in Web of Science</v>
      </c>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row>
    <row r="260" spans="1:314" s="2" customFormat="1" x14ac:dyDescent="0.4">
      <c r="A260" s="2" t="s">
        <v>72</v>
      </c>
      <c r="B260" s="2" t="s">
        <v>760</v>
      </c>
      <c r="C260" s="2" t="s">
        <v>74</v>
      </c>
      <c r="D260" s="2" t="s">
        <v>74</v>
      </c>
      <c r="E260" s="2" t="s">
        <v>74</v>
      </c>
      <c r="F260" s="2" t="s">
        <v>761</v>
      </c>
      <c r="G260" s="2" t="s">
        <v>74</v>
      </c>
      <c r="H260" s="2" t="s">
        <v>74</v>
      </c>
      <c r="I260" s="2" t="s">
        <v>762</v>
      </c>
      <c r="J260" s="2" t="s">
        <v>763</v>
      </c>
      <c r="K260" s="2" t="s">
        <v>74</v>
      </c>
      <c r="L260" s="2" t="s">
        <v>74</v>
      </c>
      <c r="M260" s="2" t="s">
        <v>74</v>
      </c>
      <c r="N260" s="2" t="s">
        <v>74</v>
      </c>
      <c r="O260" s="2" t="s">
        <v>74</v>
      </c>
      <c r="P260" s="2" t="s">
        <v>74</v>
      </c>
      <c r="Q260" s="2" t="s">
        <v>74</v>
      </c>
      <c r="R260" s="2" t="s">
        <v>74</v>
      </c>
      <c r="S260" s="2" t="s">
        <v>74</v>
      </c>
      <c r="T260" s="2" t="s">
        <v>74</v>
      </c>
      <c r="U260" s="2" t="s">
        <v>74</v>
      </c>
      <c r="V260" s="5" t="s">
        <v>764</v>
      </c>
      <c r="W260" s="2" t="s">
        <v>74</v>
      </c>
      <c r="X260" s="2" t="s">
        <v>74</v>
      </c>
      <c r="Y260" s="2" t="s">
        <v>74</v>
      </c>
      <c r="Z260" s="2" t="s">
        <v>74</v>
      </c>
      <c r="AA260" s="2" t="s">
        <v>765</v>
      </c>
      <c r="AB260" s="2" t="s">
        <v>766</v>
      </c>
      <c r="AC260" s="2" t="s">
        <v>74</v>
      </c>
      <c r="AD260" s="2" t="s">
        <v>74</v>
      </c>
      <c r="AE260" s="2" t="s">
        <v>74</v>
      </c>
      <c r="AF260" s="2" t="s">
        <v>74</v>
      </c>
      <c r="AG260" s="2" t="s">
        <v>74</v>
      </c>
      <c r="AH260" s="2" t="s">
        <v>74</v>
      </c>
      <c r="AI260" s="2" t="s">
        <v>74</v>
      </c>
      <c r="AJ260" s="2" t="s">
        <v>74</v>
      </c>
      <c r="AK260" s="2" t="s">
        <v>74</v>
      </c>
      <c r="AL260" s="2" t="s">
        <v>74</v>
      </c>
      <c r="AM260" s="2" t="s">
        <v>74</v>
      </c>
      <c r="AN260" s="2" t="s">
        <v>74</v>
      </c>
      <c r="AO260" s="2" t="s">
        <v>767</v>
      </c>
      <c r="AP260" s="2" t="s">
        <v>768</v>
      </c>
      <c r="AQ260" s="2" t="s">
        <v>74</v>
      </c>
      <c r="AR260" s="2" t="s">
        <v>74</v>
      </c>
      <c r="AS260" s="2" t="s">
        <v>74</v>
      </c>
      <c r="AT260" s="2" t="s">
        <v>769</v>
      </c>
      <c r="AU260" s="2">
        <v>2016</v>
      </c>
      <c r="AV260" s="2">
        <v>219</v>
      </c>
      <c r="AW260" s="2">
        <v>4</v>
      </c>
      <c r="AX260" s="2" t="s">
        <v>74</v>
      </c>
      <c r="AY260" s="2" t="s">
        <v>74</v>
      </c>
      <c r="AZ260" s="2" t="s">
        <v>74</v>
      </c>
      <c r="BA260" s="2" t="s">
        <v>74</v>
      </c>
      <c r="BB260" s="2">
        <v>597</v>
      </c>
      <c r="BC260" s="2">
        <v>608</v>
      </c>
      <c r="BD260" s="2" t="s">
        <v>74</v>
      </c>
      <c r="BE260" s="2" t="s">
        <v>770</v>
      </c>
      <c r="BF260" s="2" t="str">
        <f>HYPERLINK("http://dx.doi.org/10.1242/jeb.122275","http://dx.doi.org/10.1242/jeb.122275")</f>
        <v>http://dx.doi.org/10.1242/jeb.122275</v>
      </c>
      <c r="BG260" s="2" t="s">
        <v>74</v>
      </c>
      <c r="BH260" s="2" t="s">
        <v>74</v>
      </c>
      <c r="BI260" s="2" t="s">
        <v>74</v>
      </c>
      <c r="BJ260" s="2" t="s">
        <v>74</v>
      </c>
      <c r="BK260" s="2" t="s">
        <v>74</v>
      </c>
      <c r="BL260" s="2" t="s">
        <v>74</v>
      </c>
      <c r="BM260" s="2" t="s">
        <v>74</v>
      </c>
      <c r="BN260" s="2">
        <v>26747903</v>
      </c>
      <c r="BO260" s="2" t="s">
        <v>74</v>
      </c>
      <c r="BP260" s="2" t="s">
        <v>74</v>
      </c>
      <c r="BQ260" s="2" t="s">
        <v>74</v>
      </c>
      <c r="BR260" s="2" t="s">
        <v>74</v>
      </c>
      <c r="BS260" s="2" t="s">
        <v>771</v>
      </c>
      <c r="BT260" s="2" t="str">
        <f>HYPERLINK("https%3A%2F%2Fwww.webofscience.com%2Fwos%2Fwoscc%2Ffull-record%2FWOS:000370238000021","View Full Record in Web of Science")</f>
        <v>View Full Record in Web of Science</v>
      </c>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row>
    <row r="261" spans="1:314" s="2" customFormat="1" x14ac:dyDescent="0.4">
      <c r="A261" s="2" t="s">
        <v>72</v>
      </c>
      <c r="B261" s="2" t="s">
        <v>5038</v>
      </c>
      <c r="C261" s="2" t="s">
        <v>74</v>
      </c>
      <c r="D261" s="2" t="s">
        <v>74</v>
      </c>
      <c r="E261" s="2" t="s">
        <v>74</v>
      </c>
      <c r="F261" s="2" t="s">
        <v>5039</v>
      </c>
      <c r="G261" s="2" t="s">
        <v>74</v>
      </c>
      <c r="H261" s="2" t="s">
        <v>74</v>
      </c>
      <c r="I261" s="2" t="s">
        <v>5040</v>
      </c>
      <c r="J261" s="2" t="s">
        <v>108</v>
      </c>
      <c r="K261" s="2" t="s">
        <v>74</v>
      </c>
      <c r="L261" s="2" t="s">
        <v>74</v>
      </c>
      <c r="M261" s="2" t="s">
        <v>74</v>
      </c>
      <c r="N261" s="2" t="s">
        <v>74</v>
      </c>
      <c r="O261" s="2" t="s">
        <v>74</v>
      </c>
      <c r="P261" s="2" t="s">
        <v>74</v>
      </c>
      <c r="Q261" s="2" t="s">
        <v>74</v>
      </c>
      <c r="R261" s="2" t="s">
        <v>74</v>
      </c>
      <c r="S261" s="2" t="s">
        <v>74</v>
      </c>
      <c r="T261" s="2" t="s">
        <v>74</v>
      </c>
      <c r="U261" s="2" t="s">
        <v>74</v>
      </c>
      <c r="V261" s="5" t="s">
        <v>5041</v>
      </c>
      <c r="W261" s="2" t="s">
        <v>74</v>
      </c>
      <c r="X261" s="2" t="s">
        <v>74</v>
      </c>
      <c r="Y261" s="2" t="s">
        <v>74</v>
      </c>
      <c r="Z261" s="2" t="s">
        <v>74</v>
      </c>
      <c r="AA261" s="2" t="s">
        <v>5042</v>
      </c>
      <c r="AB261" s="2" t="s">
        <v>5043</v>
      </c>
      <c r="AC261" s="2" t="s">
        <v>74</v>
      </c>
      <c r="AD261" s="2" t="s">
        <v>74</v>
      </c>
      <c r="AE261" s="2" t="s">
        <v>74</v>
      </c>
      <c r="AF261" s="2" t="s">
        <v>74</v>
      </c>
      <c r="AG261" s="2" t="s">
        <v>74</v>
      </c>
      <c r="AH261" s="2" t="s">
        <v>74</v>
      </c>
      <c r="AI261" s="2" t="s">
        <v>74</v>
      </c>
      <c r="AJ261" s="2" t="s">
        <v>74</v>
      </c>
      <c r="AK261" s="2" t="s">
        <v>74</v>
      </c>
      <c r="AL261" s="2" t="s">
        <v>74</v>
      </c>
      <c r="AM261" s="2" t="s">
        <v>74</v>
      </c>
      <c r="AN261" s="2" t="s">
        <v>74</v>
      </c>
      <c r="AO261" s="2" t="s">
        <v>111</v>
      </c>
      <c r="AP261" s="2" t="s">
        <v>112</v>
      </c>
      <c r="AQ261" s="2" t="s">
        <v>74</v>
      </c>
      <c r="AR261" s="2" t="s">
        <v>74</v>
      </c>
      <c r="AS261" s="2" t="s">
        <v>74</v>
      </c>
      <c r="AT261" s="2" t="s">
        <v>5044</v>
      </c>
      <c r="AU261" s="2">
        <v>2017</v>
      </c>
      <c r="AV261" s="2">
        <v>284</v>
      </c>
      <c r="AW261" s="2">
        <v>1854</v>
      </c>
      <c r="AX261" s="2" t="s">
        <v>74</v>
      </c>
      <c r="AY261" s="2" t="s">
        <v>74</v>
      </c>
      <c r="AZ261" s="2" t="s">
        <v>74</v>
      </c>
      <c r="BA261" s="2" t="s">
        <v>74</v>
      </c>
      <c r="BB261" s="2" t="s">
        <v>74</v>
      </c>
      <c r="BC261" s="2" t="s">
        <v>74</v>
      </c>
      <c r="BD261" s="2">
        <v>20170272</v>
      </c>
      <c r="BE261" s="2" t="s">
        <v>5045</v>
      </c>
      <c r="BF261" s="2" t="str">
        <f>HYPERLINK("http://dx.doi.org/10.1098/rspb.2017.0272","http://dx.doi.org/10.1098/rspb.2017.0272")</f>
        <v>http://dx.doi.org/10.1098/rspb.2017.0272</v>
      </c>
      <c r="BG261" s="2" t="s">
        <v>74</v>
      </c>
      <c r="BH261" s="2" t="s">
        <v>74</v>
      </c>
      <c r="BI261" s="2" t="s">
        <v>74</v>
      </c>
      <c r="BJ261" s="2" t="s">
        <v>74</v>
      </c>
      <c r="BK261" s="2" t="s">
        <v>74</v>
      </c>
      <c r="BL261" s="2" t="s">
        <v>74</v>
      </c>
      <c r="BM261" s="2" t="s">
        <v>74</v>
      </c>
      <c r="BN261" s="2">
        <v>28515202</v>
      </c>
      <c r="BO261" s="2" t="s">
        <v>74</v>
      </c>
      <c r="BP261" s="2" t="s">
        <v>74</v>
      </c>
      <c r="BQ261" s="2" t="s">
        <v>74</v>
      </c>
      <c r="BR261" s="2" t="s">
        <v>74</v>
      </c>
      <c r="BS261" s="2" t="s">
        <v>5046</v>
      </c>
      <c r="BT261" s="2" t="str">
        <f>HYPERLINK("https%3A%2F%2Fwww.webofscience.com%2Fwos%2Fwoscc%2Ffull-record%2FWOS:000404425100019","View Full Record in Web of Science")</f>
        <v>View Full Record in Web of Science</v>
      </c>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row>
    <row r="262" spans="1:314" s="2" customFormat="1" x14ac:dyDescent="0.4">
      <c r="A262" s="2" t="s">
        <v>72</v>
      </c>
      <c r="B262" s="2" t="s">
        <v>7143</v>
      </c>
      <c r="C262" s="2" t="s">
        <v>74</v>
      </c>
      <c r="D262" s="2" t="s">
        <v>74</v>
      </c>
      <c r="E262" s="2" t="s">
        <v>74</v>
      </c>
      <c r="F262" s="2" t="s">
        <v>7144</v>
      </c>
      <c r="G262" s="2" t="s">
        <v>74</v>
      </c>
      <c r="H262" s="2" t="s">
        <v>74</v>
      </c>
      <c r="I262" s="2" t="s">
        <v>7145</v>
      </c>
      <c r="J262" s="2" t="s">
        <v>7146</v>
      </c>
      <c r="K262" s="2" t="s">
        <v>74</v>
      </c>
      <c r="L262" s="2" t="s">
        <v>74</v>
      </c>
      <c r="M262" s="2" t="s">
        <v>74</v>
      </c>
      <c r="N262" s="2" t="s">
        <v>74</v>
      </c>
      <c r="O262" s="2" t="s">
        <v>74</v>
      </c>
      <c r="P262" s="2" t="s">
        <v>74</v>
      </c>
      <c r="Q262" s="2" t="s">
        <v>74</v>
      </c>
      <c r="R262" s="2" t="s">
        <v>74</v>
      </c>
      <c r="S262" s="2" t="s">
        <v>74</v>
      </c>
      <c r="T262" s="2" t="s">
        <v>74</v>
      </c>
      <c r="U262" s="2" t="s">
        <v>74</v>
      </c>
      <c r="V262" s="5" t="s">
        <v>7147</v>
      </c>
      <c r="W262" s="2" t="s">
        <v>74</v>
      </c>
      <c r="X262" s="2" t="s">
        <v>74</v>
      </c>
      <c r="Y262" s="2" t="s">
        <v>74</v>
      </c>
      <c r="Z262" s="2" t="s">
        <v>74</v>
      </c>
      <c r="AA262" s="2" t="s">
        <v>7148</v>
      </c>
      <c r="AB262" s="2" t="s">
        <v>7149</v>
      </c>
      <c r="AC262" s="2" t="s">
        <v>74</v>
      </c>
      <c r="AD262" s="2" t="s">
        <v>74</v>
      </c>
      <c r="AE262" s="2" t="s">
        <v>74</v>
      </c>
      <c r="AF262" s="2" t="s">
        <v>74</v>
      </c>
      <c r="AG262" s="2" t="s">
        <v>74</v>
      </c>
      <c r="AH262" s="2" t="s">
        <v>74</v>
      </c>
      <c r="AI262" s="2" t="s">
        <v>74</v>
      </c>
      <c r="AJ262" s="2" t="s">
        <v>74</v>
      </c>
      <c r="AK262" s="2" t="s">
        <v>74</v>
      </c>
      <c r="AL262" s="2" t="s">
        <v>74</v>
      </c>
      <c r="AM262" s="2" t="s">
        <v>74</v>
      </c>
      <c r="AN262" s="2" t="s">
        <v>74</v>
      </c>
      <c r="AO262" s="2" t="s">
        <v>7150</v>
      </c>
      <c r="AP262" s="2" t="s">
        <v>7151</v>
      </c>
      <c r="AQ262" s="2" t="s">
        <v>74</v>
      </c>
      <c r="AR262" s="2" t="s">
        <v>74</v>
      </c>
      <c r="AS262" s="2" t="s">
        <v>74</v>
      </c>
      <c r="AT262" s="2" t="s">
        <v>352</v>
      </c>
      <c r="AU262" s="2">
        <v>2014</v>
      </c>
      <c r="AV262" s="2">
        <v>62</v>
      </c>
      <c r="AW262" s="2">
        <v>3</v>
      </c>
      <c r="AX262" s="2" t="s">
        <v>74</v>
      </c>
      <c r="AY262" s="2" t="s">
        <v>74</v>
      </c>
      <c r="AZ262" s="2" t="s">
        <v>74</v>
      </c>
      <c r="BA262" s="2" t="s">
        <v>74</v>
      </c>
      <c r="BB262" s="2">
        <v>977</v>
      </c>
      <c r="BC262" s="2">
        <v>985</v>
      </c>
      <c r="BD262" s="2" t="s">
        <v>74</v>
      </c>
      <c r="BE262" s="2" t="s">
        <v>7152</v>
      </c>
      <c r="BF262" s="2" t="str">
        <f>HYPERLINK("http://dx.doi.org/10.15517/rbt.v62i3.11643","http://dx.doi.org/10.15517/rbt.v62i3.11643")</f>
        <v>http://dx.doi.org/10.15517/rbt.v62i3.11643</v>
      </c>
      <c r="BG262" s="2" t="s">
        <v>74</v>
      </c>
      <c r="BH262" s="2" t="s">
        <v>74</v>
      </c>
      <c r="BI262" s="2" t="s">
        <v>74</v>
      </c>
      <c r="BJ262" s="2" t="s">
        <v>74</v>
      </c>
      <c r="BK262" s="2" t="s">
        <v>74</v>
      </c>
      <c r="BL262" s="2" t="s">
        <v>74</v>
      </c>
      <c r="BM262" s="2" t="s">
        <v>74</v>
      </c>
      <c r="BN262" s="2">
        <v>25412530</v>
      </c>
      <c r="BO262" s="2" t="s">
        <v>74</v>
      </c>
      <c r="BP262" s="2" t="s">
        <v>74</v>
      </c>
      <c r="BQ262" s="2" t="s">
        <v>74</v>
      </c>
      <c r="BR262" s="2" t="s">
        <v>74</v>
      </c>
      <c r="BS262" s="2" t="s">
        <v>7153</v>
      </c>
      <c r="BT262" s="2" t="str">
        <f>HYPERLINK("https%3A%2F%2Fwww.webofscience.com%2Fwos%2Fwoscc%2Ffull-record%2FWOS:000343187200014","View Full Record in Web of Science")</f>
        <v>View Full Record in Web of Science</v>
      </c>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row>
    <row r="263" spans="1:314" s="2" customFormat="1" x14ac:dyDescent="0.4">
      <c r="A263" s="2" t="s">
        <v>72</v>
      </c>
      <c r="B263" s="2" t="s">
        <v>4373</v>
      </c>
      <c r="C263" s="2" t="s">
        <v>74</v>
      </c>
      <c r="D263" s="2" t="s">
        <v>74</v>
      </c>
      <c r="E263" s="2" t="s">
        <v>74</v>
      </c>
      <c r="F263" s="2" t="s">
        <v>4374</v>
      </c>
      <c r="G263" s="2" t="s">
        <v>74</v>
      </c>
      <c r="H263" s="2" t="s">
        <v>74</v>
      </c>
      <c r="I263" s="2" t="s">
        <v>4375</v>
      </c>
      <c r="J263" s="2" t="s">
        <v>140</v>
      </c>
      <c r="K263" s="2" t="s">
        <v>74</v>
      </c>
      <c r="L263" s="2" t="s">
        <v>74</v>
      </c>
      <c r="M263" s="2" t="s">
        <v>74</v>
      </c>
      <c r="N263" s="2" t="s">
        <v>74</v>
      </c>
      <c r="O263" s="2" t="s">
        <v>74</v>
      </c>
      <c r="P263" s="2" t="s">
        <v>74</v>
      </c>
      <c r="Q263" s="2" t="s">
        <v>74</v>
      </c>
      <c r="R263" s="2" t="s">
        <v>74</v>
      </c>
      <c r="S263" s="2" t="s">
        <v>74</v>
      </c>
      <c r="T263" s="2" t="s">
        <v>74</v>
      </c>
      <c r="U263" s="2" t="s">
        <v>74</v>
      </c>
      <c r="V263" s="5" t="s">
        <v>4376</v>
      </c>
      <c r="W263" s="2" t="s">
        <v>74</v>
      </c>
      <c r="X263" s="2" t="s">
        <v>74</v>
      </c>
      <c r="Y263" s="2" t="s">
        <v>74</v>
      </c>
      <c r="Z263" s="2" t="s">
        <v>74</v>
      </c>
      <c r="AA263" s="2" t="s">
        <v>4030</v>
      </c>
      <c r="AB263" s="2" t="s">
        <v>74</v>
      </c>
      <c r="AC263" s="2" t="s">
        <v>74</v>
      </c>
      <c r="AD263" s="2" t="s">
        <v>74</v>
      </c>
      <c r="AE263" s="2" t="s">
        <v>74</v>
      </c>
      <c r="AF263" s="2" t="s">
        <v>74</v>
      </c>
      <c r="AG263" s="2" t="s">
        <v>74</v>
      </c>
      <c r="AH263" s="2" t="s">
        <v>74</v>
      </c>
      <c r="AI263" s="2" t="s">
        <v>74</v>
      </c>
      <c r="AJ263" s="2" t="s">
        <v>74</v>
      </c>
      <c r="AK263" s="2" t="s">
        <v>74</v>
      </c>
      <c r="AL263" s="2" t="s">
        <v>74</v>
      </c>
      <c r="AM263" s="2" t="s">
        <v>74</v>
      </c>
      <c r="AN263" s="2" t="s">
        <v>74</v>
      </c>
      <c r="AO263" s="2" t="s">
        <v>143</v>
      </c>
      <c r="AP263" s="2" t="s">
        <v>144</v>
      </c>
      <c r="AQ263" s="2" t="s">
        <v>74</v>
      </c>
      <c r="AR263" s="2" t="s">
        <v>74</v>
      </c>
      <c r="AS263" s="2" t="s">
        <v>74</v>
      </c>
      <c r="AT263" s="2" t="s">
        <v>964</v>
      </c>
      <c r="AU263" s="2">
        <v>2011</v>
      </c>
      <c r="AV263" s="2">
        <v>81</v>
      </c>
      <c r="AW263" s="2">
        <v>2</v>
      </c>
      <c r="AX263" s="2" t="s">
        <v>74</v>
      </c>
      <c r="AY263" s="2" t="s">
        <v>74</v>
      </c>
      <c r="AZ263" s="2" t="s">
        <v>74</v>
      </c>
      <c r="BA263" s="2" t="s">
        <v>74</v>
      </c>
      <c r="BB263" s="2">
        <v>447</v>
      </c>
      <c r="BC263" s="2">
        <v>453</v>
      </c>
      <c r="BD263" s="2" t="s">
        <v>74</v>
      </c>
      <c r="BE263" s="2" t="s">
        <v>4377</v>
      </c>
      <c r="BF263" s="2" t="str">
        <f>HYPERLINK("http://dx.doi.org/10.1016/j.anbehav.2010.11.016","http://dx.doi.org/10.1016/j.anbehav.2010.11.016")</f>
        <v>http://dx.doi.org/10.1016/j.anbehav.2010.11.016</v>
      </c>
      <c r="BG263" s="2" t="s">
        <v>74</v>
      </c>
      <c r="BH263" s="2" t="s">
        <v>74</v>
      </c>
      <c r="BI263" s="2" t="s">
        <v>74</v>
      </c>
      <c r="BJ263" s="2" t="s">
        <v>74</v>
      </c>
      <c r="BK263" s="2" t="s">
        <v>74</v>
      </c>
      <c r="BL263" s="2" t="s">
        <v>74</v>
      </c>
      <c r="BM263" s="2" t="s">
        <v>74</v>
      </c>
      <c r="BN263" s="2" t="s">
        <v>74</v>
      </c>
      <c r="BO263" s="2" t="s">
        <v>74</v>
      </c>
      <c r="BP263" s="2" t="s">
        <v>74</v>
      </c>
      <c r="BQ263" s="2" t="s">
        <v>74</v>
      </c>
      <c r="BR263" s="2" t="s">
        <v>74</v>
      </c>
      <c r="BS263" s="2" t="s">
        <v>4378</v>
      </c>
      <c r="BT263" s="2" t="str">
        <f>HYPERLINK("https%3A%2F%2Fwww.webofscience.com%2Fwos%2Fwoscc%2Ffull-record%2FWOS:000286455400012","View Full Record in Web of Science")</f>
        <v>View Full Record in Web of Science</v>
      </c>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row>
    <row r="264" spans="1:314" s="2" customFormat="1" x14ac:dyDescent="0.4">
      <c r="A264" s="2" t="s">
        <v>72</v>
      </c>
      <c r="B264" s="2" t="s">
        <v>5238</v>
      </c>
      <c r="C264" s="2" t="s">
        <v>74</v>
      </c>
      <c r="D264" s="2" t="s">
        <v>74</v>
      </c>
      <c r="E264" s="2" t="s">
        <v>74</v>
      </c>
      <c r="F264" s="2" t="s">
        <v>5239</v>
      </c>
      <c r="G264" s="2" t="s">
        <v>74</v>
      </c>
      <c r="H264" s="2" t="s">
        <v>74</v>
      </c>
      <c r="I264" s="2" t="s">
        <v>5240</v>
      </c>
      <c r="J264" s="2" t="s">
        <v>824</v>
      </c>
      <c r="K264" s="2" t="s">
        <v>74</v>
      </c>
      <c r="L264" s="2" t="s">
        <v>74</v>
      </c>
      <c r="M264" s="2" t="s">
        <v>74</v>
      </c>
      <c r="N264" s="2" t="s">
        <v>74</v>
      </c>
      <c r="O264" s="2" t="s">
        <v>74</v>
      </c>
      <c r="P264" s="2" t="s">
        <v>74</v>
      </c>
      <c r="Q264" s="2" t="s">
        <v>74</v>
      </c>
      <c r="R264" s="2" t="s">
        <v>74</v>
      </c>
      <c r="S264" s="2" t="s">
        <v>74</v>
      </c>
      <c r="T264" s="2" t="s">
        <v>74</v>
      </c>
      <c r="U264" s="2" t="s">
        <v>74</v>
      </c>
      <c r="V264" s="5" t="s">
        <v>5241</v>
      </c>
      <c r="W264" s="2" t="s">
        <v>74</v>
      </c>
      <c r="X264" s="2" t="s">
        <v>74</v>
      </c>
      <c r="Y264" s="2" t="s">
        <v>74</v>
      </c>
      <c r="Z264" s="2" t="s">
        <v>74</v>
      </c>
      <c r="AA264" s="2" t="s">
        <v>5242</v>
      </c>
      <c r="AB264" s="2" t="s">
        <v>5243</v>
      </c>
      <c r="AC264" s="2" t="s">
        <v>74</v>
      </c>
      <c r="AD264" s="2" t="s">
        <v>74</v>
      </c>
      <c r="AE264" s="2" t="s">
        <v>74</v>
      </c>
      <c r="AF264" s="2" t="s">
        <v>74</v>
      </c>
      <c r="AG264" s="2" t="s">
        <v>74</v>
      </c>
      <c r="AH264" s="2" t="s">
        <v>74</v>
      </c>
      <c r="AI264" s="2" t="s">
        <v>74</v>
      </c>
      <c r="AJ264" s="2" t="s">
        <v>74</v>
      </c>
      <c r="AK264" s="2" t="s">
        <v>74</v>
      </c>
      <c r="AL264" s="2" t="s">
        <v>74</v>
      </c>
      <c r="AM264" s="2" t="s">
        <v>74</v>
      </c>
      <c r="AN264" s="2" t="s">
        <v>74</v>
      </c>
      <c r="AO264" s="2" t="s">
        <v>828</v>
      </c>
      <c r="AP264" s="2" t="s">
        <v>829</v>
      </c>
      <c r="AQ264" s="2" t="s">
        <v>74</v>
      </c>
      <c r="AR264" s="2" t="s">
        <v>74</v>
      </c>
      <c r="AS264" s="2" t="s">
        <v>74</v>
      </c>
      <c r="AT264" s="2" t="s">
        <v>123</v>
      </c>
      <c r="AU264" s="2">
        <v>2009</v>
      </c>
      <c r="AV264" s="2">
        <v>78</v>
      </c>
      <c r="AW264" s="2">
        <v>2</v>
      </c>
      <c r="AX264" s="2" t="s">
        <v>74</v>
      </c>
      <c r="AY264" s="2" t="s">
        <v>74</v>
      </c>
      <c r="AZ264" s="2" t="s">
        <v>74</v>
      </c>
      <c r="BA264" s="2" t="s">
        <v>74</v>
      </c>
      <c r="BB264" s="2">
        <v>476</v>
      </c>
      <c r="BC264" s="2">
        <v>484</v>
      </c>
      <c r="BD264" s="2" t="s">
        <v>74</v>
      </c>
      <c r="BE264" s="2" t="s">
        <v>5244</v>
      </c>
      <c r="BF264" s="2" t="str">
        <f>HYPERLINK("http://dx.doi.org/10.1111/j.1365-2656.2008.01496.x","http://dx.doi.org/10.1111/j.1365-2656.2008.01496.x")</f>
        <v>http://dx.doi.org/10.1111/j.1365-2656.2008.01496.x</v>
      </c>
      <c r="BG264" s="2" t="s">
        <v>74</v>
      </c>
      <c r="BH264" s="2" t="s">
        <v>74</v>
      </c>
      <c r="BI264" s="2" t="s">
        <v>74</v>
      </c>
      <c r="BJ264" s="2" t="s">
        <v>74</v>
      </c>
      <c r="BK264" s="2" t="s">
        <v>74</v>
      </c>
      <c r="BL264" s="2" t="s">
        <v>74</v>
      </c>
      <c r="BM264" s="2" t="s">
        <v>74</v>
      </c>
      <c r="BN264" s="2">
        <v>19021784</v>
      </c>
      <c r="BO264" s="2" t="s">
        <v>74</v>
      </c>
      <c r="BP264" s="2" t="s">
        <v>74</v>
      </c>
      <c r="BQ264" s="2" t="s">
        <v>74</v>
      </c>
      <c r="BR264" s="2" t="s">
        <v>74</v>
      </c>
      <c r="BS264" s="2" t="s">
        <v>5245</v>
      </c>
      <c r="BT264" s="2" t="str">
        <f>HYPERLINK("https%3A%2F%2Fwww.webofscience.com%2Fwos%2Fwoscc%2Ffull-record%2FWOS:000263038800020","View Full Record in Web of Science")</f>
        <v>View Full Record in Web of Science</v>
      </c>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row>
    <row r="265" spans="1:314" s="2" customFormat="1" x14ac:dyDescent="0.4">
      <c r="A265" s="2" t="s">
        <v>72</v>
      </c>
      <c r="B265" s="2" t="s">
        <v>5865</v>
      </c>
      <c r="C265" s="2" t="s">
        <v>74</v>
      </c>
      <c r="D265" s="2" t="s">
        <v>74</v>
      </c>
      <c r="E265" s="2" t="s">
        <v>74</v>
      </c>
      <c r="F265" s="2" t="s">
        <v>5865</v>
      </c>
      <c r="G265" s="2" t="s">
        <v>74</v>
      </c>
      <c r="H265" s="2" t="s">
        <v>74</v>
      </c>
      <c r="I265" s="2" t="s">
        <v>5866</v>
      </c>
      <c r="J265" s="2" t="s">
        <v>1673</v>
      </c>
      <c r="K265" s="2" t="s">
        <v>74</v>
      </c>
      <c r="L265" s="2" t="s">
        <v>74</v>
      </c>
      <c r="M265" s="2" t="s">
        <v>74</v>
      </c>
      <c r="N265" s="2" t="s">
        <v>74</v>
      </c>
      <c r="O265" s="2" t="s">
        <v>74</v>
      </c>
      <c r="P265" s="2" t="s">
        <v>74</v>
      </c>
      <c r="Q265" s="2" t="s">
        <v>74</v>
      </c>
      <c r="R265" s="2" t="s">
        <v>74</v>
      </c>
      <c r="S265" s="2" t="s">
        <v>74</v>
      </c>
      <c r="T265" s="2" t="s">
        <v>74</v>
      </c>
      <c r="U265" s="2" t="s">
        <v>74</v>
      </c>
      <c r="V265" s="5" t="s">
        <v>5867</v>
      </c>
      <c r="W265" s="2" t="s">
        <v>74</v>
      </c>
      <c r="X265" s="2" t="s">
        <v>74</v>
      </c>
      <c r="Y265" s="2" t="s">
        <v>74</v>
      </c>
      <c r="Z265" s="2" t="s">
        <v>74</v>
      </c>
      <c r="AA265" s="2" t="s">
        <v>74</v>
      </c>
      <c r="AB265" s="2" t="s">
        <v>74</v>
      </c>
      <c r="AC265" s="2" t="s">
        <v>74</v>
      </c>
      <c r="AD265" s="2" t="s">
        <v>74</v>
      </c>
      <c r="AE265" s="2" t="s">
        <v>74</v>
      </c>
      <c r="AF265" s="2" t="s">
        <v>74</v>
      </c>
      <c r="AG265" s="2" t="s">
        <v>74</v>
      </c>
      <c r="AH265" s="2" t="s">
        <v>74</v>
      </c>
      <c r="AI265" s="2" t="s">
        <v>74</v>
      </c>
      <c r="AJ265" s="2" t="s">
        <v>74</v>
      </c>
      <c r="AK265" s="2" t="s">
        <v>74</v>
      </c>
      <c r="AL265" s="2" t="s">
        <v>74</v>
      </c>
      <c r="AM265" s="2" t="s">
        <v>74</v>
      </c>
      <c r="AN265" s="2" t="s">
        <v>74</v>
      </c>
      <c r="AO265" s="2" t="s">
        <v>1239</v>
      </c>
      <c r="AP265" s="2" t="s">
        <v>1675</v>
      </c>
      <c r="AQ265" s="2" t="s">
        <v>74</v>
      </c>
      <c r="AR265" s="2" t="s">
        <v>74</v>
      </c>
      <c r="AS265" s="2" t="s">
        <v>74</v>
      </c>
      <c r="AT265" s="2" t="s">
        <v>204</v>
      </c>
      <c r="AU265" s="2">
        <v>1986</v>
      </c>
      <c r="AV265" s="2">
        <v>64</v>
      </c>
      <c r="AW265" s="2">
        <v>7</v>
      </c>
      <c r="AX265" s="2" t="s">
        <v>74</v>
      </c>
      <c r="AY265" s="2" t="s">
        <v>74</v>
      </c>
      <c r="AZ265" s="2" t="s">
        <v>74</v>
      </c>
      <c r="BA265" s="2" t="s">
        <v>74</v>
      </c>
      <c r="BB265" s="2">
        <v>1416</v>
      </c>
      <c r="BC265" s="2">
        <v>1421</v>
      </c>
      <c r="BD265" s="2" t="s">
        <v>74</v>
      </c>
      <c r="BE265" s="2" t="s">
        <v>5868</v>
      </c>
      <c r="BF265" s="2" t="str">
        <f>HYPERLINK("http://dx.doi.org/10.1139/z86-211","http://dx.doi.org/10.1139/z86-211")</f>
        <v>http://dx.doi.org/10.1139/z86-211</v>
      </c>
      <c r="BG265" s="2" t="s">
        <v>74</v>
      </c>
      <c r="BH265" s="2" t="s">
        <v>74</v>
      </c>
      <c r="BI265" s="2" t="s">
        <v>74</v>
      </c>
      <c r="BJ265" s="2" t="s">
        <v>74</v>
      </c>
      <c r="BK265" s="2" t="s">
        <v>74</v>
      </c>
      <c r="BL265" s="2" t="s">
        <v>74</v>
      </c>
      <c r="BM265" s="2" t="s">
        <v>74</v>
      </c>
      <c r="BN265" s="2" t="s">
        <v>74</v>
      </c>
      <c r="BO265" s="2" t="s">
        <v>74</v>
      </c>
      <c r="BP265" s="2" t="s">
        <v>74</v>
      </c>
      <c r="BQ265" s="2" t="s">
        <v>74</v>
      </c>
      <c r="BR265" s="2" t="s">
        <v>74</v>
      </c>
      <c r="BS265" s="2" t="s">
        <v>5869</v>
      </c>
      <c r="BT265" s="2" t="str">
        <f>HYPERLINK("https%3A%2F%2Fwww.webofscience.com%2Fwos%2Fwoscc%2Ffull-record%2FWOS:A1986D643700006","View Full Record in Web of Science")</f>
        <v>View Full Record in Web of Science</v>
      </c>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row>
    <row r="266" spans="1:314" s="2" customFormat="1" x14ac:dyDescent="0.4">
      <c r="A266" s="2" t="s">
        <v>72</v>
      </c>
      <c r="B266" s="2" t="s">
        <v>6290</v>
      </c>
      <c r="C266" s="2" t="s">
        <v>74</v>
      </c>
      <c r="D266" s="2" t="s">
        <v>74</v>
      </c>
      <c r="E266" s="2" t="s">
        <v>74</v>
      </c>
      <c r="F266" s="2" t="s">
        <v>6290</v>
      </c>
      <c r="G266" s="2" t="s">
        <v>74</v>
      </c>
      <c r="H266" s="2" t="s">
        <v>74</v>
      </c>
      <c r="I266" s="2" t="s">
        <v>6291</v>
      </c>
      <c r="J266" s="2" t="s">
        <v>4333</v>
      </c>
      <c r="K266" s="2" t="s">
        <v>74</v>
      </c>
      <c r="L266" s="2" t="s">
        <v>74</v>
      </c>
      <c r="M266" s="2" t="s">
        <v>74</v>
      </c>
      <c r="N266" s="2" t="s">
        <v>74</v>
      </c>
      <c r="O266" s="2" t="s">
        <v>74</v>
      </c>
      <c r="P266" s="2" t="s">
        <v>74</v>
      </c>
      <c r="Q266" s="2" t="s">
        <v>74</v>
      </c>
      <c r="R266" s="2" t="s">
        <v>74</v>
      </c>
      <c r="S266" s="2" t="s">
        <v>74</v>
      </c>
      <c r="T266" s="2" t="s">
        <v>74</v>
      </c>
      <c r="U266" s="2" t="s">
        <v>74</v>
      </c>
      <c r="V266" s="5" t="s">
        <v>6292</v>
      </c>
      <c r="W266" s="2" t="s">
        <v>74</v>
      </c>
      <c r="X266" s="2" t="s">
        <v>74</v>
      </c>
      <c r="Y266" s="2" t="s">
        <v>74</v>
      </c>
      <c r="Z266" s="2" t="s">
        <v>74</v>
      </c>
      <c r="AA266" s="2" t="s">
        <v>74</v>
      </c>
      <c r="AB266" s="2" t="s">
        <v>74</v>
      </c>
      <c r="AC266" s="2" t="s">
        <v>74</v>
      </c>
      <c r="AD266" s="2" t="s">
        <v>74</v>
      </c>
      <c r="AE266" s="2" t="s">
        <v>74</v>
      </c>
      <c r="AF266" s="2" t="s">
        <v>74</v>
      </c>
      <c r="AG266" s="2" t="s">
        <v>74</v>
      </c>
      <c r="AH266" s="2" t="s">
        <v>74</v>
      </c>
      <c r="AI266" s="2" t="s">
        <v>74</v>
      </c>
      <c r="AJ266" s="2" t="s">
        <v>74</v>
      </c>
      <c r="AK266" s="2" t="s">
        <v>74</v>
      </c>
      <c r="AL266" s="2" t="s">
        <v>74</v>
      </c>
      <c r="AM266" s="2" t="s">
        <v>74</v>
      </c>
      <c r="AN266" s="2" t="s">
        <v>74</v>
      </c>
      <c r="AO266" s="2" t="s">
        <v>4335</v>
      </c>
      <c r="AP266" s="2" t="s">
        <v>74</v>
      </c>
      <c r="AQ266" s="2" t="s">
        <v>74</v>
      </c>
      <c r="AR266" s="2" t="s">
        <v>74</v>
      </c>
      <c r="AS266" s="2" t="s">
        <v>74</v>
      </c>
      <c r="AT266" s="2" t="s">
        <v>74</v>
      </c>
      <c r="AU266" s="2">
        <v>1978</v>
      </c>
      <c r="AV266" s="2">
        <v>3</v>
      </c>
      <c r="AW266" s="2">
        <v>3</v>
      </c>
      <c r="AX266" s="2" t="s">
        <v>74</v>
      </c>
      <c r="AY266" s="2" t="s">
        <v>74</v>
      </c>
      <c r="AZ266" s="2" t="s">
        <v>74</v>
      </c>
      <c r="BA266" s="2" t="s">
        <v>74</v>
      </c>
      <c r="BB266" s="2">
        <v>233</v>
      </c>
      <c r="BC266" s="2">
        <v>241</v>
      </c>
      <c r="BD266" s="2" t="s">
        <v>74</v>
      </c>
      <c r="BE266" s="2" t="s">
        <v>74</v>
      </c>
      <c r="BF266" s="2" t="s">
        <v>74</v>
      </c>
      <c r="BG266" s="2" t="s">
        <v>74</v>
      </c>
      <c r="BH266" s="2" t="s">
        <v>74</v>
      </c>
      <c r="BI266" s="2" t="s">
        <v>74</v>
      </c>
      <c r="BJ266" s="2" t="s">
        <v>74</v>
      </c>
      <c r="BK266" s="2" t="s">
        <v>74</v>
      </c>
      <c r="BL266" s="2" t="s">
        <v>74</v>
      </c>
      <c r="BM266" s="2" t="s">
        <v>74</v>
      </c>
      <c r="BN266" s="2" t="s">
        <v>74</v>
      </c>
      <c r="BO266" s="2" t="s">
        <v>74</v>
      </c>
      <c r="BP266" s="2" t="s">
        <v>74</v>
      </c>
      <c r="BQ266" s="2" t="s">
        <v>74</v>
      </c>
      <c r="BR266" s="2" t="s">
        <v>74</v>
      </c>
      <c r="BS266" s="2" t="s">
        <v>6293</v>
      </c>
      <c r="BT266" s="2" t="str">
        <f>HYPERLINK("https%3A%2F%2Fwww.webofscience.com%2Fwos%2Fwoscc%2Ffull-record%2FWOS:A1978FR83100004","View Full Record in Web of Science")</f>
        <v>View Full Record in Web of Science</v>
      </c>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row>
    <row r="267" spans="1:314" s="1" customFormat="1" x14ac:dyDescent="0.4">
      <c r="A267" s="2" t="s">
        <v>72</v>
      </c>
      <c r="B267" s="2" t="s">
        <v>2348</v>
      </c>
      <c r="C267" s="2" t="s">
        <v>74</v>
      </c>
      <c r="D267" s="2" t="s">
        <v>74</v>
      </c>
      <c r="E267" s="2" t="s">
        <v>74</v>
      </c>
      <c r="F267" s="2" t="s">
        <v>2349</v>
      </c>
      <c r="G267" s="2" t="s">
        <v>74</v>
      </c>
      <c r="H267" s="2" t="s">
        <v>74</v>
      </c>
      <c r="I267" s="2" t="s">
        <v>2350</v>
      </c>
      <c r="J267" s="2" t="s">
        <v>1812</v>
      </c>
      <c r="K267" s="2" t="s">
        <v>74</v>
      </c>
      <c r="L267" s="2" t="s">
        <v>74</v>
      </c>
      <c r="M267" s="2" t="s">
        <v>74</v>
      </c>
      <c r="N267" s="2" t="s">
        <v>74</v>
      </c>
      <c r="O267" s="2" t="s">
        <v>74</v>
      </c>
      <c r="P267" s="2" t="s">
        <v>74</v>
      </c>
      <c r="Q267" s="2" t="s">
        <v>74</v>
      </c>
      <c r="R267" s="2" t="s">
        <v>74</v>
      </c>
      <c r="S267" s="2" t="s">
        <v>74</v>
      </c>
      <c r="T267" s="2" t="s">
        <v>74</v>
      </c>
      <c r="U267" s="2" t="s">
        <v>74</v>
      </c>
      <c r="V267" s="5" t="s">
        <v>2351</v>
      </c>
      <c r="W267" s="2" t="s">
        <v>74</v>
      </c>
      <c r="X267" s="2" t="s">
        <v>74</v>
      </c>
      <c r="Y267" s="2" t="s">
        <v>74</v>
      </c>
      <c r="Z267" s="2" t="s">
        <v>74</v>
      </c>
      <c r="AA267" s="2" t="s">
        <v>2352</v>
      </c>
      <c r="AB267" s="2" t="s">
        <v>2353</v>
      </c>
      <c r="AC267" s="2" t="s">
        <v>74</v>
      </c>
      <c r="AD267" s="2" t="s">
        <v>74</v>
      </c>
      <c r="AE267" s="2" t="s">
        <v>74</v>
      </c>
      <c r="AF267" s="2" t="s">
        <v>74</v>
      </c>
      <c r="AG267" s="2" t="s">
        <v>74</v>
      </c>
      <c r="AH267" s="2" t="s">
        <v>74</v>
      </c>
      <c r="AI267" s="2" t="s">
        <v>74</v>
      </c>
      <c r="AJ267" s="2" t="s">
        <v>74</v>
      </c>
      <c r="AK267" s="2" t="s">
        <v>74</v>
      </c>
      <c r="AL267" s="2" t="s">
        <v>74</v>
      </c>
      <c r="AM267" s="2" t="s">
        <v>74</v>
      </c>
      <c r="AN267" s="2" t="s">
        <v>74</v>
      </c>
      <c r="AO267" s="2" t="s">
        <v>1814</v>
      </c>
      <c r="AP267" s="2" t="s">
        <v>1815</v>
      </c>
      <c r="AQ267" s="2" t="s">
        <v>74</v>
      </c>
      <c r="AR267" s="2" t="s">
        <v>74</v>
      </c>
      <c r="AS267" s="2" t="s">
        <v>74</v>
      </c>
      <c r="AT267" s="2" t="s">
        <v>352</v>
      </c>
      <c r="AU267" s="2">
        <v>2020</v>
      </c>
      <c r="AV267" s="2">
        <v>54</v>
      </c>
      <c r="AW267" s="2">
        <v>3</v>
      </c>
      <c r="AX267" s="2" t="s">
        <v>74</v>
      </c>
      <c r="AY267" s="2" t="s">
        <v>74</v>
      </c>
      <c r="AZ267" s="2" t="s">
        <v>74</v>
      </c>
      <c r="BA267" s="2" t="s">
        <v>74</v>
      </c>
      <c r="BB267" s="2">
        <v>361</v>
      </c>
      <c r="BC267" s="2">
        <v>370</v>
      </c>
      <c r="BD267" s="2" t="s">
        <v>74</v>
      </c>
      <c r="BE267" s="2" t="s">
        <v>2354</v>
      </c>
      <c r="BF267" s="2" t="str">
        <f>HYPERLINK("http://dx.doi.org/10.1670/19-110","http://dx.doi.org/10.1670/19-110")</f>
        <v>http://dx.doi.org/10.1670/19-110</v>
      </c>
      <c r="BG267" s="2" t="s">
        <v>74</v>
      </c>
      <c r="BH267" s="2" t="s">
        <v>74</v>
      </c>
      <c r="BI267" s="2" t="s">
        <v>74</v>
      </c>
      <c r="BJ267" s="2" t="s">
        <v>74</v>
      </c>
      <c r="BK267" s="2" t="s">
        <v>74</v>
      </c>
      <c r="BL267" s="2" t="s">
        <v>74</v>
      </c>
      <c r="BM267" s="2" t="s">
        <v>74</v>
      </c>
      <c r="BN267" s="2" t="s">
        <v>74</v>
      </c>
      <c r="BO267" s="2" t="s">
        <v>74</v>
      </c>
      <c r="BP267" s="2" t="s">
        <v>74</v>
      </c>
      <c r="BQ267" s="2" t="s">
        <v>74</v>
      </c>
      <c r="BR267" s="2" t="s">
        <v>74</v>
      </c>
      <c r="BS267" s="2" t="s">
        <v>2355</v>
      </c>
      <c r="BT267" s="2" t="str">
        <f>HYPERLINK("https%3A%2F%2Fwww.webofscience.com%2Fwos%2Fwoscc%2Ffull-record%2FWOS:000589893000013","View Full Record in Web of Science")</f>
        <v>View Full Record in Web of Science</v>
      </c>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row>
    <row r="268" spans="1:314" s="2" customFormat="1" x14ac:dyDescent="0.4">
      <c r="A268" s="2" t="s">
        <v>72</v>
      </c>
      <c r="B268" s="2" t="s">
        <v>1572</v>
      </c>
      <c r="C268" s="2" t="s">
        <v>74</v>
      </c>
      <c r="D268" s="2" t="s">
        <v>74</v>
      </c>
      <c r="E268" s="2" t="s">
        <v>74</v>
      </c>
      <c r="F268" s="2" t="s">
        <v>1572</v>
      </c>
      <c r="G268" s="2" t="s">
        <v>74</v>
      </c>
      <c r="H268" s="2" t="s">
        <v>74</v>
      </c>
      <c r="I268" s="2" t="s">
        <v>1573</v>
      </c>
      <c r="J268" s="2" t="s">
        <v>1574</v>
      </c>
      <c r="K268" s="2" t="s">
        <v>74</v>
      </c>
      <c r="L268" s="2" t="s">
        <v>74</v>
      </c>
      <c r="M268" s="2" t="s">
        <v>74</v>
      </c>
      <c r="N268" s="2" t="s">
        <v>74</v>
      </c>
      <c r="O268" s="2" t="s">
        <v>74</v>
      </c>
      <c r="P268" s="2" t="s">
        <v>74</v>
      </c>
      <c r="Q268" s="2" t="s">
        <v>74</v>
      </c>
      <c r="R268" s="2" t="s">
        <v>74</v>
      </c>
      <c r="S268" s="2" t="s">
        <v>74</v>
      </c>
      <c r="T268" s="2" t="s">
        <v>74</v>
      </c>
      <c r="U268" s="2" t="s">
        <v>74</v>
      </c>
      <c r="V268" s="5" t="s">
        <v>1575</v>
      </c>
      <c r="W268" s="2" t="s">
        <v>74</v>
      </c>
      <c r="X268" s="2" t="s">
        <v>74</v>
      </c>
      <c r="Y268" s="2" t="s">
        <v>74</v>
      </c>
      <c r="Z268" s="2" t="s">
        <v>74</v>
      </c>
      <c r="AA268" s="2" t="s">
        <v>74</v>
      </c>
      <c r="AB268" s="2" t="s">
        <v>74</v>
      </c>
      <c r="AC268" s="2" t="s">
        <v>74</v>
      </c>
      <c r="AD268" s="2" t="s">
        <v>74</v>
      </c>
      <c r="AE268" s="2" t="s">
        <v>74</v>
      </c>
      <c r="AF268" s="2" t="s">
        <v>74</v>
      </c>
      <c r="AG268" s="2" t="s">
        <v>74</v>
      </c>
      <c r="AH268" s="2" t="s">
        <v>74</v>
      </c>
      <c r="AI268" s="2" t="s">
        <v>74</v>
      </c>
      <c r="AJ268" s="2" t="s">
        <v>74</v>
      </c>
      <c r="AK268" s="2" t="s">
        <v>74</v>
      </c>
      <c r="AL268" s="2" t="s">
        <v>74</v>
      </c>
      <c r="AM268" s="2" t="s">
        <v>74</v>
      </c>
      <c r="AN268" s="2" t="s">
        <v>74</v>
      </c>
      <c r="AO268" s="2" t="s">
        <v>1576</v>
      </c>
      <c r="AP268" s="2" t="s">
        <v>1577</v>
      </c>
      <c r="AQ268" s="2" t="s">
        <v>74</v>
      </c>
      <c r="AR268" s="2" t="s">
        <v>74</v>
      </c>
      <c r="AS268" s="2" t="s">
        <v>74</v>
      </c>
      <c r="AT268" s="2" t="s">
        <v>74</v>
      </c>
      <c r="AU268" s="2">
        <v>2005</v>
      </c>
      <c r="AV268" s="2">
        <v>66</v>
      </c>
      <c r="AW268" s="2">
        <v>2</v>
      </c>
      <c r="AX268" s="2" t="s">
        <v>74</v>
      </c>
      <c r="AY268" s="2" t="s">
        <v>74</v>
      </c>
      <c r="AZ268" s="2" t="s">
        <v>74</v>
      </c>
      <c r="BA268" s="2" t="s">
        <v>74</v>
      </c>
      <c r="BB268" s="2">
        <v>99</v>
      </c>
      <c r="BC268" s="2">
        <v>113</v>
      </c>
      <c r="BD268" s="2" t="s">
        <v>74</v>
      </c>
      <c r="BE268" s="2" t="s">
        <v>1578</v>
      </c>
      <c r="BF268" s="2" t="str">
        <f>HYPERLINK("http://dx.doi.org/10.1159/000086229","http://dx.doi.org/10.1159/000086229")</f>
        <v>http://dx.doi.org/10.1159/000086229</v>
      </c>
      <c r="BG268" s="2" t="s">
        <v>74</v>
      </c>
      <c r="BH268" s="2" t="s">
        <v>74</v>
      </c>
      <c r="BI268" s="2" t="s">
        <v>74</v>
      </c>
      <c r="BJ268" s="2" t="s">
        <v>74</v>
      </c>
      <c r="BK268" s="2" t="s">
        <v>74</v>
      </c>
      <c r="BL268" s="2" t="s">
        <v>74</v>
      </c>
      <c r="BM268" s="2" t="s">
        <v>74</v>
      </c>
      <c r="BN268" s="2">
        <v>15942161</v>
      </c>
      <c r="BO268" s="2" t="s">
        <v>74</v>
      </c>
      <c r="BP268" s="2" t="s">
        <v>74</v>
      </c>
      <c r="BQ268" s="2" t="s">
        <v>74</v>
      </c>
      <c r="BR268" s="2" t="s">
        <v>74</v>
      </c>
      <c r="BS268" s="2" t="s">
        <v>1579</v>
      </c>
      <c r="BT268" s="2" t="str">
        <f>HYPERLINK("https%3A%2F%2Fwww.webofscience.com%2Fwos%2Fwoscc%2Ffull-record%2FWOS:000230679800003","View Full Record in Web of Science")</f>
        <v>View Full Record in Web of Science</v>
      </c>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row>
    <row r="269" spans="1:314" s="2" customFormat="1" x14ac:dyDescent="0.4">
      <c r="A269" s="2" t="s">
        <v>72</v>
      </c>
      <c r="B269" s="2" t="s">
        <v>2413</v>
      </c>
      <c r="C269" s="2" t="s">
        <v>74</v>
      </c>
      <c r="D269" s="2" t="s">
        <v>74</v>
      </c>
      <c r="E269" s="2" t="s">
        <v>74</v>
      </c>
      <c r="F269" s="2" t="s">
        <v>2414</v>
      </c>
      <c r="G269" s="2" t="s">
        <v>74</v>
      </c>
      <c r="H269" s="2" t="s">
        <v>74</v>
      </c>
      <c r="I269" s="2" t="s">
        <v>2415</v>
      </c>
      <c r="J269" s="2" t="s">
        <v>1557</v>
      </c>
      <c r="K269" s="2" t="s">
        <v>74</v>
      </c>
      <c r="L269" s="2" t="s">
        <v>74</v>
      </c>
      <c r="M269" s="2" t="s">
        <v>74</v>
      </c>
      <c r="N269" s="2" t="s">
        <v>74</v>
      </c>
      <c r="O269" s="2" t="s">
        <v>74</v>
      </c>
      <c r="P269" s="2" t="s">
        <v>74</v>
      </c>
      <c r="Q269" s="2" t="s">
        <v>74</v>
      </c>
      <c r="R269" s="2" t="s">
        <v>74</v>
      </c>
      <c r="S269" s="2" t="s">
        <v>74</v>
      </c>
      <c r="T269" s="2" t="s">
        <v>74</v>
      </c>
      <c r="U269" s="2" t="s">
        <v>74</v>
      </c>
      <c r="V269" s="5" t="s">
        <v>2416</v>
      </c>
      <c r="W269" s="2" t="s">
        <v>74</v>
      </c>
      <c r="X269" s="2" t="s">
        <v>74</v>
      </c>
      <c r="Y269" s="2" t="s">
        <v>74</v>
      </c>
      <c r="Z269" s="2" t="s">
        <v>74</v>
      </c>
      <c r="AA269" s="2" t="s">
        <v>74</v>
      </c>
      <c r="AB269" s="2" t="s">
        <v>2417</v>
      </c>
      <c r="AC269" s="2" t="s">
        <v>74</v>
      </c>
      <c r="AD269" s="2" t="s">
        <v>74</v>
      </c>
      <c r="AE269" s="2" t="s">
        <v>74</v>
      </c>
      <c r="AF269" s="2" t="s">
        <v>74</v>
      </c>
      <c r="AG269" s="2" t="s">
        <v>74</v>
      </c>
      <c r="AH269" s="2" t="s">
        <v>74</v>
      </c>
      <c r="AI269" s="2" t="s">
        <v>74</v>
      </c>
      <c r="AJ269" s="2" t="s">
        <v>74</v>
      </c>
      <c r="AK269" s="2" t="s">
        <v>74</v>
      </c>
      <c r="AL269" s="2" t="s">
        <v>74</v>
      </c>
      <c r="AM269" s="2" t="s">
        <v>74</v>
      </c>
      <c r="AN269" s="2" t="s">
        <v>74</v>
      </c>
      <c r="AO269" s="2" t="s">
        <v>1561</v>
      </c>
      <c r="AP269" s="2" t="s">
        <v>74</v>
      </c>
      <c r="AQ269" s="2" t="s">
        <v>74</v>
      </c>
      <c r="AR269" s="2" t="s">
        <v>74</v>
      </c>
      <c r="AS269" s="2" t="s">
        <v>74</v>
      </c>
      <c r="AT269" s="2" t="s">
        <v>74</v>
      </c>
      <c r="AU269" s="2">
        <v>2009</v>
      </c>
      <c r="AV269" s="2">
        <v>42</v>
      </c>
      <c r="AW269" s="2">
        <v>4</v>
      </c>
      <c r="AX269" s="2" t="s">
        <v>74</v>
      </c>
      <c r="AY269" s="2" t="s">
        <v>74</v>
      </c>
      <c r="AZ269" s="2" t="s">
        <v>74</v>
      </c>
      <c r="BA269" s="2" t="s">
        <v>74</v>
      </c>
      <c r="BB269" s="2">
        <v>219</v>
      </c>
      <c r="BC269" s="2">
        <v>232</v>
      </c>
      <c r="BD269" s="2" t="s">
        <v>74</v>
      </c>
      <c r="BE269" s="2" t="s">
        <v>2418</v>
      </c>
      <c r="BF269" s="2" t="str">
        <f>HYPERLINK("http://dx.doi.org/10.1080/10236240903169222","http://dx.doi.org/10.1080/10236240903169222")</f>
        <v>http://dx.doi.org/10.1080/10236240903169222</v>
      </c>
      <c r="BG269" s="2" t="s">
        <v>74</v>
      </c>
      <c r="BH269" s="2" t="s">
        <v>74</v>
      </c>
      <c r="BI269" s="2" t="s">
        <v>74</v>
      </c>
      <c r="BJ269" s="2" t="s">
        <v>74</v>
      </c>
      <c r="BK269" s="2" t="s">
        <v>74</v>
      </c>
      <c r="BL269" s="2" t="s">
        <v>74</v>
      </c>
      <c r="BM269" s="2" t="s">
        <v>74</v>
      </c>
      <c r="BN269" s="2" t="s">
        <v>74</v>
      </c>
      <c r="BO269" s="2" t="s">
        <v>74</v>
      </c>
      <c r="BP269" s="2" t="s">
        <v>74</v>
      </c>
      <c r="BQ269" s="2" t="s">
        <v>74</v>
      </c>
      <c r="BR269" s="2" t="s">
        <v>74</v>
      </c>
      <c r="BS269" s="2" t="s">
        <v>2419</v>
      </c>
      <c r="BT269" s="2" t="str">
        <f>HYPERLINK("https%3A%2F%2Fwww.webofscience.com%2Fwos%2Fwoscc%2Ffull-record%2FWOS:000271013700001","View Full Record in Web of Science")</f>
        <v>View Full Record in Web of Science</v>
      </c>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row>
    <row r="270" spans="1:314" s="2" customFormat="1" x14ac:dyDescent="0.4">
      <c r="A270" s="2" t="s">
        <v>72</v>
      </c>
      <c r="B270" s="2" t="s">
        <v>5730</v>
      </c>
      <c r="C270" s="2" t="s">
        <v>74</v>
      </c>
      <c r="D270" s="2" t="s">
        <v>74</v>
      </c>
      <c r="E270" s="2" t="s">
        <v>74</v>
      </c>
      <c r="F270" s="2" t="s">
        <v>5730</v>
      </c>
      <c r="G270" s="2" t="s">
        <v>74</v>
      </c>
      <c r="H270" s="2" t="s">
        <v>74</v>
      </c>
      <c r="I270" s="2" t="s">
        <v>5731</v>
      </c>
      <c r="J270" s="2" t="s">
        <v>456</v>
      </c>
      <c r="K270" s="2" t="s">
        <v>74</v>
      </c>
      <c r="L270" s="2" t="s">
        <v>74</v>
      </c>
      <c r="M270" s="2" t="s">
        <v>74</v>
      </c>
      <c r="N270" s="2" t="s">
        <v>74</v>
      </c>
      <c r="O270" s="2" t="s">
        <v>74</v>
      </c>
      <c r="P270" s="2" t="s">
        <v>74</v>
      </c>
      <c r="Q270" s="2" t="s">
        <v>74</v>
      </c>
      <c r="R270" s="2" t="s">
        <v>74</v>
      </c>
      <c r="S270" s="2" t="s">
        <v>74</v>
      </c>
      <c r="T270" s="2" t="s">
        <v>74</v>
      </c>
      <c r="U270" s="2" t="s">
        <v>74</v>
      </c>
      <c r="V270" s="5" t="s">
        <v>5732</v>
      </c>
      <c r="W270" s="2" t="s">
        <v>74</v>
      </c>
      <c r="X270" s="2" t="s">
        <v>74</v>
      </c>
      <c r="Y270" s="2" t="s">
        <v>74</v>
      </c>
      <c r="Z270" s="2" t="s">
        <v>74</v>
      </c>
      <c r="AA270" s="2" t="s">
        <v>74</v>
      </c>
      <c r="AB270" s="2" t="s">
        <v>74</v>
      </c>
      <c r="AC270" s="2" t="s">
        <v>74</v>
      </c>
      <c r="AD270" s="2" t="s">
        <v>74</v>
      </c>
      <c r="AE270" s="2" t="s">
        <v>74</v>
      </c>
      <c r="AF270" s="2" t="s">
        <v>74</v>
      </c>
      <c r="AG270" s="2" t="s">
        <v>74</v>
      </c>
      <c r="AH270" s="2" t="s">
        <v>74</v>
      </c>
      <c r="AI270" s="2" t="s">
        <v>74</v>
      </c>
      <c r="AJ270" s="2" t="s">
        <v>74</v>
      </c>
      <c r="AK270" s="2" t="s">
        <v>74</v>
      </c>
      <c r="AL270" s="2" t="s">
        <v>74</v>
      </c>
      <c r="AM270" s="2" t="s">
        <v>74</v>
      </c>
      <c r="AN270" s="2" t="s">
        <v>74</v>
      </c>
      <c r="AO270" s="2" t="s">
        <v>460</v>
      </c>
      <c r="AP270" s="2" t="s">
        <v>461</v>
      </c>
      <c r="AQ270" s="2" t="s">
        <v>74</v>
      </c>
      <c r="AR270" s="2" t="s">
        <v>74</v>
      </c>
      <c r="AS270" s="2" t="s">
        <v>74</v>
      </c>
      <c r="AT270" s="2" t="s">
        <v>175</v>
      </c>
      <c r="AU270" s="2">
        <v>1998</v>
      </c>
      <c r="AV270" s="2">
        <v>246</v>
      </c>
      <c r="AW270" s="2" t="s">
        <v>74</v>
      </c>
      <c r="AX270" s="2">
        <v>2</v>
      </c>
      <c r="AY270" s="2" t="s">
        <v>74</v>
      </c>
      <c r="AZ270" s="2" t="s">
        <v>74</v>
      </c>
      <c r="BA270" s="2" t="s">
        <v>74</v>
      </c>
      <c r="BB270" s="2">
        <v>215</v>
      </c>
      <c r="BC270" s="2">
        <v>231</v>
      </c>
      <c r="BD270" s="2" t="s">
        <v>74</v>
      </c>
      <c r="BE270" s="2" t="s">
        <v>5733</v>
      </c>
      <c r="BF270" s="2" t="str">
        <f>HYPERLINK("http://dx.doi.org/10.1111/j.1469-7998.1998.tb00150.x","http://dx.doi.org/10.1111/j.1469-7998.1998.tb00150.x")</f>
        <v>http://dx.doi.org/10.1111/j.1469-7998.1998.tb00150.x</v>
      </c>
      <c r="BG270" s="2" t="s">
        <v>74</v>
      </c>
      <c r="BH270" s="2" t="s">
        <v>74</v>
      </c>
      <c r="BI270" s="2" t="s">
        <v>74</v>
      </c>
      <c r="BJ270" s="2" t="s">
        <v>74</v>
      </c>
      <c r="BK270" s="2" t="s">
        <v>74</v>
      </c>
      <c r="BL270" s="2" t="s">
        <v>74</v>
      </c>
      <c r="BM270" s="2" t="s">
        <v>74</v>
      </c>
      <c r="BN270" s="2" t="s">
        <v>74</v>
      </c>
      <c r="BO270" s="2" t="s">
        <v>74</v>
      </c>
      <c r="BP270" s="2" t="s">
        <v>74</v>
      </c>
      <c r="BQ270" s="2" t="s">
        <v>74</v>
      </c>
      <c r="BR270" s="2" t="s">
        <v>74</v>
      </c>
      <c r="BS270" s="2" t="s">
        <v>5734</v>
      </c>
      <c r="BT270" s="2" t="str">
        <f>HYPERLINK("https%3A%2F%2Fwww.webofscience.com%2Fwos%2Fwoscc%2Ffull-record%2FWOS:000077191700010","View Full Record in Web of Science")</f>
        <v>View Full Record in Web of Science</v>
      </c>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row>
    <row r="271" spans="1:314" s="2" customFormat="1" x14ac:dyDescent="0.4">
      <c r="A271" s="2" t="s">
        <v>72</v>
      </c>
      <c r="B271" s="2" t="s">
        <v>4304</v>
      </c>
      <c r="C271" s="2" t="s">
        <v>74</v>
      </c>
      <c r="D271" s="2" t="s">
        <v>74</v>
      </c>
      <c r="E271" s="2" t="s">
        <v>74</v>
      </c>
      <c r="F271" s="2" t="s">
        <v>4305</v>
      </c>
      <c r="G271" s="2" t="s">
        <v>74</v>
      </c>
      <c r="H271" s="2" t="s">
        <v>74</v>
      </c>
      <c r="I271" s="2" t="s">
        <v>4306</v>
      </c>
      <c r="J271" s="2" t="s">
        <v>1126</v>
      </c>
      <c r="K271" s="2" t="s">
        <v>74</v>
      </c>
      <c r="L271" s="2" t="s">
        <v>74</v>
      </c>
      <c r="M271" s="2" t="s">
        <v>74</v>
      </c>
      <c r="N271" s="2" t="s">
        <v>74</v>
      </c>
      <c r="O271" s="2" t="s">
        <v>74</v>
      </c>
      <c r="P271" s="2" t="s">
        <v>74</v>
      </c>
      <c r="Q271" s="2" t="s">
        <v>74</v>
      </c>
      <c r="R271" s="2" t="s">
        <v>74</v>
      </c>
      <c r="S271" s="2" t="s">
        <v>74</v>
      </c>
      <c r="T271" s="2" t="s">
        <v>74</v>
      </c>
      <c r="U271" s="2" t="s">
        <v>74</v>
      </c>
      <c r="V271" s="5" t="s">
        <v>4307</v>
      </c>
      <c r="W271" s="2" t="s">
        <v>74</v>
      </c>
      <c r="X271" s="2" t="s">
        <v>74</v>
      </c>
      <c r="Y271" s="2" t="s">
        <v>74</v>
      </c>
      <c r="Z271" s="2" t="s">
        <v>74</v>
      </c>
      <c r="AA271" s="2" t="s">
        <v>379</v>
      </c>
      <c r="AB271" s="2" t="s">
        <v>74</v>
      </c>
      <c r="AC271" s="2" t="s">
        <v>74</v>
      </c>
      <c r="AD271" s="2" t="s">
        <v>74</v>
      </c>
      <c r="AE271" s="2" t="s">
        <v>74</v>
      </c>
      <c r="AF271" s="2" t="s">
        <v>74</v>
      </c>
      <c r="AG271" s="2" t="s">
        <v>74</v>
      </c>
      <c r="AH271" s="2" t="s">
        <v>74</v>
      </c>
      <c r="AI271" s="2" t="s">
        <v>74</v>
      </c>
      <c r="AJ271" s="2" t="s">
        <v>74</v>
      </c>
      <c r="AK271" s="2" t="s">
        <v>74</v>
      </c>
      <c r="AL271" s="2" t="s">
        <v>74</v>
      </c>
      <c r="AM271" s="2" t="s">
        <v>74</v>
      </c>
      <c r="AN271" s="2" t="s">
        <v>74</v>
      </c>
      <c r="AO271" s="2" t="s">
        <v>1128</v>
      </c>
      <c r="AP271" s="2" t="s">
        <v>1129</v>
      </c>
      <c r="AQ271" s="2" t="s">
        <v>74</v>
      </c>
      <c r="AR271" s="2" t="s">
        <v>74</v>
      </c>
      <c r="AS271" s="2" t="s">
        <v>74</v>
      </c>
      <c r="AT271" s="2" t="s">
        <v>123</v>
      </c>
      <c r="AU271" s="2">
        <v>2013</v>
      </c>
      <c r="AV271" s="2" t="s">
        <v>74</v>
      </c>
      <c r="AW271" s="2">
        <v>1</v>
      </c>
      <c r="AX271" s="2" t="s">
        <v>74</v>
      </c>
      <c r="AY271" s="2" t="s">
        <v>74</v>
      </c>
      <c r="AZ271" s="2" t="s">
        <v>74</v>
      </c>
      <c r="BA271" s="2" t="s">
        <v>74</v>
      </c>
      <c r="BB271" s="2">
        <v>154</v>
      </c>
      <c r="BC271" s="2">
        <v>159</v>
      </c>
      <c r="BD271" s="2" t="s">
        <v>74</v>
      </c>
      <c r="BE271" s="2" t="s">
        <v>4308</v>
      </c>
      <c r="BF271" s="2" t="str">
        <f>HYPERLINK("http://dx.doi.org/10.1643/CE-12-056","http://dx.doi.org/10.1643/CE-12-056")</f>
        <v>http://dx.doi.org/10.1643/CE-12-056</v>
      </c>
      <c r="BG271" s="2" t="s">
        <v>74</v>
      </c>
      <c r="BH271" s="2" t="s">
        <v>74</v>
      </c>
      <c r="BI271" s="2" t="s">
        <v>74</v>
      </c>
      <c r="BJ271" s="2" t="s">
        <v>74</v>
      </c>
      <c r="BK271" s="2" t="s">
        <v>74</v>
      </c>
      <c r="BL271" s="2" t="s">
        <v>74</v>
      </c>
      <c r="BM271" s="2" t="s">
        <v>74</v>
      </c>
      <c r="BN271" s="2" t="s">
        <v>74</v>
      </c>
      <c r="BO271" s="2" t="s">
        <v>74</v>
      </c>
      <c r="BP271" s="2" t="s">
        <v>74</v>
      </c>
      <c r="BQ271" s="2" t="s">
        <v>74</v>
      </c>
      <c r="BR271" s="2" t="s">
        <v>74</v>
      </c>
      <c r="BS271" s="2" t="s">
        <v>4309</v>
      </c>
      <c r="BT271" s="2" t="str">
        <f>HYPERLINK("https%3A%2F%2Fwww.webofscience.com%2Fwos%2Fwoscc%2Ffull-record%2FWOS:000411881100019","View Full Record in Web of Science")</f>
        <v>View Full Record in Web of Science</v>
      </c>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row>
    <row r="272" spans="1:314" s="2" customFormat="1" x14ac:dyDescent="0.4">
      <c r="A272" s="2" t="s">
        <v>72</v>
      </c>
      <c r="B272" s="2" t="s">
        <v>8472</v>
      </c>
      <c r="C272" s="2" t="s">
        <v>74</v>
      </c>
      <c r="D272" s="2" t="s">
        <v>74</v>
      </c>
      <c r="E272" s="2" t="s">
        <v>74</v>
      </c>
      <c r="F272" s="2" t="s">
        <v>8473</v>
      </c>
      <c r="G272" s="2" t="s">
        <v>74</v>
      </c>
      <c r="H272" s="2" t="s">
        <v>74</v>
      </c>
      <c r="I272" s="2" t="s">
        <v>8474</v>
      </c>
      <c r="J272" s="2" t="s">
        <v>576</v>
      </c>
      <c r="K272" s="2" t="s">
        <v>74</v>
      </c>
      <c r="L272" s="2" t="s">
        <v>74</v>
      </c>
      <c r="M272" s="2" t="s">
        <v>74</v>
      </c>
      <c r="N272" s="2" t="s">
        <v>74</v>
      </c>
      <c r="O272" s="2" t="s">
        <v>74</v>
      </c>
      <c r="P272" s="2" t="s">
        <v>74</v>
      </c>
      <c r="Q272" s="2" t="s">
        <v>74</v>
      </c>
      <c r="R272" s="2" t="s">
        <v>74</v>
      </c>
      <c r="S272" s="2" t="s">
        <v>74</v>
      </c>
      <c r="T272" s="2" t="s">
        <v>74</v>
      </c>
      <c r="U272" s="2" t="s">
        <v>74</v>
      </c>
      <c r="V272" s="5" t="s">
        <v>8475</v>
      </c>
      <c r="W272" s="2" t="s">
        <v>74</v>
      </c>
      <c r="X272" s="2" t="s">
        <v>74</v>
      </c>
      <c r="Y272" s="2" t="s">
        <v>74</v>
      </c>
      <c r="Z272" s="2" t="s">
        <v>74</v>
      </c>
      <c r="AA272" s="2" t="s">
        <v>8476</v>
      </c>
      <c r="AB272" s="2" t="s">
        <v>8477</v>
      </c>
      <c r="AC272" s="2" t="s">
        <v>74</v>
      </c>
      <c r="AD272" s="2" t="s">
        <v>74</v>
      </c>
      <c r="AE272" s="2" t="s">
        <v>74</v>
      </c>
      <c r="AF272" s="2" t="s">
        <v>74</v>
      </c>
      <c r="AG272" s="2" t="s">
        <v>74</v>
      </c>
      <c r="AH272" s="2" t="s">
        <v>74</v>
      </c>
      <c r="AI272" s="2" t="s">
        <v>74</v>
      </c>
      <c r="AJ272" s="2" t="s">
        <v>74</v>
      </c>
      <c r="AK272" s="2" t="s">
        <v>74</v>
      </c>
      <c r="AL272" s="2" t="s">
        <v>74</v>
      </c>
      <c r="AM272" s="2" t="s">
        <v>74</v>
      </c>
      <c r="AN272" s="2" t="s">
        <v>74</v>
      </c>
      <c r="AO272" s="2" t="s">
        <v>579</v>
      </c>
      <c r="AP272" s="2" t="s">
        <v>580</v>
      </c>
      <c r="AQ272" s="2" t="s">
        <v>74</v>
      </c>
      <c r="AR272" s="2" t="s">
        <v>74</v>
      </c>
      <c r="AS272" s="2" t="s">
        <v>74</v>
      </c>
      <c r="AT272" s="2" t="s">
        <v>352</v>
      </c>
      <c r="AU272" s="2">
        <v>2014</v>
      </c>
      <c r="AV272" s="2">
        <v>28</v>
      </c>
      <c r="AW272" s="2">
        <v>5</v>
      </c>
      <c r="AX272" s="2" t="s">
        <v>74</v>
      </c>
      <c r="AY272" s="2" t="s">
        <v>74</v>
      </c>
      <c r="AZ272" s="2" t="s">
        <v>74</v>
      </c>
      <c r="BA272" s="2" t="s">
        <v>74</v>
      </c>
      <c r="BB272" s="2">
        <v>941</v>
      </c>
      <c r="BC272" s="2">
        <v>956</v>
      </c>
      <c r="BD272" s="2" t="s">
        <v>74</v>
      </c>
      <c r="BE272" s="2" t="s">
        <v>8478</v>
      </c>
      <c r="BF272" s="2" t="str">
        <f>HYPERLINK("http://dx.doi.org/10.1007/s10682-014-9711-1","http://dx.doi.org/10.1007/s10682-014-9711-1")</f>
        <v>http://dx.doi.org/10.1007/s10682-014-9711-1</v>
      </c>
      <c r="BG272" s="2" t="s">
        <v>74</v>
      </c>
      <c r="BH272" s="2" t="s">
        <v>74</v>
      </c>
      <c r="BI272" s="2" t="s">
        <v>74</v>
      </c>
      <c r="BJ272" s="2" t="s">
        <v>74</v>
      </c>
      <c r="BK272" s="2" t="s">
        <v>74</v>
      </c>
      <c r="BL272" s="2" t="s">
        <v>74</v>
      </c>
      <c r="BM272" s="2" t="s">
        <v>74</v>
      </c>
      <c r="BN272" s="2" t="s">
        <v>74</v>
      </c>
      <c r="BO272" s="2" t="s">
        <v>74</v>
      </c>
      <c r="BP272" s="2" t="s">
        <v>74</v>
      </c>
      <c r="BQ272" s="2" t="s">
        <v>74</v>
      </c>
      <c r="BR272" s="2" t="s">
        <v>74</v>
      </c>
      <c r="BS272" s="2" t="s">
        <v>8479</v>
      </c>
      <c r="BT272" s="2" t="str">
        <f>HYPERLINK("https%3A%2F%2Fwww.webofscience.com%2Fwos%2Fwoscc%2Ffull-record%2FWOS:000340496000009","View Full Record in Web of Science")</f>
        <v>View Full Record in Web of Science</v>
      </c>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row>
    <row r="273" spans="1:314" s="2" customFormat="1" x14ac:dyDescent="0.4">
      <c r="A273" s="2" t="s">
        <v>72</v>
      </c>
      <c r="B273" s="2" t="s">
        <v>1195</v>
      </c>
      <c r="C273" s="2" t="s">
        <v>74</v>
      </c>
      <c r="D273" s="2" t="s">
        <v>74</v>
      </c>
      <c r="E273" s="2" t="s">
        <v>74</v>
      </c>
      <c r="F273" s="2" t="s">
        <v>1196</v>
      </c>
      <c r="G273" s="2" t="s">
        <v>74</v>
      </c>
      <c r="H273" s="2" t="s">
        <v>74</v>
      </c>
      <c r="I273" s="2" t="s">
        <v>1197</v>
      </c>
      <c r="J273" s="2" t="s">
        <v>1198</v>
      </c>
      <c r="K273" s="2" t="s">
        <v>74</v>
      </c>
      <c r="L273" s="2" t="s">
        <v>74</v>
      </c>
      <c r="M273" s="2" t="s">
        <v>74</v>
      </c>
      <c r="N273" s="2" t="s">
        <v>74</v>
      </c>
      <c r="O273" s="2" t="s">
        <v>74</v>
      </c>
      <c r="P273" s="2" t="s">
        <v>74</v>
      </c>
      <c r="Q273" s="2" t="s">
        <v>74</v>
      </c>
      <c r="R273" s="2" t="s">
        <v>74</v>
      </c>
      <c r="S273" s="2" t="s">
        <v>74</v>
      </c>
      <c r="T273" s="2" t="s">
        <v>74</v>
      </c>
      <c r="U273" s="2" t="s">
        <v>74</v>
      </c>
      <c r="V273" s="5" t="s">
        <v>1199</v>
      </c>
      <c r="W273" s="2" t="s">
        <v>74</v>
      </c>
      <c r="X273" s="2" t="s">
        <v>74</v>
      </c>
      <c r="Y273" s="2" t="s">
        <v>74</v>
      </c>
      <c r="Z273" s="2" t="s">
        <v>74</v>
      </c>
      <c r="AA273" s="2" t="s">
        <v>1200</v>
      </c>
      <c r="AB273" s="2" t="s">
        <v>1201</v>
      </c>
      <c r="AC273" s="2" t="s">
        <v>74</v>
      </c>
      <c r="AD273" s="2" t="s">
        <v>74</v>
      </c>
      <c r="AE273" s="2" t="s">
        <v>74</v>
      </c>
      <c r="AF273" s="2" t="s">
        <v>74</v>
      </c>
      <c r="AG273" s="2" t="s">
        <v>74</v>
      </c>
      <c r="AH273" s="2" t="s">
        <v>74</v>
      </c>
      <c r="AI273" s="2" t="s">
        <v>74</v>
      </c>
      <c r="AJ273" s="2" t="s">
        <v>74</v>
      </c>
      <c r="AK273" s="2" t="s">
        <v>74</v>
      </c>
      <c r="AL273" s="2" t="s">
        <v>74</v>
      </c>
      <c r="AM273" s="2" t="s">
        <v>74</v>
      </c>
      <c r="AN273" s="2" t="s">
        <v>74</v>
      </c>
      <c r="AO273" s="2" t="s">
        <v>1202</v>
      </c>
      <c r="AP273" s="2" t="s">
        <v>1203</v>
      </c>
      <c r="AQ273" s="2" t="s">
        <v>74</v>
      </c>
      <c r="AR273" s="2" t="s">
        <v>74</v>
      </c>
      <c r="AS273" s="2" t="s">
        <v>74</v>
      </c>
      <c r="AT273" s="2" t="s">
        <v>123</v>
      </c>
      <c r="AU273" s="2">
        <v>2023</v>
      </c>
      <c r="AV273" s="2">
        <v>79</v>
      </c>
      <c r="AW273" s="2">
        <v>1</v>
      </c>
      <c r="AX273" s="2" t="s">
        <v>74</v>
      </c>
      <c r="AY273" s="2" t="s">
        <v>74</v>
      </c>
      <c r="AZ273" s="2" t="s">
        <v>74</v>
      </c>
      <c r="BA273" s="2" t="s">
        <v>74</v>
      </c>
      <c r="BB273" s="2">
        <v>37</v>
      </c>
      <c r="BC273" s="2">
        <v>47</v>
      </c>
      <c r="BD273" s="2" t="s">
        <v>74</v>
      </c>
      <c r="BE273" s="2" t="s">
        <v>74</v>
      </c>
      <c r="BF273" s="2" t="s">
        <v>74</v>
      </c>
      <c r="BG273" s="2" t="s">
        <v>74</v>
      </c>
      <c r="BH273" s="2" t="s">
        <v>74</v>
      </c>
      <c r="BI273" s="2" t="s">
        <v>74</v>
      </c>
      <c r="BJ273" s="2" t="s">
        <v>74</v>
      </c>
      <c r="BK273" s="2" t="s">
        <v>74</v>
      </c>
      <c r="BL273" s="2" t="s">
        <v>74</v>
      </c>
      <c r="BM273" s="2" t="s">
        <v>74</v>
      </c>
      <c r="BN273" s="2" t="s">
        <v>74</v>
      </c>
      <c r="BO273" s="2" t="s">
        <v>74</v>
      </c>
      <c r="BP273" s="2" t="s">
        <v>74</v>
      </c>
      <c r="BQ273" s="2" t="s">
        <v>74</v>
      </c>
      <c r="BR273" s="2" t="s">
        <v>74</v>
      </c>
      <c r="BS273" s="2" t="s">
        <v>1204</v>
      </c>
      <c r="BT273" s="2" t="str">
        <f>HYPERLINK("https%3A%2F%2Fwww.webofscience.com%2Fwos%2Fwoscc%2Ffull-record%2FWOS:000948166800005","View Full Record in Web of Science")</f>
        <v>View Full Record in Web of Science</v>
      </c>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row>
    <row r="274" spans="1:314" s="2" customFormat="1" x14ac:dyDescent="0.4">
      <c r="A274" s="2" t="s">
        <v>72</v>
      </c>
      <c r="B274" s="2" t="s">
        <v>5849</v>
      </c>
      <c r="C274" s="2" t="s">
        <v>74</v>
      </c>
      <c r="D274" s="2" t="s">
        <v>74</v>
      </c>
      <c r="E274" s="2" t="s">
        <v>74</v>
      </c>
      <c r="F274" s="2" t="s">
        <v>5850</v>
      </c>
      <c r="G274" s="2" t="s">
        <v>74</v>
      </c>
      <c r="H274" s="2" t="s">
        <v>74</v>
      </c>
      <c r="I274" s="2" t="s">
        <v>5851</v>
      </c>
      <c r="J274" s="2" t="s">
        <v>140</v>
      </c>
      <c r="K274" s="2" t="s">
        <v>74</v>
      </c>
      <c r="L274" s="2" t="s">
        <v>74</v>
      </c>
      <c r="M274" s="2" t="s">
        <v>74</v>
      </c>
      <c r="N274" s="2" t="s">
        <v>74</v>
      </c>
      <c r="O274" s="2" t="s">
        <v>74</v>
      </c>
      <c r="P274" s="2" t="s">
        <v>74</v>
      </c>
      <c r="Q274" s="2" t="s">
        <v>74</v>
      </c>
      <c r="R274" s="2" t="s">
        <v>74</v>
      </c>
      <c r="S274" s="2" t="s">
        <v>74</v>
      </c>
      <c r="T274" s="2" t="s">
        <v>74</v>
      </c>
      <c r="U274" s="2" t="s">
        <v>74</v>
      </c>
      <c r="V274" s="5" t="s">
        <v>5852</v>
      </c>
      <c r="W274" s="2" t="s">
        <v>74</v>
      </c>
      <c r="X274" s="2" t="s">
        <v>74</v>
      </c>
      <c r="Y274" s="2" t="s">
        <v>74</v>
      </c>
      <c r="Z274" s="2" t="s">
        <v>74</v>
      </c>
      <c r="AA274" s="2" t="s">
        <v>5853</v>
      </c>
      <c r="AB274" s="2" t="s">
        <v>5854</v>
      </c>
      <c r="AC274" s="2" t="s">
        <v>74</v>
      </c>
      <c r="AD274" s="2" t="s">
        <v>74</v>
      </c>
      <c r="AE274" s="2" t="s">
        <v>74</v>
      </c>
      <c r="AF274" s="2" t="s">
        <v>74</v>
      </c>
      <c r="AG274" s="2" t="s">
        <v>74</v>
      </c>
      <c r="AH274" s="2" t="s">
        <v>74</v>
      </c>
      <c r="AI274" s="2" t="s">
        <v>74</v>
      </c>
      <c r="AJ274" s="2" t="s">
        <v>74</v>
      </c>
      <c r="AK274" s="2" t="s">
        <v>74</v>
      </c>
      <c r="AL274" s="2" t="s">
        <v>74</v>
      </c>
      <c r="AM274" s="2" t="s">
        <v>74</v>
      </c>
      <c r="AN274" s="2" t="s">
        <v>74</v>
      </c>
      <c r="AO274" s="2" t="s">
        <v>143</v>
      </c>
      <c r="AP274" s="2" t="s">
        <v>144</v>
      </c>
      <c r="AQ274" s="2" t="s">
        <v>74</v>
      </c>
      <c r="AR274" s="2" t="s">
        <v>74</v>
      </c>
      <c r="AS274" s="2" t="s">
        <v>74</v>
      </c>
      <c r="AT274" s="2" t="s">
        <v>213</v>
      </c>
      <c r="AU274" s="2">
        <v>2015</v>
      </c>
      <c r="AV274" s="2">
        <v>109</v>
      </c>
      <c r="AW274" s="2" t="s">
        <v>74</v>
      </c>
      <c r="AX274" s="2" t="s">
        <v>74</v>
      </c>
      <c r="AY274" s="2" t="s">
        <v>74</v>
      </c>
      <c r="AZ274" s="2" t="s">
        <v>74</v>
      </c>
      <c r="BA274" s="2" t="s">
        <v>74</v>
      </c>
      <c r="BB274" s="2">
        <v>33</v>
      </c>
      <c r="BC274" s="2">
        <v>44</v>
      </c>
      <c r="BD274" s="2" t="s">
        <v>74</v>
      </c>
      <c r="BE274" s="2" t="s">
        <v>5855</v>
      </c>
      <c r="BF274" s="2" t="str">
        <f>HYPERLINK("http://dx.doi.org/10.1016/j.anbehav.2015.08.002","http://dx.doi.org/10.1016/j.anbehav.2015.08.002")</f>
        <v>http://dx.doi.org/10.1016/j.anbehav.2015.08.002</v>
      </c>
      <c r="BG274" s="2" t="s">
        <v>74</v>
      </c>
      <c r="BH274" s="2" t="s">
        <v>74</v>
      </c>
      <c r="BI274" s="2" t="s">
        <v>74</v>
      </c>
      <c r="BJ274" s="2" t="s">
        <v>74</v>
      </c>
      <c r="BK274" s="2" t="s">
        <v>74</v>
      </c>
      <c r="BL274" s="2" t="s">
        <v>74</v>
      </c>
      <c r="BM274" s="2" t="s">
        <v>74</v>
      </c>
      <c r="BN274" s="2" t="s">
        <v>74</v>
      </c>
      <c r="BO274" s="2" t="s">
        <v>74</v>
      </c>
      <c r="BP274" s="2" t="s">
        <v>74</v>
      </c>
      <c r="BQ274" s="2" t="s">
        <v>74</v>
      </c>
      <c r="BR274" s="2" t="s">
        <v>74</v>
      </c>
      <c r="BS274" s="2" t="s">
        <v>5856</v>
      </c>
      <c r="BT274" s="2" t="str">
        <f>HYPERLINK("https%3A%2F%2Fwww.webofscience.com%2Fwos%2Fwoscc%2Ffull-record%2FWOS:000363268300007","View Full Record in Web of Science")</f>
        <v>View Full Record in Web of Science</v>
      </c>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row>
    <row r="275" spans="1:314" s="2" customFormat="1" x14ac:dyDescent="0.4">
      <c r="A275" s="2" t="s">
        <v>72</v>
      </c>
      <c r="B275" s="2" t="s">
        <v>6750</v>
      </c>
      <c r="C275" s="2" t="s">
        <v>74</v>
      </c>
      <c r="D275" s="2" t="s">
        <v>74</v>
      </c>
      <c r="E275" s="2" t="s">
        <v>74</v>
      </c>
      <c r="F275" s="2" t="s">
        <v>6751</v>
      </c>
      <c r="G275" s="2" t="s">
        <v>74</v>
      </c>
      <c r="H275" s="2" t="s">
        <v>74</v>
      </c>
      <c r="I275" s="2" t="s">
        <v>6752</v>
      </c>
      <c r="J275" s="2" t="s">
        <v>610</v>
      </c>
      <c r="K275" s="2" t="s">
        <v>74</v>
      </c>
      <c r="L275" s="2" t="s">
        <v>74</v>
      </c>
      <c r="M275" s="2" t="s">
        <v>74</v>
      </c>
      <c r="N275" s="2" t="s">
        <v>74</v>
      </c>
      <c r="O275" s="2" t="s">
        <v>74</v>
      </c>
      <c r="P275" s="2" t="s">
        <v>74</v>
      </c>
      <c r="Q275" s="2" t="s">
        <v>74</v>
      </c>
      <c r="R275" s="2" t="s">
        <v>74</v>
      </c>
      <c r="S275" s="2" t="s">
        <v>74</v>
      </c>
      <c r="T275" s="2" t="s">
        <v>74</v>
      </c>
      <c r="U275" s="2" t="s">
        <v>74</v>
      </c>
      <c r="V275" s="5" t="s">
        <v>6753</v>
      </c>
      <c r="W275" s="2" t="s">
        <v>74</v>
      </c>
      <c r="X275" s="2" t="s">
        <v>74</v>
      </c>
      <c r="Y275" s="2" t="s">
        <v>74</v>
      </c>
      <c r="Z275" s="2" t="s">
        <v>74</v>
      </c>
      <c r="AA275" s="2" t="s">
        <v>6754</v>
      </c>
      <c r="AB275" s="2" t="s">
        <v>6755</v>
      </c>
      <c r="AC275" s="2" t="s">
        <v>74</v>
      </c>
      <c r="AD275" s="2" t="s">
        <v>74</v>
      </c>
      <c r="AE275" s="2" t="s">
        <v>74</v>
      </c>
      <c r="AF275" s="2" t="s">
        <v>74</v>
      </c>
      <c r="AG275" s="2" t="s">
        <v>74</v>
      </c>
      <c r="AH275" s="2" t="s">
        <v>74</v>
      </c>
      <c r="AI275" s="2" t="s">
        <v>74</v>
      </c>
      <c r="AJ275" s="2" t="s">
        <v>74</v>
      </c>
      <c r="AK275" s="2" t="s">
        <v>74</v>
      </c>
      <c r="AL275" s="2" t="s">
        <v>74</v>
      </c>
      <c r="AM275" s="2" t="s">
        <v>74</v>
      </c>
      <c r="AN275" s="2" t="s">
        <v>74</v>
      </c>
      <c r="AO275" s="2" t="s">
        <v>614</v>
      </c>
      <c r="AP275" s="2" t="s">
        <v>615</v>
      </c>
      <c r="AQ275" s="2" t="s">
        <v>74</v>
      </c>
      <c r="AR275" s="2" t="s">
        <v>74</v>
      </c>
      <c r="AS275" s="2" t="s">
        <v>74</v>
      </c>
      <c r="AT275" s="2" t="s">
        <v>964</v>
      </c>
      <c r="AU275" s="2">
        <v>2020</v>
      </c>
      <c r="AV275" s="2">
        <v>126</v>
      </c>
      <c r="AW275" s="2">
        <v>2</v>
      </c>
      <c r="AX275" s="2" t="s">
        <v>74</v>
      </c>
      <c r="AY275" s="2" t="s">
        <v>74</v>
      </c>
      <c r="AZ275" s="2" t="s">
        <v>848</v>
      </c>
      <c r="BA275" s="2" t="s">
        <v>74</v>
      </c>
      <c r="BB275" s="2">
        <v>140</v>
      </c>
      <c r="BC275" s="2">
        <v>152</v>
      </c>
      <c r="BD275" s="2" t="s">
        <v>74</v>
      </c>
      <c r="BE275" s="2" t="s">
        <v>6756</v>
      </c>
      <c r="BF275" s="2" t="str">
        <f>HYPERLINK("http://dx.doi.org/10.1111/eth.12954","http://dx.doi.org/10.1111/eth.12954")</f>
        <v>http://dx.doi.org/10.1111/eth.12954</v>
      </c>
      <c r="BG275" s="2" t="s">
        <v>74</v>
      </c>
      <c r="BH275" s="2" t="s">
        <v>6757</v>
      </c>
      <c r="BI275" s="2" t="s">
        <v>74</v>
      </c>
      <c r="BJ275" s="2" t="s">
        <v>74</v>
      </c>
      <c r="BK275" s="2" t="s">
        <v>74</v>
      </c>
      <c r="BL275" s="2" t="s">
        <v>74</v>
      </c>
      <c r="BM275" s="2" t="s">
        <v>74</v>
      </c>
      <c r="BN275" s="2" t="s">
        <v>74</v>
      </c>
      <c r="BO275" s="2" t="s">
        <v>74</v>
      </c>
      <c r="BP275" s="2" t="s">
        <v>74</v>
      </c>
      <c r="BQ275" s="2" t="s">
        <v>74</v>
      </c>
      <c r="BR275" s="2" t="s">
        <v>74</v>
      </c>
      <c r="BS275" s="2" t="s">
        <v>6758</v>
      </c>
      <c r="BT275" s="2" t="str">
        <f>HYPERLINK("https%3A%2F%2Fwww.webofscience.com%2Fwos%2Fwoscc%2Ffull-record%2FWOS:000488374300001","View Full Record in Web of Science")</f>
        <v>View Full Record in Web of Science</v>
      </c>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row>
    <row r="276" spans="1:314" s="2" customFormat="1" x14ac:dyDescent="0.4">
      <c r="A276" s="2" t="s">
        <v>72</v>
      </c>
      <c r="B276" s="2" t="s">
        <v>5771</v>
      </c>
      <c r="C276" s="2" t="s">
        <v>74</v>
      </c>
      <c r="D276" s="2" t="s">
        <v>74</v>
      </c>
      <c r="E276" s="2" t="s">
        <v>74</v>
      </c>
      <c r="F276" s="2" t="s">
        <v>5772</v>
      </c>
      <c r="G276" s="2" t="s">
        <v>74</v>
      </c>
      <c r="H276" s="2" t="s">
        <v>74</v>
      </c>
      <c r="I276" s="2" t="s">
        <v>5773</v>
      </c>
      <c r="J276" s="2" t="s">
        <v>5774</v>
      </c>
      <c r="K276" s="2" t="s">
        <v>74</v>
      </c>
      <c r="L276" s="2" t="s">
        <v>74</v>
      </c>
      <c r="M276" s="2" t="s">
        <v>74</v>
      </c>
      <c r="N276" s="2" t="s">
        <v>74</v>
      </c>
      <c r="O276" s="2" t="s">
        <v>74</v>
      </c>
      <c r="P276" s="2" t="s">
        <v>74</v>
      </c>
      <c r="Q276" s="2" t="s">
        <v>74</v>
      </c>
      <c r="R276" s="2" t="s">
        <v>74</v>
      </c>
      <c r="S276" s="2" t="s">
        <v>74</v>
      </c>
      <c r="T276" s="2" t="s">
        <v>74</v>
      </c>
      <c r="U276" s="2" t="s">
        <v>74</v>
      </c>
      <c r="V276" s="5" t="s">
        <v>5775</v>
      </c>
      <c r="W276" s="2" t="s">
        <v>74</v>
      </c>
      <c r="X276" s="2" t="s">
        <v>74</v>
      </c>
      <c r="Y276" s="2" t="s">
        <v>74</v>
      </c>
      <c r="Z276" s="2" t="s">
        <v>74</v>
      </c>
      <c r="AA276" s="2" t="s">
        <v>4828</v>
      </c>
      <c r="AB276" s="2" t="s">
        <v>4829</v>
      </c>
      <c r="AC276" s="2" t="s">
        <v>74</v>
      </c>
      <c r="AD276" s="2" t="s">
        <v>74</v>
      </c>
      <c r="AE276" s="2" t="s">
        <v>74</v>
      </c>
      <c r="AF276" s="2" t="s">
        <v>74</v>
      </c>
      <c r="AG276" s="2" t="s">
        <v>74</v>
      </c>
      <c r="AH276" s="2" t="s">
        <v>74</v>
      </c>
      <c r="AI276" s="2" t="s">
        <v>74</v>
      </c>
      <c r="AJ276" s="2" t="s">
        <v>74</v>
      </c>
      <c r="AK276" s="2" t="s">
        <v>74</v>
      </c>
      <c r="AL276" s="2" t="s">
        <v>74</v>
      </c>
      <c r="AM276" s="2" t="s">
        <v>74</v>
      </c>
      <c r="AN276" s="2" t="s">
        <v>74</v>
      </c>
      <c r="AO276" s="2" t="s">
        <v>5776</v>
      </c>
      <c r="AP276" s="2" t="s">
        <v>74</v>
      </c>
      <c r="AQ276" s="2" t="s">
        <v>74</v>
      </c>
      <c r="AR276" s="2" t="s">
        <v>74</v>
      </c>
      <c r="AS276" s="2" t="s">
        <v>74</v>
      </c>
      <c r="AT276" s="2" t="s">
        <v>102</v>
      </c>
      <c r="AU276" s="2">
        <v>2009</v>
      </c>
      <c r="AV276" s="2">
        <v>20</v>
      </c>
      <c r="AW276" s="2">
        <v>2</v>
      </c>
      <c r="AX276" s="2" t="s">
        <v>74</v>
      </c>
      <c r="AY276" s="2" t="s">
        <v>74</v>
      </c>
      <c r="AZ276" s="2" t="s">
        <v>74</v>
      </c>
      <c r="BA276" s="2" t="s">
        <v>74</v>
      </c>
      <c r="BB276" s="2">
        <v>163</v>
      </c>
      <c r="BC276" s="2">
        <v>178</v>
      </c>
      <c r="BD276" s="2" t="s">
        <v>74</v>
      </c>
      <c r="BE276" s="2" t="s">
        <v>74</v>
      </c>
      <c r="BF276" s="2" t="s">
        <v>74</v>
      </c>
      <c r="BG276" s="2" t="s">
        <v>74</v>
      </c>
      <c r="BH276" s="2" t="s">
        <v>74</v>
      </c>
      <c r="BI276" s="2" t="s">
        <v>74</v>
      </c>
      <c r="BJ276" s="2" t="s">
        <v>74</v>
      </c>
      <c r="BK276" s="2" t="s">
        <v>74</v>
      </c>
      <c r="BL276" s="2" t="s">
        <v>74</v>
      </c>
      <c r="BM276" s="2" t="s">
        <v>74</v>
      </c>
      <c r="BN276" s="2" t="s">
        <v>74</v>
      </c>
      <c r="BO276" s="2" t="s">
        <v>74</v>
      </c>
      <c r="BP276" s="2" t="s">
        <v>74</v>
      </c>
      <c r="BQ276" s="2" t="s">
        <v>74</v>
      </c>
      <c r="BR276" s="2" t="s">
        <v>74</v>
      </c>
      <c r="BS276" s="2" t="s">
        <v>5777</v>
      </c>
      <c r="BT276" s="2" t="str">
        <f>HYPERLINK("https%3A%2F%2Fwww.webofscience.com%2Fwos%2Fwoscc%2Ffull-record%2FWOS:000269324600006","View Full Record in Web of Science")</f>
        <v>View Full Record in Web of Science</v>
      </c>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row>
    <row r="277" spans="1:314" s="2" customFormat="1" x14ac:dyDescent="0.4">
      <c r="A277" s="2" t="s">
        <v>72</v>
      </c>
      <c r="B277" s="2" t="s">
        <v>6416</v>
      </c>
      <c r="C277" s="2" t="s">
        <v>74</v>
      </c>
      <c r="D277" s="2" t="s">
        <v>74</v>
      </c>
      <c r="E277" s="2" t="s">
        <v>74</v>
      </c>
      <c r="F277" s="2" t="s">
        <v>6417</v>
      </c>
      <c r="G277" s="2" t="s">
        <v>74</v>
      </c>
      <c r="H277" s="2" t="s">
        <v>74</v>
      </c>
      <c r="I277" s="2" t="s">
        <v>6418</v>
      </c>
      <c r="J277" s="2" t="s">
        <v>1812</v>
      </c>
      <c r="K277" s="2" t="s">
        <v>74</v>
      </c>
      <c r="L277" s="2" t="s">
        <v>74</v>
      </c>
      <c r="M277" s="2" t="s">
        <v>74</v>
      </c>
      <c r="N277" s="2" t="s">
        <v>74</v>
      </c>
      <c r="O277" s="2" t="s">
        <v>74</v>
      </c>
      <c r="P277" s="2" t="s">
        <v>74</v>
      </c>
      <c r="Q277" s="2" t="s">
        <v>74</v>
      </c>
      <c r="R277" s="2" t="s">
        <v>74</v>
      </c>
      <c r="S277" s="2" t="s">
        <v>74</v>
      </c>
      <c r="T277" s="2" t="s">
        <v>74</v>
      </c>
      <c r="U277" s="2" t="s">
        <v>74</v>
      </c>
      <c r="V277" s="5" t="s">
        <v>6419</v>
      </c>
      <c r="W277" s="2" t="s">
        <v>74</v>
      </c>
      <c r="X277" s="2" t="s">
        <v>74</v>
      </c>
      <c r="Y277" s="2" t="s">
        <v>74</v>
      </c>
      <c r="Z277" s="2" t="s">
        <v>74</v>
      </c>
      <c r="AA277" s="2" t="s">
        <v>6420</v>
      </c>
      <c r="AB277" s="2" t="s">
        <v>6421</v>
      </c>
      <c r="AC277" s="2" t="s">
        <v>74</v>
      </c>
      <c r="AD277" s="2" t="s">
        <v>74</v>
      </c>
      <c r="AE277" s="2" t="s">
        <v>74</v>
      </c>
      <c r="AF277" s="2" t="s">
        <v>74</v>
      </c>
      <c r="AG277" s="2" t="s">
        <v>74</v>
      </c>
      <c r="AH277" s="2" t="s">
        <v>74</v>
      </c>
      <c r="AI277" s="2" t="s">
        <v>74</v>
      </c>
      <c r="AJ277" s="2" t="s">
        <v>74</v>
      </c>
      <c r="AK277" s="2" t="s">
        <v>74</v>
      </c>
      <c r="AL277" s="2" t="s">
        <v>74</v>
      </c>
      <c r="AM277" s="2" t="s">
        <v>74</v>
      </c>
      <c r="AN277" s="2" t="s">
        <v>74</v>
      </c>
      <c r="AO277" s="2" t="s">
        <v>1814</v>
      </c>
      <c r="AP277" s="2" t="s">
        <v>1815</v>
      </c>
      <c r="AQ277" s="2" t="s">
        <v>74</v>
      </c>
      <c r="AR277" s="2" t="s">
        <v>74</v>
      </c>
      <c r="AS277" s="2" t="s">
        <v>74</v>
      </c>
      <c r="AT277" s="2" t="s">
        <v>123</v>
      </c>
      <c r="AU277" s="2">
        <v>2016</v>
      </c>
      <c r="AV277" s="2">
        <v>50</v>
      </c>
      <c r="AW277" s="2">
        <v>1</v>
      </c>
      <c r="AX277" s="2" t="s">
        <v>74</v>
      </c>
      <c r="AY277" s="2" t="s">
        <v>74</v>
      </c>
      <c r="AZ277" s="2" t="s">
        <v>74</v>
      </c>
      <c r="BA277" s="2" t="s">
        <v>74</v>
      </c>
      <c r="BB277" s="2">
        <v>169</v>
      </c>
      <c r="BC277" s="2">
        <v>178</v>
      </c>
      <c r="BD277" s="2" t="s">
        <v>74</v>
      </c>
      <c r="BE277" s="2" t="s">
        <v>6422</v>
      </c>
      <c r="BF277" s="2" t="str">
        <f>HYPERLINK("http://dx.doi.org/10.1670/14-119","http://dx.doi.org/10.1670/14-119")</f>
        <v>http://dx.doi.org/10.1670/14-119</v>
      </c>
      <c r="BG277" s="2" t="s">
        <v>74</v>
      </c>
      <c r="BH277" s="2" t="s">
        <v>74</v>
      </c>
      <c r="BI277" s="2" t="s">
        <v>74</v>
      </c>
      <c r="BJ277" s="2" t="s">
        <v>74</v>
      </c>
      <c r="BK277" s="2" t="s">
        <v>74</v>
      </c>
      <c r="BL277" s="2" t="s">
        <v>74</v>
      </c>
      <c r="BM277" s="2" t="s">
        <v>74</v>
      </c>
      <c r="BN277" s="2" t="s">
        <v>74</v>
      </c>
      <c r="BO277" s="2" t="s">
        <v>74</v>
      </c>
      <c r="BP277" s="2" t="s">
        <v>74</v>
      </c>
      <c r="BQ277" s="2" t="s">
        <v>74</v>
      </c>
      <c r="BR277" s="2" t="s">
        <v>74</v>
      </c>
      <c r="BS277" s="2" t="s">
        <v>6423</v>
      </c>
      <c r="BT277" s="2" t="str">
        <f>HYPERLINK("https%3A%2F%2Fwww.webofscience.com%2Fwos%2Fwoscc%2Ffull-record%2FWOS:000371617900026","View Full Record in Web of Science")</f>
        <v>View Full Record in Web of Science</v>
      </c>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row>
    <row r="278" spans="1:314" s="2" customFormat="1" x14ac:dyDescent="0.4">
      <c r="A278" s="2" t="s">
        <v>72</v>
      </c>
      <c r="B278" s="2" t="s">
        <v>5308</v>
      </c>
      <c r="C278" s="2" t="s">
        <v>74</v>
      </c>
      <c r="D278" s="2" t="s">
        <v>74</v>
      </c>
      <c r="E278" s="2" t="s">
        <v>74</v>
      </c>
      <c r="F278" s="2" t="s">
        <v>5309</v>
      </c>
      <c r="G278" s="2" t="s">
        <v>74</v>
      </c>
      <c r="H278" s="2" t="s">
        <v>74</v>
      </c>
      <c r="I278" s="2" t="s">
        <v>5310</v>
      </c>
      <c r="J278" s="2" t="s">
        <v>119</v>
      </c>
      <c r="K278" s="2" t="s">
        <v>74</v>
      </c>
      <c r="L278" s="2" t="s">
        <v>74</v>
      </c>
      <c r="M278" s="2" t="s">
        <v>74</v>
      </c>
      <c r="N278" s="2" t="s">
        <v>74</v>
      </c>
      <c r="O278" s="2" t="s">
        <v>74</v>
      </c>
      <c r="P278" s="2" t="s">
        <v>74</v>
      </c>
      <c r="Q278" s="2" t="s">
        <v>74</v>
      </c>
      <c r="R278" s="2" t="s">
        <v>74</v>
      </c>
      <c r="S278" s="2" t="s">
        <v>74</v>
      </c>
      <c r="T278" s="2" t="s">
        <v>74</v>
      </c>
      <c r="U278" s="2" t="s">
        <v>74</v>
      </c>
      <c r="V278" s="5" t="s">
        <v>5311</v>
      </c>
      <c r="W278" s="2" t="s">
        <v>74</v>
      </c>
      <c r="X278" s="2" t="s">
        <v>74</v>
      </c>
      <c r="Y278" s="2" t="s">
        <v>74</v>
      </c>
      <c r="Z278" s="2" t="s">
        <v>74</v>
      </c>
      <c r="AA278" s="2" t="s">
        <v>74</v>
      </c>
      <c r="AB278" s="2" t="s">
        <v>74</v>
      </c>
      <c r="AC278" s="2" t="s">
        <v>74</v>
      </c>
      <c r="AD278" s="2" t="s">
        <v>74</v>
      </c>
      <c r="AE278" s="2" t="s">
        <v>74</v>
      </c>
      <c r="AF278" s="2" t="s">
        <v>74</v>
      </c>
      <c r="AG278" s="2" t="s">
        <v>74</v>
      </c>
      <c r="AH278" s="2" t="s">
        <v>74</v>
      </c>
      <c r="AI278" s="2" t="s">
        <v>74</v>
      </c>
      <c r="AJ278" s="2" t="s">
        <v>74</v>
      </c>
      <c r="AK278" s="2" t="s">
        <v>74</v>
      </c>
      <c r="AL278" s="2" t="s">
        <v>74</v>
      </c>
      <c r="AM278" s="2" t="s">
        <v>74</v>
      </c>
      <c r="AN278" s="2" t="s">
        <v>74</v>
      </c>
      <c r="AO278" s="2" t="s">
        <v>121</v>
      </c>
      <c r="AP278" s="2" t="s">
        <v>122</v>
      </c>
      <c r="AQ278" s="2" t="s">
        <v>74</v>
      </c>
      <c r="AR278" s="2" t="s">
        <v>74</v>
      </c>
      <c r="AS278" s="2" t="s">
        <v>74</v>
      </c>
      <c r="AT278" s="2" t="s">
        <v>255</v>
      </c>
      <c r="AU278" s="2">
        <v>2009</v>
      </c>
      <c r="AV278" s="2">
        <v>80</v>
      </c>
      <c r="AW278" s="2">
        <v>1</v>
      </c>
      <c r="AX278" s="2" t="s">
        <v>74</v>
      </c>
      <c r="AY278" s="2" t="s">
        <v>74</v>
      </c>
      <c r="AZ278" s="2" t="s">
        <v>74</v>
      </c>
      <c r="BA278" s="2" t="s">
        <v>74</v>
      </c>
      <c r="BB278" s="2">
        <v>46</v>
      </c>
      <c r="BC278" s="2">
        <v>50</v>
      </c>
      <c r="BD278" s="2" t="s">
        <v>74</v>
      </c>
      <c r="BE278" s="2" t="s">
        <v>5312</v>
      </c>
      <c r="BF278" s="2" t="str">
        <f>HYPERLINK("http://dx.doi.org/10.1016/j.beproc.2008.09.007","http://dx.doi.org/10.1016/j.beproc.2008.09.007")</f>
        <v>http://dx.doi.org/10.1016/j.beproc.2008.09.007</v>
      </c>
      <c r="BG278" s="2" t="s">
        <v>74</v>
      </c>
      <c r="BH278" s="2" t="s">
        <v>74</v>
      </c>
      <c r="BI278" s="2" t="s">
        <v>74</v>
      </c>
      <c r="BJ278" s="2" t="s">
        <v>74</v>
      </c>
      <c r="BK278" s="2" t="s">
        <v>74</v>
      </c>
      <c r="BL278" s="2" t="s">
        <v>74</v>
      </c>
      <c r="BM278" s="2" t="s">
        <v>74</v>
      </c>
      <c r="BN278" s="2">
        <v>18929629</v>
      </c>
      <c r="BO278" s="2" t="s">
        <v>74</v>
      </c>
      <c r="BP278" s="2" t="s">
        <v>74</v>
      </c>
      <c r="BQ278" s="2" t="s">
        <v>74</v>
      </c>
      <c r="BR278" s="2" t="s">
        <v>74</v>
      </c>
      <c r="BS278" s="2" t="s">
        <v>5313</v>
      </c>
      <c r="BT278" s="2" t="str">
        <f>HYPERLINK("https%3A%2F%2Fwww.webofscience.com%2Fwos%2Fwoscc%2Ffull-record%2FWOS:000262546900008","View Full Record in Web of Science")</f>
        <v>View Full Record in Web of Science</v>
      </c>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row>
    <row r="279" spans="1:314" s="2" customFormat="1" x14ac:dyDescent="0.4">
      <c r="A279" s="2" t="s">
        <v>72</v>
      </c>
      <c r="B279" s="2" t="s">
        <v>6625</v>
      </c>
      <c r="C279" s="2" t="s">
        <v>74</v>
      </c>
      <c r="D279" s="2" t="s">
        <v>74</v>
      </c>
      <c r="E279" s="2" t="s">
        <v>74</v>
      </c>
      <c r="F279" s="2" t="s">
        <v>6625</v>
      </c>
      <c r="G279" s="2" t="s">
        <v>74</v>
      </c>
      <c r="H279" s="2" t="s">
        <v>74</v>
      </c>
      <c r="I279" s="2" t="s">
        <v>6626</v>
      </c>
      <c r="J279" s="2" t="s">
        <v>814</v>
      </c>
      <c r="K279" s="2" t="s">
        <v>74</v>
      </c>
      <c r="L279" s="2" t="s">
        <v>74</v>
      </c>
      <c r="M279" s="2" t="s">
        <v>74</v>
      </c>
      <c r="N279" s="2" t="s">
        <v>74</v>
      </c>
      <c r="O279" s="2" t="s">
        <v>74</v>
      </c>
      <c r="P279" s="2" t="s">
        <v>74</v>
      </c>
      <c r="Q279" s="2" t="s">
        <v>74</v>
      </c>
      <c r="R279" s="2" t="s">
        <v>74</v>
      </c>
      <c r="S279" s="2" t="s">
        <v>74</v>
      </c>
      <c r="T279" s="2" t="s">
        <v>74</v>
      </c>
      <c r="U279" s="2" t="s">
        <v>74</v>
      </c>
      <c r="V279" s="5" t="s">
        <v>6627</v>
      </c>
      <c r="W279" s="2" t="s">
        <v>74</v>
      </c>
      <c r="X279" s="2" t="s">
        <v>74</v>
      </c>
      <c r="Y279" s="2" t="s">
        <v>74</v>
      </c>
      <c r="Z279" s="2" t="s">
        <v>74</v>
      </c>
      <c r="AA279" s="2" t="s">
        <v>74</v>
      </c>
      <c r="AB279" s="2" t="s">
        <v>74</v>
      </c>
      <c r="AC279" s="2" t="s">
        <v>74</v>
      </c>
      <c r="AD279" s="2" t="s">
        <v>74</v>
      </c>
      <c r="AE279" s="2" t="s">
        <v>74</v>
      </c>
      <c r="AF279" s="2" t="s">
        <v>74</v>
      </c>
      <c r="AG279" s="2" t="s">
        <v>74</v>
      </c>
      <c r="AH279" s="2" t="s">
        <v>74</v>
      </c>
      <c r="AI279" s="2" t="s">
        <v>74</v>
      </c>
      <c r="AJ279" s="2" t="s">
        <v>74</v>
      </c>
      <c r="AK279" s="2" t="s">
        <v>74</v>
      </c>
      <c r="AL279" s="2" t="s">
        <v>74</v>
      </c>
      <c r="AM279" s="2" t="s">
        <v>74</v>
      </c>
      <c r="AN279" s="2" t="s">
        <v>74</v>
      </c>
      <c r="AO279" s="2" t="s">
        <v>818</v>
      </c>
      <c r="AP279" s="2" t="s">
        <v>74</v>
      </c>
      <c r="AQ279" s="2" t="s">
        <v>74</v>
      </c>
      <c r="AR279" s="2" t="s">
        <v>74</v>
      </c>
      <c r="AS279" s="2" t="s">
        <v>74</v>
      </c>
      <c r="AT279" s="2" t="s">
        <v>74</v>
      </c>
      <c r="AU279" s="2">
        <v>2005</v>
      </c>
      <c r="AV279" s="2">
        <v>108</v>
      </c>
      <c r="AW279" s="2">
        <v>1</v>
      </c>
      <c r="AX279" s="2" t="s">
        <v>74</v>
      </c>
      <c r="AY279" s="2" t="s">
        <v>74</v>
      </c>
      <c r="AZ279" s="2" t="s">
        <v>74</v>
      </c>
      <c r="BA279" s="2" t="s">
        <v>74</v>
      </c>
      <c r="BB279" s="2">
        <v>27</v>
      </c>
      <c r="BC279" s="2">
        <v>39</v>
      </c>
      <c r="BD279" s="2" t="s">
        <v>74</v>
      </c>
      <c r="BE279" s="2" t="s">
        <v>6628</v>
      </c>
      <c r="BF279" s="2" t="str">
        <f>HYPERLINK("http://dx.doi.org/10.1016/j.zool.2004.07.007","http://dx.doi.org/10.1016/j.zool.2004.07.007")</f>
        <v>http://dx.doi.org/10.1016/j.zool.2004.07.007</v>
      </c>
      <c r="BG279" s="2" t="s">
        <v>74</v>
      </c>
      <c r="BH279" s="2" t="s">
        <v>74</v>
      </c>
      <c r="BI279" s="2" t="s">
        <v>74</v>
      </c>
      <c r="BJ279" s="2" t="s">
        <v>74</v>
      </c>
      <c r="BK279" s="2" t="s">
        <v>74</v>
      </c>
      <c r="BL279" s="2" t="s">
        <v>74</v>
      </c>
      <c r="BM279" s="2" t="s">
        <v>74</v>
      </c>
      <c r="BN279" s="2">
        <v>16351952</v>
      </c>
      <c r="BO279" s="2" t="s">
        <v>74</v>
      </c>
      <c r="BP279" s="2" t="s">
        <v>74</v>
      </c>
      <c r="BQ279" s="2" t="s">
        <v>74</v>
      </c>
      <c r="BR279" s="2" t="s">
        <v>74</v>
      </c>
      <c r="BS279" s="2" t="s">
        <v>6629</v>
      </c>
      <c r="BT279" s="2" t="str">
        <f>HYPERLINK("https%3A%2F%2Fwww.webofscience.com%2Fwos%2Fwoscc%2Ffull-record%2FWOS:000228395300003","View Full Record in Web of Science")</f>
        <v>View Full Record in Web of Science</v>
      </c>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row>
    <row r="280" spans="1:314" s="7" customFormat="1" x14ac:dyDescent="0.4">
      <c r="A280" s="2" t="s">
        <v>72</v>
      </c>
      <c r="B280" s="2" t="s">
        <v>96</v>
      </c>
      <c r="C280" s="2" t="s">
        <v>74</v>
      </c>
      <c r="D280" s="2" t="s">
        <v>74</v>
      </c>
      <c r="E280" s="2" t="s">
        <v>74</v>
      </c>
      <c r="F280" s="2" t="s">
        <v>97</v>
      </c>
      <c r="G280" s="2" t="s">
        <v>74</v>
      </c>
      <c r="H280" s="2" t="s">
        <v>74</v>
      </c>
      <c r="I280" s="2" t="s">
        <v>98</v>
      </c>
      <c r="J280" s="2" t="s">
        <v>99</v>
      </c>
      <c r="K280" s="2" t="s">
        <v>74</v>
      </c>
      <c r="L280" s="2" t="s">
        <v>74</v>
      </c>
      <c r="M280" s="2" t="s">
        <v>74</v>
      </c>
      <c r="N280" s="2" t="s">
        <v>74</v>
      </c>
      <c r="O280" s="2" t="s">
        <v>74</v>
      </c>
      <c r="P280" s="2" t="s">
        <v>74</v>
      </c>
      <c r="Q280" s="2" t="s">
        <v>74</v>
      </c>
      <c r="R280" s="2" t="s">
        <v>74</v>
      </c>
      <c r="S280" s="2" t="s">
        <v>74</v>
      </c>
      <c r="T280" s="2" t="s">
        <v>74</v>
      </c>
      <c r="U280" s="2" t="s">
        <v>74</v>
      </c>
      <c r="V280" s="5" t="s">
        <v>100</v>
      </c>
      <c r="W280" s="2" t="s">
        <v>74</v>
      </c>
      <c r="X280" s="2" t="s">
        <v>74</v>
      </c>
      <c r="Y280" s="2" t="s">
        <v>74</v>
      </c>
      <c r="Z280" s="2" t="s">
        <v>74</v>
      </c>
      <c r="AA280" s="2" t="s">
        <v>74</v>
      </c>
      <c r="AB280" s="2" t="s">
        <v>74</v>
      </c>
      <c r="AC280" s="2" t="s">
        <v>74</v>
      </c>
      <c r="AD280" s="2" t="s">
        <v>74</v>
      </c>
      <c r="AE280" s="2" t="s">
        <v>74</v>
      </c>
      <c r="AF280" s="2" t="s">
        <v>74</v>
      </c>
      <c r="AG280" s="2" t="s">
        <v>74</v>
      </c>
      <c r="AH280" s="2" t="s">
        <v>74</v>
      </c>
      <c r="AI280" s="2" t="s">
        <v>74</v>
      </c>
      <c r="AJ280" s="2" t="s">
        <v>74</v>
      </c>
      <c r="AK280" s="2" t="s">
        <v>74</v>
      </c>
      <c r="AL280" s="2" t="s">
        <v>74</v>
      </c>
      <c r="AM280" s="2" t="s">
        <v>74</v>
      </c>
      <c r="AN280" s="2" t="s">
        <v>74</v>
      </c>
      <c r="AO280" s="2" t="s">
        <v>101</v>
      </c>
      <c r="AP280" s="2" t="s">
        <v>74</v>
      </c>
      <c r="AQ280" s="2" t="s">
        <v>74</v>
      </c>
      <c r="AR280" s="2" t="s">
        <v>74</v>
      </c>
      <c r="AS280" s="2" t="s">
        <v>74</v>
      </c>
      <c r="AT280" s="2" t="s">
        <v>102</v>
      </c>
      <c r="AU280" s="2">
        <v>2013</v>
      </c>
      <c r="AV280" s="2">
        <v>125</v>
      </c>
      <c r="AW280" s="2">
        <v>2</v>
      </c>
      <c r="AX280" s="2" t="s">
        <v>74</v>
      </c>
      <c r="AY280" s="2" t="s">
        <v>74</v>
      </c>
      <c r="AZ280" s="2" t="s">
        <v>74</v>
      </c>
      <c r="BA280" s="2" t="s">
        <v>74</v>
      </c>
      <c r="BB280" s="2">
        <v>348</v>
      </c>
      <c r="BC280" s="2">
        <v>357</v>
      </c>
      <c r="BD280" s="2" t="s">
        <v>74</v>
      </c>
      <c r="BE280" s="2" t="s">
        <v>103</v>
      </c>
      <c r="BF280" s="2" t="str">
        <f>HYPERLINK("http://dx.doi.org/10.1676/12-155.1","http://dx.doi.org/10.1676/12-155.1")</f>
        <v>http://dx.doi.org/10.1676/12-155.1</v>
      </c>
      <c r="BG280" s="2" t="s">
        <v>74</v>
      </c>
      <c r="BH280" s="2" t="s">
        <v>74</v>
      </c>
      <c r="BI280" s="2" t="s">
        <v>74</v>
      </c>
      <c r="BJ280" s="2" t="s">
        <v>74</v>
      </c>
      <c r="BK280" s="2" t="s">
        <v>74</v>
      </c>
      <c r="BL280" s="2" t="s">
        <v>74</v>
      </c>
      <c r="BM280" s="2" t="s">
        <v>74</v>
      </c>
      <c r="BN280" s="2" t="s">
        <v>74</v>
      </c>
      <c r="BO280" s="2" t="s">
        <v>74</v>
      </c>
      <c r="BP280" s="2" t="s">
        <v>74</v>
      </c>
      <c r="BQ280" s="2" t="s">
        <v>74</v>
      </c>
      <c r="BR280" s="2" t="s">
        <v>74</v>
      </c>
      <c r="BS280" s="2" t="s">
        <v>104</v>
      </c>
      <c r="BT280" s="2" t="str">
        <f>HYPERLINK("https%3A%2F%2Fwww.webofscience.com%2Fwos%2Fwoscc%2Ffull-record%2FWOS:000320893300015","View Full Record in Web of Science")</f>
        <v>View Full Record in Web of Science</v>
      </c>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row>
    <row r="281" spans="1:314" s="2" customFormat="1" x14ac:dyDescent="0.4">
      <c r="A281" s="2" t="s">
        <v>72</v>
      </c>
      <c r="B281" s="2" t="s">
        <v>3530</v>
      </c>
      <c r="C281" s="2" t="s">
        <v>74</v>
      </c>
      <c r="D281" s="2" t="s">
        <v>74</v>
      </c>
      <c r="E281" s="2" t="s">
        <v>74</v>
      </c>
      <c r="F281" s="2" t="s">
        <v>3531</v>
      </c>
      <c r="G281" s="2" t="s">
        <v>74</v>
      </c>
      <c r="H281" s="2" t="s">
        <v>74</v>
      </c>
      <c r="I281" s="2" t="s">
        <v>3532</v>
      </c>
      <c r="J281" s="2" t="s">
        <v>1112</v>
      </c>
      <c r="K281" s="2" t="s">
        <v>74</v>
      </c>
      <c r="L281" s="2" t="s">
        <v>74</v>
      </c>
      <c r="M281" s="2" t="s">
        <v>74</v>
      </c>
      <c r="N281" s="2" t="s">
        <v>74</v>
      </c>
      <c r="O281" s="2" t="s">
        <v>74</v>
      </c>
      <c r="P281" s="2" t="s">
        <v>74</v>
      </c>
      <c r="Q281" s="2" t="s">
        <v>74</v>
      </c>
      <c r="R281" s="2" t="s">
        <v>74</v>
      </c>
      <c r="S281" s="2" t="s">
        <v>74</v>
      </c>
      <c r="T281" s="2" t="s">
        <v>74</v>
      </c>
      <c r="U281" s="2" t="s">
        <v>74</v>
      </c>
      <c r="V281" s="5" t="s">
        <v>3533</v>
      </c>
      <c r="W281" s="2" t="s">
        <v>74</v>
      </c>
      <c r="X281" s="2" t="s">
        <v>74</v>
      </c>
      <c r="Y281" s="2" t="s">
        <v>74</v>
      </c>
      <c r="Z281" s="2" t="s">
        <v>74</v>
      </c>
      <c r="AA281" s="2" t="s">
        <v>3534</v>
      </c>
      <c r="AB281" s="2" t="s">
        <v>3535</v>
      </c>
      <c r="AC281" s="2" t="s">
        <v>74</v>
      </c>
      <c r="AD281" s="2" t="s">
        <v>74</v>
      </c>
      <c r="AE281" s="2" t="s">
        <v>74</v>
      </c>
      <c r="AF281" s="2" t="s">
        <v>74</v>
      </c>
      <c r="AG281" s="2" t="s">
        <v>74</v>
      </c>
      <c r="AH281" s="2" t="s">
        <v>74</v>
      </c>
      <c r="AI281" s="2" t="s">
        <v>74</v>
      </c>
      <c r="AJ281" s="2" t="s">
        <v>74</v>
      </c>
      <c r="AK281" s="2" t="s">
        <v>74</v>
      </c>
      <c r="AL281" s="2" t="s">
        <v>74</v>
      </c>
      <c r="AM281" s="2" t="s">
        <v>74</v>
      </c>
      <c r="AN281" s="2" t="s">
        <v>74</v>
      </c>
      <c r="AO281" s="2" t="s">
        <v>1114</v>
      </c>
      <c r="AP281" s="2" t="s">
        <v>1115</v>
      </c>
      <c r="AQ281" s="2" t="s">
        <v>74</v>
      </c>
      <c r="AR281" s="2" t="s">
        <v>74</v>
      </c>
      <c r="AS281" s="2" t="s">
        <v>74</v>
      </c>
      <c r="AT281" s="2" t="s">
        <v>123</v>
      </c>
      <c r="AU281" s="2">
        <v>2020</v>
      </c>
      <c r="AV281" s="2">
        <v>224</v>
      </c>
      <c r="AW281" s="2" t="s">
        <v>74</v>
      </c>
      <c r="AX281" s="2" t="s">
        <v>74</v>
      </c>
      <c r="AY281" s="2" t="s">
        <v>74</v>
      </c>
      <c r="AZ281" s="2" t="s">
        <v>74</v>
      </c>
      <c r="BA281" s="2" t="s">
        <v>74</v>
      </c>
      <c r="BB281" s="2" t="s">
        <v>74</v>
      </c>
      <c r="BC281" s="2" t="s">
        <v>74</v>
      </c>
      <c r="BD281" s="2">
        <v>104947</v>
      </c>
      <c r="BE281" s="2" t="s">
        <v>3536</v>
      </c>
      <c r="BF281" s="2" t="str">
        <f>HYPERLINK("http://dx.doi.org/10.1016/j.applanim.2020.104947","http://dx.doi.org/10.1016/j.applanim.2020.104947")</f>
        <v>http://dx.doi.org/10.1016/j.applanim.2020.104947</v>
      </c>
      <c r="BG281" s="2" t="s">
        <v>74</v>
      </c>
      <c r="BH281" s="2" t="s">
        <v>74</v>
      </c>
      <c r="BI281" s="2" t="s">
        <v>74</v>
      </c>
      <c r="BJ281" s="2" t="s">
        <v>74</v>
      </c>
      <c r="BK281" s="2" t="s">
        <v>74</v>
      </c>
      <c r="BL281" s="2" t="s">
        <v>74</v>
      </c>
      <c r="BM281" s="2" t="s">
        <v>74</v>
      </c>
      <c r="BN281" s="2" t="s">
        <v>74</v>
      </c>
      <c r="BO281" s="2" t="s">
        <v>74</v>
      </c>
      <c r="BP281" s="2" t="s">
        <v>74</v>
      </c>
      <c r="BQ281" s="2" t="s">
        <v>74</v>
      </c>
      <c r="BR281" s="2" t="s">
        <v>74</v>
      </c>
      <c r="BS281" s="2" t="s">
        <v>3537</v>
      </c>
      <c r="BT281" s="2" t="str">
        <f>HYPERLINK("https%3A%2F%2Fwww.webofscience.com%2Fwos%2Fwoscc%2Ffull-record%2FWOS:000524493000016","View Full Record in Web of Science")</f>
        <v>View Full Record in Web of Science</v>
      </c>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row>
    <row r="282" spans="1:314" s="7" customFormat="1" x14ac:dyDescent="0.4">
      <c r="A282" s="2" t="s">
        <v>72</v>
      </c>
      <c r="B282" s="2" t="s">
        <v>2728</v>
      </c>
      <c r="C282" s="2" t="s">
        <v>74</v>
      </c>
      <c r="D282" s="2" t="s">
        <v>74</v>
      </c>
      <c r="E282" s="2" t="s">
        <v>74</v>
      </c>
      <c r="F282" s="2" t="s">
        <v>2728</v>
      </c>
      <c r="G282" s="2" t="s">
        <v>74</v>
      </c>
      <c r="H282" s="2" t="s">
        <v>74</v>
      </c>
      <c r="I282" s="2" t="s">
        <v>2729</v>
      </c>
      <c r="J282" s="2" t="s">
        <v>431</v>
      </c>
      <c r="K282" s="2" t="s">
        <v>74</v>
      </c>
      <c r="L282" s="2" t="s">
        <v>74</v>
      </c>
      <c r="M282" s="2" t="s">
        <v>74</v>
      </c>
      <c r="N282" s="2" t="s">
        <v>74</v>
      </c>
      <c r="O282" s="2" t="s">
        <v>74</v>
      </c>
      <c r="P282" s="2" t="s">
        <v>74</v>
      </c>
      <c r="Q282" s="2" t="s">
        <v>74</v>
      </c>
      <c r="R282" s="2" t="s">
        <v>74</v>
      </c>
      <c r="S282" s="2" t="s">
        <v>74</v>
      </c>
      <c r="T282" s="2" t="s">
        <v>74</v>
      </c>
      <c r="U282" s="2" t="s">
        <v>74</v>
      </c>
      <c r="V282" s="5" t="s">
        <v>2730</v>
      </c>
      <c r="W282" s="2" t="s">
        <v>74</v>
      </c>
      <c r="X282" s="2" t="s">
        <v>74</v>
      </c>
      <c r="Y282" s="2" t="s">
        <v>74</v>
      </c>
      <c r="Z282" s="2" t="s">
        <v>74</v>
      </c>
      <c r="AA282" s="2" t="s">
        <v>74</v>
      </c>
      <c r="AB282" s="2" t="s">
        <v>74</v>
      </c>
      <c r="AC282" s="2" t="s">
        <v>74</v>
      </c>
      <c r="AD282" s="2" t="s">
        <v>74</v>
      </c>
      <c r="AE282" s="2" t="s">
        <v>74</v>
      </c>
      <c r="AF282" s="2" t="s">
        <v>74</v>
      </c>
      <c r="AG282" s="2" t="s">
        <v>74</v>
      </c>
      <c r="AH282" s="2" t="s">
        <v>74</v>
      </c>
      <c r="AI282" s="2" t="s">
        <v>74</v>
      </c>
      <c r="AJ282" s="2" t="s">
        <v>74</v>
      </c>
      <c r="AK282" s="2" t="s">
        <v>74</v>
      </c>
      <c r="AL282" s="2" t="s">
        <v>74</v>
      </c>
      <c r="AM282" s="2" t="s">
        <v>74</v>
      </c>
      <c r="AN282" s="2" t="s">
        <v>74</v>
      </c>
      <c r="AO282" s="2" t="s">
        <v>1458</v>
      </c>
      <c r="AP282" s="2" t="s">
        <v>435</v>
      </c>
      <c r="AQ282" s="2" t="s">
        <v>74</v>
      </c>
      <c r="AR282" s="2" t="s">
        <v>74</v>
      </c>
      <c r="AS282" s="2" t="s">
        <v>74</v>
      </c>
      <c r="AT282" s="2" t="s">
        <v>175</v>
      </c>
      <c r="AU282" s="2">
        <v>1993</v>
      </c>
      <c r="AV282" s="2">
        <v>110</v>
      </c>
      <c r="AW282" s="2">
        <v>4</v>
      </c>
      <c r="AX282" s="2" t="s">
        <v>74</v>
      </c>
      <c r="AY282" s="2" t="s">
        <v>74</v>
      </c>
      <c r="AZ282" s="2" t="s">
        <v>74</v>
      </c>
      <c r="BA282" s="2" t="s">
        <v>74</v>
      </c>
      <c r="BB282" s="2">
        <v>683</v>
      </c>
      <c r="BC282" s="2">
        <v>692</v>
      </c>
      <c r="BD282" s="2" t="s">
        <v>74</v>
      </c>
      <c r="BE282" s="2" t="s">
        <v>2731</v>
      </c>
      <c r="BF282" s="2" t="str">
        <f>HYPERLINK("http://dx.doi.org/10.2307/4088624","http://dx.doi.org/10.2307/4088624")</f>
        <v>http://dx.doi.org/10.2307/4088624</v>
      </c>
      <c r="BG282" s="2" t="s">
        <v>74</v>
      </c>
      <c r="BH282" s="2" t="s">
        <v>74</v>
      </c>
      <c r="BI282" s="2" t="s">
        <v>74</v>
      </c>
      <c r="BJ282" s="2" t="s">
        <v>74</v>
      </c>
      <c r="BK282" s="2" t="s">
        <v>74</v>
      </c>
      <c r="BL282" s="2" t="s">
        <v>74</v>
      </c>
      <c r="BM282" s="2" t="s">
        <v>74</v>
      </c>
      <c r="BN282" s="2" t="s">
        <v>74</v>
      </c>
      <c r="BO282" s="2" t="s">
        <v>74</v>
      </c>
      <c r="BP282" s="2" t="s">
        <v>74</v>
      </c>
      <c r="BQ282" s="2" t="s">
        <v>74</v>
      </c>
      <c r="BR282" s="2" t="s">
        <v>74</v>
      </c>
      <c r="BS282" s="2" t="s">
        <v>2732</v>
      </c>
      <c r="BT282" s="2" t="str">
        <f>HYPERLINK("https%3A%2F%2Fwww.webofscience.com%2Fwos%2Fwoscc%2Ffull-record%2FWOS:A1993NL01100001","View Full Record in Web of Science")</f>
        <v>View Full Record in Web of Science</v>
      </c>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row>
    <row r="283" spans="1:314" s="2" customFormat="1" x14ac:dyDescent="0.4">
      <c r="A283" s="2" t="s">
        <v>72</v>
      </c>
      <c r="B283" s="2" t="s">
        <v>7272</v>
      </c>
      <c r="C283" s="2" t="s">
        <v>74</v>
      </c>
      <c r="D283" s="2" t="s">
        <v>74</v>
      </c>
      <c r="E283" s="2" t="s">
        <v>74</v>
      </c>
      <c r="F283" s="2" t="s">
        <v>7272</v>
      </c>
      <c r="G283" s="2" t="s">
        <v>74</v>
      </c>
      <c r="H283" s="2" t="s">
        <v>74</v>
      </c>
      <c r="I283" s="2" t="s">
        <v>7273</v>
      </c>
      <c r="J283" s="2" t="s">
        <v>431</v>
      </c>
      <c r="K283" s="2" t="s">
        <v>74</v>
      </c>
      <c r="L283" s="2" t="s">
        <v>74</v>
      </c>
      <c r="M283" s="2" t="s">
        <v>74</v>
      </c>
      <c r="N283" s="2" t="s">
        <v>74</v>
      </c>
      <c r="O283" s="2" t="s">
        <v>74</v>
      </c>
      <c r="P283" s="2" t="s">
        <v>74</v>
      </c>
      <c r="Q283" s="2" t="s">
        <v>74</v>
      </c>
      <c r="R283" s="2" t="s">
        <v>74</v>
      </c>
      <c r="S283" s="2" t="s">
        <v>74</v>
      </c>
      <c r="T283" s="2" t="s">
        <v>74</v>
      </c>
      <c r="U283" s="2" t="s">
        <v>74</v>
      </c>
      <c r="V283" s="5" t="s">
        <v>7274</v>
      </c>
      <c r="W283" s="2" t="s">
        <v>74</v>
      </c>
      <c r="X283" s="2" t="s">
        <v>74</v>
      </c>
      <c r="Y283" s="2" t="s">
        <v>74</v>
      </c>
      <c r="Z283" s="2" t="s">
        <v>74</v>
      </c>
      <c r="AA283" s="2" t="s">
        <v>74</v>
      </c>
      <c r="AB283" s="2" t="s">
        <v>74</v>
      </c>
      <c r="AC283" s="2" t="s">
        <v>74</v>
      </c>
      <c r="AD283" s="2" t="s">
        <v>74</v>
      </c>
      <c r="AE283" s="2" t="s">
        <v>74</v>
      </c>
      <c r="AF283" s="2" t="s">
        <v>74</v>
      </c>
      <c r="AG283" s="2" t="s">
        <v>74</v>
      </c>
      <c r="AH283" s="2" t="s">
        <v>74</v>
      </c>
      <c r="AI283" s="2" t="s">
        <v>74</v>
      </c>
      <c r="AJ283" s="2" t="s">
        <v>74</v>
      </c>
      <c r="AK283" s="2" t="s">
        <v>74</v>
      </c>
      <c r="AL283" s="2" t="s">
        <v>74</v>
      </c>
      <c r="AM283" s="2" t="s">
        <v>74</v>
      </c>
      <c r="AN283" s="2" t="s">
        <v>74</v>
      </c>
      <c r="AO283" s="2" t="s">
        <v>74</v>
      </c>
      <c r="AP283" s="2" t="s">
        <v>435</v>
      </c>
      <c r="AQ283" s="2" t="s">
        <v>74</v>
      </c>
      <c r="AR283" s="2" t="s">
        <v>74</v>
      </c>
      <c r="AS283" s="2" t="s">
        <v>74</v>
      </c>
      <c r="AT283" s="2" t="s">
        <v>74</v>
      </c>
      <c r="AU283" s="2">
        <v>1980</v>
      </c>
      <c r="AV283" s="2">
        <v>97</v>
      </c>
      <c r="AW283" s="2">
        <v>2</v>
      </c>
      <c r="AX283" s="2" t="s">
        <v>74</v>
      </c>
      <c r="AY283" s="2" t="s">
        <v>74</v>
      </c>
      <c r="AZ283" s="2" t="s">
        <v>74</v>
      </c>
      <c r="BA283" s="2" t="s">
        <v>74</v>
      </c>
      <c r="BB283" s="2">
        <v>213</v>
      </c>
      <c r="BC283" s="2">
        <v>226</v>
      </c>
      <c r="BD283" s="2" t="s">
        <v>74</v>
      </c>
      <c r="BE283" s="2" t="s">
        <v>74</v>
      </c>
      <c r="BF283" s="2" t="s">
        <v>74</v>
      </c>
      <c r="BG283" s="2" t="s">
        <v>74</v>
      </c>
      <c r="BH283" s="2" t="s">
        <v>74</v>
      </c>
      <c r="BI283" s="2" t="s">
        <v>74</v>
      </c>
      <c r="BJ283" s="2" t="s">
        <v>74</v>
      </c>
      <c r="BK283" s="2" t="s">
        <v>74</v>
      </c>
      <c r="BL283" s="2" t="s">
        <v>74</v>
      </c>
      <c r="BM283" s="2" t="s">
        <v>74</v>
      </c>
      <c r="BN283" s="2" t="s">
        <v>74</v>
      </c>
      <c r="BO283" s="2" t="s">
        <v>74</v>
      </c>
      <c r="BP283" s="2" t="s">
        <v>74</v>
      </c>
      <c r="BQ283" s="2" t="s">
        <v>74</v>
      </c>
      <c r="BR283" s="2" t="s">
        <v>74</v>
      </c>
      <c r="BS283" s="2" t="s">
        <v>7275</v>
      </c>
      <c r="BT283" s="2" t="str">
        <f>HYPERLINK("https%3A%2F%2Fwww.webofscience.com%2Fwos%2Fwoscc%2Ffull-record%2FWOS:A1980JR68800001","View Full Record in Web of Science")</f>
        <v>View Full Record in Web of Science</v>
      </c>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row>
    <row r="284" spans="1:314" s="2" customFormat="1" x14ac:dyDescent="0.4">
      <c r="A284" s="2" t="s">
        <v>72</v>
      </c>
      <c r="B284" s="2" t="s">
        <v>2844</v>
      </c>
      <c r="C284" s="2" t="s">
        <v>74</v>
      </c>
      <c r="D284" s="2" t="s">
        <v>74</v>
      </c>
      <c r="E284" s="2" t="s">
        <v>74</v>
      </c>
      <c r="F284" s="2" t="s">
        <v>2845</v>
      </c>
      <c r="G284" s="2" t="s">
        <v>74</v>
      </c>
      <c r="H284" s="2" t="s">
        <v>74</v>
      </c>
      <c r="I284" s="2" t="s">
        <v>2846</v>
      </c>
      <c r="J284" s="2" t="s">
        <v>2847</v>
      </c>
      <c r="K284" s="2" t="s">
        <v>74</v>
      </c>
      <c r="L284" s="2" t="s">
        <v>74</v>
      </c>
      <c r="M284" s="2" t="s">
        <v>74</v>
      </c>
      <c r="N284" s="2" t="s">
        <v>74</v>
      </c>
      <c r="O284" s="2" t="s">
        <v>74</v>
      </c>
      <c r="P284" s="2" t="s">
        <v>74</v>
      </c>
      <c r="Q284" s="2" t="s">
        <v>74</v>
      </c>
      <c r="R284" s="2" t="s">
        <v>74</v>
      </c>
      <c r="S284" s="2" t="s">
        <v>74</v>
      </c>
      <c r="T284" s="2" t="s">
        <v>74</v>
      </c>
      <c r="U284" s="2" t="s">
        <v>74</v>
      </c>
      <c r="V284" s="5" t="s">
        <v>2848</v>
      </c>
      <c r="W284" s="2" t="s">
        <v>74</v>
      </c>
      <c r="X284" s="2" t="s">
        <v>74</v>
      </c>
      <c r="Y284" s="2" t="s">
        <v>74</v>
      </c>
      <c r="Z284" s="2" t="s">
        <v>74</v>
      </c>
      <c r="AA284" s="2" t="s">
        <v>74</v>
      </c>
      <c r="AB284" s="2" t="s">
        <v>74</v>
      </c>
      <c r="AC284" s="2" t="s">
        <v>74</v>
      </c>
      <c r="AD284" s="2" t="s">
        <v>74</v>
      </c>
      <c r="AE284" s="2" t="s">
        <v>74</v>
      </c>
      <c r="AF284" s="2" t="s">
        <v>74</v>
      </c>
      <c r="AG284" s="2" t="s">
        <v>74</v>
      </c>
      <c r="AH284" s="2" t="s">
        <v>74</v>
      </c>
      <c r="AI284" s="2" t="s">
        <v>74</v>
      </c>
      <c r="AJ284" s="2" t="s">
        <v>74</v>
      </c>
      <c r="AK284" s="2" t="s">
        <v>74</v>
      </c>
      <c r="AL284" s="2" t="s">
        <v>74</v>
      </c>
      <c r="AM284" s="2" t="s">
        <v>74</v>
      </c>
      <c r="AN284" s="2" t="s">
        <v>74</v>
      </c>
      <c r="AO284" s="2" t="s">
        <v>2849</v>
      </c>
      <c r="AP284" s="2" t="s">
        <v>2850</v>
      </c>
      <c r="AQ284" s="2" t="s">
        <v>74</v>
      </c>
      <c r="AR284" s="2" t="s">
        <v>74</v>
      </c>
      <c r="AS284" s="2" t="s">
        <v>74</v>
      </c>
      <c r="AT284" s="2" t="s">
        <v>213</v>
      </c>
      <c r="AU284" s="2">
        <v>2017</v>
      </c>
      <c r="AV284" s="2">
        <v>496</v>
      </c>
      <c r="AW284" s="2" t="s">
        <v>74</v>
      </c>
      <c r="AX284" s="2" t="s">
        <v>74</v>
      </c>
      <c r="AY284" s="2" t="s">
        <v>74</v>
      </c>
      <c r="AZ284" s="2" t="s">
        <v>74</v>
      </c>
      <c r="BA284" s="2" t="s">
        <v>74</v>
      </c>
      <c r="BB284" s="2">
        <v>29</v>
      </c>
      <c r="BC284" s="2">
        <v>36</v>
      </c>
      <c r="BD284" s="2" t="s">
        <v>74</v>
      </c>
      <c r="BE284" s="2" t="s">
        <v>2851</v>
      </c>
      <c r="BF284" s="2" t="str">
        <f>HYPERLINK("http://dx.doi.org/10.1016/j.jembe.2017.07.011","http://dx.doi.org/10.1016/j.jembe.2017.07.011")</f>
        <v>http://dx.doi.org/10.1016/j.jembe.2017.07.011</v>
      </c>
      <c r="BG284" s="2" t="s">
        <v>74</v>
      </c>
      <c r="BH284" s="2" t="s">
        <v>74</v>
      </c>
      <c r="BI284" s="2" t="s">
        <v>74</v>
      </c>
      <c r="BJ284" s="2" t="s">
        <v>74</v>
      </c>
      <c r="BK284" s="2" t="s">
        <v>74</v>
      </c>
      <c r="BL284" s="2" t="s">
        <v>74</v>
      </c>
      <c r="BM284" s="2" t="s">
        <v>74</v>
      </c>
      <c r="BN284" s="2" t="s">
        <v>74</v>
      </c>
      <c r="BO284" s="2" t="s">
        <v>74</v>
      </c>
      <c r="BP284" s="2" t="s">
        <v>74</v>
      </c>
      <c r="BQ284" s="2" t="s">
        <v>74</v>
      </c>
      <c r="BR284" s="2" t="s">
        <v>74</v>
      </c>
      <c r="BS284" s="2" t="s">
        <v>2852</v>
      </c>
      <c r="BT284" s="2" t="str">
        <f>HYPERLINK("https%3A%2F%2Fwww.webofscience.com%2Fwos%2Fwoscc%2Ffull-record%2FWOS:000412252700005","View Full Record in Web of Science")</f>
        <v>View Full Record in Web of Science</v>
      </c>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row>
    <row r="285" spans="1:314" s="2" customFormat="1" x14ac:dyDescent="0.4">
      <c r="A285" s="2" t="s">
        <v>72</v>
      </c>
      <c r="B285" s="2" t="s">
        <v>6945</v>
      </c>
      <c r="C285" s="2" t="s">
        <v>74</v>
      </c>
      <c r="D285" s="2" t="s">
        <v>74</v>
      </c>
      <c r="E285" s="2" t="s">
        <v>74</v>
      </c>
      <c r="F285" s="2" t="s">
        <v>6946</v>
      </c>
      <c r="G285" s="2" t="s">
        <v>74</v>
      </c>
      <c r="H285" s="2" t="s">
        <v>74</v>
      </c>
      <c r="I285" s="2" t="s">
        <v>6947</v>
      </c>
      <c r="J285" s="2" t="s">
        <v>1480</v>
      </c>
      <c r="K285" s="2" t="s">
        <v>74</v>
      </c>
      <c r="L285" s="2" t="s">
        <v>74</v>
      </c>
      <c r="M285" s="2" t="s">
        <v>74</v>
      </c>
      <c r="N285" s="2" t="s">
        <v>74</v>
      </c>
      <c r="O285" s="2" t="s">
        <v>74</v>
      </c>
      <c r="P285" s="2" t="s">
        <v>74</v>
      </c>
      <c r="Q285" s="2" t="s">
        <v>74</v>
      </c>
      <c r="R285" s="2" t="s">
        <v>74</v>
      </c>
      <c r="S285" s="2" t="s">
        <v>74</v>
      </c>
      <c r="T285" s="2" t="s">
        <v>74</v>
      </c>
      <c r="U285" s="2" t="s">
        <v>74</v>
      </c>
      <c r="V285" s="5" t="s">
        <v>6948</v>
      </c>
      <c r="W285" s="2" t="s">
        <v>74</v>
      </c>
      <c r="X285" s="2" t="s">
        <v>74</v>
      </c>
      <c r="Y285" s="2" t="s">
        <v>74</v>
      </c>
      <c r="Z285" s="2" t="s">
        <v>74</v>
      </c>
      <c r="AA285" s="2" t="s">
        <v>74</v>
      </c>
      <c r="AB285" s="2" t="s">
        <v>74</v>
      </c>
      <c r="AC285" s="2" t="s">
        <v>74</v>
      </c>
      <c r="AD285" s="2" t="s">
        <v>74</v>
      </c>
      <c r="AE285" s="2" t="s">
        <v>74</v>
      </c>
      <c r="AF285" s="2" t="s">
        <v>74</v>
      </c>
      <c r="AG285" s="2" t="s">
        <v>74</v>
      </c>
      <c r="AH285" s="2" t="s">
        <v>74</v>
      </c>
      <c r="AI285" s="2" t="s">
        <v>74</v>
      </c>
      <c r="AJ285" s="2" t="s">
        <v>74</v>
      </c>
      <c r="AK285" s="2" t="s">
        <v>74</v>
      </c>
      <c r="AL285" s="2" t="s">
        <v>74</v>
      </c>
      <c r="AM285" s="2" t="s">
        <v>74</v>
      </c>
      <c r="AN285" s="2" t="s">
        <v>74</v>
      </c>
      <c r="AO285" s="2" t="s">
        <v>1482</v>
      </c>
      <c r="AP285" s="2" t="s">
        <v>6949</v>
      </c>
      <c r="AQ285" s="2" t="s">
        <v>74</v>
      </c>
      <c r="AR285" s="2" t="s">
        <v>74</v>
      </c>
      <c r="AS285" s="2" t="s">
        <v>74</v>
      </c>
      <c r="AT285" s="2" t="s">
        <v>352</v>
      </c>
      <c r="AU285" s="2">
        <v>2014</v>
      </c>
      <c r="AV285" s="2">
        <v>93</v>
      </c>
      <c r="AW285" s="2">
        <v>9</v>
      </c>
      <c r="AX285" s="2" t="s">
        <v>74</v>
      </c>
      <c r="AY285" s="2" t="s">
        <v>74</v>
      </c>
      <c r="AZ285" s="2" t="s">
        <v>74</v>
      </c>
      <c r="BA285" s="2" t="s">
        <v>74</v>
      </c>
      <c r="BB285" s="2">
        <v>2143</v>
      </c>
      <c r="BC285" s="2">
        <v>2150</v>
      </c>
      <c r="BD285" s="2" t="s">
        <v>74</v>
      </c>
      <c r="BE285" s="2" t="s">
        <v>6950</v>
      </c>
      <c r="BF285" s="2" t="str">
        <f>HYPERLINK("http://dx.doi.org/10.3382/ps.2014-03885","http://dx.doi.org/10.3382/ps.2014-03885")</f>
        <v>http://dx.doi.org/10.3382/ps.2014-03885</v>
      </c>
      <c r="BG285" s="2" t="s">
        <v>74</v>
      </c>
      <c r="BH285" s="2" t="s">
        <v>74</v>
      </c>
      <c r="BI285" s="2" t="s">
        <v>74</v>
      </c>
      <c r="BJ285" s="2" t="s">
        <v>74</v>
      </c>
      <c r="BK285" s="2" t="s">
        <v>74</v>
      </c>
      <c r="BL285" s="2" t="s">
        <v>74</v>
      </c>
      <c r="BM285" s="2" t="s">
        <v>74</v>
      </c>
      <c r="BN285" s="2">
        <v>25037824</v>
      </c>
      <c r="BO285" s="2" t="s">
        <v>74</v>
      </c>
      <c r="BP285" s="2" t="s">
        <v>74</v>
      </c>
      <c r="BQ285" s="2" t="s">
        <v>74</v>
      </c>
      <c r="BR285" s="2" t="s">
        <v>74</v>
      </c>
      <c r="BS285" s="2" t="s">
        <v>6951</v>
      </c>
      <c r="BT285" s="2" t="str">
        <f>HYPERLINK("https%3A%2F%2Fwww.webofscience.com%2Fwos%2Fwoscc%2Ffull-record%2FWOS:000341309600001","View Full Record in Web of Science")</f>
        <v>View Full Record in Web of Science</v>
      </c>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row>
    <row r="286" spans="1:314" s="1" customFormat="1" x14ac:dyDescent="0.4">
      <c r="A286" s="2" t="s">
        <v>72</v>
      </c>
      <c r="B286" s="2" t="s">
        <v>8398</v>
      </c>
      <c r="C286" s="2" t="s">
        <v>74</v>
      </c>
      <c r="D286" s="2" t="s">
        <v>74</v>
      </c>
      <c r="E286" s="2" t="s">
        <v>74</v>
      </c>
      <c r="F286" s="2" t="s">
        <v>8399</v>
      </c>
      <c r="G286" s="2" t="s">
        <v>74</v>
      </c>
      <c r="H286" s="2" t="s">
        <v>74</v>
      </c>
      <c r="I286" s="2" t="s">
        <v>8400</v>
      </c>
      <c r="J286" s="2" t="s">
        <v>5961</v>
      </c>
      <c r="K286" s="2" t="s">
        <v>74</v>
      </c>
      <c r="L286" s="2" t="s">
        <v>74</v>
      </c>
      <c r="M286" s="2" t="s">
        <v>74</v>
      </c>
      <c r="N286" s="2" t="s">
        <v>74</v>
      </c>
      <c r="O286" s="2" t="s">
        <v>74</v>
      </c>
      <c r="P286" s="2" t="s">
        <v>74</v>
      </c>
      <c r="Q286" s="2" t="s">
        <v>74</v>
      </c>
      <c r="R286" s="2" t="s">
        <v>74</v>
      </c>
      <c r="S286" s="2" t="s">
        <v>74</v>
      </c>
      <c r="T286" s="2" t="s">
        <v>74</v>
      </c>
      <c r="U286" s="2" t="s">
        <v>74</v>
      </c>
      <c r="V286" s="5" t="s">
        <v>8401</v>
      </c>
      <c r="W286" s="2" t="s">
        <v>74</v>
      </c>
      <c r="X286" s="2" t="s">
        <v>74</v>
      </c>
      <c r="Y286" s="2" t="s">
        <v>74</v>
      </c>
      <c r="Z286" s="2" t="s">
        <v>74</v>
      </c>
      <c r="AA286" s="2" t="s">
        <v>74</v>
      </c>
      <c r="AB286" s="2" t="s">
        <v>8402</v>
      </c>
      <c r="AC286" s="2" t="s">
        <v>74</v>
      </c>
      <c r="AD286" s="2" t="s">
        <v>74</v>
      </c>
      <c r="AE286" s="2" t="s">
        <v>74</v>
      </c>
      <c r="AF286" s="2" t="s">
        <v>74</v>
      </c>
      <c r="AG286" s="2" t="s">
        <v>74</v>
      </c>
      <c r="AH286" s="2" t="s">
        <v>74</v>
      </c>
      <c r="AI286" s="2" t="s">
        <v>74</v>
      </c>
      <c r="AJ286" s="2" t="s">
        <v>74</v>
      </c>
      <c r="AK286" s="2" t="s">
        <v>74</v>
      </c>
      <c r="AL286" s="2" t="s">
        <v>74</v>
      </c>
      <c r="AM286" s="2" t="s">
        <v>74</v>
      </c>
      <c r="AN286" s="2" t="s">
        <v>74</v>
      </c>
      <c r="AO286" s="2" t="s">
        <v>5965</v>
      </c>
      <c r="AP286" s="2" t="s">
        <v>5966</v>
      </c>
      <c r="AQ286" s="2" t="s">
        <v>74</v>
      </c>
      <c r="AR286" s="2" t="s">
        <v>74</v>
      </c>
      <c r="AS286" s="2" t="s">
        <v>74</v>
      </c>
      <c r="AT286" s="2" t="s">
        <v>175</v>
      </c>
      <c r="AU286" s="2">
        <v>2020</v>
      </c>
      <c r="AV286" s="2">
        <v>45</v>
      </c>
      <c r="AW286" s="2">
        <v>4</v>
      </c>
      <c r="AX286" s="2" t="s">
        <v>74</v>
      </c>
      <c r="AY286" s="2" t="s">
        <v>74</v>
      </c>
      <c r="AZ286" s="2" t="s">
        <v>74</v>
      </c>
      <c r="BA286" s="2" t="s">
        <v>74</v>
      </c>
      <c r="BB286" s="2">
        <v>803</v>
      </c>
      <c r="BC286" s="2">
        <v>837</v>
      </c>
      <c r="BD286" s="2" t="s">
        <v>74</v>
      </c>
      <c r="BE286" s="2" t="s">
        <v>8403</v>
      </c>
      <c r="BF286" s="2" t="str">
        <f>HYPERLINK("http://dx.doi.org/10.1111/syen.12428","http://dx.doi.org/10.1111/syen.12428")</f>
        <v>http://dx.doi.org/10.1111/syen.12428</v>
      </c>
      <c r="BG286" s="2" t="s">
        <v>74</v>
      </c>
      <c r="BH286" s="2" t="s">
        <v>8404</v>
      </c>
      <c r="BI286" s="2" t="s">
        <v>74</v>
      </c>
      <c r="BJ286" s="2" t="s">
        <v>74</v>
      </c>
      <c r="BK286" s="2" t="s">
        <v>74</v>
      </c>
      <c r="BL286" s="2" t="s">
        <v>74</v>
      </c>
      <c r="BM286" s="2" t="s">
        <v>74</v>
      </c>
      <c r="BN286" s="2">
        <v>34744257</v>
      </c>
      <c r="BO286" s="2" t="s">
        <v>74</v>
      </c>
      <c r="BP286" s="2" t="s">
        <v>74</v>
      </c>
      <c r="BQ286" s="2" t="s">
        <v>74</v>
      </c>
      <c r="BR286" s="2" t="s">
        <v>74</v>
      </c>
      <c r="BS286" s="2" t="s">
        <v>8405</v>
      </c>
      <c r="BT286" s="2" t="str">
        <f>HYPERLINK("https%3A%2F%2Fwww.webofscience.com%2Fwos%2Fwoscc%2Ffull-record%2FWOS:000516977500001","View Full Record in Web of Science")</f>
        <v>View Full Record in Web of Science</v>
      </c>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row>
    <row r="287" spans="1:314" s="2" customFormat="1" x14ac:dyDescent="0.4">
      <c r="A287" s="2" t="s">
        <v>72</v>
      </c>
      <c r="B287" s="2" t="s">
        <v>3611</v>
      </c>
      <c r="C287" s="2" t="s">
        <v>74</v>
      </c>
      <c r="D287" s="2" t="s">
        <v>74</v>
      </c>
      <c r="E287" s="2" t="s">
        <v>74</v>
      </c>
      <c r="F287" s="2" t="s">
        <v>3612</v>
      </c>
      <c r="G287" s="2" t="s">
        <v>74</v>
      </c>
      <c r="H287" s="2" t="s">
        <v>74</v>
      </c>
      <c r="I287" s="2" t="s">
        <v>3613</v>
      </c>
      <c r="J287" s="2" t="s">
        <v>610</v>
      </c>
      <c r="K287" s="2" t="s">
        <v>74</v>
      </c>
      <c r="L287" s="2" t="s">
        <v>74</v>
      </c>
      <c r="M287" s="2" t="s">
        <v>74</v>
      </c>
      <c r="N287" s="2" t="s">
        <v>74</v>
      </c>
      <c r="O287" s="2" t="s">
        <v>74</v>
      </c>
      <c r="P287" s="2" t="s">
        <v>74</v>
      </c>
      <c r="Q287" s="2" t="s">
        <v>74</v>
      </c>
      <c r="R287" s="2" t="s">
        <v>74</v>
      </c>
      <c r="S287" s="2" t="s">
        <v>74</v>
      </c>
      <c r="T287" s="2" t="s">
        <v>74</v>
      </c>
      <c r="U287" s="2" t="s">
        <v>74</v>
      </c>
      <c r="V287" s="5" t="s">
        <v>3614</v>
      </c>
      <c r="W287" s="2" t="s">
        <v>74</v>
      </c>
      <c r="X287" s="2" t="s">
        <v>74</v>
      </c>
      <c r="Y287" s="2" t="s">
        <v>74</v>
      </c>
      <c r="Z287" s="2" t="s">
        <v>74</v>
      </c>
      <c r="AA287" s="2" t="s">
        <v>3615</v>
      </c>
      <c r="AB287" s="2" t="s">
        <v>3616</v>
      </c>
      <c r="AC287" s="2" t="s">
        <v>74</v>
      </c>
      <c r="AD287" s="2" t="s">
        <v>74</v>
      </c>
      <c r="AE287" s="2" t="s">
        <v>74</v>
      </c>
      <c r="AF287" s="2" t="s">
        <v>74</v>
      </c>
      <c r="AG287" s="2" t="s">
        <v>74</v>
      </c>
      <c r="AH287" s="2" t="s">
        <v>74</v>
      </c>
      <c r="AI287" s="2" t="s">
        <v>74</v>
      </c>
      <c r="AJ287" s="2" t="s">
        <v>74</v>
      </c>
      <c r="AK287" s="2" t="s">
        <v>74</v>
      </c>
      <c r="AL287" s="2" t="s">
        <v>74</v>
      </c>
      <c r="AM287" s="2" t="s">
        <v>74</v>
      </c>
      <c r="AN287" s="2" t="s">
        <v>74</v>
      </c>
      <c r="AO287" s="2" t="s">
        <v>614</v>
      </c>
      <c r="AP287" s="2" t="s">
        <v>615</v>
      </c>
      <c r="AQ287" s="2" t="s">
        <v>74</v>
      </c>
      <c r="AR287" s="2" t="s">
        <v>74</v>
      </c>
      <c r="AS287" s="2" t="s">
        <v>74</v>
      </c>
      <c r="AT287" s="2" t="s">
        <v>175</v>
      </c>
      <c r="AU287" s="2">
        <v>2007</v>
      </c>
      <c r="AV287" s="2">
        <v>113</v>
      </c>
      <c r="AW287" s="2">
        <v>10</v>
      </c>
      <c r="AX287" s="2" t="s">
        <v>74</v>
      </c>
      <c r="AY287" s="2" t="s">
        <v>74</v>
      </c>
      <c r="AZ287" s="2" t="s">
        <v>74</v>
      </c>
      <c r="BA287" s="2" t="s">
        <v>74</v>
      </c>
      <c r="BB287" s="2">
        <v>944</v>
      </c>
      <c r="BC287" s="2">
        <v>952</v>
      </c>
      <c r="BD287" s="2" t="s">
        <v>74</v>
      </c>
      <c r="BE287" s="2" t="s">
        <v>3617</v>
      </c>
      <c r="BF287" s="2" t="str">
        <f>HYPERLINK("http://dx.doi.org/10.1111/j.1439-0310.2007.01402.x","http://dx.doi.org/10.1111/j.1439-0310.2007.01402.x")</f>
        <v>http://dx.doi.org/10.1111/j.1439-0310.2007.01402.x</v>
      </c>
      <c r="BG287" s="2" t="s">
        <v>74</v>
      </c>
      <c r="BH287" s="2" t="s">
        <v>74</v>
      </c>
      <c r="BI287" s="2" t="s">
        <v>74</v>
      </c>
      <c r="BJ287" s="2" t="s">
        <v>74</v>
      </c>
      <c r="BK287" s="2" t="s">
        <v>74</v>
      </c>
      <c r="BL287" s="2" t="s">
        <v>74</v>
      </c>
      <c r="BM287" s="2" t="s">
        <v>74</v>
      </c>
      <c r="BN287" s="2" t="s">
        <v>74</v>
      </c>
      <c r="BO287" s="2" t="s">
        <v>74</v>
      </c>
      <c r="BP287" s="2" t="s">
        <v>74</v>
      </c>
      <c r="BQ287" s="2" t="s">
        <v>74</v>
      </c>
      <c r="BR287" s="2" t="s">
        <v>74</v>
      </c>
      <c r="BS287" s="2" t="s">
        <v>3618</v>
      </c>
      <c r="BT287" s="2" t="str">
        <f>HYPERLINK("https%3A%2F%2Fwww.webofscience.com%2Fwos%2Fwoscc%2Ffull-record%2FWOS:000249661000004","View Full Record in Web of Science")</f>
        <v>View Full Record in Web of Science</v>
      </c>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row>
    <row r="288" spans="1:314" s="2" customFormat="1" x14ac:dyDescent="0.4">
      <c r="A288" s="2" t="s">
        <v>72</v>
      </c>
      <c r="B288" s="2" t="s">
        <v>265</v>
      </c>
      <c r="C288" s="2" t="s">
        <v>74</v>
      </c>
      <c r="D288" s="2" t="s">
        <v>74</v>
      </c>
      <c r="E288" s="2" t="s">
        <v>74</v>
      </c>
      <c r="F288" s="2" t="s">
        <v>266</v>
      </c>
      <c r="G288" s="2" t="s">
        <v>74</v>
      </c>
      <c r="H288" s="2" t="s">
        <v>74</v>
      </c>
      <c r="I288" s="2" t="s">
        <v>267</v>
      </c>
      <c r="J288" s="2" t="s">
        <v>192</v>
      </c>
      <c r="K288" s="2" t="s">
        <v>74</v>
      </c>
      <c r="L288" s="2" t="s">
        <v>74</v>
      </c>
      <c r="M288" s="2" t="s">
        <v>74</v>
      </c>
      <c r="N288" s="2" t="s">
        <v>74</v>
      </c>
      <c r="O288" s="2" t="s">
        <v>74</v>
      </c>
      <c r="P288" s="2" t="s">
        <v>74</v>
      </c>
      <c r="Q288" s="2" t="s">
        <v>74</v>
      </c>
      <c r="R288" s="2" t="s">
        <v>74</v>
      </c>
      <c r="S288" s="2" t="s">
        <v>74</v>
      </c>
      <c r="T288" s="2" t="s">
        <v>74</v>
      </c>
      <c r="U288" s="2" t="s">
        <v>74</v>
      </c>
      <c r="V288" s="5" t="s">
        <v>268</v>
      </c>
      <c r="W288" s="2" t="s">
        <v>74</v>
      </c>
      <c r="X288" s="2" t="s">
        <v>74</v>
      </c>
      <c r="Y288" s="2" t="s">
        <v>74</v>
      </c>
      <c r="Z288" s="2" t="s">
        <v>74</v>
      </c>
      <c r="AA288" s="2" t="s">
        <v>74</v>
      </c>
      <c r="AB288" s="2" t="s">
        <v>74</v>
      </c>
      <c r="AC288" s="2" t="s">
        <v>74</v>
      </c>
      <c r="AD288" s="2" t="s">
        <v>74</v>
      </c>
      <c r="AE288" s="2" t="s">
        <v>74</v>
      </c>
      <c r="AF288" s="2" t="s">
        <v>74</v>
      </c>
      <c r="AG288" s="2" t="s">
        <v>74</v>
      </c>
      <c r="AH288" s="2" t="s">
        <v>74</v>
      </c>
      <c r="AI288" s="2" t="s">
        <v>74</v>
      </c>
      <c r="AJ288" s="2" t="s">
        <v>74</v>
      </c>
      <c r="AK288" s="2" t="s">
        <v>74</v>
      </c>
      <c r="AL288" s="2" t="s">
        <v>74</v>
      </c>
      <c r="AM288" s="2" t="s">
        <v>74</v>
      </c>
      <c r="AN288" s="2" t="s">
        <v>74</v>
      </c>
      <c r="AO288" s="2" t="s">
        <v>195</v>
      </c>
      <c r="AP288" s="2" t="s">
        <v>196</v>
      </c>
      <c r="AQ288" s="2" t="s">
        <v>74</v>
      </c>
      <c r="AR288" s="2" t="s">
        <v>74</v>
      </c>
      <c r="AS288" s="2" t="s">
        <v>74</v>
      </c>
      <c r="AT288" s="2" t="s">
        <v>123</v>
      </c>
      <c r="AU288" s="2">
        <v>2018</v>
      </c>
      <c r="AV288" s="2">
        <v>809</v>
      </c>
      <c r="AW288" s="2">
        <v>1</v>
      </c>
      <c r="AX288" s="2" t="s">
        <v>74</v>
      </c>
      <c r="AY288" s="2" t="s">
        <v>74</v>
      </c>
      <c r="AZ288" s="2" t="s">
        <v>74</v>
      </c>
      <c r="BA288" s="2" t="s">
        <v>74</v>
      </c>
      <c r="BB288" s="2">
        <v>31</v>
      </c>
      <c r="BC288" s="2">
        <v>40</v>
      </c>
      <c r="BD288" s="2" t="s">
        <v>74</v>
      </c>
      <c r="BE288" s="2" t="s">
        <v>269</v>
      </c>
      <c r="BF288" s="2" t="str">
        <f>HYPERLINK("http://dx.doi.org/10.1007/s10750-017-3442-6","http://dx.doi.org/10.1007/s10750-017-3442-6")</f>
        <v>http://dx.doi.org/10.1007/s10750-017-3442-6</v>
      </c>
      <c r="BG288" s="2" t="s">
        <v>74</v>
      </c>
      <c r="BH288" s="2" t="s">
        <v>74</v>
      </c>
      <c r="BI288" s="2" t="s">
        <v>74</v>
      </c>
      <c r="BJ288" s="2" t="s">
        <v>74</v>
      </c>
      <c r="BK288" s="2" t="s">
        <v>74</v>
      </c>
      <c r="BL288" s="2" t="s">
        <v>74</v>
      </c>
      <c r="BM288" s="2" t="s">
        <v>74</v>
      </c>
      <c r="BN288" s="2" t="s">
        <v>74</v>
      </c>
      <c r="BO288" s="2" t="s">
        <v>74</v>
      </c>
      <c r="BP288" s="2" t="s">
        <v>74</v>
      </c>
      <c r="BQ288" s="2" t="s">
        <v>74</v>
      </c>
      <c r="BR288" s="2" t="s">
        <v>74</v>
      </c>
      <c r="BS288" s="2" t="s">
        <v>270</v>
      </c>
      <c r="BT288" s="2" t="str">
        <f>HYPERLINK("https%3A%2F%2Fwww.webofscience.com%2Fwos%2Fwoscc%2Ffull-record%2FWOS:000424203000004","View Full Record in Web of Science")</f>
        <v>View Full Record in Web of Science</v>
      </c>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row>
    <row r="289" spans="1:314" s="2" customFormat="1" x14ac:dyDescent="0.4">
      <c r="A289" s="2" t="s">
        <v>72</v>
      </c>
      <c r="B289" s="2" t="s">
        <v>5377</v>
      </c>
      <c r="C289" s="2" t="s">
        <v>74</v>
      </c>
      <c r="D289" s="2" t="s">
        <v>74</v>
      </c>
      <c r="E289" s="2" t="s">
        <v>74</v>
      </c>
      <c r="F289" s="2" t="s">
        <v>5378</v>
      </c>
      <c r="G289" s="2" t="s">
        <v>74</v>
      </c>
      <c r="H289" s="2" t="s">
        <v>74</v>
      </c>
      <c r="I289" s="2" t="s">
        <v>5379</v>
      </c>
      <c r="J289" s="2" t="s">
        <v>1044</v>
      </c>
      <c r="K289" s="2" t="s">
        <v>74</v>
      </c>
      <c r="L289" s="2" t="s">
        <v>74</v>
      </c>
      <c r="M289" s="2" t="s">
        <v>74</v>
      </c>
      <c r="N289" s="2" t="s">
        <v>74</v>
      </c>
      <c r="O289" s="2" t="s">
        <v>74</v>
      </c>
      <c r="P289" s="2" t="s">
        <v>74</v>
      </c>
      <c r="Q289" s="2" t="s">
        <v>74</v>
      </c>
      <c r="R289" s="2" t="s">
        <v>74</v>
      </c>
      <c r="S289" s="2" t="s">
        <v>74</v>
      </c>
      <c r="T289" s="2" t="s">
        <v>74</v>
      </c>
      <c r="U289" s="2" t="s">
        <v>74</v>
      </c>
      <c r="V289" s="5" t="s">
        <v>5380</v>
      </c>
      <c r="W289" s="2" t="s">
        <v>74</v>
      </c>
      <c r="X289" s="2" t="s">
        <v>74</v>
      </c>
      <c r="Y289" s="2" t="s">
        <v>74</v>
      </c>
      <c r="Z289" s="2" t="s">
        <v>74</v>
      </c>
      <c r="AA289" s="2" t="s">
        <v>74</v>
      </c>
      <c r="AB289" s="2" t="s">
        <v>322</v>
      </c>
      <c r="AC289" s="2" t="s">
        <v>74</v>
      </c>
      <c r="AD289" s="2" t="s">
        <v>74</v>
      </c>
      <c r="AE289" s="2" t="s">
        <v>74</v>
      </c>
      <c r="AF289" s="2" t="s">
        <v>74</v>
      </c>
      <c r="AG289" s="2" t="s">
        <v>74</v>
      </c>
      <c r="AH289" s="2" t="s">
        <v>74</v>
      </c>
      <c r="AI289" s="2" t="s">
        <v>74</v>
      </c>
      <c r="AJ289" s="2" t="s">
        <v>74</v>
      </c>
      <c r="AK289" s="2" t="s">
        <v>74</v>
      </c>
      <c r="AL289" s="2" t="s">
        <v>74</v>
      </c>
      <c r="AM289" s="2" t="s">
        <v>74</v>
      </c>
      <c r="AN289" s="2" t="s">
        <v>74</v>
      </c>
      <c r="AO289" s="2" t="s">
        <v>1048</v>
      </c>
      <c r="AP289" s="2" t="s">
        <v>1049</v>
      </c>
      <c r="AQ289" s="2" t="s">
        <v>74</v>
      </c>
      <c r="AR289" s="2" t="s">
        <v>74</v>
      </c>
      <c r="AS289" s="2" t="s">
        <v>74</v>
      </c>
      <c r="AT289" s="2" t="s">
        <v>204</v>
      </c>
      <c r="AU289" s="2">
        <v>2017</v>
      </c>
      <c r="AV289" s="2">
        <v>26</v>
      </c>
      <c r="AW289" s="2">
        <v>14</v>
      </c>
      <c r="AX289" s="2" t="s">
        <v>74</v>
      </c>
      <c r="AY289" s="2" t="s">
        <v>74</v>
      </c>
      <c r="AZ289" s="2" t="s">
        <v>74</v>
      </c>
      <c r="BA289" s="2" t="s">
        <v>74</v>
      </c>
      <c r="BB289" s="2">
        <v>3760</v>
      </c>
      <c r="BC289" s="2">
        <v>3774</v>
      </c>
      <c r="BD289" s="2" t="s">
        <v>74</v>
      </c>
      <c r="BE289" s="2" t="s">
        <v>5381</v>
      </c>
      <c r="BF289" s="2" t="str">
        <f>HYPERLINK("http://dx.doi.org/10.1111/mec.14116","http://dx.doi.org/10.1111/mec.14116")</f>
        <v>http://dx.doi.org/10.1111/mec.14116</v>
      </c>
      <c r="BG289" s="2" t="s">
        <v>74</v>
      </c>
      <c r="BH289" s="2" t="s">
        <v>74</v>
      </c>
      <c r="BI289" s="2" t="s">
        <v>74</v>
      </c>
      <c r="BJ289" s="2" t="s">
        <v>74</v>
      </c>
      <c r="BK289" s="2" t="s">
        <v>74</v>
      </c>
      <c r="BL289" s="2" t="s">
        <v>74</v>
      </c>
      <c r="BM289" s="2" t="s">
        <v>74</v>
      </c>
      <c r="BN289" s="2">
        <v>28370617</v>
      </c>
      <c r="BO289" s="2" t="s">
        <v>74</v>
      </c>
      <c r="BP289" s="2" t="s">
        <v>74</v>
      </c>
      <c r="BQ289" s="2" t="s">
        <v>74</v>
      </c>
      <c r="BR289" s="2" t="s">
        <v>74</v>
      </c>
      <c r="BS289" s="2" t="s">
        <v>5382</v>
      </c>
      <c r="BT289" s="2" t="str">
        <f>HYPERLINK("https%3A%2F%2Fwww.webofscience.com%2Fwos%2Fwoscc%2Ffull-record%2FWOS:000404618000015","View Full Record in Web of Science")</f>
        <v>View Full Record in Web of Science</v>
      </c>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row>
    <row r="290" spans="1:314" s="2" customFormat="1" x14ac:dyDescent="0.4">
      <c r="A290" s="2" t="s">
        <v>72</v>
      </c>
      <c r="B290" s="2" t="s">
        <v>8439</v>
      </c>
      <c r="C290" s="2" t="s">
        <v>74</v>
      </c>
      <c r="D290" s="2" t="s">
        <v>74</v>
      </c>
      <c r="E290" s="2" t="s">
        <v>74</v>
      </c>
      <c r="F290" s="2" t="s">
        <v>8439</v>
      </c>
      <c r="G290" s="2" t="s">
        <v>74</v>
      </c>
      <c r="H290" s="2" t="s">
        <v>74</v>
      </c>
      <c r="I290" s="2" t="s">
        <v>8440</v>
      </c>
      <c r="J290" s="2" t="s">
        <v>691</v>
      </c>
      <c r="K290" s="2" t="s">
        <v>74</v>
      </c>
      <c r="L290" s="2" t="s">
        <v>74</v>
      </c>
      <c r="M290" s="2" t="s">
        <v>74</v>
      </c>
      <c r="N290" s="2" t="s">
        <v>74</v>
      </c>
      <c r="O290" s="2" t="s">
        <v>74</v>
      </c>
      <c r="P290" s="2" t="s">
        <v>74</v>
      </c>
      <c r="Q290" s="2" t="s">
        <v>74</v>
      </c>
      <c r="R290" s="2" t="s">
        <v>74</v>
      </c>
      <c r="S290" s="2" t="s">
        <v>74</v>
      </c>
      <c r="T290" s="2" t="s">
        <v>74</v>
      </c>
      <c r="U290" s="2" t="s">
        <v>74</v>
      </c>
      <c r="V290" s="5" t="s">
        <v>8441</v>
      </c>
      <c r="W290" s="2" t="s">
        <v>74</v>
      </c>
      <c r="X290" s="2" t="s">
        <v>74</v>
      </c>
      <c r="Y290" s="2" t="s">
        <v>74</v>
      </c>
      <c r="Z290" s="2" t="s">
        <v>74</v>
      </c>
      <c r="AA290" s="2" t="s">
        <v>74</v>
      </c>
      <c r="AB290" s="2" t="s">
        <v>74</v>
      </c>
      <c r="AC290" s="2" t="s">
        <v>74</v>
      </c>
      <c r="AD290" s="2" t="s">
        <v>74</v>
      </c>
      <c r="AE290" s="2" t="s">
        <v>74</v>
      </c>
      <c r="AF290" s="2" t="s">
        <v>74</v>
      </c>
      <c r="AG290" s="2" t="s">
        <v>74</v>
      </c>
      <c r="AH290" s="2" t="s">
        <v>74</v>
      </c>
      <c r="AI290" s="2" t="s">
        <v>74</v>
      </c>
      <c r="AJ290" s="2" t="s">
        <v>74</v>
      </c>
      <c r="AK290" s="2" t="s">
        <v>74</v>
      </c>
      <c r="AL290" s="2" t="s">
        <v>74</v>
      </c>
      <c r="AM290" s="2" t="s">
        <v>74</v>
      </c>
      <c r="AN290" s="2" t="s">
        <v>74</v>
      </c>
      <c r="AO290" s="2" t="s">
        <v>695</v>
      </c>
      <c r="AP290" s="2" t="s">
        <v>74</v>
      </c>
      <c r="AQ290" s="2" t="s">
        <v>74</v>
      </c>
      <c r="AR290" s="2" t="s">
        <v>74</v>
      </c>
      <c r="AS290" s="2" t="s">
        <v>74</v>
      </c>
      <c r="AT290" s="2" t="s">
        <v>305</v>
      </c>
      <c r="AU290" s="2">
        <v>1995</v>
      </c>
      <c r="AV290" s="2">
        <v>58</v>
      </c>
      <c r="AW290" s="2">
        <v>6</v>
      </c>
      <c r="AX290" s="2" t="s">
        <v>74</v>
      </c>
      <c r="AY290" s="2" t="s">
        <v>74</v>
      </c>
      <c r="AZ290" s="2" t="s">
        <v>74</v>
      </c>
      <c r="BA290" s="2" t="s">
        <v>74</v>
      </c>
      <c r="BB290" s="2">
        <v>1221</v>
      </c>
      <c r="BC290" s="2">
        <v>1225</v>
      </c>
      <c r="BD290" s="2" t="s">
        <v>74</v>
      </c>
      <c r="BE290" s="2" t="s">
        <v>8442</v>
      </c>
      <c r="BF290" s="2" t="str">
        <f>HYPERLINK("http://dx.doi.org/10.1016/0031-9384(95)02057-8","http://dx.doi.org/10.1016/0031-9384(95)02057-8")</f>
        <v>http://dx.doi.org/10.1016/0031-9384(95)02057-8</v>
      </c>
      <c r="BG290" s="2" t="s">
        <v>74</v>
      </c>
      <c r="BH290" s="2" t="s">
        <v>74</v>
      </c>
      <c r="BI290" s="2" t="s">
        <v>74</v>
      </c>
      <c r="BJ290" s="2" t="s">
        <v>74</v>
      </c>
      <c r="BK290" s="2" t="s">
        <v>74</v>
      </c>
      <c r="BL290" s="2" t="s">
        <v>74</v>
      </c>
      <c r="BM290" s="2" t="s">
        <v>74</v>
      </c>
      <c r="BN290" s="2">
        <v>8623024</v>
      </c>
      <c r="BO290" s="2" t="s">
        <v>74</v>
      </c>
      <c r="BP290" s="2" t="s">
        <v>74</v>
      </c>
      <c r="BQ290" s="2" t="s">
        <v>74</v>
      </c>
      <c r="BR290" s="2" t="s">
        <v>74</v>
      </c>
      <c r="BS290" s="2" t="s">
        <v>8443</v>
      </c>
      <c r="BT290" s="2" t="str">
        <f>HYPERLINK("https%3A%2F%2Fwww.webofscience.com%2Fwos%2Fwoscc%2Ffull-record%2FWOS:A1995TH80700023","View Full Record in Web of Science")</f>
        <v>View Full Record in Web of Science</v>
      </c>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row>
    <row r="291" spans="1:314" s="2" customFormat="1" x14ac:dyDescent="0.4">
      <c r="A291" s="2" t="s">
        <v>72</v>
      </c>
      <c r="B291" s="2" t="s">
        <v>4532</v>
      </c>
      <c r="C291" s="2" t="s">
        <v>74</v>
      </c>
      <c r="D291" s="2" t="s">
        <v>74</v>
      </c>
      <c r="E291" s="2" t="s">
        <v>74</v>
      </c>
      <c r="F291" s="2" t="s">
        <v>4532</v>
      </c>
      <c r="G291" s="2" t="s">
        <v>74</v>
      </c>
      <c r="H291" s="2" t="s">
        <v>74</v>
      </c>
      <c r="I291" s="2" t="s">
        <v>4533</v>
      </c>
      <c r="J291" s="2" t="s">
        <v>140</v>
      </c>
      <c r="K291" s="2" t="s">
        <v>74</v>
      </c>
      <c r="L291" s="2" t="s">
        <v>74</v>
      </c>
      <c r="M291" s="2" t="s">
        <v>74</v>
      </c>
      <c r="N291" s="2" t="s">
        <v>74</v>
      </c>
      <c r="O291" s="2" t="s">
        <v>74</v>
      </c>
      <c r="P291" s="2" t="s">
        <v>74</v>
      </c>
      <c r="Q291" s="2" t="s">
        <v>74</v>
      </c>
      <c r="R291" s="2" t="s">
        <v>74</v>
      </c>
      <c r="S291" s="2" t="s">
        <v>74</v>
      </c>
      <c r="T291" s="2" t="s">
        <v>74</v>
      </c>
      <c r="U291" s="2" t="s">
        <v>74</v>
      </c>
      <c r="V291" s="5" t="s">
        <v>4534</v>
      </c>
      <c r="W291" s="2" t="s">
        <v>74</v>
      </c>
      <c r="X291" s="2" t="s">
        <v>74</v>
      </c>
      <c r="Y291" s="2" t="s">
        <v>74</v>
      </c>
      <c r="Z291" s="2" t="s">
        <v>74</v>
      </c>
      <c r="AA291" s="2" t="s">
        <v>74</v>
      </c>
      <c r="AB291" s="2" t="s">
        <v>74</v>
      </c>
      <c r="AC291" s="2" t="s">
        <v>74</v>
      </c>
      <c r="AD291" s="2" t="s">
        <v>74</v>
      </c>
      <c r="AE291" s="2" t="s">
        <v>74</v>
      </c>
      <c r="AF291" s="2" t="s">
        <v>74</v>
      </c>
      <c r="AG291" s="2" t="s">
        <v>74</v>
      </c>
      <c r="AH291" s="2" t="s">
        <v>74</v>
      </c>
      <c r="AI291" s="2" t="s">
        <v>74</v>
      </c>
      <c r="AJ291" s="2" t="s">
        <v>74</v>
      </c>
      <c r="AK291" s="2" t="s">
        <v>74</v>
      </c>
      <c r="AL291" s="2" t="s">
        <v>74</v>
      </c>
      <c r="AM291" s="2" t="s">
        <v>74</v>
      </c>
      <c r="AN291" s="2" t="s">
        <v>74</v>
      </c>
      <c r="AO291" s="2" t="s">
        <v>143</v>
      </c>
      <c r="AP291" s="2" t="s">
        <v>144</v>
      </c>
      <c r="AQ291" s="2" t="s">
        <v>74</v>
      </c>
      <c r="AR291" s="2" t="s">
        <v>74</v>
      </c>
      <c r="AS291" s="2" t="s">
        <v>74</v>
      </c>
      <c r="AT291" s="2" t="s">
        <v>145</v>
      </c>
      <c r="AU291" s="2">
        <v>1987</v>
      </c>
      <c r="AV291" s="2">
        <v>35</v>
      </c>
      <c r="AW291" s="2" t="s">
        <v>74</v>
      </c>
      <c r="AX291" s="2">
        <v>4</v>
      </c>
      <c r="AY291" s="2" t="s">
        <v>74</v>
      </c>
      <c r="AZ291" s="2" t="s">
        <v>74</v>
      </c>
      <c r="BA291" s="2" t="s">
        <v>74</v>
      </c>
      <c r="BB291" s="2">
        <v>1177</v>
      </c>
      <c r="BC291" s="2">
        <v>1187</v>
      </c>
      <c r="BD291" s="2" t="s">
        <v>74</v>
      </c>
      <c r="BE291" s="2" t="s">
        <v>4535</v>
      </c>
      <c r="BF291" s="2" t="str">
        <f>HYPERLINK("http://dx.doi.org/10.1016/S0003-3472(87)80174-4","http://dx.doi.org/10.1016/S0003-3472(87)80174-4")</f>
        <v>http://dx.doi.org/10.1016/S0003-3472(87)80174-4</v>
      </c>
      <c r="BG291" s="2" t="s">
        <v>74</v>
      </c>
      <c r="BH291" s="2" t="s">
        <v>74</v>
      </c>
      <c r="BI291" s="2" t="s">
        <v>74</v>
      </c>
      <c r="BJ291" s="2" t="s">
        <v>74</v>
      </c>
      <c r="BK291" s="2" t="s">
        <v>74</v>
      </c>
      <c r="BL291" s="2" t="s">
        <v>74</v>
      </c>
      <c r="BM291" s="2" t="s">
        <v>74</v>
      </c>
      <c r="BN291" s="2" t="s">
        <v>74</v>
      </c>
      <c r="BO291" s="2" t="s">
        <v>74</v>
      </c>
      <c r="BP291" s="2" t="s">
        <v>74</v>
      </c>
      <c r="BQ291" s="2" t="s">
        <v>74</v>
      </c>
      <c r="BR291" s="2" t="s">
        <v>74</v>
      </c>
      <c r="BS291" s="2" t="s">
        <v>4536</v>
      </c>
      <c r="BT291" s="2" t="str">
        <f>HYPERLINK("https%3A%2F%2Fwww.webofscience.com%2Fwos%2Fwoscc%2Ffull-record%2FWOS:A1987J540600022","View Full Record in Web of Science")</f>
        <v>View Full Record in Web of Science</v>
      </c>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row>
    <row r="292" spans="1:314" s="1" customFormat="1" x14ac:dyDescent="0.4">
      <c r="A292" s="2" t="s">
        <v>72</v>
      </c>
      <c r="B292" s="2" t="s">
        <v>4021</v>
      </c>
      <c r="C292" s="2" t="s">
        <v>74</v>
      </c>
      <c r="D292" s="2" t="s">
        <v>74</v>
      </c>
      <c r="E292" s="2" t="s">
        <v>74</v>
      </c>
      <c r="F292" s="2" t="s">
        <v>4021</v>
      </c>
      <c r="G292" s="2" t="s">
        <v>74</v>
      </c>
      <c r="H292" s="2" t="s">
        <v>74</v>
      </c>
      <c r="I292" s="2" t="s">
        <v>4022</v>
      </c>
      <c r="J292" s="2" t="s">
        <v>1812</v>
      </c>
      <c r="K292" s="2" t="s">
        <v>74</v>
      </c>
      <c r="L292" s="2" t="s">
        <v>74</v>
      </c>
      <c r="M292" s="2" t="s">
        <v>74</v>
      </c>
      <c r="N292" s="2" t="s">
        <v>74</v>
      </c>
      <c r="O292" s="2" t="s">
        <v>74</v>
      </c>
      <c r="P292" s="2" t="s">
        <v>74</v>
      </c>
      <c r="Q292" s="2" t="s">
        <v>74</v>
      </c>
      <c r="R292" s="2" t="s">
        <v>74</v>
      </c>
      <c r="S292" s="2" t="s">
        <v>74</v>
      </c>
      <c r="T292" s="2" t="s">
        <v>74</v>
      </c>
      <c r="U292" s="2" t="s">
        <v>74</v>
      </c>
      <c r="V292" s="5" t="s">
        <v>4023</v>
      </c>
      <c r="W292" s="2" t="s">
        <v>74</v>
      </c>
      <c r="X292" s="2" t="s">
        <v>74</v>
      </c>
      <c r="Y292" s="2" t="s">
        <v>74</v>
      </c>
      <c r="Z292" s="2" t="s">
        <v>74</v>
      </c>
      <c r="AA292" s="2" t="s">
        <v>74</v>
      </c>
      <c r="AB292" s="2" t="s">
        <v>74</v>
      </c>
      <c r="AC292" s="2" t="s">
        <v>74</v>
      </c>
      <c r="AD292" s="2" t="s">
        <v>74</v>
      </c>
      <c r="AE292" s="2" t="s">
        <v>74</v>
      </c>
      <c r="AF292" s="2" t="s">
        <v>74</v>
      </c>
      <c r="AG292" s="2" t="s">
        <v>74</v>
      </c>
      <c r="AH292" s="2" t="s">
        <v>74</v>
      </c>
      <c r="AI292" s="2" t="s">
        <v>74</v>
      </c>
      <c r="AJ292" s="2" t="s">
        <v>74</v>
      </c>
      <c r="AK292" s="2" t="s">
        <v>74</v>
      </c>
      <c r="AL292" s="2" t="s">
        <v>74</v>
      </c>
      <c r="AM292" s="2" t="s">
        <v>74</v>
      </c>
      <c r="AN292" s="2" t="s">
        <v>74</v>
      </c>
      <c r="AO292" s="2" t="s">
        <v>1814</v>
      </c>
      <c r="AP292" s="2" t="s">
        <v>1815</v>
      </c>
      <c r="AQ292" s="2" t="s">
        <v>74</v>
      </c>
      <c r="AR292" s="2" t="s">
        <v>74</v>
      </c>
      <c r="AS292" s="2" t="s">
        <v>74</v>
      </c>
      <c r="AT292" s="2" t="s">
        <v>102</v>
      </c>
      <c r="AU292" s="2">
        <v>1987</v>
      </c>
      <c r="AV292" s="2">
        <v>21</v>
      </c>
      <c r="AW292" s="2">
        <v>2</v>
      </c>
      <c r="AX292" s="2" t="s">
        <v>74</v>
      </c>
      <c r="AY292" s="2" t="s">
        <v>74</v>
      </c>
      <c r="AZ292" s="2" t="s">
        <v>74</v>
      </c>
      <c r="BA292" s="2" t="s">
        <v>74</v>
      </c>
      <c r="BB292" s="2">
        <v>96</v>
      </c>
      <c r="BC292" s="2">
        <v>101</v>
      </c>
      <c r="BD292" s="2" t="s">
        <v>74</v>
      </c>
      <c r="BE292" s="2" t="s">
        <v>4024</v>
      </c>
      <c r="BF292" s="2" t="str">
        <f>HYPERLINK("http://dx.doi.org/10.2307/1564469","http://dx.doi.org/10.2307/1564469")</f>
        <v>http://dx.doi.org/10.2307/1564469</v>
      </c>
      <c r="BG292" s="2" t="s">
        <v>74</v>
      </c>
      <c r="BH292" s="2" t="s">
        <v>74</v>
      </c>
      <c r="BI292" s="2" t="s">
        <v>74</v>
      </c>
      <c r="BJ292" s="2" t="s">
        <v>74</v>
      </c>
      <c r="BK292" s="2" t="s">
        <v>74</v>
      </c>
      <c r="BL292" s="2" t="s">
        <v>74</v>
      </c>
      <c r="BM292" s="2" t="s">
        <v>74</v>
      </c>
      <c r="BN292" s="2" t="s">
        <v>74</v>
      </c>
      <c r="BO292" s="2" t="s">
        <v>74</v>
      </c>
      <c r="BP292" s="2" t="s">
        <v>74</v>
      </c>
      <c r="BQ292" s="2" t="s">
        <v>74</v>
      </c>
      <c r="BR292" s="2" t="s">
        <v>74</v>
      </c>
      <c r="BS292" s="2" t="s">
        <v>4025</v>
      </c>
      <c r="BT292" s="2" t="str">
        <f>HYPERLINK("https%3A%2F%2Fwww.webofscience.com%2Fwos%2Fwoscc%2Ffull-record%2FWOS:A1987H691700002","View Full Record in Web of Science")</f>
        <v>View Full Record in Web of Science</v>
      </c>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row>
    <row r="293" spans="1:314" s="2" customFormat="1" x14ac:dyDescent="0.4">
      <c r="A293" s="2" t="s">
        <v>72</v>
      </c>
      <c r="B293" s="2" t="s">
        <v>4356</v>
      </c>
      <c r="C293" s="2" t="s">
        <v>74</v>
      </c>
      <c r="D293" s="2" t="s">
        <v>74</v>
      </c>
      <c r="E293" s="2" t="s">
        <v>74</v>
      </c>
      <c r="F293" s="2" t="s">
        <v>4356</v>
      </c>
      <c r="G293" s="2" t="s">
        <v>74</v>
      </c>
      <c r="H293" s="2" t="s">
        <v>74</v>
      </c>
      <c r="I293" s="2" t="s">
        <v>4357</v>
      </c>
      <c r="J293" s="2" t="s">
        <v>1126</v>
      </c>
      <c r="K293" s="2" t="s">
        <v>74</v>
      </c>
      <c r="L293" s="2" t="s">
        <v>74</v>
      </c>
      <c r="M293" s="2" t="s">
        <v>74</v>
      </c>
      <c r="N293" s="2" t="s">
        <v>74</v>
      </c>
      <c r="O293" s="2" t="s">
        <v>74</v>
      </c>
      <c r="P293" s="2" t="s">
        <v>74</v>
      </c>
      <c r="Q293" s="2" t="s">
        <v>74</v>
      </c>
      <c r="R293" s="2" t="s">
        <v>74</v>
      </c>
      <c r="S293" s="2" t="s">
        <v>74</v>
      </c>
      <c r="T293" s="2" t="s">
        <v>74</v>
      </c>
      <c r="U293" s="2" t="s">
        <v>74</v>
      </c>
      <c r="V293" s="5" t="s">
        <v>4358</v>
      </c>
      <c r="W293" s="2" t="s">
        <v>74</v>
      </c>
      <c r="X293" s="2" t="s">
        <v>74</v>
      </c>
      <c r="Y293" s="2" t="s">
        <v>74</v>
      </c>
      <c r="Z293" s="2" t="s">
        <v>74</v>
      </c>
      <c r="AA293" s="2" t="s">
        <v>74</v>
      </c>
      <c r="AB293" s="2" t="s">
        <v>74</v>
      </c>
      <c r="AC293" s="2" t="s">
        <v>74</v>
      </c>
      <c r="AD293" s="2" t="s">
        <v>74</v>
      </c>
      <c r="AE293" s="2" t="s">
        <v>74</v>
      </c>
      <c r="AF293" s="2" t="s">
        <v>74</v>
      </c>
      <c r="AG293" s="2" t="s">
        <v>74</v>
      </c>
      <c r="AH293" s="2" t="s">
        <v>74</v>
      </c>
      <c r="AI293" s="2" t="s">
        <v>74</v>
      </c>
      <c r="AJ293" s="2" t="s">
        <v>74</v>
      </c>
      <c r="AK293" s="2" t="s">
        <v>74</v>
      </c>
      <c r="AL293" s="2" t="s">
        <v>74</v>
      </c>
      <c r="AM293" s="2" t="s">
        <v>74</v>
      </c>
      <c r="AN293" s="2" t="s">
        <v>74</v>
      </c>
      <c r="AO293" s="2" t="s">
        <v>1128</v>
      </c>
      <c r="AP293" s="2" t="s">
        <v>1129</v>
      </c>
      <c r="AQ293" s="2" t="s">
        <v>74</v>
      </c>
      <c r="AR293" s="2" t="s">
        <v>74</v>
      </c>
      <c r="AS293" s="2" t="s">
        <v>74</v>
      </c>
      <c r="AT293" s="2" t="s">
        <v>4359</v>
      </c>
      <c r="AU293" s="2">
        <v>1988</v>
      </c>
      <c r="AV293" s="2" t="s">
        <v>74</v>
      </c>
      <c r="AW293" s="2">
        <v>1</v>
      </c>
      <c r="AX293" s="2" t="s">
        <v>74</v>
      </c>
      <c r="AY293" s="2" t="s">
        <v>74</v>
      </c>
      <c r="AZ293" s="2" t="s">
        <v>74</v>
      </c>
      <c r="BA293" s="2" t="s">
        <v>74</v>
      </c>
      <c r="BB293" s="2">
        <v>1</v>
      </c>
      <c r="BC293" s="2">
        <v>6</v>
      </c>
      <c r="BD293" s="2" t="s">
        <v>74</v>
      </c>
      <c r="BE293" s="2" t="s">
        <v>74</v>
      </c>
      <c r="BF293" s="2" t="s">
        <v>74</v>
      </c>
      <c r="BG293" s="2" t="s">
        <v>74</v>
      </c>
      <c r="BH293" s="2" t="s">
        <v>74</v>
      </c>
      <c r="BI293" s="2" t="s">
        <v>74</v>
      </c>
      <c r="BJ293" s="2" t="s">
        <v>74</v>
      </c>
      <c r="BK293" s="2" t="s">
        <v>74</v>
      </c>
      <c r="BL293" s="2" t="s">
        <v>74</v>
      </c>
      <c r="BM293" s="2" t="s">
        <v>74</v>
      </c>
      <c r="BN293" s="2" t="s">
        <v>74</v>
      </c>
      <c r="BO293" s="2" t="s">
        <v>74</v>
      </c>
      <c r="BP293" s="2" t="s">
        <v>74</v>
      </c>
      <c r="BQ293" s="2" t="s">
        <v>74</v>
      </c>
      <c r="BR293" s="2" t="s">
        <v>74</v>
      </c>
      <c r="BS293" s="2" t="s">
        <v>4360</v>
      </c>
      <c r="BT293" s="2" t="str">
        <f>HYPERLINK("https%3A%2F%2Fwww.webofscience.com%2Fwos%2Fwoscc%2Ffull-record%2FWOS:A1988M131600001","View Full Record in Web of Science")</f>
        <v>View Full Record in Web of Science</v>
      </c>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row>
    <row r="294" spans="1:314" s="2" customFormat="1" x14ac:dyDescent="0.4">
      <c r="A294" s="2" t="s">
        <v>72</v>
      </c>
      <c r="B294" s="2" t="s">
        <v>8655</v>
      </c>
      <c r="C294" s="2" t="s">
        <v>74</v>
      </c>
      <c r="D294" s="2" t="s">
        <v>74</v>
      </c>
      <c r="E294" s="2" t="s">
        <v>74</v>
      </c>
      <c r="F294" s="2" t="s">
        <v>8656</v>
      </c>
      <c r="G294" s="2" t="s">
        <v>74</v>
      </c>
      <c r="H294" s="2" t="s">
        <v>74</v>
      </c>
      <c r="I294" s="2" t="s">
        <v>8657</v>
      </c>
      <c r="J294" s="2" t="s">
        <v>1044</v>
      </c>
      <c r="K294" s="2" t="s">
        <v>74</v>
      </c>
      <c r="L294" s="2" t="s">
        <v>74</v>
      </c>
      <c r="M294" s="2" t="s">
        <v>74</v>
      </c>
      <c r="N294" s="2" t="s">
        <v>74</v>
      </c>
      <c r="O294" s="2" t="s">
        <v>74</v>
      </c>
      <c r="P294" s="2" t="s">
        <v>74</v>
      </c>
      <c r="Q294" s="2" t="s">
        <v>74</v>
      </c>
      <c r="R294" s="2" t="s">
        <v>74</v>
      </c>
      <c r="S294" s="2" t="s">
        <v>74</v>
      </c>
      <c r="T294" s="2" t="s">
        <v>74</v>
      </c>
      <c r="U294" s="2" t="s">
        <v>74</v>
      </c>
      <c r="V294" s="5" t="s">
        <v>8658</v>
      </c>
      <c r="W294" s="2" t="s">
        <v>74</v>
      </c>
      <c r="X294" s="2" t="s">
        <v>74</v>
      </c>
      <c r="Y294" s="2" t="s">
        <v>74</v>
      </c>
      <c r="Z294" s="2" t="s">
        <v>74</v>
      </c>
      <c r="AA294" s="2" t="s">
        <v>8659</v>
      </c>
      <c r="AB294" s="2" t="s">
        <v>8660</v>
      </c>
      <c r="AC294" s="2" t="s">
        <v>74</v>
      </c>
      <c r="AD294" s="2" t="s">
        <v>74</v>
      </c>
      <c r="AE294" s="2" t="s">
        <v>74</v>
      </c>
      <c r="AF294" s="2" t="s">
        <v>74</v>
      </c>
      <c r="AG294" s="2" t="s">
        <v>74</v>
      </c>
      <c r="AH294" s="2" t="s">
        <v>74</v>
      </c>
      <c r="AI294" s="2" t="s">
        <v>74</v>
      </c>
      <c r="AJ294" s="2" t="s">
        <v>74</v>
      </c>
      <c r="AK294" s="2" t="s">
        <v>74</v>
      </c>
      <c r="AL294" s="2" t="s">
        <v>74</v>
      </c>
      <c r="AM294" s="2" t="s">
        <v>74</v>
      </c>
      <c r="AN294" s="2" t="s">
        <v>74</v>
      </c>
      <c r="AO294" s="2" t="s">
        <v>1048</v>
      </c>
      <c r="AP294" s="2" t="s">
        <v>1049</v>
      </c>
      <c r="AQ294" s="2" t="s">
        <v>74</v>
      </c>
      <c r="AR294" s="2" t="s">
        <v>74</v>
      </c>
      <c r="AS294" s="2" t="s">
        <v>74</v>
      </c>
      <c r="AT294" s="2" t="s">
        <v>633</v>
      </c>
      <c r="AU294" s="2">
        <v>2020</v>
      </c>
      <c r="AV294" s="2">
        <v>29</v>
      </c>
      <c r="AW294" s="2">
        <v>7</v>
      </c>
      <c r="AX294" s="2" t="s">
        <v>74</v>
      </c>
      <c r="AY294" s="2" t="s">
        <v>74</v>
      </c>
      <c r="AZ294" s="2" t="s">
        <v>74</v>
      </c>
      <c r="BA294" s="2" t="s">
        <v>74</v>
      </c>
      <c r="BB294" s="2">
        <v>1358</v>
      </c>
      <c r="BC294" s="2">
        <v>1371</v>
      </c>
      <c r="BD294" s="2" t="s">
        <v>74</v>
      </c>
      <c r="BE294" s="2" t="s">
        <v>8661</v>
      </c>
      <c r="BF294" s="2" t="str">
        <f>HYPERLINK("http://dx.doi.org/10.1111/mec.15398","http://dx.doi.org/10.1111/mec.15398")</f>
        <v>http://dx.doi.org/10.1111/mec.15398</v>
      </c>
      <c r="BG294" s="2" t="s">
        <v>74</v>
      </c>
      <c r="BH294" s="2" t="s">
        <v>3584</v>
      </c>
      <c r="BI294" s="2" t="s">
        <v>74</v>
      </c>
      <c r="BJ294" s="2" t="s">
        <v>74</v>
      </c>
      <c r="BK294" s="2" t="s">
        <v>74</v>
      </c>
      <c r="BL294" s="2" t="s">
        <v>74</v>
      </c>
      <c r="BM294" s="2" t="s">
        <v>74</v>
      </c>
      <c r="BN294" s="2">
        <v>32115796</v>
      </c>
      <c r="BO294" s="2" t="s">
        <v>74</v>
      </c>
      <c r="BP294" s="2" t="s">
        <v>74</v>
      </c>
      <c r="BQ294" s="2" t="s">
        <v>74</v>
      </c>
      <c r="BR294" s="2" t="s">
        <v>74</v>
      </c>
      <c r="BS294" s="2" t="s">
        <v>8662</v>
      </c>
      <c r="BT294" s="2" t="str">
        <f>HYPERLINK("https%3A%2F%2Fwww.webofscience.com%2Fwos%2Fwoscc%2Ffull-record%2FWOS:000524283300001","View Full Record in Web of Science")</f>
        <v>View Full Record in Web of Science</v>
      </c>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row>
    <row r="295" spans="1:314" s="2" customFormat="1" x14ac:dyDescent="0.4">
      <c r="A295" s="2" t="s">
        <v>72</v>
      </c>
      <c r="B295" s="2" t="s">
        <v>4243</v>
      </c>
      <c r="C295" s="2" t="s">
        <v>74</v>
      </c>
      <c r="D295" s="2" t="s">
        <v>74</v>
      </c>
      <c r="E295" s="2" t="s">
        <v>74</v>
      </c>
      <c r="F295" s="2" t="s">
        <v>4244</v>
      </c>
      <c r="G295" s="2" t="s">
        <v>74</v>
      </c>
      <c r="H295" s="2" t="s">
        <v>74</v>
      </c>
      <c r="I295" s="2" t="s">
        <v>4245</v>
      </c>
      <c r="J295" s="2" t="s">
        <v>333</v>
      </c>
      <c r="K295" s="2" t="s">
        <v>74</v>
      </c>
      <c r="L295" s="2" t="s">
        <v>74</v>
      </c>
      <c r="M295" s="2" t="s">
        <v>74</v>
      </c>
      <c r="N295" s="2" t="s">
        <v>74</v>
      </c>
      <c r="O295" s="2" t="s">
        <v>74</v>
      </c>
      <c r="P295" s="2" t="s">
        <v>74</v>
      </c>
      <c r="Q295" s="2" t="s">
        <v>74</v>
      </c>
      <c r="R295" s="2" t="s">
        <v>74</v>
      </c>
      <c r="S295" s="2" t="s">
        <v>74</v>
      </c>
      <c r="T295" s="2" t="s">
        <v>74</v>
      </c>
      <c r="U295" s="2" t="s">
        <v>74</v>
      </c>
      <c r="V295" s="5" t="s">
        <v>4246</v>
      </c>
      <c r="W295" s="2" t="s">
        <v>74</v>
      </c>
      <c r="X295" s="2" t="s">
        <v>74</v>
      </c>
      <c r="Y295" s="2" t="s">
        <v>74</v>
      </c>
      <c r="Z295" s="2" t="s">
        <v>74</v>
      </c>
      <c r="AA295" s="2" t="s">
        <v>4247</v>
      </c>
      <c r="AB295" s="2" t="s">
        <v>4248</v>
      </c>
      <c r="AC295" s="2" t="s">
        <v>74</v>
      </c>
      <c r="AD295" s="2" t="s">
        <v>74</v>
      </c>
      <c r="AE295" s="2" t="s">
        <v>74</v>
      </c>
      <c r="AF295" s="2" t="s">
        <v>74</v>
      </c>
      <c r="AG295" s="2" t="s">
        <v>74</v>
      </c>
      <c r="AH295" s="2" t="s">
        <v>74</v>
      </c>
      <c r="AI295" s="2" t="s">
        <v>74</v>
      </c>
      <c r="AJ295" s="2" t="s">
        <v>74</v>
      </c>
      <c r="AK295" s="2" t="s">
        <v>74</v>
      </c>
      <c r="AL295" s="2" t="s">
        <v>74</v>
      </c>
      <c r="AM295" s="2" t="s">
        <v>74</v>
      </c>
      <c r="AN295" s="2" t="s">
        <v>74</v>
      </c>
      <c r="AO295" s="2" t="s">
        <v>337</v>
      </c>
      <c r="AP295" s="2" t="s">
        <v>338</v>
      </c>
      <c r="AQ295" s="2" t="s">
        <v>74</v>
      </c>
      <c r="AR295" s="2" t="s">
        <v>74</v>
      </c>
      <c r="AS295" s="2" t="s">
        <v>74</v>
      </c>
      <c r="AT295" s="2" t="s">
        <v>1075</v>
      </c>
      <c r="AU295" s="2">
        <v>2018</v>
      </c>
      <c r="AV295" s="2">
        <v>29</v>
      </c>
      <c r="AW295" s="2">
        <v>6</v>
      </c>
      <c r="AX295" s="2" t="s">
        <v>74</v>
      </c>
      <c r="AY295" s="2" t="s">
        <v>74</v>
      </c>
      <c r="AZ295" s="2" t="s">
        <v>74</v>
      </c>
      <c r="BA295" s="2" t="s">
        <v>74</v>
      </c>
      <c r="BB295" s="2">
        <v>1472</v>
      </c>
      <c r="BC295" s="2">
        <v>1480</v>
      </c>
      <c r="BD295" s="2" t="s">
        <v>74</v>
      </c>
      <c r="BE295" s="2" t="s">
        <v>4249</v>
      </c>
      <c r="BF295" s="2" t="str">
        <f>HYPERLINK("http://dx.doi.org/10.1093/beheco/ary102","http://dx.doi.org/10.1093/beheco/ary102")</f>
        <v>http://dx.doi.org/10.1093/beheco/ary102</v>
      </c>
      <c r="BG295" s="2" t="s">
        <v>74</v>
      </c>
      <c r="BH295" s="2" t="s">
        <v>74</v>
      </c>
      <c r="BI295" s="2" t="s">
        <v>74</v>
      </c>
      <c r="BJ295" s="2" t="s">
        <v>74</v>
      </c>
      <c r="BK295" s="2" t="s">
        <v>74</v>
      </c>
      <c r="BL295" s="2" t="s">
        <v>74</v>
      </c>
      <c r="BM295" s="2" t="s">
        <v>74</v>
      </c>
      <c r="BN295" s="2" t="s">
        <v>74</v>
      </c>
      <c r="BO295" s="2" t="s">
        <v>74</v>
      </c>
      <c r="BP295" s="2" t="s">
        <v>74</v>
      </c>
      <c r="BQ295" s="2" t="s">
        <v>74</v>
      </c>
      <c r="BR295" s="2" t="s">
        <v>74</v>
      </c>
      <c r="BS295" s="2" t="s">
        <v>4250</v>
      </c>
      <c r="BT295" s="2" t="str">
        <f>HYPERLINK("https%3A%2F%2Fwww.webofscience.com%2Fwos%2Fwoscc%2Ffull-record%2FWOS:000453209600037","View Full Record in Web of Science")</f>
        <v>View Full Record in Web of Science</v>
      </c>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row>
    <row r="296" spans="1:314" s="2" customFormat="1" x14ac:dyDescent="0.4">
      <c r="A296" s="2" t="s">
        <v>72</v>
      </c>
      <c r="B296" s="2" t="s">
        <v>5835</v>
      </c>
      <c r="C296" s="2" t="s">
        <v>74</v>
      </c>
      <c r="D296" s="2" t="s">
        <v>74</v>
      </c>
      <c r="E296" s="2" t="s">
        <v>74</v>
      </c>
      <c r="F296" s="2" t="s">
        <v>5836</v>
      </c>
      <c r="G296" s="2" t="s">
        <v>74</v>
      </c>
      <c r="H296" s="2" t="s">
        <v>74</v>
      </c>
      <c r="I296" s="2" t="s">
        <v>5837</v>
      </c>
      <c r="J296" s="2" t="s">
        <v>108</v>
      </c>
      <c r="K296" s="2" t="s">
        <v>74</v>
      </c>
      <c r="L296" s="2" t="s">
        <v>74</v>
      </c>
      <c r="M296" s="2" t="s">
        <v>74</v>
      </c>
      <c r="N296" s="2" t="s">
        <v>74</v>
      </c>
      <c r="O296" s="2" t="s">
        <v>74</v>
      </c>
      <c r="P296" s="2" t="s">
        <v>74</v>
      </c>
      <c r="Q296" s="2" t="s">
        <v>74</v>
      </c>
      <c r="R296" s="2" t="s">
        <v>74</v>
      </c>
      <c r="S296" s="2" t="s">
        <v>74</v>
      </c>
      <c r="T296" s="2" t="s">
        <v>74</v>
      </c>
      <c r="U296" s="2" t="s">
        <v>74</v>
      </c>
      <c r="V296" s="5" t="s">
        <v>5838</v>
      </c>
      <c r="W296" s="2" t="s">
        <v>74</v>
      </c>
      <c r="X296" s="2" t="s">
        <v>74</v>
      </c>
      <c r="Y296" s="2" t="s">
        <v>74</v>
      </c>
      <c r="Z296" s="2" t="s">
        <v>74</v>
      </c>
      <c r="AA296" s="2" t="s">
        <v>5839</v>
      </c>
      <c r="AB296" s="2" t="s">
        <v>5840</v>
      </c>
      <c r="AC296" s="2" t="s">
        <v>74</v>
      </c>
      <c r="AD296" s="2" t="s">
        <v>74</v>
      </c>
      <c r="AE296" s="2" t="s">
        <v>74</v>
      </c>
      <c r="AF296" s="2" t="s">
        <v>74</v>
      </c>
      <c r="AG296" s="2" t="s">
        <v>74</v>
      </c>
      <c r="AH296" s="2" t="s">
        <v>74</v>
      </c>
      <c r="AI296" s="2" t="s">
        <v>74</v>
      </c>
      <c r="AJ296" s="2" t="s">
        <v>74</v>
      </c>
      <c r="AK296" s="2" t="s">
        <v>74</v>
      </c>
      <c r="AL296" s="2" t="s">
        <v>74</v>
      </c>
      <c r="AM296" s="2" t="s">
        <v>74</v>
      </c>
      <c r="AN296" s="2" t="s">
        <v>74</v>
      </c>
      <c r="AO296" s="2" t="s">
        <v>111</v>
      </c>
      <c r="AP296" s="2" t="s">
        <v>112</v>
      </c>
      <c r="AQ296" s="2" t="s">
        <v>74</v>
      </c>
      <c r="AR296" s="2" t="s">
        <v>74</v>
      </c>
      <c r="AS296" s="2" t="s">
        <v>74</v>
      </c>
      <c r="AT296" s="2" t="s">
        <v>3140</v>
      </c>
      <c r="AU296" s="2">
        <v>2007</v>
      </c>
      <c r="AV296" s="2">
        <v>274</v>
      </c>
      <c r="AW296" s="2">
        <v>1624</v>
      </c>
      <c r="AX296" s="2" t="s">
        <v>74</v>
      </c>
      <c r="AY296" s="2" t="s">
        <v>74</v>
      </c>
      <c r="AZ296" s="2" t="s">
        <v>74</v>
      </c>
      <c r="BA296" s="2" t="s">
        <v>74</v>
      </c>
      <c r="BB296" s="2">
        <v>2445</v>
      </c>
      <c r="BC296" s="2">
        <v>2448</v>
      </c>
      <c r="BD296" s="2" t="s">
        <v>74</v>
      </c>
      <c r="BE296" s="2" t="s">
        <v>5841</v>
      </c>
      <c r="BF296" s="2" t="str">
        <f>HYPERLINK("http://dx.doi.org/10.1098/rspb.2007.0797","http://dx.doi.org/10.1098/rspb.2007.0797")</f>
        <v>http://dx.doi.org/10.1098/rspb.2007.0797</v>
      </c>
      <c r="BG296" s="2" t="s">
        <v>74</v>
      </c>
      <c r="BH296" s="2" t="s">
        <v>74</v>
      </c>
      <c r="BI296" s="2" t="s">
        <v>74</v>
      </c>
      <c r="BJ296" s="2" t="s">
        <v>74</v>
      </c>
      <c r="BK296" s="2" t="s">
        <v>74</v>
      </c>
      <c r="BL296" s="2" t="s">
        <v>74</v>
      </c>
      <c r="BM296" s="2" t="s">
        <v>74</v>
      </c>
      <c r="BN296" s="2">
        <v>17652064</v>
      </c>
      <c r="BO296" s="2" t="s">
        <v>74</v>
      </c>
      <c r="BP296" s="2" t="s">
        <v>74</v>
      </c>
      <c r="BQ296" s="2" t="s">
        <v>74</v>
      </c>
      <c r="BR296" s="2" t="s">
        <v>74</v>
      </c>
      <c r="BS296" s="2" t="s">
        <v>5842</v>
      </c>
      <c r="BT296" s="2" t="str">
        <f>HYPERLINK("https%3A%2F%2Fwww.webofscience.com%2Fwos%2Fwoscc%2Ffull-record%2FWOS:000248887800011","View Full Record in Web of Science")</f>
        <v>View Full Record in Web of Science</v>
      </c>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row>
    <row r="297" spans="1:314" s="2" customFormat="1" x14ac:dyDescent="0.4">
      <c r="A297" s="2" t="s">
        <v>72</v>
      </c>
      <c r="B297" s="2" t="s">
        <v>5289</v>
      </c>
      <c r="C297" s="2" t="s">
        <v>74</v>
      </c>
      <c r="D297" s="2" t="s">
        <v>74</v>
      </c>
      <c r="E297" s="2" t="s">
        <v>74</v>
      </c>
      <c r="F297" s="2" t="s">
        <v>5290</v>
      </c>
      <c r="G297" s="2" t="s">
        <v>74</v>
      </c>
      <c r="H297" s="2" t="s">
        <v>74</v>
      </c>
      <c r="I297" s="2" t="s">
        <v>5291</v>
      </c>
      <c r="J297" s="2" t="s">
        <v>129</v>
      </c>
      <c r="K297" s="2" t="s">
        <v>74</v>
      </c>
      <c r="L297" s="2" t="s">
        <v>74</v>
      </c>
      <c r="M297" s="2" t="s">
        <v>74</v>
      </c>
      <c r="N297" s="2" t="s">
        <v>74</v>
      </c>
      <c r="O297" s="2" t="s">
        <v>74</v>
      </c>
      <c r="P297" s="2" t="s">
        <v>74</v>
      </c>
      <c r="Q297" s="2" t="s">
        <v>74</v>
      </c>
      <c r="R297" s="2" t="s">
        <v>74</v>
      </c>
      <c r="S297" s="2" t="s">
        <v>74</v>
      </c>
      <c r="T297" s="2" t="s">
        <v>74</v>
      </c>
      <c r="U297" s="2" t="s">
        <v>74</v>
      </c>
      <c r="V297" s="5" t="s">
        <v>5292</v>
      </c>
      <c r="W297" s="2" t="s">
        <v>74</v>
      </c>
      <c r="X297" s="2" t="s">
        <v>74</v>
      </c>
      <c r="Y297" s="2" t="s">
        <v>74</v>
      </c>
      <c r="Z297" s="2" t="s">
        <v>74</v>
      </c>
      <c r="AA297" s="2" t="s">
        <v>74</v>
      </c>
      <c r="AB297" s="2" t="s">
        <v>74</v>
      </c>
      <c r="AC297" s="2" t="s">
        <v>74</v>
      </c>
      <c r="AD297" s="2" t="s">
        <v>74</v>
      </c>
      <c r="AE297" s="2" t="s">
        <v>74</v>
      </c>
      <c r="AF297" s="2" t="s">
        <v>74</v>
      </c>
      <c r="AG297" s="2" t="s">
        <v>74</v>
      </c>
      <c r="AH297" s="2" t="s">
        <v>74</v>
      </c>
      <c r="AI297" s="2" t="s">
        <v>74</v>
      </c>
      <c r="AJ297" s="2" t="s">
        <v>74</v>
      </c>
      <c r="AK297" s="2" t="s">
        <v>74</v>
      </c>
      <c r="AL297" s="2" t="s">
        <v>74</v>
      </c>
      <c r="AM297" s="2" t="s">
        <v>74</v>
      </c>
      <c r="AN297" s="2" t="s">
        <v>74</v>
      </c>
      <c r="AO297" s="2" t="s">
        <v>132</v>
      </c>
      <c r="AP297" s="2" t="s">
        <v>133</v>
      </c>
      <c r="AQ297" s="2" t="s">
        <v>74</v>
      </c>
      <c r="AR297" s="2" t="s">
        <v>74</v>
      </c>
      <c r="AS297" s="2" t="s">
        <v>74</v>
      </c>
      <c r="AT297" s="2" t="s">
        <v>145</v>
      </c>
      <c r="AU297" s="2">
        <v>2013</v>
      </c>
      <c r="AV297" s="2">
        <v>67</v>
      </c>
      <c r="AW297" s="2">
        <v>8</v>
      </c>
      <c r="AX297" s="2" t="s">
        <v>74</v>
      </c>
      <c r="AY297" s="2" t="s">
        <v>74</v>
      </c>
      <c r="AZ297" s="2" t="s">
        <v>74</v>
      </c>
      <c r="BA297" s="2" t="s">
        <v>74</v>
      </c>
      <c r="BB297" s="2">
        <v>1357</v>
      </c>
      <c r="BC297" s="2">
        <v>1367</v>
      </c>
      <c r="BD297" s="2" t="s">
        <v>74</v>
      </c>
      <c r="BE297" s="2" t="s">
        <v>5293</v>
      </c>
      <c r="BF297" s="2" t="str">
        <f>HYPERLINK("http://dx.doi.org/10.1007/s00265-013-1564-z","http://dx.doi.org/10.1007/s00265-013-1564-z")</f>
        <v>http://dx.doi.org/10.1007/s00265-013-1564-z</v>
      </c>
      <c r="BG297" s="2" t="s">
        <v>74</v>
      </c>
      <c r="BH297" s="2" t="s">
        <v>74</v>
      </c>
      <c r="BI297" s="2" t="s">
        <v>74</v>
      </c>
      <c r="BJ297" s="2" t="s">
        <v>74</v>
      </c>
      <c r="BK297" s="2" t="s">
        <v>74</v>
      </c>
      <c r="BL297" s="2" t="s">
        <v>74</v>
      </c>
      <c r="BM297" s="2" t="s">
        <v>74</v>
      </c>
      <c r="BN297" s="2" t="s">
        <v>74</v>
      </c>
      <c r="BO297" s="2" t="s">
        <v>74</v>
      </c>
      <c r="BP297" s="2" t="s">
        <v>74</v>
      </c>
      <c r="BQ297" s="2" t="s">
        <v>74</v>
      </c>
      <c r="BR297" s="2" t="s">
        <v>74</v>
      </c>
      <c r="BS297" s="2" t="s">
        <v>5294</v>
      </c>
      <c r="BT297" s="2" t="str">
        <f>HYPERLINK("https%3A%2F%2Fwww.webofscience.com%2Fwos%2Fwoscc%2Ffull-record%2FWOS:000321964800016","View Full Record in Web of Science")</f>
        <v>View Full Record in Web of Science</v>
      </c>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row>
    <row r="298" spans="1:314" s="2" customFormat="1" x14ac:dyDescent="0.4">
      <c r="A298" s="2" t="s">
        <v>72</v>
      </c>
      <c r="B298" s="2" t="s">
        <v>2008</v>
      </c>
      <c r="C298" s="2" t="s">
        <v>74</v>
      </c>
      <c r="D298" s="2" t="s">
        <v>74</v>
      </c>
      <c r="E298" s="2" t="s">
        <v>74</v>
      </c>
      <c r="F298" s="2" t="s">
        <v>2008</v>
      </c>
      <c r="G298" s="2" t="s">
        <v>74</v>
      </c>
      <c r="H298" s="2" t="s">
        <v>74</v>
      </c>
      <c r="I298" s="2" t="s">
        <v>2009</v>
      </c>
      <c r="J298" s="2" t="s">
        <v>333</v>
      </c>
      <c r="K298" s="2" t="s">
        <v>74</v>
      </c>
      <c r="L298" s="2" t="s">
        <v>74</v>
      </c>
      <c r="M298" s="2" t="s">
        <v>74</v>
      </c>
      <c r="N298" s="2" t="s">
        <v>74</v>
      </c>
      <c r="O298" s="2" t="s">
        <v>74</v>
      </c>
      <c r="P298" s="2" t="s">
        <v>74</v>
      </c>
      <c r="Q298" s="2" t="s">
        <v>74</v>
      </c>
      <c r="R298" s="2" t="s">
        <v>74</v>
      </c>
      <c r="S298" s="2" t="s">
        <v>74</v>
      </c>
      <c r="T298" s="2" t="s">
        <v>74</v>
      </c>
      <c r="U298" s="2" t="s">
        <v>74</v>
      </c>
      <c r="V298" s="5" t="s">
        <v>2010</v>
      </c>
      <c r="W298" s="2" t="s">
        <v>74</v>
      </c>
      <c r="X298" s="2" t="s">
        <v>74</v>
      </c>
      <c r="Y298" s="2" t="s">
        <v>74</v>
      </c>
      <c r="Z298" s="2" t="s">
        <v>74</v>
      </c>
      <c r="AA298" s="2" t="s">
        <v>74</v>
      </c>
      <c r="AB298" s="2" t="s">
        <v>2011</v>
      </c>
      <c r="AC298" s="2" t="s">
        <v>74</v>
      </c>
      <c r="AD298" s="2" t="s">
        <v>74</v>
      </c>
      <c r="AE298" s="2" t="s">
        <v>74</v>
      </c>
      <c r="AF298" s="2" t="s">
        <v>74</v>
      </c>
      <c r="AG298" s="2" t="s">
        <v>74</v>
      </c>
      <c r="AH298" s="2" t="s">
        <v>74</v>
      </c>
      <c r="AI298" s="2" t="s">
        <v>74</v>
      </c>
      <c r="AJ298" s="2" t="s">
        <v>74</v>
      </c>
      <c r="AK298" s="2" t="s">
        <v>74</v>
      </c>
      <c r="AL298" s="2" t="s">
        <v>74</v>
      </c>
      <c r="AM298" s="2" t="s">
        <v>74</v>
      </c>
      <c r="AN298" s="2" t="s">
        <v>74</v>
      </c>
      <c r="AO298" s="2" t="s">
        <v>337</v>
      </c>
      <c r="AP298" s="2" t="s">
        <v>74</v>
      </c>
      <c r="AQ298" s="2" t="s">
        <v>74</v>
      </c>
      <c r="AR298" s="2" t="s">
        <v>74</v>
      </c>
      <c r="AS298" s="2" t="s">
        <v>74</v>
      </c>
      <c r="AT298" s="2" t="s">
        <v>255</v>
      </c>
      <c r="AU298" s="2">
        <v>2002</v>
      </c>
      <c r="AV298" s="2">
        <v>13</v>
      </c>
      <c r="AW298" s="2">
        <v>1</v>
      </c>
      <c r="AX298" s="2" t="s">
        <v>74</v>
      </c>
      <c r="AY298" s="2" t="s">
        <v>74</v>
      </c>
      <c r="AZ298" s="2" t="s">
        <v>74</v>
      </c>
      <c r="BA298" s="2" t="s">
        <v>74</v>
      </c>
      <c r="BB298" s="2">
        <v>59</v>
      </c>
      <c r="BC298" s="2">
        <v>64</v>
      </c>
      <c r="BD298" s="2" t="s">
        <v>74</v>
      </c>
      <c r="BE298" s="2" t="s">
        <v>2012</v>
      </c>
      <c r="BF298" s="2" t="str">
        <f>HYPERLINK("http://dx.doi.org/10.1093/beheco/13.1.59","http://dx.doi.org/10.1093/beheco/13.1.59")</f>
        <v>http://dx.doi.org/10.1093/beheco/13.1.59</v>
      </c>
      <c r="BG298" s="2" t="s">
        <v>74</v>
      </c>
      <c r="BH298" s="2" t="s">
        <v>74</v>
      </c>
      <c r="BI298" s="2" t="s">
        <v>74</v>
      </c>
      <c r="BJ298" s="2" t="s">
        <v>74</v>
      </c>
      <c r="BK298" s="2" t="s">
        <v>74</v>
      </c>
      <c r="BL298" s="2" t="s">
        <v>74</v>
      </c>
      <c r="BM298" s="2" t="s">
        <v>74</v>
      </c>
      <c r="BN298" s="2" t="s">
        <v>74</v>
      </c>
      <c r="BO298" s="2" t="s">
        <v>74</v>
      </c>
      <c r="BP298" s="2" t="s">
        <v>74</v>
      </c>
      <c r="BQ298" s="2" t="s">
        <v>74</v>
      </c>
      <c r="BR298" s="2" t="s">
        <v>74</v>
      </c>
      <c r="BS298" s="2" t="s">
        <v>2013</v>
      </c>
      <c r="BT298" s="2" t="str">
        <f>HYPERLINK("https%3A%2F%2Fwww.webofscience.com%2Fwos%2Fwoscc%2Ffull-record%2FWOS:000173390700008","View Full Record in Web of Science")</f>
        <v>View Full Record in Web of Science</v>
      </c>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row>
    <row r="299" spans="1:314" s="2" customFormat="1" x14ac:dyDescent="0.4">
      <c r="A299" s="2" t="s">
        <v>72</v>
      </c>
      <c r="B299" s="2" t="s">
        <v>6996</v>
      </c>
      <c r="C299" s="2" t="s">
        <v>74</v>
      </c>
      <c r="D299" s="2" t="s">
        <v>74</v>
      </c>
      <c r="E299" s="2" t="s">
        <v>74</v>
      </c>
      <c r="F299" s="2" t="s">
        <v>6997</v>
      </c>
      <c r="G299" s="2" t="s">
        <v>74</v>
      </c>
      <c r="H299" s="2" t="s">
        <v>74</v>
      </c>
      <c r="I299" s="2" t="s">
        <v>6998</v>
      </c>
      <c r="J299" s="2" t="s">
        <v>99</v>
      </c>
      <c r="K299" s="2" t="s">
        <v>74</v>
      </c>
      <c r="L299" s="2" t="s">
        <v>74</v>
      </c>
      <c r="M299" s="2" t="s">
        <v>74</v>
      </c>
      <c r="N299" s="2" t="s">
        <v>74</v>
      </c>
      <c r="O299" s="2" t="s">
        <v>74</v>
      </c>
      <c r="P299" s="2" t="s">
        <v>74</v>
      </c>
      <c r="Q299" s="2" t="s">
        <v>74</v>
      </c>
      <c r="R299" s="2" t="s">
        <v>74</v>
      </c>
      <c r="S299" s="2" t="s">
        <v>74</v>
      </c>
      <c r="T299" s="2" t="s">
        <v>74</v>
      </c>
      <c r="U299" s="2" t="s">
        <v>74</v>
      </c>
      <c r="V299" s="5" t="s">
        <v>6999</v>
      </c>
      <c r="W299" s="2" t="s">
        <v>74</v>
      </c>
      <c r="X299" s="2" t="s">
        <v>74</v>
      </c>
      <c r="Y299" s="2" t="s">
        <v>74</v>
      </c>
      <c r="Z299" s="2" t="s">
        <v>74</v>
      </c>
      <c r="AA299" s="2" t="s">
        <v>74</v>
      </c>
      <c r="AB299" s="2" t="s">
        <v>74</v>
      </c>
      <c r="AC299" s="2" t="s">
        <v>74</v>
      </c>
      <c r="AD299" s="2" t="s">
        <v>74</v>
      </c>
      <c r="AE299" s="2" t="s">
        <v>74</v>
      </c>
      <c r="AF299" s="2" t="s">
        <v>74</v>
      </c>
      <c r="AG299" s="2" t="s">
        <v>74</v>
      </c>
      <c r="AH299" s="2" t="s">
        <v>74</v>
      </c>
      <c r="AI299" s="2" t="s">
        <v>74</v>
      </c>
      <c r="AJ299" s="2" t="s">
        <v>74</v>
      </c>
      <c r="AK299" s="2" t="s">
        <v>74</v>
      </c>
      <c r="AL299" s="2" t="s">
        <v>74</v>
      </c>
      <c r="AM299" s="2" t="s">
        <v>74</v>
      </c>
      <c r="AN299" s="2" t="s">
        <v>74</v>
      </c>
      <c r="AO299" s="2" t="s">
        <v>101</v>
      </c>
      <c r="AP299" s="2" t="s">
        <v>1218</v>
      </c>
      <c r="AQ299" s="2" t="s">
        <v>74</v>
      </c>
      <c r="AR299" s="2" t="s">
        <v>74</v>
      </c>
      <c r="AS299" s="2" t="s">
        <v>74</v>
      </c>
      <c r="AT299" s="2" t="s">
        <v>102</v>
      </c>
      <c r="AU299" s="2">
        <v>2009</v>
      </c>
      <c r="AV299" s="2">
        <v>121</v>
      </c>
      <c r="AW299" s="2">
        <v>2</v>
      </c>
      <c r="AX299" s="2" t="s">
        <v>74</v>
      </c>
      <c r="AY299" s="2" t="s">
        <v>74</v>
      </c>
      <c r="AZ299" s="2" t="s">
        <v>74</v>
      </c>
      <c r="BA299" s="2" t="s">
        <v>74</v>
      </c>
      <c r="BB299" s="2">
        <v>359</v>
      </c>
      <c r="BC299" s="2">
        <v>365</v>
      </c>
      <c r="BD299" s="2" t="s">
        <v>74</v>
      </c>
      <c r="BE299" s="2" t="s">
        <v>7000</v>
      </c>
      <c r="BF299" s="2" t="str">
        <f>HYPERLINK("http://dx.doi.org/10.1676/07-138.1","http://dx.doi.org/10.1676/07-138.1")</f>
        <v>http://dx.doi.org/10.1676/07-138.1</v>
      </c>
      <c r="BG299" s="2" t="s">
        <v>74</v>
      </c>
      <c r="BH299" s="2" t="s">
        <v>74</v>
      </c>
      <c r="BI299" s="2" t="s">
        <v>74</v>
      </c>
      <c r="BJ299" s="2" t="s">
        <v>74</v>
      </c>
      <c r="BK299" s="2" t="s">
        <v>74</v>
      </c>
      <c r="BL299" s="2" t="s">
        <v>74</v>
      </c>
      <c r="BM299" s="2" t="s">
        <v>74</v>
      </c>
      <c r="BN299" s="2" t="s">
        <v>74</v>
      </c>
      <c r="BO299" s="2" t="s">
        <v>74</v>
      </c>
      <c r="BP299" s="2" t="s">
        <v>74</v>
      </c>
      <c r="BQ299" s="2" t="s">
        <v>74</v>
      </c>
      <c r="BR299" s="2" t="s">
        <v>74</v>
      </c>
      <c r="BS299" s="2" t="s">
        <v>7001</v>
      </c>
      <c r="BT299" s="2" t="str">
        <f>HYPERLINK("https%3A%2F%2Fwww.webofscience.com%2Fwos%2Fwoscc%2Ffull-record%2FWOS:000276803600015","View Full Record in Web of Science")</f>
        <v>View Full Record in Web of Science</v>
      </c>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row>
    <row r="300" spans="1:314" s="2" customFormat="1" x14ac:dyDescent="0.4">
      <c r="A300" s="2" t="s">
        <v>72</v>
      </c>
      <c r="B300" s="2" t="s">
        <v>8545</v>
      </c>
      <c r="C300" s="2" t="s">
        <v>74</v>
      </c>
      <c r="D300" s="2" t="s">
        <v>74</v>
      </c>
      <c r="E300" s="2" t="s">
        <v>74</v>
      </c>
      <c r="F300" s="2" t="s">
        <v>8545</v>
      </c>
      <c r="G300" s="2" t="s">
        <v>74</v>
      </c>
      <c r="H300" s="2" t="s">
        <v>74</v>
      </c>
      <c r="I300" s="2" t="s">
        <v>8546</v>
      </c>
      <c r="J300" s="2" t="s">
        <v>1126</v>
      </c>
      <c r="K300" s="2" t="s">
        <v>74</v>
      </c>
      <c r="L300" s="2" t="s">
        <v>74</v>
      </c>
      <c r="M300" s="2" t="s">
        <v>74</v>
      </c>
      <c r="N300" s="2" t="s">
        <v>74</v>
      </c>
      <c r="O300" s="2" t="s">
        <v>74</v>
      </c>
      <c r="P300" s="2" t="s">
        <v>74</v>
      </c>
      <c r="Q300" s="2" t="s">
        <v>74</v>
      </c>
      <c r="R300" s="2" t="s">
        <v>74</v>
      </c>
      <c r="S300" s="2" t="s">
        <v>74</v>
      </c>
      <c r="T300" s="2" t="s">
        <v>74</v>
      </c>
      <c r="U300" s="2" t="s">
        <v>74</v>
      </c>
      <c r="V300" s="5" t="s">
        <v>8547</v>
      </c>
      <c r="W300" s="2" t="s">
        <v>74</v>
      </c>
      <c r="X300" s="2" t="s">
        <v>74</v>
      </c>
      <c r="Y300" s="2" t="s">
        <v>74</v>
      </c>
      <c r="Z300" s="2" t="s">
        <v>74</v>
      </c>
      <c r="AA300" s="2" t="s">
        <v>74</v>
      </c>
      <c r="AB300" s="2" t="s">
        <v>74</v>
      </c>
      <c r="AC300" s="2" t="s">
        <v>74</v>
      </c>
      <c r="AD300" s="2" t="s">
        <v>74</v>
      </c>
      <c r="AE300" s="2" t="s">
        <v>74</v>
      </c>
      <c r="AF300" s="2" t="s">
        <v>74</v>
      </c>
      <c r="AG300" s="2" t="s">
        <v>74</v>
      </c>
      <c r="AH300" s="2" t="s">
        <v>74</v>
      </c>
      <c r="AI300" s="2" t="s">
        <v>74</v>
      </c>
      <c r="AJ300" s="2" t="s">
        <v>74</v>
      </c>
      <c r="AK300" s="2" t="s">
        <v>74</v>
      </c>
      <c r="AL300" s="2" t="s">
        <v>74</v>
      </c>
      <c r="AM300" s="2" t="s">
        <v>74</v>
      </c>
      <c r="AN300" s="2" t="s">
        <v>74</v>
      </c>
      <c r="AO300" s="2" t="s">
        <v>1128</v>
      </c>
      <c r="AP300" s="2" t="s">
        <v>1129</v>
      </c>
      <c r="AQ300" s="2" t="s">
        <v>74</v>
      </c>
      <c r="AR300" s="2" t="s">
        <v>74</v>
      </c>
      <c r="AS300" s="2" t="s">
        <v>74</v>
      </c>
      <c r="AT300" s="2" t="s">
        <v>8548</v>
      </c>
      <c r="AU300" s="2">
        <v>2005</v>
      </c>
      <c r="AV300" s="2" t="s">
        <v>74</v>
      </c>
      <c r="AW300" s="2">
        <v>3</v>
      </c>
      <c r="AX300" s="2" t="s">
        <v>74</v>
      </c>
      <c r="AY300" s="2" t="s">
        <v>74</v>
      </c>
      <c r="AZ300" s="2" t="s">
        <v>74</v>
      </c>
      <c r="BA300" s="2" t="s">
        <v>74</v>
      </c>
      <c r="BB300" s="2">
        <v>597</v>
      </c>
      <c r="BC300" s="2">
        <v>608</v>
      </c>
      <c r="BD300" s="2" t="s">
        <v>74</v>
      </c>
      <c r="BE300" s="2" t="s">
        <v>74</v>
      </c>
      <c r="BF300" s="2" t="s">
        <v>74</v>
      </c>
      <c r="BG300" s="2" t="s">
        <v>74</v>
      </c>
      <c r="BH300" s="2" t="s">
        <v>74</v>
      </c>
      <c r="BI300" s="2" t="s">
        <v>74</v>
      </c>
      <c r="BJ300" s="2" t="s">
        <v>74</v>
      </c>
      <c r="BK300" s="2" t="s">
        <v>74</v>
      </c>
      <c r="BL300" s="2" t="s">
        <v>74</v>
      </c>
      <c r="BM300" s="2" t="s">
        <v>74</v>
      </c>
      <c r="BN300" s="2" t="s">
        <v>74</v>
      </c>
      <c r="BO300" s="2" t="s">
        <v>74</v>
      </c>
      <c r="BP300" s="2" t="s">
        <v>74</v>
      </c>
      <c r="BQ300" s="2" t="s">
        <v>74</v>
      </c>
      <c r="BR300" s="2" t="s">
        <v>74</v>
      </c>
      <c r="BS300" s="2" t="s">
        <v>8549</v>
      </c>
      <c r="BT300" s="2" t="str">
        <f>HYPERLINK("https%3A%2F%2Fwww.webofscience.com%2Fwos%2Fwoscc%2Ffull-record%2FWOS:000231035500014","View Full Record in Web of Science")</f>
        <v>View Full Record in Web of Science</v>
      </c>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row>
    <row r="301" spans="1:314" s="2" customFormat="1" x14ac:dyDescent="0.4">
      <c r="A301" s="2" t="s">
        <v>72</v>
      </c>
      <c r="B301" s="2" t="s">
        <v>6039</v>
      </c>
      <c r="C301" s="2" t="s">
        <v>74</v>
      </c>
      <c r="D301" s="2" t="s">
        <v>74</v>
      </c>
      <c r="E301" s="2" t="s">
        <v>74</v>
      </c>
      <c r="F301" s="2" t="s">
        <v>6040</v>
      </c>
      <c r="G301" s="2" t="s">
        <v>74</v>
      </c>
      <c r="H301" s="2" t="s">
        <v>74</v>
      </c>
      <c r="I301" s="2" t="s">
        <v>6041</v>
      </c>
      <c r="J301" s="2" t="s">
        <v>6042</v>
      </c>
      <c r="K301" s="2" t="s">
        <v>74</v>
      </c>
      <c r="L301" s="2" t="s">
        <v>74</v>
      </c>
      <c r="M301" s="2" t="s">
        <v>74</v>
      </c>
      <c r="N301" s="2" t="s">
        <v>74</v>
      </c>
      <c r="O301" s="2" t="s">
        <v>74</v>
      </c>
      <c r="P301" s="2" t="s">
        <v>74</v>
      </c>
      <c r="Q301" s="2" t="s">
        <v>74</v>
      </c>
      <c r="R301" s="2" t="s">
        <v>74</v>
      </c>
      <c r="S301" s="2" t="s">
        <v>74</v>
      </c>
      <c r="T301" s="2" t="s">
        <v>74</v>
      </c>
      <c r="U301" s="2" t="s">
        <v>74</v>
      </c>
      <c r="V301" s="5" t="s">
        <v>6043</v>
      </c>
      <c r="W301" s="2" t="s">
        <v>74</v>
      </c>
      <c r="X301" s="2" t="s">
        <v>74</v>
      </c>
      <c r="Y301" s="2" t="s">
        <v>74</v>
      </c>
      <c r="Z301" s="2" t="s">
        <v>74</v>
      </c>
      <c r="AA301" s="2" t="s">
        <v>74</v>
      </c>
      <c r="AB301" s="2" t="s">
        <v>74</v>
      </c>
      <c r="AC301" s="2" t="s">
        <v>74</v>
      </c>
      <c r="AD301" s="2" t="s">
        <v>74</v>
      </c>
      <c r="AE301" s="2" t="s">
        <v>74</v>
      </c>
      <c r="AF301" s="2" t="s">
        <v>74</v>
      </c>
      <c r="AG301" s="2" t="s">
        <v>74</v>
      </c>
      <c r="AH301" s="2" t="s">
        <v>74</v>
      </c>
      <c r="AI301" s="2" t="s">
        <v>74</v>
      </c>
      <c r="AJ301" s="2" t="s">
        <v>74</v>
      </c>
      <c r="AK301" s="2" t="s">
        <v>74</v>
      </c>
      <c r="AL301" s="2" t="s">
        <v>74</v>
      </c>
      <c r="AM301" s="2" t="s">
        <v>74</v>
      </c>
      <c r="AN301" s="2" t="s">
        <v>74</v>
      </c>
      <c r="AO301" s="2" t="s">
        <v>6044</v>
      </c>
      <c r="AP301" s="2" t="s">
        <v>6045</v>
      </c>
      <c r="AQ301" s="2" t="s">
        <v>74</v>
      </c>
      <c r="AR301" s="2" t="s">
        <v>74</v>
      </c>
      <c r="AS301" s="2" t="s">
        <v>74</v>
      </c>
      <c r="AT301" s="2" t="s">
        <v>1349</v>
      </c>
      <c r="AU301" s="2">
        <v>2008</v>
      </c>
      <c r="AV301" s="2" t="s">
        <v>6046</v>
      </c>
      <c r="AW301" s="2">
        <v>9</v>
      </c>
      <c r="AX301" s="2" t="s">
        <v>74</v>
      </c>
      <c r="AY301" s="2" t="s">
        <v>74</v>
      </c>
      <c r="AZ301" s="2" t="s">
        <v>74</v>
      </c>
      <c r="BA301" s="2" t="s">
        <v>74</v>
      </c>
      <c r="BB301" s="2">
        <v>505</v>
      </c>
      <c r="BC301" s="2">
        <v>514</v>
      </c>
      <c r="BD301" s="2" t="s">
        <v>74</v>
      </c>
      <c r="BE301" s="2" t="s">
        <v>6047</v>
      </c>
      <c r="BF301" s="2" t="str">
        <f>HYPERLINK("http://dx.doi.org/10.1002/jez.481","http://dx.doi.org/10.1002/jez.481")</f>
        <v>http://dx.doi.org/10.1002/jez.481</v>
      </c>
      <c r="BG301" s="2" t="s">
        <v>74</v>
      </c>
      <c r="BH301" s="2" t="s">
        <v>74</v>
      </c>
      <c r="BI301" s="2" t="s">
        <v>74</v>
      </c>
      <c r="BJ301" s="2" t="s">
        <v>74</v>
      </c>
      <c r="BK301" s="2" t="s">
        <v>74</v>
      </c>
      <c r="BL301" s="2" t="s">
        <v>74</v>
      </c>
      <c r="BM301" s="2" t="s">
        <v>74</v>
      </c>
      <c r="BN301" s="2">
        <v>18661470</v>
      </c>
      <c r="BO301" s="2" t="s">
        <v>74</v>
      </c>
      <c r="BP301" s="2" t="s">
        <v>74</v>
      </c>
      <c r="BQ301" s="2" t="s">
        <v>74</v>
      </c>
      <c r="BR301" s="2" t="s">
        <v>74</v>
      </c>
      <c r="BS301" s="2" t="s">
        <v>6048</v>
      </c>
      <c r="BT301" s="2" t="str">
        <f>HYPERLINK("https%3A%2F%2Fwww.webofscience.com%2Fwos%2Fwoscc%2Ffull-record%2FWOS:000260626200001","View Full Record in Web of Science")</f>
        <v>View Full Record in Web of Science</v>
      </c>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row>
    <row r="302" spans="1:314" s="2" customFormat="1" x14ac:dyDescent="0.4">
      <c r="A302" s="2" t="s">
        <v>72</v>
      </c>
      <c r="B302" s="2" t="s">
        <v>7252</v>
      </c>
      <c r="C302" s="2" t="s">
        <v>74</v>
      </c>
      <c r="D302" s="2" t="s">
        <v>74</v>
      </c>
      <c r="E302" s="2" t="s">
        <v>74</v>
      </c>
      <c r="F302" s="2" t="s">
        <v>7252</v>
      </c>
      <c r="G302" s="2" t="s">
        <v>74</v>
      </c>
      <c r="H302" s="2" t="s">
        <v>74</v>
      </c>
      <c r="I302" s="2" t="s">
        <v>7253</v>
      </c>
      <c r="J302" s="2" t="s">
        <v>2144</v>
      </c>
      <c r="K302" s="2" t="s">
        <v>74</v>
      </c>
      <c r="L302" s="2" t="s">
        <v>74</v>
      </c>
      <c r="M302" s="2" t="s">
        <v>74</v>
      </c>
      <c r="N302" s="2" t="s">
        <v>74</v>
      </c>
      <c r="O302" s="2" t="s">
        <v>74</v>
      </c>
      <c r="P302" s="2" t="s">
        <v>74</v>
      </c>
      <c r="Q302" s="2" t="s">
        <v>74</v>
      </c>
      <c r="R302" s="2" t="s">
        <v>74</v>
      </c>
      <c r="S302" s="2" t="s">
        <v>74</v>
      </c>
      <c r="T302" s="2" t="s">
        <v>74</v>
      </c>
      <c r="U302" s="2" t="s">
        <v>74</v>
      </c>
      <c r="V302" s="5" t="s">
        <v>7254</v>
      </c>
      <c r="W302" s="2" t="s">
        <v>74</v>
      </c>
      <c r="X302" s="2" t="s">
        <v>74</v>
      </c>
      <c r="Y302" s="2" t="s">
        <v>74</v>
      </c>
      <c r="Z302" s="2" t="s">
        <v>74</v>
      </c>
      <c r="AA302" s="2" t="s">
        <v>74</v>
      </c>
      <c r="AB302" s="2" t="s">
        <v>74</v>
      </c>
      <c r="AC302" s="2" t="s">
        <v>74</v>
      </c>
      <c r="AD302" s="2" t="s">
        <v>74</v>
      </c>
      <c r="AE302" s="2" t="s">
        <v>74</v>
      </c>
      <c r="AF302" s="2" t="s">
        <v>74</v>
      </c>
      <c r="AG302" s="2" t="s">
        <v>74</v>
      </c>
      <c r="AH302" s="2" t="s">
        <v>74</v>
      </c>
      <c r="AI302" s="2" t="s">
        <v>74</v>
      </c>
      <c r="AJ302" s="2" t="s">
        <v>74</v>
      </c>
      <c r="AK302" s="2" t="s">
        <v>74</v>
      </c>
      <c r="AL302" s="2" t="s">
        <v>74</v>
      </c>
      <c r="AM302" s="2" t="s">
        <v>74</v>
      </c>
      <c r="AN302" s="2" t="s">
        <v>74</v>
      </c>
      <c r="AO302" s="2" t="s">
        <v>2146</v>
      </c>
      <c r="AP302" s="2" t="s">
        <v>2147</v>
      </c>
      <c r="AQ302" s="2" t="s">
        <v>74</v>
      </c>
      <c r="AR302" s="2" t="s">
        <v>74</v>
      </c>
      <c r="AS302" s="2" t="s">
        <v>74</v>
      </c>
      <c r="AT302" s="2" t="s">
        <v>74</v>
      </c>
      <c r="AU302" s="2">
        <v>1977</v>
      </c>
      <c r="AV302" s="2">
        <v>4</v>
      </c>
      <c r="AW302" s="2">
        <v>4</v>
      </c>
      <c r="AX302" s="2" t="s">
        <v>74</v>
      </c>
      <c r="AY302" s="2" t="s">
        <v>74</v>
      </c>
      <c r="AZ302" s="2" t="s">
        <v>74</v>
      </c>
      <c r="BA302" s="2" t="s">
        <v>74</v>
      </c>
      <c r="BB302" s="2">
        <v>413</v>
      </c>
      <c r="BC302" s="2">
        <v>433</v>
      </c>
      <c r="BD302" s="2" t="s">
        <v>74</v>
      </c>
      <c r="BE302" s="2" t="s">
        <v>7255</v>
      </c>
      <c r="BF302" s="2" t="str">
        <f>HYPERLINK("http://dx.doi.org/10.1080/03014223.1977.9517966","http://dx.doi.org/10.1080/03014223.1977.9517966")</f>
        <v>http://dx.doi.org/10.1080/03014223.1977.9517966</v>
      </c>
      <c r="BG302" s="2" t="s">
        <v>74</v>
      </c>
      <c r="BH302" s="2" t="s">
        <v>74</v>
      </c>
      <c r="BI302" s="2" t="s">
        <v>74</v>
      </c>
      <c r="BJ302" s="2" t="s">
        <v>74</v>
      </c>
      <c r="BK302" s="2" t="s">
        <v>74</v>
      </c>
      <c r="BL302" s="2" t="s">
        <v>74</v>
      </c>
      <c r="BM302" s="2" t="s">
        <v>74</v>
      </c>
      <c r="BN302" s="2" t="s">
        <v>74</v>
      </c>
      <c r="BO302" s="2" t="s">
        <v>74</v>
      </c>
      <c r="BP302" s="2" t="s">
        <v>74</v>
      </c>
      <c r="BQ302" s="2" t="s">
        <v>74</v>
      </c>
      <c r="BR302" s="2" t="s">
        <v>74</v>
      </c>
      <c r="BS302" s="2" t="s">
        <v>7256</v>
      </c>
      <c r="BT302" s="2" t="str">
        <f>HYPERLINK("https%3A%2F%2Fwww.webofscience.com%2Fwos%2Fwoscc%2Ffull-record%2FWOS:A1977EK27900008","View Full Record in Web of Science")</f>
        <v>View Full Record in Web of Science</v>
      </c>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row>
    <row r="303" spans="1:314" s="2" customFormat="1" x14ac:dyDescent="0.4">
      <c r="A303" s="2" t="s">
        <v>72</v>
      </c>
      <c r="B303" s="2" t="s">
        <v>5342</v>
      </c>
      <c r="C303" s="2" t="s">
        <v>74</v>
      </c>
      <c r="D303" s="2" t="s">
        <v>74</v>
      </c>
      <c r="E303" s="2" t="s">
        <v>74</v>
      </c>
      <c r="F303" s="2" t="s">
        <v>5342</v>
      </c>
      <c r="G303" s="2" t="s">
        <v>74</v>
      </c>
      <c r="H303" s="2" t="s">
        <v>74</v>
      </c>
      <c r="I303" s="2" t="s">
        <v>5343</v>
      </c>
      <c r="J303" s="2" t="s">
        <v>1995</v>
      </c>
      <c r="K303" s="2" t="s">
        <v>74</v>
      </c>
      <c r="L303" s="2" t="s">
        <v>74</v>
      </c>
      <c r="M303" s="2" t="s">
        <v>74</v>
      </c>
      <c r="N303" s="2" t="s">
        <v>74</v>
      </c>
      <c r="O303" s="2" t="s">
        <v>74</v>
      </c>
      <c r="P303" s="2" t="s">
        <v>74</v>
      </c>
      <c r="Q303" s="2" t="s">
        <v>74</v>
      </c>
      <c r="R303" s="2" t="s">
        <v>74</v>
      </c>
      <c r="S303" s="2" t="s">
        <v>74</v>
      </c>
      <c r="T303" s="2" t="s">
        <v>74</v>
      </c>
      <c r="U303" s="2" t="s">
        <v>74</v>
      </c>
      <c r="V303" s="5" t="s">
        <v>5344</v>
      </c>
      <c r="W303" s="2" t="s">
        <v>74</v>
      </c>
      <c r="X303" s="2" t="s">
        <v>74</v>
      </c>
      <c r="Y303" s="2" t="s">
        <v>74</v>
      </c>
      <c r="Z303" s="2" t="s">
        <v>74</v>
      </c>
      <c r="AA303" s="2" t="s">
        <v>74</v>
      </c>
      <c r="AB303" s="2" t="s">
        <v>74</v>
      </c>
      <c r="AC303" s="2" t="s">
        <v>74</v>
      </c>
      <c r="AD303" s="2" t="s">
        <v>74</v>
      </c>
      <c r="AE303" s="2" t="s">
        <v>74</v>
      </c>
      <c r="AF303" s="2" t="s">
        <v>74</v>
      </c>
      <c r="AG303" s="2" t="s">
        <v>74</v>
      </c>
      <c r="AH303" s="2" t="s">
        <v>74</v>
      </c>
      <c r="AI303" s="2" t="s">
        <v>74</v>
      </c>
      <c r="AJ303" s="2" t="s">
        <v>74</v>
      </c>
      <c r="AK303" s="2" t="s">
        <v>74</v>
      </c>
      <c r="AL303" s="2" t="s">
        <v>74</v>
      </c>
      <c r="AM303" s="2" t="s">
        <v>74</v>
      </c>
      <c r="AN303" s="2" t="s">
        <v>74</v>
      </c>
      <c r="AO303" s="2" t="s">
        <v>1997</v>
      </c>
      <c r="AP303" s="2" t="s">
        <v>74</v>
      </c>
      <c r="AQ303" s="2" t="s">
        <v>74</v>
      </c>
      <c r="AR303" s="2" t="s">
        <v>74</v>
      </c>
      <c r="AS303" s="2" t="s">
        <v>74</v>
      </c>
      <c r="AT303" s="2" t="s">
        <v>5345</v>
      </c>
      <c r="AU303" s="2">
        <v>2002</v>
      </c>
      <c r="AV303" s="2">
        <v>73</v>
      </c>
      <c r="AW303" s="2">
        <v>1</v>
      </c>
      <c r="AX303" s="2" t="s">
        <v>74</v>
      </c>
      <c r="AY303" s="2" t="s">
        <v>74</v>
      </c>
      <c r="AZ303" s="2" t="s">
        <v>74</v>
      </c>
      <c r="BA303" s="2" t="s">
        <v>74</v>
      </c>
      <c r="BB303" s="2">
        <v>70</v>
      </c>
      <c r="BC303" s="2">
        <v>73</v>
      </c>
      <c r="BD303" s="2" t="s">
        <v>74</v>
      </c>
      <c r="BE303" s="2" t="s">
        <v>5346</v>
      </c>
      <c r="BF303" s="2" t="str">
        <f>HYPERLINK("http://dx.doi.org/10.1648/0273-8570-73.1.70","http://dx.doi.org/10.1648/0273-8570-73.1.70")</f>
        <v>http://dx.doi.org/10.1648/0273-8570-73.1.70</v>
      </c>
      <c r="BG303" s="2" t="s">
        <v>74</v>
      </c>
      <c r="BH303" s="2" t="s">
        <v>74</v>
      </c>
      <c r="BI303" s="2" t="s">
        <v>74</v>
      </c>
      <c r="BJ303" s="2" t="s">
        <v>74</v>
      </c>
      <c r="BK303" s="2" t="s">
        <v>74</v>
      </c>
      <c r="BL303" s="2" t="s">
        <v>74</v>
      </c>
      <c r="BM303" s="2" t="s">
        <v>74</v>
      </c>
      <c r="BN303" s="2" t="s">
        <v>74</v>
      </c>
      <c r="BO303" s="2" t="s">
        <v>74</v>
      </c>
      <c r="BP303" s="2" t="s">
        <v>74</v>
      </c>
      <c r="BQ303" s="2" t="s">
        <v>74</v>
      </c>
      <c r="BR303" s="2" t="s">
        <v>74</v>
      </c>
      <c r="BS303" s="2" t="s">
        <v>5347</v>
      </c>
      <c r="BT303" s="2" t="str">
        <f>HYPERLINK("https%3A%2F%2Fwww.webofscience.com%2Fwos%2Fwoscc%2Ffull-record%2FWOS:000174001500012","View Full Record in Web of Science")</f>
        <v>View Full Record in Web of Science</v>
      </c>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row>
    <row r="304" spans="1:314" s="2" customFormat="1" x14ac:dyDescent="0.4">
      <c r="A304" s="2" t="s">
        <v>72</v>
      </c>
      <c r="B304" s="2" t="s">
        <v>2570</v>
      </c>
      <c r="C304" s="2" t="s">
        <v>74</v>
      </c>
      <c r="D304" s="2" t="s">
        <v>74</v>
      </c>
      <c r="E304" s="2" t="s">
        <v>74</v>
      </c>
      <c r="F304" s="2" t="s">
        <v>2570</v>
      </c>
      <c r="G304" s="2" t="s">
        <v>74</v>
      </c>
      <c r="H304" s="2" t="s">
        <v>74</v>
      </c>
      <c r="I304" s="2" t="s">
        <v>2571</v>
      </c>
      <c r="J304" s="2" t="s">
        <v>610</v>
      </c>
      <c r="K304" s="2" t="s">
        <v>74</v>
      </c>
      <c r="L304" s="2" t="s">
        <v>74</v>
      </c>
      <c r="M304" s="2" t="s">
        <v>74</v>
      </c>
      <c r="N304" s="2" t="s">
        <v>74</v>
      </c>
      <c r="O304" s="2" t="s">
        <v>74</v>
      </c>
      <c r="P304" s="2" t="s">
        <v>74</v>
      </c>
      <c r="Q304" s="2" t="s">
        <v>74</v>
      </c>
      <c r="R304" s="2" t="s">
        <v>74</v>
      </c>
      <c r="S304" s="2" t="s">
        <v>74</v>
      </c>
      <c r="T304" s="2" t="s">
        <v>74</v>
      </c>
      <c r="U304" s="2" t="s">
        <v>74</v>
      </c>
      <c r="V304" s="5" t="s">
        <v>2572</v>
      </c>
      <c r="W304" s="2" t="s">
        <v>74</v>
      </c>
      <c r="X304" s="2" t="s">
        <v>74</v>
      </c>
      <c r="Y304" s="2" t="s">
        <v>74</v>
      </c>
      <c r="Z304" s="2" t="s">
        <v>74</v>
      </c>
      <c r="AA304" s="2" t="s">
        <v>74</v>
      </c>
      <c r="AB304" s="2" t="s">
        <v>74</v>
      </c>
      <c r="AC304" s="2" t="s">
        <v>74</v>
      </c>
      <c r="AD304" s="2" t="s">
        <v>74</v>
      </c>
      <c r="AE304" s="2" t="s">
        <v>74</v>
      </c>
      <c r="AF304" s="2" t="s">
        <v>74</v>
      </c>
      <c r="AG304" s="2" t="s">
        <v>74</v>
      </c>
      <c r="AH304" s="2" t="s">
        <v>74</v>
      </c>
      <c r="AI304" s="2" t="s">
        <v>74</v>
      </c>
      <c r="AJ304" s="2" t="s">
        <v>74</v>
      </c>
      <c r="AK304" s="2" t="s">
        <v>74</v>
      </c>
      <c r="AL304" s="2" t="s">
        <v>74</v>
      </c>
      <c r="AM304" s="2" t="s">
        <v>74</v>
      </c>
      <c r="AN304" s="2" t="s">
        <v>74</v>
      </c>
      <c r="AO304" s="2" t="s">
        <v>614</v>
      </c>
      <c r="AP304" s="2" t="s">
        <v>74</v>
      </c>
      <c r="AQ304" s="2" t="s">
        <v>74</v>
      </c>
      <c r="AR304" s="2" t="s">
        <v>74</v>
      </c>
      <c r="AS304" s="2" t="s">
        <v>74</v>
      </c>
      <c r="AT304" s="2" t="s">
        <v>123</v>
      </c>
      <c r="AU304" s="2">
        <v>2005</v>
      </c>
      <c r="AV304" s="2">
        <v>111</v>
      </c>
      <c r="AW304" s="2">
        <v>3</v>
      </c>
      <c r="AX304" s="2" t="s">
        <v>74</v>
      </c>
      <c r="AY304" s="2" t="s">
        <v>74</v>
      </c>
      <c r="AZ304" s="2" t="s">
        <v>74</v>
      </c>
      <c r="BA304" s="2" t="s">
        <v>74</v>
      </c>
      <c r="BB304" s="2">
        <v>287</v>
      </c>
      <c r="BC304" s="2">
        <v>300</v>
      </c>
      <c r="BD304" s="2" t="s">
        <v>74</v>
      </c>
      <c r="BE304" s="2" t="s">
        <v>2573</v>
      </c>
      <c r="BF304" s="2" t="str">
        <f>HYPERLINK("http://dx.doi.org/10.1111/j.1439-0310.2004.01062.x","http://dx.doi.org/10.1111/j.1439-0310.2004.01062.x")</f>
        <v>http://dx.doi.org/10.1111/j.1439-0310.2004.01062.x</v>
      </c>
      <c r="BG304" s="2" t="s">
        <v>74</v>
      </c>
      <c r="BH304" s="2" t="s">
        <v>74</v>
      </c>
      <c r="BI304" s="2" t="s">
        <v>74</v>
      </c>
      <c r="BJ304" s="2" t="s">
        <v>74</v>
      </c>
      <c r="BK304" s="2" t="s">
        <v>74</v>
      </c>
      <c r="BL304" s="2" t="s">
        <v>74</v>
      </c>
      <c r="BM304" s="2" t="s">
        <v>74</v>
      </c>
      <c r="BN304" s="2" t="s">
        <v>74</v>
      </c>
      <c r="BO304" s="2" t="s">
        <v>74</v>
      </c>
      <c r="BP304" s="2" t="s">
        <v>74</v>
      </c>
      <c r="BQ304" s="2" t="s">
        <v>74</v>
      </c>
      <c r="BR304" s="2" t="s">
        <v>74</v>
      </c>
      <c r="BS304" s="2" t="s">
        <v>2574</v>
      </c>
      <c r="BT304" s="2" t="str">
        <f>HYPERLINK("https%3A%2F%2Fwww.webofscience.com%2Fwos%2Fwoscc%2Ffull-record%2FWOS:000227192500004","View Full Record in Web of Science")</f>
        <v>View Full Record in Web of Science</v>
      </c>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row>
    <row r="305" spans="1:314" s="2" customFormat="1" x14ac:dyDescent="0.4">
      <c r="A305" s="2" t="s">
        <v>72</v>
      </c>
      <c r="B305" s="2" t="s">
        <v>7556</v>
      </c>
      <c r="C305" s="2" t="s">
        <v>74</v>
      </c>
      <c r="D305" s="2" t="s">
        <v>74</v>
      </c>
      <c r="E305" s="2" t="s">
        <v>74</v>
      </c>
      <c r="F305" s="2" t="s">
        <v>7557</v>
      </c>
      <c r="G305" s="2" t="s">
        <v>74</v>
      </c>
      <c r="H305" s="2" t="s">
        <v>74</v>
      </c>
      <c r="I305" s="2" t="s">
        <v>7558</v>
      </c>
      <c r="J305" s="2" t="s">
        <v>7559</v>
      </c>
      <c r="K305" s="2" t="s">
        <v>74</v>
      </c>
      <c r="L305" s="2" t="s">
        <v>74</v>
      </c>
      <c r="M305" s="2" t="s">
        <v>74</v>
      </c>
      <c r="N305" s="2" t="s">
        <v>74</v>
      </c>
      <c r="O305" s="2" t="s">
        <v>74</v>
      </c>
      <c r="P305" s="2" t="s">
        <v>74</v>
      </c>
      <c r="Q305" s="2" t="s">
        <v>74</v>
      </c>
      <c r="R305" s="2" t="s">
        <v>74</v>
      </c>
      <c r="S305" s="2" t="s">
        <v>74</v>
      </c>
      <c r="T305" s="2" t="s">
        <v>74</v>
      </c>
      <c r="U305" s="2" t="s">
        <v>74</v>
      </c>
      <c r="V305" s="5" t="s">
        <v>7560</v>
      </c>
      <c r="W305" s="2" t="s">
        <v>74</v>
      </c>
      <c r="X305" s="2" t="s">
        <v>74</v>
      </c>
      <c r="Y305" s="2" t="s">
        <v>74</v>
      </c>
      <c r="Z305" s="2" t="s">
        <v>74</v>
      </c>
      <c r="AA305" s="2" t="s">
        <v>7561</v>
      </c>
      <c r="AB305" s="2" t="s">
        <v>7562</v>
      </c>
      <c r="AC305" s="2" t="s">
        <v>74</v>
      </c>
      <c r="AD305" s="2" t="s">
        <v>74</v>
      </c>
      <c r="AE305" s="2" t="s">
        <v>74</v>
      </c>
      <c r="AF305" s="2" t="s">
        <v>74</v>
      </c>
      <c r="AG305" s="2" t="s">
        <v>74</v>
      </c>
      <c r="AH305" s="2" t="s">
        <v>74</v>
      </c>
      <c r="AI305" s="2" t="s">
        <v>74</v>
      </c>
      <c r="AJ305" s="2" t="s">
        <v>74</v>
      </c>
      <c r="AK305" s="2" t="s">
        <v>74</v>
      </c>
      <c r="AL305" s="2" t="s">
        <v>74</v>
      </c>
      <c r="AM305" s="2" t="s">
        <v>74</v>
      </c>
      <c r="AN305" s="2" t="s">
        <v>74</v>
      </c>
      <c r="AO305" s="2" t="s">
        <v>74</v>
      </c>
      <c r="AP305" s="2" t="s">
        <v>7563</v>
      </c>
      <c r="AQ305" s="2" t="s">
        <v>74</v>
      </c>
      <c r="AR305" s="2" t="s">
        <v>74</v>
      </c>
      <c r="AS305" s="2" t="s">
        <v>74</v>
      </c>
      <c r="AT305" s="2" t="s">
        <v>134</v>
      </c>
      <c r="AU305" s="2">
        <v>2024</v>
      </c>
      <c r="AV305" s="2">
        <v>14</v>
      </c>
      <c r="AW305" s="2">
        <v>5</v>
      </c>
      <c r="AX305" s="2" t="s">
        <v>74</v>
      </c>
      <c r="AY305" s="2" t="s">
        <v>74</v>
      </c>
      <c r="AZ305" s="2" t="s">
        <v>74</v>
      </c>
      <c r="BA305" s="2" t="s">
        <v>74</v>
      </c>
      <c r="BB305" s="2" t="s">
        <v>74</v>
      </c>
      <c r="BC305" s="2" t="s">
        <v>74</v>
      </c>
      <c r="BD305" s="2">
        <v>574</v>
      </c>
      <c r="BE305" s="2" t="s">
        <v>7564</v>
      </c>
      <c r="BF305" s="2" t="str">
        <f>HYPERLINK("http://dx.doi.org/10.3390/life14050574","http://dx.doi.org/10.3390/life14050574")</f>
        <v>http://dx.doi.org/10.3390/life14050574</v>
      </c>
      <c r="BG305" s="2" t="s">
        <v>74</v>
      </c>
      <c r="BH305" s="2" t="s">
        <v>74</v>
      </c>
      <c r="BI305" s="2" t="s">
        <v>74</v>
      </c>
      <c r="BJ305" s="2" t="s">
        <v>74</v>
      </c>
      <c r="BK305" s="2" t="s">
        <v>74</v>
      </c>
      <c r="BL305" s="2" t="s">
        <v>74</v>
      </c>
      <c r="BM305" s="2" t="s">
        <v>74</v>
      </c>
      <c r="BN305" s="2">
        <v>38792595</v>
      </c>
      <c r="BO305" s="2" t="s">
        <v>74</v>
      </c>
      <c r="BP305" s="2" t="s">
        <v>74</v>
      </c>
      <c r="BQ305" s="2" t="s">
        <v>74</v>
      </c>
      <c r="BR305" s="2" t="s">
        <v>74</v>
      </c>
      <c r="BS305" s="2" t="s">
        <v>7565</v>
      </c>
      <c r="BT305" s="2" t="str">
        <f>HYPERLINK("https%3A%2F%2Fwww.webofscience.com%2Fwos%2Fwoscc%2Ffull-record%2FWOS:001232301700001","View Full Record in Web of Science")</f>
        <v>View Full Record in Web of Science</v>
      </c>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row>
    <row r="306" spans="1:314" s="2" customFormat="1" x14ac:dyDescent="0.4">
      <c r="A306" s="2" t="s">
        <v>72</v>
      </c>
      <c r="B306" s="2" t="s">
        <v>8075</v>
      </c>
      <c r="C306" s="2" t="s">
        <v>74</v>
      </c>
      <c r="D306" s="2" t="s">
        <v>74</v>
      </c>
      <c r="E306" s="2" t="s">
        <v>74</v>
      </c>
      <c r="F306" s="2" t="s">
        <v>8075</v>
      </c>
      <c r="G306" s="2" t="s">
        <v>74</v>
      </c>
      <c r="H306" s="2" t="s">
        <v>74</v>
      </c>
      <c r="I306" s="2" t="s">
        <v>8076</v>
      </c>
      <c r="J306" s="2" t="s">
        <v>8077</v>
      </c>
      <c r="K306" s="2" t="s">
        <v>74</v>
      </c>
      <c r="L306" s="2" t="s">
        <v>74</v>
      </c>
      <c r="M306" s="2" t="s">
        <v>74</v>
      </c>
      <c r="N306" s="2" t="s">
        <v>74</v>
      </c>
      <c r="O306" s="2" t="s">
        <v>74</v>
      </c>
      <c r="P306" s="2" t="s">
        <v>74</v>
      </c>
      <c r="Q306" s="2" t="s">
        <v>74</v>
      </c>
      <c r="R306" s="2" t="s">
        <v>74</v>
      </c>
      <c r="S306" s="2" t="s">
        <v>74</v>
      </c>
      <c r="T306" s="2" t="s">
        <v>74</v>
      </c>
      <c r="U306" s="2" t="s">
        <v>74</v>
      </c>
      <c r="V306" s="5" t="s">
        <v>8078</v>
      </c>
      <c r="W306" s="2" t="s">
        <v>74</v>
      </c>
      <c r="X306" s="2" t="s">
        <v>74</v>
      </c>
      <c r="Y306" s="2" t="s">
        <v>74</v>
      </c>
      <c r="Z306" s="2" t="s">
        <v>74</v>
      </c>
      <c r="AA306" s="2" t="s">
        <v>74</v>
      </c>
      <c r="AB306" s="2" t="s">
        <v>8079</v>
      </c>
      <c r="AC306" s="2" t="s">
        <v>74</v>
      </c>
      <c r="AD306" s="2" t="s">
        <v>74</v>
      </c>
      <c r="AE306" s="2" t="s">
        <v>74</v>
      </c>
      <c r="AF306" s="2" t="s">
        <v>74</v>
      </c>
      <c r="AG306" s="2" t="s">
        <v>74</v>
      </c>
      <c r="AH306" s="2" t="s">
        <v>74</v>
      </c>
      <c r="AI306" s="2" t="s">
        <v>74</v>
      </c>
      <c r="AJ306" s="2" t="s">
        <v>74</v>
      </c>
      <c r="AK306" s="2" t="s">
        <v>74</v>
      </c>
      <c r="AL306" s="2" t="s">
        <v>74</v>
      </c>
      <c r="AM306" s="2" t="s">
        <v>74</v>
      </c>
      <c r="AN306" s="2" t="s">
        <v>74</v>
      </c>
      <c r="AO306" s="2" t="s">
        <v>4147</v>
      </c>
      <c r="AP306" s="2" t="s">
        <v>74</v>
      </c>
      <c r="AQ306" s="2" t="s">
        <v>74</v>
      </c>
      <c r="AR306" s="2" t="s">
        <v>74</v>
      </c>
      <c r="AS306" s="2" t="s">
        <v>74</v>
      </c>
      <c r="AT306" s="2" t="s">
        <v>255</v>
      </c>
      <c r="AU306" s="2">
        <v>2000</v>
      </c>
      <c r="AV306" s="2">
        <v>186</v>
      </c>
      <c r="AW306" s="2">
        <v>1</v>
      </c>
      <c r="AX306" s="2" t="s">
        <v>74</v>
      </c>
      <c r="AY306" s="2" t="s">
        <v>74</v>
      </c>
      <c r="AZ306" s="2" t="s">
        <v>74</v>
      </c>
      <c r="BA306" s="2" t="s">
        <v>74</v>
      </c>
      <c r="BB306" s="2">
        <v>1</v>
      </c>
      <c r="BC306" s="2">
        <v>12</v>
      </c>
      <c r="BD306" s="2" t="s">
        <v>74</v>
      </c>
      <c r="BE306" s="2" t="s">
        <v>8080</v>
      </c>
      <c r="BF306" s="2" t="str">
        <f>HYPERLINK("http://dx.doi.org/10.1007/s003590050001","http://dx.doi.org/10.1007/s003590050001")</f>
        <v>http://dx.doi.org/10.1007/s003590050001</v>
      </c>
      <c r="BG306" s="2" t="s">
        <v>74</v>
      </c>
      <c r="BH306" s="2" t="s">
        <v>74</v>
      </c>
      <c r="BI306" s="2" t="s">
        <v>74</v>
      </c>
      <c r="BJ306" s="2" t="s">
        <v>74</v>
      </c>
      <c r="BK306" s="2" t="s">
        <v>74</v>
      </c>
      <c r="BL306" s="2" t="s">
        <v>74</v>
      </c>
      <c r="BM306" s="2" t="s">
        <v>74</v>
      </c>
      <c r="BN306" s="2">
        <v>10659037</v>
      </c>
      <c r="BO306" s="2" t="s">
        <v>74</v>
      </c>
      <c r="BP306" s="2" t="s">
        <v>74</v>
      </c>
      <c r="BQ306" s="2" t="s">
        <v>74</v>
      </c>
      <c r="BR306" s="2" t="s">
        <v>74</v>
      </c>
      <c r="BS306" s="2" t="s">
        <v>8081</v>
      </c>
      <c r="BT306" s="2" t="str">
        <f>HYPERLINK("https%3A%2F%2Fwww.webofscience.com%2Fwos%2Fwoscc%2Ffull-record%2FWOS:000084937600001","View Full Record in Web of Science")</f>
        <v>View Full Record in Web of Science</v>
      </c>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row>
    <row r="307" spans="1:314" s="2" customFormat="1" x14ac:dyDescent="0.4">
      <c r="A307" s="2" t="s">
        <v>72</v>
      </c>
      <c r="B307" s="2" t="s">
        <v>984</v>
      </c>
      <c r="C307" s="2" t="s">
        <v>74</v>
      </c>
      <c r="D307" s="2" t="s">
        <v>74</v>
      </c>
      <c r="E307" s="2" t="s">
        <v>74</v>
      </c>
      <c r="F307" s="2" t="s">
        <v>985</v>
      </c>
      <c r="G307" s="2" t="s">
        <v>74</v>
      </c>
      <c r="H307" s="2" t="s">
        <v>74</v>
      </c>
      <c r="I307" s="2" t="s">
        <v>986</v>
      </c>
      <c r="J307" s="2" t="s">
        <v>862</v>
      </c>
      <c r="K307" s="2" t="s">
        <v>74</v>
      </c>
      <c r="L307" s="2" t="s">
        <v>74</v>
      </c>
      <c r="M307" s="2" t="s">
        <v>74</v>
      </c>
      <c r="N307" s="2" t="s">
        <v>74</v>
      </c>
      <c r="O307" s="2" t="s">
        <v>74</v>
      </c>
      <c r="P307" s="2" t="s">
        <v>74</v>
      </c>
      <c r="Q307" s="2" t="s">
        <v>74</v>
      </c>
      <c r="R307" s="2" t="s">
        <v>74</v>
      </c>
      <c r="S307" s="2" t="s">
        <v>74</v>
      </c>
      <c r="T307" s="2" t="s">
        <v>74</v>
      </c>
      <c r="U307" s="2" t="s">
        <v>74</v>
      </c>
      <c r="V307" s="5" t="s">
        <v>987</v>
      </c>
      <c r="W307" s="2" t="s">
        <v>74</v>
      </c>
      <c r="X307" s="2" t="s">
        <v>74</v>
      </c>
      <c r="Y307" s="2" t="s">
        <v>74</v>
      </c>
      <c r="Z307" s="2" t="s">
        <v>74</v>
      </c>
      <c r="AA307" s="2" t="s">
        <v>74</v>
      </c>
      <c r="AB307" s="2" t="s">
        <v>988</v>
      </c>
      <c r="AC307" s="2" t="s">
        <v>74</v>
      </c>
      <c r="AD307" s="2" t="s">
        <v>74</v>
      </c>
      <c r="AE307" s="2" t="s">
        <v>74</v>
      </c>
      <c r="AF307" s="2" t="s">
        <v>74</v>
      </c>
      <c r="AG307" s="2" t="s">
        <v>74</v>
      </c>
      <c r="AH307" s="2" t="s">
        <v>74</v>
      </c>
      <c r="AI307" s="2" t="s">
        <v>74</v>
      </c>
      <c r="AJ307" s="2" t="s">
        <v>74</v>
      </c>
      <c r="AK307" s="2" t="s">
        <v>74</v>
      </c>
      <c r="AL307" s="2" t="s">
        <v>74</v>
      </c>
      <c r="AM307" s="2" t="s">
        <v>74</v>
      </c>
      <c r="AN307" s="2" t="s">
        <v>74</v>
      </c>
      <c r="AO307" s="2" t="s">
        <v>865</v>
      </c>
      <c r="AP307" s="2" t="s">
        <v>866</v>
      </c>
      <c r="AQ307" s="2" t="s">
        <v>74</v>
      </c>
      <c r="AR307" s="2" t="s">
        <v>74</v>
      </c>
      <c r="AS307" s="2" t="s">
        <v>74</v>
      </c>
      <c r="AT307" s="2" t="s">
        <v>175</v>
      </c>
      <c r="AU307" s="2">
        <v>2021</v>
      </c>
      <c r="AV307" s="2">
        <v>24</v>
      </c>
      <c r="AW307" s="2">
        <v>3</v>
      </c>
      <c r="AX307" s="2" t="s">
        <v>74</v>
      </c>
      <c r="AY307" s="2" t="s">
        <v>74</v>
      </c>
      <c r="AZ307" s="2" t="s">
        <v>74</v>
      </c>
      <c r="BA307" s="2" t="s">
        <v>74</v>
      </c>
      <c r="BB307" s="2">
        <v>143</v>
      </c>
      <c r="BC307" s="2">
        <v>147</v>
      </c>
      <c r="BD307" s="2" t="s">
        <v>74</v>
      </c>
      <c r="BE307" s="2" t="s">
        <v>989</v>
      </c>
      <c r="BF307" s="2" t="str">
        <f>HYPERLINK("http://dx.doi.org/10.1007/s10211-021-00372-z","http://dx.doi.org/10.1007/s10211-021-00372-z")</f>
        <v>http://dx.doi.org/10.1007/s10211-021-00372-z</v>
      </c>
      <c r="BG307" s="2" t="s">
        <v>74</v>
      </c>
      <c r="BH307" s="2" t="s">
        <v>224</v>
      </c>
      <c r="BI307" s="2" t="s">
        <v>74</v>
      </c>
      <c r="BJ307" s="2" t="s">
        <v>74</v>
      </c>
      <c r="BK307" s="2" t="s">
        <v>74</v>
      </c>
      <c r="BL307" s="2" t="s">
        <v>74</v>
      </c>
      <c r="BM307" s="2" t="s">
        <v>74</v>
      </c>
      <c r="BN307" s="2" t="s">
        <v>74</v>
      </c>
      <c r="BO307" s="2" t="s">
        <v>74</v>
      </c>
      <c r="BP307" s="2" t="s">
        <v>74</v>
      </c>
      <c r="BQ307" s="2" t="s">
        <v>74</v>
      </c>
      <c r="BR307" s="2" t="s">
        <v>74</v>
      </c>
      <c r="BS307" s="2" t="s">
        <v>990</v>
      </c>
      <c r="BT307" s="2" t="str">
        <f>HYPERLINK("https%3A%2F%2Fwww.webofscience.com%2Fwos%2Fwoscc%2Ffull-record%2FWOS:000660333200001","View Full Record in Web of Science")</f>
        <v>View Full Record in Web of Science</v>
      </c>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row>
    <row r="308" spans="1:314" s="2" customFormat="1" x14ac:dyDescent="0.4">
      <c r="A308" s="2" t="s">
        <v>72</v>
      </c>
      <c r="B308" s="2" t="s">
        <v>2575</v>
      </c>
      <c r="C308" s="2" t="s">
        <v>74</v>
      </c>
      <c r="D308" s="2" t="s">
        <v>74</v>
      </c>
      <c r="E308" s="2" t="s">
        <v>74</v>
      </c>
      <c r="F308" s="2" t="s">
        <v>2576</v>
      </c>
      <c r="G308" s="2" t="s">
        <v>74</v>
      </c>
      <c r="H308" s="2" t="s">
        <v>74</v>
      </c>
      <c r="I308" s="2" t="s">
        <v>2577</v>
      </c>
      <c r="J308" s="2" t="s">
        <v>2578</v>
      </c>
      <c r="K308" s="2" t="s">
        <v>74</v>
      </c>
      <c r="L308" s="2" t="s">
        <v>74</v>
      </c>
      <c r="M308" s="2" t="s">
        <v>74</v>
      </c>
      <c r="N308" s="2" t="s">
        <v>74</v>
      </c>
      <c r="O308" s="2" t="s">
        <v>74</v>
      </c>
      <c r="P308" s="2" t="s">
        <v>74</v>
      </c>
      <c r="Q308" s="2" t="s">
        <v>74</v>
      </c>
      <c r="R308" s="2" t="s">
        <v>74</v>
      </c>
      <c r="S308" s="2" t="s">
        <v>74</v>
      </c>
      <c r="T308" s="2" t="s">
        <v>74</v>
      </c>
      <c r="U308" s="2" t="s">
        <v>74</v>
      </c>
      <c r="V308" s="5" t="s">
        <v>2579</v>
      </c>
      <c r="W308" s="2" t="s">
        <v>74</v>
      </c>
      <c r="X308" s="2" t="s">
        <v>74</v>
      </c>
      <c r="Y308" s="2" t="s">
        <v>74</v>
      </c>
      <c r="Z308" s="2" t="s">
        <v>74</v>
      </c>
      <c r="AA308" s="2" t="s">
        <v>2580</v>
      </c>
      <c r="AB308" s="2" t="s">
        <v>2581</v>
      </c>
      <c r="AC308" s="2" t="s">
        <v>74</v>
      </c>
      <c r="AD308" s="2" t="s">
        <v>74</v>
      </c>
      <c r="AE308" s="2" t="s">
        <v>74</v>
      </c>
      <c r="AF308" s="2" t="s">
        <v>74</v>
      </c>
      <c r="AG308" s="2" t="s">
        <v>74</v>
      </c>
      <c r="AH308" s="2" t="s">
        <v>74</v>
      </c>
      <c r="AI308" s="2" t="s">
        <v>74</v>
      </c>
      <c r="AJ308" s="2" t="s">
        <v>74</v>
      </c>
      <c r="AK308" s="2" t="s">
        <v>74</v>
      </c>
      <c r="AL308" s="2" t="s">
        <v>74</v>
      </c>
      <c r="AM308" s="2" t="s">
        <v>74</v>
      </c>
      <c r="AN308" s="2" t="s">
        <v>74</v>
      </c>
      <c r="AO308" s="2" t="s">
        <v>2582</v>
      </c>
      <c r="AP308" s="2" t="s">
        <v>2583</v>
      </c>
      <c r="AQ308" s="2" t="s">
        <v>74</v>
      </c>
      <c r="AR308" s="2" t="s">
        <v>74</v>
      </c>
      <c r="AS308" s="2" t="s">
        <v>74</v>
      </c>
      <c r="AT308" s="2" t="s">
        <v>123</v>
      </c>
      <c r="AU308" s="2">
        <v>2020</v>
      </c>
      <c r="AV308" s="2">
        <v>48</v>
      </c>
      <c r="AW308" s="2">
        <v>1</v>
      </c>
      <c r="AX308" s="2" t="s">
        <v>74</v>
      </c>
      <c r="AY308" s="2" t="s">
        <v>74</v>
      </c>
      <c r="AZ308" s="2" t="s">
        <v>74</v>
      </c>
      <c r="BA308" s="2" t="s">
        <v>74</v>
      </c>
      <c r="BB308" s="2">
        <v>104</v>
      </c>
      <c r="BC308" s="2">
        <v>112</v>
      </c>
      <c r="BD308" s="2" t="s">
        <v>74</v>
      </c>
      <c r="BE308" s="2" t="s">
        <v>2584</v>
      </c>
      <c r="BF308" s="2" t="str">
        <f>HYPERLINK("http://dx.doi.org/10.3758/s13420-020-00411-y","http://dx.doi.org/10.3758/s13420-020-00411-y")</f>
        <v>http://dx.doi.org/10.3758/s13420-020-00411-y</v>
      </c>
      <c r="BG308" s="2" t="s">
        <v>74</v>
      </c>
      <c r="BH308" s="2" t="s">
        <v>74</v>
      </c>
      <c r="BI308" s="2" t="s">
        <v>74</v>
      </c>
      <c r="BJ308" s="2" t="s">
        <v>74</v>
      </c>
      <c r="BK308" s="2" t="s">
        <v>74</v>
      </c>
      <c r="BL308" s="2" t="s">
        <v>74</v>
      </c>
      <c r="BM308" s="2" t="s">
        <v>74</v>
      </c>
      <c r="BN308" s="2">
        <v>31975326</v>
      </c>
      <c r="BO308" s="2" t="s">
        <v>74</v>
      </c>
      <c r="BP308" s="2" t="s">
        <v>74</v>
      </c>
      <c r="BQ308" s="2" t="s">
        <v>74</v>
      </c>
      <c r="BR308" s="2" t="s">
        <v>74</v>
      </c>
      <c r="BS308" s="2" t="s">
        <v>2585</v>
      </c>
      <c r="BT308" s="2" t="str">
        <f>HYPERLINK("https%3A%2F%2Fwww.webofscience.com%2Fwos%2Fwoscc%2Ffull-record%2FWOS:000520711400013","View Full Record in Web of Science")</f>
        <v>View Full Record in Web of Science</v>
      </c>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row>
    <row r="309" spans="1:314" s="2" customFormat="1" x14ac:dyDescent="0.4">
      <c r="A309" s="2" t="s">
        <v>72</v>
      </c>
      <c r="B309" s="2" t="s">
        <v>5537</v>
      </c>
      <c r="C309" s="2" t="s">
        <v>74</v>
      </c>
      <c r="D309" s="2" t="s">
        <v>74</v>
      </c>
      <c r="E309" s="2" t="s">
        <v>74</v>
      </c>
      <c r="F309" s="2" t="s">
        <v>5538</v>
      </c>
      <c r="G309" s="2" t="s">
        <v>74</v>
      </c>
      <c r="H309" s="2" t="s">
        <v>74</v>
      </c>
      <c r="I309" s="2" t="s">
        <v>5539</v>
      </c>
      <c r="J309" s="2" t="s">
        <v>2662</v>
      </c>
      <c r="K309" s="2" t="s">
        <v>74</v>
      </c>
      <c r="L309" s="2" t="s">
        <v>74</v>
      </c>
      <c r="M309" s="2" t="s">
        <v>74</v>
      </c>
      <c r="N309" s="2" t="s">
        <v>74</v>
      </c>
      <c r="O309" s="2" t="s">
        <v>74</v>
      </c>
      <c r="P309" s="2" t="s">
        <v>74</v>
      </c>
      <c r="Q309" s="2" t="s">
        <v>74</v>
      </c>
      <c r="R309" s="2" t="s">
        <v>74</v>
      </c>
      <c r="S309" s="2" t="s">
        <v>74</v>
      </c>
      <c r="T309" s="2" t="s">
        <v>74</v>
      </c>
      <c r="U309" s="2" t="s">
        <v>74</v>
      </c>
      <c r="V309" s="5" t="s">
        <v>5540</v>
      </c>
      <c r="W309" s="2" t="s">
        <v>74</v>
      </c>
      <c r="X309" s="2" t="s">
        <v>74</v>
      </c>
      <c r="Y309" s="2" t="s">
        <v>74</v>
      </c>
      <c r="Z309" s="2" t="s">
        <v>74</v>
      </c>
      <c r="AA309" s="2" t="s">
        <v>5541</v>
      </c>
      <c r="AB309" s="2" t="s">
        <v>74</v>
      </c>
      <c r="AC309" s="2" t="s">
        <v>74</v>
      </c>
      <c r="AD309" s="2" t="s">
        <v>74</v>
      </c>
      <c r="AE309" s="2" t="s">
        <v>74</v>
      </c>
      <c r="AF309" s="2" t="s">
        <v>74</v>
      </c>
      <c r="AG309" s="2" t="s">
        <v>74</v>
      </c>
      <c r="AH309" s="2" t="s">
        <v>74</v>
      </c>
      <c r="AI309" s="2" t="s">
        <v>74</v>
      </c>
      <c r="AJ309" s="2" t="s">
        <v>74</v>
      </c>
      <c r="AK309" s="2" t="s">
        <v>74</v>
      </c>
      <c r="AL309" s="2" t="s">
        <v>74</v>
      </c>
      <c r="AM309" s="2" t="s">
        <v>74</v>
      </c>
      <c r="AN309" s="2" t="s">
        <v>74</v>
      </c>
      <c r="AO309" s="2" t="s">
        <v>2664</v>
      </c>
      <c r="AP309" s="2" t="s">
        <v>2665</v>
      </c>
      <c r="AQ309" s="2" t="s">
        <v>74</v>
      </c>
      <c r="AR309" s="2" t="s">
        <v>74</v>
      </c>
      <c r="AS309" s="2" t="s">
        <v>74</v>
      </c>
      <c r="AT309" s="2" t="s">
        <v>352</v>
      </c>
      <c r="AU309" s="2">
        <v>2018</v>
      </c>
      <c r="AV309" s="2">
        <v>52</v>
      </c>
      <c r="AW309" s="2">
        <v>3</v>
      </c>
      <c r="AX309" s="2" t="s">
        <v>74</v>
      </c>
      <c r="AY309" s="2" t="s">
        <v>74</v>
      </c>
      <c r="AZ309" s="2" t="s">
        <v>74</v>
      </c>
      <c r="BA309" s="2" t="s">
        <v>74</v>
      </c>
      <c r="BB309" s="2">
        <v>370</v>
      </c>
      <c r="BC309" s="2">
        <v>378</v>
      </c>
      <c r="BD309" s="2" t="s">
        <v>74</v>
      </c>
      <c r="BE309" s="2" t="s">
        <v>5542</v>
      </c>
      <c r="BF309" s="2" t="str">
        <f>HYPERLINK("http://dx.doi.org/10.3356/JRR-17-66.1","http://dx.doi.org/10.3356/JRR-17-66.1")</f>
        <v>http://dx.doi.org/10.3356/JRR-17-66.1</v>
      </c>
      <c r="BG309" s="2" t="s">
        <v>74</v>
      </c>
      <c r="BH309" s="2" t="s">
        <v>74</v>
      </c>
      <c r="BI309" s="2" t="s">
        <v>74</v>
      </c>
      <c r="BJ309" s="2" t="s">
        <v>74</v>
      </c>
      <c r="BK309" s="2" t="s">
        <v>74</v>
      </c>
      <c r="BL309" s="2" t="s">
        <v>74</v>
      </c>
      <c r="BM309" s="2" t="s">
        <v>74</v>
      </c>
      <c r="BN309" s="2" t="s">
        <v>74</v>
      </c>
      <c r="BO309" s="2" t="s">
        <v>74</v>
      </c>
      <c r="BP309" s="2" t="s">
        <v>74</v>
      </c>
      <c r="BQ309" s="2" t="s">
        <v>74</v>
      </c>
      <c r="BR309" s="2" t="s">
        <v>74</v>
      </c>
      <c r="BS309" s="2" t="s">
        <v>5543</v>
      </c>
      <c r="BT309" s="2" t="str">
        <f>HYPERLINK("https%3A%2F%2Fwww.webofscience.com%2Fwos%2Fwoscc%2Ffull-record%2FWOS:000441062500010","View Full Record in Web of Science")</f>
        <v>View Full Record in Web of Science</v>
      </c>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row>
    <row r="310" spans="1:314" s="2" customFormat="1" x14ac:dyDescent="0.4">
      <c r="A310" s="2" t="s">
        <v>72</v>
      </c>
      <c r="B310" s="2" t="s">
        <v>3638</v>
      </c>
      <c r="C310" s="2" t="s">
        <v>74</v>
      </c>
      <c r="D310" s="2" t="s">
        <v>74</v>
      </c>
      <c r="E310" s="2" t="s">
        <v>74</v>
      </c>
      <c r="F310" s="2" t="s">
        <v>3639</v>
      </c>
      <c r="G310" s="2" t="s">
        <v>74</v>
      </c>
      <c r="H310" s="2" t="s">
        <v>74</v>
      </c>
      <c r="I310" s="2" t="s">
        <v>3640</v>
      </c>
      <c r="J310" s="2" t="s">
        <v>509</v>
      </c>
      <c r="K310" s="2" t="s">
        <v>74</v>
      </c>
      <c r="L310" s="2" t="s">
        <v>74</v>
      </c>
      <c r="M310" s="2" t="s">
        <v>74</v>
      </c>
      <c r="N310" s="2" t="s">
        <v>74</v>
      </c>
      <c r="O310" s="2" t="s">
        <v>74</v>
      </c>
      <c r="P310" s="2" t="s">
        <v>74</v>
      </c>
      <c r="Q310" s="2" t="s">
        <v>74</v>
      </c>
      <c r="R310" s="2" t="s">
        <v>74</v>
      </c>
      <c r="S310" s="2" t="s">
        <v>74</v>
      </c>
      <c r="T310" s="2" t="s">
        <v>74</v>
      </c>
      <c r="U310" s="2" t="s">
        <v>74</v>
      </c>
      <c r="V310" s="5" t="s">
        <v>3641</v>
      </c>
      <c r="W310" s="2" t="s">
        <v>74</v>
      </c>
      <c r="X310" s="2" t="s">
        <v>74</v>
      </c>
      <c r="Y310" s="2" t="s">
        <v>74</v>
      </c>
      <c r="Z310" s="2" t="s">
        <v>74</v>
      </c>
      <c r="AA310" s="2" t="s">
        <v>74</v>
      </c>
      <c r="AB310" s="2" t="s">
        <v>3642</v>
      </c>
      <c r="AC310" s="2" t="s">
        <v>74</v>
      </c>
      <c r="AD310" s="2" t="s">
        <v>74</v>
      </c>
      <c r="AE310" s="2" t="s">
        <v>74</v>
      </c>
      <c r="AF310" s="2" t="s">
        <v>74</v>
      </c>
      <c r="AG310" s="2" t="s">
        <v>74</v>
      </c>
      <c r="AH310" s="2" t="s">
        <v>74</v>
      </c>
      <c r="AI310" s="2" t="s">
        <v>74</v>
      </c>
      <c r="AJ310" s="2" t="s">
        <v>74</v>
      </c>
      <c r="AK310" s="2" t="s">
        <v>74</v>
      </c>
      <c r="AL310" s="2" t="s">
        <v>74</v>
      </c>
      <c r="AM310" s="2" t="s">
        <v>74</v>
      </c>
      <c r="AN310" s="2" t="s">
        <v>74</v>
      </c>
      <c r="AO310" s="2" t="s">
        <v>511</v>
      </c>
      <c r="AP310" s="2" t="s">
        <v>512</v>
      </c>
      <c r="AQ310" s="2" t="s">
        <v>74</v>
      </c>
      <c r="AR310" s="2" t="s">
        <v>74</v>
      </c>
      <c r="AS310" s="2" t="s">
        <v>74</v>
      </c>
      <c r="AT310" s="2" t="s">
        <v>134</v>
      </c>
      <c r="AU310" s="2">
        <v>2007</v>
      </c>
      <c r="AV310" s="2">
        <v>51</v>
      </c>
      <c r="AW310" s="2">
        <v>5</v>
      </c>
      <c r="AX310" s="2" t="s">
        <v>74</v>
      </c>
      <c r="AY310" s="2" t="s">
        <v>74</v>
      </c>
      <c r="AZ310" s="2" t="s">
        <v>74</v>
      </c>
      <c r="BA310" s="2" t="s">
        <v>74</v>
      </c>
      <c r="BB310" s="2">
        <v>611</v>
      </c>
      <c r="BC310" s="2">
        <v>619</v>
      </c>
      <c r="BD310" s="2" t="s">
        <v>74</v>
      </c>
      <c r="BE310" s="2" t="s">
        <v>3643</v>
      </c>
      <c r="BF310" s="2" t="str">
        <f>HYPERLINK("http://dx.doi.org/10.1016/j.yhbeh.2007.02.010","http://dx.doi.org/10.1016/j.yhbeh.2007.02.010")</f>
        <v>http://dx.doi.org/10.1016/j.yhbeh.2007.02.010</v>
      </c>
      <c r="BG310" s="2" t="s">
        <v>74</v>
      </c>
      <c r="BH310" s="2" t="s">
        <v>74</v>
      </c>
      <c r="BI310" s="2" t="s">
        <v>74</v>
      </c>
      <c r="BJ310" s="2" t="s">
        <v>74</v>
      </c>
      <c r="BK310" s="2" t="s">
        <v>74</v>
      </c>
      <c r="BL310" s="2" t="s">
        <v>74</v>
      </c>
      <c r="BM310" s="2" t="s">
        <v>74</v>
      </c>
      <c r="BN310" s="2">
        <v>17462644</v>
      </c>
      <c r="BO310" s="2" t="s">
        <v>74</v>
      </c>
      <c r="BP310" s="2" t="s">
        <v>74</v>
      </c>
      <c r="BQ310" s="2" t="s">
        <v>74</v>
      </c>
      <c r="BR310" s="2" t="s">
        <v>74</v>
      </c>
      <c r="BS310" s="2" t="s">
        <v>3644</v>
      </c>
      <c r="BT310" s="2" t="str">
        <f>HYPERLINK("https%3A%2F%2Fwww.webofscience.com%2Fwos%2Fwoscc%2Ffull-record%2FWOS:000247275800006","View Full Record in Web of Science")</f>
        <v>View Full Record in Web of Science</v>
      </c>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row>
    <row r="311" spans="1:314" s="2" customFormat="1" x14ac:dyDescent="0.4">
      <c r="A311" s="2" t="s">
        <v>72</v>
      </c>
      <c r="B311" s="2" t="s">
        <v>2908</v>
      </c>
      <c r="C311" s="2" t="s">
        <v>74</v>
      </c>
      <c r="D311" s="2" t="s">
        <v>74</v>
      </c>
      <c r="E311" s="2" t="s">
        <v>74</v>
      </c>
      <c r="F311" s="2" t="s">
        <v>2909</v>
      </c>
      <c r="G311" s="2" t="s">
        <v>74</v>
      </c>
      <c r="H311" s="2" t="s">
        <v>74</v>
      </c>
      <c r="I311" s="2" t="s">
        <v>2910</v>
      </c>
      <c r="J311" s="2" t="s">
        <v>2911</v>
      </c>
      <c r="K311" s="2" t="s">
        <v>74</v>
      </c>
      <c r="L311" s="2" t="s">
        <v>74</v>
      </c>
      <c r="M311" s="2" t="s">
        <v>74</v>
      </c>
      <c r="N311" s="2" t="s">
        <v>74</v>
      </c>
      <c r="O311" s="2" t="s">
        <v>74</v>
      </c>
      <c r="P311" s="2" t="s">
        <v>74</v>
      </c>
      <c r="Q311" s="2" t="s">
        <v>74</v>
      </c>
      <c r="R311" s="2" t="s">
        <v>74</v>
      </c>
      <c r="S311" s="2" t="s">
        <v>74</v>
      </c>
      <c r="T311" s="2" t="s">
        <v>74</v>
      </c>
      <c r="U311" s="2" t="s">
        <v>74</v>
      </c>
      <c r="V311" s="5" t="s">
        <v>2912</v>
      </c>
      <c r="W311" s="2" t="s">
        <v>74</v>
      </c>
      <c r="X311" s="2" t="s">
        <v>74</v>
      </c>
      <c r="Y311" s="2" t="s">
        <v>74</v>
      </c>
      <c r="Z311" s="2" t="s">
        <v>74</v>
      </c>
      <c r="AA311" s="2" t="s">
        <v>2913</v>
      </c>
      <c r="AB311" s="2" t="s">
        <v>2914</v>
      </c>
      <c r="AC311" s="2" t="s">
        <v>74</v>
      </c>
      <c r="AD311" s="2" t="s">
        <v>74</v>
      </c>
      <c r="AE311" s="2" t="s">
        <v>74</v>
      </c>
      <c r="AF311" s="2" t="s">
        <v>74</v>
      </c>
      <c r="AG311" s="2" t="s">
        <v>74</v>
      </c>
      <c r="AH311" s="2" t="s">
        <v>74</v>
      </c>
      <c r="AI311" s="2" t="s">
        <v>74</v>
      </c>
      <c r="AJ311" s="2" t="s">
        <v>74</v>
      </c>
      <c r="AK311" s="2" t="s">
        <v>74</v>
      </c>
      <c r="AL311" s="2" t="s">
        <v>74</v>
      </c>
      <c r="AM311" s="2" t="s">
        <v>74</v>
      </c>
      <c r="AN311" s="2" t="s">
        <v>74</v>
      </c>
      <c r="AO311" s="2" t="s">
        <v>2915</v>
      </c>
      <c r="AP311" s="2" t="s">
        <v>2916</v>
      </c>
      <c r="AQ311" s="2" t="s">
        <v>74</v>
      </c>
      <c r="AR311" s="2" t="s">
        <v>74</v>
      </c>
      <c r="AS311" s="2" t="s">
        <v>74</v>
      </c>
      <c r="AT311" s="2" t="s">
        <v>769</v>
      </c>
      <c r="AU311" s="2">
        <v>2022</v>
      </c>
      <c r="AV311" s="2" t="s">
        <v>74</v>
      </c>
      <c r="AW311" s="2">
        <v>1084</v>
      </c>
      <c r="AX311" s="2" t="s">
        <v>74</v>
      </c>
      <c r="AY311" s="2" t="s">
        <v>74</v>
      </c>
      <c r="AZ311" s="2" t="s">
        <v>74</v>
      </c>
      <c r="BA311" s="2" t="s">
        <v>74</v>
      </c>
      <c r="BB311" s="2">
        <v>151</v>
      </c>
      <c r="BC311" s="2">
        <v>164</v>
      </c>
      <c r="BD311" s="2" t="s">
        <v>74</v>
      </c>
      <c r="BE311" s="2" t="s">
        <v>2917</v>
      </c>
      <c r="BF311" s="2" t="str">
        <f>HYPERLINK("http://dx.doi.org/10.3897/zookeys.1084.79415","http://dx.doi.org/10.3897/zookeys.1084.79415")</f>
        <v>http://dx.doi.org/10.3897/zookeys.1084.79415</v>
      </c>
      <c r="BG311" s="2" t="s">
        <v>74</v>
      </c>
      <c r="BH311" s="2" t="s">
        <v>74</v>
      </c>
      <c r="BI311" s="2" t="s">
        <v>74</v>
      </c>
      <c r="BJ311" s="2" t="s">
        <v>74</v>
      </c>
      <c r="BK311" s="2" t="s">
        <v>74</v>
      </c>
      <c r="BL311" s="2" t="s">
        <v>74</v>
      </c>
      <c r="BM311" s="2" t="s">
        <v>74</v>
      </c>
      <c r="BN311" s="2">
        <v>35233167</v>
      </c>
      <c r="BO311" s="2" t="s">
        <v>74</v>
      </c>
      <c r="BP311" s="2" t="s">
        <v>74</v>
      </c>
      <c r="BQ311" s="2" t="s">
        <v>74</v>
      </c>
      <c r="BR311" s="2" t="s">
        <v>74</v>
      </c>
      <c r="BS311" s="2" t="s">
        <v>2918</v>
      </c>
      <c r="BT311" s="2" t="str">
        <f>HYPERLINK("https%3A%2F%2Fwww.webofscience.com%2Fwos%2Fwoscc%2Ffull-record%2FWOS:000750859100001","View Full Record in Web of Science")</f>
        <v>View Full Record in Web of Science</v>
      </c>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row>
    <row r="312" spans="1:314" s="2" customFormat="1" x14ac:dyDescent="0.4">
      <c r="A312" s="2" t="s">
        <v>72</v>
      </c>
      <c r="B312" s="2" t="s">
        <v>2481</v>
      </c>
      <c r="C312" s="2" t="s">
        <v>74</v>
      </c>
      <c r="D312" s="2" t="s">
        <v>74</v>
      </c>
      <c r="E312" s="2" t="s">
        <v>74</v>
      </c>
      <c r="F312" s="2" t="s">
        <v>2482</v>
      </c>
      <c r="G312" s="2" t="s">
        <v>74</v>
      </c>
      <c r="H312" s="2" t="s">
        <v>74</v>
      </c>
      <c r="I312" s="2" t="s">
        <v>2483</v>
      </c>
      <c r="J312" s="2" t="s">
        <v>77</v>
      </c>
      <c r="K312" s="2" t="s">
        <v>74</v>
      </c>
      <c r="L312" s="2" t="s">
        <v>74</v>
      </c>
      <c r="M312" s="2" t="s">
        <v>74</v>
      </c>
      <c r="N312" s="2" t="s">
        <v>74</v>
      </c>
      <c r="O312" s="2" t="s">
        <v>74</v>
      </c>
      <c r="P312" s="2" t="s">
        <v>74</v>
      </c>
      <c r="Q312" s="2" t="s">
        <v>74</v>
      </c>
      <c r="R312" s="2" t="s">
        <v>74</v>
      </c>
      <c r="S312" s="2" t="s">
        <v>74</v>
      </c>
      <c r="T312" s="2" t="s">
        <v>74</v>
      </c>
      <c r="U312" s="2" t="s">
        <v>74</v>
      </c>
      <c r="V312" s="5" t="s">
        <v>2484</v>
      </c>
      <c r="W312" s="2" t="s">
        <v>74</v>
      </c>
      <c r="X312" s="2" t="s">
        <v>74</v>
      </c>
      <c r="Y312" s="2" t="s">
        <v>74</v>
      </c>
      <c r="Z312" s="2" t="s">
        <v>74</v>
      </c>
      <c r="AA312" s="2" t="s">
        <v>74</v>
      </c>
      <c r="AB312" s="2" t="s">
        <v>74</v>
      </c>
      <c r="AC312" s="2" t="s">
        <v>74</v>
      </c>
      <c r="AD312" s="2" t="s">
        <v>74</v>
      </c>
      <c r="AE312" s="2" t="s">
        <v>74</v>
      </c>
      <c r="AF312" s="2" t="s">
        <v>74</v>
      </c>
      <c r="AG312" s="2" t="s">
        <v>74</v>
      </c>
      <c r="AH312" s="2" t="s">
        <v>74</v>
      </c>
      <c r="AI312" s="2" t="s">
        <v>74</v>
      </c>
      <c r="AJ312" s="2" t="s">
        <v>74</v>
      </c>
      <c r="AK312" s="2" t="s">
        <v>74</v>
      </c>
      <c r="AL312" s="2" t="s">
        <v>74</v>
      </c>
      <c r="AM312" s="2" t="s">
        <v>74</v>
      </c>
      <c r="AN312" s="2" t="s">
        <v>74</v>
      </c>
      <c r="AO312" s="2" t="s">
        <v>81</v>
      </c>
      <c r="AP312" s="2" t="s">
        <v>82</v>
      </c>
      <c r="AQ312" s="2" t="s">
        <v>74</v>
      </c>
      <c r="AR312" s="2" t="s">
        <v>74</v>
      </c>
      <c r="AS312" s="2" t="s">
        <v>74</v>
      </c>
      <c r="AT312" s="2" t="s">
        <v>74</v>
      </c>
      <c r="AU312" s="2">
        <v>2015</v>
      </c>
      <c r="AV312" s="2">
        <v>152</v>
      </c>
      <c r="AW312" s="2">
        <v>11</v>
      </c>
      <c r="AX312" s="2" t="s">
        <v>74</v>
      </c>
      <c r="AY312" s="2" t="s">
        <v>74</v>
      </c>
      <c r="AZ312" s="2" t="s">
        <v>74</v>
      </c>
      <c r="BA312" s="2" t="s">
        <v>74</v>
      </c>
      <c r="BB312" s="2">
        <v>1463</v>
      </c>
      <c r="BC312" s="2">
        <v>1479</v>
      </c>
      <c r="BD312" s="2" t="s">
        <v>74</v>
      </c>
      <c r="BE312" s="2" t="s">
        <v>2485</v>
      </c>
      <c r="BF312" s="2" t="str">
        <f>HYPERLINK("http://dx.doi.org/10.1163/1568539X-00003287","http://dx.doi.org/10.1163/1568539X-00003287")</f>
        <v>http://dx.doi.org/10.1163/1568539X-00003287</v>
      </c>
      <c r="BG312" s="2" t="s">
        <v>74</v>
      </c>
      <c r="BH312" s="2" t="s">
        <v>74</v>
      </c>
      <c r="BI312" s="2" t="s">
        <v>74</v>
      </c>
      <c r="BJ312" s="2" t="s">
        <v>74</v>
      </c>
      <c r="BK312" s="2" t="s">
        <v>74</v>
      </c>
      <c r="BL312" s="2" t="s">
        <v>74</v>
      </c>
      <c r="BM312" s="2" t="s">
        <v>74</v>
      </c>
      <c r="BN312" s="2" t="s">
        <v>74</v>
      </c>
      <c r="BO312" s="2" t="s">
        <v>74</v>
      </c>
      <c r="BP312" s="2" t="s">
        <v>74</v>
      </c>
      <c r="BQ312" s="2" t="s">
        <v>74</v>
      </c>
      <c r="BR312" s="2" t="s">
        <v>74</v>
      </c>
      <c r="BS312" s="2" t="s">
        <v>2486</v>
      </c>
      <c r="BT312" s="2" t="str">
        <f>HYPERLINK("https%3A%2F%2Fwww.webofscience.com%2Fwos%2Fwoscc%2Ffull-record%2FWOS:000359994100002","View Full Record in Web of Science")</f>
        <v>View Full Record in Web of Science</v>
      </c>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row>
    <row r="313" spans="1:314" s="2" customFormat="1" x14ac:dyDescent="0.4">
      <c r="A313" s="2" t="s">
        <v>72</v>
      </c>
      <c r="B313" s="2" t="s">
        <v>2134</v>
      </c>
      <c r="C313" s="2" t="s">
        <v>74</v>
      </c>
      <c r="D313" s="2" t="s">
        <v>74</v>
      </c>
      <c r="E313" s="2" t="s">
        <v>74</v>
      </c>
      <c r="F313" s="2" t="s">
        <v>2135</v>
      </c>
      <c r="G313" s="2" t="s">
        <v>74</v>
      </c>
      <c r="H313" s="2" t="s">
        <v>74</v>
      </c>
      <c r="I313" s="2" t="s">
        <v>2136</v>
      </c>
      <c r="J313" s="2" t="s">
        <v>119</v>
      </c>
      <c r="K313" s="2" t="s">
        <v>74</v>
      </c>
      <c r="L313" s="2" t="s">
        <v>74</v>
      </c>
      <c r="M313" s="2" t="s">
        <v>74</v>
      </c>
      <c r="N313" s="2" t="s">
        <v>74</v>
      </c>
      <c r="O313" s="2" t="s">
        <v>74</v>
      </c>
      <c r="P313" s="2" t="s">
        <v>74</v>
      </c>
      <c r="Q313" s="2" t="s">
        <v>74</v>
      </c>
      <c r="R313" s="2" t="s">
        <v>74</v>
      </c>
      <c r="S313" s="2" t="s">
        <v>74</v>
      </c>
      <c r="T313" s="2" t="s">
        <v>74</v>
      </c>
      <c r="U313" s="2" t="s">
        <v>74</v>
      </c>
      <c r="V313" s="5" t="s">
        <v>2137</v>
      </c>
      <c r="W313" s="2" t="s">
        <v>74</v>
      </c>
      <c r="X313" s="2" t="s">
        <v>74</v>
      </c>
      <c r="Y313" s="2" t="s">
        <v>74</v>
      </c>
      <c r="Z313" s="2" t="s">
        <v>74</v>
      </c>
      <c r="AA313" s="2" t="s">
        <v>2138</v>
      </c>
      <c r="AB313" s="2" t="s">
        <v>2139</v>
      </c>
      <c r="AC313" s="2" t="s">
        <v>74</v>
      </c>
      <c r="AD313" s="2" t="s">
        <v>74</v>
      </c>
      <c r="AE313" s="2" t="s">
        <v>74</v>
      </c>
      <c r="AF313" s="2" t="s">
        <v>74</v>
      </c>
      <c r="AG313" s="2" t="s">
        <v>74</v>
      </c>
      <c r="AH313" s="2" t="s">
        <v>74</v>
      </c>
      <c r="AI313" s="2" t="s">
        <v>74</v>
      </c>
      <c r="AJ313" s="2" t="s">
        <v>74</v>
      </c>
      <c r="AK313" s="2" t="s">
        <v>74</v>
      </c>
      <c r="AL313" s="2" t="s">
        <v>74</v>
      </c>
      <c r="AM313" s="2" t="s">
        <v>74</v>
      </c>
      <c r="AN313" s="2" t="s">
        <v>74</v>
      </c>
      <c r="AO313" s="2" t="s">
        <v>121</v>
      </c>
      <c r="AP313" s="2" t="s">
        <v>122</v>
      </c>
      <c r="AQ313" s="2" t="s">
        <v>74</v>
      </c>
      <c r="AR313" s="2" t="s">
        <v>74</v>
      </c>
      <c r="AS313" s="2" t="s">
        <v>74</v>
      </c>
      <c r="AT313" s="2" t="s">
        <v>352</v>
      </c>
      <c r="AU313" s="2">
        <v>2014</v>
      </c>
      <c r="AV313" s="2">
        <v>107</v>
      </c>
      <c r="AW313" s="2" t="s">
        <v>74</v>
      </c>
      <c r="AX313" s="2" t="s">
        <v>74</v>
      </c>
      <c r="AY313" s="2" t="s">
        <v>74</v>
      </c>
      <c r="AZ313" s="2" t="s">
        <v>74</v>
      </c>
      <c r="BA313" s="2" t="s">
        <v>74</v>
      </c>
      <c r="BB313" s="2">
        <v>158</v>
      </c>
      <c r="BC313" s="2">
        <v>162</v>
      </c>
      <c r="BD313" s="2" t="s">
        <v>74</v>
      </c>
      <c r="BE313" s="2" t="s">
        <v>2140</v>
      </c>
      <c r="BF313" s="2" t="str">
        <f>HYPERLINK("http://dx.doi.org/10.1016/j.beproc.2014.08.010","http://dx.doi.org/10.1016/j.beproc.2014.08.010")</f>
        <v>http://dx.doi.org/10.1016/j.beproc.2014.08.010</v>
      </c>
      <c r="BG313" s="2" t="s">
        <v>74</v>
      </c>
      <c r="BH313" s="2" t="s">
        <v>74</v>
      </c>
      <c r="BI313" s="2" t="s">
        <v>74</v>
      </c>
      <c r="BJ313" s="2" t="s">
        <v>74</v>
      </c>
      <c r="BK313" s="2" t="s">
        <v>74</v>
      </c>
      <c r="BL313" s="2" t="s">
        <v>74</v>
      </c>
      <c r="BM313" s="2" t="s">
        <v>74</v>
      </c>
      <c r="BN313" s="2">
        <v>25151939</v>
      </c>
      <c r="BO313" s="2" t="s">
        <v>74</v>
      </c>
      <c r="BP313" s="2" t="s">
        <v>74</v>
      </c>
      <c r="BQ313" s="2" t="s">
        <v>74</v>
      </c>
      <c r="BR313" s="2" t="s">
        <v>74</v>
      </c>
      <c r="BS313" s="2" t="s">
        <v>2141</v>
      </c>
      <c r="BT313" s="2" t="str">
        <f>HYPERLINK("https%3A%2F%2Fwww.webofscience.com%2Fwos%2Fwoscc%2Ffull-record%2FWOS:000343628400020","View Full Record in Web of Science")</f>
        <v>View Full Record in Web of Science</v>
      </c>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row>
    <row r="314" spans="1:314" s="2" customFormat="1" x14ac:dyDescent="0.4">
      <c r="A314" s="2" t="s">
        <v>72</v>
      </c>
      <c r="B314" s="2" t="s">
        <v>6982</v>
      </c>
      <c r="C314" s="2" t="s">
        <v>74</v>
      </c>
      <c r="D314" s="2" t="s">
        <v>74</v>
      </c>
      <c r="E314" s="2" t="s">
        <v>74</v>
      </c>
      <c r="F314" s="2" t="s">
        <v>6983</v>
      </c>
      <c r="G314" s="2" t="s">
        <v>74</v>
      </c>
      <c r="H314" s="2" t="s">
        <v>74</v>
      </c>
      <c r="I314" s="2" t="s">
        <v>6984</v>
      </c>
      <c r="J314" s="2" t="s">
        <v>140</v>
      </c>
      <c r="K314" s="2" t="s">
        <v>74</v>
      </c>
      <c r="L314" s="2" t="s">
        <v>74</v>
      </c>
      <c r="M314" s="2" t="s">
        <v>74</v>
      </c>
      <c r="N314" s="2" t="s">
        <v>74</v>
      </c>
      <c r="O314" s="2" t="s">
        <v>74</v>
      </c>
      <c r="P314" s="2" t="s">
        <v>74</v>
      </c>
      <c r="Q314" s="2" t="s">
        <v>74</v>
      </c>
      <c r="R314" s="2" t="s">
        <v>74</v>
      </c>
      <c r="S314" s="2" t="s">
        <v>74</v>
      </c>
      <c r="T314" s="2" t="s">
        <v>74</v>
      </c>
      <c r="U314" s="2" t="s">
        <v>74</v>
      </c>
      <c r="V314" s="5" t="s">
        <v>6985</v>
      </c>
      <c r="W314" s="2" t="s">
        <v>74</v>
      </c>
      <c r="X314" s="2" t="s">
        <v>74</v>
      </c>
      <c r="Y314" s="2" t="s">
        <v>74</v>
      </c>
      <c r="Z314" s="2" t="s">
        <v>74</v>
      </c>
      <c r="AA314" s="2" t="s">
        <v>6986</v>
      </c>
      <c r="AB314" s="2" t="s">
        <v>6987</v>
      </c>
      <c r="AC314" s="2" t="s">
        <v>74</v>
      </c>
      <c r="AD314" s="2" t="s">
        <v>74</v>
      </c>
      <c r="AE314" s="2" t="s">
        <v>74</v>
      </c>
      <c r="AF314" s="2" t="s">
        <v>74</v>
      </c>
      <c r="AG314" s="2" t="s">
        <v>74</v>
      </c>
      <c r="AH314" s="2" t="s">
        <v>74</v>
      </c>
      <c r="AI314" s="2" t="s">
        <v>74</v>
      </c>
      <c r="AJ314" s="2" t="s">
        <v>74</v>
      </c>
      <c r="AK314" s="2" t="s">
        <v>74</v>
      </c>
      <c r="AL314" s="2" t="s">
        <v>74</v>
      </c>
      <c r="AM314" s="2" t="s">
        <v>74</v>
      </c>
      <c r="AN314" s="2" t="s">
        <v>74</v>
      </c>
      <c r="AO314" s="2" t="s">
        <v>143</v>
      </c>
      <c r="AP314" s="2" t="s">
        <v>144</v>
      </c>
      <c r="AQ314" s="2" t="s">
        <v>74</v>
      </c>
      <c r="AR314" s="2" t="s">
        <v>74</v>
      </c>
      <c r="AS314" s="2" t="s">
        <v>74</v>
      </c>
      <c r="AT314" s="2" t="s">
        <v>255</v>
      </c>
      <c r="AU314" s="2">
        <v>2008</v>
      </c>
      <c r="AV314" s="2">
        <v>75</v>
      </c>
      <c r="AW314" s="2" t="s">
        <v>74</v>
      </c>
      <c r="AX314" s="2">
        <v>1</v>
      </c>
      <c r="AY314" s="2" t="s">
        <v>74</v>
      </c>
      <c r="AZ314" s="2" t="s">
        <v>74</v>
      </c>
      <c r="BA314" s="2" t="s">
        <v>74</v>
      </c>
      <c r="BB314" s="2">
        <v>175</v>
      </c>
      <c r="BC314" s="2">
        <v>188</v>
      </c>
      <c r="BD314" s="2" t="s">
        <v>74</v>
      </c>
      <c r="BE314" s="2" t="s">
        <v>6988</v>
      </c>
      <c r="BF314" s="2" t="str">
        <f>HYPERLINK("http://dx.doi.org/10.1016/j.anbehav.2007.04.016","http://dx.doi.org/10.1016/j.anbehav.2007.04.016")</f>
        <v>http://dx.doi.org/10.1016/j.anbehav.2007.04.016</v>
      </c>
      <c r="BG314" s="2" t="s">
        <v>74</v>
      </c>
      <c r="BH314" s="2" t="s">
        <v>74</v>
      </c>
      <c r="BI314" s="2" t="s">
        <v>74</v>
      </c>
      <c r="BJ314" s="2" t="s">
        <v>74</v>
      </c>
      <c r="BK314" s="2" t="s">
        <v>74</v>
      </c>
      <c r="BL314" s="2" t="s">
        <v>74</v>
      </c>
      <c r="BM314" s="2" t="s">
        <v>74</v>
      </c>
      <c r="BN314" s="2" t="s">
        <v>74</v>
      </c>
      <c r="BO314" s="2" t="s">
        <v>74</v>
      </c>
      <c r="BP314" s="2" t="s">
        <v>74</v>
      </c>
      <c r="BQ314" s="2" t="s">
        <v>74</v>
      </c>
      <c r="BR314" s="2" t="s">
        <v>74</v>
      </c>
      <c r="BS314" s="2" t="s">
        <v>6989</v>
      </c>
      <c r="BT314" s="2" t="str">
        <f>HYPERLINK("https%3A%2F%2Fwww.webofscience.com%2Fwos%2Fwoscc%2Ffull-record%2FWOS:000252710000021","View Full Record in Web of Science")</f>
        <v>View Full Record in Web of Science</v>
      </c>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row>
    <row r="315" spans="1:314" s="2" customFormat="1" x14ac:dyDescent="0.4">
      <c r="A315" s="2" t="s">
        <v>72</v>
      </c>
      <c r="B315" s="2" t="s">
        <v>3814</v>
      </c>
      <c r="C315" s="2" t="s">
        <v>74</v>
      </c>
      <c r="D315" s="2" t="s">
        <v>74</v>
      </c>
      <c r="E315" s="2" t="s">
        <v>74</v>
      </c>
      <c r="F315" s="2" t="s">
        <v>3815</v>
      </c>
      <c r="G315" s="2" t="s">
        <v>74</v>
      </c>
      <c r="H315" s="2" t="s">
        <v>74</v>
      </c>
      <c r="I315" s="2" t="s">
        <v>3816</v>
      </c>
      <c r="J315" s="2" t="s">
        <v>3817</v>
      </c>
      <c r="K315" s="2" t="s">
        <v>74</v>
      </c>
      <c r="L315" s="2" t="s">
        <v>74</v>
      </c>
      <c r="M315" s="2" t="s">
        <v>74</v>
      </c>
      <c r="N315" s="2" t="s">
        <v>74</v>
      </c>
      <c r="O315" s="2" t="s">
        <v>74</v>
      </c>
      <c r="P315" s="2" t="s">
        <v>74</v>
      </c>
      <c r="Q315" s="2" t="s">
        <v>74</v>
      </c>
      <c r="R315" s="2" t="s">
        <v>74</v>
      </c>
      <c r="S315" s="2" t="s">
        <v>74</v>
      </c>
      <c r="T315" s="2" t="s">
        <v>74</v>
      </c>
      <c r="U315" s="2" t="s">
        <v>74</v>
      </c>
      <c r="V315" s="5" t="s">
        <v>3818</v>
      </c>
      <c r="W315" s="2" t="s">
        <v>74</v>
      </c>
      <c r="X315" s="2" t="s">
        <v>74</v>
      </c>
      <c r="Y315" s="2" t="s">
        <v>74</v>
      </c>
      <c r="Z315" s="2" t="s">
        <v>74</v>
      </c>
      <c r="AA315" s="2" t="s">
        <v>3819</v>
      </c>
      <c r="AB315" s="2" t="s">
        <v>3820</v>
      </c>
      <c r="AC315" s="2" t="s">
        <v>74</v>
      </c>
      <c r="AD315" s="2" t="s">
        <v>74</v>
      </c>
      <c r="AE315" s="2" t="s">
        <v>74</v>
      </c>
      <c r="AF315" s="2" t="s">
        <v>74</v>
      </c>
      <c r="AG315" s="2" t="s">
        <v>74</v>
      </c>
      <c r="AH315" s="2" t="s">
        <v>74</v>
      </c>
      <c r="AI315" s="2" t="s">
        <v>74</v>
      </c>
      <c r="AJ315" s="2" t="s">
        <v>74</v>
      </c>
      <c r="AK315" s="2" t="s">
        <v>74</v>
      </c>
      <c r="AL315" s="2" t="s">
        <v>74</v>
      </c>
      <c r="AM315" s="2" t="s">
        <v>74</v>
      </c>
      <c r="AN315" s="2" t="s">
        <v>74</v>
      </c>
      <c r="AO315" s="2" t="s">
        <v>3821</v>
      </c>
      <c r="AP315" s="2" t="s">
        <v>3822</v>
      </c>
      <c r="AQ315" s="2" t="s">
        <v>74</v>
      </c>
      <c r="AR315" s="2" t="s">
        <v>74</v>
      </c>
      <c r="AS315" s="2" t="s">
        <v>74</v>
      </c>
      <c r="AT315" s="2" t="s">
        <v>3823</v>
      </c>
      <c r="AU315" s="2">
        <v>2021</v>
      </c>
      <c r="AV315" s="2" t="s">
        <v>74</v>
      </c>
      <c r="AW315" s="2" t="s">
        <v>74</v>
      </c>
      <c r="AX315" s="2" t="s">
        <v>74</v>
      </c>
      <c r="AY315" s="2" t="s">
        <v>74</v>
      </c>
      <c r="AZ315" s="2" t="s">
        <v>74</v>
      </c>
      <c r="BA315" s="2" t="s">
        <v>74</v>
      </c>
      <c r="BB315" s="2" t="s">
        <v>74</v>
      </c>
      <c r="BC315" s="2" t="s">
        <v>74</v>
      </c>
      <c r="BD315" s="2" t="s">
        <v>3824</v>
      </c>
      <c r="BE315" s="2" t="s">
        <v>3825</v>
      </c>
      <c r="BF315" s="2" t="str">
        <f>HYPERLINK("http://dx.doi.org/10.1093/zoolinnean/zlab015","http://dx.doi.org/10.1093/zoolinnean/zlab015")</f>
        <v>http://dx.doi.org/10.1093/zoolinnean/zlab015</v>
      </c>
      <c r="BG315" s="2" t="s">
        <v>74</v>
      </c>
      <c r="BH315" s="2" t="s">
        <v>3826</v>
      </c>
      <c r="BI315" s="2" t="s">
        <v>74</v>
      </c>
      <c r="BJ315" s="2" t="s">
        <v>74</v>
      </c>
      <c r="BK315" s="2" t="s">
        <v>74</v>
      </c>
      <c r="BL315" s="2" t="s">
        <v>74</v>
      </c>
      <c r="BM315" s="2" t="s">
        <v>74</v>
      </c>
      <c r="BN315" s="2" t="s">
        <v>74</v>
      </c>
      <c r="BO315" s="2" t="s">
        <v>74</v>
      </c>
      <c r="BP315" s="2" t="s">
        <v>74</v>
      </c>
      <c r="BQ315" s="2" t="s">
        <v>74</v>
      </c>
      <c r="BR315" s="2" t="s">
        <v>74</v>
      </c>
      <c r="BS315" s="2" t="s">
        <v>3827</v>
      </c>
      <c r="BT315" s="2" t="str">
        <f>HYPERLINK("https%3A%2F%2Fwww.webofscience.com%2Fwos%2Fwoscc%2Ffull-record%2FWOS:000764722000001","View Full Record in Web of Science")</f>
        <v>View Full Record in Web of Science</v>
      </c>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row>
    <row r="316" spans="1:314" s="2" customFormat="1" x14ac:dyDescent="0.4">
      <c r="A316" s="2" t="s">
        <v>72</v>
      </c>
      <c r="B316" s="2" t="s">
        <v>3828</v>
      </c>
      <c r="C316" s="2" t="s">
        <v>74</v>
      </c>
      <c r="D316" s="2" t="s">
        <v>74</v>
      </c>
      <c r="E316" s="2" t="s">
        <v>74</v>
      </c>
      <c r="F316" s="2" t="s">
        <v>3829</v>
      </c>
      <c r="G316" s="2" t="s">
        <v>74</v>
      </c>
      <c r="H316" s="2" t="s">
        <v>74</v>
      </c>
      <c r="I316" s="2" t="s">
        <v>3816</v>
      </c>
      <c r="J316" s="2" t="s">
        <v>3817</v>
      </c>
      <c r="K316" s="2" t="s">
        <v>74</v>
      </c>
      <c r="L316" s="2" t="s">
        <v>74</v>
      </c>
      <c r="M316" s="2" t="s">
        <v>74</v>
      </c>
      <c r="N316" s="2" t="s">
        <v>74</v>
      </c>
      <c r="O316" s="2" t="s">
        <v>74</v>
      </c>
      <c r="P316" s="2" t="s">
        <v>74</v>
      </c>
      <c r="Q316" s="2" t="s">
        <v>74</v>
      </c>
      <c r="R316" s="2" t="s">
        <v>74</v>
      </c>
      <c r="S316" s="2" t="s">
        <v>74</v>
      </c>
      <c r="T316" s="2" t="s">
        <v>74</v>
      </c>
      <c r="U316" s="2" t="s">
        <v>74</v>
      </c>
      <c r="V316" s="5" t="s">
        <v>3830</v>
      </c>
      <c r="W316" s="2" t="s">
        <v>74</v>
      </c>
      <c r="X316" s="2" t="s">
        <v>74</v>
      </c>
      <c r="Y316" s="2" t="s">
        <v>74</v>
      </c>
      <c r="Z316" s="2" t="s">
        <v>74</v>
      </c>
      <c r="AA316" s="2" t="s">
        <v>3831</v>
      </c>
      <c r="AB316" s="2" t="s">
        <v>3832</v>
      </c>
      <c r="AC316" s="2" t="s">
        <v>74</v>
      </c>
      <c r="AD316" s="2" t="s">
        <v>74</v>
      </c>
      <c r="AE316" s="2" t="s">
        <v>74</v>
      </c>
      <c r="AF316" s="2" t="s">
        <v>74</v>
      </c>
      <c r="AG316" s="2" t="s">
        <v>74</v>
      </c>
      <c r="AH316" s="2" t="s">
        <v>74</v>
      </c>
      <c r="AI316" s="2" t="s">
        <v>74</v>
      </c>
      <c r="AJ316" s="2" t="s">
        <v>74</v>
      </c>
      <c r="AK316" s="2" t="s">
        <v>74</v>
      </c>
      <c r="AL316" s="2" t="s">
        <v>74</v>
      </c>
      <c r="AM316" s="2" t="s">
        <v>74</v>
      </c>
      <c r="AN316" s="2" t="s">
        <v>74</v>
      </c>
      <c r="AO316" s="2" t="s">
        <v>3821</v>
      </c>
      <c r="AP316" s="2" t="s">
        <v>3822</v>
      </c>
      <c r="AQ316" s="2" t="s">
        <v>74</v>
      </c>
      <c r="AR316" s="2" t="s">
        <v>74</v>
      </c>
      <c r="AS316" s="2" t="s">
        <v>74</v>
      </c>
      <c r="AT316" s="2" t="s">
        <v>3833</v>
      </c>
      <c r="AU316" s="2">
        <v>2022</v>
      </c>
      <c r="AV316" s="2">
        <v>194</v>
      </c>
      <c r="AW316" s="2">
        <v>3</v>
      </c>
      <c r="AX316" s="2" t="s">
        <v>74</v>
      </c>
      <c r="AY316" s="2" t="s">
        <v>74</v>
      </c>
      <c r="AZ316" s="2" t="s">
        <v>74</v>
      </c>
      <c r="BA316" s="2" t="s">
        <v>74</v>
      </c>
      <c r="BB316" s="2">
        <v>973</v>
      </c>
      <c r="BC316" s="2">
        <v>1034</v>
      </c>
      <c r="BD316" s="2" t="s">
        <v>74</v>
      </c>
      <c r="BE316" s="2" t="s">
        <v>74</v>
      </c>
      <c r="BF316" s="2" t="s">
        <v>74</v>
      </c>
      <c r="BG316" s="2" t="s">
        <v>74</v>
      </c>
      <c r="BH316" s="2" t="s">
        <v>74</v>
      </c>
      <c r="BI316" s="2" t="s">
        <v>74</v>
      </c>
      <c r="BJ316" s="2" t="s">
        <v>74</v>
      </c>
      <c r="BK316" s="2" t="s">
        <v>74</v>
      </c>
      <c r="BL316" s="2" t="s">
        <v>74</v>
      </c>
      <c r="BM316" s="2" t="s">
        <v>74</v>
      </c>
      <c r="BN316" s="2" t="s">
        <v>74</v>
      </c>
      <c r="BO316" s="2" t="s">
        <v>74</v>
      </c>
      <c r="BP316" s="2" t="s">
        <v>74</v>
      </c>
      <c r="BQ316" s="2" t="s">
        <v>74</v>
      </c>
      <c r="BR316" s="2" t="s">
        <v>74</v>
      </c>
      <c r="BS316" s="2" t="s">
        <v>3834</v>
      </c>
      <c r="BT316" s="2" t="str">
        <f>HYPERLINK("https%3A%2F%2Fwww.webofscience.com%2Fwos%2Fwoscc%2Ffull-record%2FWOS:000766308500011","View Full Record in Web of Science")</f>
        <v>View Full Record in Web of Science</v>
      </c>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row>
    <row r="317" spans="1:314" s="2" customFormat="1" x14ac:dyDescent="0.4">
      <c r="A317" s="2" t="s">
        <v>72</v>
      </c>
      <c r="B317" s="2" t="s">
        <v>2690</v>
      </c>
      <c r="C317" s="2" t="s">
        <v>74</v>
      </c>
      <c r="D317" s="2" t="s">
        <v>74</v>
      </c>
      <c r="E317" s="2" t="s">
        <v>74</v>
      </c>
      <c r="F317" s="2" t="s">
        <v>2690</v>
      </c>
      <c r="G317" s="2" t="s">
        <v>74</v>
      </c>
      <c r="H317" s="2" t="s">
        <v>74</v>
      </c>
      <c r="I317" s="2" t="s">
        <v>2691</v>
      </c>
      <c r="J317" s="2" t="s">
        <v>2692</v>
      </c>
      <c r="K317" s="2" t="s">
        <v>74</v>
      </c>
      <c r="L317" s="2" t="s">
        <v>74</v>
      </c>
      <c r="M317" s="2" t="s">
        <v>74</v>
      </c>
      <c r="N317" s="2" t="s">
        <v>74</v>
      </c>
      <c r="O317" s="2" t="s">
        <v>74</v>
      </c>
      <c r="P317" s="2" t="s">
        <v>74</v>
      </c>
      <c r="Q317" s="2" t="s">
        <v>74</v>
      </c>
      <c r="R317" s="2" t="s">
        <v>74</v>
      </c>
      <c r="S317" s="2" t="s">
        <v>74</v>
      </c>
      <c r="T317" s="2" t="s">
        <v>74</v>
      </c>
      <c r="U317" s="2" t="s">
        <v>74</v>
      </c>
      <c r="V317" s="5" t="s">
        <v>2693</v>
      </c>
      <c r="W317" s="2" t="s">
        <v>74</v>
      </c>
      <c r="X317" s="2" t="s">
        <v>74</v>
      </c>
      <c r="Y317" s="2" t="s">
        <v>74</v>
      </c>
      <c r="Z317" s="2" t="s">
        <v>74</v>
      </c>
      <c r="AA317" s="2" t="s">
        <v>74</v>
      </c>
      <c r="AB317" s="2" t="s">
        <v>74</v>
      </c>
      <c r="AC317" s="2" t="s">
        <v>74</v>
      </c>
      <c r="AD317" s="2" t="s">
        <v>74</v>
      </c>
      <c r="AE317" s="2" t="s">
        <v>74</v>
      </c>
      <c r="AF317" s="2" t="s">
        <v>74</v>
      </c>
      <c r="AG317" s="2" t="s">
        <v>74</v>
      </c>
      <c r="AH317" s="2" t="s">
        <v>74</v>
      </c>
      <c r="AI317" s="2" t="s">
        <v>74</v>
      </c>
      <c r="AJ317" s="2" t="s">
        <v>74</v>
      </c>
      <c r="AK317" s="2" t="s">
        <v>74</v>
      </c>
      <c r="AL317" s="2" t="s">
        <v>74</v>
      </c>
      <c r="AM317" s="2" t="s">
        <v>74</v>
      </c>
      <c r="AN317" s="2" t="s">
        <v>74</v>
      </c>
      <c r="AO317" s="2" t="s">
        <v>2694</v>
      </c>
      <c r="AP317" s="2" t="s">
        <v>74</v>
      </c>
      <c r="AQ317" s="2" t="s">
        <v>74</v>
      </c>
      <c r="AR317" s="2" t="s">
        <v>74</v>
      </c>
      <c r="AS317" s="2" t="s">
        <v>74</v>
      </c>
      <c r="AT317" s="2" t="s">
        <v>305</v>
      </c>
      <c r="AU317" s="2">
        <v>2002</v>
      </c>
      <c r="AV317" s="2">
        <v>12</v>
      </c>
      <c r="AW317" s="2">
        <v>4</v>
      </c>
      <c r="AX317" s="2" t="s">
        <v>74</v>
      </c>
      <c r="AY317" s="2" t="s">
        <v>74</v>
      </c>
      <c r="AZ317" s="2" t="s">
        <v>74</v>
      </c>
      <c r="BA317" s="2" t="s">
        <v>74</v>
      </c>
      <c r="BB317" s="2">
        <v>353</v>
      </c>
      <c r="BC317" s="2">
        <v>364</v>
      </c>
      <c r="BD317" s="2" t="s">
        <v>74</v>
      </c>
      <c r="BE317" s="2" t="s">
        <v>2695</v>
      </c>
      <c r="BF317" s="2" t="str">
        <f>HYPERLINK("http://dx.doi.org/10.1017/S0959270902002228","http://dx.doi.org/10.1017/S0959270902002228")</f>
        <v>http://dx.doi.org/10.1017/S0959270902002228</v>
      </c>
      <c r="BG317" s="2" t="s">
        <v>74</v>
      </c>
      <c r="BH317" s="2" t="s">
        <v>74</v>
      </c>
      <c r="BI317" s="2" t="s">
        <v>74</v>
      </c>
      <c r="BJ317" s="2" t="s">
        <v>74</v>
      </c>
      <c r="BK317" s="2" t="s">
        <v>74</v>
      </c>
      <c r="BL317" s="2" t="s">
        <v>74</v>
      </c>
      <c r="BM317" s="2" t="s">
        <v>74</v>
      </c>
      <c r="BN317" s="2" t="s">
        <v>74</v>
      </c>
      <c r="BO317" s="2" t="s">
        <v>74</v>
      </c>
      <c r="BP317" s="2" t="s">
        <v>74</v>
      </c>
      <c r="BQ317" s="2" t="s">
        <v>74</v>
      </c>
      <c r="BR317" s="2" t="s">
        <v>74</v>
      </c>
      <c r="BS317" s="2" t="s">
        <v>2696</v>
      </c>
      <c r="BT317" s="2" t="str">
        <f>HYPERLINK("https%3A%2F%2Fwww.webofscience.com%2Fwos%2Fwoscc%2Ffull-record%2FWOS:000180506600005","View Full Record in Web of Science")</f>
        <v>View Full Record in Web of Science</v>
      </c>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row>
    <row r="318" spans="1:314" s="2" customFormat="1" x14ac:dyDescent="0.4">
      <c r="A318" s="2" t="s">
        <v>72</v>
      </c>
      <c r="B318" s="2" t="s">
        <v>2865</v>
      </c>
      <c r="C318" s="2" t="s">
        <v>74</v>
      </c>
      <c r="D318" s="2" t="s">
        <v>74</v>
      </c>
      <c r="E318" s="2" t="s">
        <v>74</v>
      </c>
      <c r="F318" s="2" t="s">
        <v>2866</v>
      </c>
      <c r="G318" s="2" t="s">
        <v>74</v>
      </c>
      <c r="H318" s="2" t="s">
        <v>74</v>
      </c>
      <c r="I318" s="2" t="s">
        <v>2867</v>
      </c>
      <c r="J318" s="2" t="s">
        <v>1673</v>
      </c>
      <c r="K318" s="2" t="s">
        <v>74</v>
      </c>
      <c r="L318" s="2" t="s">
        <v>74</v>
      </c>
      <c r="M318" s="2" t="s">
        <v>74</v>
      </c>
      <c r="N318" s="2" t="s">
        <v>74</v>
      </c>
      <c r="O318" s="2" t="s">
        <v>74</v>
      </c>
      <c r="P318" s="2" t="s">
        <v>74</v>
      </c>
      <c r="Q318" s="2" t="s">
        <v>74</v>
      </c>
      <c r="R318" s="2" t="s">
        <v>74</v>
      </c>
      <c r="S318" s="2" t="s">
        <v>74</v>
      </c>
      <c r="T318" s="2" t="s">
        <v>74</v>
      </c>
      <c r="U318" s="2" t="s">
        <v>74</v>
      </c>
      <c r="V318" s="5" t="s">
        <v>2868</v>
      </c>
      <c r="W318" s="2" t="s">
        <v>74</v>
      </c>
      <c r="X318" s="2" t="s">
        <v>74</v>
      </c>
      <c r="Y318" s="2" t="s">
        <v>74</v>
      </c>
      <c r="Z318" s="2" t="s">
        <v>74</v>
      </c>
      <c r="AA318" s="2" t="s">
        <v>2869</v>
      </c>
      <c r="AB318" s="2" t="s">
        <v>2870</v>
      </c>
      <c r="AC318" s="2" t="s">
        <v>74</v>
      </c>
      <c r="AD318" s="2" t="s">
        <v>74</v>
      </c>
      <c r="AE318" s="2" t="s">
        <v>74</v>
      </c>
      <c r="AF318" s="2" t="s">
        <v>74</v>
      </c>
      <c r="AG318" s="2" t="s">
        <v>74</v>
      </c>
      <c r="AH318" s="2" t="s">
        <v>74</v>
      </c>
      <c r="AI318" s="2" t="s">
        <v>74</v>
      </c>
      <c r="AJ318" s="2" t="s">
        <v>74</v>
      </c>
      <c r="AK318" s="2" t="s">
        <v>74</v>
      </c>
      <c r="AL318" s="2" t="s">
        <v>74</v>
      </c>
      <c r="AM318" s="2" t="s">
        <v>74</v>
      </c>
      <c r="AN318" s="2" t="s">
        <v>74</v>
      </c>
      <c r="AO318" s="2" t="s">
        <v>1239</v>
      </c>
      <c r="AP318" s="2" t="s">
        <v>1675</v>
      </c>
      <c r="AQ318" s="2" t="s">
        <v>74</v>
      </c>
      <c r="AR318" s="2" t="s">
        <v>74</v>
      </c>
      <c r="AS318" s="2" t="s">
        <v>74</v>
      </c>
      <c r="AT318" s="2" t="s">
        <v>145</v>
      </c>
      <c r="AU318" s="2">
        <v>2023</v>
      </c>
      <c r="AV318" s="2">
        <v>101</v>
      </c>
      <c r="AW318" s="2">
        <v>8</v>
      </c>
      <c r="AX318" s="2" t="s">
        <v>74</v>
      </c>
      <c r="AY318" s="2" t="s">
        <v>74</v>
      </c>
      <c r="AZ318" s="2" t="s">
        <v>74</v>
      </c>
      <c r="BA318" s="2" t="s">
        <v>74</v>
      </c>
      <c r="BB318" s="2">
        <v>658</v>
      </c>
      <c r="BC318" s="2">
        <v>671</v>
      </c>
      <c r="BD318" s="2" t="s">
        <v>74</v>
      </c>
      <c r="BE318" s="2" t="s">
        <v>2871</v>
      </c>
      <c r="BF318" s="2" t="str">
        <f>HYPERLINK("http://dx.doi.org/10.1139/cjz-2023-0039","http://dx.doi.org/10.1139/cjz-2023-0039")</f>
        <v>http://dx.doi.org/10.1139/cjz-2023-0039</v>
      </c>
      <c r="BG318" s="2" t="s">
        <v>74</v>
      </c>
      <c r="BH318" s="2" t="s">
        <v>1391</v>
      </c>
      <c r="BI318" s="2" t="s">
        <v>74</v>
      </c>
      <c r="BJ318" s="2" t="s">
        <v>74</v>
      </c>
      <c r="BK318" s="2" t="s">
        <v>74</v>
      </c>
      <c r="BL318" s="2" t="s">
        <v>74</v>
      </c>
      <c r="BM318" s="2" t="s">
        <v>74</v>
      </c>
      <c r="BN318" s="2" t="s">
        <v>74</v>
      </c>
      <c r="BO318" s="2" t="s">
        <v>74</v>
      </c>
      <c r="BP318" s="2" t="s">
        <v>74</v>
      </c>
      <c r="BQ318" s="2" t="s">
        <v>74</v>
      </c>
      <c r="BR318" s="2" t="s">
        <v>74</v>
      </c>
      <c r="BS318" s="2" t="s">
        <v>2872</v>
      </c>
      <c r="BT318" s="2" t="str">
        <f>HYPERLINK("https%3A%2F%2Fwww.webofscience.com%2Fwos%2Fwoscc%2Ffull-record%2FWOS:000995450300001","View Full Record in Web of Science")</f>
        <v>View Full Record in Web of Science</v>
      </c>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row>
    <row r="319" spans="1:314" s="2" customFormat="1" x14ac:dyDescent="0.4">
      <c r="A319" s="2" t="s">
        <v>72</v>
      </c>
      <c r="B319" s="2" t="s">
        <v>4403</v>
      </c>
      <c r="C319" s="2" t="s">
        <v>74</v>
      </c>
      <c r="D319" s="2" t="s">
        <v>74</v>
      </c>
      <c r="E319" s="2" t="s">
        <v>74</v>
      </c>
      <c r="F319" s="2" t="s">
        <v>4403</v>
      </c>
      <c r="G319" s="2" t="s">
        <v>74</v>
      </c>
      <c r="H319" s="2" t="s">
        <v>74</v>
      </c>
      <c r="I319" s="2" t="s">
        <v>4404</v>
      </c>
      <c r="J319" s="2" t="s">
        <v>2152</v>
      </c>
      <c r="K319" s="2" t="s">
        <v>74</v>
      </c>
      <c r="L319" s="2" t="s">
        <v>74</v>
      </c>
      <c r="M319" s="2" t="s">
        <v>74</v>
      </c>
      <c r="N319" s="2" t="s">
        <v>74</v>
      </c>
      <c r="O319" s="2" t="s">
        <v>74</v>
      </c>
      <c r="P319" s="2" t="s">
        <v>74</v>
      </c>
      <c r="Q319" s="2" t="s">
        <v>74</v>
      </c>
      <c r="R319" s="2" t="s">
        <v>74</v>
      </c>
      <c r="S319" s="2" t="s">
        <v>74</v>
      </c>
      <c r="T319" s="2" t="s">
        <v>74</v>
      </c>
      <c r="U319" s="2" t="s">
        <v>74</v>
      </c>
      <c r="V319" s="5" t="s">
        <v>4405</v>
      </c>
      <c r="W319" s="2" t="s">
        <v>74</v>
      </c>
      <c r="X319" s="2" t="s">
        <v>74</v>
      </c>
      <c r="Y319" s="2" t="s">
        <v>74</v>
      </c>
      <c r="Z319" s="2" t="s">
        <v>74</v>
      </c>
      <c r="AA319" s="2" t="s">
        <v>74</v>
      </c>
      <c r="AB319" s="2" t="s">
        <v>74</v>
      </c>
      <c r="AC319" s="2" t="s">
        <v>74</v>
      </c>
      <c r="AD319" s="2" t="s">
        <v>74</v>
      </c>
      <c r="AE319" s="2" t="s">
        <v>74</v>
      </c>
      <c r="AF319" s="2" t="s">
        <v>74</v>
      </c>
      <c r="AG319" s="2" t="s">
        <v>74</v>
      </c>
      <c r="AH319" s="2" t="s">
        <v>74</v>
      </c>
      <c r="AI319" s="2" t="s">
        <v>74</v>
      </c>
      <c r="AJ319" s="2" t="s">
        <v>74</v>
      </c>
      <c r="AK319" s="2" t="s">
        <v>74</v>
      </c>
      <c r="AL319" s="2" t="s">
        <v>74</v>
      </c>
      <c r="AM319" s="2" t="s">
        <v>74</v>
      </c>
      <c r="AN319" s="2" t="s">
        <v>74</v>
      </c>
      <c r="AO319" s="2" t="s">
        <v>2153</v>
      </c>
      <c r="AP319" s="2" t="s">
        <v>74</v>
      </c>
      <c r="AQ319" s="2" t="s">
        <v>74</v>
      </c>
      <c r="AR319" s="2" t="s">
        <v>74</v>
      </c>
      <c r="AS319" s="2" t="s">
        <v>74</v>
      </c>
      <c r="AT319" s="2" t="s">
        <v>74</v>
      </c>
      <c r="AU319" s="2">
        <v>1983</v>
      </c>
      <c r="AV319" s="2">
        <v>32</v>
      </c>
      <c r="AW319" s="2">
        <v>1</v>
      </c>
      <c r="AX319" s="2" t="s">
        <v>74</v>
      </c>
      <c r="AY319" s="2" t="s">
        <v>74</v>
      </c>
      <c r="AZ319" s="2" t="s">
        <v>74</v>
      </c>
      <c r="BA319" s="2" t="s">
        <v>74</v>
      </c>
      <c r="BB319" s="2">
        <v>1</v>
      </c>
      <c r="BC319" s="2">
        <v>12</v>
      </c>
      <c r="BD319" s="2" t="s">
        <v>74</v>
      </c>
      <c r="BE319" s="2" t="s">
        <v>74</v>
      </c>
      <c r="BF319" s="2" t="s">
        <v>74</v>
      </c>
      <c r="BG319" s="2" t="s">
        <v>74</v>
      </c>
      <c r="BH319" s="2" t="s">
        <v>74</v>
      </c>
      <c r="BI319" s="2" t="s">
        <v>74</v>
      </c>
      <c r="BJ319" s="2" t="s">
        <v>74</v>
      </c>
      <c r="BK319" s="2" t="s">
        <v>74</v>
      </c>
      <c r="BL319" s="2" t="s">
        <v>74</v>
      </c>
      <c r="BM319" s="2" t="s">
        <v>74</v>
      </c>
      <c r="BN319" s="2" t="s">
        <v>74</v>
      </c>
      <c r="BO319" s="2" t="s">
        <v>74</v>
      </c>
      <c r="BP319" s="2" t="s">
        <v>74</v>
      </c>
      <c r="BQ319" s="2" t="s">
        <v>74</v>
      </c>
      <c r="BR319" s="2" t="s">
        <v>74</v>
      </c>
      <c r="BS319" s="2" t="s">
        <v>4406</v>
      </c>
      <c r="BT319" s="2" t="str">
        <f>HYPERLINK("https%3A%2F%2Fwww.webofscience.com%2Fwos%2Fwoscc%2Ffull-record%2FWOS:A1983RJ22700001","View Full Record in Web of Science")</f>
        <v>View Full Record in Web of Science</v>
      </c>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row>
    <row r="320" spans="1:314" s="2" customFormat="1" x14ac:dyDescent="0.4">
      <c r="A320" s="2" t="s">
        <v>72</v>
      </c>
      <c r="B320" s="2" t="s">
        <v>8007</v>
      </c>
      <c r="C320" s="2" t="s">
        <v>74</v>
      </c>
      <c r="D320" s="2" t="s">
        <v>74</v>
      </c>
      <c r="E320" s="2" t="s">
        <v>74</v>
      </c>
      <c r="F320" s="2" t="s">
        <v>8008</v>
      </c>
      <c r="G320" s="2" t="s">
        <v>74</v>
      </c>
      <c r="H320" s="2" t="s">
        <v>74</v>
      </c>
      <c r="I320" s="2" t="s">
        <v>8009</v>
      </c>
      <c r="J320" s="2" t="s">
        <v>333</v>
      </c>
      <c r="K320" s="2" t="s">
        <v>74</v>
      </c>
      <c r="L320" s="2" t="s">
        <v>74</v>
      </c>
      <c r="M320" s="2" t="s">
        <v>74</v>
      </c>
      <c r="N320" s="2" t="s">
        <v>74</v>
      </c>
      <c r="O320" s="2" t="s">
        <v>74</v>
      </c>
      <c r="P320" s="2" t="s">
        <v>74</v>
      </c>
      <c r="Q320" s="2" t="s">
        <v>74</v>
      </c>
      <c r="R320" s="2" t="s">
        <v>74</v>
      </c>
      <c r="S320" s="2" t="s">
        <v>74</v>
      </c>
      <c r="T320" s="2" t="s">
        <v>74</v>
      </c>
      <c r="U320" s="2" t="s">
        <v>74</v>
      </c>
      <c r="V320" s="5" t="s">
        <v>8010</v>
      </c>
      <c r="W320" s="2" t="s">
        <v>74</v>
      </c>
      <c r="X320" s="2" t="s">
        <v>74</v>
      </c>
      <c r="Y320" s="2" t="s">
        <v>74</v>
      </c>
      <c r="Z320" s="2" t="s">
        <v>74</v>
      </c>
      <c r="AA320" s="2" t="s">
        <v>1416</v>
      </c>
      <c r="AB320" s="2" t="s">
        <v>74</v>
      </c>
      <c r="AC320" s="2" t="s">
        <v>74</v>
      </c>
      <c r="AD320" s="2" t="s">
        <v>74</v>
      </c>
      <c r="AE320" s="2" t="s">
        <v>74</v>
      </c>
      <c r="AF320" s="2" t="s">
        <v>74</v>
      </c>
      <c r="AG320" s="2" t="s">
        <v>74</v>
      </c>
      <c r="AH320" s="2" t="s">
        <v>74</v>
      </c>
      <c r="AI320" s="2" t="s">
        <v>74</v>
      </c>
      <c r="AJ320" s="2" t="s">
        <v>74</v>
      </c>
      <c r="AK320" s="2" t="s">
        <v>74</v>
      </c>
      <c r="AL320" s="2" t="s">
        <v>74</v>
      </c>
      <c r="AM320" s="2" t="s">
        <v>74</v>
      </c>
      <c r="AN320" s="2" t="s">
        <v>74</v>
      </c>
      <c r="AO320" s="2" t="s">
        <v>337</v>
      </c>
      <c r="AP320" s="2" t="s">
        <v>338</v>
      </c>
      <c r="AQ320" s="2" t="s">
        <v>74</v>
      </c>
      <c r="AR320" s="2" t="s">
        <v>74</v>
      </c>
      <c r="AS320" s="2" t="s">
        <v>74</v>
      </c>
      <c r="AT320" s="2" t="s">
        <v>1013</v>
      </c>
      <c r="AU320" s="2">
        <v>2014</v>
      </c>
      <c r="AV320" s="2">
        <v>25</v>
      </c>
      <c r="AW320" s="2">
        <v>5</v>
      </c>
      <c r="AX320" s="2" t="s">
        <v>74</v>
      </c>
      <c r="AY320" s="2" t="s">
        <v>74</v>
      </c>
      <c r="AZ320" s="2" t="s">
        <v>74</v>
      </c>
      <c r="BA320" s="2" t="s">
        <v>74</v>
      </c>
      <c r="BB320" s="2">
        <v>1097</v>
      </c>
      <c r="BC320" s="2">
        <v>1104</v>
      </c>
      <c r="BD320" s="2" t="s">
        <v>74</v>
      </c>
      <c r="BE320" s="2" t="s">
        <v>8011</v>
      </c>
      <c r="BF320" s="2" t="str">
        <f>HYPERLINK("http://dx.doi.org/10.1093/beheco/aru087","http://dx.doi.org/10.1093/beheco/aru087")</f>
        <v>http://dx.doi.org/10.1093/beheco/aru087</v>
      </c>
      <c r="BG320" s="2" t="s">
        <v>74</v>
      </c>
      <c r="BH320" s="2" t="s">
        <v>74</v>
      </c>
      <c r="BI320" s="2" t="s">
        <v>74</v>
      </c>
      <c r="BJ320" s="2" t="s">
        <v>74</v>
      </c>
      <c r="BK320" s="2" t="s">
        <v>74</v>
      </c>
      <c r="BL320" s="2" t="s">
        <v>74</v>
      </c>
      <c r="BM320" s="2" t="s">
        <v>74</v>
      </c>
      <c r="BN320" s="2" t="s">
        <v>74</v>
      </c>
      <c r="BO320" s="2" t="s">
        <v>74</v>
      </c>
      <c r="BP320" s="2" t="s">
        <v>74</v>
      </c>
      <c r="BQ320" s="2" t="s">
        <v>74</v>
      </c>
      <c r="BR320" s="2" t="s">
        <v>74</v>
      </c>
      <c r="BS320" s="2" t="s">
        <v>8012</v>
      </c>
      <c r="BT320" s="2" t="str">
        <f>HYPERLINK("https%3A%2F%2Fwww.webofscience.com%2Fwos%2Fwoscc%2Ffull-record%2FWOS:000342360200015","View Full Record in Web of Science")</f>
        <v>View Full Record in Web of Science</v>
      </c>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row>
    <row r="321" spans="1:314" s="2" customFormat="1" x14ac:dyDescent="0.4">
      <c r="A321" s="2" t="s">
        <v>72</v>
      </c>
      <c r="B321" s="2" t="s">
        <v>6217</v>
      </c>
      <c r="C321" s="2" t="s">
        <v>74</v>
      </c>
      <c r="D321" s="2" t="s">
        <v>74</v>
      </c>
      <c r="E321" s="2" t="s">
        <v>74</v>
      </c>
      <c r="F321" s="2" t="s">
        <v>6217</v>
      </c>
      <c r="G321" s="2" t="s">
        <v>74</v>
      </c>
      <c r="H321" s="2" t="s">
        <v>74</v>
      </c>
      <c r="I321" s="2" t="s">
        <v>6218</v>
      </c>
      <c r="J321" s="2" t="s">
        <v>312</v>
      </c>
      <c r="K321" s="2" t="s">
        <v>74</v>
      </c>
      <c r="L321" s="2" t="s">
        <v>74</v>
      </c>
      <c r="M321" s="2" t="s">
        <v>74</v>
      </c>
      <c r="N321" s="2" t="s">
        <v>74</v>
      </c>
      <c r="O321" s="2" t="s">
        <v>74</v>
      </c>
      <c r="P321" s="2" t="s">
        <v>74</v>
      </c>
      <c r="Q321" s="2" t="s">
        <v>74</v>
      </c>
      <c r="R321" s="2" t="s">
        <v>74</v>
      </c>
      <c r="S321" s="2" t="s">
        <v>74</v>
      </c>
      <c r="T321" s="2" t="s">
        <v>74</v>
      </c>
      <c r="U321" s="2" t="s">
        <v>74</v>
      </c>
      <c r="V321" s="5" t="s">
        <v>6219</v>
      </c>
      <c r="W321" s="2" t="s">
        <v>74</v>
      </c>
      <c r="X321" s="2" t="s">
        <v>74</v>
      </c>
      <c r="Y321" s="2" t="s">
        <v>74</v>
      </c>
      <c r="Z321" s="2" t="s">
        <v>74</v>
      </c>
      <c r="AA321" s="2" t="s">
        <v>6220</v>
      </c>
      <c r="AB321" s="2" t="s">
        <v>6221</v>
      </c>
      <c r="AC321" s="2" t="s">
        <v>74</v>
      </c>
      <c r="AD321" s="2" t="s">
        <v>74</v>
      </c>
      <c r="AE321" s="2" t="s">
        <v>74</v>
      </c>
      <c r="AF321" s="2" t="s">
        <v>74</v>
      </c>
      <c r="AG321" s="2" t="s">
        <v>74</v>
      </c>
      <c r="AH321" s="2" t="s">
        <v>74</v>
      </c>
      <c r="AI321" s="2" t="s">
        <v>74</v>
      </c>
      <c r="AJ321" s="2" t="s">
        <v>74</v>
      </c>
      <c r="AK321" s="2" t="s">
        <v>74</v>
      </c>
      <c r="AL321" s="2" t="s">
        <v>74</v>
      </c>
      <c r="AM321" s="2" t="s">
        <v>74</v>
      </c>
      <c r="AN321" s="2" t="s">
        <v>74</v>
      </c>
      <c r="AO321" s="2" t="s">
        <v>314</v>
      </c>
      <c r="AP321" s="2" t="s">
        <v>315</v>
      </c>
      <c r="AQ321" s="2" t="s">
        <v>74</v>
      </c>
      <c r="AR321" s="2" t="s">
        <v>74</v>
      </c>
      <c r="AS321" s="2" t="s">
        <v>74</v>
      </c>
      <c r="AT321" s="2" t="s">
        <v>204</v>
      </c>
      <c r="AU321" s="2">
        <v>2001</v>
      </c>
      <c r="AV321" s="2">
        <v>158</v>
      </c>
      <c r="AW321" s="2">
        <v>1</v>
      </c>
      <c r="AX321" s="2" t="s">
        <v>74</v>
      </c>
      <c r="AY321" s="2" t="s">
        <v>74</v>
      </c>
      <c r="AZ321" s="2" t="s">
        <v>74</v>
      </c>
      <c r="BA321" s="2" t="s">
        <v>74</v>
      </c>
      <c r="BB321" s="2">
        <v>75</v>
      </c>
      <c r="BC321" s="2">
        <v>86</v>
      </c>
      <c r="BD321" s="2" t="s">
        <v>74</v>
      </c>
      <c r="BE321" s="2" t="s">
        <v>6222</v>
      </c>
      <c r="BF321" s="2" t="str">
        <f>HYPERLINK("http://dx.doi.org/10.1086/320861","http://dx.doi.org/10.1086/320861")</f>
        <v>http://dx.doi.org/10.1086/320861</v>
      </c>
      <c r="BG321" s="2" t="s">
        <v>74</v>
      </c>
      <c r="BH321" s="2" t="s">
        <v>74</v>
      </c>
      <c r="BI321" s="2" t="s">
        <v>74</v>
      </c>
      <c r="BJ321" s="2" t="s">
        <v>74</v>
      </c>
      <c r="BK321" s="2" t="s">
        <v>74</v>
      </c>
      <c r="BL321" s="2" t="s">
        <v>74</v>
      </c>
      <c r="BM321" s="2" t="s">
        <v>74</v>
      </c>
      <c r="BN321" s="2">
        <v>18707316</v>
      </c>
      <c r="BO321" s="2" t="s">
        <v>74</v>
      </c>
      <c r="BP321" s="2" t="s">
        <v>74</v>
      </c>
      <c r="BQ321" s="2" t="s">
        <v>74</v>
      </c>
      <c r="BR321" s="2" t="s">
        <v>74</v>
      </c>
      <c r="BS321" s="2" t="s">
        <v>6223</v>
      </c>
      <c r="BT321" s="2" t="str">
        <f>HYPERLINK("https%3A%2F%2Fwww.webofscience.com%2Fwos%2Fwoscc%2Ffull-record%2FWOS:000169198200006","View Full Record in Web of Science")</f>
        <v>View Full Record in Web of Science</v>
      </c>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row>
    <row r="322" spans="1:314" s="2" customFormat="1" x14ac:dyDescent="0.4">
      <c r="A322" s="2" t="s">
        <v>72</v>
      </c>
      <c r="B322" s="2" t="s">
        <v>6259</v>
      </c>
      <c r="C322" s="2" t="s">
        <v>74</v>
      </c>
      <c r="D322" s="2" t="s">
        <v>74</v>
      </c>
      <c r="E322" s="2" t="s">
        <v>74</v>
      </c>
      <c r="F322" s="2" t="s">
        <v>6260</v>
      </c>
      <c r="G322" s="2" t="s">
        <v>74</v>
      </c>
      <c r="H322" s="2" t="s">
        <v>74</v>
      </c>
      <c r="I322" s="2" t="s">
        <v>6261</v>
      </c>
      <c r="J322" s="2" t="s">
        <v>6262</v>
      </c>
      <c r="K322" s="2" t="s">
        <v>74</v>
      </c>
      <c r="L322" s="2" t="s">
        <v>74</v>
      </c>
      <c r="M322" s="2" t="s">
        <v>74</v>
      </c>
      <c r="N322" s="2" t="s">
        <v>74</v>
      </c>
      <c r="O322" s="2" t="s">
        <v>74</v>
      </c>
      <c r="P322" s="2" t="s">
        <v>74</v>
      </c>
      <c r="Q322" s="2" t="s">
        <v>74</v>
      </c>
      <c r="R322" s="2" t="s">
        <v>74</v>
      </c>
      <c r="S322" s="2" t="s">
        <v>74</v>
      </c>
      <c r="T322" s="2" t="s">
        <v>74</v>
      </c>
      <c r="U322" s="2" t="s">
        <v>74</v>
      </c>
      <c r="V322" s="5" t="s">
        <v>6263</v>
      </c>
      <c r="W322" s="2" t="s">
        <v>74</v>
      </c>
      <c r="X322" s="2" t="s">
        <v>74</v>
      </c>
      <c r="Y322" s="2" t="s">
        <v>74</v>
      </c>
      <c r="Z322" s="2" t="s">
        <v>74</v>
      </c>
      <c r="AA322" s="2" t="s">
        <v>6264</v>
      </c>
      <c r="AB322" s="2" t="s">
        <v>6265</v>
      </c>
      <c r="AC322" s="2" t="s">
        <v>74</v>
      </c>
      <c r="AD322" s="2" t="s">
        <v>74</v>
      </c>
      <c r="AE322" s="2" t="s">
        <v>74</v>
      </c>
      <c r="AF322" s="2" t="s">
        <v>74</v>
      </c>
      <c r="AG322" s="2" t="s">
        <v>74</v>
      </c>
      <c r="AH322" s="2" t="s">
        <v>74</v>
      </c>
      <c r="AI322" s="2" t="s">
        <v>74</v>
      </c>
      <c r="AJ322" s="2" t="s">
        <v>74</v>
      </c>
      <c r="AK322" s="2" t="s">
        <v>74</v>
      </c>
      <c r="AL322" s="2" t="s">
        <v>74</v>
      </c>
      <c r="AM322" s="2" t="s">
        <v>74</v>
      </c>
      <c r="AN322" s="2" t="s">
        <v>74</v>
      </c>
      <c r="AO322" s="2" t="s">
        <v>6266</v>
      </c>
      <c r="AP322" s="2" t="s">
        <v>74</v>
      </c>
      <c r="AQ322" s="2" t="s">
        <v>74</v>
      </c>
      <c r="AR322" s="2" t="s">
        <v>74</v>
      </c>
      <c r="AS322" s="2" t="s">
        <v>74</v>
      </c>
      <c r="AT322" s="2" t="s">
        <v>305</v>
      </c>
      <c r="AU322" s="2">
        <v>2006</v>
      </c>
      <c r="AV322" s="2">
        <v>29</v>
      </c>
      <c r="AW322" s="2">
        <v>6</v>
      </c>
      <c r="AX322" s="2" t="s">
        <v>74</v>
      </c>
      <c r="AY322" s="2" t="s">
        <v>74</v>
      </c>
      <c r="AZ322" s="2" t="s">
        <v>74</v>
      </c>
      <c r="BA322" s="2" t="s">
        <v>74</v>
      </c>
      <c r="BB322" s="2">
        <v>886</v>
      </c>
      <c r="BC322" s="2">
        <v>898</v>
      </c>
      <c r="BD322" s="2" t="s">
        <v>74</v>
      </c>
      <c r="BE322" s="2" t="s">
        <v>6267</v>
      </c>
      <c r="BF322" s="2" t="str">
        <f>HYPERLINK("http://dx.doi.org/10.1111/j.2006.0906-7590.04816.x","http://dx.doi.org/10.1111/j.2006.0906-7590.04816.x")</f>
        <v>http://dx.doi.org/10.1111/j.2006.0906-7590.04816.x</v>
      </c>
      <c r="BG322" s="2" t="s">
        <v>74</v>
      </c>
      <c r="BH322" s="2" t="s">
        <v>74</v>
      </c>
      <c r="BI322" s="2" t="s">
        <v>74</v>
      </c>
      <c r="BJ322" s="2" t="s">
        <v>74</v>
      </c>
      <c r="BK322" s="2" t="s">
        <v>74</v>
      </c>
      <c r="BL322" s="2" t="s">
        <v>74</v>
      </c>
      <c r="BM322" s="2" t="s">
        <v>74</v>
      </c>
      <c r="BN322" s="2" t="s">
        <v>74</v>
      </c>
      <c r="BO322" s="2" t="s">
        <v>74</v>
      </c>
      <c r="BP322" s="2" t="s">
        <v>74</v>
      </c>
      <c r="BQ322" s="2" t="s">
        <v>74</v>
      </c>
      <c r="BR322" s="2" t="s">
        <v>74</v>
      </c>
      <c r="BS322" s="2" t="s">
        <v>6268</v>
      </c>
      <c r="BT322" s="2" t="str">
        <f>HYPERLINK("https%3A%2F%2Fwww.webofscience.com%2Fwos%2Fwoscc%2Ffull-record%2FWOS:000243634500010","View Full Record in Web of Science")</f>
        <v>View Full Record in Web of Science</v>
      </c>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row>
    <row r="323" spans="1:314" s="2" customFormat="1" x14ac:dyDescent="0.4">
      <c r="A323" s="2" t="s">
        <v>72</v>
      </c>
      <c r="B323" s="2" t="s">
        <v>6781</v>
      </c>
      <c r="C323" s="2" t="s">
        <v>74</v>
      </c>
      <c r="D323" s="2" t="s">
        <v>74</v>
      </c>
      <c r="E323" s="2" t="s">
        <v>74</v>
      </c>
      <c r="F323" s="2" t="s">
        <v>6782</v>
      </c>
      <c r="G323" s="2" t="s">
        <v>74</v>
      </c>
      <c r="H323" s="2" t="s">
        <v>74</v>
      </c>
      <c r="I323" s="2" t="s">
        <v>6783</v>
      </c>
      <c r="J323" s="2" t="s">
        <v>367</v>
      </c>
      <c r="K323" s="2" t="s">
        <v>74</v>
      </c>
      <c r="L323" s="2" t="s">
        <v>74</v>
      </c>
      <c r="M323" s="2" t="s">
        <v>74</v>
      </c>
      <c r="N323" s="2" t="s">
        <v>74</v>
      </c>
      <c r="O323" s="2" t="s">
        <v>74</v>
      </c>
      <c r="P323" s="2" t="s">
        <v>74</v>
      </c>
      <c r="Q323" s="2" t="s">
        <v>74</v>
      </c>
      <c r="R323" s="2" t="s">
        <v>74</v>
      </c>
      <c r="S323" s="2" t="s">
        <v>74</v>
      </c>
      <c r="T323" s="2" t="s">
        <v>74</v>
      </c>
      <c r="U323" s="2" t="s">
        <v>74</v>
      </c>
      <c r="V323" s="5" t="s">
        <v>6784</v>
      </c>
      <c r="W323" s="2" t="s">
        <v>74</v>
      </c>
      <c r="X323" s="2" t="s">
        <v>74</v>
      </c>
      <c r="Y323" s="2" t="s">
        <v>74</v>
      </c>
      <c r="Z323" s="2" t="s">
        <v>74</v>
      </c>
      <c r="AA323" s="2" t="s">
        <v>6785</v>
      </c>
      <c r="AB323" s="2" t="s">
        <v>6786</v>
      </c>
      <c r="AC323" s="2" t="s">
        <v>74</v>
      </c>
      <c r="AD323" s="2" t="s">
        <v>74</v>
      </c>
      <c r="AE323" s="2" t="s">
        <v>74</v>
      </c>
      <c r="AF323" s="2" t="s">
        <v>74</v>
      </c>
      <c r="AG323" s="2" t="s">
        <v>74</v>
      </c>
      <c r="AH323" s="2" t="s">
        <v>74</v>
      </c>
      <c r="AI323" s="2" t="s">
        <v>74</v>
      </c>
      <c r="AJ323" s="2" t="s">
        <v>74</v>
      </c>
      <c r="AK323" s="2" t="s">
        <v>74</v>
      </c>
      <c r="AL323" s="2" t="s">
        <v>74</v>
      </c>
      <c r="AM323" s="2" t="s">
        <v>74</v>
      </c>
      <c r="AN323" s="2" t="s">
        <v>74</v>
      </c>
      <c r="AO323" s="2" t="s">
        <v>371</v>
      </c>
      <c r="AP323" s="2" t="s">
        <v>372</v>
      </c>
      <c r="AQ323" s="2" t="s">
        <v>74</v>
      </c>
      <c r="AR323" s="2" t="s">
        <v>74</v>
      </c>
      <c r="AS323" s="2" t="s">
        <v>74</v>
      </c>
      <c r="AT323" s="2" t="s">
        <v>134</v>
      </c>
      <c r="AU323" s="2">
        <v>2019</v>
      </c>
      <c r="AV323" s="2">
        <v>133</v>
      </c>
      <c r="AW323" s="2">
        <v>2</v>
      </c>
      <c r="AX323" s="2" t="s">
        <v>74</v>
      </c>
      <c r="AY323" s="2" t="s">
        <v>74</v>
      </c>
      <c r="AZ323" s="2" t="s">
        <v>74</v>
      </c>
      <c r="BA323" s="2" t="s">
        <v>74</v>
      </c>
      <c r="BB323" s="2">
        <v>262</v>
      </c>
      <c r="BC323" s="2">
        <v>271</v>
      </c>
      <c r="BD323" s="2" t="s">
        <v>74</v>
      </c>
      <c r="BE323" s="2" t="s">
        <v>6787</v>
      </c>
      <c r="BF323" s="2" t="str">
        <f>HYPERLINK("http://dx.doi.org/10.1037/com0000148","http://dx.doi.org/10.1037/com0000148")</f>
        <v>http://dx.doi.org/10.1037/com0000148</v>
      </c>
      <c r="BG323" s="2" t="s">
        <v>74</v>
      </c>
      <c r="BH323" s="2" t="s">
        <v>74</v>
      </c>
      <c r="BI323" s="2" t="s">
        <v>74</v>
      </c>
      <c r="BJ323" s="2" t="s">
        <v>74</v>
      </c>
      <c r="BK323" s="2" t="s">
        <v>74</v>
      </c>
      <c r="BL323" s="2" t="s">
        <v>74</v>
      </c>
      <c r="BM323" s="2" t="s">
        <v>74</v>
      </c>
      <c r="BN323" s="2">
        <v>30550303</v>
      </c>
      <c r="BO323" s="2" t="s">
        <v>74</v>
      </c>
      <c r="BP323" s="2" t="s">
        <v>74</v>
      </c>
      <c r="BQ323" s="2" t="s">
        <v>74</v>
      </c>
      <c r="BR323" s="2" t="s">
        <v>74</v>
      </c>
      <c r="BS323" s="2" t="s">
        <v>6788</v>
      </c>
      <c r="BT323" s="2" t="str">
        <f>HYPERLINK("https%3A%2F%2Fwww.webofscience.com%2Fwos%2Fwoscc%2Ffull-record%2FWOS:000467403500013","View Full Record in Web of Science")</f>
        <v>View Full Record in Web of Science</v>
      </c>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row>
    <row r="324" spans="1:314" s="2" customFormat="1" x14ac:dyDescent="0.4">
      <c r="A324" s="2" t="s">
        <v>72</v>
      </c>
      <c r="B324" s="2" t="s">
        <v>8126</v>
      </c>
      <c r="C324" s="2" t="s">
        <v>74</v>
      </c>
      <c r="D324" s="2" t="s">
        <v>74</v>
      </c>
      <c r="E324" s="2" t="s">
        <v>74</v>
      </c>
      <c r="F324" s="2" t="s">
        <v>8127</v>
      </c>
      <c r="G324" s="2" t="s">
        <v>74</v>
      </c>
      <c r="H324" s="2" t="s">
        <v>74</v>
      </c>
      <c r="I324" s="2" t="s">
        <v>8128</v>
      </c>
      <c r="J324" s="2" t="s">
        <v>8129</v>
      </c>
      <c r="K324" s="2" t="s">
        <v>74</v>
      </c>
      <c r="L324" s="2" t="s">
        <v>74</v>
      </c>
      <c r="M324" s="2" t="s">
        <v>74</v>
      </c>
      <c r="N324" s="2" t="s">
        <v>74</v>
      </c>
      <c r="O324" s="2" t="s">
        <v>74</v>
      </c>
      <c r="P324" s="2" t="s">
        <v>74</v>
      </c>
      <c r="Q324" s="2" t="s">
        <v>74</v>
      </c>
      <c r="R324" s="2" t="s">
        <v>74</v>
      </c>
      <c r="S324" s="2" t="s">
        <v>74</v>
      </c>
      <c r="T324" s="2" t="s">
        <v>74</v>
      </c>
      <c r="U324" s="2" t="s">
        <v>74</v>
      </c>
      <c r="V324" s="5" t="s">
        <v>8130</v>
      </c>
      <c r="W324" s="2" t="s">
        <v>74</v>
      </c>
      <c r="X324" s="2" t="s">
        <v>74</v>
      </c>
      <c r="Y324" s="2" t="s">
        <v>74</v>
      </c>
      <c r="Z324" s="2" t="s">
        <v>74</v>
      </c>
      <c r="AA324" s="2" t="s">
        <v>74</v>
      </c>
      <c r="AB324" s="2" t="s">
        <v>74</v>
      </c>
      <c r="AC324" s="2" t="s">
        <v>74</v>
      </c>
      <c r="AD324" s="2" t="s">
        <v>74</v>
      </c>
      <c r="AE324" s="2" t="s">
        <v>74</v>
      </c>
      <c r="AF324" s="2" t="s">
        <v>74</v>
      </c>
      <c r="AG324" s="2" t="s">
        <v>74</v>
      </c>
      <c r="AH324" s="2" t="s">
        <v>74</v>
      </c>
      <c r="AI324" s="2" t="s">
        <v>74</v>
      </c>
      <c r="AJ324" s="2" t="s">
        <v>74</v>
      </c>
      <c r="AK324" s="2" t="s">
        <v>74</v>
      </c>
      <c r="AL324" s="2" t="s">
        <v>74</v>
      </c>
      <c r="AM324" s="2" t="s">
        <v>74</v>
      </c>
      <c r="AN324" s="2" t="s">
        <v>74</v>
      </c>
      <c r="AO324" s="2" t="s">
        <v>8131</v>
      </c>
      <c r="AP324" s="2" t="s">
        <v>8132</v>
      </c>
      <c r="AQ324" s="2" t="s">
        <v>74</v>
      </c>
      <c r="AR324" s="2" t="s">
        <v>74</v>
      </c>
      <c r="AS324" s="2" t="s">
        <v>74</v>
      </c>
      <c r="AT324" s="2" t="s">
        <v>964</v>
      </c>
      <c r="AU324" s="2">
        <v>2020</v>
      </c>
      <c r="AV324" s="2">
        <v>22</v>
      </c>
      <c r="AW324" s="2">
        <v>2</v>
      </c>
      <c r="AX324" s="2" t="s">
        <v>74</v>
      </c>
      <c r="AY324" s="2" t="s">
        <v>74</v>
      </c>
      <c r="AZ324" s="2" t="s">
        <v>74</v>
      </c>
      <c r="BA324" s="2" t="s">
        <v>74</v>
      </c>
      <c r="BB324" s="2">
        <v>783</v>
      </c>
      <c r="BC324" s="2">
        <v>797</v>
      </c>
      <c r="BD324" s="2" t="s">
        <v>74</v>
      </c>
      <c r="BE324" s="2" t="s">
        <v>8133</v>
      </c>
      <c r="BF324" s="2" t="str">
        <f>HYPERLINK("http://dx.doi.org/10.1007/s10530-019-02130-6","http://dx.doi.org/10.1007/s10530-019-02130-6")</f>
        <v>http://dx.doi.org/10.1007/s10530-019-02130-6</v>
      </c>
      <c r="BG324" s="2" t="s">
        <v>74</v>
      </c>
      <c r="BH324" s="2" t="s">
        <v>2283</v>
      </c>
      <c r="BI324" s="2" t="s">
        <v>74</v>
      </c>
      <c r="BJ324" s="2" t="s">
        <v>74</v>
      </c>
      <c r="BK324" s="2" t="s">
        <v>74</v>
      </c>
      <c r="BL324" s="2" t="s">
        <v>74</v>
      </c>
      <c r="BM324" s="2" t="s">
        <v>74</v>
      </c>
      <c r="BN324" s="2" t="s">
        <v>74</v>
      </c>
      <c r="BO324" s="2" t="s">
        <v>74</v>
      </c>
      <c r="BP324" s="2" t="s">
        <v>74</v>
      </c>
      <c r="BQ324" s="2" t="s">
        <v>74</v>
      </c>
      <c r="BR324" s="2" t="s">
        <v>74</v>
      </c>
      <c r="BS324" s="2" t="s">
        <v>8134</v>
      </c>
      <c r="BT324" s="2" t="str">
        <f>HYPERLINK("https%3A%2F%2Fwww.webofscience.com%2Fwos%2Fwoscc%2Ffull-record%2FWOS:000498741600005","View Full Record in Web of Science")</f>
        <v>View Full Record in Web of Science</v>
      </c>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row>
    <row r="325" spans="1:314" s="2" customFormat="1" x14ac:dyDescent="0.4">
      <c r="A325" s="2" t="s">
        <v>72</v>
      </c>
      <c r="B325" s="2" t="s">
        <v>4453</v>
      </c>
      <c r="C325" s="2" t="s">
        <v>74</v>
      </c>
      <c r="D325" s="2" t="s">
        <v>74</v>
      </c>
      <c r="E325" s="2" t="s">
        <v>74</v>
      </c>
      <c r="F325" s="2" t="s">
        <v>4454</v>
      </c>
      <c r="G325" s="2" t="s">
        <v>74</v>
      </c>
      <c r="H325" s="2" t="s">
        <v>74</v>
      </c>
      <c r="I325" s="2" t="s">
        <v>4455</v>
      </c>
      <c r="J325" s="2" t="s">
        <v>4456</v>
      </c>
      <c r="K325" s="2" t="s">
        <v>74</v>
      </c>
      <c r="L325" s="2" t="s">
        <v>74</v>
      </c>
      <c r="M325" s="2" t="s">
        <v>74</v>
      </c>
      <c r="N325" s="2" t="s">
        <v>74</v>
      </c>
      <c r="O325" s="2" t="s">
        <v>74</v>
      </c>
      <c r="P325" s="2" t="s">
        <v>74</v>
      </c>
      <c r="Q325" s="2" t="s">
        <v>74</v>
      </c>
      <c r="R325" s="2" t="s">
        <v>74</v>
      </c>
      <c r="S325" s="2" t="s">
        <v>74</v>
      </c>
      <c r="T325" s="2" t="s">
        <v>74</v>
      </c>
      <c r="U325" s="2" t="s">
        <v>74</v>
      </c>
      <c r="V325" s="5" t="s">
        <v>4457</v>
      </c>
      <c r="W325" s="2" t="s">
        <v>74</v>
      </c>
      <c r="X325" s="2" t="s">
        <v>74</v>
      </c>
      <c r="Y325" s="2" t="s">
        <v>74</v>
      </c>
      <c r="Z325" s="2" t="s">
        <v>74</v>
      </c>
      <c r="AA325" s="2" t="s">
        <v>4458</v>
      </c>
      <c r="AB325" s="2" t="s">
        <v>4459</v>
      </c>
      <c r="AC325" s="2" t="s">
        <v>74</v>
      </c>
      <c r="AD325" s="2" t="s">
        <v>74</v>
      </c>
      <c r="AE325" s="2" t="s">
        <v>74</v>
      </c>
      <c r="AF325" s="2" t="s">
        <v>74</v>
      </c>
      <c r="AG325" s="2" t="s">
        <v>74</v>
      </c>
      <c r="AH325" s="2" t="s">
        <v>74</v>
      </c>
      <c r="AI325" s="2" t="s">
        <v>74</v>
      </c>
      <c r="AJ325" s="2" t="s">
        <v>74</v>
      </c>
      <c r="AK325" s="2" t="s">
        <v>74</v>
      </c>
      <c r="AL325" s="2" t="s">
        <v>74</v>
      </c>
      <c r="AM325" s="2" t="s">
        <v>74</v>
      </c>
      <c r="AN325" s="2" t="s">
        <v>74</v>
      </c>
      <c r="AO325" s="2" t="s">
        <v>4460</v>
      </c>
      <c r="AP325" s="2" t="s">
        <v>4461</v>
      </c>
      <c r="AQ325" s="2" t="s">
        <v>74</v>
      </c>
      <c r="AR325" s="2" t="s">
        <v>74</v>
      </c>
      <c r="AS325" s="2" t="s">
        <v>74</v>
      </c>
      <c r="AT325" s="2" t="s">
        <v>3445</v>
      </c>
      <c r="AU325" s="2">
        <v>2011</v>
      </c>
      <c r="AV325" s="2">
        <v>239</v>
      </c>
      <c r="AW325" s="2">
        <v>6</v>
      </c>
      <c r="AX325" s="2" t="s">
        <v>74</v>
      </c>
      <c r="AY325" s="2" t="s">
        <v>74</v>
      </c>
      <c r="AZ325" s="2" t="s">
        <v>74</v>
      </c>
      <c r="BA325" s="2" t="s">
        <v>74</v>
      </c>
      <c r="BB325" s="2">
        <v>796</v>
      </c>
      <c r="BC325" s="2">
        <v>801</v>
      </c>
      <c r="BD325" s="2" t="s">
        <v>74</v>
      </c>
      <c r="BE325" s="2" t="s">
        <v>74</v>
      </c>
      <c r="BF325" s="2" t="s">
        <v>74</v>
      </c>
      <c r="BG325" s="2" t="s">
        <v>74</v>
      </c>
      <c r="BH325" s="2" t="s">
        <v>74</v>
      </c>
      <c r="BI325" s="2" t="s">
        <v>74</v>
      </c>
      <c r="BJ325" s="2" t="s">
        <v>74</v>
      </c>
      <c r="BK325" s="2" t="s">
        <v>74</v>
      </c>
      <c r="BL325" s="2" t="s">
        <v>74</v>
      </c>
      <c r="BM325" s="2" t="s">
        <v>74</v>
      </c>
      <c r="BN325" s="2">
        <v>21916762</v>
      </c>
      <c r="BO325" s="2" t="s">
        <v>74</v>
      </c>
      <c r="BP325" s="2" t="s">
        <v>74</v>
      </c>
      <c r="BQ325" s="2" t="s">
        <v>74</v>
      </c>
      <c r="BR325" s="2" t="s">
        <v>74</v>
      </c>
      <c r="BS325" s="2" t="s">
        <v>4462</v>
      </c>
      <c r="BT325" s="2" t="str">
        <f>HYPERLINK("https%3A%2F%2Fwww.webofscience.com%2Fwos%2Fwoscc%2Ffull-record%2FWOS:000294792100008","View Full Record in Web of Science")</f>
        <v>View Full Record in Web of Science</v>
      </c>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row>
    <row r="326" spans="1:314" s="2" customFormat="1" x14ac:dyDescent="0.4">
      <c r="A326" s="2" t="s">
        <v>72</v>
      </c>
      <c r="B326" s="2" t="s">
        <v>7609</v>
      </c>
      <c r="C326" s="2" t="s">
        <v>74</v>
      </c>
      <c r="D326" s="2" t="s">
        <v>74</v>
      </c>
      <c r="E326" s="2" t="s">
        <v>74</v>
      </c>
      <c r="F326" s="2" t="s">
        <v>7610</v>
      </c>
      <c r="G326" s="2" t="s">
        <v>74</v>
      </c>
      <c r="H326" s="2" t="s">
        <v>74</v>
      </c>
      <c r="I326" s="2" t="s">
        <v>7611</v>
      </c>
      <c r="J326" s="2" t="s">
        <v>7612</v>
      </c>
      <c r="K326" s="2" t="s">
        <v>74</v>
      </c>
      <c r="L326" s="2" t="s">
        <v>74</v>
      </c>
      <c r="M326" s="2" t="s">
        <v>74</v>
      </c>
      <c r="N326" s="2" t="s">
        <v>74</v>
      </c>
      <c r="O326" s="2" t="s">
        <v>74</v>
      </c>
      <c r="P326" s="2" t="s">
        <v>74</v>
      </c>
      <c r="Q326" s="2" t="s">
        <v>74</v>
      </c>
      <c r="R326" s="2" t="s">
        <v>74</v>
      </c>
      <c r="S326" s="2" t="s">
        <v>74</v>
      </c>
      <c r="T326" s="2" t="s">
        <v>74</v>
      </c>
      <c r="U326" s="2" t="s">
        <v>74</v>
      </c>
      <c r="V326" s="5" t="s">
        <v>7613</v>
      </c>
      <c r="W326" s="2" t="s">
        <v>74</v>
      </c>
      <c r="X326" s="2" t="s">
        <v>74</v>
      </c>
      <c r="Y326" s="2" t="s">
        <v>74</v>
      </c>
      <c r="Z326" s="2" t="s">
        <v>74</v>
      </c>
      <c r="AA326" s="2" t="s">
        <v>74</v>
      </c>
      <c r="AB326" s="2" t="s">
        <v>7614</v>
      </c>
      <c r="AC326" s="2" t="s">
        <v>74</v>
      </c>
      <c r="AD326" s="2" t="s">
        <v>74</v>
      </c>
      <c r="AE326" s="2" t="s">
        <v>74</v>
      </c>
      <c r="AF326" s="2" t="s">
        <v>74</v>
      </c>
      <c r="AG326" s="2" t="s">
        <v>74</v>
      </c>
      <c r="AH326" s="2" t="s">
        <v>74</v>
      </c>
      <c r="AI326" s="2" t="s">
        <v>74</v>
      </c>
      <c r="AJ326" s="2" t="s">
        <v>74</v>
      </c>
      <c r="AK326" s="2" t="s">
        <v>74</v>
      </c>
      <c r="AL326" s="2" t="s">
        <v>74</v>
      </c>
      <c r="AM326" s="2" t="s">
        <v>74</v>
      </c>
      <c r="AN326" s="2" t="s">
        <v>74</v>
      </c>
      <c r="AO326" s="2" t="s">
        <v>7615</v>
      </c>
      <c r="AP326" s="2" t="s">
        <v>7616</v>
      </c>
      <c r="AQ326" s="2" t="s">
        <v>74</v>
      </c>
      <c r="AR326" s="2" t="s">
        <v>74</v>
      </c>
      <c r="AS326" s="2" t="s">
        <v>74</v>
      </c>
      <c r="AT326" s="2" t="s">
        <v>305</v>
      </c>
      <c r="AU326" s="2">
        <v>2019</v>
      </c>
      <c r="AV326" s="2">
        <v>35</v>
      </c>
      <c r="AW326" s="2">
        <v>6</v>
      </c>
      <c r="AX326" s="2" t="s">
        <v>74</v>
      </c>
      <c r="AY326" s="2" t="s">
        <v>74</v>
      </c>
      <c r="AZ326" s="2" t="s">
        <v>74</v>
      </c>
      <c r="BA326" s="2" t="s">
        <v>74</v>
      </c>
      <c r="BB326" s="2">
        <v>1225</v>
      </c>
      <c r="BC326" s="2">
        <v>1233</v>
      </c>
      <c r="BD326" s="2" t="s">
        <v>74</v>
      </c>
      <c r="BE326" s="2" t="s">
        <v>7617</v>
      </c>
      <c r="BF326" s="2" t="str">
        <f>HYPERLINK("http://dx.doi.org/10.1111/jai.13982","http://dx.doi.org/10.1111/jai.13982")</f>
        <v>http://dx.doi.org/10.1111/jai.13982</v>
      </c>
      <c r="BG326" s="2" t="s">
        <v>74</v>
      </c>
      <c r="BH326" s="2" t="s">
        <v>74</v>
      </c>
      <c r="BI326" s="2" t="s">
        <v>74</v>
      </c>
      <c r="BJ326" s="2" t="s">
        <v>74</v>
      </c>
      <c r="BK326" s="2" t="s">
        <v>74</v>
      </c>
      <c r="BL326" s="2" t="s">
        <v>74</v>
      </c>
      <c r="BM326" s="2" t="s">
        <v>74</v>
      </c>
      <c r="BN326" s="2" t="s">
        <v>74</v>
      </c>
      <c r="BO326" s="2" t="s">
        <v>74</v>
      </c>
      <c r="BP326" s="2" t="s">
        <v>74</v>
      </c>
      <c r="BQ326" s="2" t="s">
        <v>74</v>
      </c>
      <c r="BR326" s="2" t="s">
        <v>74</v>
      </c>
      <c r="BS326" s="2" t="s">
        <v>7618</v>
      </c>
      <c r="BT326" s="2" t="str">
        <f>HYPERLINK("https%3A%2F%2Fwww.webofscience.com%2Fwos%2Fwoscc%2Ffull-record%2FWOS:000499266300006","View Full Record in Web of Science")</f>
        <v>View Full Record in Web of Science</v>
      </c>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row>
    <row r="327" spans="1:314" s="7" customFormat="1" x14ac:dyDescent="0.4">
      <c r="A327" s="2" t="s">
        <v>72</v>
      </c>
      <c r="B327" s="2" t="s">
        <v>7643</v>
      </c>
      <c r="C327" s="2" t="s">
        <v>74</v>
      </c>
      <c r="D327" s="2" t="s">
        <v>74</v>
      </c>
      <c r="E327" s="2" t="s">
        <v>74</v>
      </c>
      <c r="F327" s="2" t="s">
        <v>7643</v>
      </c>
      <c r="G327" s="2" t="s">
        <v>74</v>
      </c>
      <c r="H327" s="2" t="s">
        <v>74</v>
      </c>
      <c r="I327" s="2" t="s">
        <v>7644</v>
      </c>
      <c r="J327" s="2" t="s">
        <v>431</v>
      </c>
      <c r="K327" s="2" t="s">
        <v>74</v>
      </c>
      <c r="L327" s="2" t="s">
        <v>74</v>
      </c>
      <c r="M327" s="2" t="s">
        <v>74</v>
      </c>
      <c r="N327" s="2" t="s">
        <v>74</v>
      </c>
      <c r="O327" s="2" t="s">
        <v>74</v>
      </c>
      <c r="P327" s="2" t="s">
        <v>74</v>
      </c>
      <c r="Q327" s="2" t="s">
        <v>74</v>
      </c>
      <c r="R327" s="2" t="s">
        <v>74</v>
      </c>
      <c r="S327" s="2" t="s">
        <v>74</v>
      </c>
      <c r="T327" s="2" t="s">
        <v>74</v>
      </c>
      <c r="U327" s="2" t="s">
        <v>74</v>
      </c>
      <c r="V327" s="5" t="s">
        <v>7645</v>
      </c>
      <c r="W327" s="2" t="s">
        <v>74</v>
      </c>
      <c r="X327" s="2" t="s">
        <v>74</v>
      </c>
      <c r="Y327" s="2" t="s">
        <v>74</v>
      </c>
      <c r="Z327" s="2" t="s">
        <v>74</v>
      </c>
      <c r="AA327" s="2" t="s">
        <v>74</v>
      </c>
      <c r="AB327" s="2" t="s">
        <v>74</v>
      </c>
      <c r="AC327" s="2" t="s">
        <v>74</v>
      </c>
      <c r="AD327" s="2" t="s">
        <v>74</v>
      </c>
      <c r="AE327" s="2" t="s">
        <v>74</v>
      </c>
      <c r="AF327" s="2" t="s">
        <v>74</v>
      </c>
      <c r="AG327" s="2" t="s">
        <v>74</v>
      </c>
      <c r="AH327" s="2" t="s">
        <v>74</v>
      </c>
      <c r="AI327" s="2" t="s">
        <v>74</v>
      </c>
      <c r="AJ327" s="2" t="s">
        <v>74</v>
      </c>
      <c r="AK327" s="2" t="s">
        <v>74</v>
      </c>
      <c r="AL327" s="2" t="s">
        <v>74</v>
      </c>
      <c r="AM327" s="2" t="s">
        <v>74</v>
      </c>
      <c r="AN327" s="2" t="s">
        <v>74</v>
      </c>
      <c r="AO327" s="2" t="s">
        <v>74</v>
      </c>
      <c r="AP327" s="2" t="s">
        <v>435</v>
      </c>
      <c r="AQ327" s="2" t="s">
        <v>74</v>
      </c>
      <c r="AR327" s="2" t="s">
        <v>74</v>
      </c>
      <c r="AS327" s="2" t="s">
        <v>74</v>
      </c>
      <c r="AT327" s="2" t="s">
        <v>74</v>
      </c>
      <c r="AU327" s="2">
        <v>1965</v>
      </c>
      <c r="AV327" s="2">
        <v>82</v>
      </c>
      <c r="AW327" s="2">
        <v>4</v>
      </c>
      <c r="AX327" s="2" t="s">
        <v>74</v>
      </c>
      <c r="AY327" s="2" t="s">
        <v>74</v>
      </c>
      <c r="AZ327" s="2" t="s">
        <v>74</v>
      </c>
      <c r="BA327" s="2" t="s">
        <v>74</v>
      </c>
      <c r="BB327" s="2">
        <v>537</v>
      </c>
      <c r="BC327" s="2" t="s">
        <v>726</v>
      </c>
      <c r="BD327" s="2" t="s">
        <v>74</v>
      </c>
      <c r="BE327" s="2" t="s">
        <v>7646</v>
      </c>
      <c r="BF327" s="2" t="str">
        <f>HYPERLINK("http://dx.doi.org/10.2307/4083220","http://dx.doi.org/10.2307/4083220")</f>
        <v>http://dx.doi.org/10.2307/4083220</v>
      </c>
      <c r="BG327" s="2" t="s">
        <v>74</v>
      </c>
      <c r="BH327" s="2" t="s">
        <v>74</v>
      </c>
      <c r="BI327" s="2" t="s">
        <v>74</v>
      </c>
      <c r="BJ327" s="2" t="s">
        <v>74</v>
      </c>
      <c r="BK327" s="2" t="s">
        <v>74</v>
      </c>
      <c r="BL327" s="2" t="s">
        <v>74</v>
      </c>
      <c r="BM327" s="2" t="s">
        <v>74</v>
      </c>
      <c r="BN327" s="2" t="s">
        <v>74</v>
      </c>
      <c r="BO327" s="2" t="s">
        <v>74</v>
      </c>
      <c r="BP327" s="2" t="s">
        <v>74</v>
      </c>
      <c r="BQ327" s="2" t="s">
        <v>74</v>
      </c>
      <c r="BR327" s="2" t="s">
        <v>74</v>
      </c>
      <c r="BS327" s="2" t="s">
        <v>7647</v>
      </c>
      <c r="BT327" s="2" t="str">
        <f>HYPERLINK("https%3A%2F%2Fwww.webofscience.com%2Fwos%2Fwoscc%2Ffull-record%2FWOS:A19657680200001","View Full Record in Web of Science")</f>
        <v>View Full Record in Web of Science</v>
      </c>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row>
    <row r="328" spans="1:314" s="2" customFormat="1" x14ac:dyDescent="0.4">
      <c r="A328" s="2" t="s">
        <v>72</v>
      </c>
      <c r="B328" s="2" t="s">
        <v>1176</v>
      </c>
      <c r="C328" s="2" t="s">
        <v>74</v>
      </c>
      <c r="D328" s="2" t="s">
        <v>74</v>
      </c>
      <c r="E328" s="2" t="s">
        <v>74</v>
      </c>
      <c r="F328" s="2" t="s">
        <v>1176</v>
      </c>
      <c r="G328" s="2" t="s">
        <v>74</v>
      </c>
      <c r="H328" s="2" t="s">
        <v>74</v>
      </c>
      <c r="I328" s="2" t="s">
        <v>1177</v>
      </c>
      <c r="J328" s="2" t="s">
        <v>119</v>
      </c>
      <c r="K328" s="2" t="s">
        <v>74</v>
      </c>
      <c r="L328" s="2" t="s">
        <v>74</v>
      </c>
      <c r="M328" s="2" t="s">
        <v>74</v>
      </c>
      <c r="N328" s="2" t="s">
        <v>74</v>
      </c>
      <c r="O328" s="2" t="s">
        <v>74</v>
      </c>
      <c r="P328" s="2" t="s">
        <v>74</v>
      </c>
      <c r="Q328" s="2" t="s">
        <v>74</v>
      </c>
      <c r="R328" s="2" t="s">
        <v>74</v>
      </c>
      <c r="S328" s="2" t="s">
        <v>74</v>
      </c>
      <c r="T328" s="2" t="s">
        <v>74</v>
      </c>
      <c r="U328" s="2" t="s">
        <v>74</v>
      </c>
      <c r="V328" s="5" t="s">
        <v>1178</v>
      </c>
      <c r="W328" s="2" t="s">
        <v>74</v>
      </c>
      <c r="X328" s="2" t="s">
        <v>74</v>
      </c>
      <c r="Y328" s="2" t="s">
        <v>74</v>
      </c>
      <c r="Z328" s="2" t="s">
        <v>74</v>
      </c>
      <c r="AA328" s="2" t="s">
        <v>74</v>
      </c>
      <c r="AB328" s="2" t="s">
        <v>74</v>
      </c>
      <c r="AC328" s="2" t="s">
        <v>74</v>
      </c>
      <c r="AD328" s="2" t="s">
        <v>74</v>
      </c>
      <c r="AE328" s="2" t="s">
        <v>74</v>
      </c>
      <c r="AF328" s="2" t="s">
        <v>74</v>
      </c>
      <c r="AG328" s="2" t="s">
        <v>74</v>
      </c>
      <c r="AH328" s="2" t="s">
        <v>74</v>
      </c>
      <c r="AI328" s="2" t="s">
        <v>74</v>
      </c>
      <c r="AJ328" s="2" t="s">
        <v>74</v>
      </c>
      <c r="AK328" s="2" t="s">
        <v>74</v>
      </c>
      <c r="AL328" s="2" t="s">
        <v>74</v>
      </c>
      <c r="AM328" s="2" t="s">
        <v>74</v>
      </c>
      <c r="AN328" s="2" t="s">
        <v>74</v>
      </c>
      <c r="AO328" s="2" t="s">
        <v>121</v>
      </c>
      <c r="AP328" s="2" t="s">
        <v>74</v>
      </c>
      <c r="AQ328" s="2" t="s">
        <v>74</v>
      </c>
      <c r="AR328" s="2" t="s">
        <v>74</v>
      </c>
      <c r="AS328" s="2" t="s">
        <v>74</v>
      </c>
      <c r="AT328" s="2" t="s">
        <v>305</v>
      </c>
      <c r="AU328" s="2">
        <v>1993</v>
      </c>
      <c r="AV328" s="2">
        <v>30</v>
      </c>
      <c r="AW328" s="2">
        <v>3</v>
      </c>
      <c r="AX328" s="2" t="s">
        <v>74</v>
      </c>
      <c r="AY328" s="2" t="s">
        <v>74</v>
      </c>
      <c r="AZ328" s="2" t="s">
        <v>74</v>
      </c>
      <c r="BA328" s="2" t="s">
        <v>74</v>
      </c>
      <c r="BB328" s="2">
        <v>245</v>
      </c>
      <c r="BC328" s="2">
        <v>251</v>
      </c>
      <c r="BD328" s="2" t="s">
        <v>74</v>
      </c>
      <c r="BE328" s="2" t="s">
        <v>1179</v>
      </c>
      <c r="BF328" s="2" t="str">
        <f>HYPERLINK("http://dx.doi.org/10.1016/0376-6357(93)90136-F","http://dx.doi.org/10.1016/0376-6357(93)90136-F")</f>
        <v>http://dx.doi.org/10.1016/0376-6357(93)90136-F</v>
      </c>
      <c r="BG328" s="2" t="s">
        <v>74</v>
      </c>
      <c r="BH328" s="2" t="s">
        <v>74</v>
      </c>
      <c r="BI328" s="2" t="s">
        <v>74</v>
      </c>
      <c r="BJ328" s="2" t="s">
        <v>74</v>
      </c>
      <c r="BK328" s="2" t="s">
        <v>74</v>
      </c>
      <c r="BL328" s="2" t="s">
        <v>74</v>
      </c>
      <c r="BM328" s="2" t="s">
        <v>74</v>
      </c>
      <c r="BN328" s="2">
        <v>24896948</v>
      </c>
      <c r="BO328" s="2" t="s">
        <v>74</v>
      </c>
      <c r="BP328" s="2" t="s">
        <v>74</v>
      </c>
      <c r="BQ328" s="2" t="s">
        <v>74</v>
      </c>
      <c r="BR328" s="2" t="s">
        <v>74</v>
      </c>
      <c r="BS328" s="2" t="s">
        <v>1180</v>
      </c>
      <c r="BT328" s="2" t="str">
        <f>HYPERLINK("https%3A%2F%2Fwww.webofscience.com%2Fwos%2Fwoscc%2Ffull-record%2FWOS:A1993MR36400005","View Full Record in Web of Science")</f>
        <v>View Full Record in Web of Science</v>
      </c>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row>
    <row r="329" spans="1:314" s="7" customFormat="1" x14ac:dyDescent="0.4">
      <c r="A329" s="2" t="s">
        <v>72</v>
      </c>
      <c r="B329" s="2" t="s">
        <v>4379</v>
      </c>
      <c r="C329" s="2" t="s">
        <v>74</v>
      </c>
      <c r="D329" s="2" t="s">
        <v>74</v>
      </c>
      <c r="E329" s="2" t="s">
        <v>74</v>
      </c>
      <c r="F329" s="2" t="s">
        <v>4379</v>
      </c>
      <c r="G329" s="2" t="s">
        <v>74</v>
      </c>
      <c r="H329" s="2" t="s">
        <v>74</v>
      </c>
      <c r="I329" s="2" t="s">
        <v>4380</v>
      </c>
      <c r="J329" s="2" t="s">
        <v>509</v>
      </c>
      <c r="K329" s="2" t="s">
        <v>74</v>
      </c>
      <c r="L329" s="2" t="s">
        <v>74</v>
      </c>
      <c r="M329" s="2" t="s">
        <v>74</v>
      </c>
      <c r="N329" s="2" t="s">
        <v>74</v>
      </c>
      <c r="O329" s="2" t="s">
        <v>74</v>
      </c>
      <c r="P329" s="2" t="s">
        <v>74</v>
      </c>
      <c r="Q329" s="2" t="s">
        <v>74</v>
      </c>
      <c r="R329" s="2" t="s">
        <v>74</v>
      </c>
      <c r="S329" s="2" t="s">
        <v>74</v>
      </c>
      <c r="T329" s="2" t="s">
        <v>74</v>
      </c>
      <c r="U329" s="2" t="s">
        <v>74</v>
      </c>
      <c r="V329" s="5" t="s">
        <v>4381</v>
      </c>
      <c r="W329" s="2" t="s">
        <v>74</v>
      </c>
      <c r="X329" s="2" t="s">
        <v>74</v>
      </c>
      <c r="Y329" s="2" t="s">
        <v>74</v>
      </c>
      <c r="Z329" s="2" t="s">
        <v>74</v>
      </c>
      <c r="AA329" s="2" t="s">
        <v>4382</v>
      </c>
      <c r="AB329" s="2" t="s">
        <v>4383</v>
      </c>
      <c r="AC329" s="2" t="s">
        <v>74</v>
      </c>
      <c r="AD329" s="2" t="s">
        <v>74</v>
      </c>
      <c r="AE329" s="2" t="s">
        <v>74</v>
      </c>
      <c r="AF329" s="2" t="s">
        <v>74</v>
      </c>
      <c r="AG329" s="2" t="s">
        <v>74</v>
      </c>
      <c r="AH329" s="2" t="s">
        <v>74</v>
      </c>
      <c r="AI329" s="2" t="s">
        <v>74</v>
      </c>
      <c r="AJ329" s="2" t="s">
        <v>74</v>
      </c>
      <c r="AK329" s="2" t="s">
        <v>74</v>
      </c>
      <c r="AL329" s="2" t="s">
        <v>74</v>
      </c>
      <c r="AM329" s="2" t="s">
        <v>74</v>
      </c>
      <c r="AN329" s="2" t="s">
        <v>74</v>
      </c>
      <c r="AO329" s="2" t="s">
        <v>511</v>
      </c>
      <c r="AP329" s="2" t="s">
        <v>512</v>
      </c>
      <c r="AQ329" s="2" t="s">
        <v>74</v>
      </c>
      <c r="AR329" s="2" t="s">
        <v>74</v>
      </c>
      <c r="AS329" s="2" t="s">
        <v>74</v>
      </c>
      <c r="AT329" s="2" t="s">
        <v>964</v>
      </c>
      <c r="AU329" s="2">
        <v>2006</v>
      </c>
      <c r="AV329" s="2">
        <v>49</v>
      </c>
      <c r="AW329" s="2">
        <v>2</v>
      </c>
      <c r="AX329" s="2" t="s">
        <v>74</v>
      </c>
      <c r="AY329" s="2" t="s">
        <v>74</v>
      </c>
      <c r="AZ329" s="2" t="s">
        <v>74</v>
      </c>
      <c r="BA329" s="2" t="s">
        <v>74</v>
      </c>
      <c r="BB329" s="2">
        <v>223</v>
      </c>
      <c r="BC329" s="2">
        <v>232</v>
      </c>
      <c r="BD329" s="2" t="s">
        <v>74</v>
      </c>
      <c r="BE329" s="2" t="s">
        <v>4384</v>
      </c>
      <c r="BF329" s="2" t="str">
        <f>HYPERLINK("http://dx.doi.org/10.1016/j.yhbeh.2005.07.006","http://dx.doi.org/10.1016/j.yhbeh.2005.07.006")</f>
        <v>http://dx.doi.org/10.1016/j.yhbeh.2005.07.006</v>
      </c>
      <c r="BG329" s="2" t="s">
        <v>74</v>
      </c>
      <c r="BH329" s="2" t="s">
        <v>74</v>
      </c>
      <c r="BI329" s="2" t="s">
        <v>74</v>
      </c>
      <c r="BJ329" s="2" t="s">
        <v>74</v>
      </c>
      <c r="BK329" s="2" t="s">
        <v>74</v>
      </c>
      <c r="BL329" s="2" t="s">
        <v>74</v>
      </c>
      <c r="BM329" s="2" t="s">
        <v>74</v>
      </c>
      <c r="BN329" s="2">
        <v>16085049</v>
      </c>
      <c r="BO329" s="2" t="s">
        <v>74</v>
      </c>
      <c r="BP329" s="2" t="s">
        <v>74</v>
      </c>
      <c r="BQ329" s="2" t="s">
        <v>74</v>
      </c>
      <c r="BR329" s="2" t="s">
        <v>74</v>
      </c>
      <c r="BS329" s="2" t="s">
        <v>4385</v>
      </c>
      <c r="BT329" s="2" t="str">
        <f>HYPERLINK("https%3A%2F%2Fwww.webofscience.com%2Fwos%2Fwoscc%2Ffull-record%2FWOS:000235502600013","View Full Record in Web of Science")</f>
        <v>View Full Record in Web of Science</v>
      </c>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row>
    <row r="330" spans="1:314" s="2" customFormat="1" x14ac:dyDescent="0.4">
      <c r="A330" s="2" t="s">
        <v>72</v>
      </c>
      <c r="B330" s="2" t="s">
        <v>2786</v>
      </c>
      <c r="C330" s="2" t="s">
        <v>74</v>
      </c>
      <c r="D330" s="2" t="s">
        <v>74</v>
      </c>
      <c r="E330" s="2" t="s">
        <v>74</v>
      </c>
      <c r="F330" s="2" t="s">
        <v>2787</v>
      </c>
      <c r="G330" s="2" t="s">
        <v>74</v>
      </c>
      <c r="H330" s="2" t="s">
        <v>74</v>
      </c>
      <c r="I330" s="2" t="s">
        <v>2788</v>
      </c>
      <c r="J330" s="2" t="s">
        <v>842</v>
      </c>
      <c r="K330" s="2" t="s">
        <v>74</v>
      </c>
      <c r="L330" s="2" t="s">
        <v>74</v>
      </c>
      <c r="M330" s="2" t="s">
        <v>74</v>
      </c>
      <c r="N330" s="2" t="s">
        <v>74</v>
      </c>
      <c r="O330" s="2" t="s">
        <v>74</v>
      </c>
      <c r="P330" s="2" t="s">
        <v>74</v>
      </c>
      <c r="Q330" s="2" t="s">
        <v>74</v>
      </c>
      <c r="R330" s="2" t="s">
        <v>74</v>
      </c>
      <c r="S330" s="2" t="s">
        <v>74</v>
      </c>
      <c r="T330" s="2" t="s">
        <v>74</v>
      </c>
      <c r="U330" s="2" t="s">
        <v>74</v>
      </c>
      <c r="V330" s="5" t="s">
        <v>2789</v>
      </c>
      <c r="W330" s="2" t="s">
        <v>74</v>
      </c>
      <c r="X330" s="2" t="s">
        <v>74</v>
      </c>
      <c r="Y330" s="2" t="s">
        <v>74</v>
      </c>
      <c r="Z330" s="2" t="s">
        <v>74</v>
      </c>
      <c r="AA330" s="2" t="s">
        <v>2790</v>
      </c>
      <c r="AB330" s="2" t="s">
        <v>2791</v>
      </c>
      <c r="AC330" s="2" t="s">
        <v>74</v>
      </c>
      <c r="AD330" s="2" t="s">
        <v>74</v>
      </c>
      <c r="AE330" s="2" t="s">
        <v>74</v>
      </c>
      <c r="AF330" s="2" t="s">
        <v>74</v>
      </c>
      <c r="AG330" s="2" t="s">
        <v>74</v>
      </c>
      <c r="AH330" s="2" t="s">
        <v>74</v>
      </c>
      <c r="AI330" s="2" t="s">
        <v>74</v>
      </c>
      <c r="AJ330" s="2" t="s">
        <v>74</v>
      </c>
      <c r="AK330" s="2" t="s">
        <v>74</v>
      </c>
      <c r="AL330" s="2" t="s">
        <v>74</v>
      </c>
      <c r="AM330" s="2" t="s">
        <v>74</v>
      </c>
      <c r="AN330" s="2" t="s">
        <v>74</v>
      </c>
      <c r="AO330" s="2" t="s">
        <v>846</v>
      </c>
      <c r="AP330" s="2" t="s">
        <v>847</v>
      </c>
      <c r="AQ330" s="2" t="s">
        <v>74</v>
      </c>
      <c r="AR330" s="2" t="s">
        <v>74</v>
      </c>
      <c r="AS330" s="2" t="s">
        <v>74</v>
      </c>
      <c r="AT330" s="2" t="s">
        <v>305</v>
      </c>
      <c r="AU330" s="2">
        <v>2006</v>
      </c>
      <c r="AV330" s="2">
        <v>68</v>
      </c>
      <c r="AW330" s="2">
        <v>12</v>
      </c>
      <c r="AX330" s="2" t="s">
        <v>74</v>
      </c>
      <c r="AY330" s="2" t="s">
        <v>74</v>
      </c>
      <c r="AZ330" s="2" t="s">
        <v>74</v>
      </c>
      <c r="BA330" s="2" t="s">
        <v>74</v>
      </c>
      <c r="BB330" s="2">
        <v>1129</v>
      </c>
      <c r="BC330" s="2">
        <v>1137</v>
      </c>
      <c r="BD330" s="2" t="s">
        <v>74</v>
      </c>
      <c r="BE330" s="2" t="s">
        <v>2792</v>
      </c>
      <c r="BF330" s="2" t="str">
        <f>HYPERLINK("http://dx.doi.org/10.1002/ajp.20312","http://dx.doi.org/10.1002/ajp.20312")</f>
        <v>http://dx.doi.org/10.1002/ajp.20312</v>
      </c>
      <c r="BG330" s="2" t="s">
        <v>74</v>
      </c>
      <c r="BH330" s="2" t="s">
        <v>74</v>
      </c>
      <c r="BI330" s="2" t="s">
        <v>74</v>
      </c>
      <c r="BJ330" s="2" t="s">
        <v>74</v>
      </c>
      <c r="BK330" s="2" t="s">
        <v>74</v>
      </c>
      <c r="BL330" s="2" t="s">
        <v>74</v>
      </c>
      <c r="BM330" s="2" t="s">
        <v>74</v>
      </c>
      <c r="BN330" s="2">
        <v>17096422</v>
      </c>
      <c r="BO330" s="2" t="s">
        <v>74</v>
      </c>
      <c r="BP330" s="2" t="s">
        <v>74</v>
      </c>
      <c r="BQ330" s="2" t="s">
        <v>74</v>
      </c>
      <c r="BR330" s="2" t="s">
        <v>74</v>
      </c>
      <c r="BS330" s="2" t="s">
        <v>2793</v>
      </c>
      <c r="BT330" s="2" t="str">
        <f>HYPERLINK("https%3A%2F%2Fwww.webofscience.com%2Fwos%2Fwoscc%2Ffull-record%2FWOS:000242416400001","View Full Record in Web of Science")</f>
        <v>View Full Record in Web of Science</v>
      </c>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row>
    <row r="331" spans="1:314" s="2" customFormat="1" x14ac:dyDescent="0.4">
      <c r="A331" s="2" t="s">
        <v>72</v>
      </c>
      <c r="B331" s="2" t="s">
        <v>6572</v>
      </c>
      <c r="C331" s="2" t="s">
        <v>74</v>
      </c>
      <c r="D331" s="2" t="s">
        <v>74</v>
      </c>
      <c r="E331" s="2" t="s">
        <v>74</v>
      </c>
      <c r="F331" s="2" t="s">
        <v>6573</v>
      </c>
      <c r="G331" s="2" t="s">
        <v>74</v>
      </c>
      <c r="H331" s="2" t="s">
        <v>74</v>
      </c>
      <c r="I331" s="2" t="s">
        <v>6574</v>
      </c>
      <c r="J331" s="2" t="s">
        <v>842</v>
      </c>
      <c r="K331" s="2" t="s">
        <v>74</v>
      </c>
      <c r="L331" s="2" t="s">
        <v>74</v>
      </c>
      <c r="M331" s="2" t="s">
        <v>74</v>
      </c>
      <c r="N331" s="2" t="s">
        <v>74</v>
      </c>
      <c r="O331" s="2" t="s">
        <v>74</v>
      </c>
      <c r="P331" s="2" t="s">
        <v>74</v>
      </c>
      <c r="Q331" s="2" t="s">
        <v>74</v>
      </c>
      <c r="R331" s="2" t="s">
        <v>74</v>
      </c>
      <c r="S331" s="2" t="s">
        <v>74</v>
      </c>
      <c r="T331" s="2" t="s">
        <v>74</v>
      </c>
      <c r="U331" s="2" t="s">
        <v>74</v>
      </c>
      <c r="V331" s="5" t="s">
        <v>6575</v>
      </c>
      <c r="W331" s="2" t="s">
        <v>74</v>
      </c>
      <c r="X331" s="2" t="s">
        <v>74</v>
      </c>
      <c r="Y331" s="2" t="s">
        <v>74</v>
      </c>
      <c r="Z331" s="2" t="s">
        <v>74</v>
      </c>
      <c r="AA331" s="2" t="s">
        <v>6576</v>
      </c>
      <c r="AB331" s="2" t="s">
        <v>6577</v>
      </c>
      <c r="AC331" s="2" t="s">
        <v>74</v>
      </c>
      <c r="AD331" s="2" t="s">
        <v>74</v>
      </c>
      <c r="AE331" s="2" t="s">
        <v>74</v>
      </c>
      <c r="AF331" s="2" t="s">
        <v>74</v>
      </c>
      <c r="AG331" s="2" t="s">
        <v>74</v>
      </c>
      <c r="AH331" s="2" t="s">
        <v>74</v>
      </c>
      <c r="AI331" s="2" t="s">
        <v>74</v>
      </c>
      <c r="AJ331" s="2" t="s">
        <v>74</v>
      </c>
      <c r="AK331" s="2" t="s">
        <v>74</v>
      </c>
      <c r="AL331" s="2" t="s">
        <v>74</v>
      </c>
      <c r="AM331" s="2" t="s">
        <v>74</v>
      </c>
      <c r="AN331" s="2" t="s">
        <v>74</v>
      </c>
      <c r="AO331" s="2" t="s">
        <v>846</v>
      </c>
      <c r="AP331" s="2" t="s">
        <v>847</v>
      </c>
      <c r="AQ331" s="2" t="s">
        <v>74</v>
      </c>
      <c r="AR331" s="2" t="s">
        <v>74</v>
      </c>
      <c r="AS331" s="2" t="s">
        <v>74</v>
      </c>
      <c r="AT331" s="2" t="s">
        <v>213</v>
      </c>
      <c r="AU331" s="2">
        <v>2013</v>
      </c>
      <c r="AV331" s="2">
        <v>75</v>
      </c>
      <c r="AW331" s="2">
        <v>11</v>
      </c>
      <c r="AX331" s="2" t="s">
        <v>74</v>
      </c>
      <c r="AY331" s="2" t="s">
        <v>74</v>
      </c>
      <c r="AZ331" s="2" t="s">
        <v>74</v>
      </c>
      <c r="BA331" s="2" t="s">
        <v>74</v>
      </c>
      <c r="BB331" s="2">
        <v>1084</v>
      </c>
      <c r="BC331" s="2">
        <v>1095</v>
      </c>
      <c r="BD331" s="2" t="s">
        <v>74</v>
      </c>
      <c r="BE331" s="2" t="s">
        <v>6578</v>
      </c>
      <c r="BF331" s="2" t="str">
        <f>HYPERLINK("http://dx.doi.org/10.1002/ajp.22167","http://dx.doi.org/10.1002/ajp.22167")</f>
        <v>http://dx.doi.org/10.1002/ajp.22167</v>
      </c>
      <c r="BG331" s="2" t="s">
        <v>74</v>
      </c>
      <c r="BH331" s="2" t="s">
        <v>74</v>
      </c>
      <c r="BI331" s="2" t="s">
        <v>74</v>
      </c>
      <c r="BJ331" s="2" t="s">
        <v>74</v>
      </c>
      <c r="BK331" s="2" t="s">
        <v>74</v>
      </c>
      <c r="BL331" s="2" t="s">
        <v>74</v>
      </c>
      <c r="BM331" s="2" t="s">
        <v>74</v>
      </c>
      <c r="BN331" s="2">
        <v>23776035</v>
      </c>
      <c r="BO331" s="2" t="s">
        <v>74</v>
      </c>
      <c r="BP331" s="2" t="s">
        <v>74</v>
      </c>
      <c r="BQ331" s="2" t="s">
        <v>74</v>
      </c>
      <c r="BR331" s="2" t="s">
        <v>74</v>
      </c>
      <c r="BS331" s="2" t="s">
        <v>6579</v>
      </c>
      <c r="BT331" s="2" t="str">
        <f>HYPERLINK("https%3A%2F%2Fwww.webofscience.com%2Fwos%2Fwoscc%2Ffull-record%2FWOS:000324914600002","View Full Record in Web of Science")</f>
        <v>View Full Record in Web of Science</v>
      </c>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row>
    <row r="332" spans="1:314" s="2" customFormat="1" x14ac:dyDescent="0.4">
      <c r="A332" s="2" t="s">
        <v>72</v>
      </c>
      <c r="B332" s="2" t="s">
        <v>6462</v>
      </c>
      <c r="C332" s="2" t="s">
        <v>74</v>
      </c>
      <c r="D332" s="2" t="s">
        <v>74</v>
      </c>
      <c r="E332" s="2" t="s">
        <v>74</v>
      </c>
      <c r="F332" s="2" t="s">
        <v>6463</v>
      </c>
      <c r="G332" s="2" t="s">
        <v>74</v>
      </c>
      <c r="H332" s="2" t="s">
        <v>74</v>
      </c>
      <c r="I332" s="2" t="s">
        <v>6464</v>
      </c>
      <c r="J332" s="2" t="s">
        <v>1656</v>
      </c>
      <c r="K332" s="2" t="s">
        <v>74</v>
      </c>
      <c r="L332" s="2" t="s">
        <v>74</v>
      </c>
      <c r="M332" s="2" t="s">
        <v>74</v>
      </c>
      <c r="N332" s="2" t="s">
        <v>74</v>
      </c>
      <c r="O332" s="2" t="s">
        <v>74</v>
      </c>
      <c r="P332" s="2" t="s">
        <v>74</v>
      </c>
      <c r="Q332" s="2" t="s">
        <v>74</v>
      </c>
      <c r="R332" s="2" t="s">
        <v>74</v>
      </c>
      <c r="S332" s="2" t="s">
        <v>74</v>
      </c>
      <c r="T332" s="2" t="s">
        <v>74</v>
      </c>
      <c r="U332" s="2" t="s">
        <v>74</v>
      </c>
      <c r="V332" s="5" t="s">
        <v>6465</v>
      </c>
      <c r="W332" s="2" t="s">
        <v>74</v>
      </c>
      <c r="X332" s="2" t="s">
        <v>74</v>
      </c>
      <c r="Y332" s="2" t="s">
        <v>74</v>
      </c>
      <c r="Z332" s="2" t="s">
        <v>74</v>
      </c>
      <c r="AA332" s="2" t="s">
        <v>74</v>
      </c>
      <c r="AB332" s="2" t="s">
        <v>6466</v>
      </c>
      <c r="AC332" s="2" t="s">
        <v>74</v>
      </c>
      <c r="AD332" s="2" t="s">
        <v>74</v>
      </c>
      <c r="AE332" s="2" t="s">
        <v>74</v>
      </c>
      <c r="AF332" s="2" t="s">
        <v>74</v>
      </c>
      <c r="AG332" s="2" t="s">
        <v>74</v>
      </c>
      <c r="AH332" s="2" t="s">
        <v>74</v>
      </c>
      <c r="AI332" s="2" t="s">
        <v>74</v>
      </c>
      <c r="AJ332" s="2" t="s">
        <v>74</v>
      </c>
      <c r="AK332" s="2" t="s">
        <v>74</v>
      </c>
      <c r="AL332" s="2" t="s">
        <v>74</v>
      </c>
      <c r="AM332" s="2" t="s">
        <v>74</v>
      </c>
      <c r="AN332" s="2" t="s">
        <v>74</v>
      </c>
      <c r="AO332" s="2" t="s">
        <v>1658</v>
      </c>
      <c r="AP332" s="2" t="s">
        <v>1659</v>
      </c>
      <c r="AQ332" s="2" t="s">
        <v>74</v>
      </c>
      <c r="AR332" s="2" t="s">
        <v>74</v>
      </c>
      <c r="AS332" s="2" t="s">
        <v>74</v>
      </c>
      <c r="AT332" s="2" t="s">
        <v>6467</v>
      </c>
      <c r="AU332" s="2">
        <v>2012</v>
      </c>
      <c r="AV332" s="2" t="s">
        <v>74</v>
      </c>
      <c r="AW332" s="2">
        <v>3367</v>
      </c>
      <c r="AX332" s="2" t="s">
        <v>74</v>
      </c>
      <c r="AY332" s="2" t="s">
        <v>74</v>
      </c>
      <c r="AZ332" s="2" t="s">
        <v>848</v>
      </c>
      <c r="BA332" s="2" t="s">
        <v>74</v>
      </c>
      <c r="BB332" s="2">
        <v>95</v>
      </c>
      <c r="BC332" s="2">
        <v>102</v>
      </c>
      <c r="BD332" s="2" t="s">
        <v>74</v>
      </c>
      <c r="BE332" s="2" t="s">
        <v>6468</v>
      </c>
      <c r="BF332" s="2" t="str">
        <f>HYPERLINK("http://dx.doi.org/10.11646/zootaxa.3367.1.9","http://dx.doi.org/10.11646/zootaxa.3367.1.9")</f>
        <v>http://dx.doi.org/10.11646/zootaxa.3367.1.9</v>
      </c>
      <c r="BG332" s="2" t="s">
        <v>74</v>
      </c>
      <c r="BH332" s="2" t="s">
        <v>74</v>
      </c>
      <c r="BI332" s="2" t="s">
        <v>74</v>
      </c>
      <c r="BJ332" s="2" t="s">
        <v>74</v>
      </c>
      <c r="BK332" s="2" t="s">
        <v>74</v>
      </c>
      <c r="BL332" s="2" t="s">
        <v>74</v>
      </c>
      <c r="BM332" s="2" t="s">
        <v>74</v>
      </c>
      <c r="BN332" s="2" t="s">
        <v>74</v>
      </c>
      <c r="BO332" s="2" t="s">
        <v>74</v>
      </c>
      <c r="BP332" s="2" t="s">
        <v>74</v>
      </c>
      <c r="BQ332" s="2" t="s">
        <v>74</v>
      </c>
      <c r="BR332" s="2" t="s">
        <v>74</v>
      </c>
      <c r="BS332" s="2" t="s">
        <v>6469</v>
      </c>
      <c r="BT332" s="2" t="str">
        <f>HYPERLINK("https%3A%2F%2Fwww.webofscience.com%2Fwos%2Fwoscc%2Ffull-record%2FWOS:000305937000008","View Full Record in Web of Science")</f>
        <v>View Full Record in Web of Science</v>
      </c>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row>
    <row r="333" spans="1:314" s="2" customFormat="1" x14ac:dyDescent="0.4">
      <c r="A333" s="2" t="s">
        <v>72</v>
      </c>
      <c r="B333" s="2" t="s">
        <v>999</v>
      </c>
      <c r="C333" s="2" t="s">
        <v>74</v>
      </c>
      <c r="D333" s="2" t="s">
        <v>74</v>
      </c>
      <c r="E333" s="2" t="s">
        <v>74</v>
      </c>
      <c r="F333" s="2" t="s">
        <v>1000</v>
      </c>
      <c r="G333" s="2" t="s">
        <v>74</v>
      </c>
      <c r="H333" s="2" t="s">
        <v>74</v>
      </c>
      <c r="I333" s="2" t="s">
        <v>1001</v>
      </c>
      <c r="J333" s="2" t="s">
        <v>140</v>
      </c>
      <c r="K333" s="2" t="s">
        <v>74</v>
      </c>
      <c r="L333" s="2" t="s">
        <v>74</v>
      </c>
      <c r="M333" s="2" t="s">
        <v>74</v>
      </c>
      <c r="N333" s="2" t="s">
        <v>74</v>
      </c>
      <c r="O333" s="2" t="s">
        <v>74</v>
      </c>
      <c r="P333" s="2" t="s">
        <v>74</v>
      </c>
      <c r="Q333" s="2" t="s">
        <v>74</v>
      </c>
      <c r="R333" s="2" t="s">
        <v>74</v>
      </c>
      <c r="S333" s="2" t="s">
        <v>74</v>
      </c>
      <c r="T333" s="2" t="s">
        <v>74</v>
      </c>
      <c r="U333" s="2" t="s">
        <v>74</v>
      </c>
      <c r="V333" s="5" t="s">
        <v>1002</v>
      </c>
      <c r="W333" s="2" t="s">
        <v>74</v>
      </c>
      <c r="X333" s="2" t="s">
        <v>74</v>
      </c>
      <c r="Y333" s="2" t="s">
        <v>74</v>
      </c>
      <c r="Z333" s="2" t="s">
        <v>74</v>
      </c>
      <c r="AA333" s="2" t="s">
        <v>1003</v>
      </c>
      <c r="AB333" s="2" t="s">
        <v>1004</v>
      </c>
      <c r="AC333" s="2" t="s">
        <v>74</v>
      </c>
      <c r="AD333" s="2" t="s">
        <v>74</v>
      </c>
      <c r="AE333" s="2" t="s">
        <v>74</v>
      </c>
      <c r="AF333" s="2" t="s">
        <v>74</v>
      </c>
      <c r="AG333" s="2" t="s">
        <v>74</v>
      </c>
      <c r="AH333" s="2" t="s">
        <v>74</v>
      </c>
      <c r="AI333" s="2" t="s">
        <v>74</v>
      </c>
      <c r="AJ333" s="2" t="s">
        <v>74</v>
      </c>
      <c r="AK333" s="2" t="s">
        <v>74</v>
      </c>
      <c r="AL333" s="2" t="s">
        <v>74</v>
      </c>
      <c r="AM333" s="2" t="s">
        <v>74</v>
      </c>
      <c r="AN333" s="2" t="s">
        <v>74</v>
      </c>
      <c r="AO333" s="2" t="s">
        <v>143</v>
      </c>
      <c r="AP333" s="2" t="s">
        <v>144</v>
      </c>
      <c r="AQ333" s="2" t="s">
        <v>74</v>
      </c>
      <c r="AR333" s="2" t="s">
        <v>74</v>
      </c>
      <c r="AS333" s="2" t="s">
        <v>74</v>
      </c>
      <c r="AT333" s="2" t="s">
        <v>123</v>
      </c>
      <c r="AU333" s="2">
        <v>2010</v>
      </c>
      <c r="AV333" s="2">
        <v>79</v>
      </c>
      <c r="AW333" s="2">
        <v>3</v>
      </c>
      <c r="AX333" s="2" t="s">
        <v>74</v>
      </c>
      <c r="AY333" s="2" t="s">
        <v>74</v>
      </c>
      <c r="AZ333" s="2" t="s">
        <v>74</v>
      </c>
      <c r="BA333" s="2" t="s">
        <v>74</v>
      </c>
      <c r="BB333" s="2">
        <v>739</v>
      </c>
      <c r="BC333" s="2">
        <v>745</v>
      </c>
      <c r="BD333" s="2" t="s">
        <v>74</v>
      </c>
      <c r="BE333" s="2" t="s">
        <v>1005</v>
      </c>
      <c r="BF333" s="2" t="str">
        <f>HYPERLINK("http://dx.doi.org/10.1016/j.anbehav.2009.12.031","http://dx.doi.org/10.1016/j.anbehav.2009.12.031")</f>
        <v>http://dx.doi.org/10.1016/j.anbehav.2009.12.031</v>
      </c>
      <c r="BG333" s="2" t="s">
        <v>74</v>
      </c>
      <c r="BH333" s="2" t="s">
        <v>74</v>
      </c>
      <c r="BI333" s="2" t="s">
        <v>74</v>
      </c>
      <c r="BJ333" s="2" t="s">
        <v>74</v>
      </c>
      <c r="BK333" s="2" t="s">
        <v>74</v>
      </c>
      <c r="BL333" s="2" t="s">
        <v>74</v>
      </c>
      <c r="BM333" s="2" t="s">
        <v>74</v>
      </c>
      <c r="BN333" s="2" t="s">
        <v>74</v>
      </c>
      <c r="BO333" s="2" t="s">
        <v>74</v>
      </c>
      <c r="BP333" s="2" t="s">
        <v>74</v>
      </c>
      <c r="BQ333" s="2" t="s">
        <v>74</v>
      </c>
      <c r="BR333" s="2" t="s">
        <v>74</v>
      </c>
      <c r="BS333" s="2" t="s">
        <v>1006</v>
      </c>
      <c r="BT333" s="2" t="str">
        <f>HYPERLINK("https%3A%2F%2Fwww.webofscience.com%2Fwos%2Fwoscc%2Ffull-record%2FWOS:000274587400029","View Full Record in Web of Science")</f>
        <v>View Full Record in Web of Science</v>
      </c>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row>
    <row r="334" spans="1:314" s="2" customFormat="1" x14ac:dyDescent="0.4">
      <c r="A334" s="2" t="s">
        <v>72</v>
      </c>
      <c r="B334" s="2" t="s">
        <v>4432</v>
      </c>
      <c r="C334" s="2" t="s">
        <v>74</v>
      </c>
      <c r="D334" s="2" t="s">
        <v>74</v>
      </c>
      <c r="E334" s="2" t="s">
        <v>74</v>
      </c>
      <c r="F334" s="2" t="s">
        <v>4433</v>
      </c>
      <c r="G334" s="2" t="s">
        <v>74</v>
      </c>
      <c r="H334" s="2" t="s">
        <v>74</v>
      </c>
      <c r="I334" s="2" t="s">
        <v>4434</v>
      </c>
      <c r="J334" s="2" t="s">
        <v>3374</v>
      </c>
      <c r="K334" s="2" t="s">
        <v>74</v>
      </c>
      <c r="L334" s="2" t="s">
        <v>74</v>
      </c>
      <c r="M334" s="2" t="s">
        <v>74</v>
      </c>
      <c r="N334" s="2" t="s">
        <v>74</v>
      </c>
      <c r="O334" s="2" t="s">
        <v>74</v>
      </c>
      <c r="P334" s="2" t="s">
        <v>74</v>
      </c>
      <c r="Q334" s="2" t="s">
        <v>74</v>
      </c>
      <c r="R334" s="2" t="s">
        <v>74</v>
      </c>
      <c r="S334" s="2" t="s">
        <v>74</v>
      </c>
      <c r="T334" s="2" t="s">
        <v>74</v>
      </c>
      <c r="U334" s="2" t="s">
        <v>74</v>
      </c>
      <c r="V334" s="5" t="s">
        <v>4435</v>
      </c>
      <c r="W334" s="2" t="s">
        <v>74</v>
      </c>
      <c r="X334" s="2" t="s">
        <v>74</v>
      </c>
      <c r="Y334" s="2" t="s">
        <v>74</v>
      </c>
      <c r="Z334" s="2" t="s">
        <v>74</v>
      </c>
      <c r="AA334" s="2" t="s">
        <v>4436</v>
      </c>
      <c r="AB334" s="2" t="s">
        <v>4437</v>
      </c>
      <c r="AC334" s="2" t="s">
        <v>74</v>
      </c>
      <c r="AD334" s="2" t="s">
        <v>74</v>
      </c>
      <c r="AE334" s="2" t="s">
        <v>74</v>
      </c>
      <c r="AF334" s="2" t="s">
        <v>74</v>
      </c>
      <c r="AG334" s="2" t="s">
        <v>74</v>
      </c>
      <c r="AH334" s="2" t="s">
        <v>74</v>
      </c>
      <c r="AI334" s="2" t="s">
        <v>74</v>
      </c>
      <c r="AJ334" s="2" t="s">
        <v>74</v>
      </c>
      <c r="AK334" s="2" t="s">
        <v>74</v>
      </c>
      <c r="AL334" s="2" t="s">
        <v>74</v>
      </c>
      <c r="AM334" s="2" t="s">
        <v>74</v>
      </c>
      <c r="AN334" s="2" t="s">
        <v>74</v>
      </c>
      <c r="AO334" s="2" t="s">
        <v>3378</v>
      </c>
      <c r="AP334" s="2" t="s">
        <v>3379</v>
      </c>
      <c r="AQ334" s="2" t="s">
        <v>74</v>
      </c>
      <c r="AR334" s="2" t="s">
        <v>74</v>
      </c>
      <c r="AS334" s="2" t="s">
        <v>74</v>
      </c>
      <c r="AT334" s="2" t="s">
        <v>134</v>
      </c>
      <c r="AU334" s="2">
        <v>2011</v>
      </c>
      <c r="AV334" s="2">
        <v>42</v>
      </c>
      <c r="AW334" s="2">
        <v>3</v>
      </c>
      <c r="AX334" s="2" t="s">
        <v>74</v>
      </c>
      <c r="AY334" s="2" t="s">
        <v>74</v>
      </c>
      <c r="AZ334" s="2" t="s">
        <v>74</v>
      </c>
      <c r="BA334" s="2" t="s">
        <v>74</v>
      </c>
      <c r="BB334" s="2">
        <v>301</v>
      </c>
      <c r="BC334" s="2">
        <v>306</v>
      </c>
      <c r="BD334" s="2" t="s">
        <v>74</v>
      </c>
      <c r="BE334" s="2" t="s">
        <v>4438</v>
      </c>
      <c r="BF334" s="2" t="str">
        <f>HYPERLINK("http://dx.doi.org/10.1007/s13592-011-0022-z","http://dx.doi.org/10.1007/s13592-011-0022-z")</f>
        <v>http://dx.doi.org/10.1007/s13592-011-0022-z</v>
      </c>
      <c r="BG334" s="2" t="s">
        <v>74</v>
      </c>
      <c r="BH334" s="2" t="s">
        <v>74</v>
      </c>
      <c r="BI334" s="2" t="s">
        <v>74</v>
      </c>
      <c r="BJ334" s="2" t="s">
        <v>74</v>
      </c>
      <c r="BK334" s="2" t="s">
        <v>74</v>
      </c>
      <c r="BL334" s="2" t="s">
        <v>74</v>
      </c>
      <c r="BM334" s="2" t="s">
        <v>74</v>
      </c>
      <c r="BN334" s="2" t="s">
        <v>74</v>
      </c>
      <c r="BO334" s="2" t="s">
        <v>74</v>
      </c>
      <c r="BP334" s="2" t="s">
        <v>74</v>
      </c>
      <c r="BQ334" s="2" t="s">
        <v>74</v>
      </c>
      <c r="BR334" s="2" t="s">
        <v>74</v>
      </c>
      <c r="BS334" s="2" t="s">
        <v>4439</v>
      </c>
      <c r="BT334" s="2" t="str">
        <f>HYPERLINK("https%3A%2F%2Fwww.webofscience.com%2Fwos%2Fwoscc%2Ffull-record%2FWOS:000292612900006","View Full Record in Web of Science")</f>
        <v>View Full Record in Web of Science</v>
      </c>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row>
    <row r="335" spans="1:314" s="2" customFormat="1" x14ac:dyDescent="0.4">
      <c r="A335" s="2" t="s">
        <v>72</v>
      </c>
      <c r="B335" s="2" t="s">
        <v>1678</v>
      </c>
      <c r="C335" s="2" t="s">
        <v>74</v>
      </c>
      <c r="D335" s="2" t="s">
        <v>74</v>
      </c>
      <c r="E335" s="2" t="s">
        <v>74</v>
      </c>
      <c r="F335" s="2" t="s">
        <v>1679</v>
      </c>
      <c r="G335" s="2" t="s">
        <v>74</v>
      </c>
      <c r="H335" s="2" t="s">
        <v>74</v>
      </c>
      <c r="I335" s="2" t="s">
        <v>1680</v>
      </c>
      <c r="J335" s="2" t="s">
        <v>367</v>
      </c>
      <c r="K335" s="2" t="s">
        <v>74</v>
      </c>
      <c r="L335" s="2" t="s">
        <v>74</v>
      </c>
      <c r="M335" s="2" t="s">
        <v>74</v>
      </c>
      <c r="N335" s="2" t="s">
        <v>74</v>
      </c>
      <c r="O335" s="2" t="s">
        <v>74</v>
      </c>
      <c r="P335" s="2" t="s">
        <v>74</v>
      </c>
      <c r="Q335" s="2" t="s">
        <v>74</v>
      </c>
      <c r="R335" s="2" t="s">
        <v>74</v>
      </c>
      <c r="S335" s="2" t="s">
        <v>74</v>
      </c>
      <c r="T335" s="2" t="s">
        <v>74</v>
      </c>
      <c r="U335" s="2" t="s">
        <v>74</v>
      </c>
      <c r="V335" s="5" t="s">
        <v>1681</v>
      </c>
      <c r="W335" s="2" t="s">
        <v>74</v>
      </c>
      <c r="X335" s="2" t="s">
        <v>74</v>
      </c>
      <c r="Y335" s="2" t="s">
        <v>74</v>
      </c>
      <c r="Z335" s="2" t="s">
        <v>74</v>
      </c>
      <c r="AA335" s="2" t="s">
        <v>1682</v>
      </c>
      <c r="AB335" s="2" t="s">
        <v>1683</v>
      </c>
      <c r="AC335" s="2" t="s">
        <v>74</v>
      </c>
      <c r="AD335" s="2" t="s">
        <v>74</v>
      </c>
      <c r="AE335" s="2" t="s">
        <v>74</v>
      </c>
      <c r="AF335" s="2" t="s">
        <v>74</v>
      </c>
      <c r="AG335" s="2" t="s">
        <v>74</v>
      </c>
      <c r="AH335" s="2" t="s">
        <v>74</v>
      </c>
      <c r="AI335" s="2" t="s">
        <v>74</v>
      </c>
      <c r="AJ335" s="2" t="s">
        <v>74</v>
      </c>
      <c r="AK335" s="2" t="s">
        <v>74</v>
      </c>
      <c r="AL335" s="2" t="s">
        <v>74</v>
      </c>
      <c r="AM335" s="2" t="s">
        <v>74</v>
      </c>
      <c r="AN335" s="2" t="s">
        <v>74</v>
      </c>
      <c r="AO335" s="2" t="s">
        <v>371</v>
      </c>
      <c r="AP335" s="2" t="s">
        <v>372</v>
      </c>
      <c r="AQ335" s="2" t="s">
        <v>74</v>
      </c>
      <c r="AR335" s="2" t="s">
        <v>74</v>
      </c>
      <c r="AS335" s="2" t="s">
        <v>74</v>
      </c>
      <c r="AT335" s="2" t="s">
        <v>145</v>
      </c>
      <c r="AU335" s="2">
        <v>2021</v>
      </c>
      <c r="AV335" s="2">
        <v>135</v>
      </c>
      <c r="AW335" s="2">
        <v>3</v>
      </c>
      <c r="AX335" s="2" t="s">
        <v>74</v>
      </c>
      <c r="AY335" s="2" t="s">
        <v>74</v>
      </c>
      <c r="AZ335" s="2" t="s">
        <v>74</v>
      </c>
      <c r="BA335" s="2" t="s">
        <v>74</v>
      </c>
      <c r="BB335" s="2">
        <v>338</v>
      </c>
      <c r="BC335" s="2">
        <v>348</v>
      </c>
      <c r="BD335" s="2" t="s">
        <v>74</v>
      </c>
      <c r="BE335" s="2" t="s">
        <v>1684</v>
      </c>
      <c r="BF335" s="2" t="str">
        <f>HYPERLINK("http://dx.doi.org/10.1037/com0000267","http://dx.doi.org/10.1037/com0000267")</f>
        <v>http://dx.doi.org/10.1037/com0000267</v>
      </c>
      <c r="BG335" s="2" t="s">
        <v>74</v>
      </c>
      <c r="BH335" s="2" t="s">
        <v>74</v>
      </c>
      <c r="BI335" s="2" t="s">
        <v>74</v>
      </c>
      <c r="BJ335" s="2" t="s">
        <v>74</v>
      </c>
      <c r="BK335" s="2" t="s">
        <v>74</v>
      </c>
      <c r="BL335" s="2" t="s">
        <v>74</v>
      </c>
      <c r="BM335" s="2" t="s">
        <v>74</v>
      </c>
      <c r="BN335" s="2">
        <v>33475388</v>
      </c>
      <c r="BO335" s="2" t="s">
        <v>74</v>
      </c>
      <c r="BP335" s="2" t="s">
        <v>74</v>
      </c>
      <c r="BQ335" s="2" t="s">
        <v>74</v>
      </c>
      <c r="BR335" s="2" t="s">
        <v>74</v>
      </c>
      <c r="BS335" s="2" t="s">
        <v>1685</v>
      </c>
      <c r="BT335" s="2" t="str">
        <f>HYPERLINK("https%3A%2F%2Fwww.webofscience.com%2Fwos%2Fwoscc%2Ffull-record%2FWOS:000699927200011","View Full Record in Web of Science")</f>
        <v>View Full Record in Web of Science</v>
      </c>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row>
    <row r="336" spans="1:314" s="2" customFormat="1" x14ac:dyDescent="0.4">
      <c r="A336" s="2" t="s">
        <v>72</v>
      </c>
      <c r="B336" s="2" t="s">
        <v>7659</v>
      </c>
      <c r="C336" s="2" t="s">
        <v>74</v>
      </c>
      <c r="D336" s="2" t="s">
        <v>74</v>
      </c>
      <c r="E336" s="2" t="s">
        <v>74</v>
      </c>
      <c r="F336" s="2" t="s">
        <v>7659</v>
      </c>
      <c r="G336" s="2" t="s">
        <v>74</v>
      </c>
      <c r="H336" s="2" t="s">
        <v>74</v>
      </c>
      <c r="I336" s="2" t="s">
        <v>7660</v>
      </c>
      <c r="J336" s="2" t="s">
        <v>431</v>
      </c>
      <c r="K336" s="2" t="s">
        <v>74</v>
      </c>
      <c r="L336" s="2" t="s">
        <v>74</v>
      </c>
      <c r="M336" s="2" t="s">
        <v>74</v>
      </c>
      <c r="N336" s="2" t="s">
        <v>74</v>
      </c>
      <c r="O336" s="2" t="s">
        <v>74</v>
      </c>
      <c r="P336" s="2" t="s">
        <v>74</v>
      </c>
      <c r="Q336" s="2" t="s">
        <v>74</v>
      </c>
      <c r="R336" s="2" t="s">
        <v>74</v>
      </c>
      <c r="S336" s="2" t="s">
        <v>74</v>
      </c>
      <c r="T336" s="2" t="s">
        <v>74</v>
      </c>
      <c r="U336" s="2" t="s">
        <v>74</v>
      </c>
      <c r="V336" s="5" t="s">
        <v>7661</v>
      </c>
      <c r="W336" s="2" t="s">
        <v>74</v>
      </c>
      <c r="X336" s="2" t="s">
        <v>74</v>
      </c>
      <c r="Y336" s="2" t="s">
        <v>74</v>
      </c>
      <c r="Z336" s="2" t="s">
        <v>74</v>
      </c>
      <c r="AA336" s="2" t="s">
        <v>7662</v>
      </c>
      <c r="AB336" s="2" t="s">
        <v>74</v>
      </c>
      <c r="AC336" s="2" t="s">
        <v>74</v>
      </c>
      <c r="AD336" s="2" t="s">
        <v>74</v>
      </c>
      <c r="AE336" s="2" t="s">
        <v>74</v>
      </c>
      <c r="AF336" s="2" t="s">
        <v>74</v>
      </c>
      <c r="AG336" s="2" t="s">
        <v>74</v>
      </c>
      <c r="AH336" s="2" t="s">
        <v>74</v>
      </c>
      <c r="AI336" s="2" t="s">
        <v>74</v>
      </c>
      <c r="AJ336" s="2" t="s">
        <v>74</v>
      </c>
      <c r="AK336" s="2" t="s">
        <v>74</v>
      </c>
      <c r="AL336" s="2" t="s">
        <v>74</v>
      </c>
      <c r="AM336" s="2" t="s">
        <v>74</v>
      </c>
      <c r="AN336" s="2" t="s">
        <v>74</v>
      </c>
      <c r="AO336" s="2" t="s">
        <v>1458</v>
      </c>
      <c r="AP336" s="2" t="s">
        <v>74</v>
      </c>
      <c r="AQ336" s="2" t="s">
        <v>74</v>
      </c>
      <c r="AR336" s="2" t="s">
        <v>74</v>
      </c>
      <c r="AS336" s="2" t="s">
        <v>74</v>
      </c>
      <c r="AT336" s="2" t="s">
        <v>633</v>
      </c>
      <c r="AU336" s="2">
        <v>2002</v>
      </c>
      <c r="AV336" s="2">
        <v>119</v>
      </c>
      <c r="AW336" s="2">
        <v>2</v>
      </c>
      <c r="AX336" s="2" t="s">
        <v>74</v>
      </c>
      <c r="AY336" s="2" t="s">
        <v>74</v>
      </c>
      <c r="AZ336" s="2" t="s">
        <v>74</v>
      </c>
      <c r="BA336" s="2" t="s">
        <v>74</v>
      </c>
      <c r="BB336" s="2">
        <v>487</v>
      </c>
      <c r="BC336" s="2">
        <v>497</v>
      </c>
      <c r="BD336" s="2" t="s">
        <v>74</v>
      </c>
      <c r="BE336" s="2" t="s">
        <v>7663</v>
      </c>
      <c r="BF336" s="2" t="str">
        <f>HYPERLINK("http://dx.doi.org/10.1642/0004-8038(2002)119[0487:SALTEO]2.0.CO;2","http://dx.doi.org/10.1642/0004-8038(2002)119[0487:SALTEO]2.0.CO;2")</f>
        <v>http://dx.doi.org/10.1642/0004-8038(2002)119[0487:SALTEO]2.0.CO;2</v>
      </c>
      <c r="BG336" s="2" t="s">
        <v>74</v>
      </c>
      <c r="BH336" s="2" t="s">
        <v>74</v>
      </c>
      <c r="BI336" s="2" t="s">
        <v>74</v>
      </c>
      <c r="BJ336" s="2" t="s">
        <v>74</v>
      </c>
      <c r="BK336" s="2" t="s">
        <v>74</v>
      </c>
      <c r="BL336" s="2" t="s">
        <v>74</v>
      </c>
      <c r="BM336" s="2" t="s">
        <v>74</v>
      </c>
      <c r="BN336" s="2" t="s">
        <v>74</v>
      </c>
      <c r="BO336" s="2" t="s">
        <v>74</v>
      </c>
      <c r="BP336" s="2" t="s">
        <v>74</v>
      </c>
      <c r="BQ336" s="2" t="s">
        <v>74</v>
      </c>
      <c r="BR336" s="2" t="s">
        <v>74</v>
      </c>
      <c r="BS336" s="2" t="s">
        <v>7664</v>
      </c>
      <c r="BT336" s="2" t="str">
        <f>HYPERLINK("https%3A%2F%2Fwww.webofscience.com%2Fwos%2Fwoscc%2Ffull-record%2FWOS:000175709400016","View Full Record in Web of Science")</f>
        <v>View Full Record in Web of Science</v>
      </c>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row>
    <row r="337" spans="1:314" s="2" customFormat="1" x14ac:dyDescent="0.4">
      <c r="A337" s="2" t="s">
        <v>72</v>
      </c>
      <c r="B337" s="2" t="s">
        <v>3108</v>
      </c>
      <c r="C337" s="2" t="s">
        <v>74</v>
      </c>
      <c r="D337" s="2" t="s">
        <v>74</v>
      </c>
      <c r="E337" s="2" t="s">
        <v>74</v>
      </c>
      <c r="F337" s="2" t="s">
        <v>3109</v>
      </c>
      <c r="G337" s="2" t="s">
        <v>74</v>
      </c>
      <c r="H337" s="2" t="s">
        <v>74</v>
      </c>
      <c r="I337" s="2" t="s">
        <v>3110</v>
      </c>
      <c r="J337" s="2" t="s">
        <v>3111</v>
      </c>
      <c r="K337" s="2" t="s">
        <v>74</v>
      </c>
      <c r="L337" s="2" t="s">
        <v>74</v>
      </c>
      <c r="M337" s="2" t="s">
        <v>74</v>
      </c>
      <c r="N337" s="2" t="s">
        <v>74</v>
      </c>
      <c r="O337" s="2" t="s">
        <v>74</v>
      </c>
      <c r="P337" s="2" t="s">
        <v>74</v>
      </c>
      <c r="Q337" s="2" t="s">
        <v>74</v>
      </c>
      <c r="R337" s="2" t="s">
        <v>74</v>
      </c>
      <c r="S337" s="2" t="s">
        <v>74</v>
      </c>
      <c r="T337" s="2" t="s">
        <v>74</v>
      </c>
      <c r="U337" s="2" t="s">
        <v>74</v>
      </c>
      <c r="V337" s="5" t="s">
        <v>3112</v>
      </c>
      <c r="W337" s="2" t="s">
        <v>74</v>
      </c>
      <c r="X337" s="2" t="s">
        <v>74</v>
      </c>
      <c r="Y337" s="2" t="s">
        <v>74</v>
      </c>
      <c r="Z337" s="2" t="s">
        <v>74</v>
      </c>
      <c r="AA337" s="2" t="s">
        <v>3113</v>
      </c>
      <c r="AB337" s="2" t="s">
        <v>3114</v>
      </c>
      <c r="AC337" s="2" t="s">
        <v>74</v>
      </c>
      <c r="AD337" s="2" t="s">
        <v>74</v>
      </c>
      <c r="AE337" s="2" t="s">
        <v>74</v>
      </c>
      <c r="AF337" s="2" t="s">
        <v>74</v>
      </c>
      <c r="AG337" s="2" t="s">
        <v>74</v>
      </c>
      <c r="AH337" s="2" t="s">
        <v>74</v>
      </c>
      <c r="AI337" s="2" t="s">
        <v>74</v>
      </c>
      <c r="AJ337" s="2" t="s">
        <v>74</v>
      </c>
      <c r="AK337" s="2" t="s">
        <v>74</v>
      </c>
      <c r="AL337" s="2" t="s">
        <v>74</v>
      </c>
      <c r="AM337" s="2" t="s">
        <v>74</v>
      </c>
      <c r="AN337" s="2" t="s">
        <v>74</v>
      </c>
      <c r="AO337" s="2" t="s">
        <v>3115</v>
      </c>
      <c r="AP337" s="2" t="s">
        <v>3116</v>
      </c>
      <c r="AQ337" s="2" t="s">
        <v>74</v>
      </c>
      <c r="AR337" s="2" t="s">
        <v>74</v>
      </c>
      <c r="AS337" s="2" t="s">
        <v>74</v>
      </c>
      <c r="AT337" s="2" t="s">
        <v>633</v>
      </c>
      <c r="AU337" s="2">
        <v>2010</v>
      </c>
      <c r="AV337" s="2">
        <v>4</v>
      </c>
      <c r="AW337" s="2">
        <v>4</v>
      </c>
      <c r="AX337" s="2" t="s">
        <v>74</v>
      </c>
      <c r="AY337" s="2" t="s">
        <v>74</v>
      </c>
      <c r="AZ337" s="2" t="s">
        <v>74</v>
      </c>
      <c r="BA337" s="2" t="s">
        <v>74</v>
      </c>
      <c r="BB337" s="2">
        <v>604</v>
      </c>
      <c r="BC337" s="2">
        <v>616</v>
      </c>
      <c r="BD337" s="2" t="s">
        <v>74</v>
      </c>
      <c r="BE337" s="2" t="s">
        <v>3117</v>
      </c>
      <c r="BF337" s="2" t="str">
        <f>HYPERLINK("http://dx.doi.org/10.1017/S1751731109991406","http://dx.doi.org/10.1017/S1751731109991406")</f>
        <v>http://dx.doi.org/10.1017/S1751731109991406</v>
      </c>
      <c r="BG337" s="2" t="s">
        <v>74</v>
      </c>
      <c r="BH337" s="2" t="s">
        <v>74</v>
      </c>
      <c r="BI337" s="2" t="s">
        <v>74</v>
      </c>
      <c r="BJ337" s="2" t="s">
        <v>74</v>
      </c>
      <c r="BK337" s="2" t="s">
        <v>74</v>
      </c>
      <c r="BL337" s="2" t="s">
        <v>74</v>
      </c>
      <c r="BM337" s="2" t="s">
        <v>74</v>
      </c>
      <c r="BN337" s="2">
        <v>22444048</v>
      </c>
      <c r="BO337" s="2" t="s">
        <v>74</v>
      </c>
      <c r="BP337" s="2" t="s">
        <v>74</v>
      </c>
      <c r="BQ337" s="2" t="s">
        <v>74</v>
      </c>
      <c r="BR337" s="2" t="s">
        <v>74</v>
      </c>
      <c r="BS337" s="2" t="s">
        <v>3118</v>
      </c>
      <c r="BT337" s="2" t="str">
        <f>HYPERLINK("https%3A%2F%2Fwww.webofscience.com%2Fwos%2Fwoscc%2Ffull-record%2FWOS:000276005600013","View Full Record in Web of Science")</f>
        <v>View Full Record in Web of Science</v>
      </c>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row>
    <row r="338" spans="1:314" s="2" customFormat="1" x14ac:dyDescent="0.4">
      <c r="A338" s="2" t="s">
        <v>72</v>
      </c>
      <c r="B338" s="2" t="s">
        <v>3076</v>
      </c>
      <c r="C338" s="2" t="s">
        <v>74</v>
      </c>
      <c r="D338" s="2" t="s">
        <v>74</v>
      </c>
      <c r="E338" s="2" t="s">
        <v>74</v>
      </c>
      <c r="F338" s="2" t="s">
        <v>3076</v>
      </c>
      <c r="G338" s="2" t="s">
        <v>74</v>
      </c>
      <c r="H338" s="2" t="s">
        <v>74</v>
      </c>
      <c r="I338" s="2" t="s">
        <v>3077</v>
      </c>
      <c r="J338" s="2" t="s">
        <v>731</v>
      </c>
      <c r="K338" s="2" t="s">
        <v>74</v>
      </c>
      <c r="L338" s="2" t="s">
        <v>74</v>
      </c>
      <c r="M338" s="2" t="s">
        <v>74</v>
      </c>
      <c r="N338" s="2" t="s">
        <v>74</v>
      </c>
      <c r="O338" s="2" t="s">
        <v>74</v>
      </c>
      <c r="P338" s="2" t="s">
        <v>74</v>
      </c>
      <c r="Q338" s="2" t="s">
        <v>74</v>
      </c>
      <c r="R338" s="2" t="s">
        <v>74</v>
      </c>
      <c r="S338" s="2" t="s">
        <v>74</v>
      </c>
      <c r="T338" s="2" t="s">
        <v>74</v>
      </c>
      <c r="U338" s="2" t="s">
        <v>74</v>
      </c>
      <c r="V338" s="5" t="s">
        <v>3078</v>
      </c>
      <c r="W338" s="2" t="s">
        <v>74</v>
      </c>
      <c r="X338" s="2" t="s">
        <v>74</v>
      </c>
      <c r="Y338" s="2" t="s">
        <v>74</v>
      </c>
      <c r="Z338" s="2" t="s">
        <v>74</v>
      </c>
      <c r="AA338" s="2" t="s">
        <v>74</v>
      </c>
      <c r="AB338" s="2" t="s">
        <v>74</v>
      </c>
      <c r="AC338" s="2" t="s">
        <v>74</v>
      </c>
      <c r="AD338" s="2" t="s">
        <v>74</v>
      </c>
      <c r="AE338" s="2" t="s">
        <v>74</v>
      </c>
      <c r="AF338" s="2" t="s">
        <v>74</v>
      </c>
      <c r="AG338" s="2" t="s">
        <v>74</v>
      </c>
      <c r="AH338" s="2" t="s">
        <v>74</v>
      </c>
      <c r="AI338" s="2" t="s">
        <v>74</v>
      </c>
      <c r="AJ338" s="2" t="s">
        <v>74</v>
      </c>
      <c r="AK338" s="2" t="s">
        <v>74</v>
      </c>
      <c r="AL338" s="2" t="s">
        <v>74</v>
      </c>
      <c r="AM338" s="2" t="s">
        <v>74</v>
      </c>
      <c r="AN338" s="2" t="s">
        <v>74</v>
      </c>
      <c r="AO338" s="2" t="s">
        <v>733</v>
      </c>
      <c r="AP338" s="2" t="s">
        <v>74</v>
      </c>
      <c r="AQ338" s="2" t="s">
        <v>74</v>
      </c>
      <c r="AR338" s="2" t="s">
        <v>74</v>
      </c>
      <c r="AS338" s="2" t="s">
        <v>74</v>
      </c>
      <c r="AT338" s="2" t="s">
        <v>145</v>
      </c>
      <c r="AU338" s="2">
        <v>1996</v>
      </c>
      <c r="AV338" s="2">
        <v>78</v>
      </c>
      <c r="AW338" s="2">
        <v>2</v>
      </c>
      <c r="AX338" s="2" t="s">
        <v>74</v>
      </c>
      <c r="AY338" s="2" t="s">
        <v>74</v>
      </c>
      <c r="AZ338" s="2" t="s">
        <v>74</v>
      </c>
      <c r="BA338" s="2" t="s">
        <v>74</v>
      </c>
      <c r="BB338" s="2">
        <v>175</v>
      </c>
      <c r="BC338" s="2">
        <v>182</v>
      </c>
      <c r="BD338" s="2" t="s">
        <v>74</v>
      </c>
      <c r="BE338" s="2" t="s">
        <v>74</v>
      </c>
      <c r="BF338" s="2" t="s">
        <v>74</v>
      </c>
      <c r="BG338" s="2" t="s">
        <v>74</v>
      </c>
      <c r="BH338" s="2" t="s">
        <v>74</v>
      </c>
      <c r="BI338" s="2" t="s">
        <v>74</v>
      </c>
      <c r="BJ338" s="2" t="s">
        <v>74</v>
      </c>
      <c r="BK338" s="2" t="s">
        <v>74</v>
      </c>
      <c r="BL338" s="2" t="s">
        <v>74</v>
      </c>
      <c r="BM338" s="2" t="s">
        <v>74</v>
      </c>
      <c r="BN338" s="2">
        <v>8864049</v>
      </c>
      <c r="BO338" s="2" t="s">
        <v>74</v>
      </c>
      <c r="BP338" s="2" t="s">
        <v>74</v>
      </c>
      <c r="BQ338" s="2" t="s">
        <v>74</v>
      </c>
      <c r="BR338" s="2" t="s">
        <v>74</v>
      </c>
      <c r="BS338" s="2" t="s">
        <v>3079</v>
      </c>
      <c r="BT338" s="2" t="str">
        <f>HYPERLINK("https%3A%2F%2Fwww.webofscience.com%2Fwos%2Fwoscc%2Ffull-record%2FWOS:A1996VD71100011","View Full Record in Web of Science")</f>
        <v>View Full Record in Web of Science</v>
      </c>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row>
    <row r="339" spans="1:314" s="2" customFormat="1" x14ac:dyDescent="0.4">
      <c r="A339" s="2" t="s">
        <v>72</v>
      </c>
      <c r="B339" s="2" t="s">
        <v>5822</v>
      </c>
      <c r="C339" s="2" t="s">
        <v>74</v>
      </c>
      <c r="D339" s="2" t="s">
        <v>74</v>
      </c>
      <c r="E339" s="2" t="s">
        <v>74</v>
      </c>
      <c r="F339" s="2" t="s">
        <v>5822</v>
      </c>
      <c r="G339" s="2" t="s">
        <v>74</v>
      </c>
      <c r="H339" s="2" t="s">
        <v>74</v>
      </c>
      <c r="I339" s="2" t="s">
        <v>5823</v>
      </c>
      <c r="J339" s="2" t="s">
        <v>4791</v>
      </c>
      <c r="K339" s="2" t="s">
        <v>74</v>
      </c>
      <c r="L339" s="2" t="s">
        <v>74</v>
      </c>
      <c r="M339" s="2" t="s">
        <v>74</v>
      </c>
      <c r="N339" s="2" t="s">
        <v>74</v>
      </c>
      <c r="O339" s="2" t="s">
        <v>74</v>
      </c>
      <c r="P339" s="2" t="s">
        <v>74</v>
      </c>
      <c r="Q339" s="2" t="s">
        <v>74</v>
      </c>
      <c r="R339" s="2" t="s">
        <v>74</v>
      </c>
      <c r="S339" s="2" t="s">
        <v>74</v>
      </c>
      <c r="T339" s="2" t="s">
        <v>74</v>
      </c>
      <c r="U339" s="2" t="s">
        <v>74</v>
      </c>
      <c r="V339" s="5" t="s">
        <v>5824</v>
      </c>
      <c r="W339" s="2" t="s">
        <v>74</v>
      </c>
      <c r="X339" s="2" t="s">
        <v>74</v>
      </c>
      <c r="Y339" s="2" t="s">
        <v>74</v>
      </c>
      <c r="Z339" s="2" t="s">
        <v>74</v>
      </c>
      <c r="AA339" s="2" t="s">
        <v>74</v>
      </c>
      <c r="AB339" s="2" t="s">
        <v>74</v>
      </c>
      <c r="AC339" s="2" t="s">
        <v>74</v>
      </c>
      <c r="AD339" s="2" t="s">
        <v>74</v>
      </c>
      <c r="AE339" s="2" t="s">
        <v>74</v>
      </c>
      <c r="AF339" s="2" t="s">
        <v>74</v>
      </c>
      <c r="AG339" s="2" t="s">
        <v>74</v>
      </c>
      <c r="AH339" s="2" t="s">
        <v>74</v>
      </c>
      <c r="AI339" s="2" t="s">
        <v>74</v>
      </c>
      <c r="AJ339" s="2" t="s">
        <v>74</v>
      </c>
      <c r="AK339" s="2" t="s">
        <v>74</v>
      </c>
      <c r="AL339" s="2" t="s">
        <v>74</v>
      </c>
      <c r="AM339" s="2" t="s">
        <v>74</v>
      </c>
      <c r="AN339" s="2" t="s">
        <v>74</v>
      </c>
      <c r="AO339" s="2" t="s">
        <v>4793</v>
      </c>
      <c r="AP339" s="2" t="s">
        <v>74</v>
      </c>
      <c r="AQ339" s="2" t="s">
        <v>74</v>
      </c>
      <c r="AR339" s="2" t="s">
        <v>74</v>
      </c>
      <c r="AS339" s="2" t="s">
        <v>74</v>
      </c>
      <c r="AT339" s="2" t="s">
        <v>932</v>
      </c>
      <c r="AU339" s="2">
        <v>1995</v>
      </c>
      <c r="AV339" s="2">
        <v>272</v>
      </c>
      <c r="AW339" s="2">
        <v>3</v>
      </c>
      <c r="AX339" s="2" t="s">
        <v>74</v>
      </c>
      <c r="AY339" s="2" t="s">
        <v>74</v>
      </c>
      <c r="AZ339" s="2" t="s">
        <v>74</v>
      </c>
      <c r="BA339" s="2" t="s">
        <v>74</v>
      </c>
      <c r="BB339" s="2">
        <v>194</v>
      </c>
      <c r="BC339" s="2">
        <v>200</v>
      </c>
      <c r="BD339" s="2" t="s">
        <v>74</v>
      </c>
      <c r="BE339" s="2" t="s">
        <v>5825</v>
      </c>
      <c r="BF339" s="2" t="str">
        <f>HYPERLINK("http://dx.doi.org/10.1002/jez.1402720304","http://dx.doi.org/10.1002/jez.1402720304")</f>
        <v>http://dx.doi.org/10.1002/jez.1402720304</v>
      </c>
      <c r="BG339" s="2" t="s">
        <v>74</v>
      </c>
      <c r="BH339" s="2" t="s">
        <v>74</v>
      </c>
      <c r="BI339" s="2" t="s">
        <v>74</v>
      </c>
      <c r="BJ339" s="2" t="s">
        <v>74</v>
      </c>
      <c r="BK339" s="2" t="s">
        <v>74</v>
      </c>
      <c r="BL339" s="2" t="s">
        <v>74</v>
      </c>
      <c r="BM339" s="2" t="s">
        <v>74</v>
      </c>
      <c r="BN339" s="2" t="s">
        <v>74</v>
      </c>
      <c r="BO339" s="2" t="s">
        <v>74</v>
      </c>
      <c r="BP339" s="2" t="s">
        <v>74</v>
      </c>
      <c r="BQ339" s="2" t="s">
        <v>74</v>
      </c>
      <c r="BR339" s="2" t="s">
        <v>74</v>
      </c>
      <c r="BS339" s="2" t="s">
        <v>5826</v>
      </c>
      <c r="BT339" s="2" t="str">
        <f>HYPERLINK("https%3A%2F%2Fwww.webofscience.com%2Fwos%2Fwoscc%2Ffull-record%2FWOS:A1995RG10200003","View Full Record in Web of Science")</f>
        <v>View Full Record in Web of Science</v>
      </c>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row>
    <row r="340" spans="1:314" s="2" customFormat="1" x14ac:dyDescent="0.4">
      <c r="A340" s="2" t="s">
        <v>72</v>
      </c>
      <c r="B340" s="2" t="s">
        <v>729</v>
      </c>
      <c r="C340" s="2" t="s">
        <v>74</v>
      </c>
      <c r="D340" s="2" t="s">
        <v>74</v>
      </c>
      <c r="E340" s="2" t="s">
        <v>74</v>
      </c>
      <c r="F340" s="2" t="s">
        <v>729</v>
      </c>
      <c r="G340" s="2" t="s">
        <v>74</v>
      </c>
      <c r="H340" s="2" t="s">
        <v>74</v>
      </c>
      <c r="I340" s="2" t="s">
        <v>730</v>
      </c>
      <c r="J340" s="2" t="s">
        <v>731</v>
      </c>
      <c r="K340" s="2" t="s">
        <v>74</v>
      </c>
      <c r="L340" s="2" t="s">
        <v>74</v>
      </c>
      <c r="M340" s="2" t="s">
        <v>74</v>
      </c>
      <c r="N340" s="2" t="s">
        <v>74</v>
      </c>
      <c r="O340" s="2" t="s">
        <v>74</v>
      </c>
      <c r="P340" s="2" t="s">
        <v>74</v>
      </c>
      <c r="Q340" s="2" t="s">
        <v>74</v>
      </c>
      <c r="R340" s="2" t="s">
        <v>74</v>
      </c>
      <c r="S340" s="2" t="s">
        <v>74</v>
      </c>
      <c r="T340" s="2" t="s">
        <v>74</v>
      </c>
      <c r="U340" s="2" t="s">
        <v>74</v>
      </c>
      <c r="V340" s="5" t="s">
        <v>732</v>
      </c>
      <c r="W340" s="2" t="s">
        <v>74</v>
      </c>
      <c r="X340" s="2" t="s">
        <v>74</v>
      </c>
      <c r="Y340" s="2" t="s">
        <v>74</v>
      </c>
      <c r="Z340" s="2" t="s">
        <v>74</v>
      </c>
      <c r="AA340" s="2" t="s">
        <v>74</v>
      </c>
      <c r="AB340" s="2" t="s">
        <v>74</v>
      </c>
      <c r="AC340" s="2" t="s">
        <v>74</v>
      </c>
      <c r="AD340" s="2" t="s">
        <v>74</v>
      </c>
      <c r="AE340" s="2" t="s">
        <v>74</v>
      </c>
      <c r="AF340" s="2" t="s">
        <v>74</v>
      </c>
      <c r="AG340" s="2" t="s">
        <v>74</v>
      </c>
      <c r="AH340" s="2" t="s">
        <v>74</v>
      </c>
      <c r="AI340" s="2" t="s">
        <v>74</v>
      </c>
      <c r="AJ340" s="2" t="s">
        <v>74</v>
      </c>
      <c r="AK340" s="2" t="s">
        <v>74</v>
      </c>
      <c r="AL340" s="2" t="s">
        <v>74</v>
      </c>
      <c r="AM340" s="2" t="s">
        <v>74</v>
      </c>
      <c r="AN340" s="2" t="s">
        <v>74</v>
      </c>
      <c r="AO340" s="2" t="s">
        <v>733</v>
      </c>
      <c r="AP340" s="2" t="s">
        <v>734</v>
      </c>
      <c r="AQ340" s="2" t="s">
        <v>74</v>
      </c>
      <c r="AR340" s="2" t="s">
        <v>74</v>
      </c>
      <c r="AS340" s="2" t="s">
        <v>74</v>
      </c>
      <c r="AT340" s="2" t="s">
        <v>175</v>
      </c>
      <c r="AU340" s="2">
        <v>1998</v>
      </c>
      <c r="AV340" s="2">
        <v>95</v>
      </c>
      <c r="AW340" s="2">
        <v>2</v>
      </c>
      <c r="AX340" s="2" t="s">
        <v>74</v>
      </c>
      <c r="AY340" s="2" t="s">
        <v>74</v>
      </c>
      <c r="AZ340" s="2" t="s">
        <v>74</v>
      </c>
      <c r="BA340" s="2" t="s">
        <v>74</v>
      </c>
      <c r="BB340" s="2">
        <v>227</v>
      </c>
      <c r="BC340" s="2">
        <v>232</v>
      </c>
      <c r="BD340" s="2" t="s">
        <v>74</v>
      </c>
      <c r="BE340" s="2" t="s">
        <v>735</v>
      </c>
      <c r="BF340" s="2" t="str">
        <f>HYPERLINK("http://dx.doi.org/10.1016/S0166-4328(98)00048-5","http://dx.doi.org/10.1016/S0166-4328(98)00048-5")</f>
        <v>http://dx.doi.org/10.1016/S0166-4328(98)00048-5</v>
      </c>
      <c r="BG340" s="2" t="s">
        <v>74</v>
      </c>
      <c r="BH340" s="2" t="s">
        <v>74</v>
      </c>
      <c r="BI340" s="2" t="s">
        <v>74</v>
      </c>
      <c r="BJ340" s="2" t="s">
        <v>74</v>
      </c>
      <c r="BK340" s="2" t="s">
        <v>74</v>
      </c>
      <c r="BL340" s="2" t="s">
        <v>74</v>
      </c>
      <c r="BM340" s="2" t="s">
        <v>74</v>
      </c>
      <c r="BN340" s="2">
        <v>9806442</v>
      </c>
      <c r="BO340" s="2" t="s">
        <v>74</v>
      </c>
      <c r="BP340" s="2" t="s">
        <v>74</v>
      </c>
      <c r="BQ340" s="2" t="s">
        <v>74</v>
      </c>
      <c r="BR340" s="2" t="s">
        <v>74</v>
      </c>
      <c r="BS340" s="2" t="s">
        <v>736</v>
      </c>
      <c r="BT340" s="2" t="str">
        <f>HYPERLINK("https%3A%2F%2Fwww.webofscience.com%2Fwos%2Fwoscc%2Ffull-record%2FWOS:000076619000008","View Full Record in Web of Science")</f>
        <v>View Full Record in Web of Science</v>
      </c>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row>
    <row r="341" spans="1:314" s="2" customFormat="1" x14ac:dyDescent="0.4">
      <c r="A341" s="2" t="s">
        <v>72</v>
      </c>
      <c r="B341" s="2" t="s">
        <v>7597</v>
      </c>
      <c r="C341" s="2" t="s">
        <v>74</v>
      </c>
      <c r="D341" s="2" t="s">
        <v>74</v>
      </c>
      <c r="E341" s="2" t="s">
        <v>74</v>
      </c>
      <c r="F341" s="2" t="s">
        <v>7597</v>
      </c>
      <c r="G341" s="2" t="s">
        <v>74</v>
      </c>
      <c r="H341" s="2" t="s">
        <v>74</v>
      </c>
      <c r="I341" s="2" t="s">
        <v>7598</v>
      </c>
      <c r="J341" s="2" t="s">
        <v>7599</v>
      </c>
      <c r="K341" s="2" t="s">
        <v>74</v>
      </c>
      <c r="L341" s="2" t="s">
        <v>74</v>
      </c>
      <c r="M341" s="2" t="s">
        <v>74</v>
      </c>
      <c r="N341" s="2" t="s">
        <v>74</v>
      </c>
      <c r="O341" s="2" t="s">
        <v>74</v>
      </c>
      <c r="P341" s="2" t="s">
        <v>74</v>
      </c>
      <c r="Q341" s="2" t="s">
        <v>74</v>
      </c>
      <c r="R341" s="2" t="s">
        <v>74</v>
      </c>
      <c r="S341" s="2" t="s">
        <v>74</v>
      </c>
      <c r="T341" s="2" t="s">
        <v>74</v>
      </c>
      <c r="U341" s="2" t="s">
        <v>74</v>
      </c>
      <c r="V341" s="5" t="s">
        <v>7600</v>
      </c>
      <c r="W341" s="2" t="s">
        <v>74</v>
      </c>
      <c r="X341" s="2" t="s">
        <v>74</v>
      </c>
      <c r="Y341" s="2" t="s">
        <v>74</v>
      </c>
      <c r="Z341" s="2" t="s">
        <v>74</v>
      </c>
      <c r="AA341" s="2" t="s">
        <v>74</v>
      </c>
      <c r="AB341" s="2" t="s">
        <v>74</v>
      </c>
      <c r="AC341" s="2" t="s">
        <v>74</v>
      </c>
      <c r="AD341" s="2" t="s">
        <v>74</v>
      </c>
      <c r="AE341" s="2" t="s">
        <v>74</v>
      </c>
      <c r="AF341" s="2" t="s">
        <v>74</v>
      </c>
      <c r="AG341" s="2" t="s">
        <v>74</v>
      </c>
      <c r="AH341" s="2" t="s">
        <v>74</v>
      </c>
      <c r="AI341" s="2" t="s">
        <v>74</v>
      </c>
      <c r="AJ341" s="2" t="s">
        <v>74</v>
      </c>
      <c r="AK341" s="2" t="s">
        <v>74</v>
      </c>
      <c r="AL341" s="2" t="s">
        <v>74</v>
      </c>
      <c r="AM341" s="2" t="s">
        <v>74</v>
      </c>
      <c r="AN341" s="2" t="s">
        <v>74</v>
      </c>
      <c r="AO341" s="2" t="s">
        <v>7601</v>
      </c>
      <c r="AP341" s="2" t="s">
        <v>74</v>
      </c>
      <c r="AQ341" s="2" t="s">
        <v>74</v>
      </c>
      <c r="AR341" s="2" t="s">
        <v>74</v>
      </c>
      <c r="AS341" s="2" t="s">
        <v>74</v>
      </c>
      <c r="AT341" s="2" t="s">
        <v>7602</v>
      </c>
      <c r="AU341" s="2">
        <v>1991</v>
      </c>
      <c r="AV341" s="2">
        <v>104</v>
      </c>
      <c r="AW341" s="2">
        <v>2</v>
      </c>
      <c r="AX341" s="2" t="s">
        <v>74</v>
      </c>
      <c r="AY341" s="2" t="s">
        <v>74</v>
      </c>
      <c r="AZ341" s="2" t="s">
        <v>74</v>
      </c>
      <c r="BA341" s="2" t="s">
        <v>74</v>
      </c>
      <c r="BB341" s="2">
        <v>370</v>
      </c>
      <c r="BC341" s="2">
        <v>386</v>
      </c>
      <c r="BD341" s="2" t="s">
        <v>74</v>
      </c>
      <c r="BE341" s="2" t="s">
        <v>74</v>
      </c>
      <c r="BF341" s="2" t="s">
        <v>74</v>
      </c>
      <c r="BG341" s="2" t="s">
        <v>74</v>
      </c>
      <c r="BH341" s="2" t="s">
        <v>74</v>
      </c>
      <c r="BI341" s="2" t="s">
        <v>74</v>
      </c>
      <c r="BJ341" s="2" t="s">
        <v>74</v>
      </c>
      <c r="BK341" s="2" t="s">
        <v>74</v>
      </c>
      <c r="BL341" s="2" t="s">
        <v>74</v>
      </c>
      <c r="BM341" s="2" t="s">
        <v>74</v>
      </c>
      <c r="BN341" s="2" t="s">
        <v>74</v>
      </c>
      <c r="BO341" s="2" t="s">
        <v>74</v>
      </c>
      <c r="BP341" s="2" t="s">
        <v>74</v>
      </c>
      <c r="BQ341" s="2" t="s">
        <v>74</v>
      </c>
      <c r="BR341" s="2" t="s">
        <v>74</v>
      </c>
      <c r="BS341" s="2" t="s">
        <v>7603</v>
      </c>
      <c r="BT341" s="2" t="str">
        <f>HYPERLINK("https%3A%2F%2Fwww.webofscience.com%2Fwos%2Fwoscc%2Ffull-record%2FWOS:A1991FT32000019","View Full Record in Web of Science")</f>
        <v>View Full Record in Web of Science</v>
      </c>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row>
    <row r="342" spans="1:314" s="2" customFormat="1" x14ac:dyDescent="0.4">
      <c r="A342" s="2" t="s">
        <v>72</v>
      </c>
      <c r="B342" s="2" t="s">
        <v>7484</v>
      </c>
      <c r="C342" s="2" t="s">
        <v>74</v>
      </c>
      <c r="D342" s="2" t="s">
        <v>74</v>
      </c>
      <c r="E342" s="2" t="s">
        <v>74</v>
      </c>
      <c r="F342" s="2" t="s">
        <v>7484</v>
      </c>
      <c r="G342" s="2" t="s">
        <v>74</v>
      </c>
      <c r="H342" s="2" t="s">
        <v>74</v>
      </c>
      <c r="I342" s="2" t="s">
        <v>7485</v>
      </c>
      <c r="J342" s="2" t="s">
        <v>7486</v>
      </c>
      <c r="K342" s="2" t="s">
        <v>74</v>
      </c>
      <c r="L342" s="2" t="s">
        <v>74</v>
      </c>
      <c r="M342" s="2" t="s">
        <v>74</v>
      </c>
      <c r="N342" s="2" t="s">
        <v>74</v>
      </c>
      <c r="O342" s="2" t="s">
        <v>74</v>
      </c>
      <c r="P342" s="2" t="s">
        <v>74</v>
      </c>
      <c r="Q342" s="2" t="s">
        <v>74</v>
      </c>
      <c r="R342" s="2" t="s">
        <v>74</v>
      </c>
      <c r="S342" s="2" t="s">
        <v>74</v>
      </c>
      <c r="T342" s="2" t="s">
        <v>74</v>
      </c>
      <c r="U342" s="2" t="s">
        <v>74</v>
      </c>
      <c r="V342" s="5" t="s">
        <v>7487</v>
      </c>
      <c r="W342" s="2" t="s">
        <v>74</v>
      </c>
      <c r="X342" s="2" t="s">
        <v>74</v>
      </c>
      <c r="Y342" s="2" t="s">
        <v>74</v>
      </c>
      <c r="Z342" s="2" t="s">
        <v>74</v>
      </c>
      <c r="AA342" s="2" t="s">
        <v>74</v>
      </c>
      <c r="AB342" s="2" t="s">
        <v>74</v>
      </c>
      <c r="AC342" s="2" t="s">
        <v>74</v>
      </c>
      <c r="AD342" s="2" t="s">
        <v>74</v>
      </c>
      <c r="AE342" s="2" t="s">
        <v>74</v>
      </c>
      <c r="AF342" s="2" t="s">
        <v>74</v>
      </c>
      <c r="AG342" s="2" t="s">
        <v>74</v>
      </c>
      <c r="AH342" s="2" t="s">
        <v>74</v>
      </c>
      <c r="AI342" s="2" t="s">
        <v>74</v>
      </c>
      <c r="AJ342" s="2" t="s">
        <v>74</v>
      </c>
      <c r="AK342" s="2" t="s">
        <v>74</v>
      </c>
      <c r="AL342" s="2" t="s">
        <v>74</v>
      </c>
      <c r="AM342" s="2" t="s">
        <v>74</v>
      </c>
      <c r="AN342" s="2" t="s">
        <v>74</v>
      </c>
      <c r="AO342" s="2" t="s">
        <v>74</v>
      </c>
      <c r="AP342" s="2" t="s">
        <v>74</v>
      </c>
      <c r="AQ342" s="2" t="s">
        <v>74</v>
      </c>
      <c r="AR342" s="2" t="s">
        <v>74</v>
      </c>
      <c r="AS342" s="2" t="s">
        <v>74</v>
      </c>
      <c r="AT342" s="2" t="s">
        <v>74</v>
      </c>
      <c r="AU342" s="2">
        <v>1982</v>
      </c>
      <c r="AV342" s="2">
        <v>36</v>
      </c>
      <c r="AW342" s="2">
        <v>1</v>
      </c>
      <c r="AX342" s="2" t="s">
        <v>74</v>
      </c>
      <c r="AY342" s="2" t="s">
        <v>74</v>
      </c>
      <c r="AZ342" s="2" t="s">
        <v>74</v>
      </c>
      <c r="BA342" s="2" t="s">
        <v>74</v>
      </c>
      <c r="BB342" s="2">
        <v>37</v>
      </c>
      <c r="BC342" s="2">
        <v>78</v>
      </c>
      <c r="BD342" s="2" t="s">
        <v>74</v>
      </c>
      <c r="BE342" s="2" t="s">
        <v>74</v>
      </c>
      <c r="BF342" s="2" t="s">
        <v>74</v>
      </c>
      <c r="BG342" s="2" t="s">
        <v>74</v>
      </c>
      <c r="BH342" s="2" t="s">
        <v>74</v>
      </c>
      <c r="BI342" s="2" t="s">
        <v>74</v>
      </c>
      <c r="BJ342" s="2" t="s">
        <v>74</v>
      </c>
      <c r="BK342" s="2" t="s">
        <v>74</v>
      </c>
      <c r="BL342" s="2" t="s">
        <v>74</v>
      </c>
      <c r="BM342" s="2" t="s">
        <v>74</v>
      </c>
      <c r="BN342" s="2" t="s">
        <v>74</v>
      </c>
      <c r="BO342" s="2" t="s">
        <v>74</v>
      </c>
      <c r="BP342" s="2" t="s">
        <v>74</v>
      </c>
      <c r="BQ342" s="2" t="s">
        <v>74</v>
      </c>
      <c r="BR342" s="2" t="s">
        <v>74</v>
      </c>
      <c r="BS342" s="2" t="s">
        <v>7488</v>
      </c>
      <c r="BT342" s="2" t="str">
        <f>HYPERLINK("https%3A%2F%2Fwww.webofscience.com%2Fwos%2Fwoscc%2Ffull-record%2FWOS:A1982MW10500003","View Full Record in Web of Science")</f>
        <v>View Full Record in Web of Science</v>
      </c>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row>
    <row r="343" spans="1:314" s="2" customFormat="1" x14ac:dyDescent="0.4">
      <c r="A343" s="2" t="s">
        <v>72</v>
      </c>
      <c r="B343" s="2" t="s">
        <v>1491</v>
      </c>
      <c r="C343" s="2" t="s">
        <v>74</v>
      </c>
      <c r="D343" s="2" t="s">
        <v>74</v>
      </c>
      <c r="E343" s="2" t="s">
        <v>74</v>
      </c>
      <c r="F343" s="2" t="s">
        <v>1492</v>
      </c>
      <c r="G343" s="2" t="s">
        <v>74</v>
      </c>
      <c r="H343" s="2" t="s">
        <v>74</v>
      </c>
      <c r="I343" s="2" t="s">
        <v>1493</v>
      </c>
      <c r="J343" s="2" t="s">
        <v>1494</v>
      </c>
      <c r="K343" s="2" t="s">
        <v>74</v>
      </c>
      <c r="L343" s="2" t="s">
        <v>74</v>
      </c>
      <c r="M343" s="2" t="s">
        <v>74</v>
      </c>
      <c r="N343" s="2" t="s">
        <v>74</v>
      </c>
      <c r="O343" s="2" t="s">
        <v>74</v>
      </c>
      <c r="P343" s="2" t="s">
        <v>74</v>
      </c>
      <c r="Q343" s="2" t="s">
        <v>74</v>
      </c>
      <c r="R343" s="2" t="s">
        <v>74</v>
      </c>
      <c r="S343" s="2" t="s">
        <v>74</v>
      </c>
      <c r="T343" s="2" t="s">
        <v>74</v>
      </c>
      <c r="U343" s="2" t="s">
        <v>74</v>
      </c>
      <c r="V343" s="5" t="s">
        <v>1495</v>
      </c>
      <c r="W343" s="2" t="s">
        <v>74</v>
      </c>
      <c r="X343" s="2" t="s">
        <v>74</v>
      </c>
      <c r="Y343" s="2" t="s">
        <v>74</v>
      </c>
      <c r="Z343" s="2" t="s">
        <v>74</v>
      </c>
      <c r="AA343" s="2" t="s">
        <v>1496</v>
      </c>
      <c r="AB343" s="2" t="s">
        <v>1497</v>
      </c>
      <c r="AC343" s="2" t="s">
        <v>74</v>
      </c>
      <c r="AD343" s="2" t="s">
        <v>74</v>
      </c>
      <c r="AE343" s="2" t="s">
        <v>74</v>
      </c>
      <c r="AF343" s="2" t="s">
        <v>74</v>
      </c>
      <c r="AG343" s="2" t="s">
        <v>74</v>
      </c>
      <c r="AH343" s="2" t="s">
        <v>74</v>
      </c>
      <c r="AI343" s="2" t="s">
        <v>74</v>
      </c>
      <c r="AJ343" s="2" t="s">
        <v>74</v>
      </c>
      <c r="AK343" s="2" t="s">
        <v>74</v>
      </c>
      <c r="AL343" s="2" t="s">
        <v>74</v>
      </c>
      <c r="AM343" s="2" t="s">
        <v>74</v>
      </c>
      <c r="AN343" s="2" t="s">
        <v>74</v>
      </c>
      <c r="AO343" s="2" t="s">
        <v>1498</v>
      </c>
      <c r="AP343" s="2" t="s">
        <v>74</v>
      </c>
      <c r="AQ343" s="2" t="s">
        <v>74</v>
      </c>
      <c r="AR343" s="2" t="s">
        <v>74</v>
      </c>
      <c r="AS343" s="2" t="s">
        <v>74</v>
      </c>
      <c r="AT343" s="2" t="s">
        <v>74</v>
      </c>
      <c r="AU343" s="2">
        <v>2019</v>
      </c>
      <c r="AV343" s="2">
        <v>32</v>
      </c>
      <c r="AW343" s="2" t="s">
        <v>74</v>
      </c>
      <c r="AX343" s="2" t="s">
        <v>74</v>
      </c>
      <c r="AY343" s="2" t="s">
        <v>74</v>
      </c>
      <c r="AZ343" s="2" t="s">
        <v>74</v>
      </c>
      <c r="BA343" s="2" t="s">
        <v>74</v>
      </c>
      <c r="BB343" s="2">
        <v>95</v>
      </c>
      <c r="BC343" s="2">
        <v>99</v>
      </c>
      <c r="BD343" s="2" t="s">
        <v>74</v>
      </c>
      <c r="BE343" s="2" t="s">
        <v>1499</v>
      </c>
      <c r="BF343" s="2" t="str">
        <f>HYPERLINK("http://dx.doi.org/10.3897/herpetozoa.32.e36023","http://dx.doi.org/10.3897/herpetozoa.32.e36023")</f>
        <v>http://dx.doi.org/10.3897/herpetozoa.32.e36023</v>
      </c>
      <c r="BG343" s="2" t="s">
        <v>74</v>
      </c>
      <c r="BH343" s="2" t="s">
        <v>74</v>
      </c>
      <c r="BI343" s="2" t="s">
        <v>74</v>
      </c>
      <c r="BJ343" s="2" t="s">
        <v>74</v>
      </c>
      <c r="BK343" s="2" t="s">
        <v>74</v>
      </c>
      <c r="BL343" s="2" t="s">
        <v>74</v>
      </c>
      <c r="BM343" s="2" t="s">
        <v>74</v>
      </c>
      <c r="BN343" s="2" t="s">
        <v>74</v>
      </c>
      <c r="BO343" s="2" t="s">
        <v>74</v>
      </c>
      <c r="BP343" s="2" t="s">
        <v>74</v>
      </c>
      <c r="BQ343" s="2" t="s">
        <v>74</v>
      </c>
      <c r="BR343" s="2" t="s">
        <v>74</v>
      </c>
      <c r="BS343" s="2" t="s">
        <v>1500</v>
      </c>
      <c r="BT343" s="2" t="str">
        <f>HYPERLINK("https%3A%2F%2Fwww.webofscience.com%2Fwos%2Fwoscc%2Ffull-record%2FWOS:000471808100016","View Full Record in Web of Science")</f>
        <v>View Full Record in Web of Science</v>
      </c>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row>
    <row r="344" spans="1:314" s="2" customFormat="1" x14ac:dyDescent="0.4">
      <c r="A344" s="2" t="s">
        <v>72</v>
      </c>
      <c r="B344" s="2" t="s">
        <v>2205</v>
      </c>
      <c r="C344" s="2" t="s">
        <v>74</v>
      </c>
      <c r="D344" s="2" t="s">
        <v>74</v>
      </c>
      <c r="E344" s="2" t="s">
        <v>74</v>
      </c>
      <c r="F344" s="2" t="s">
        <v>2205</v>
      </c>
      <c r="G344" s="2" t="s">
        <v>74</v>
      </c>
      <c r="H344" s="2" t="s">
        <v>74</v>
      </c>
      <c r="I344" s="2" t="s">
        <v>2206</v>
      </c>
      <c r="J344" s="2" t="s">
        <v>2207</v>
      </c>
      <c r="K344" s="2" t="s">
        <v>74</v>
      </c>
      <c r="L344" s="2" t="s">
        <v>74</v>
      </c>
      <c r="M344" s="2" t="s">
        <v>74</v>
      </c>
      <c r="N344" s="2" t="s">
        <v>74</v>
      </c>
      <c r="O344" s="2" t="s">
        <v>74</v>
      </c>
      <c r="P344" s="2" t="s">
        <v>74</v>
      </c>
      <c r="Q344" s="2" t="s">
        <v>74</v>
      </c>
      <c r="R344" s="2" t="s">
        <v>74</v>
      </c>
      <c r="S344" s="2" t="s">
        <v>74</v>
      </c>
      <c r="T344" s="2" t="s">
        <v>74</v>
      </c>
      <c r="U344" s="2" t="s">
        <v>74</v>
      </c>
      <c r="V344" s="5" t="s">
        <v>2208</v>
      </c>
      <c r="W344" s="2" t="s">
        <v>74</v>
      </c>
      <c r="X344" s="2" t="s">
        <v>74</v>
      </c>
      <c r="Y344" s="2" t="s">
        <v>74</v>
      </c>
      <c r="Z344" s="2" t="s">
        <v>74</v>
      </c>
      <c r="AA344" s="2" t="s">
        <v>2209</v>
      </c>
      <c r="AB344" s="2" t="s">
        <v>2210</v>
      </c>
      <c r="AC344" s="2" t="s">
        <v>74</v>
      </c>
      <c r="AD344" s="2" t="s">
        <v>74</v>
      </c>
      <c r="AE344" s="2" t="s">
        <v>74</v>
      </c>
      <c r="AF344" s="2" t="s">
        <v>74</v>
      </c>
      <c r="AG344" s="2" t="s">
        <v>74</v>
      </c>
      <c r="AH344" s="2" t="s">
        <v>74</v>
      </c>
      <c r="AI344" s="2" t="s">
        <v>74</v>
      </c>
      <c r="AJ344" s="2" t="s">
        <v>74</v>
      </c>
      <c r="AK344" s="2" t="s">
        <v>74</v>
      </c>
      <c r="AL344" s="2" t="s">
        <v>74</v>
      </c>
      <c r="AM344" s="2" t="s">
        <v>74</v>
      </c>
      <c r="AN344" s="2" t="s">
        <v>74</v>
      </c>
      <c r="AO344" s="2" t="s">
        <v>2211</v>
      </c>
      <c r="AP344" s="2" t="s">
        <v>74</v>
      </c>
      <c r="AQ344" s="2" t="s">
        <v>74</v>
      </c>
      <c r="AR344" s="2" t="s">
        <v>74</v>
      </c>
      <c r="AS344" s="2" t="s">
        <v>74</v>
      </c>
      <c r="AT344" s="2" t="s">
        <v>204</v>
      </c>
      <c r="AU344" s="2">
        <v>2006</v>
      </c>
      <c r="AV344" s="2">
        <v>37</v>
      </c>
      <c r="AW344" s="2">
        <v>4</v>
      </c>
      <c r="AX344" s="2" t="s">
        <v>74</v>
      </c>
      <c r="AY344" s="2" t="s">
        <v>74</v>
      </c>
      <c r="AZ344" s="2" t="s">
        <v>74</v>
      </c>
      <c r="BA344" s="2" t="s">
        <v>74</v>
      </c>
      <c r="BB344" s="2">
        <v>339</v>
      </c>
      <c r="BC344" s="2">
        <v>348</v>
      </c>
      <c r="BD344" s="2" t="s">
        <v>74</v>
      </c>
      <c r="BE344" s="2" t="s">
        <v>2212</v>
      </c>
      <c r="BF344" s="2" t="str">
        <f>HYPERLINK("http://dx.doi.org/10.1111/j.2006.0908-8857.03655.x","http://dx.doi.org/10.1111/j.2006.0908-8857.03655.x")</f>
        <v>http://dx.doi.org/10.1111/j.2006.0908-8857.03655.x</v>
      </c>
      <c r="BG344" s="2" t="s">
        <v>74</v>
      </c>
      <c r="BH344" s="2" t="s">
        <v>74</v>
      </c>
      <c r="BI344" s="2" t="s">
        <v>74</v>
      </c>
      <c r="BJ344" s="2" t="s">
        <v>74</v>
      </c>
      <c r="BK344" s="2" t="s">
        <v>74</v>
      </c>
      <c r="BL344" s="2" t="s">
        <v>74</v>
      </c>
      <c r="BM344" s="2" t="s">
        <v>74</v>
      </c>
      <c r="BN344" s="2" t="s">
        <v>74</v>
      </c>
      <c r="BO344" s="2" t="s">
        <v>74</v>
      </c>
      <c r="BP344" s="2" t="s">
        <v>74</v>
      </c>
      <c r="BQ344" s="2" t="s">
        <v>74</v>
      </c>
      <c r="BR344" s="2" t="s">
        <v>74</v>
      </c>
      <c r="BS344" s="2" t="s">
        <v>2213</v>
      </c>
      <c r="BT344" s="2" t="str">
        <f>HYPERLINK("https%3A%2F%2Fwww.webofscience.com%2Fwos%2Fwoscc%2Ffull-record%2FWOS:000238486700008","View Full Record in Web of Science")</f>
        <v>View Full Record in Web of Science</v>
      </c>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row>
    <row r="345" spans="1:314" s="2" customFormat="1" x14ac:dyDescent="0.4">
      <c r="A345" s="2" t="s">
        <v>72</v>
      </c>
      <c r="B345" s="2" t="s">
        <v>7287</v>
      </c>
      <c r="C345" s="2" t="s">
        <v>74</v>
      </c>
      <c r="D345" s="2" t="s">
        <v>74</v>
      </c>
      <c r="E345" s="2" t="s">
        <v>74</v>
      </c>
      <c r="F345" s="2" t="s">
        <v>7287</v>
      </c>
      <c r="G345" s="2" t="s">
        <v>74</v>
      </c>
      <c r="H345" s="2" t="s">
        <v>74</v>
      </c>
      <c r="I345" s="2" t="s">
        <v>7288</v>
      </c>
      <c r="J345" s="2" t="s">
        <v>367</v>
      </c>
      <c r="K345" s="2" t="s">
        <v>74</v>
      </c>
      <c r="L345" s="2" t="s">
        <v>74</v>
      </c>
      <c r="M345" s="2" t="s">
        <v>74</v>
      </c>
      <c r="N345" s="2" t="s">
        <v>74</v>
      </c>
      <c r="O345" s="2" t="s">
        <v>74</v>
      </c>
      <c r="P345" s="2" t="s">
        <v>74</v>
      </c>
      <c r="Q345" s="2" t="s">
        <v>74</v>
      </c>
      <c r="R345" s="2" t="s">
        <v>74</v>
      </c>
      <c r="S345" s="2" t="s">
        <v>74</v>
      </c>
      <c r="T345" s="2" t="s">
        <v>74</v>
      </c>
      <c r="U345" s="2" t="s">
        <v>74</v>
      </c>
      <c r="V345" s="5" t="s">
        <v>7289</v>
      </c>
      <c r="W345" s="2" t="s">
        <v>74</v>
      </c>
      <c r="X345" s="2" t="s">
        <v>74</v>
      </c>
      <c r="Y345" s="2" t="s">
        <v>74</v>
      </c>
      <c r="Z345" s="2" t="s">
        <v>74</v>
      </c>
      <c r="AA345" s="2" t="s">
        <v>74</v>
      </c>
      <c r="AB345" s="2" t="s">
        <v>74</v>
      </c>
      <c r="AC345" s="2" t="s">
        <v>74</v>
      </c>
      <c r="AD345" s="2" t="s">
        <v>74</v>
      </c>
      <c r="AE345" s="2" t="s">
        <v>74</v>
      </c>
      <c r="AF345" s="2" t="s">
        <v>74</v>
      </c>
      <c r="AG345" s="2" t="s">
        <v>74</v>
      </c>
      <c r="AH345" s="2" t="s">
        <v>74</v>
      </c>
      <c r="AI345" s="2" t="s">
        <v>74</v>
      </c>
      <c r="AJ345" s="2" t="s">
        <v>74</v>
      </c>
      <c r="AK345" s="2" t="s">
        <v>74</v>
      </c>
      <c r="AL345" s="2" t="s">
        <v>74</v>
      </c>
      <c r="AM345" s="2" t="s">
        <v>74</v>
      </c>
      <c r="AN345" s="2" t="s">
        <v>74</v>
      </c>
      <c r="AO345" s="2" t="s">
        <v>371</v>
      </c>
      <c r="AP345" s="2" t="s">
        <v>372</v>
      </c>
      <c r="AQ345" s="2" t="s">
        <v>74</v>
      </c>
      <c r="AR345" s="2" t="s">
        <v>74</v>
      </c>
      <c r="AS345" s="2" t="s">
        <v>74</v>
      </c>
      <c r="AT345" s="2" t="s">
        <v>102</v>
      </c>
      <c r="AU345" s="2">
        <v>1992</v>
      </c>
      <c r="AV345" s="2">
        <v>106</v>
      </c>
      <c r="AW345" s="2">
        <v>2</v>
      </c>
      <c r="AX345" s="2" t="s">
        <v>74</v>
      </c>
      <c r="AY345" s="2" t="s">
        <v>74</v>
      </c>
      <c r="AZ345" s="2" t="s">
        <v>74</v>
      </c>
      <c r="BA345" s="2" t="s">
        <v>74</v>
      </c>
      <c r="BB345" s="2">
        <v>150</v>
      </c>
      <c r="BC345" s="2">
        <v>162</v>
      </c>
      <c r="BD345" s="2" t="s">
        <v>74</v>
      </c>
      <c r="BE345" s="2" t="s">
        <v>74</v>
      </c>
      <c r="BF345" s="2" t="s">
        <v>74</v>
      </c>
      <c r="BG345" s="2" t="s">
        <v>74</v>
      </c>
      <c r="BH345" s="2" t="s">
        <v>74</v>
      </c>
      <c r="BI345" s="2" t="s">
        <v>74</v>
      </c>
      <c r="BJ345" s="2" t="s">
        <v>74</v>
      </c>
      <c r="BK345" s="2" t="s">
        <v>74</v>
      </c>
      <c r="BL345" s="2" t="s">
        <v>74</v>
      </c>
      <c r="BM345" s="2" t="s">
        <v>74</v>
      </c>
      <c r="BN345" s="2" t="s">
        <v>74</v>
      </c>
      <c r="BO345" s="2" t="s">
        <v>74</v>
      </c>
      <c r="BP345" s="2" t="s">
        <v>74</v>
      </c>
      <c r="BQ345" s="2" t="s">
        <v>74</v>
      </c>
      <c r="BR345" s="2" t="s">
        <v>74</v>
      </c>
      <c r="BS345" s="2" t="s">
        <v>7290</v>
      </c>
      <c r="BT345" s="2" t="str">
        <f>HYPERLINK("https%3A%2F%2Fwww.webofscience.com%2Fwos%2Fwoscc%2Ffull-record%2FWOS:A1992HW96900007","View Full Record in Web of Science")</f>
        <v>View Full Record in Web of Science</v>
      </c>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row>
    <row r="346" spans="1:314" s="2" customFormat="1" x14ac:dyDescent="0.4">
      <c r="A346" s="2" t="s">
        <v>72</v>
      </c>
      <c r="B346" s="2" t="s">
        <v>4178</v>
      </c>
      <c r="C346" s="2" t="s">
        <v>74</v>
      </c>
      <c r="D346" s="2" t="s">
        <v>74</v>
      </c>
      <c r="E346" s="2" t="s">
        <v>74</v>
      </c>
      <c r="F346" s="2" t="s">
        <v>4178</v>
      </c>
      <c r="G346" s="2" t="s">
        <v>74</v>
      </c>
      <c r="H346" s="2" t="s">
        <v>74</v>
      </c>
      <c r="I346" s="2" t="s">
        <v>4179</v>
      </c>
      <c r="J346" s="2" t="s">
        <v>1126</v>
      </c>
      <c r="K346" s="2" t="s">
        <v>74</v>
      </c>
      <c r="L346" s="2" t="s">
        <v>74</v>
      </c>
      <c r="M346" s="2" t="s">
        <v>74</v>
      </c>
      <c r="N346" s="2" t="s">
        <v>74</v>
      </c>
      <c r="O346" s="2" t="s">
        <v>74</v>
      </c>
      <c r="P346" s="2" t="s">
        <v>74</v>
      </c>
      <c r="Q346" s="2" t="s">
        <v>74</v>
      </c>
      <c r="R346" s="2" t="s">
        <v>74</v>
      </c>
      <c r="S346" s="2" t="s">
        <v>74</v>
      </c>
      <c r="T346" s="2" t="s">
        <v>74</v>
      </c>
      <c r="U346" s="2" t="s">
        <v>74</v>
      </c>
      <c r="V346" s="5" t="s">
        <v>4180</v>
      </c>
      <c r="W346" s="2" t="s">
        <v>74</v>
      </c>
      <c r="X346" s="2" t="s">
        <v>74</v>
      </c>
      <c r="Y346" s="2" t="s">
        <v>74</v>
      </c>
      <c r="Z346" s="2" t="s">
        <v>74</v>
      </c>
      <c r="AA346" s="2" t="s">
        <v>4181</v>
      </c>
      <c r="AB346" s="2" t="s">
        <v>74</v>
      </c>
      <c r="AC346" s="2" t="s">
        <v>74</v>
      </c>
      <c r="AD346" s="2" t="s">
        <v>74</v>
      </c>
      <c r="AE346" s="2" t="s">
        <v>74</v>
      </c>
      <c r="AF346" s="2" t="s">
        <v>74</v>
      </c>
      <c r="AG346" s="2" t="s">
        <v>74</v>
      </c>
      <c r="AH346" s="2" t="s">
        <v>74</v>
      </c>
      <c r="AI346" s="2" t="s">
        <v>74</v>
      </c>
      <c r="AJ346" s="2" t="s">
        <v>74</v>
      </c>
      <c r="AK346" s="2" t="s">
        <v>74</v>
      </c>
      <c r="AL346" s="2" t="s">
        <v>74</v>
      </c>
      <c r="AM346" s="2" t="s">
        <v>74</v>
      </c>
      <c r="AN346" s="2" t="s">
        <v>74</v>
      </c>
      <c r="AO346" s="2" t="s">
        <v>1128</v>
      </c>
      <c r="AP346" s="2" t="s">
        <v>1129</v>
      </c>
      <c r="AQ346" s="2" t="s">
        <v>74</v>
      </c>
      <c r="AR346" s="2" t="s">
        <v>74</v>
      </c>
      <c r="AS346" s="2" t="s">
        <v>74</v>
      </c>
      <c r="AT346" s="2" t="s">
        <v>2028</v>
      </c>
      <c r="AU346" s="2">
        <v>1985</v>
      </c>
      <c r="AV346" s="2" t="s">
        <v>74</v>
      </c>
      <c r="AW346" s="2">
        <v>4</v>
      </c>
      <c r="AX346" s="2" t="s">
        <v>74</v>
      </c>
      <c r="AY346" s="2" t="s">
        <v>74</v>
      </c>
      <c r="AZ346" s="2" t="s">
        <v>74</v>
      </c>
      <c r="BA346" s="2" t="s">
        <v>74</v>
      </c>
      <c r="BB346" s="2">
        <v>966</v>
      </c>
      <c r="BC346" s="2">
        <v>975</v>
      </c>
      <c r="BD346" s="2" t="s">
        <v>74</v>
      </c>
      <c r="BE346" s="2" t="s">
        <v>74</v>
      </c>
      <c r="BF346" s="2" t="s">
        <v>74</v>
      </c>
      <c r="BG346" s="2" t="s">
        <v>74</v>
      </c>
      <c r="BH346" s="2" t="s">
        <v>74</v>
      </c>
      <c r="BI346" s="2" t="s">
        <v>74</v>
      </c>
      <c r="BJ346" s="2" t="s">
        <v>74</v>
      </c>
      <c r="BK346" s="2" t="s">
        <v>74</v>
      </c>
      <c r="BL346" s="2" t="s">
        <v>74</v>
      </c>
      <c r="BM346" s="2" t="s">
        <v>74</v>
      </c>
      <c r="BN346" s="2" t="s">
        <v>74</v>
      </c>
      <c r="BO346" s="2" t="s">
        <v>74</v>
      </c>
      <c r="BP346" s="2" t="s">
        <v>74</v>
      </c>
      <c r="BQ346" s="2" t="s">
        <v>74</v>
      </c>
      <c r="BR346" s="2" t="s">
        <v>74</v>
      </c>
      <c r="BS346" s="2" t="s">
        <v>4182</v>
      </c>
      <c r="BT346" s="2" t="str">
        <f>HYPERLINK("https%3A%2F%2Fwww.webofscience.com%2Fwos%2Fwoscc%2Ffull-record%2FWOS:A1985AXC0800019","View Full Record in Web of Science")</f>
        <v>View Full Record in Web of Science</v>
      </c>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row>
    <row r="347" spans="1:314" s="2" customFormat="1" x14ac:dyDescent="0.4">
      <c r="A347" s="2" t="s">
        <v>72</v>
      </c>
      <c r="B347" s="2" t="s">
        <v>920</v>
      </c>
      <c r="C347" s="2" t="s">
        <v>74</v>
      </c>
      <c r="D347" s="2" t="s">
        <v>74</v>
      </c>
      <c r="E347" s="2" t="s">
        <v>74</v>
      </c>
      <c r="F347" s="2" t="s">
        <v>921</v>
      </c>
      <c r="G347" s="2" t="s">
        <v>74</v>
      </c>
      <c r="H347" s="2" t="s">
        <v>74</v>
      </c>
      <c r="I347" s="2" t="s">
        <v>922</v>
      </c>
      <c r="J347" s="2" t="s">
        <v>108</v>
      </c>
      <c r="K347" s="2" t="s">
        <v>74</v>
      </c>
      <c r="L347" s="2" t="s">
        <v>74</v>
      </c>
      <c r="M347" s="2" t="s">
        <v>74</v>
      </c>
      <c r="N347" s="2" t="s">
        <v>74</v>
      </c>
      <c r="O347" s="2" t="s">
        <v>74</v>
      </c>
      <c r="P347" s="2" t="s">
        <v>74</v>
      </c>
      <c r="Q347" s="2" t="s">
        <v>74</v>
      </c>
      <c r="R347" s="2" t="s">
        <v>74</v>
      </c>
      <c r="S347" s="2" t="s">
        <v>74</v>
      </c>
      <c r="T347" s="2" t="s">
        <v>74</v>
      </c>
      <c r="U347" s="2" t="s">
        <v>74</v>
      </c>
      <c r="V347" s="5" t="s">
        <v>923</v>
      </c>
      <c r="W347" s="2" t="s">
        <v>74</v>
      </c>
      <c r="X347" s="2" t="s">
        <v>74</v>
      </c>
      <c r="Y347" s="2" t="s">
        <v>74</v>
      </c>
      <c r="Z347" s="2" t="s">
        <v>74</v>
      </c>
      <c r="AA347" s="2" t="s">
        <v>74</v>
      </c>
      <c r="AB347" s="2" t="s">
        <v>74</v>
      </c>
      <c r="AC347" s="2" t="s">
        <v>74</v>
      </c>
      <c r="AD347" s="2" t="s">
        <v>74</v>
      </c>
      <c r="AE347" s="2" t="s">
        <v>74</v>
      </c>
      <c r="AF347" s="2" t="s">
        <v>74</v>
      </c>
      <c r="AG347" s="2" t="s">
        <v>74</v>
      </c>
      <c r="AH347" s="2" t="s">
        <v>74</v>
      </c>
      <c r="AI347" s="2" t="s">
        <v>74</v>
      </c>
      <c r="AJ347" s="2" t="s">
        <v>74</v>
      </c>
      <c r="AK347" s="2" t="s">
        <v>74</v>
      </c>
      <c r="AL347" s="2" t="s">
        <v>74</v>
      </c>
      <c r="AM347" s="2" t="s">
        <v>74</v>
      </c>
      <c r="AN347" s="2" t="s">
        <v>74</v>
      </c>
      <c r="AO347" s="2" t="s">
        <v>111</v>
      </c>
      <c r="AP347" s="2" t="s">
        <v>112</v>
      </c>
      <c r="AQ347" s="2" t="s">
        <v>74</v>
      </c>
      <c r="AR347" s="2" t="s">
        <v>74</v>
      </c>
      <c r="AS347" s="2" t="s">
        <v>74</v>
      </c>
      <c r="AT347" s="2" t="s">
        <v>924</v>
      </c>
      <c r="AU347" s="2">
        <v>2007</v>
      </c>
      <c r="AV347" s="2">
        <v>274</v>
      </c>
      <c r="AW347" s="2">
        <v>1627</v>
      </c>
      <c r="AX347" s="2" t="s">
        <v>74</v>
      </c>
      <c r="AY347" s="2" t="s">
        <v>74</v>
      </c>
      <c r="AZ347" s="2" t="s">
        <v>74</v>
      </c>
      <c r="BA347" s="2" t="s">
        <v>74</v>
      </c>
      <c r="BB347" s="2">
        <v>2785</v>
      </c>
      <c r="BC347" s="2">
        <v>2790</v>
      </c>
      <c r="BD347" s="2" t="s">
        <v>74</v>
      </c>
      <c r="BE347" s="2" t="s">
        <v>925</v>
      </c>
      <c r="BF347" s="2" t="str">
        <f>HYPERLINK("http://dx.doi.org/10.1098/rspb.2007.1059","http://dx.doi.org/10.1098/rspb.2007.1059")</f>
        <v>http://dx.doi.org/10.1098/rspb.2007.1059</v>
      </c>
      <c r="BG347" s="2" t="s">
        <v>74</v>
      </c>
      <c r="BH347" s="2" t="s">
        <v>74</v>
      </c>
      <c r="BI347" s="2" t="s">
        <v>74</v>
      </c>
      <c r="BJ347" s="2" t="s">
        <v>74</v>
      </c>
      <c r="BK347" s="2" t="s">
        <v>74</v>
      </c>
      <c r="BL347" s="2" t="s">
        <v>74</v>
      </c>
      <c r="BM347" s="2" t="s">
        <v>74</v>
      </c>
      <c r="BN347" s="2">
        <v>17848366</v>
      </c>
      <c r="BO347" s="2" t="s">
        <v>74</v>
      </c>
      <c r="BP347" s="2" t="s">
        <v>74</v>
      </c>
      <c r="BQ347" s="2" t="s">
        <v>74</v>
      </c>
      <c r="BR347" s="2" t="s">
        <v>74</v>
      </c>
      <c r="BS347" s="2" t="s">
        <v>926</v>
      </c>
      <c r="BT347" s="2" t="str">
        <f>HYPERLINK("https%3A%2F%2Fwww.webofscience.com%2Fwos%2Fwoscc%2Ffull-record%2FWOS:000250555000002","View Full Record in Web of Science")</f>
        <v>View Full Record in Web of Science</v>
      </c>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row>
    <row r="348" spans="1:314" s="2" customFormat="1" x14ac:dyDescent="0.4">
      <c r="A348" s="2" t="s">
        <v>72</v>
      </c>
      <c r="B348" s="2" t="s">
        <v>7098</v>
      </c>
      <c r="C348" s="2" t="s">
        <v>74</v>
      </c>
      <c r="D348" s="2" t="s">
        <v>74</v>
      </c>
      <c r="E348" s="2" t="s">
        <v>74</v>
      </c>
      <c r="F348" s="2" t="s">
        <v>7098</v>
      </c>
      <c r="G348" s="2" t="s">
        <v>74</v>
      </c>
      <c r="H348" s="2" t="s">
        <v>74</v>
      </c>
      <c r="I348" s="2" t="s">
        <v>7099</v>
      </c>
      <c r="J348" s="2" t="s">
        <v>4064</v>
      </c>
      <c r="K348" s="2" t="s">
        <v>74</v>
      </c>
      <c r="L348" s="2" t="s">
        <v>74</v>
      </c>
      <c r="M348" s="2" t="s">
        <v>74</v>
      </c>
      <c r="N348" s="2" t="s">
        <v>74</v>
      </c>
      <c r="O348" s="2" t="s">
        <v>74</v>
      </c>
      <c r="P348" s="2" t="s">
        <v>74</v>
      </c>
      <c r="Q348" s="2" t="s">
        <v>74</v>
      </c>
      <c r="R348" s="2" t="s">
        <v>74</v>
      </c>
      <c r="S348" s="2" t="s">
        <v>74</v>
      </c>
      <c r="T348" s="2" t="s">
        <v>74</v>
      </c>
      <c r="U348" s="2" t="s">
        <v>74</v>
      </c>
      <c r="V348" s="5" t="s">
        <v>7100</v>
      </c>
      <c r="W348" s="2" t="s">
        <v>74</v>
      </c>
      <c r="X348" s="2" t="s">
        <v>74</v>
      </c>
      <c r="Y348" s="2" t="s">
        <v>74</v>
      </c>
      <c r="Z348" s="2" t="s">
        <v>74</v>
      </c>
      <c r="AA348" s="2" t="s">
        <v>74</v>
      </c>
      <c r="AB348" s="2" t="s">
        <v>74</v>
      </c>
      <c r="AC348" s="2" t="s">
        <v>74</v>
      </c>
      <c r="AD348" s="2" t="s">
        <v>74</v>
      </c>
      <c r="AE348" s="2" t="s">
        <v>74</v>
      </c>
      <c r="AF348" s="2" t="s">
        <v>74</v>
      </c>
      <c r="AG348" s="2" t="s">
        <v>74</v>
      </c>
      <c r="AH348" s="2" t="s">
        <v>74</v>
      </c>
      <c r="AI348" s="2" t="s">
        <v>74</v>
      </c>
      <c r="AJ348" s="2" t="s">
        <v>74</v>
      </c>
      <c r="AK348" s="2" t="s">
        <v>74</v>
      </c>
      <c r="AL348" s="2" t="s">
        <v>74</v>
      </c>
      <c r="AM348" s="2" t="s">
        <v>74</v>
      </c>
      <c r="AN348" s="2" t="s">
        <v>74</v>
      </c>
      <c r="AO348" s="2" t="s">
        <v>4068</v>
      </c>
      <c r="AP348" s="2" t="s">
        <v>4069</v>
      </c>
      <c r="AQ348" s="2" t="s">
        <v>74</v>
      </c>
      <c r="AR348" s="2" t="s">
        <v>74</v>
      </c>
      <c r="AS348" s="2" t="s">
        <v>74</v>
      </c>
      <c r="AT348" s="2" t="s">
        <v>7101</v>
      </c>
      <c r="AU348" s="2">
        <v>2005</v>
      </c>
      <c r="AV348" s="2">
        <v>15</v>
      </c>
      <c r="AW348" s="2">
        <v>23</v>
      </c>
      <c r="AX348" s="2" t="s">
        <v>74</v>
      </c>
      <c r="AY348" s="2" t="s">
        <v>74</v>
      </c>
      <c r="AZ348" s="2" t="s">
        <v>74</v>
      </c>
      <c r="BA348" s="2" t="s">
        <v>74</v>
      </c>
      <c r="BB348" s="2">
        <v>2170</v>
      </c>
      <c r="BC348" s="2">
        <v>2174</v>
      </c>
      <c r="BD348" s="2" t="s">
        <v>74</v>
      </c>
      <c r="BE348" s="2" t="s">
        <v>7102</v>
      </c>
      <c r="BF348" s="2" t="str">
        <f>HYPERLINK("http://dx.doi.org/10.1016/j.cub.2005.10.067","http://dx.doi.org/10.1016/j.cub.2005.10.067")</f>
        <v>http://dx.doi.org/10.1016/j.cub.2005.10.067</v>
      </c>
      <c r="BG348" s="2" t="s">
        <v>74</v>
      </c>
      <c r="BH348" s="2" t="s">
        <v>74</v>
      </c>
      <c r="BI348" s="2" t="s">
        <v>74</v>
      </c>
      <c r="BJ348" s="2" t="s">
        <v>74</v>
      </c>
      <c r="BK348" s="2" t="s">
        <v>74</v>
      </c>
      <c r="BL348" s="2" t="s">
        <v>74</v>
      </c>
      <c r="BM348" s="2" t="s">
        <v>74</v>
      </c>
      <c r="BN348" s="2">
        <v>16332544</v>
      </c>
      <c r="BO348" s="2" t="s">
        <v>74</v>
      </c>
      <c r="BP348" s="2" t="s">
        <v>74</v>
      </c>
      <c r="BQ348" s="2" t="s">
        <v>74</v>
      </c>
      <c r="BR348" s="2" t="s">
        <v>74</v>
      </c>
      <c r="BS348" s="2" t="s">
        <v>7103</v>
      </c>
      <c r="BT348" s="2" t="str">
        <f>HYPERLINK("https%3A%2F%2Fwww.webofscience.com%2Fwos%2Fwoscc%2Ffull-record%2FWOS:000234013400033","View Full Record in Web of Science")</f>
        <v>View Full Record in Web of Science</v>
      </c>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row>
    <row r="349" spans="1:314" s="2" customFormat="1" x14ac:dyDescent="0.4">
      <c r="A349" s="2" t="s">
        <v>72</v>
      </c>
      <c r="B349" s="2" t="s">
        <v>7460</v>
      </c>
      <c r="C349" s="2" t="s">
        <v>74</v>
      </c>
      <c r="D349" s="2" t="s">
        <v>74</v>
      </c>
      <c r="E349" s="2" t="s">
        <v>74</v>
      </c>
      <c r="F349" s="2" t="s">
        <v>7461</v>
      </c>
      <c r="G349" s="2" t="s">
        <v>74</v>
      </c>
      <c r="H349" s="2" t="s">
        <v>74</v>
      </c>
      <c r="I349" s="2" t="s">
        <v>7462</v>
      </c>
      <c r="J349" s="2" t="s">
        <v>1026</v>
      </c>
      <c r="K349" s="2" t="s">
        <v>74</v>
      </c>
      <c r="L349" s="2" t="s">
        <v>74</v>
      </c>
      <c r="M349" s="2" t="s">
        <v>74</v>
      </c>
      <c r="N349" s="2" t="s">
        <v>74</v>
      </c>
      <c r="O349" s="2" t="s">
        <v>7463</v>
      </c>
      <c r="P349" s="2" t="s">
        <v>7464</v>
      </c>
      <c r="Q349" s="2" t="s">
        <v>7465</v>
      </c>
      <c r="R349" s="2" t="s">
        <v>7466</v>
      </c>
      <c r="S349" s="2" t="s">
        <v>74</v>
      </c>
      <c r="T349" s="2" t="s">
        <v>74</v>
      </c>
      <c r="U349" s="2" t="s">
        <v>74</v>
      </c>
      <c r="V349" s="5" t="s">
        <v>7467</v>
      </c>
      <c r="W349" s="2" t="s">
        <v>74</v>
      </c>
      <c r="X349" s="2" t="s">
        <v>74</v>
      </c>
      <c r="Y349" s="2" t="s">
        <v>74</v>
      </c>
      <c r="Z349" s="2" t="s">
        <v>74</v>
      </c>
      <c r="AA349" s="2" t="s">
        <v>74</v>
      </c>
      <c r="AB349" s="2" t="s">
        <v>74</v>
      </c>
      <c r="AC349" s="2" t="s">
        <v>74</v>
      </c>
      <c r="AD349" s="2" t="s">
        <v>74</v>
      </c>
      <c r="AE349" s="2" t="s">
        <v>74</v>
      </c>
      <c r="AF349" s="2" t="s">
        <v>74</v>
      </c>
      <c r="AG349" s="2" t="s">
        <v>74</v>
      </c>
      <c r="AH349" s="2" t="s">
        <v>74</v>
      </c>
      <c r="AI349" s="2" t="s">
        <v>74</v>
      </c>
      <c r="AJ349" s="2" t="s">
        <v>74</v>
      </c>
      <c r="AK349" s="2" t="s">
        <v>74</v>
      </c>
      <c r="AL349" s="2" t="s">
        <v>74</v>
      </c>
      <c r="AM349" s="2" t="s">
        <v>74</v>
      </c>
      <c r="AN349" s="2" t="s">
        <v>74</v>
      </c>
      <c r="AO349" s="2" t="s">
        <v>1030</v>
      </c>
      <c r="AP349" s="2" t="s">
        <v>1031</v>
      </c>
      <c r="AQ349" s="2" t="s">
        <v>74</v>
      </c>
      <c r="AR349" s="2" t="s">
        <v>74</v>
      </c>
      <c r="AS349" s="2" t="s">
        <v>74</v>
      </c>
      <c r="AT349" s="2" t="s">
        <v>964</v>
      </c>
      <c r="AU349" s="2">
        <v>2019</v>
      </c>
      <c r="AV349" s="2">
        <v>40</v>
      </c>
      <c r="AW349" s="2">
        <v>1</v>
      </c>
      <c r="AX349" s="2" t="s">
        <v>74</v>
      </c>
      <c r="AY349" s="2" t="s">
        <v>74</v>
      </c>
      <c r="AZ349" s="2" t="s">
        <v>848</v>
      </c>
      <c r="BA349" s="2" t="s">
        <v>74</v>
      </c>
      <c r="BB349" s="2">
        <v>28</v>
      </c>
      <c r="BC349" s="2">
        <v>52</v>
      </c>
      <c r="BD349" s="2" t="s">
        <v>74</v>
      </c>
      <c r="BE349" s="2" t="s">
        <v>7468</v>
      </c>
      <c r="BF349" s="2" t="str">
        <f>HYPERLINK("http://dx.doi.org/10.1007/s10764-018-0029-7","http://dx.doi.org/10.1007/s10764-018-0029-7")</f>
        <v>http://dx.doi.org/10.1007/s10764-018-0029-7</v>
      </c>
      <c r="BG349" s="2" t="s">
        <v>74</v>
      </c>
      <c r="BH349" s="2" t="s">
        <v>74</v>
      </c>
      <c r="BI349" s="2" t="s">
        <v>74</v>
      </c>
      <c r="BJ349" s="2" t="s">
        <v>74</v>
      </c>
      <c r="BK349" s="2" t="s">
        <v>74</v>
      </c>
      <c r="BL349" s="2" t="s">
        <v>74</v>
      </c>
      <c r="BM349" s="2" t="s">
        <v>74</v>
      </c>
      <c r="BN349" s="2" t="s">
        <v>74</v>
      </c>
      <c r="BO349" s="2" t="s">
        <v>74</v>
      </c>
      <c r="BP349" s="2" t="s">
        <v>74</v>
      </c>
      <c r="BQ349" s="2" t="s">
        <v>74</v>
      </c>
      <c r="BR349" s="2" t="s">
        <v>74</v>
      </c>
      <c r="BS349" s="2" t="s">
        <v>7469</v>
      </c>
      <c r="BT349" s="2" t="str">
        <f>HYPERLINK("https%3A%2F%2Fwww.webofscience.com%2Fwos%2Fwoscc%2Ffull-record%2FWOS:000460006300003","View Full Record in Web of Science")</f>
        <v>View Full Record in Web of Science</v>
      </c>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row>
    <row r="350" spans="1:314" s="2" customFormat="1" x14ac:dyDescent="0.4">
      <c r="A350" s="2" t="s">
        <v>72</v>
      </c>
      <c r="B350" s="2" t="s">
        <v>2321</v>
      </c>
      <c r="C350" s="2" t="s">
        <v>74</v>
      </c>
      <c r="D350" s="2" t="s">
        <v>74</v>
      </c>
      <c r="E350" s="2" t="s">
        <v>74</v>
      </c>
      <c r="F350" s="2" t="s">
        <v>2322</v>
      </c>
      <c r="G350" s="2" t="s">
        <v>74</v>
      </c>
      <c r="H350" s="2" t="s">
        <v>74</v>
      </c>
      <c r="I350" s="2" t="s">
        <v>2323</v>
      </c>
      <c r="J350" s="2" t="s">
        <v>431</v>
      </c>
      <c r="K350" s="2" t="s">
        <v>74</v>
      </c>
      <c r="L350" s="2" t="s">
        <v>74</v>
      </c>
      <c r="M350" s="2" t="s">
        <v>74</v>
      </c>
      <c r="N350" s="2" t="s">
        <v>74</v>
      </c>
      <c r="O350" s="2" t="s">
        <v>74</v>
      </c>
      <c r="P350" s="2" t="s">
        <v>74</v>
      </c>
      <c r="Q350" s="2" t="s">
        <v>74</v>
      </c>
      <c r="R350" s="2" t="s">
        <v>74</v>
      </c>
      <c r="S350" s="2" t="s">
        <v>74</v>
      </c>
      <c r="T350" s="2" t="s">
        <v>74</v>
      </c>
      <c r="U350" s="2" t="s">
        <v>74</v>
      </c>
      <c r="V350" s="5" t="s">
        <v>2324</v>
      </c>
      <c r="W350" s="2" t="s">
        <v>74</v>
      </c>
      <c r="X350" s="2" t="s">
        <v>74</v>
      </c>
      <c r="Y350" s="2" t="s">
        <v>74</v>
      </c>
      <c r="Z350" s="2" t="s">
        <v>74</v>
      </c>
      <c r="AA350" s="2" t="s">
        <v>74</v>
      </c>
      <c r="AB350" s="2" t="s">
        <v>2325</v>
      </c>
      <c r="AC350" s="2" t="s">
        <v>74</v>
      </c>
      <c r="AD350" s="2" t="s">
        <v>74</v>
      </c>
      <c r="AE350" s="2" t="s">
        <v>74</v>
      </c>
      <c r="AF350" s="2" t="s">
        <v>74</v>
      </c>
      <c r="AG350" s="2" t="s">
        <v>74</v>
      </c>
      <c r="AH350" s="2" t="s">
        <v>74</v>
      </c>
      <c r="AI350" s="2" t="s">
        <v>74</v>
      </c>
      <c r="AJ350" s="2" t="s">
        <v>74</v>
      </c>
      <c r="AK350" s="2" t="s">
        <v>74</v>
      </c>
      <c r="AL350" s="2" t="s">
        <v>74</v>
      </c>
      <c r="AM350" s="2" t="s">
        <v>74</v>
      </c>
      <c r="AN350" s="2" t="s">
        <v>74</v>
      </c>
      <c r="AO350" s="2" t="s">
        <v>74</v>
      </c>
      <c r="AP350" s="2" t="s">
        <v>435</v>
      </c>
      <c r="AQ350" s="2" t="s">
        <v>74</v>
      </c>
      <c r="AR350" s="2" t="s">
        <v>74</v>
      </c>
      <c r="AS350" s="2" t="s">
        <v>74</v>
      </c>
      <c r="AT350" s="2" t="s">
        <v>633</v>
      </c>
      <c r="AU350" s="2">
        <v>2017</v>
      </c>
      <c r="AV350" s="2">
        <v>134</v>
      </c>
      <c r="AW350" s="2">
        <v>2</v>
      </c>
      <c r="AX350" s="2" t="s">
        <v>74</v>
      </c>
      <c r="AY350" s="2" t="s">
        <v>74</v>
      </c>
      <c r="AZ350" s="2" t="s">
        <v>74</v>
      </c>
      <c r="BA350" s="2" t="s">
        <v>74</v>
      </c>
      <c r="BB350" s="2">
        <v>317</v>
      </c>
      <c r="BC350" s="2">
        <v>329</v>
      </c>
      <c r="BD350" s="2" t="s">
        <v>74</v>
      </c>
      <c r="BE350" s="2" t="s">
        <v>2326</v>
      </c>
      <c r="BF350" s="2" t="str">
        <f>HYPERLINK("http://dx.doi.org/10.1642/AUK-16-119.1","http://dx.doi.org/10.1642/AUK-16-119.1")</f>
        <v>http://dx.doi.org/10.1642/AUK-16-119.1</v>
      </c>
      <c r="BG350" s="2" t="s">
        <v>74</v>
      </c>
      <c r="BH350" s="2" t="s">
        <v>74</v>
      </c>
      <c r="BI350" s="2" t="s">
        <v>74</v>
      </c>
      <c r="BJ350" s="2" t="s">
        <v>74</v>
      </c>
      <c r="BK350" s="2" t="s">
        <v>74</v>
      </c>
      <c r="BL350" s="2" t="s">
        <v>74</v>
      </c>
      <c r="BM350" s="2" t="s">
        <v>74</v>
      </c>
      <c r="BN350" s="2" t="s">
        <v>74</v>
      </c>
      <c r="BO350" s="2" t="s">
        <v>74</v>
      </c>
      <c r="BP350" s="2" t="s">
        <v>74</v>
      </c>
      <c r="BQ350" s="2" t="s">
        <v>74</v>
      </c>
      <c r="BR350" s="2" t="s">
        <v>74</v>
      </c>
      <c r="BS350" s="2" t="s">
        <v>2327</v>
      </c>
      <c r="BT350" s="2" t="str">
        <f>HYPERLINK("https%3A%2F%2Fwww.webofscience.com%2Fwos%2Fwoscc%2Ffull-record%2FWOS:000398573200004","View Full Record in Web of Science")</f>
        <v>View Full Record in Web of Science</v>
      </c>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row>
    <row r="351" spans="1:314" s="2" customFormat="1" x14ac:dyDescent="0.4">
      <c r="A351" s="2" t="s">
        <v>72</v>
      </c>
      <c r="B351" s="2" t="s">
        <v>3496</v>
      </c>
      <c r="C351" s="2" t="s">
        <v>74</v>
      </c>
      <c r="D351" s="2" t="s">
        <v>74</v>
      </c>
      <c r="E351" s="2" t="s">
        <v>74</v>
      </c>
      <c r="F351" s="2" t="s">
        <v>3496</v>
      </c>
      <c r="G351" s="2" t="s">
        <v>74</v>
      </c>
      <c r="H351" s="2" t="s">
        <v>74</v>
      </c>
      <c r="I351" s="2" t="s">
        <v>3497</v>
      </c>
      <c r="J351" s="2" t="s">
        <v>3498</v>
      </c>
      <c r="K351" s="2" t="s">
        <v>74</v>
      </c>
      <c r="L351" s="2" t="s">
        <v>74</v>
      </c>
      <c r="M351" s="2" t="s">
        <v>74</v>
      </c>
      <c r="N351" s="2" t="s">
        <v>74</v>
      </c>
      <c r="O351" s="2" t="s">
        <v>74</v>
      </c>
      <c r="P351" s="2" t="s">
        <v>74</v>
      </c>
      <c r="Q351" s="2" t="s">
        <v>74</v>
      </c>
      <c r="R351" s="2" t="s">
        <v>74</v>
      </c>
      <c r="S351" s="2" t="s">
        <v>74</v>
      </c>
      <c r="T351" s="2" t="s">
        <v>74</v>
      </c>
      <c r="U351" s="2" t="s">
        <v>74</v>
      </c>
      <c r="V351" s="5" t="s">
        <v>3499</v>
      </c>
      <c r="W351" s="2" t="s">
        <v>74</v>
      </c>
      <c r="X351" s="2" t="s">
        <v>74</v>
      </c>
      <c r="Y351" s="2" t="s">
        <v>74</v>
      </c>
      <c r="Z351" s="2" t="s">
        <v>74</v>
      </c>
      <c r="AA351" s="2" t="s">
        <v>74</v>
      </c>
      <c r="AB351" s="2" t="s">
        <v>3500</v>
      </c>
      <c r="AC351" s="2" t="s">
        <v>74</v>
      </c>
      <c r="AD351" s="2" t="s">
        <v>74</v>
      </c>
      <c r="AE351" s="2" t="s">
        <v>74</v>
      </c>
      <c r="AF351" s="2" t="s">
        <v>74</v>
      </c>
      <c r="AG351" s="2" t="s">
        <v>74</v>
      </c>
      <c r="AH351" s="2" t="s">
        <v>74</v>
      </c>
      <c r="AI351" s="2" t="s">
        <v>74</v>
      </c>
      <c r="AJ351" s="2" t="s">
        <v>74</v>
      </c>
      <c r="AK351" s="2" t="s">
        <v>74</v>
      </c>
      <c r="AL351" s="2" t="s">
        <v>74</v>
      </c>
      <c r="AM351" s="2" t="s">
        <v>74</v>
      </c>
      <c r="AN351" s="2" t="s">
        <v>74</v>
      </c>
      <c r="AO351" s="2" t="s">
        <v>3501</v>
      </c>
      <c r="AP351" s="2" t="s">
        <v>3502</v>
      </c>
      <c r="AQ351" s="2" t="s">
        <v>74</v>
      </c>
      <c r="AR351" s="2" t="s">
        <v>74</v>
      </c>
      <c r="AS351" s="2" t="s">
        <v>74</v>
      </c>
      <c r="AT351" s="2" t="s">
        <v>633</v>
      </c>
      <c r="AU351" s="2">
        <v>1997</v>
      </c>
      <c r="AV351" s="2">
        <v>26</v>
      </c>
      <c r="AW351" s="2">
        <v>2</v>
      </c>
      <c r="AX351" s="2" t="s">
        <v>74</v>
      </c>
      <c r="AY351" s="2" t="s">
        <v>74</v>
      </c>
      <c r="AZ351" s="2" t="s">
        <v>74</v>
      </c>
      <c r="BA351" s="2" t="s">
        <v>74</v>
      </c>
      <c r="BB351" s="2">
        <v>318</v>
      </c>
      <c r="BC351" s="2">
        <v>326</v>
      </c>
      <c r="BD351" s="2" t="s">
        <v>74</v>
      </c>
      <c r="BE351" s="2" t="s">
        <v>3503</v>
      </c>
      <c r="BF351" s="2" t="str">
        <f>HYPERLINK("http://dx.doi.org/10.1093/ee/26.2.318","http://dx.doi.org/10.1093/ee/26.2.318")</f>
        <v>http://dx.doi.org/10.1093/ee/26.2.318</v>
      </c>
      <c r="BG351" s="2" t="s">
        <v>74</v>
      </c>
      <c r="BH351" s="2" t="s">
        <v>74</v>
      </c>
      <c r="BI351" s="2" t="s">
        <v>74</v>
      </c>
      <c r="BJ351" s="2" t="s">
        <v>74</v>
      </c>
      <c r="BK351" s="2" t="s">
        <v>74</v>
      </c>
      <c r="BL351" s="2" t="s">
        <v>74</v>
      </c>
      <c r="BM351" s="2" t="s">
        <v>74</v>
      </c>
      <c r="BN351" s="2" t="s">
        <v>74</v>
      </c>
      <c r="BO351" s="2" t="s">
        <v>74</v>
      </c>
      <c r="BP351" s="2" t="s">
        <v>74</v>
      </c>
      <c r="BQ351" s="2" t="s">
        <v>74</v>
      </c>
      <c r="BR351" s="2" t="s">
        <v>74</v>
      </c>
      <c r="BS351" s="2" t="s">
        <v>3504</v>
      </c>
      <c r="BT351" s="2" t="str">
        <f>HYPERLINK("https%3A%2F%2Fwww.webofscience.com%2Fwos%2Fwoscc%2Ffull-record%2FWOS:A1997WZ11800024","View Full Record in Web of Science")</f>
        <v>View Full Record in Web of Science</v>
      </c>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row>
    <row r="352" spans="1:314" s="2" customFormat="1" x14ac:dyDescent="0.4">
      <c r="A352" s="2" t="s">
        <v>72</v>
      </c>
      <c r="B352" s="2" t="s">
        <v>6849</v>
      </c>
      <c r="C352" s="2" t="s">
        <v>74</v>
      </c>
      <c r="D352" s="2" t="s">
        <v>74</v>
      </c>
      <c r="E352" s="2" t="s">
        <v>74</v>
      </c>
      <c r="F352" s="2" t="s">
        <v>6850</v>
      </c>
      <c r="G352" s="2" t="s">
        <v>74</v>
      </c>
      <c r="H352" s="2" t="s">
        <v>74</v>
      </c>
      <c r="I352" s="2" t="s">
        <v>6851</v>
      </c>
      <c r="J352" s="2" t="s">
        <v>2901</v>
      </c>
      <c r="K352" s="2" t="s">
        <v>74</v>
      </c>
      <c r="L352" s="2" t="s">
        <v>74</v>
      </c>
      <c r="M352" s="2" t="s">
        <v>74</v>
      </c>
      <c r="N352" s="2" t="s">
        <v>74</v>
      </c>
      <c r="O352" s="2" t="s">
        <v>74</v>
      </c>
      <c r="P352" s="2" t="s">
        <v>74</v>
      </c>
      <c r="Q352" s="2" t="s">
        <v>74</v>
      </c>
      <c r="R352" s="2" t="s">
        <v>74</v>
      </c>
      <c r="S352" s="2" t="s">
        <v>74</v>
      </c>
      <c r="T352" s="2" t="s">
        <v>74</v>
      </c>
      <c r="U352" s="2" t="s">
        <v>74</v>
      </c>
      <c r="V352" s="5" t="s">
        <v>6852</v>
      </c>
      <c r="W352" s="2" t="s">
        <v>74</v>
      </c>
      <c r="X352" s="2" t="s">
        <v>74</v>
      </c>
      <c r="Y352" s="2" t="s">
        <v>74</v>
      </c>
      <c r="Z352" s="2" t="s">
        <v>74</v>
      </c>
      <c r="AA352" s="2" t="s">
        <v>6853</v>
      </c>
      <c r="AB352" s="2" t="s">
        <v>6854</v>
      </c>
      <c r="AC352" s="2" t="s">
        <v>74</v>
      </c>
      <c r="AD352" s="2" t="s">
        <v>74</v>
      </c>
      <c r="AE352" s="2" t="s">
        <v>74</v>
      </c>
      <c r="AF352" s="2" t="s">
        <v>74</v>
      </c>
      <c r="AG352" s="2" t="s">
        <v>74</v>
      </c>
      <c r="AH352" s="2" t="s">
        <v>74</v>
      </c>
      <c r="AI352" s="2" t="s">
        <v>74</v>
      </c>
      <c r="AJ352" s="2" t="s">
        <v>74</v>
      </c>
      <c r="AK352" s="2" t="s">
        <v>74</v>
      </c>
      <c r="AL352" s="2" t="s">
        <v>74</v>
      </c>
      <c r="AM352" s="2" t="s">
        <v>74</v>
      </c>
      <c r="AN352" s="2" t="s">
        <v>74</v>
      </c>
      <c r="AO352" s="2" t="s">
        <v>2903</v>
      </c>
      <c r="AP352" s="2" t="s">
        <v>2904</v>
      </c>
      <c r="AQ352" s="2" t="s">
        <v>74</v>
      </c>
      <c r="AR352" s="2" t="s">
        <v>74</v>
      </c>
      <c r="AS352" s="2" t="s">
        <v>74</v>
      </c>
      <c r="AT352" s="2" t="s">
        <v>74</v>
      </c>
      <c r="AU352" s="2">
        <v>2016</v>
      </c>
      <c r="AV352" s="2">
        <v>28</v>
      </c>
      <c r="AW352" s="2">
        <v>4</v>
      </c>
      <c r="AX352" s="2" t="s">
        <v>74</v>
      </c>
      <c r="AY352" s="2" t="s">
        <v>74</v>
      </c>
      <c r="AZ352" s="2" t="s">
        <v>74</v>
      </c>
      <c r="BA352" s="2" t="s">
        <v>74</v>
      </c>
      <c r="BB352" s="2">
        <v>462</v>
      </c>
      <c r="BC352" s="2">
        <v>476</v>
      </c>
      <c r="BD352" s="2" t="s">
        <v>74</v>
      </c>
      <c r="BE352" s="2" t="s">
        <v>6855</v>
      </c>
      <c r="BF352" s="2" t="str">
        <f>HYPERLINK("http://dx.doi.org/10.1080/03949370.2015.1077892","http://dx.doi.org/10.1080/03949370.2015.1077892")</f>
        <v>http://dx.doi.org/10.1080/03949370.2015.1077892</v>
      </c>
      <c r="BG352" s="2" t="s">
        <v>74</v>
      </c>
      <c r="BH352" s="2" t="s">
        <v>74</v>
      </c>
      <c r="BI352" s="2" t="s">
        <v>74</v>
      </c>
      <c r="BJ352" s="2" t="s">
        <v>74</v>
      </c>
      <c r="BK352" s="2" t="s">
        <v>74</v>
      </c>
      <c r="BL352" s="2" t="s">
        <v>74</v>
      </c>
      <c r="BM352" s="2" t="s">
        <v>74</v>
      </c>
      <c r="BN352" s="2" t="s">
        <v>74</v>
      </c>
      <c r="BO352" s="2" t="s">
        <v>74</v>
      </c>
      <c r="BP352" s="2" t="s">
        <v>74</v>
      </c>
      <c r="BQ352" s="2" t="s">
        <v>74</v>
      </c>
      <c r="BR352" s="2" t="s">
        <v>74</v>
      </c>
      <c r="BS352" s="2" t="s">
        <v>6856</v>
      </c>
      <c r="BT352" s="2" t="str">
        <f>HYPERLINK("https%3A%2F%2Fwww.webofscience.com%2Fwos%2Fwoscc%2Ffull-record%2FWOS:000384547700009","View Full Record in Web of Science")</f>
        <v>View Full Record in Web of Science</v>
      </c>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row>
    <row r="353" spans="1:314" s="1" customFormat="1" x14ac:dyDescent="0.4">
      <c r="A353" s="2" t="s">
        <v>72</v>
      </c>
      <c r="B353" s="2" t="s">
        <v>8135</v>
      </c>
      <c r="C353" s="2" t="s">
        <v>74</v>
      </c>
      <c r="D353" s="2" t="s">
        <v>74</v>
      </c>
      <c r="E353" s="2" t="s">
        <v>74</v>
      </c>
      <c r="F353" s="2" t="s">
        <v>8135</v>
      </c>
      <c r="G353" s="2" t="s">
        <v>74</v>
      </c>
      <c r="H353" s="2" t="s">
        <v>74</v>
      </c>
      <c r="I353" s="2" t="s">
        <v>8136</v>
      </c>
      <c r="J353" s="2" t="s">
        <v>1237</v>
      </c>
      <c r="K353" s="2" t="s">
        <v>74</v>
      </c>
      <c r="L353" s="2" t="s">
        <v>74</v>
      </c>
      <c r="M353" s="2" t="s">
        <v>74</v>
      </c>
      <c r="N353" s="2" t="s">
        <v>74</v>
      </c>
      <c r="O353" s="2" t="s">
        <v>74</v>
      </c>
      <c r="P353" s="2" t="s">
        <v>74</v>
      </c>
      <c r="Q353" s="2" t="s">
        <v>74</v>
      </c>
      <c r="R353" s="2" t="s">
        <v>74</v>
      </c>
      <c r="S353" s="2" t="s">
        <v>74</v>
      </c>
      <c r="T353" s="2" t="s">
        <v>74</v>
      </c>
      <c r="U353" s="2" t="s">
        <v>74</v>
      </c>
      <c r="V353" s="5" t="s">
        <v>8137</v>
      </c>
      <c r="W353" s="2" t="s">
        <v>74</v>
      </c>
      <c r="X353" s="2" t="s">
        <v>74</v>
      </c>
      <c r="Y353" s="2" t="s">
        <v>74</v>
      </c>
      <c r="Z353" s="2" t="s">
        <v>74</v>
      </c>
      <c r="AA353" s="2" t="s">
        <v>8138</v>
      </c>
      <c r="AB353" s="2" t="s">
        <v>8139</v>
      </c>
      <c r="AC353" s="2" t="s">
        <v>74</v>
      </c>
      <c r="AD353" s="2" t="s">
        <v>74</v>
      </c>
      <c r="AE353" s="2" t="s">
        <v>74</v>
      </c>
      <c r="AF353" s="2" t="s">
        <v>74</v>
      </c>
      <c r="AG353" s="2" t="s">
        <v>74</v>
      </c>
      <c r="AH353" s="2" t="s">
        <v>74</v>
      </c>
      <c r="AI353" s="2" t="s">
        <v>74</v>
      </c>
      <c r="AJ353" s="2" t="s">
        <v>74</v>
      </c>
      <c r="AK353" s="2" t="s">
        <v>74</v>
      </c>
      <c r="AL353" s="2" t="s">
        <v>74</v>
      </c>
      <c r="AM353" s="2" t="s">
        <v>74</v>
      </c>
      <c r="AN353" s="2" t="s">
        <v>74</v>
      </c>
      <c r="AO353" s="2" t="s">
        <v>1239</v>
      </c>
      <c r="AP353" s="2" t="s">
        <v>74</v>
      </c>
      <c r="AQ353" s="2" t="s">
        <v>74</v>
      </c>
      <c r="AR353" s="2" t="s">
        <v>74</v>
      </c>
      <c r="AS353" s="2" t="s">
        <v>74</v>
      </c>
      <c r="AT353" s="2" t="s">
        <v>102</v>
      </c>
      <c r="AU353" s="2">
        <v>1993</v>
      </c>
      <c r="AV353" s="2">
        <v>71</v>
      </c>
      <c r="AW353" s="2">
        <v>6</v>
      </c>
      <c r="AX353" s="2" t="s">
        <v>74</v>
      </c>
      <c r="AY353" s="2" t="s">
        <v>74</v>
      </c>
      <c r="AZ353" s="2" t="s">
        <v>74</v>
      </c>
      <c r="BA353" s="2" t="s">
        <v>74</v>
      </c>
      <c r="BB353" s="2">
        <v>1104</v>
      </c>
      <c r="BC353" s="2">
        <v>1110</v>
      </c>
      <c r="BD353" s="2" t="s">
        <v>74</v>
      </c>
      <c r="BE353" s="2" t="s">
        <v>8140</v>
      </c>
      <c r="BF353" s="2" t="str">
        <f>HYPERLINK("http://dx.doi.org/10.1139/z93-150","http://dx.doi.org/10.1139/z93-150")</f>
        <v>http://dx.doi.org/10.1139/z93-150</v>
      </c>
      <c r="BG353" s="2" t="s">
        <v>74</v>
      </c>
      <c r="BH353" s="2" t="s">
        <v>74</v>
      </c>
      <c r="BI353" s="2" t="s">
        <v>74</v>
      </c>
      <c r="BJ353" s="2" t="s">
        <v>74</v>
      </c>
      <c r="BK353" s="2" t="s">
        <v>74</v>
      </c>
      <c r="BL353" s="2" t="s">
        <v>74</v>
      </c>
      <c r="BM353" s="2" t="s">
        <v>74</v>
      </c>
      <c r="BN353" s="2" t="s">
        <v>74</v>
      </c>
      <c r="BO353" s="2" t="s">
        <v>74</v>
      </c>
      <c r="BP353" s="2" t="s">
        <v>74</v>
      </c>
      <c r="BQ353" s="2" t="s">
        <v>74</v>
      </c>
      <c r="BR353" s="2" t="s">
        <v>74</v>
      </c>
      <c r="BS353" s="2" t="s">
        <v>8141</v>
      </c>
      <c r="BT353" s="2" t="str">
        <f>HYPERLINK("https%3A%2F%2Fwww.webofscience.com%2Fwos%2Fwoscc%2Ffull-record%2FWOS:A1993LU73200006","View Full Record in Web of Science")</f>
        <v>View Full Record in Web of Science</v>
      </c>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row>
    <row r="354" spans="1:314" s="2" customFormat="1" x14ac:dyDescent="0.4">
      <c r="A354" s="2" t="s">
        <v>72</v>
      </c>
      <c r="B354" s="2" t="s">
        <v>480</v>
      </c>
      <c r="C354" s="2" t="s">
        <v>74</v>
      </c>
      <c r="D354" s="2" t="s">
        <v>74</v>
      </c>
      <c r="E354" s="2" t="s">
        <v>74</v>
      </c>
      <c r="F354" s="2" t="s">
        <v>481</v>
      </c>
      <c r="G354" s="2" t="s">
        <v>74</v>
      </c>
      <c r="H354" s="2" t="s">
        <v>74</v>
      </c>
      <c r="I354" s="2" t="s">
        <v>482</v>
      </c>
      <c r="J354" s="2" t="s">
        <v>218</v>
      </c>
      <c r="K354" s="2" t="s">
        <v>74</v>
      </c>
      <c r="L354" s="2" t="s">
        <v>74</v>
      </c>
      <c r="M354" s="2" t="s">
        <v>74</v>
      </c>
      <c r="N354" s="2" t="s">
        <v>74</v>
      </c>
      <c r="O354" s="2" t="s">
        <v>74</v>
      </c>
      <c r="P354" s="2" t="s">
        <v>74</v>
      </c>
      <c r="Q354" s="2" t="s">
        <v>74</v>
      </c>
      <c r="R354" s="2" t="s">
        <v>74</v>
      </c>
      <c r="S354" s="2" t="s">
        <v>74</v>
      </c>
      <c r="T354" s="2" t="s">
        <v>74</v>
      </c>
      <c r="U354" s="2" t="s">
        <v>74</v>
      </c>
      <c r="V354" s="5" t="s">
        <v>483</v>
      </c>
      <c r="W354" s="2" t="s">
        <v>74</v>
      </c>
      <c r="X354" s="2" t="s">
        <v>74</v>
      </c>
      <c r="Y354" s="2" t="s">
        <v>74</v>
      </c>
      <c r="Z354" s="2" t="s">
        <v>74</v>
      </c>
      <c r="AA354" s="2" t="s">
        <v>484</v>
      </c>
      <c r="AB354" s="2" t="s">
        <v>485</v>
      </c>
      <c r="AC354" s="2" t="s">
        <v>74</v>
      </c>
      <c r="AD354" s="2" t="s">
        <v>74</v>
      </c>
      <c r="AE354" s="2" t="s">
        <v>74</v>
      </c>
      <c r="AF354" s="2" t="s">
        <v>74</v>
      </c>
      <c r="AG354" s="2" t="s">
        <v>74</v>
      </c>
      <c r="AH354" s="2" t="s">
        <v>74</v>
      </c>
      <c r="AI354" s="2" t="s">
        <v>74</v>
      </c>
      <c r="AJ354" s="2" t="s">
        <v>74</v>
      </c>
      <c r="AK354" s="2" t="s">
        <v>74</v>
      </c>
      <c r="AL354" s="2" t="s">
        <v>74</v>
      </c>
      <c r="AM354" s="2" t="s">
        <v>74</v>
      </c>
      <c r="AN354" s="2" t="s">
        <v>74</v>
      </c>
      <c r="AO354" s="2" t="s">
        <v>221</v>
      </c>
      <c r="AP354" s="2" t="s">
        <v>222</v>
      </c>
      <c r="AQ354" s="2" t="s">
        <v>74</v>
      </c>
      <c r="AR354" s="2" t="s">
        <v>74</v>
      </c>
      <c r="AS354" s="2" t="s">
        <v>74</v>
      </c>
      <c r="AT354" s="2" t="s">
        <v>123</v>
      </c>
      <c r="AU354" s="2">
        <v>2007</v>
      </c>
      <c r="AV354" s="2">
        <v>20</v>
      </c>
      <c r="AW354" s="2">
        <v>2</v>
      </c>
      <c r="AX354" s="2" t="s">
        <v>74</v>
      </c>
      <c r="AY354" s="2" t="s">
        <v>74</v>
      </c>
      <c r="AZ354" s="2" t="s">
        <v>74</v>
      </c>
      <c r="BA354" s="2" t="s">
        <v>74</v>
      </c>
      <c r="BB354" s="2">
        <v>496</v>
      </c>
      <c r="BC354" s="2">
        <v>502</v>
      </c>
      <c r="BD354" s="2" t="s">
        <v>74</v>
      </c>
      <c r="BE354" s="2" t="s">
        <v>486</v>
      </c>
      <c r="BF354" s="2" t="str">
        <f>HYPERLINK("http://dx.doi.org/10.1111/j.1420-9101.2006.01266.x","http://dx.doi.org/10.1111/j.1420-9101.2006.01266.x")</f>
        <v>http://dx.doi.org/10.1111/j.1420-9101.2006.01266.x</v>
      </c>
      <c r="BG354" s="2" t="s">
        <v>74</v>
      </c>
      <c r="BH354" s="2" t="s">
        <v>74</v>
      </c>
      <c r="BI354" s="2" t="s">
        <v>74</v>
      </c>
      <c r="BJ354" s="2" t="s">
        <v>74</v>
      </c>
      <c r="BK354" s="2" t="s">
        <v>74</v>
      </c>
      <c r="BL354" s="2" t="s">
        <v>74</v>
      </c>
      <c r="BM354" s="2" t="s">
        <v>74</v>
      </c>
      <c r="BN354" s="2">
        <v>17305815</v>
      </c>
      <c r="BO354" s="2" t="s">
        <v>74</v>
      </c>
      <c r="BP354" s="2" t="s">
        <v>74</v>
      </c>
      <c r="BQ354" s="2" t="s">
        <v>74</v>
      </c>
      <c r="BR354" s="2" t="s">
        <v>74</v>
      </c>
      <c r="BS354" s="2" t="s">
        <v>487</v>
      </c>
      <c r="BT354" s="2" t="str">
        <f>HYPERLINK("https%3A%2F%2Fwww.webofscience.com%2Fwos%2Fwoscc%2Ffull-record%2FWOS:000244244300008","View Full Record in Web of Science")</f>
        <v>View Full Record in Web of Science</v>
      </c>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row>
    <row r="355" spans="1:314" s="2" customFormat="1" x14ac:dyDescent="0.4">
      <c r="A355" s="2" t="s">
        <v>72</v>
      </c>
      <c r="B355" s="2" t="s">
        <v>4678</v>
      </c>
      <c r="C355" s="2" t="s">
        <v>74</v>
      </c>
      <c r="D355" s="2" t="s">
        <v>74</v>
      </c>
      <c r="E355" s="2" t="s">
        <v>74</v>
      </c>
      <c r="F355" s="2" t="s">
        <v>4679</v>
      </c>
      <c r="G355" s="2" t="s">
        <v>74</v>
      </c>
      <c r="H355" s="2" t="s">
        <v>74</v>
      </c>
      <c r="I355" s="2" t="s">
        <v>4680</v>
      </c>
      <c r="J355" s="2" t="s">
        <v>218</v>
      </c>
      <c r="K355" s="2" t="s">
        <v>74</v>
      </c>
      <c r="L355" s="2" t="s">
        <v>74</v>
      </c>
      <c r="M355" s="2" t="s">
        <v>74</v>
      </c>
      <c r="N355" s="2" t="s">
        <v>74</v>
      </c>
      <c r="O355" s="2" t="s">
        <v>74</v>
      </c>
      <c r="P355" s="2" t="s">
        <v>74</v>
      </c>
      <c r="Q355" s="2" t="s">
        <v>74</v>
      </c>
      <c r="R355" s="2" t="s">
        <v>74</v>
      </c>
      <c r="S355" s="2" t="s">
        <v>74</v>
      </c>
      <c r="T355" s="2" t="s">
        <v>74</v>
      </c>
      <c r="U355" s="2" t="s">
        <v>74</v>
      </c>
      <c r="V355" s="5" t="s">
        <v>4681</v>
      </c>
      <c r="W355" s="2" t="s">
        <v>74</v>
      </c>
      <c r="X355" s="2" t="s">
        <v>74</v>
      </c>
      <c r="Y355" s="2" t="s">
        <v>74</v>
      </c>
      <c r="Z355" s="2" t="s">
        <v>74</v>
      </c>
      <c r="AA355" s="2" t="s">
        <v>4682</v>
      </c>
      <c r="AB355" s="2" t="s">
        <v>4683</v>
      </c>
      <c r="AC355" s="2" t="s">
        <v>74</v>
      </c>
      <c r="AD355" s="2" t="s">
        <v>74</v>
      </c>
      <c r="AE355" s="2" t="s">
        <v>74</v>
      </c>
      <c r="AF355" s="2" t="s">
        <v>74</v>
      </c>
      <c r="AG355" s="2" t="s">
        <v>74</v>
      </c>
      <c r="AH355" s="2" t="s">
        <v>74</v>
      </c>
      <c r="AI355" s="2" t="s">
        <v>74</v>
      </c>
      <c r="AJ355" s="2" t="s">
        <v>74</v>
      </c>
      <c r="AK355" s="2" t="s">
        <v>74</v>
      </c>
      <c r="AL355" s="2" t="s">
        <v>74</v>
      </c>
      <c r="AM355" s="2" t="s">
        <v>74</v>
      </c>
      <c r="AN355" s="2" t="s">
        <v>74</v>
      </c>
      <c r="AO355" s="2" t="s">
        <v>221</v>
      </c>
      <c r="AP355" s="2" t="s">
        <v>222</v>
      </c>
      <c r="AQ355" s="2" t="s">
        <v>74</v>
      </c>
      <c r="AR355" s="2" t="s">
        <v>74</v>
      </c>
      <c r="AS355" s="2" t="s">
        <v>74</v>
      </c>
      <c r="AT355" s="2" t="s">
        <v>305</v>
      </c>
      <c r="AU355" s="2">
        <v>2011</v>
      </c>
      <c r="AV355" s="2">
        <v>24</v>
      </c>
      <c r="AW355" s="2">
        <v>12</v>
      </c>
      <c r="AX355" s="2" t="s">
        <v>74</v>
      </c>
      <c r="AY355" s="2" t="s">
        <v>74</v>
      </c>
      <c r="AZ355" s="2" t="s">
        <v>74</v>
      </c>
      <c r="BA355" s="2" t="s">
        <v>74</v>
      </c>
      <c r="BB355" s="2">
        <v>2639</v>
      </c>
      <c r="BC355" s="2">
        <v>2652</v>
      </c>
      <c r="BD355" s="2" t="s">
        <v>74</v>
      </c>
      <c r="BE355" s="2" t="s">
        <v>4684</v>
      </c>
      <c r="BF355" s="2" t="str">
        <f>HYPERLINK("http://dx.doi.org/10.1111/j.1420-9101.2011.02389.x","http://dx.doi.org/10.1111/j.1420-9101.2011.02389.x")</f>
        <v>http://dx.doi.org/10.1111/j.1420-9101.2011.02389.x</v>
      </c>
      <c r="BG355" s="2" t="s">
        <v>74</v>
      </c>
      <c r="BH355" s="2" t="s">
        <v>74</v>
      </c>
      <c r="BI355" s="2" t="s">
        <v>74</v>
      </c>
      <c r="BJ355" s="2" t="s">
        <v>74</v>
      </c>
      <c r="BK355" s="2" t="s">
        <v>74</v>
      </c>
      <c r="BL355" s="2" t="s">
        <v>74</v>
      </c>
      <c r="BM355" s="2" t="s">
        <v>74</v>
      </c>
      <c r="BN355" s="2">
        <v>21955260</v>
      </c>
      <c r="BO355" s="2" t="s">
        <v>74</v>
      </c>
      <c r="BP355" s="2" t="s">
        <v>74</v>
      </c>
      <c r="BQ355" s="2" t="s">
        <v>74</v>
      </c>
      <c r="BR355" s="2" t="s">
        <v>74</v>
      </c>
      <c r="BS355" s="2" t="s">
        <v>4685</v>
      </c>
      <c r="BT355" s="2" t="str">
        <f>HYPERLINK("https%3A%2F%2Fwww.webofscience.com%2Fwos%2Fwoscc%2Ffull-record%2FWOS:000297639600010","View Full Record in Web of Science")</f>
        <v>View Full Record in Web of Science</v>
      </c>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row>
    <row r="356" spans="1:314" s="2" customFormat="1" x14ac:dyDescent="0.4">
      <c r="A356" s="2" t="s">
        <v>72</v>
      </c>
      <c r="B356" s="2" t="s">
        <v>1078</v>
      </c>
      <c r="C356" s="2" t="s">
        <v>74</v>
      </c>
      <c r="D356" s="2" t="s">
        <v>74</v>
      </c>
      <c r="E356" s="2" t="s">
        <v>74</v>
      </c>
      <c r="F356" s="2" t="s">
        <v>1078</v>
      </c>
      <c r="G356" s="2" t="s">
        <v>74</v>
      </c>
      <c r="H356" s="2" t="s">
        <v>74</v>
      </c>
      <c r="I356" s="2" t="s">
        <v>1079</v>
      </c>
      <c r="J356" s="2" t="s">
        <v>129</v>
      </c>
      <c r="K356" s="2" t="s">
        <v>74</v>
      </c>
      <c r="L356" s="2" t="s">
        <v>74</v>
      </c>
      <c r="M356" s="2" t="s">
        <v>74</v>
      </c>
      <c r="N356" s="2" t="s">
        <v>74</v>
      </c>
      <c r="O356" s="2" t="s">
        <v>74</v>
      </c>
      <c r="P356" s="2" t="s">
        <v>74</v>
      </c>
      <c r="Q356" s="2" t="s">
        <v>74</v>
      </c>
      <c r="R356" s="2" t="s">
        <v>74</v>
      </c>
      <c r="S356" s="2" t="s">
        <v>74</v>
      </c>
      <c r="T356" s="2" t="s">
        <v>74</v>
      </c>
      <c r="U356" s="2" t="s">
        <v>74</v>
      </c>
      <c r="V356" s="5" t="s">
        <v>1080</v>
      </c>
      <c r="W356" s="2" t="s">
        <v>74</v>
      </c>
      <c r="X356" s="2" t="s">
        <v>74</v>
      </c>
      <c r="Y356" s="2" t="s">
        <v>74</v>
      </c>
      <c r="Z356" s="2" t="s">
        <v>74</v>
      </c>
      <c r="AA356" s="2" t="s">
        <v>1081</v>
      </c>
      <c r="AB356" s="2" t="s">
        <v>1082</v>
      </c>
      <c r="AC356" s="2" t="s">
        <v>74</v>
      </c>
      <c r="AD356" s="2" t="s">
        <v>74</v>
      </c>
      <c r="AE356" s="2" t="s">
        <v>74</v>
      </c>
      <c r="AF356" s="2" t="s">
        <v>74</v>
      </c>
      <c r="AG356" s="2" t="s">
        <v>74</v>
      </c>
      <c r="AH356" s="2" t="s">
        <v>74</v>
      </c>
      <c r="AI356" s="2" t="s">
        <v>74</v>
      </c>
      <c r="AJ356" s="2" t="s">
        <v>74</v>
      </c>
      <c r="AK356" s="2" t="s">
        <v>74</v>
      </c>
      <c r="AL356" s="2" t="s">
        <v>74</v>
      </c>
      <c r="AM356" s="2" t="s">
        <v>74</v>
      </c>
      <c r="AN356" s="2" t="s">
        <v>74</v>
      </c>
      <c r="AO356" s="2" t="s">
        <v>132</v>
      </c>
      <c r="AP356" s="2" t="s">
        <v>133</v>
      </c>
      <c r="AQ356" s="2" t="s">
        <v>74</v>
      </c>
      <c r="AR356" s="2" t="s">
        <v>74</v>
      </c>
      <c r="AS356" s="2" t="s">
        <v>74</v>
      </c>
      <c r="AT356" s="2" t="s">
        <v>123</v>
      </c>
      <c r="AU356" s="2">
        <v>2006</v>
      </c>
      <c r="AV356" s="2">
        <v>59</v>
      </c>
      <c r="AW356" s="2">
        <v>5</v>
      </c>
      <c r="AX356" s="2" t="s">
        <v>74</v>
      </c>
      <c r="AY356" s="2" t="s">
        <v>74</v>
      </c>
      <c r="AZ356" s="2" t="s">
        <v>74</v>
      </c>
      <c r="BA356" s="2" t="s">
        <v>74</v>
      </c>
      <c r="BB356" s="2">
        <v>704</v>
      </c>
      <c r="BC356" s="2">
        <v>713</v>
      </c>
      <c r="BD356" s="2" t="s">
        <v>74</v>
      </c>
      <c r="BE356" s="2" t="s">
        <v>1083</v>
      </c>
      <c r="BF356" s="2" t="str">
        <f>HYPERLINK("http://dx.doi.org/10.1007/s00265-005-0100-1","http://dx.doi.org/10.1007/s00265-005-0100-1")</f>
        <v>http://dx.doi.org/10.1007/s00265-005-0100-1</v>
      </c>
      <c r="BG356" s="2" t="s">
        <v>74</v>
      </c>
      <c r="BH356" s="2" t="s">
        <v>74</v>
      </c>
      <c r="BI356" s="2" t="s">
        <v>74</v>
      </c>
      <c r="BJ356" s="2" t="s">
        <v>74</v>
      </c>
      <c r="BK356" s="2" t="s">
        <v>74</v>
      </c>
      <c r="BL356" s="2" t="s">
        <v>74</v>
      </c>
      <c r="BM356" s="2" t="s">
        <v>74</v>
      </c>
      <c r="BN356" s="2" t="s">
        <v>74</v>
      </c>
      <c r="BO356" s="2" t="s">
        <v>74</v>
      </c>
      <c r="BP356" s="2" t="s">
        <v>74</v>
      </c>
      <c r="BQ356" s="2" t="s">
        <v>74</v>
      </c>
      <c r="BR356" s="2" t="s">
        <v>74</v>
      </c>
      <c r="BS356" s="2" t="s">
        <v>1084</v>
      </c>
      <c r="BT356" s="2" t="str">
        <f>HYPERLINK("https%3A%2F%2Fwww.webofscience.com%2Fwos%2Fwoscc%2Ffull-record%2FWOS:000235219700015","View Full Record in Web of Science")</f>
        <v>View Full Record in Web of Science</v>
      </c>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row>
    <row r="357" spans="1:314" s="2" customFormat="1" x14ac:dyDescent="0.4">
      <c r="A357" s="2" t="s">
        <v>72</v>
      </c>
      <c r="B357" s="2" t="s">
        <v>1913</v>
      </c>
      <c r="C357" s="2" t="s">
        <v>74</v>
      </c>
      <c r="D357" s="2" t="s">
        <v>74</v>
      </c>
      <c r="E357" s="2" t="s">
        <v>74</v>
      </c>
      <c r="F357" s="2" t="s">
        <v>1914</v>
      </c>
      <c r="G357" s="2" t="s">
        <v>74</v>
      </c>
      <c r="H357" s="2" t="s">
        <v>74</v>
      </c>
      <c r="I357" s="2" t="s">
        <v>1915</v>
      </c>
      <c r="J357" s="2" t="s">
        <v>108</v>
      </c>
      <c r="K357" s="2" t="s">
        <v>74</v>
      </c>
      <c r="L357" s="2" t="s">
        <v>74</v>
      </c>
      <c r="M357" s="2" t="s">
        <v>74</v>
      </c>
      <c r="N357" s="2" t="s">
        <v>74</v>
      </c>
      <c r="O357" s="2" t="s">
        <v>74</v>
      </c>
      <c r="P357" s="2" t="s">
        <v>74</v>
      </c>
      <c r="Q357" s="2" t="s">
        <v>74</v>
      </c>
      <c r="R357" s="2" t="s">
        <v>74</v>
      </c>
      <c r="S357" s="2" t="s">
        <v>74</v>
      </c>
      <c r="T357" s="2" t="s">
        <v>74</v>
      </c>
      <c r="U357" s="2" t="s">
        <v>74</v>
      </c>
      <c r="V357" s="5" t="s">
        <v>1916</v>
      </c>
      <c r="W357" s="2" t="s">
        <v>74</v>
      </c>
      <c r="X357" s="2" t="s">
        <v>74</v>
      </c>
      <c r="Y357" s="2" t="s">
        <v>74</v>
      </c>
      <c r="Z357" s="2" t="s">
        <v>74</v>
      </c>
      <c r="AA357" s="2" t="s">
        <v>1917</v>
      </c>
      <c r="AB357" s="2" t="s">
        <v>1918</v>
      </c>
      <c r="AC357" s="2" t="s">
        <v>74</v>
      </c>
      <c r="AD357" s="2" t="s">
        <v>74</v>
      </c>
      <c r="AE357" s="2" t="s">
        <v>74</v>
      </c>
      <c r="AF357" s="2" t="s">
        <v>74</v>
      </c>
      <c r="AG357" s="2" t="s">
        <v>74</v>
      </c>
      <c r="AH357" s="2" t="s">
        <v>74</v>
      </c>
      <c r="AI357" s="2" t="s">
        <v>74</v>
      </c>
      <c r="AJ357" s="2" t="s">
        <v>74</v>
      </c>
      <c r="AK357" s="2" t="s">
        <v>74</v>
      </c>
      <c r="AL357" s="2" t="s">
        <v>74</v>
      </c>
      <c r="AM357" s="2" t="s">
        <v>74</v>
      </c>
      <c r="AN357" s="2" t="s">
        <v>74</v>
      </c>
      <c r="AO357" s="2" t="s">
        <v>111</v>
      </c>
      <c r="AP357" s="2" t="s">
        <v>112</v>
      </c>
      <c r="AQ357" s="2" t="s">
        <v>74</v>
      </c>
      <c r="AR357" s="2" t="s">
        <v>74</v>
      </c>
      <c r="AS357" s="2" t="s">
        <v>74</v>
      </c>
      <c r="AT357" s="2" t="s">
        <v>1919</v>
      </c>
      <c r="AU357" s="2">
        <v>2017</v>
      </c>
      <c r="AV357" s="2">
        <v>284</v>
      </c>
      <c r="AW357" s="2">
        <v>1851</v>
      </c>
      <c r="AX357" s="2" t="s">
        <v>74</v>
      </c>
      <c r="AY357" s="2" t="s">
        <v>74</v>
      </c>
      <c r="AZ357" s="2" t="s">
        <v>74</v>
      </c>
      <c r="BA357" s="2" t="s">
        <v>74</v>
      </c>
      <c r="BB357" s="2" t="s">
        <v>74</v>
      </c>
      <c r="BC357" s="2" t="s">
        <v>74</v>
      </c>
      <c r="BD357" s="2">
        <v>20162838</v>
      </c>
      <c r="BE357" s="2" t="s">
        <v>1920</v>
      </c>
      <c r="BF357" s="2" t="str">
        <f>HYPERLINK("http://dx.doi.org/10.1098/rspb.2016.2838","http://dx.doi.org/10.1098/rspb.2016.2838")</f>
        <v>http://dx.doi.org/10.1098/rspb.2016.2838</v>
      </c>
      <c r="BG357" s="2" t="s">
        <v>74</v>
      </c>
      <c r="BH357" s="2" t="s">
        <v>74</v>
      </c>
      <c r="BI357" s="2" t="s">
        <v>74</v>
      </c>
      <c r="BJ357" s="2" t="s">
        <v>74</v>
      </c>
      <c r="BK357" s="2" t="s">
        <v>74</v>
      </c>
      <c r="BL357" s="2" t="s">
        <v>74</v>
      </c>
      <c r="BM357" s="2" t="s">
        <v>74</v>
      </c>
      <c r="BN357" s="2">
        <v>28356453</v>
      </c>
      <c r="BO357" s="2" t="s">
        <v>74</v>
      </c>
      <c r="BP357" s="2" t="s">
        <v>74</v>
      </c>
      <c r="BQ357" s="2" t="s">
        <v>74</v>
      </c>
      <c r="BR357" s="2" t="s">
        <v>74</v>
      </c>
      <c r="BS357" s="2" t="s">
        <v>1921</v>
      </c>
      <c r="BT357" s="2" t="str">
        <f>HYPERLINK("https%3A%2F%2Fwww.webofscience.com%2Fwos%2Fwoscc%2Ffull-record%2FWOS:000397884000018","View Full Record in Web of Science")</f>
        <v>View Full Record in Web of Science</v>
      </c>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row>
    <row r="358" spans="1:314" s="2" customFormat="1" x14ac:dyDescent="0.4">
      <c r="A358" s="2" t="s">
        <v>72</v>
      </c>
      <c r="B358" s="2" t="s">
        <v>3398</v>
      </c>
      <c r="C358" s="2" t="s">
        <v>74</v>
      </c>
      <c r="D358" s="2" t="s">
        <v>74</v>
      </c>
      <c r="E358" s="2" t="s">
        <v>74</v>
      </c>
      <c r="F358" s="2" t="s">
        <v>3399</v>
      </c>
      <c r="G358" s="2" t="s">
        <v>74</v>
      </c>
      <c r="H358" s="2" t="s">
        <v>74</v>
      </c>
      <c r="I358" s="2" t="s">
        <v>3400</v>
      </c>
      <c r="J358" s="2" t="s">
        <v>192</v>
      </c>
      <c r="K358" s="2" t="s">
        <v>74</v>
      </c>
      <c r="L358" s="2" t="s">
        <v>74</v>
      </c>
      <c r="M358" s="2" t="s">
        <v>74</v>
      </c>
      <c r="N358" s="2" t="s">
        <v>74</v>
      </c>
      <c r="O358" s="2" t="s">
        <v>74</v>
      </c>
      <c r="P358" s="2" t="s">
        <v>74</v>
      </c>
      <c r="Q358" s="2" t="s">
        <v>74</v>
      </c>
      <c r="R358" s="2" t="s">
        <v>74</v>
      </c>
      <c r="S358" s="2" t="s">
        <v>74</v>
      </c>
      <c r="T358" s="2" t="s">
        <v>74</v>
      </c>
      <c r="U358" s="2" t="s">
        <v>74</v>
      </c>
      <c r="V358" s="5" t="s">
        <v>3401</v>
      </c>
      <c r="W358" s="2" t="s">
        <v>74</v>
      </c>
      <c r="X358" s="2" t="s">
        <v>74</v>
      </c>
      <c r="Y358" s="2" t="s">
        <v>74</v>
      </c>
      <c r="Z358" s="2" t="s">
        <v>74</v>
      </c>
      <c r="AA358" s="2" t="s">
        <v>3402</v>
      </c>
      <c r="AB358" s="2" t="s">
        <v>3403</v>
      </c>
      <c r="AC358" s="2" t="s">
        <v>74</v>
      </c>
      <c r="AD358" s="2" t="s">
        <v>74</v>
      </c>
      <c r="AE358" s="2" t="s">
        <v>74</v>
      </c>
      <c r="AF358" s="2" t="s">
        <v>74</v>
      </c>
      <c r="AG358" s="2" t="s">
        <v>74</v>
      </c>
      <c r="AH358" s="2" t="s">
        <v>74</v>
      </c>
      <c r="AI358" s="2" t="s">
        <v>74</v>
      </c>
      <c r="AJ358" s="2" t="s">
        <v>74</v>
      </c>
      <c r="AK358" s="2" t="s">
        <v>74</v>
      </c>
      <c r="AL358" s="2" t="s">
        <v>74</v>
      </c>
      <c r="AM358" s="2" t="s">
        <v>74</v>
      </c>
      <c r="AN358" s="2" t="s">
        <v>74</v>
      </c>
      <c r="AO358" s="2" t="s">
        <v>195</v>
      </c>
      <c r="AP358" s="2" t="s">
        <v>196</v>
      </c>
      <c r="AQ358" s="2" t="s">
        <v>74</v>
      </c>
      <c r="AR358" s="2" t="s">
        <v>74</v>
      </c>
      <c r="AS358" s="2" t="s">
        <v>74</v>
      </c>
      <c r="AT358" s="2" t="s">
        <v>102</v>
      </c>
      <c r="AU358" s="2">
        <v>2023</v>
      </c>
      <c r="AV358" s="2">
        <v>850</v>
      </c>
      <c r="AW358" s="2" t="s">
        <v>3404</v>
      </c>
      <c r="AX358" s="2" t="s">
        <v>74</v>
      </c>
      <c r="AY358" s="2" t="s">
        <v>74</v>
      </c>
      <c r="AZ358" s="2" t="s">
        <v>848</v>
      </c>
      <c r="BA358" s="2" t="s">
        <v>74</v>
      </c>
      <c r="BB358" s="2">
        <v>2405</v>
      </c>
      <c r="BC358" s="2">
        <v>2423</v>
      </c>
      <c r="BD358" s="2" t="s">
        <v>74</v>
      </c>
      <c r="BE358" s="2" t="s">
        <v>3405</v>
      </c>
      <c r="BF358" s="2" t="str">
        <f>HYPERLINK("http://dx.doi.org/10.1007/s10750-022-04980-z","http://dx.doi.org/10.1007/s10750-022-04980-z")</f>
        <v>http://dx.doi.org/10.1007/s10750-022-04980-z</v>
      </c>
      <c r="BG358" s="2" t="s">
        <v>74</v>
      </c>
      <c r="BH358" s="2" t="s">
        <v>3406</v>
      </c>
      <c r="BI358" s="2" t="s">
        <v>74</v>
      </c>
      <c r="BJ358" s="2" t="s">
        <v>74</v>
      </c>
      <c r="BK358" s="2" t="s">
        <v>74</v>
      </c>
      <c r="BL358" s="2" t="s">
        <v>74</v>
      </c>
      <c r="BM358" s="2" t="s">
        <v>74</v>
      </c>
      <c r="BN358" s="2" t="s">
        <v>74</v>
      </c>
      <c r="BO358" s="2" t="s">
        <v>74</v>
      </c>
      <c r="BP358" s="2" t="s">
        <v>74</v>
      </c>
      <c r="BQ358" s="2" t="s">
        <v>74</v>
      </c>
      <c r="BR358" s="2" t="s">
        <v>74</v>
      </c>
      <c r="BS358" s="2" t="s">
        <v>3407</v>
      </c>
      <c r="BT358" s="2" t="str">
        <f>HYPERLINK("https%3A%2F%2Fwww.webofscience.com%2Fwos%2Fwoscc%2Ffull-record%2FWOS:000849168800001","View Full Record in Web of Science")</f>
        <v>View Full Record in Web of Science</v>
      </c>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row>
    <row r="359" spans="1:314" s="2" customFormat="1" x14ac:dyDescent="0.4">
      <c r="A359" s="2" t="s">
        <v>72</v>
      </c>
      <c r="B359" s="2" t="s">
        <v>3960</v>
      </c>
      <c r="C359" s="2" t="s">
        <v>74</v>
      </c>
      <c r="D359" s="2" t="s">
        <v>74</v>
      </c>
      <c r="E359" s="2" t="s">
        <v>74</v>
      </c>
      <c r="F359" s="2" t="s">
        <v>3961</v>
      </c>
      <c r="G359" s="2" t="s">
        <v>74</v>
      </c>
      <c r="H359" s="2" t="s">
        <v>74</v>
      </c>
      <c r="I359" s="2" t="s">
        <v>3962</v>
      </c>
      <c r="J359" s="2" t="s">
        <v>108</v>
      </c>
      <c r="K359" s="2" t="s">
        <v>74</v>
      </c>
      <c r="L359" s="2" t="s">
        <v>74</v>
      </c>
      <c r="M359" s="2" t="s">
        <v>74</v>
      </c>
      <c r="N359" s="2" t="s">
        <v>74</v>
      </c>
      <c r="O359" s="2" t="s">
        <v>74</v>
      </c>
      <c r="P359" s="2" t="s">
        <v>74</v>
      </c>
      <c r="Q359" s="2" t="s">
        <v>74</v>
      </c>
      <c r="R359" s="2" t="s">
        <v>74</v>
      </c>
      <c r="S359" s="2" t="s">
        <v>74</v>
      </c>
      <c r="T359" s="2" t="s">
        <v>74</v>
      </c>
      <c r="U359" s="2" t="s">
        <v>74</v>
      </c>
      <c r="V359" s="5" t="s">
        <v>3963</v>
      </c>
      <c r="W359" s="2" t="s">
        <v>74</v>
      </c>
      <c r="X359" s="2" t="s">
        <v>74</v>
      </c>
      <c r="Y359" s="2" t="s">
        <v>74</v>
      </c>
      <c r="Z359" s="2" t="s">
        <v>74</v>
      </c>
      <c r="AA359" s="2" t="s">
        <v>74</v>
      </c>
      <c r="AB359" s="2" t="s">
        <v>2478</v>
      </c>
      <c r="AC359" s="2" t="s">
        <v>74</v>
      </c>
      <c r="AD359" s="2" t="s">
        <v>74</v>
      </c>
      <c r="AE359" s="2" t="s">
        <v>74</v>
      </c>
      <c r="AF359" s="2" t="s">
        <v>74</v>
      </c>
      <c r="AG359" s="2" t="s">
        <v>74</v>
      </c>
      <c r="AH359" s="2" t="s">
        <v>74</v>
      </c>
      <c r="AI359" s="2" t="s">
        <v>74</v>
      </c>
      <c r="AJ359" s="2" t="s">
        <v>74</v>
      </c>
      <c r="AK359" s="2" t="s">
        <v>74</v>
      </c>
      <c r="AL359" s="2" t="s">
        <v>74</v>
      </c>
      <c r="AM359" s="2" t="s">
        <v>74</v>
      </c>
      <c r="AN359" s="2" t="s">
        <v>74</v>
      </c>
      <c r="AO359" s="2" t="s">
        <v>111</v>
      </c>
      <c r="AP359" s="2" t="s">
        <v>112</v>
      </c>
      <c r="AQ359" s="2" t="s">
        <v>74</v>
      </c>
      <c r="AR359" s="2" t="s">
        <v>74</v>
      </c>
      <c r="AS359" s="2" t="s">
        <v>74</v>
      </c>
      <c r="AT359" s="2" t="s">
        <v>2345</v>
      </c>
      <c r="AU359" s="2">
        <v>2008</v>
      </c>
      <c r="AV359" s="2">
        <v>275</v>
      </c>
      <c r="AW359" s="2">
        <v>1639</v>
      </c>
      <c r="AX359" s="2" t="s">
        <v>74</v>
      </c>
      <c r="AY359" s="2" t="s">
        <v>74</v>
      </c>
      <c r="AZ359" s="2" t="s">
        <v>74</v>
      </c>
      <c r="BA359" s="2" t="s">
        <v>74</v>
      </c>
      <c r="BB359" s="2">
        <v>1157</v>
      </c>
      <c r="BC359" s="2">
        <v>1162</v>
      </c>
      <c r="BD359" s="2" t="s">
        <v>74</v>
      </c>
      <c r="BE359" s="2" t="s">
        <v>3964</v>
      </c>
      <c r="BF359" s="2" t="str">
        <f>HYPERLINK("http://dx.doi.org/10.1098/rspb.2007.1700","http://dx.doi.org/10.1098/rspb.2007.1700")</f>
        <v>http://dx.doi.org/10.1098/rspb.2007.1700</v>
      </c>
      <c r="BG359" s="2" t="s">
        <v>74</v>
      </c>
      <c r="BH359" s="2" t="s">
        <v>74</v>
      </c>
      <c r="BI359" s="2" t="s">
        <v>74</v>
      </c>
      <c r="BJ359" s="2" t="s">
        <v>74</v>
      </c>
      <c r="BK359" s="2" t="s">
        <v>74</v>
      </c>
      <c r="BL359" s="2" t="s">
        <v>74</v>
      </c>
      <c r="BM359" s="2" t="s">
        <v>74</v>
      </c>
      <c r="BN359" s="2">
        <v>18270157</v>
      </c>
      <c r="BO359" s="2" t="s">
        <v>74</v>
      </c>
      <c r="BP359" s="2" t="s">
        <v>74</v>
      </c>
      <c r="BQ359" s="2" t="s">
        <v>74</v>
      </c>
      <c r="BR359" s="2" t="s">
        <v>74</v>
      </c>
      <c r="BS359" s="2" t="s">
        <v>3965</v>
      </c>
      <c r="BT359" s="2" t="str">
        <f>HYPERLINK("https%3A%2F%2Fwww.webofscience.com%2Fwos%2Fwoscc%2Ffull-record%2FWOS:000254464000008","View Full Record in Web of Science")</f>
        <v>View Full Record in Web of Science</v>
      </c>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row>
    <row r="360" spans="1:314" s="2" customFormat="1" x14ac:dyDescent="0.4">
      <c r="A360" s="2" t="s">
        <v>72</v>
      </c>
      <c r="B360" s="2" t="s">
        <v>1700</v>
      </c>
      <c r="C360" s="2" t="s">
        <v>74</v>
      </c>
      <c r="D360" s="2" t="s">
        <v>74</v>
      </c>
      <c r="E360" s="2" t="s">
        <v>74</v>
      </c>
      <c r="F360" s="2" t="s">
        <v>1701</v>
      </c>
      <c r="G360" s="2" t="s">
        <v>74</v>
      </c>
      <c r="H360" s="2" t="s">
        <v>74</v>
      </c>
      <c r="I360" s="2" t="s">
        <v>1702</v>
      </c>
      <c r="J360" s="2" t="s">
        <v>140</v>
      </c>
      <c r="K360" s="2" t="s">
        <v>74</v>
      </c>
      <c r="L360" s="2" t="s">
        <v>74</v>
      </c>
      <c r="M360" s="2" t="s">
        <v>74</v>
      </c>
      <c r="N360" s="2" t="s">
        <v>74</v>
      </c>
      <c r="O360" s="2" t="s">
        <v>74</v>
      </c>
      <c r="P360" s="2" t="s">
        <v>74</v>
      </c>
      <c r="Q360" s="2" t="s">
        <v>74</v>
      </c>
      <c r="R360" s="2" t="s">
        <v>74</v>
      </c>
      <c r="S360" s="2" t="s">
        <v>74</v>
      </c>
      <c r="T360" s="2" t="s">
        <v>74</v>
      </c>
      <c r="U360" s="2" t="s">
        <v>74</v>
      </c>
      <c r="V360" s="5" t="s">
        <v>1703</v>
      </c>
      <c r="W360" s="2" t="s">
        <v>74</v>
      </c>
      <c r="X360" s="2" t="s">
        <v>74</v>
      </c>
      <c r="Y360" s="2" t="s">
        <v>74</v>
      </c>
      <c r="Z360" s="2" t="s">
        <v>74</v>
      </c>
      <c r="AA360" s="2" t="s">
        <v>1106</v>
      </c>
      <c r="AB360" s="2" t="s">
        <v>1704</v>
      </c>
      <c r="AC360" s="2" t="s">
        <v>74</v>
      </c>
      <c r="AD360" s="2" t="s">
        <v>74</v>
      </c>
      <c r="AE360" s="2" t="s">
        <v>74</v>
      </c>
      <c r="AF360" s="2" t="s">
        <v>74</v>
      </c>
      <c r="AG360" s="2" t="s">
        <v>74</v>
      </c>
      <c r="AH360" s="2" t="s">
        <v>74</v>
      </c>
      <c r="AI360" s="2" t="s">
        <v>74</v>
      </c>
      <c r="AJ360" s="2" t="s">
        <v>74</v>
      </c>
      <c r="AK360" s="2" t="s">
        <v>74</v>
      </c>
      <c r="AL360" s="2" t="s">
        <v>74</v>
      </c>
      <c r="AM360" s="2" t="s">
        <v>74</v>
      </c>
      <c r="AN360" s="2" t="s">
        <v>74</v>
      </c>
      <c r="AO360" s="2" t="s">
        <v>143</v>
      </c>
      <c r="AP360" s="2" t="s">
        <v>144</v>
      </c>
      <c r="AQ360" s="2" t="s">
        <v>74</v>
      </c>
      <c r="AR360" s="2" t="s">
        <v>74</v>
      </c>
      <c r="AS360" s="2" t="s">
        <v>74</v>
      </c>
      <c r="AT360" s="2" t="s">
        <v>352</v>
      </c>
      <c r="AU360" s="2">
        <v>2008</v>
      </c>
      <c r="AV360" s="2">
        <v>76</v>
      </c>
      <c r="AW360" s="2" t="s">
        <v>74</v>
      </c>
      <c r="AX360" s="2">
        <v>3</v>
      </c>
      <c r="AY360" s="2" t="s">
        <v>74</v>
      </c>
      <c r="AZ360" s="2" t="s">
        <v>74</v>
      </c>
      <c r="BA360" s="2" t="s">
        <v>74</v>
      </c>
      <c r="BB360" s="2">
        <v>649</v>
      </c>
      <c r="BC360" s="2">
        <v>655</v>
      </c>
      <c r="BD360" s="2" t="s">
        <v>74</v>
      </c>
      <c r="BE360" s="2" t="s">
        <v>1705</v>
      </c>
      <c r="BF360" s="2" t="str">
        <f>HYPERLINK("http://dx.doi.org/10.1016/j.anbehav.2008.03.013","http://dx.doi.org/10.1016/j.anbehav.2008.03.013")</f>
        <v>http://dx.doi.org/10.1016/j.anbehav.2008.03.013</v>
      </c>
      <c r="BG360" s="2" t="s">
        <v>74</v>
      </c>
      <c r="BH360" s="2" t="s">
        <v>74</v>
      </c>
      <c r="BI360" s="2" t="s">
        <v>74</v>
      </c>
      <c r="BJ360" s="2" t="s">
        <v>74</v>
      </c>
      <c r="BK360" s="2" t="s">
        <v>74</v>
      </c>
      <c r="BL360" s="2" t="s">
        <v>74</v>
      </c>
      <c r="BM360" s="2" t="s">
        <v>74</v>
      </c>
      <c r="BN360" s="2" t="s">
        <v>74</v>
      </c>
      <c r="BO360" s="2" t="s">
        <v>74</v>
      </c>
      <c r="BP360" s="2" t="s">
        <v>74</v>
      </c>
      <c r="BQ360" s="2" t="s">
        <v>74</v>
      </c>
      <c r="BR360" s="2" t="s">
        <v>74</v>
      </c>
      <c r="BS360" s="2" t="s">
        <v>1706</v>
      </c>
      <c r="BT360" s="2" t="str">
        <f>HYPERLINK("https%3A%2F%2Fwww.webofscience.com%2Fwos%2Fwoscc%2Ffull-record%2FWOS:000258490800015","View Full Record in Web of Science")</f>
        <v>View Full Record in Web of Science</v>
      </c>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row>
    <row r="361" spans="1:314" s="2" customFormat="1" x14ac:dyDescent="0.4">
      <c r="A361" s="2" t="s">
        <v>72</v>
      </c>
      <c r="B361" s="2" t="s">
        <v>1956</v>
      </c>
      <c r="C361" s="2" t="s">
        <v>74</v>
      </c>
      <c r="D361" s="2" t="s">
        <v>74</v>
      </c>
      <c r="E361" s="2" t="s">
        <v>74</v>
      </c>
      <c r="F361" s="2" t="s">
        <v>1957</v>
      </c>
      <c r="G361" s="2" t="s">
        <v>74</v>
      </c>
      <c r="H361" s="2" t="s">
        <v>74</v>
      </c>
      <c r="I361" s="2" t="s">
        <v>1958</v>
      </c>
      <c r="J361" s="2" t="s">
        <v>108</v>
      </c>
      <c r="K361" s="2" t="s">
        <v>74</v>
      </c>
      <c r="L361" s="2" t="s">
        <v>74</v>
      </c>
      <c r="M361" s="2" t="s">
        <v>74</v>
      </c>
      <c r="N361" s="2" t="s">
        <v>74</v>
      </c>
      <c r="O361" s="2" t="s">
        <v>74</v>
      </c>
      <c r="P361" s="2" t="s">
        <v>74</v>
      </c>
      <c r="Q361" s="2" t="s">
        <v>74</v>
      </c>
      <c r="R361" s="2" t="s">
        <v>74</v>
      </c>
      <c r="S361" s="2" t="s">
        <v>74</v>
      </c>
      <c r="T361" s="2" t="s">
        <v>74</v>
      </c>
      <c r="U361" s="2" t="s">
        <v>74</v>
      </c>
      <c r="V361" s="5" t="s">
        <v>1959</v>
      </c>
      <c r="W361" s="2" t="s">
        <v>74</v>
      </c>
      <c r="X361" s="2" t="s">
        <v>74</v>
      </c>
      <c r="Y361" s="2" t="s">
        <v>74</v>
      </c>
      <c r="Z361" s="2" t="s">
        <v>74</v>
      </c>
      <c r="AA361" s="2" t="s">
        <v>1106</v>
      </c>
      <c r="AB361" s="2" t="s">
        <v>1704</v>
      </c>
      <c r="AC361" s="2" t="s">
        <v>74</v>
      </c>
      <c r="AD361" s="2" t="s">
        <v>74</v>
      </c>
      <c r="AE361" s="2" t="s">
        <v>74</v>
      </c>
      <c r="AF361" s="2" t="s">
        <v>74</v>
      </c>
      <c r="AG361" s="2" t="s">
        <v>74</v>
      </c>
      <c r="AH361" s="2" t="s">
        <v>74</v>
      </c>
      <c r="AI361" s="2" t="s">
        <v>74</v>
      </c>
      <c r="AJ361" s="2" t="s">
        <v>74</v>
      </c>
      <c r="AK361" s="2" t="s">
        <v>74</v>
      </c>
      <c r="AL361" s="2" t="s">
        <v>74</v>
      </c>
      <c r="AM361" s="2" t="s">
        <v>74</v>
      </c>
      <c r="AN361" s="2" t="s">
        <v>74</v>
      </c>
      <c r="AO361" s="2" t="s">
        <v>111</v>
      </c>
      <c r="AP361" s="2" t="s">
        <v>112</v>
      </c>
      <c r="AQ361" s="2" t="s">
        <v>74</v>
      </c>
      <c r="AR361" s="2" t="s">
        <v>74</v>
      </c>
      <c r="AS361" s="2" t="s">
        <v>74</v>
      </c>
      <c r="AT361" s="2" t="s">
        <v>1960</v>
      </c>
      <c r="AU361" s="2">
        <v>2008</v>
      </c>
      <c r="AV361" s="2">
        <v>275</v>
      </c>
      <c r="AW361" s="2">
        <v>1634</v>
      </c>
      <c r="AX361" s="2" t="s">
        <v>74</v>
      </c>
      <c r="AY361" s="2" t="s">
        <v>74</v>
      </c>
      <c r="AZ361" s="2" t="s">
        <v>74</v>
      </c>
      <c r="BA361" s="2" t="s">
        <v>74</v>
      </c>
      <c r="BB361" s="2">
        <v>519</v>
      </c>
      <c r="BC361" s="2">
        <v>526</v>
      </c>
      <c r="BD361" s="2" t="s">
        <v>74</v>
      </c>
      <c r="BE361" s="2" t="s">
        <v>1961</v>
      </c>
      <c r="BF361" s="2" t="str">
        <f>HYPERLINK("http://dx.doi.org/10.1098/rspb.2007.1441","http://dx.doi.org/10.1098/rspb.2007.1441")</f>
        <v>http://dx.doi.org/10.1098/rspb.2007.1441</v>
      </c>
      <c r="BG361" s="2" t="s">
        <v>74</v>
      </c>
      <c r="BH361" s="2" t="s">
        <v>74</v>
      </c>
      <c r="BI361" s="2" t="s">
        <v>74</v>
      </c>
      <c r="BJ361" s="2" t="s">
        <v>74</v>
      </c>
      <c r="BK361" s="2" t="s">
        <v>74</v>
      </c>
      <c r="BL361" s="2" t="s">
        <v>74</v>
      </c>
      <c r="BM361" s="2" t="s">
        <v>74</v>
      </c>
      <c r="BN361" s="2">
        <v>18077255</v>
      </c>
      <c r="BO361" s="2" t="s">
        <v>74</v>
      </c>
      <c r="BP361" s="2" t="s">
        <v>74</v>
      </c>
      <c r="BQ361" s="2" t="s">
        <v>74</v>
      </c>
      <c r="BR361" s="2" t="s">
        <v>74</v>
      </c>
      <c r="BS361" s="2" t="s">
        <v>1962</v>
      </c>
      <c r="BT361" s="2" t="str">
        <f>HYPERLINK("https%3A%2F%2Fwww.webofscience.com%2Fwos%2Fwoscc%2Ffull-record%2FWOS:000252764800006","View Full Record in Web of Science")</f>
        <v>View Full Record in Web of Science</v>
      </c>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row>
    <row r="362" spans="1:314" s="2" customFormat="1" x14ac:dyDescent="0.4">
      <c r="A362" s="2" t="s">
        <v>72</v>
      </c>
      <c r="B362" s="2" t="s">
        <v>1905</v>
      </c>
      <c r="C362" s="2" t="s">
        <v>74</v>
      </c>
      <c r="D362" s="2" t="s">
        <v>74</v>
      </c>
      <c r="E362" s="2" t="s">
        <v>74</v>
      </c>
      <c r="F362" s="2" t="s">
        <v>1906</v>
      </c>
      <c r="G362" s="2" t="s">
        <v>74</v>
      </c>
      <c r="H362" s="2" t="s">
        <v>74</v>
      </c>
      <c r="I362" s="2" t="s">
        <v>1907</v>
      </c>
      <c r="J362" s="2" t="s">
        <v>509</v>
      </c>
      <c r="K362" s="2" t="s">
        <v>74</v>
      </c>
      <c r="L362" s="2" t="s">
        <v>74</v>
      </c>
      <c r="M362" s="2" t="s">
        <v>74</v>
      </c>
      <c r="N362" s="2" t="s">
        <v>74</v>
      </c>
      <c r="O362" s="2" t="s">
        <v>74</v>
      </c>
      <c r="P362" s="2" t="s">
        <v>74</v>
      </c>
      <c r="Q362" s="2" t="s">
        <v>74</v>
      </c>
      <c r="R362" s="2" t="s">
        <v>74</v>
      </c>
      <c r="S362" s="2" t="s">
        <v>74</v>
      </c>
      <c r="T362" s="2" t="s">
        <v>74</v>
      </c>
      <c r="U362" s="2" t="s">
        <v>74</v>
      </c>
      <c r="V362" s="5" t="s">
        <v>1908</v>
      </c>
      <c r="W362" s="2" t="s">
        <v>74</v>
      </c>
      <c r="X362" s="2" t="s">
        <v>74</v>
      </c>
      <c r="Y362" s="2" t="s">
        <v>74</v>
      </c>
      <c r="Z362" s="2" t="s">
        <v>74</v>
      </c>
      <c r="AA362" s="2" t="s">
        <v>1909</v>
      </c>
      <c r="AB362" s="2" t="s">
        <v>1910</v>
      </c>
      <c r="AC362" s="2" t="s">
        <v>74</v>
      </c>
      <c r="AD362" s="2" t="s">
        <v>74</v>
      </c>
      <c r="AE362" s="2" t="s">
        <v>74</v>
      </c>
      <c r="AF362" s="2" t="s">
        <v>74</v>
      </c>
      <c r="AG362" s="2" t="s">
        <v>74</v>
      </c>
      <c r="AH362" s="2" t="s">
        <v>74</v>
      </c>
      <c r="AI362" s="2" t="s">
        <v>74</v>
      </c>
      <c r="AJ362" s="2" t="s">
        <v>74</v>
      </c>
      <c r="AK362" s="2" t="s">
        <v>74</v>
      </c>
      <c r="AL362" s="2" t="s">
        <v>74</v>
      </c>
      <c r="AM362" s="2" t="s">
        <v>74</v>
      </c>
      <c r="AN362" s="2" t="s">
        <v>74</v>
      </c>
      <c r="AO362" s="2" t="s">
        <v>511</v>
      </c>
      <c r="AP362" s="2" t="s">
        <v>512</v>
      </c>
      <c r="AQ362" s="2" t="s">
        <v>74</v>
      </c>
      <c r="AR362" s="2" t="s">
        <v>74</v>
      </c>
      <c r="AS362" s="2" t="s">
        <v>74</v>
      </c>
      <c r="AT362" s="2" t="s">
        <v>633</v>
      </c>
      <c r="AU362" s="2">
        <v>2012</v>
      </c>
      <c r="AV362" s="2">
        <v>61</v>
      </c>
      <c r="AW362" s="2">
        <v>4</v>
      </c>
      <c r="AX362" s="2" t="s">
        <v>74</v>
      </c>
      <c r="AY362" s="2" t="s">
        <v>74</v>
      </c>
      <c r="AZ362" s="2" t="s">
        <v>74</v>
      </c>
      <c r="BA362" s="2" t="s">
        <v>74</v>
      </c>
      <c r="BB362" s="2">
        <v>518</v>
      </c>
      <c r="BC362" s="2">
        <v>526</v>
      </c>
      <c r="BD362" s="2" t="s">
        <v>74</v>
      </c>
      <c r="BE362" s="2" t="s">
        <v>1911</v>
      </c>
      <c r="BF362" s="2" t="str">
        <f>HYPERLINK("http://dx.doi.org/10.1016/j.yhbeh.2012.01.011","http://dx.doi.org/10.1016/j.yhbeh.2012.01.011")</f>
        <v>http://dx.doi.org/10.1016/j.yhbeh.2012.01.011</v>
      </c>
      <c r="BG362" s="2" t="s">
        <v>74</v>
      </c>
      <c r="BH362" s="2" t="s">
        <v>74</v>
      </c>
      <c r="BI362" s="2" t="s">
        <v>74</v>
      </c>
      <c r="BJ362" s="2" t="s">
        <v>74</v>
      </c>
      <c r="BK362" s="2" t="s">
        <v>74</v>
      </c>
      <c r="BL362" s="2" t="s">
        <v>74</v>
      </c>
      <c r="BM362" s="2" t="s">
        <v>74</v>
      </c>
      <c r="BN362" s="2">
        <v>22289206</v>
      </c>
      <c r="BO362" s="2" t="s">
        <v>74</v>
      </c>
      <c r="BP362" s="2" t="s">
        <v>74</v>
      </c>
      <c r="BQ362" s="2" t="s">
        <v>74</v>
      </c>
      <c r="BR362" s="2" t="s">
        <v>74</v>
      </c>
      <c r="BS362" s="2" t="s">
        <v>1912</v>
      </c>
      <c r="BT362" s="2" t="str">
        <f>HYPERLINK("https%3A%2F%2Fwww.webofscience.com%2Fwos%2Fwoscc%2Ffull-record%2FWOS:000302763700008","View Full Record in Web of Science")</f>
        <v>View Full Record in Web of Science</v>
      </c>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row>
    <row r="363" spans="1:314" s="2" customFormat="1" x14ac:dyDescent="0.4">
      <c r="A363" s="2" t="s">
        <v>72</v>
      </c>
      <c r="B363" s="2" t="s">
        <v>8485</v>
      </c>
      <c r="C363" s="2" t="s">
        <v>74</v>
      </c>
      <c r="D363" s="2" t="s">
        <v>74</v>
      </c>
      <c r="E363" s="2" t="s">
        <v>74</v>
      </c>
      <c r="F363" s="2" t="s">
        <v>8485</v>
      </c>
      <c r="G363" s="2" t="s">
        <v>74</v>
      </c>
      <c r="H363" s="2" t="s">
        <v>74</v>
      </c>
      <c r="I363" s="2" t="s">
        <v>8486</v>
      </c>
      <c r="J363" s="2" t="s">
        <v>333</v>
      </c>
      <c r="K363" s="2" t="s">
        <v>74</v>
      </c>
      <c r="L363" s="2" t="s">
        <v>74</v>
      </c>
      <c r="M363" s="2" t="s">
        <v>74</v>
      </c>
      <c r="N363" s="2" t="s">
        <v>74</v>
      </c>
      <c r="O363" s="2" t="s">
        <v>74</v>
      </c>
      <c r="P363" s="2" t="s">
        <v>74</v>
      </c>
      <c r="Q363" s="2" t="s">
        <v>74</v>
      </c>
      <c r="R363" s="2" t="s">
        <v>74</v>
      </c>
      <c r="S363" s="2" t="s">
        <v>74</v>
      </c>
      <c r="T363" s="2" t="s">
        <v>74</v>
      </c>
      <c r="U363" s="2" t="s">
        <v>74</v>
      </c>
      <c r="V363" s="5" t="s">
        <v>8487</v>
      </c>
      <c r="W363" s="2" t="s">
        <v>74</v>
      </c>
      <c r="X363" s="2" t="s">
        <v>74</v>
      </c>
      <c r="Y363" s="2" t="s">
        <v>74</v>
      </c>
      <c r="Z363" s="2" t="s">
        <v>74</v>
      </c>
      <c r="AA363" s="2" t="s">
        <v>8488</v>
      </c>
      <c r="AB363" s="2" t="s">
        <v>8489</v>
      </c>
      <c r="AC363" s="2" t="s">
        <v>74</v>
      </c>
      <c r="AD363" s="2" t="s">
        <v>74</v>
      </c>
      <c r="AE363" s="2" t="s">
        <v>74</v>
      </c>
      <c r="AF363" s="2" t="s">
        <v>74</v>
      </c>
      <c r="AG363" s="2" t="s">
        <v>74</v>
      </c>
      <c r="AH363" s="2" t="s">
        <v>74</v>
      </c>
      <c r="AI363" s="2" t="s">
        <v>74</v>
      </c>
      <c r="AJ363" s="2" t="s">
        <v>74</v>
      </c>
      <c r="AK363" s="2" t="s">
        <v>74</v>
      </c>
      <c r="AL363" s="2" t="s">
        <v>74</v>
      </c>
      <c r="AM363" s="2" t="s">
        <v>74</v>
      </c>
      <c r="AN363" s="2" t="s">
        <v>74</v>
      </c>
      <c r="AO363" s="2" t="s">
        <v>337</v>
      </c>
      <c r="AP363" s="2" t="s">
        <v>338</v>
      </c>
      <c r="AQ363" s="2" t="s">
        <v>74</v>
      </c>
      <c r="AR363" s="2" t="s">
        <v>74</v>
      </c>
      <c r="AS363" s="2" t="s">
        <v>74</v>
      </c>
      <c r="AT363" s="2" t="s">
        <v>213</v>
      </c>
      <c r="AU363" s="2">
        <v>2004</v>
      </c>
      <c r="AV363" s="2">
        <v>15</v>
      </c>
      <c r="AW363" s="2">
        <v>6</v>
      </c>
      <c r="AX363" s="2" t="s">
        <v>74</v>
      </c>
      <c r="AY363" s="2" t="s">
        <v>74</v>
      </c>
      <c r="AZ363" s="2" t="s">
        <v>74</v>
      </c>
      <c r="BA363" s="2" t="s">
        <v>74</v>
      </c>
      <c r="BB363" s="2">
        <v>1023</v>
      </c>
      <c r="BC363" s="2">
        <v>1030</v>
      </c>
      <c r="BD363" s="2" t="s">
        <v>74</v>
      </c>
      <c r="BE363" s="2" t="s">
        <v>8490</v>
      </c>
      <c r="BF363" s="2" t="str">
        <f>HYPERLINK("http://dx.doi.org/10.1093/beheco/arh115","http://dx.doi.org/10.1093/beheco/arh115")</f>
        <v>http://dx.doi.org/10.1093/beheco/arh115</v>
      </c>
      <c r="BG363" s="2" t="s">
        <v>74</v>
      </c>
      <c r="BH363" s="2" t="s">
        <v>74</v>
      </c>
      <c r="BI363" s="2" t="s">
        <v>74</v>
      </c>
      <c r="BJ363" s="2" t="s">
        <v>74</v>
      </c>
      <c r="BK363" s="2" t="s">
        <v>74</v>
      </c>
      <c r="BL363" s="2" t="s">
        <v>74</v>
      </c>
      <c r="BM363" s="2" t="s">
        <v>74</v>
      </c>
      <c r="BN363" s="2" t="s">
        <v>74</v>
      </c>
      <c r="BO363" s="2" t="s">
        <v>74</v>
      </c>
      <c r="BP363" s="2" t="s">
        <v>74</v>
      </c>
      <c r="BQ363" s="2" t="s">
        <v>74</v>
      </c>
      <c r="BR363" s="2" t="s">
        <v>74</v>
      </c>
      <c r="BS363" s="2" t="s">
        <v>8491</v>
      </c>
      <c r="BT363" s="2" t="str">
        <f>HYPERLINK("https%3A%2F%2Fwww.webofscience.com%2Fwos%2Fwoscc%2Ffull-record%2FWOS:000224482000019","View Full Record in Web of Science")</f>
        <v>View Full Record in Web of Science</v>
      </c>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row>
    <row r="364" spans="1:314" s="2" customFormat="1" x14ac:dyDescent="0.4">
      <c r="A364" s="2" t="s">
        <v>72</v>
      </c>
      <c r="B364" s="2" t="s">
        <v>7007</v>
      </c>
      <c r="C364" s="2" t="s">
        <v>74</v>
      </c>
      <c r="D364" s="2" t="s">
        <v>74</v>
      </c>
      <c r="E364" s="2" t="s">
        <v>74</v>
      </c>
      <c r="F364" s="2" t="s">
        <v>7007</v>
      </c>
      <c r="G364" s="2" t="s">
        <v>74</v>
      </c>
      <c r="H364" s="2" t="s">
        <v>74</v>
      </c>
      <c r="I364" s="2" t="s">
        <v>7008</v>
      </c>
      <c r="J364" s="2" t="s">
        <v>7009</v>
      </c>
      <c r="K364" s="2" t="s">
        <v>74</v>
      </c>
      <c r="L364" s="2" t="s">
        <v>74</v>
      </c>
      <c r="M364" s="2" t="s">
        <v>74</v>
      </c>
      <c r="N364" s="2" t="s">
        <v>74</v>
      </c>
      <c r="O364" s="2" t="s">
        <v>74</v>
      </c>
      <c r="P364" s="2" t="s">
        <v>74</v>
      </c>
      <c r="Q364" s="2" t="s">
        <v>74</v>
      </c>
      <c r="R364" s="2" t="s">
        <v>74</v>
      </c>
      <c r="S364" s="2" t="s">
        <v>74</v>
      </c>
      <c r="T364" s="2" t="s">
        <v>74</v>
      </c>
      <c r="U364" s="2" t="s">
        <v>74</v>
      </c>
      <c r="V364" s="5" t="s">
        <v>7010</v>
      </c>
      <c r="W364" s="2" t="s">
        <v>74</v>
      </c>
      <c r="X364" s="2" t="s">
        <v>74</v>
      </c>
      <c r="Y364" s="2" t="s">
        <v>74</v>
      </c>
      <c r="Z364" s="2" t="s">
        <v>74</v>
      </c>
      <c r="AA364" s="2" t="s">
        <v>74</v>
      </c>
      <c r="AB364" s="2" t="s">
        <v>74</v>
      </c>
      <c r="AC364" s="2" t="s">
        <v>74</v>
      </c>
      <c r="AD364" s="2" t="s">
        <v>74</v>
      </c>
      <c r="AE364" s="2" t="s">
        <v>74</v>
      </c>
      <c r="AF364" s="2" t="s">
        <v>74</v>
      </c>
      <c r="AG364" s="2" t="s">
        <v>74</v>
      </c>
      <c r="AH364" s="2" t="s">
        <v>74</v>
      </c>
      <c r="AI364" s="2" t="s">
        <v>74</v>
      </c>
      <c r="AJ364" s="2" t="s">
        <v>74</v>
      </c>
      <c r="AK364" s="2" t="s">
        <v>74</v>
      </c>
      <c r="AL364" s="2" t="s">
        <v>74</v>
      </c>
      <c r="AM364" s="2" t="s">
        <v>74</v>
      </c>
      <c r="AN364" s="2" t="s">
        <v>74</v>
      </c>
      <c r="AO364" s="2" t="s">
        <v>7011</v>
      </c>
      <c r="AP364" s="2" t="s">
        <v>74</v>
      </c>
      <c r="AQ364" s="2" t="s">
        <v>74</v>
      </c>
      <c r="AR364" s="2" t="s">
        <v>74</v>
      </c>
      <c r="AS364" s="2" t="s">
        <v>74</v>
      </c>
      <c r="AT364" s="2" t="s">
        <v>964</v>
      </c>
      <c r="AU364" s="2">
        <v>1998</v>
      </c>
      <c r="AV364" s="2">
        <v>33</v>
      </c>
      <c r="AW364" s="2">
        <v>1</v>
      </c>
      <c r="AX364" s="2" t="s">
        <v>74</v>
      </c>
      <c r="AY364" s="2" t="s">
        <v>74</v>
      </c>
      <c r="AZ364" s="2" t="s">
        <v>74</v>
      </c>
      <c r="BA364" s="2" t="s">
        <v>74</v>
      </c>
      <c r="BB364" s="2">
        <v>73</v>
      </c>
      <c r="BC364" s="2">
        <v>80</v>
      </c>
      <c r="BD364" s="2" t="s">
        <v>74</v>
      </c>
      <c r="BE364" s="2" t="s">
        <v>7012</v>
      </c>
      <c r="BF364" s="2" t="str">
        <f>HYPERLINK("http://dx.doi.org/10.1017/S0967026298001607","http://dx.doi.org/10.1017/S0967026298001607")</f>
        <v>http://dx.doi.org/10.1017/S0967026298001607</v>
      </c>
      <c r="BG364" s="2" t="s">
        <v>74</v>
      </c>
      <c r="BH364" s="2" t="s">
        <v>74</v>
      </c>
      <c r="BI364" s="2" t="s">
        <v>74</v>
      </c>
      <c r="BJ364" s="2" t="s">
        <v>74</v>
      </c>
      <c r="BK364" s="2" t="s">
        <v>74</v>
      </c>
      <c r="BL364" s="2" t="s">
        <v>74</v>
      </c>
      <c r="BM364" s="2" t="s">
        <v>74</v>
      </c>
      <c r="BN364" s="2" t="s">
        <v>74</v>
      </c>
      <c r="BO364" s="2" t="s">
        <v>74</v>
      </c>
      <c r="BP364" s="2" t="s">
        <v>74</v>
      </c>
      <c r="BQ364" s="2" t="s">
        <v>74</v>
      </c>
      <c r="BR364" s="2" t="s">
        <v>74</v>
      </c>
      <c r="BS364" s="2" t="s">
        <v>7013</v>
      </c>
      <c r="BT364" s="2" t="str">
        <f>HYPERLINK("https%3A%2F%2Fwww.webofscience.com%2Fwos%2Fwoscc%2Ffull-record%2FWOS:000073192900008","View Full Record in Web of Science")</f>
        <v>View Full Record in Web of Science</v>
      </c>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row>
    <row r="365" spans="1:314" s="2" customFormat="1" x14ac:dyDescent="0.4">
      <c r="A365" s="2" t="s">
        <v>72</v>
      </c>
      <c r="B365" s="2" t="s">
        <v>6643</v>
      </c>
      <c r="C365" s="2" t="s">
        <v>74</v>
      </c>
      <c r="D365" s="2" t="s">
        <v>74</v>
      </c>
      <c r="E365" s="2" t="s">
        <v>74</v>
      </c>
      <c r="F365" s="2" t="s">
        <v>6644</v>
      </c>
      <c r="G365" s="2" t="s">
        <v>74</v>
      </c>
      <c r="H365" s="2" t="s">
        <v>74</v>
      </c>
      <c r="I365" s="2" t="s">
        <v>6645</v>
      </c>
      <c r="J365" s="2" t="s">
        <v>171</v>
      </c>
      <c r="K365" s="2" t="s">
        <v>74</v>
      </c>
      <c r="L365" s="2" t="s">
        <v>74</v>
      </c>
      <c r="M365" s="2" t="s">
        <v>74</v>
      </c>
      <c r="N365" s="2" t="s">
        <v>74</v>
      </c>
      <c r="O365" s="2" t="s">
        <v>74</v>
      </c>
      <c r="P365" s="2" t="s">
        <v>74</v>
      </c>
      <c r="Q365" s="2" t="s">
        <v>74</v>
      </c>
      <c r="R365" s="2" t="s">
        <v>74</v>
      </c>
      <c r="S365" s="2" t="s">
        <v>74</v>
      </c>
      <c r="T365" s="2" t="s">
        <v>74</v>
      </c>
      <c r="U365" s="2" t="s">
        <v>74</v>
      </c>
      <c r="V365" s="5" t="s">
        <v>6646</v>
      </c>
      <c r="W365" s="2" t="s">
        <v>74</v>
      </c>
      <c r="X365" s="2" t="s">
        <v>74</v>
      </c>
      <c r="Y365" s="2" t="s">
        <v>74</v>
      </c>
      <c r="Z365" s="2" t="s">
        <v>74</v>
      </c>
      <c r="AA365" s="2" t="s">
        <v>74</v>
      </c>
      <c r="AB365" s="2" t="s">
        <v>6647</v>
      </c>
      <c r="AC365" s="2" t="s">
        <v>74</v>
      </c>
      <c r="AD365" s="2" t="s">
        <v>74</v>
      </c>
      <c r="AE365" s="2" t="s">
        <v>74</v>
      </c>
      <c r="AF365" s="2" t="s">
        <v>74</v>
      </c>
      <c r="AG365" s="2" t="s">
        <v>74</v>
      </c>
      <c r="AH365" s="2" t="s">
        <v>74</v>
      </c>
      <c r="AI365" s="2" t="s">
        <v>74</v>
      </c>
      <c r="AJ365" s="2" t="s">
        <v>74</v>
      </c>
      <c r="AK365" s="2" t="s">
        <v>74</v>
      </c>
      <c r="AL365" s="2" t="s">
        <v>74</v>
      </c>
      <c r="AM365" s="2" t="s">
        <v>74</v>
      </c>
      <c r="AN365" s="2" t="s">
        <v>74</v>
      </c>
      <c r="AO365" s="2" t="s">
        <v>173</v>
      </c>
      <c r="AP365" s="2" t="s">
        <v>174</v>
      </c>
      <c r="AQ365" s="2" t="s">
        <v>74</v>
      </c>
      <c r="AR365" s="2" t="s">
        <v>74</v>
      </c>
      <c r="AS365" s="2" t="s">
        <v>74</v>
      </c>
      <c r="AT365" s="2" t="s">
        <v>6648</v>
      </c>
      <c r="AU365" s="2">
        <v>2023</v>
      </c>
      <c r="AV365" s="2">
        <v>77</v>
      </c>
      <c r="AW365" s="2">
        <v>10</v>
      </c>
      <c r="AX365" s="2" t="s">
        <v>74</v>
      </c>
      <c r="AY365" s="2" t="s">
        <v>74</v>
      </c>
      <c r="AZ365" s="2" t="s">
        <v>74</v>
      </c>
      <c r="BA365" s="2" t="s">
        <v>74</v>
      </c>
      <c r="BB365" s="2">
        <v>2224</v>
      </c>
      <c r="BC365" s="2">
        <v>2233</v>
      </c>
      <c r="BD365" s="2" t="s">
        <v>74</v>
      </c>
      <c r="BE365" s="2" t="s">
        <v>6649</v>
      </c>
      <c r="BF365" s="2" t="str">
        <f>HYPERLINK("http://dx.doi.org/10.1093/evolut/qpad134","http://dx.doi.org/10.1093/evolut/qpad134")</f>
        <v>http://dx.doi.org/10.1093/evolut/qpad134</v>
      </c>
      <c r="BG365" s="2" t="s">
        <v>74</v>
      </c>
      <c r="BH365" s="2" t="s">
        <v>2726</v>
      </c>
      <c r="BI365" s="2" t="s">
        <v>74</v>
      </c>
      <c r="BJ365" s="2" t="s">
        <v>74</v>
      </c>
      <c r="BK365" s="2" t="s">
        <v>74</v>
      </c>
      <c r="BL365" s="2" t="s">
        <v>74</v>
      </c>
      <c r="BM365" s="2" t="s">
        <v>74</v>
      </c>
      <c r="BN365" s="2">
        <v>37482374</v>
      </c>
      <c r="BO365" s="2" t="s">
        <v>74</v>
      </c>
      <c r="BP365" s="2" t="s">
        <v>74</v>
      </c>
      <c r="BQ365" s="2" t="s">
        <v>74</v>
      </c>
      <c r="BR365" s="2" t="s">
        <v>74</v>
      </c>
      <c r="BS365" s="2" t="s">
        <v>6650</v>
      </c>
      <c r="BT365" s="2" t="str">
        <f>HYPERLINK("https%3A%2F%2Fwww.webofscience.com%2Fwos%2Fwoscc%2Ffull-record%2FWOS:001050661400001","View Full Record in Web of Science")</f>
        <v>View Full Record in Web of Science</v>
      </c>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row>
    <row r="366" spans="1:314" s="2" customFormat="1" x14ac:dyDescent="0.4">
      <c r="A366" s="2" t="s">
        <v>72</v>
      </c>
      <c r="B366" s="2" t="s">
        <v>5331</v>
      </c>
      <c r="C366" s="2" t="s">
        <v>74</v>
      </c>
      <c r="D366" s="2" t="s">
        <v>74</v>
      </c>
      <c r="E366" s="2" t="s">
        <v>74</v>
      </c>
      <c r="F366" s="2" t="s">
        <v>5331</v>
      </c>
      <c r="G366" s="2" t="s">
        <v>74</v>
      </c>
      <c r="H366" s="2" t="s">
        <v>74</v>
      </c>
      <c r="I366" s="2" t="s">
        <v>5332</v>
      </c>
      <c r="J366" s="2" t="s">
        <v>5333</v>
      </c>
      <c r="K366" s="2" t="s">
        <v>74</v>
      </c>
      <c r="L366" s="2" t="s">
        <v>74</v>
      </c>
      <c r="M366" s="2" t="s">
        <v>74</v>
      </c>
      <c r="N366" s="2" t="s">
        <v>74</v>
      </c>
      <c r="O366" s="2" t="s">
        <v>74</v>
      </c>
      <c r="P366" s="2" t="s">
        <v>74</v>
      </c>
      <c r="Q366" s="2" t="s">
        <v>74</v>
      </c>
      <c r="R366" s="2" t="s">
        <v>74</v>
      </c>
      <c r="S366" s="2" t="s">
        <v>74</v>
      </c>
      <c r="T366" s="2" t="s">
        <v>74</v>
      </c>
      <c r="U366" s="2" t="s">
        <v>74</v>
      </c>
      <c r="V366" s="5" t="s">
        <v>5334</v>
      </c>
      <c r="W366" s="2" t="s">
        <v>74</v>
      </c>
      <c r="X366" s="2" t="s">
        <v>74</v>
      </c>
      <c r="Y366" s="2" t="s">
        <v>74</v>
      </c>
      <c r="Z366" s="2" t="s">
        <v>74</v>
      </c>
      <c r="AA366" s="2" t="s">
        <v>74</v>
      </c>
      <c r="AB366" s="2" t="s">
        <v>74</v>
      </c>
      <c r="AC366" s="2" t="s">
        <v>74</v>
      </c>
      <c r="AD366" s="2" t="s">
        <v>74</v>
      </c>
      <c r="AE366" s="2" t="s">
        <v>74</v>
      </c>
      <c r="AF366" s="2" t="s">
        <v>74</v>
      </c>
      <c r="AG366" s="2" t="s">
        <v>74</v>
      </c>
      <c r="AH366" s="2" t="s">
        <v>74</v>
      </c>
      <c r="AI366" s="2" t="s">
        <v>74</v>
      </c>
      <c r="AJ366" s="2" t="s">
        <v>74</v>
      </c>
      <c r="AK366" s="2" t="s">
        <v>74</v>
      </c>
      <c r="AL366" s="2" t="s">
        <v>74</v>
      </c>
      <c r="AM366" s="2" t="s">
        <v>74</v>
      </c>
      <c r="AN366" s="2" t="s">
        <v>74</v>
      </c>
      <c r="AO366" s="2" t="s">
        <v>5335</v>
      </c>
      <c r="AP366" s="2" t="s">
        <v>74</v>
      </c>
      <c r="AQ366" s="2" t="s">
        <v>74</v>
      </c>
      <c r="AR366" s="2" t="s">
        <v>74</v>
      </c>
      <c r="AS366" s="2" t="s">
        <v>74</v>
      </c>
      <c r="AT366" s="2" t="s">
        <v>74</v>
      </c>
      <c r="AU366" s="2">
        <v>1981</v>
      </c>
      <c r="AV366" s="2">
        <v>46</v>
      </c>
      <c r="AW366" s="2">
        <v>3</v>
      </c>
      <c r="AX366" s="2" t="s">
        <v>74</v>
      </c>
      <c r="AY366" s="2" t="s">
        <v>74</v>
      </c>
      <c r="AZ366" s="2" t="s">
        <v>74</v>
      </c>
      <c r="BA366" s="2" t="s">
        <v>74</v>
      </c>
      <c r="BB366" s="2">
        <v>151</v>
      </c>
      <c r="BC366" s="2">
        <v>161</v>
      </c>
      <c r="BD366" s="2" t="s">
        <v>74</v>
      </c>
      <c r="BE366" s="2" t="s">
        <v>74</v>
      </c>
      <c r="BF366" s="2" t="s">
        <v>74</v>
      </c>
      <c r="BG366" s="2" t="s">
        <v>74</v>
      </c>
      <c r="BH366" s="2" t="s">
        <v>74</v>
      </c>
      <c r="BI366" s="2" t="s">
        <v>74</v>
      </c>
      <c r="BJ366" s="2" t="s">
        <v>74</v>
      </c>
      <c r="BK366" s="2" t="s">
        <v>74</v>
      </c>
      <c r="BL366" s="2" t="s">
        <v>74</v>
      </c>
      <c r="BM366" s="2" t="s">
        <v>74</v>
      </c>
      <c r="BN366" s="2" t="s">
        <v>74</v>
      </c>
      <c r="BO366" s="2" t="s">
        <v>74</v>
      </c>
      <c r="BP366" s="2" t="s">
        <v>74</v>
      </c>
      <c r="BQ366" s="2" t="s">
        <v>74</v>
      </c>
      <c r="BR366" s="2" t="s">
        <v>74</v>
      </c>
      <c r="BS366" s="2" t="s">
        <v>5336</v>
      </c>
      <c r="BT366" s="2" t="str">
        <f>HYPERLINK("https%3A%2F%2Fwww.webofscience.com%2Fwos%2Fwoscc%2Ffull-record%2FWOS:A1981LX86400004","View Full Record in Web of Science")</f>
        <v>View Full Record in Web of Science</v>
      </c>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row>
    <row r="367" spans="1:314" s="2" customFormat="1" x14ac:dyDescent="0.4">
      <c r="A367" s="2" t="s">
        <v>72</v>
      </c>
      <c r="B367" s="2" t="s">
        <v>3439</v>
      </c>
      <c r="C367" s="2" t="s">
        <v>74</v>
      </c>
      <c r="D367" s="2" t="s">
        <v>74</v>
      </c>
      <c r="E367" s="2" t="s">
        <v>74</v>
      </c>
      <c r="F367" s="2" t="s">
        <v>3440</v>
      </c>
      <c r="G367" s="2" t="s">
        <v>74</v>
      </c>
      <c r="H367" s="2" t="s">
        <v>74</v>
      </c>
      <c r="I367" s="2" t="s">
        <v>3441</v>
      </c>
      <c r="J367" s="2" t="s">
        <v>763</v>
      </c>
      <c r="K367" s="2" t="s">
        <v>74</v>
      </c>
      <c r="L367" s="2" t="s">
        <v>74</v>
      </c>
      <c r="M367" s="2" t="s">
        <v>74</v>
      </c>
      <c r="N367" s="2" t="s">
        <v>74</v>
      </c>
      <c r="O367" s="2" t="s">
        <v>74</v>
      </c>
      <c r="P367" s="2" t="s">
        <v>74</v>
      </c>
      <c r="Q367" s="2" t="s">
        <v>74</v>
      </c>
      <c r="R367" s="2" t="s">
        <v>74</v>
      </c>
      <c r="S367" s="2" t="s">
        <v>74</v>
      </c>
      <c r="T367" s="2" t="s">
        <v>74</v>
      </c>
      <c r="U367" s="2" t="s">
        <v>74</v>
      </c>
      <c r="V367" s="5" t="s">
        <v>3442</v>
      </c>
      <c r="W367" s="2" t="s">
        <v>74</v>
      </c>
      <c r="X367" s="2" t="s">
        <v>74</v>
      </c>
      <c r="Y367" s="2" t="s">
        <v>74</v>
      </c>
      <c r="Z367" s="2" t="s">
        <v>74</v>
      </c>
      <c r="AA367" s="2" t="s">
        <v>3443</v>
      </c>
      <c r="AB367" s="2" t="s">
        <v>3444</v>
      </c>
      <c r="AC367" s="2" t="s">
        <v>74</v>
      </c>
      <c r="AD367" s="2" t="s">
        <v>74</v>
      </c>
      <c r="AE367" s="2" t="s">
        <v>74</v>
      </c>
      <c r="AF367" s="2" t="s">
        <v>74</v>
      </c>
      <c r="AG367" s="2" t="s">
        <v>74</v>
      </c>
      <c r="AH367" s="2" t="s">
        <v>74</v>
      </c>
      <c r="AI367" s="2" t="s">
        <v>74</v>
      </c>
      <c r="AJ367" s="2" t="s">
        <v>74</v>
      </c>
      <c r="AK367" s="2" t="s">
        <v>74</v>
      </c>
      <c r="AL367" s="2" t="s">
        <v>74</v>
      </c>
      <c r="AM367" s="2" t="s">
        <v>74</v>
      </c>
      <c r="AN367" s="2" t="s">
        <v>74</v>
      </c>
      <c r="AO367" s="2" t="s">
        <v>767</v>
      </c>
      <c r="AP367" s="2" t="s">
        <v>768</v>
      </c>
      <c r="AQ367" s="2" t="s">
        <v>74</v>
      </c>
      <c r="AR367" s="2" t="s">
        <v>74</v>
      </c>
      <c r="AS367" s="2" t="s">
        <v>74</v>
      </c>
      <c r="AT367" s="2" t="s">
        <v>3445</v>
      </c>
      <c r="AU367" s="2">
        <v>2016</v>
      </c>
      <c r="AV367" s="2">
        <v>219</v>
      </c>
      <c r="AW367" s="2">
        <v>18</v>
      </c>
      <c r="AX367" s="2" t="s">
        <v>74</v>
      </c>
      <c r="AY367" s="2" t="s">
        <v>74</v>
      </c>
      <c r="AZ367" s="2" t="s">
        <v>74</v>
      </c>
      <c r="BA367" s="2" t="s">
        <v>74</v>
      </c>
      <c r="BB367" s="2">
        <v>2837</v>
      </c>
      <c r="BC367" s="2">
        <v>2843</v>
      </c>
      <c r="BD367" s="2" t="s">
        <v>74</v>
      </c>
      <c r="BE367" s="2" t="s">
        <v>3446</v>
      </c>
      <c r="BF367" s="2" t="str">
        <f>HYPERLINK("http://dx.doi.org/10.1242/jeb.137885","http://dx.doi.org/10.1242/jeb.137885")</f>
        <v>http://dx.doi.org/10.1242/jeb.137885</v>
      </c>
      <c r="BG367" s="2" t="s">
        <v>74</v>
      </c>
      <c r="BH367" s="2" t="s">
        <v>74</v>
      </c>
      <c r="BI367" s="2" t="s">
        <v>74</v>
      </c>
      <c r="BJ367" s="2" t="s">
        <v>74</v>
      </c>
      <c r="BK367" s="2" t="s">
        <v>74</v>
      </c>
      <c r="BL367" s="2" t="s">
        <v>74</v>
      </c>
      <c r="BM367" s="2" t="s">
        <v>74</v>
      </c>
      <c r="BN367" s="2">
        <v>27401761</v>
      </c>
      <c r="BO367" s="2" t="s">
        <v>74</v>
      </c>
      <c r="BP367" s="2" t="s">
        <v>74</v>
      </c>
      <c r="BQ367" s="2" t="s">
        <v>74</v>
      </c>
      <c r="BR367" s="2" t="s">
        <v>74</v>
      </c>
      <c r="BS367" s="2" t="s">
        <v>3447</v>
      </c>
      <c r="BT367" s="2" t="str">
        <f>HYPERLINK("https%3A%2F%2Fwww.webofscience.com%2Fwos%2Fwoscc%2Ffull-record%2FWOS:000384250600015","View Full Record in Web of Science")</f>
        <v>View Full Record in Web of Science</v>
      </c>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row>
    <row r="368" spans="1:314" s="2" customFormat="1" x14ac:dyDescent="0.4">
      <c r="A368" s="2" t="s">
        <v>72</v>
      </c>
      <c r="B368" s="2" t="s">
        <v>8591</v>
      </c>
      <c r="C368" s="2" t="s">
        <v>74</v>
      </c>
      <c r="D368" s="2" t="s">
        <v>74</v>
      </c>
      <c r="E368" s="2" t="s">
        <v>74</v>
      </c>
      <c r="F368" s="2" t="s">
        <v>8591</v>
      </c>
      <c r="G368" s="2" t="s">
        <v>74</v>
      </c>
      <c r="H368" s="2" t="s">
        <v>74</v>
      </c>
      <c r="I368" s="2" t="s">
        <v>8592</v>
      </c>
      <c r="J368" s="2" t="s">
        <v>8067</v>
      </c>
      <c r="K368" s="2" t="s">
        <v>74</v>
      </c>
      <c r="L368" s="2" t="s">
        <v>74</v>
      </c>
      <c r="M368" s="2" t="s">
        <v>74</v>
      </c>
      <c r="N368" s="2" t="s">
        <v>74</v>
      </c>
      <c r="O368" s="2" t="s">
        <v>74</v>
      </c>
      <c r="P368" s="2" t="s">
        <v>74</v>
      </c>
      <c r="Q368" s="2" t="s">
        <v>74</v>
      </c>
      <c r="R368" s="2" t="s">
        <v>74</v>
      </c>
      <c r="S368" s="2" t="s">
        <v>74</v>
      </c>
      <c r="T368" s="2" t="s">
        <v>74</v>
      </c>
      <c r="U368" s="2" t="s">
        <v>74</v>
      </c>
      <c r="V368" s="5" t="s">
        <v>8593</v>
      </c>
      <c r="W368" s="2" t="s">
        <v>74</v>
      </c>
      <c r="X368" s="2" t="s">
        <v>74</v>
      </c>
      <c r="Y368" s="2" t="s">
        <v>74</v>
      </c>
      <c r="Z368" s="2" t="s">
        <v>74</v>
      </c>
      <c r="AA368" s="2" t="s">
        <v>8594</v>
      </c>
      <c r="AB368" s="2" t="s">
        <v>8595</v>
      </c>
      <c r="AC368" s="2" t="s">
        <v>74</v>
      </c>
      <c r="AD368" s="2" t="s">
        <v>74</v>
      </c>
      <c r="AE368" s="2" t="s">
        <v>74</v>
      </c>
      <c r="AF368" s="2" t="s">
        <v>74</v>
      </c>
      <c r="AG368" s="2" t="s">
        <v>74</v>
      </c>
      <c r="AH368" s="2" t="s">
        <v>74</v>
      </c>
      <c r="AI368" s="2" t="s">
        <v>74</v>
      </c>
      <c r="AJ368" s="2" t="s">
        <v>74</v>
      </c>
      <c r="AK368" s="2" t="s">
        <v>74</v>
      </c>
      <c r="AL368" s="2" t="s">
        <v>74</v>
      </c>
      <c r="AM368" s="2" t="s">
        <v>74</v>
      </c>
      <c r="AN368" s="2" t="s">
        <v>74</v>
      </c>
      <c r="AO368" s="2" t="s">
        <v>8071</v>
      </c>
      <c r="AP368" s="2" t="s">
        <v>74</v>
      </c>
      <c r="AQ368" s="2" t="s">
        <v>74</v>
      </c>
      <c r="AR368" s="2" t="s">
        <v>74</v>
      </c>
      <c r="AS368" s="2" t="s">
        <v>74</v>
      </c>
      <c r="AT368" s="2" t="s">
        <v>305</v>
      </c>
      <c r="AU368" s="2">
        <v>1995</v>
      </c>
      <c r="AV368" s="2">
        <v>189</v>
      </c>
      <c r="AW368" s="2">
        <v>3</v>
      </c>
      <c r="AX368" s="2" t="s">
        <v>74</v>
      </c>
      <c r="AY368" s="2" t="s">
        <v>74</v>
      </c>
      <c r="AZ368" s="2" t="s">
        <v>74</v>
      </c>
      <c r="BA368" s="2" t="s">
        <v>74</v>
      </c>
      <c r="BB368" s="2">
        <v>288</v>
      </c>
      <c r="BC368" s="2">
        <v>297</v>
      </c>
      <c r="BD368" s="2" t="s">
        <v>74</v>
      </c>
      <c r="BE368" s="2" t="s">
        <v>8596</v>
      </c>
      <c r="BF368" s="2" t="str">
        <f>HYPERLINK("http://dx.doi.org/10.2307/1542146","http://dx.doi.org/10.2307/1542146")</f>
        <v>http://dx.doi.org/10.2307/1542146</v>
      </c>
      <c r="BG368" s="2" t="s">
        <v>74</v>
      </c>
      <c r="BH368" s="2" t="s">
        <v>74</v>
      </c>
      <c r="BI368" s="2" t="s">
        <v>74</v>
      </c>
      <c r="BJ368" s="2" t="s">
        <v>74</v>
      </c>
      <c r="BK368" s="2" t="s">
        <v>74</v>
      </c>
      <c r="BL368" s="2" t="s">
        <v>74</v>
      </c>
      <c r="BM368" s="2" t="s">
        <v>74</v>
      </c>
      <c r="BN368" s="2">
        <v>29244570</v>
      </c>
      <c r="BO368" s="2" t="s">
        <v>74</v>
      </c>
      <c r="BP368" s="2" t="s">
        <v>74</v>
      </c>
      <c r="BQ368" s="2" t="s">
        <v>74</v>
      </c>
      <c r="BR368" s="2" t="s">
        <v>74</v>
      </c>
      <c r="BS368" s="2" t="s">
        <v>8597</v>
      </c>
      <c r="BT368" s="2" t="str">
        <f>HYPERLINK("https%3A%2F%2Fwww.webofscience.com%2Fwos%2Fwoscc%2Ffull-record%2FWOS:A1995TL76800004","View Full Record in Web of Science")</f>
        <v>View Full Record in Web of Science</v>
      </c>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row>
    <row r="369" spans="1:314" s="2" customFormat="1" x14ac:dyDescent="0.4">
      <c r="A369" s="2" t="s">
        <v>72</v>
      </c>
      <c r="B369" s="2" t="s">
        <v>6529</v>
      </c>
      <c r="C369" s="2" t="s">
        <v>74</v>
      </c>
      <c r="D369" s="2" t="s">
        <v>74</v>
      </c>
      <c r="E369" s="2" t="s">
        <v>74</v>
      </c>
      <c r="F369" s="2" t="s">
        <v>6530</v>
      </c>
      <c r="G369" s="2" t="s">
        <v>74</v>
      </c>
      <c r="H369" s="2" t="s">
        <v>74</v>
      </c>
      <c r="I369" s="2" t="s">
        <v>6531</v>
      </c>
      <c r="J369" s="2" t="s">
        <v>1302</v>
      </c>
      <c r="K369" s="2" t="s">
        <v>74</v>
      </c>
      <c r="L369" s="2" t="s">
        <v>74</v>
      </c>
      <c r="M369" s="2" t="s">
        <v>74</v>
      </c>
      <c r="N369" s="2" t="s">
        <v>74</v>
      </c>
      <c r="O369" s="2" t="s">
        <v>74</v>
      </c>
      <c r="P369" s="2" t="s">
        <v>74</v>
      </c>
      <c r="Q369" s="2" t="s">
        <v>74</v>
      </c>
      <c r="R369" s="2" t="s">
        <v>74</v>
      </c>
      <c r="S369" s="2" t="s">
        <v>74</v>
      </c>
      <c r="T369" s="2" t="s">
        <v>74</v>
      </c>
      <c r="U369" s="2" t="s">
        <v>74</v>
      </c>
      <c r="V369" s="5" t="s">
        <v>6532</v>
      </c>
      <c r="W369" s="2" t="s">
        <v>74</v>
      </c>
      <c r="X369" s="2" t="s">
        <v>74</v>
      </c>
      <c r="Y369" s="2" t="s">
        <v>74</v>
      </c>
      <c r="Z369" s="2" t="s">
        <v>74</v>
      </c>
      <c r="AA369" s="2" t="s">
        <v>74</v>
      </c>
      <c r="AB369" s="2" t="s">
        <v>6533</v>
      </c>
      <c r="AC369" s="2" t="s">
        <v>74</v>
      </c>
      <c r="AD369" s="2" t="s">
        <v>74</v>
      </c>
      <c r="AE369" s="2" t="s">
        <v>74</v>
      </c>
      <c r="AF369" s="2" t="s">
        <v>74</v>
      </c>
      <c r="AG369" s="2" t="s">
        <v>74</v>
      </c>
      <c r="AH369" s="2" t="s">
        <v>74</v>
      </c>
      <c r="AI369" s="2" t="s">
        <v>74</v>
      </c>
      <c r="AJ369" s="2" t="s">
        <v>74</v>
      </c>
      <c r="AK369" s="2" t="s">
        <v>74</v>
      </c>
      <c r="AL369" s="2" t="s">
        <v>74</v>
      </c>
      <c r="AM369" s="2" t="s">
        <v>74</v>
      </c>
      <c r="AN369" s="2" t="s">
        <v>74</v>
      </c>
      <c r="AO369" s="2" t="s">
        <v>1306</v>
      </c>
      <c r="AP369" s="2" t="s">
        <v>74</v>
      </c>
      <c r="AQ369" s="2" t="s">
        <v>74</v>
      </c>
      <c r="AR369" s="2" t="s">
        <v>74</v>
      </c>
      <c r="AS369" s="2" t="s">
        <v>74</v>
      </c>
      <c r="AT369" s="2" t="s">
        <v>74</v>
      </c>
      <c r="AU369" s="2">
        <v>2022</v>
      </c>
      <c r="AV369" s="2">
        <v>20</v>
      </c>
      <c r="AW369" s="2">
        <v>4</v>
      </c>
      <c r="AX369" s="2" t="s">
        <v>74</v>
      </c>
      <c r="AY369" s="2" t="s">
        <v>74</v>
      </c>
      <c r="AZ369" s="2" t="s">
        <v>74</v>
      </c>
      <c r="BA369" s="2" t="s">
        <v>74</v>
      </c>
      <c r="BB369" s="2" t="s">
        <v>74</v>
      </c>
      <c r="BC369" s="2" t="s">
        <v>74</v>
      </c>
      <c r="BD369" s="2" t="s">
        <v>6534</v>
      </c>
      <c r="BE369" s="2" t="s">
        <v>6535</v>
      </c>
      <c r="BF369" s="2" t="str">
        <f>HYPERLINK("http://dx.doi.org/10.1590/1982-0224-2022-0067","http://dx.doi.org/10.1590/1982-0224-2022-0067")</f>
        <v>http://dx.doi.org/10.1590/1982-0224-2022-0067</v>
      </c>
      <c r="BG369" s="2" t="s">
        <v>74</v>
      </c>
      <c r="BH369" s="2" t="s">
        <v>74</v>
      </c>
      <c r="BI369" s="2" t="s">
        <v>74</v>
      </c>
      <c r="BJ369" s="2" t="s">
        <v>74</v>
      </c>
      <c r="BK369" s="2" t="s">
        <v>74</v>
      </c>
      <c r="BL369" s="2" t="s">
        <v>74</v>
      </c>
      <c r="BM369" s="2" t="s">
        <v>74</v>
      </c>
      <c r="BN369" s="2" t="s">
        <v>74</v>
      </c>
      <c r="BO369" s="2" t="s">
        <v>74</v>
      </c>
      <c r="BP369" s="2" t="s">
        <v>74</v>
      </c>
      <c r="BQ369" s="2" t="s">
        <v>74</v>
      </c>
      <c r="BR369" s="2" t="s">
        <v>74</v>
      </c>
      <c r="BS369" s="2" t="s">
        <v>6536</v>
      </c>
      <c r="BT369" s="2" t="str">
        <f>HYPERLINK("https%3A%2F%2Fwww.webofscience.com%2Fwos%2Fwoscc%2Ffull-record%2FWOS:000889065500001","View Full Record in Web of Science")</f>
        <v>View Full Record in Web of Science</v>
      </c>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row>
    <row r="370" spans="1:314" s="2" customFormat="1" x14ac:dyDescent="0.4">
      <c r="A370" s="2" t="s">
        <v>72</v>
      </c>
      <c r="B370" s="2" t="s">
        <v>5890</v>
      </c>
      <c r="C370" s="2" t="s">
        <v>74</v>
      </c>
      <c r="D370" s="2" t="s">
        <v>74</v>
      </c>
      <c r="E370" s="2" t="s">
        <v>74</v>
      </c>
      <c r="F370" s="2" t="s">
        <v>5890</v>
      </c>
      <c r="G370" s="2" t="s">
        <v>74</v>
      </c>
      <c r="H370" s="2" t="s">
        <v>74</v>
      </c>
      <c r="I370" s="2" t="s">
        <v>5891</v>
      </c>
      <c r="J370" s="2" t="s">
        <v>367</v>
      </c>
      <c r="K370" s="2" t="s">
        <v>74</v>
      </c>
      <c r="L370" s="2" t="s">
        <v>74</v>
      </c>
      <c r="M370" s="2" t="s">
        <v>74</v>
      </c>
      <c r="N370" s="2" t="s">
        <v>74</v>
      </c>
      <c r="O370" s="2" t="s">
        <v>74</v>
      </c>
      <c r="P370" s="2" t="s">
        <v>74</v>
      </c>
      <c r="Q370" s="2" t="s">
        <v>74</v>
      </c>
      <c r="R370" s="2" t="s">
        <v>74</v>
      </c>
      <c r="S370" s="2" t="s">
        <v>74</v>
      </c>
      <c r="T370" s="2" t="s">
        <v>74</v>
      </c>
      <c r="U370" s="2" t="s">
        <v>74</v>
      </c>
      <c r="V370" s="5" t="s">
        <v>5892</v>
      </c>
      <c r="W370" s="2" t="s">
        <v>74</v>
      </c>
      <c r="X370" s="2" t="s">
        <v>74</v>
      </c>
      <c r="Y370" s="2" t="s">
        <v>74</v>
      </c>
      <c r="Z370" s="2" t="s">
        <v>74</v>
      </c>
      <c r="AA370" s="2" t="s">
        <v>74</v>
      </c>
      <c r="AB370" s="2" t="s">
        <v>74</v>
      </c>
      <c r="AC370" s="2" t="s">
        <v>74</v>
      </c>
      <c r="AD370" s="2" t="s">
        <v>74</v>
      </c>
      <c r="AE370" s="2" t="s">
        <v>74</v>
      </c>
      <c r="AF370" s="2" t="s">
        <v>74</v>
      </c>
      <c r="AG370" s="2" t="s">
        <v>74</v>
      </c>
      <c r="AH370" s="2" t="s">
        <v>74</v>
      </c>
      <c r="AI370" s="2" t="s">
        <v>74</v>
      </c>
      <c r="AJ370" s="2" t="s">
        <v>74</v>
      </c>
      <c r="AK370" s="2" t="s">
        <v>74</v>
      </c>
      <c r="AL370" s="2" t="s">
        <v>74</v>
      </c>
      <c r="AM370" s="2" t="s">
        <v>74</v>
      </c>
      <c r="AN370" s="2" t="s">
        <v>74</v>
      </c>
      <c r="AO370" s="2" t="s">
        <v>371</v>
      </c>
      <c r="AP370" s="2" t="s">
        <v>74</v>
      </c>
      <c r="AQ370" s="2" t="s">
        <v>74</v>
      </c>
      <c r="AR370" s="2" t="s">
        <v>74</v>
      </c>
      <c r="AS370" s="2" t="s">
        <v>74</v>
      </c>
      <c r="AT370" s="2" t="s">
        <v>102</v>
      </c>
      <c r="AU370" s="2">
        <v>1998</v>
      </c>
      <c r="AV370" s="2">
        <v>112</v>
      </c>
      <c r="AW370" s="2">
        <v>2</v>
      </c>
      <c r="AX370" s="2" t="s">
        <v>74</v>
      </c>
      <c r="AY370" s="2" t="s">
        <v>74</v>
      </c>
      <c r="AZ370" s="2" t="s">
        <v>74</v>
      </c>
      <c r="BA370" s="2" t="s">
        <v>74</v>
      </c>
      <c r="BB370" s="2">
        <v>170</v>
      </c>
      <c r="BC370" s="2">
        <v>182</v>
      </c>
      <c r="BD370" s="2" t="s">
        <v>74</v>
      </c>
      <c r="BE370" s="2" t="s">
        <v>5893</v>
      </c>
      <c r="BF370" s="2" t="str">
        <f>HYPERLINK("http://dx.doi.org/10.1037/0735-7036.112.2.170","http://dx.doi.org/10.1037/0735-7036.112.2.170")</f>
        <v>http://dx.doi.org/10.1037/0735-7036.112.2.170</v>
      </c>
      <c r="BG370" s="2" t="s">
        <v>74</v>
      </c>
      <c r="BH370" s="2" t="s">
        <v>74</v>
      </c>
      <c r="BI370" s="2" t="s">
        <v>74</v>
      </c>
      <c r="BJ370" s="2" t="s">
        <v>74</v>
      </c>
      <c r="BK370" s="2" t="s">
        <v>74</v>
      </c>
      <c r="BL370" s="2" t="s">
        <v>74</v>
      </c>
      <c r="BM370" s="2" t="s">
        <v>74</v>
      </c>
      <c r="BN370" s="2">
        <v>9642786</v>
      </c>
      <c r="BO370" s="2" t="s">
        <v>74</v>
      </c>
      <c r="BP370" s="2" t="s">
        <v>74</v>
      </c>
      <c r="BQ370" s="2" t="s">
        <v>74</v>
      </c>
      <c r="BR370" s="2" t="s">
        <v>74</v>
      </c>
      <c r="BS370" s="2" t="s">
        <v>5894</v>
      </c>
      <c r="BT370" s="2" t="str">
        <f>HYPERLINK("https%3A%2F%2Fwww.webofscience.com%2Fwos%2Fwoscc%2Ffull-record%2FWOS:000074164800007","View Full Record in Web of Science")</f>
        <v>View Full Record in Web of Science</v>
      </c>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row>
    <row r="371" spans="1:314" s="7" customFormat="1" x14ac:dyDescent="0.4">
      <c r="A371" s="2" t="s">
        <v>72</v>
      </c>
      <c r="B371" s="2" t="s">
        <v>4463</v>
      </c>
      <c r="C371" s="2" t="s">
        <v>74</v>
      </c>
      <c r="D371" s="2" t="s">
        <v>74</v>
      </c>
      <c r="E371" s="2" t="s">
        <v>74</v>
      </c>
      <c r="F371" s="2" t="s">
        <v>4464</v>
      </c>
      <c r="G371" s="2" t="s">
        <v>74</v>
      </c>
      <c r="H371" s="2" t="s">
        <v>74</v>
      </c>
      <c r="I371" s="2" t="s">
        <v>4465</v>
      </c>
      <c r="J371" s="2" t="s">
        <v>129</v>
      </c>
      <c r="K371" s="2" t="s">
        <v>74</v>
      </c>
      <c r="L371" s="2" t="s">
        <v>74</v>
      </c>
      <c r="M371" s="2" t="s">
        <v>74</v>
      </c>
      <c r="N371" s="2" t="s">
        <v>74</v>
      </c>
      <c r="O371" s="2" t="s">
        <v>74</v>
      </c>
      <c r="P371" s="2" t="s">
        <v>74</v>
      </c>
      <c r="Q371" s="2" t="s">
        <v>74</v>
      </c>
      <c r="R371" s="2" t="s">
        <v>74</v>
      </c>
      <c r="S371" s="2" t="s">
        <v>74</v>
      </c>
      <c r="T371" s="2" t="s">
        <v>74</v>
      </c>
      <c r="U371" s="2" t="s">
        <v>74</v>
      </c>
      <c r="V371" s="5" t="s">
        <v>4466</v>
      </c>
      <c r="W371" s="2" t="s">
        <v>74</v>
      </c>
      <c r="X371" s="2" t="s">
        <v>74</v>
      </c>
      <c r="Y371" s="2" t="s">
        <v>74</v>
      </c>
      <c r="Z371" s="2" t="s">
        <v>74</v>
      </c>
      <c r="AA371" s="2" t="s">
        <v>4467</v>
      </c>
      <c r="AB371" s="2" t="s">
        <v>4468</v>
      </c>
      <c r="AC371" s="2" t="s">
        <v>74</v>
      </c>
      <c r="AD371" s="2" t="s">
        <v>74</v>
      </c>
      <c r="AE371" s="2" t="s">
        <v>74</v>
      </c>
      <c r="AF371" s="2" t="s">
        <v>74</v>
      </c>
      <c r="AG371" s="2" t="s">
        <v>74</v>
      </c>
      <c r="AH371" s="2" t="s">
        <v>74</v>
      </c>
      <c r="AI371" s="2" t="s">
        <v>74</v>
      </c>
      <c r="AJ371" s="2" t="s">
        <v>74</v>
      </c>
      <c r="AK371" s="2" t="s">
        <v>74</v>
      </c>
      <c r="AL371" s="2" t="s">
        <v>74</v>
      </c>
      <c r="AM371" s="2" t="s">
        <v>74</v>
      </c>
      <c r="AN371" s="2" t="s">
        <v>74</v>
      </c>
      <c r="AO371" s="2" t="s">
        <v>132</v>
      </c>
      <c r="AP371" s="2" t="s">
        <v>133</v>
      </c>
      <c r="AQ371" s="2" t="s">
        <v>74</v>
      </c>
      <c r="AR371" s="2" t="s">
        <v>74</v>
      </c>
      <c r="AS371" s="2" t="s">
        <v>74</v>
      </c>
      <c r="AT371" s="2" t="s">
        <v>145</v>
      </c>
      <c r="AU371" s="2">
        <v>2015</v>
      </c>
      <c r="AV371" s="2">
        <v>69</v>
      </c>
      <c r="AW371" s="2">
        <v>8</v>
      </c>
      <c r="AX371" s="2" t="s">
        <v>74</v>
      </c>
      <c r="AY371" s="2" t="s">
        <v>74</v>
      </c>
      <c r="AZ371" s="2" t="s">
        <v>74</v>
      </c>
      <c r="BA371" s="2" t="s">
        <v>74</v>
      </c>
      <c r="BB371" s="2">
        <v>1251</v>
      </c>
      <c r="BC371" s="2">
        <v>1264</v>
      </c>
      <c r="BD371" s="2" t="s">
        <v>74</v>
      </c>
      <c r="BE371" s="2" t="s">
        <v>4469</v>
      </c>
      <c r="BF371" s="2" t="str">
        <f>HYPERLINK("http://dx.doi.org/10.1007/s00265-015-1938-5","http://dx.doi.org/10.1007/s00265-015-1938-5")</f>
        <v>http://dx.doi.org/10.1007/s00265-015-1938-5</v>
      </c>
      <c r="BG371" s="2" t="s">
        <v>74</v>
      </c>
      <c r="BH371" s="2" t="s">
        <v>74</v>
      </c>
      <c r="BI371" s="2" t="s">
        <v>74</v>
      </c>
      <c r="BJ371" s="2" t="s">
        <v>74</v>
      </c>
      <c r="BK371" s="2" t="s">
        <v>74</v>
      </c>
      <c r="BL371" s="2" t="s">
        <v>74</v>
      </c>
      <c r="BM371" s="2" t="s">
        <v>74</v>
      </c>
      <c r="BN371" s="2" t="s">
        <v>74</v>
      </c>
      <c r="BO371" s="2" t="s">
        <v>74</v>
      </c>
      <c r="BP371" s="2" t="s">
        <v>74</v>
      </c>
      <c r="BQ371" s="2" t="s">
        <v>74</v>
      </c>
      <c r="BR371" s="2" t="s">
        <v>74</v>
      </c>
      <c r="BS371" s="2" t="s">
        <v>4470</v>
      </c>
      <c r="BT371" s="2" t="str">
        <f>HYPERLINK("https%3A%2F%2Fwww.webofscience.com%2Fwos%2Fwoscc%2Ffull-record%2FWOS:000358734700002","View Full Record in Web of Science")</f>
        <v>View Full Record in Web of Science</v>
      </c>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row>
    <row r="372" spans="1:314" s="2" customFormat="1" x14ac:dyDescent="0.4">
      <c r="A372" s="2" t="s">
        <v>72</v>
      </c>
      <c r="B372" s="2" t="s">
        <v>3929</v>
      </c>
      <c r="C372" s="2" t="s">
        <v>74</v>
      </c>
      <c r="D372" s="2" t="s">
        <v>74</v>
      </c>
      <c r="E372" s="2" t="s">
        <v>74</v>
      </c>
      <c r="F372" s="2" t="s">
        <v>3930</v>
      </c>
      <c r="G372" s="2" t="s">
        <v>74</v>
      </c>
      <c r="H372" s="2" t="s">
        <v>74</v>
      </c>
      <c r="I372" s="2" t="s">
        <v>3931</v>
      </c>
      <c r="J372" s="2" t="s">
        <v>763</v>
      </c>
      <c r="K372" s="2" t="s">
        <v>74</v>
      </c>
      <c r="L372" s="2" t="s">
        <v>74</v>
      </c>
      <c r="M372" s="2" t="s">
        <v>74</v>
      </c>
      <c r="N372" s="2" t="s">
        <v>74</v>
      </c>
      <c r="O372" s="2" t="s">
        <v>74</v>
      </c>
      <c r="P372" s="2" t="s">
        <v>74</v>
      </c>
      <c r="Q372" s="2" t="s">
        <v>74</v>
      </c>
      <c r="R372" s="2" t="s">
        <v>74</v>
      </c>
      <c r="S372" s="2" t="s">
        <v>74</v>
      </c>
      <c r="T372" s="2" t="s">
        <v>74</v>
      </c>
      <c r="U372" s="2" t="s">
        <v>74</v>
      </c>
      <c r="V372" s="5" t="s">
        <v>3932</v>
      </c>
      <c r="W372" s="2" t="s">
        <v>74</v>
      </c>
      <c r="X372" s="2" t="s">
        <v>74</v>
      </c>
      <c r="Y372" s="2" t="s">
        <v>74</v>
      </c>
      <c r="Z372" s="2" t="s">
        <v>74</v>
      </c>
      <c r="AA372" s="2" t="s">
        <v>3933</v>
      </c>
      <c r="AB372" s="2" t="s">
        <v>3934</v>
      </c>
      <c r="AC372" s="2" t="s">
        <v>74</v>
      </c>
      <c r="AD372" s="2" t="s">
        <v>74</v>
      </c>
      <c r="AE372" s="2" t="s">
        <v>74</v>
      </c>
      <c r="AF372" s="2" t="s">
        <v>74</v>
      </c>
      <c r="AG372" s="2" t="s">
        <v>74</v>
      </c>
      <c r="AH372" s="2" t="s">
        <v>74</v>
      </c>
      <c r="AI372" s="2" t="s">
        <v>74</v>
      </c>
      <c r="AJ372" s="2" t="s">
        <v>74</v>
      </c>
      <c r="AK372" s="2" t="s">
        <v>74</v>
      </c>
      <c r="AL372" s="2" t="s">
        <v>74</v>
      </c>
      <c r="AM372" s="2" t="s">
        <v>74</v>
      </c>
      <c r="AN372" s="2" t="s">
        <v>74</v>
      </c>
      <c r="AO372" s="2" t="s">
        <v>767</v>
      </c>
      <c r="AP372" s="2" t="s">
        <v>768</v>
      </c>
      <c r="AQ372" s="2" t="s">
        <v>74</v>
      </c>
      <c r="AR372" s="2" t="s">
        <v>74</v>
      </c>
      <c r="AS372" s="2" t="s">
        <v>74</v>
      </c>
      <c r="AT372" s="2" t="s">
        <v>134</v>
      </c>
      <c r="AU372" s="2">
        <v>2022</v>
      </c>
      <c r="AV372" s="2">
        <v>225</v>
      </c>
      <c r="AW372" s="2">
        <v>10</v>
      </c>
      <c r="AX372" s="2" t="s">
        <v>74</v>
      </c>
      <c r="AY372" s="2" t="s">
        <v>74</v>
      </c>
      <c r="AZ372" s="2" t="s">
        <v>74</v>
      </c>
      <c r="BA372" s="2" t="s">
        <v>74</v>
      </c>
      <c r="BB372" s="2" t="s">
        <v>74</v>
      </c>
      <c r="BC372" s="2" t="s">
        <v>74</v>
      </c>
      <c r="BD372" s="2" t="s">
        <v>3935</v>
      </c>
      <c r="BE372" s="2" t="s">
        <v>3936</v>
      </c>
      <c r="BF372" s="2" t="str">
        <f>HYPERLINK("http://dx.doi.org/10.1242/jeb.242955","http://dx.doi.org/10.1242/jeb.242955")</f>
        <v>http://dx.doi.org/10.1242/jeb.242955</v>
      </c>
      <c r="BG372" s="2" t="s">
        <v>74</v>
      </c>
      <c r="BH372" s="2" t="s">
        <v>74</v>
      </c>
      <c r="BI372" s="2" t="s">
        <v>74</v>
      </c>
      <c r="BJ372" s="2" t="s">
        <v>74</v>
      </c>
      <c r="BK372" s="2" t="s">
        <v>74</v>
      </c>
      <c r="BL372" s="2" t="s">
        <v>74</v>
      </c>
      <c r="BM372" s="2" t="s">
        <v>74</v>
      </c>
      <c r="BN372" s="2">
        <v>35514228</v>
      </c>
      <c r="BO372" s="2" t="s">
        <v>74</v>
      </c>
      <c r="BP372" s="2" t="s">
        <v>74</v>
      </c>
      <c r="BQ372" s="2" t="s">
        <v>74</v>
      </c>
      <c r="BR372" s="2" t="s">
        <v>74</v>
      </c>
      <c r="BS372" s="2" t="s">
        <v>3937</v>
      </c>
      <c r="BT372" s="2" t="str">
        <f>HYPERLINK("https%3A%2F%2Fwww.webofscience.com%2Fwos%2Fwoscc%2Ffull-record%2FWOS:000806042900004","View Full Record in Web of Science")</f>
        <v>View Full Record in Web of Science</v>
      </c>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row>
    <row r="373" spans="1:314" s="2" customFormat="1" x14ac:dyDescent="0.4">
      <c r="A373" s="2" t="s">
        <v>72</v>
      </c>
      <c r="B373" s="2" t="s">
        <v>3304</v>
      </c>
      <c r="C373" s="2" t="s">
        <v>74</v>
      </c>
      <c r="D373" s="2" t="s">
        <v>74</v>
      </c>
      <c r="E373" s="2" t="s">
        <v>74</v>
      </c>
      <c r="F373" s="2" t="s">
        <v>3305</v>
      </c>
      <c r="G373" s="2" t="s">
        <v>74</v>
      </c>
      <c r="H373" s="2" t="s">
        <v>74</v>
      </c>
      <c r="I373" s="2" t="s">
        <v>3306</v>
      </c>
      <c r="J373" s="2" t="s">
        <v>218</v>
      </c>
      <c r="K373" s="2" t="s">
        <v>74</v>
      </c>
      <c r="L373" s="2" t="s">
        <v>74</v>
      </c>
      <c r="M373" s="2" t="s">
        <v>74</v>
      </c>
      <c r="N373" s="2" t="s">
        <v>74</v>
      </c>
      <c r="O373" s="2" t="s">
        <v>74</v>
      </c>
      <c r="P373" s="2" t="s">
        <v>74</v>
      </c>
      <c r="Q373" s="2" t="s">
        <v>74</v>
      </c>
      <c r="R373" s="2" t="s">
        <v>74</v>
      </c>
      <c r="S373" s="2" t="s">
        <v>74</v>
      </c>
      <c r="T373" s="2" t="s">
        <v>74</v>
      </c>
      <c r="U373" s="2" t="s">
        <v>74</v>
      </c>
      <c r="V373" s="5" t="s">
        <v>3307</v>
      </c>
      <c r="W373" s="2" t="s">
        <v>74</v>
      </c>
      <c r="X373" s="2" t="s">
        <v>74</v>
      </c>
      <c r="Y373" s="2" t="s">
        <v>74</v>
      </c>
      <c r="Z373" s="2" t="s">
        <v>74</v>
      </c>
      <c r="AA373" s="2" t="s">
        <v>623</v>
      </c>
      <c r="AB373" s="2" t="s">
        <v>1336</v>
      </c>
      <c r="AC373" s="2" t="s">
        <v>74</v>
      </c>
      <c r="AD373" s="2" t="s">
        <v>74</v>
      </c>
      <c r="AE373" s="2" t="s">
        <v>74</v>
      </c>
      <c r="AF373" s="2" t="s">
        <v>74</v>
      </c>
      <c r="AG373" s="2" t="s">
        <v>74</v>
      </c>
      <c r="AH373" s="2" t="s">
        <v>74</v>
      </c>
      <c r="AI373" s="2" t="s">
        <v>74</v>
      </c>
      <c r="AJ373" s="2" t="s">
        <v>74</v>
      </c>
      <c r="AK373" s="2" t="s">
        <v>74</v>
      </c>
      <c r="AL373" s="2" t="s">
        <v>74</v>
      </c>
      <c r="AM373" s="2" t="s">
        <v>74</v>
      </c>
      <c r="AN373" s="2" t="s">
        <v>74</v>
      </c>
      <c r="AO373" s="2" t="s">
        <v>221</v>
      </c>
      <c r="AP373" s="2" t="s">
        <v>222</v>
      </c>
      <c r="AQ373" s="2" t="s">
        <v>74</v>
      </c>
      <c r="AR373" s="2" t="s">
        <v>74</v>
      </c>
      <c r="AS373" s="2" t="s">
        <v>74</v>
      </c>
      <c r="AT373" s="2" t="s">
        <v>145</v>
      </c>
      <c r="AU373" s="2">
        <v>2015</v>
      </c>
      <c r="AV373" s="2">
        <v>28</v>
      </c>
      <c r="AW373" s="2">
        <v>8</v>
      </c>
      <c r="AX373" s="2" t="s">
        <v>74</v>
      </c>
      <c r="AY373" s="2" t="s">
        <v>74</v>
      </c>
      <c r="AZ373" s="2" t="s">
        <v>74</v>
      </c>
      <c r="BA373" s="2" t="s">
        <v>74</v>
      </c>
      <c r="BB373" s="2">
        <v>1439</v>
      </c>
      <c r="BC373" s="2">
        <v>1452</v>
      </c>
      <c r="BD373" s="2" t="s">
        <v>74</v>
      </c>
      <c r="BE373" s="2" t="s">
        <v>3308</v>
      </c>
      <c r="BF373" s="2" t="str">
        <f>HYPERLINK("http://dx.doi.org/10.1111/jeb.12665","http://dx.doi.org/10.1111/jeb.12665")</f>
        <v>http://dx.doi.org/10.1111/jeb.12665</v>
      </c>
      <c r="BG373" s="2" t="s">
        <v>74</v>
      </c>
      <c r="BH373" s="2" t="s">
        <v>74</v>
      </c>
      <c r="BI373" s="2" t="s">
        <v>74</v>
      </c>
      <c r="BJ373" s="2" t="s">
        <v>74</v>
      </c>
      <c r="BK373" s="2" t="s">
        <v>74</v>
      </c>
      <c r="BL373" s="2" t="s">
        <v>74</v>
      </c>
      <c r="BM373" s="2" t="s">
        <v>74</v>
      </c>
      <c r="BN373" s="2">
        <v>26033550</v>
      </c>
      <c r="BO373" s="2" t="s">
        <v>74</v>
      </c>
      <c r="BP373" s="2" t="s">
        <v>74</v>
      </c>
      <c r="BQ373" s="2" t="s">
        <v>74</v>
      </c>
      <c r="BR373" s="2" t="s">
        <v>74</v>
      </c>
      <c r="BS373" s="2" t="s">
        <v>3309</v>
      </c>
      <c r="BT373" s="2" t="str">
        <f>HYPERLINK("https%3A%2F%2Fwww.webofscience.com%2Fwos%2Fwoscc%2Ffull-record%2FWOS:000359606200002","View Full Record in Web of Science")</f>
        <v>View Full Record in Web of Science</v>
      </c>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row>
    <row r="374" spans="1:314" s="2" customFormat="1" x14ac:dyDescent="0.4">
      <c r="A374" s="2" t="s">
        <v>72</v>
      </c>
      <c r="B374" s="2" t="s">
        <v>1332</v>
      </c>
      <c r="C374" s="2" t="s">
        <v>74</v>
      </c>
      <c r="D374" s="2" t="s">
        <v>74</v>
      </c>
      <c r="E374" s="2" t="s">
        <v>74</v>
      </c>
      <c r="F374" s="2" t="s">
        <v>1333</v>
      </c>
      <c r="G374" s="2" t="s">
        <v>74</v>
      </c>
      <c r="H374" s="2" t="s">
        <v>74</v>
      </c>
      <c r="I374" s="2" t="s">
        <v>1334</v>
      </c>
      <c r="J374" s="2" t="s">
        <v>108</v>
      </c>
      <c r="K374" s="2" t="s">
        <v>74</v>
      </c>
      <c r="L374" s="2" t="s">
        <v>74</v>
      </c>
      <c r="M374" s="2" t="s">
        <v>74</v>
      </c>
      <c r="N374" s="2" t="s">
        <v>74</v>
      </c>
      <c r="O374" s="2" t="s">
        <v>74</v>
      </c>
      <c r="P374" s="2" t="s">
        <v>74</v>
      </c>
      <c r="Q374" s="2" t="s">
        <v>74</v>
      </c>
      <c r="R374" s="2" t="s">
        <v>74</v>
      </c>
      <c r="S374" s="2" t="s">
        <v>74</v>
      </c>
      <c r="T374" s="2" t="s">
        <v>74</v>
      </c>
      <c r="U374" s="2" t="s">
        <v>74</v>
      </c>
      <c r="V374" s="5" t="s">
        <v>1335</v>
      </c>
      <c r="W374" s="2" t="s">
        <v>74</v>
      </c>
      <c r="X374" s="2" t="s">
        <v>74</v>
      </c>
      <c r="Y374" s="2" t="s">
        <v>74</v>
      </c>
      <c r="Z374" s="2" t="s">
        <v>74</v>
      </c>
      <c r="AA374" s="2" t="s">
        <v>623</v>
      </c>
      <c r="AB374" s="2" t="s">
        <v>1336</v>
      </c>
      <c r="AC374" s="2" t="s">
        <v>74</v>
      </c>
      <c r="AD374" s="2" t="s">
        <v>74</v>
      </c>
      <c r="AE374" s="2" t="s">
        <v>74</v>
      </c>
      <c r="AF374" s="2" t="s">
        <v>74</v>
      </c>
      <c r="AG374" s="2" t="s">
        <v>74</v>
      </c>
      <c r="AH374" s="2" t="s">
        <v>74</v>
      </c>
      <c r="AI374" s="2" t="s">
        <v>74</v>
      </c>
      <c r="AJ374" s="2" t="s">
        <v>74</v>
      </c>
      <c r="AK374" s="2" t="s">
        <v>74</v>
      </c>
      <c r="AL374" s="2" t="s">
        <v>74</v>
      </c>
      <c r="AM374" s="2" t="s">
        <v>74</v>
      </c>
      <c r="AN374" s="2" t="s">
        <v>74</v>
      </c>
      <c r="AO374" s="2" t="s">
        <v>111</v>
      </c>
      <c r="AP374" s="2" t="s">
        <v>112</v>
      </c>
      <c r="AQ374" s="2" t="s">
        <v>74</v>
      </c>
      <c r="AR374" s="2" t="s">
        <v>74</v>
      </c>
      <c r="AS374" s="2" t="s">
        <v>74</v>
      </c>
      <c r="AT374" s="2" t="s">
        <v>939</v>
      </c>
      <c r="AU374" s="2">
        <v>2014</v>
      </c>
      <c r="AV374" s="2">
        <v>281</v>
      </c>
      <c r="AW374" s="2">
        <v>1796</v>
      </c>
      <c r="AX374" s="2" t="s">
        <v>74</v>
      </c>
      <c r="AY374" s="2" t="s">
        <v>74</v>
      </c>
      <c r="AZ374" s="2" t="s">
        <v>74</v>
      </c>
      <c r="BA374" s="2" t="s">
        <v>74</v>
      </c>
      <c r="BB374" s="2" t="s">
        <v>74</v>
      </c>
      <c r="BC374" s="2" t="s">
        <v>74</v>
      </c>
      <c r="BD374" s="2">
        <v>20141737</v>
      </c>
      <c r="BE374" s="2" t="s">
        <v>1337</v>
      </c>
      <c r="BF374" s="2" t="str">
        <f>HYPERLINK("http://dx.doi.org/10.1098/rspb.2014.1737","http://dx.doi.org/10.1098/rspb.2014.1737")</f>
        <v>http://dx.doi.org/10.1098/rspb.2014.1737</v>
      </c>
      <c r="BG374" s="2" t="s">
        <v>74</v>
      </c>
      <c r="BH374" s="2" t="s">
        <v>74</v>
      </c>
      <c r="BI374" s="2" t="s">
        <v>74</v>
      </c>
      <c r="BJ374" s="2" t="s">
        <v>74</v>
      </c>
      <c r="BK374" s="2" t="s">
        <v>74</v>
      </c>
      <c r="BL374" s="2" t="s">
        <v>74</v>
      </c>
      <c r="BM374" s="2" t="s">
        <v>74</v>
      </c>
      <c r="BN374" s="2">
        <v>25339724</v>
      </c>
      <c r="BO374" s="2" t="s">
        <v>74</v>
      </c>
      <c r="BP374" s="2" t="s">
        <v>74</v>
      </c>
      <c r="BQ374" s="2" t="s">
        <v>74</v>
      </c>
      <c r="BR374" s="2" t="s">
        <v>74</v>
      </c>
      <c r="BS374" s="2" t="s">
        <v>1338</v>
      </c>
      <c r="BT374" s="2" t="str">
        <f>HYPERLINK("https%3A%2F%2Fwww.webofscience.com%2Fwos%2Fwoscc%2Ffull-record%2FWOS:000343674500017","View Full Record in Web of Science")</f>
        <v>View Full Record in Web of Science</v>
      </c>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row>
    <row r="375" spans="1:314" s="2" customFormat="1" x14ac:dyDescent="0.4">
      <c r="A375" s="2" t="s">
        <v>72</v>
      </c>
      <c r="B375" s="2" t="s">
        <v>1979</v>
      </c>
      <c r="C375" s="2" t="s">
        <v>74</v>
      </c>
      <c r="D375" s="2" t="s">
        <v>74</v>
      </c>
      <c r="E375" s="2" t="s">
        <v>74</v>
      </c>
      <c r="F375" s="2" t="s">
        <v>1979</v>
      </c>
      <c r="G375" s="2" t="s">
        <v>74</v>
      </c>
      <c r="H375" s="2" t="s">
        <v>74</v>
      </c>
      <c r="I375" s="2" t="s">
        <v>1980</v>
      </c>
      <c r="J375" s="2" t="s">
        <v>1981</v>
      </c>
      <c r="K375" s="2" t="s">
        <v>74</v>
      </c>
      <c r="L375" s="2" t="s">
        <v>74</v>
      </c>
      <c r="M375" s="2" t="s">
        <v>74</v>
      </c>
      <c r="N375" s="2" t="s">
        <v>74</v>
      </c>
      <c r="O375" s="2" t="s">
        <v>74</v>
      </c>
      <c r="P375" s="2" t="s">
        <v>74</v>
      </c>
      <c r="Q375" s="2" t="s">
        <v>74</v>
      </c>
      <c r="R375" s="2" t="s">
        <v>74</v>
      </c>
      <c r="S375" s="2" t="s">
        <v>74</v>
      </c>
      <c r="T375" s="2" t="s">
        <v>74</v>
      </c>
      <c r="U375" s="2" t="s">
        <v>74</v>
      </c>
      <c r="V375" s="5" t="s">
        <v>1982</v>
      </c>
      <c r="W375" s="2" t="s">
        <v>74</v>
      </c>
      <c r="X375" s="2" t="s">
        <v>74</v>
      </c>
      <c r="Y375" s="2" t="s">
        <v>74</v>
      </c>
      <c r="Z375" s="2" t="s">
        <v>74</v>
      </c>
      <c r="AA375" s="2" t="s">
        <v>74</v>
      </c>
      <c r="AB375" s="2" t="s">
        <v>74</v>
      </c>
      <c r="AC375" s="2" t="s">
        <v>74</v>
      </c>
      <c r="AD375" s="2" t="s">
        <v>74</v>
      </c>
      <c r="AE375" s="2" t="s">
        <v>74</v>
      </c>
      <c r="AF375" s="2" t="s">
        <v>74</v>
      </c>
      <c r="AG375" s="2" t="s">
        <v>74</v>
      </c>
      <c r="AH375" s="2" t="s">
        <v>74</v>
      </c>
      <c r="AI375" s="2" t="s">
        <v>74</v>
      </c>
      <c r="AJ375" s="2" t="s">
        <v>74</v>
      </c>
      <c r="AK375" s="2" t="s">
        <v>74</v>
      </c>
      <c r="AL375" s="2" t="s">
        <v>74</v>
      </c>
      <c r="AM375" s="2" t="s">
        <v>74</v>
      </c>
      <c r="AN375" s="2" t="s">
        <v>74</v>
      </c>
      <c r="AO375" s="2" t="s">
        <v>1983</v>
      </c>
      <c r="AP375" s="2" t="s">
        <v>74</v>
      </c>
      <c r="AQ375" s="2" t="s">
        <v>74</v>
      </c>
      <c r="AR375" s="2" t="s">
        <v>74</v>
      </c>
      <c r="AS375" s="2" t="s">
        <v>74</v>
      </c>
      <c r="AT375" s="2" t="s">
        <v>102</v>
      </c>
      <c r="AU375" s="2">
        <v>1991</v>
      </c>
      <c r="AV375" s="2">
        <v>29</v>
      </c>
      <c r="AW375" s="2">
        <v>2</v>
      </c>
      <c r="AX375" s="2" t="s">
        <v>74</v>
      </c>
      <c r="AY375" s="2" t="s">
        <v>74</v>
      </c>
      <c r="AZ375" s="2" t="s">
        <v>74</v>
      </c>
      <c r="BA375" s="2" t="s">
        <v>74</v>
      </c>
      <c r="BB375" s="2">
        <v>123</v>
      </c>
      <c r="BC375" s="2">
        <v>138</v>
      </c>
      <c r="BD375" s="2" t="s">
        <v>74</v>
      </c>
      <c r="BE375" s="2" t="s">
        <v>74</v>
      </c>
      <c r="BF375" s="2" t="s">
        <v>74</v>
      </c>
      <c r="BG375" s="2" t="s">
        <v>74</v>
      </c>
      <c r="BH375" s="2" t="s">
        <v>74</v>
      </c>
      <c r="BI375" s="2" t="s">
        <v>74</v>
      </c>
      <c r="BJ375" s="2" t="s">
        <v>74</v>
      </c>
      <c r="BK375" s="2" t="s">
        <v>74</v>
      </c>
      <c r="BL375" s="2" t="s">
        <v>74</v>
      </c>
      <c r="BM375" s="2" t="s">
        <v>74</v>
      </c>
      <c r="BN375" s="2" t="s">
        <v>74</v>
      </c>
      <c r="BO375" s="2" t="s">
        <v>74</v>
      </c>
      <c r="BP375" s="2" t="s">
        <v>74</v>
      </c>
      <c r="BQ375" s="2" t="s">
        <v>74</v>
      </c>
      <c r="BR375" s="2" t="s">
        <v>74</v>
      </c>
      <c r="BS375" s="2" t="s">
        <v>1984</v>
      </c>
      <c r="BT375" s="2" t="str">
        <f>HYPERLINK("https%3A%2F%2Fwww.webofscience.com%2Fwos%2Fwoscc%2Ffull-record%2FWOS:A1991FW08800006","View Full Record in Web of Science")</f>
        <v>View Full Record in Web of Science</v>
      </c>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row>
    <row r="376" spans="1:314" s="2" customFormat="1" x14ac:dyDescent="0.4">
      <c r="A376" s="2" t="s">
        <v>72</v>
      </c>
      <c r="B376" s="2" t="s">
        <v>7477</v>
      </c>
      <c r="C376" s="2" t="s">
        <v>74</v>
      </c>
      <c r="D376" s="2" t="s">
        <v>74</v>
      </c>
      <c r="E376" s="2" t="s">
        <v>74</v>
      </c>
      <c r="F376" s="2" t="s">
        <v>7477</v>
      </c>
      <c r="G376" s="2" t="s">
        <v>74</v>
      </c>
      <c r="H376" s="2" t="s">
        <v>74</v>
      </c>
      <c r="I376" s="2" t="s">
        <v>7478</v>
      </c>
      <c r="J376" s="2" t="s">
        <v>408</v>
      </c>
      <c r="K376" s="2" t="s">
        <v>74</v>
      </c>
      <c r="L376" s="2" t="s">
        <v>74</v>
      </c>
      <c r="M376" s="2" t="s">
        <v>74</v>
      </c>
      <c r="N376" s="2" t="s">
        <v>74</v>
      </c>
      <c r="O376" s="2" t="s">
        <v>74</v>
      </c>
      <c r="P376" s="2" t="s">
        <v>74</v>
      </c>
      <c r="Q376" s="2" t="s">
        <v>74</v>
      </c>
      <c r="R376" s="2" t="s">
        <v>74</v>
      </c>
      <c r="S376" s="2" t="s">
        <v>74</v>
      </c>
      <c r="T376" s="2" t="s">
        <v>74</v>
      </c>
      <c r="U376" s="2" t="s">
        <v>74</v>
      </c>
      <c r="V376" s="5" t="s">
        <v>7479</v>
      </c>
      <c r="W376" s="2" t="s">
        <v>74</v>
      </c>
      <c r="X376" s="2" t="s">
        <v>74</v>
      </c>
      <c r="Y376" s="2" t="s">
        <v>74</v>
      </c>
      <c r="Z376" s="2" t="s">
        <v>74</v>
      </c>
      <c r="AA376" s="2" t="s">
        <v>7480</v>
      </c>
      <c r="AB376" s="2" t="s">
        <v>7481</v>
      </c>
      <c r="AC376" s="2" t="s">
        <v>74</v>
      </c>
      <c r="AD376" s="2" t="s">
        <v>74</v>
      </c>
      <c r="AE376" s="2" t="s">
        <v>74</v>
      </c>
      <c r="AF376" s="2" t="s">
        <v>74</v>
      </c>
      <c r="AG376" s="2" t="s">
        <v>74</v>
      </c>
      <c r="AH376" s="2" t="s">
        <v>74</v>
      </c>
      <c r="AI376" s="2" t="s">
        <v>74</v>
      </c>
      <c r="AJ376" s="2" t="s">
        <v>74</v>
      </c>
      <c r="AK376" s="2" t="s">
        <v>74</v>
      </c>
      <c r="AL376" s="2" t="s">
        <v>74</v>
      </c>
      <c r="AM376" s="2" t="s">
        <v>74</v>
      </c>
      <c r="AN376" s="2" t="s">
        <v>74</v>
      </c>
      <c r="AO376" s="2" t="s">
        <v>412</v>
      </c>
      <c r="AP376" s="2" t="s">
        <v>74</v>
      </c>
      <c r="AQ376" s="2" t="s">
        <v>74</v>
      </c>
      <c r="AR376" s="2" t="s">
        <v>74</v>
      </c>
      <c r="AS376" s="2" t="s">
        <v>74</v>
      </c>
      <c r="AT376" s="2" t="s">
        <v>204</v>
      </c>
      <c r="AU376" s="2">
        <v>1996</v>
      </c>
      <c r="AV376" s="2">
        <v>58</v>
      </c>
      <c r="AW376" s="2">
        <v>3</v>
      </c>
      <c r="AX376" s="2" t="s">
        <v>74</v>
      </c>
      <c r="AY376" s="2" t="s">
        <v>74</v>
      </c>
      <c r="AZ376" s="2" t="s">
        <v>74</v>
      </c>
      <c r="BA376" s="2" t="s">
        <v>74</v>
      </c>
      <c r="BB376" s="2">
        <v>307</v>
      </c>
      <c r="BC376" s="2">
        <v>324</v>
      </c>
      <c r="BD376" s="2" t="s">
        <v>74</v>
      </c>
      <c r="BE376" s="2" t="s">
        <v>7482</v>
      </c>
      <c r="BF376" s="2" t="str">
        <f>HYPERLINK("http://dx.doi.org/10.1111/j.1095-8312.1996.tb01437.x","http://dx.doi.org/10.1111/j.1095-8312.1996.tb01437.x")</f>
        <v>http://dx.doi.org/10.1111/j.1095-8312.1996.tb01437.x</v>
      </c>
      <c r="BG376" s="2" t="s">
        <v>74</v>
      </c>
      <c r="BH376" s="2" t="s">
        <v>74</v>
      </c>
      <c r="BI376" s="2" t="s">
        <v>74</v>
      </c>
      <c r="BJ376" s="2" t="s">
        <v>74</v>
      </c>
      <c r="BK376" s="2" t="s">
        <v>74</v>
      </c>
      <c r="BL376" s="2" t="s">
        <v>74</v>
      </c>
      <c r="BM376" s="2" t="s">
        <v>74</v>
      </c>
      <c r="BN376" s="2" t="s">
        <v>74</v>
      </c>
      <c r="BO376" s="2" t="s">
        <v>74</v>
      </c>
      <c r="BP376" s="2" t="s">
        <v>74</v>
      </c>
      <c r="BQ376" s="2" t="s">
        <v>74</v>
      </c>
      <c r="BR376" s="2" t="s">
        <v>74</v>
      </c>
      <c r="BS376" s="2" t="s">
        <v>7483</v>
      </c>
      <c r="BT376" s="2" t="str">
        <f>HYPERLINK("https%3A%2F%2Fwww.webofscience.com%2Fwos%2Fwoscc%2Ffull-record%2FWOS:A1996UY83000004","View Full Record in Web of Science")</f>
        <v>View Full Record in Web of Science</v>
      </c>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row>
    <row r="377" spans="1:314" s="2" customFormat="1" x14ac:dyDescent="0.4">
      <c r="A377" s="2" t="s">
        <v>72</v>
      </c>
      <c r="B377" s="2" t="s">
        <v>6091</v>
      </c>
      <c r="C377" s="2" t="s">
        <v>74</v>
      </c>
      <c r="D377" s="2" t="s">
        <v>74</v>
      </c>
      <c r="E377" s="2" t="s">
        <v>74</v>
      </c>
      <c r="F377" s="2" t="s">
        <v>6092</v>
      </c>
      <c r="G377" s="2" t="s">
        <v>74</v>
      </c>
      <c r="H377" s="2" t="s">
        <v>74</v>
      </c>
      <c r="I377" s="2" t="s">
        <v>6093</v>
      </c>
      <c r="J377" s="2" t="s">
        <v>4064</v>
      </c>
      <c r="K377" s="2" t="s">
        <v>74</v>
      </c>
      <c r="L377" s="2" t="s">
        <v>74</v>
      </c>
      <c r="M377" s="2" t="s">
        <v>74</v>
      </c>
      <c r="N377" s="2" t="s">
        <v>74</v>
      </c>
      <c r="O377" s="2" t="s">
        <v>74</v>
      </c>
      <c r="P377" s="2" t="s">
        <v>74</v>
      </c>
      <c r="Q377" s="2" t="s">
        <v>74</v>
      </c>
      <c r="R377" s="2" t="s">
        <v>74</v>
      </c>
      <c r="S377" s="2" t="s">
        <v>74</v>
      </c>
      <c r="T377" s="2" t="s">
        <v>74</v>
      </c>
      <c r="U377" s="2" t="s">
        <v>74</v>
      </c>
      <c r="V377" s="5" t="s">
        <v>6094</v>
      </c>
      <c r="W377" s="2" t="s">
        <v>74</v>
      </c>
      <c r="X377" s="2" t="s">
        <v>74</v>
      </c>
      <c r="Y377" s="2" t="s">
        <v>74</v>
      </c>
      <c r="Z377" s="2" t="s">
        <v>74</v>
      </c>
      <c r="AA377" s="2" t="s">
        <v>74</v>
      </c>
      <c r="AB377" s="2" t="s">
        <v>6095</v>
      </c>
      <c r="AC377" s="2" t="s">
        <v>74</v>
      </c>
      <c r="AD377" s="2" t="s">
        <v>74</v>
      </c>
      <c r="AE377" s="2" t="s">
        <v>74</v>
      </c>
      <c r="AF377" s="2" t="s">
        <v>74</v>
      </c>
      <c r="AG377" s="2" t="s">
        <v>74</v>
      </c>
      <c r="AH377" s="2" t="s">
        <v>74</v>
      </c>
      <c r="AI377" s="2" t="s">
        <v>74</v>
      </c>
      <c r="AJ377" s="2" t="s">
        <v>74</v>
      </c>
      <c r="AK377" s="2" t="s">
        <v>74</v>
      </c>
      <c r="AL377" s="2" t="s">
        <v>74</v>
      </c>
      <c r="AM377" s="2" t="s">
        <v>74</v>
      </c>
      <c r="AN377" s="2" t="s">
        <v>74</v>
      </c>
      <c r="AO377" s="2" t="s">
        <v>4068</v>
      </c>
      <c r="AP377" s="2" t="s">
        <v>4069</v>
      </c>
      <c r="AQ377" s="2" t="s">
        <v>74</v>
      </c>
      <c r="AR377" s="2" t="s">
        <v>74</v>
      </c>
      <c r="AS377" s="2" t="s">
        <v>74</v>
      </c>
      <c r="AT377" s="2" t="s">
        <v>6096</v>
      </c>
      <c r="AU377" s="2">
        <v>2016</v>
      </c>
      <c r="AV377" s="2">
        <v>26</v>
      </c>
      <c r="AW377" s="2">
        <v>9</v>
      </c>
      <c r="AX377" s="2" t="s">
        <v>74</v>
      </c>
      <c r="AY377" s="2" t="s">
        <v>74</v>
      </c>
      <c r="AZ377" s="2" t="s">
        <v>74</v>
      </c>
      <c r="BA377" s="2" t="s">
        <v>74</v>
      </c>
      <c r="BB377" s="2">
        <v>1195</v>
      </c>
      <c r="BC377" s="2">
        <v>1199</v>
      </c>
      <c r="BD377" s="2" t="s">
        <v>74</v>
      </c>
      <c r="BE377" s="2" t="s">
        <v>6097</v>
      </c>
      <c r="BF377" s="2" t="str">
        <f>HYPERLINK("http://dx.doi.org/10.1016/j.cub.2016.03.009","http://dx.doi.org/10.1016/j.cub.2016.03.009")</f>
        <v>http://dx.doi.org/10.1016/j.cub.2016.03.009</v>
      </c>
      <c r="BG377" s="2" t="s">
        <v>74</v>
      </c>
      <c r="BH377" s="2" t="s">
        <v>74</v>
      </c>
      <c r="BI377" s="2" t="s">
        <v>74</v>
      </c>
      <c r="BJ377" s="2" t="s">
        <v>74</v>
      </c>
      <c r="BK377" s="2" t="s">
        <v>74</v>
      </c>
      <c r="BL377" s="2" t="s">
        <v>74</v>
      </c>
      <c r="BM377" s="2" t="s">
        <v>74</v>
      </c>
      <c r="BN377" s="2">
        <v>27133871</v>
      </c>
      <c r="BO377" s="2" t="s">
        <v>74</v>
      </c>
      <c r="BP377" s="2" t="s">
        <v>74</v>
      </c>
      <c r="BQ377" s="2" t="s">
        <v>74</v>
      </c>
      <c r="BR377" s="2" t="s">
        <v>74</v>
      </c>
      <c r="BS377" s="2" t="s">
        <v>6098</v>
      </c>
      <c r="BT377" s="2" t="str">
        <f>HYPERLINK("https%3A%2F%2Fwww.webofscience.com%2Fwos%2Fwoscc%2Ffull-record%2FWOS:000375413700026","View Full Record in Web of Science")</f>
        <v>View Full Record in Web of Science</v>
      </c>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row>
    <row r="378" spans="1:314" s="2" customFormat="1" x14ac:dyDescent="0.4">
      <c r="A378" s="2" t="s">
        <v>72</v>
      </c>
      <c r="B378" s="2" t="s">
        <v>8037</v>
      </c>
      <c r="C378" s="2" t="s">
        <v>74</v>
      </c>
      <c r="D378" s="2" t="s">
        <v>74</v>
      </c>
      <c r="E378" s="2" t="s">
        <v>74</v>
      </c>
      <c r="F378" s="2" t="s">
        <v>8037</v>
      </c>
      <c r="G378" s="2" t="s">
        <v>74</v>
      </c>
      <c r="H378" s="2" t="s">
        <v>74</v>
      </c>
      <c r="I378" s="2" t="s">
        <v>8038</v>
      </c>
      <c r="J378" s="2" t="s">
        <v>77</v>
      </c>
      <c r="K378" s="2" t="s">
        <v>74</v>
      </c>
      <c r="L378" s="2" t="s">
        <v>74</v>
      </c>
      <c r="M378" s="2" t="s">
        <v>74</v>
      </c>
      <c r="N378" s="2" t="s">
        <v>74</v>
      </c>
      <c r="O378" s="2" t="s">
        <v>74</v>
      </c>
      <c r="P378" s="2" t="s">
        <v>74</v>
      </c>
      <c r="Q378" s="2" t="s">
        <v>74</v>
      </c>
      <c r="R378" s="2" t="s">
        <v>74</v>
      </c>
      <c r="S378" s="2" t="s">
        <v>74</v>
      </c>
      <c r="T378" s="2" t="s">
        <v>74</v>
      </c>
      <c r="U378" s="2" t="s">
        <v>74</v>
      </c>
      <c r="V378" s="5" t="s">
        <v>8039</v>
      </c>
      <c r="W378" s="2" t="s">
        <v>74</v>
      </c>
      <c r="X378" s="2" t="s">
        <v>74</v>
      </c>
      <c r="Y378" s="2" t="s">
        <v>74</v>
      </c>
      <c r="Z378" s="2" t="s">
        <v>74</v>
      </c>
      <c r="AA378" s="2" t="s">
        <v>74</v>
      </c>
      <c r="AB378" s="2" t="s">
        <v>74</v>
      </c>
      <c r="AC378" s="2" t="s">
        <v>74</v>
      </c>
      <c r="AD378" s="2" t="s">
        <v>74</v>
      </c>
      <c r="AE378" s="2" t="s">
        <v>74</v>
      </c>
      <c r="AF378" s="2" t="s">
        <v>74</v>
      </c>
      <c r="AG378" s="2" t="s">
        <v>74</v>
      </c>
      <c r="AH378" s="2" t="s">
        <v>74</v>
      </c>
      <c r="AI378" s="2" t="s">
        <v>74</v>
      </c>
      <c r="AJ378" s="2" t="s">
        <v>74</v>
      </c>
      <c r="AK378" s="2" t="s">
        <v>74</v>
      </c>
      <c r="AL378" s="2" t="s">
        <v>74</v>
      </c>
      <c r="AM378" s="2" t="s">
        <v>74</v>
      </c>
      <c r="AN378" s="2" t="s">
        <v>74</v>
      </c>
      <c r="AO378" s="2" t="s">
        <v>81</v>
      </c>
      <c r="AP378" s="2" t="s">
        <v>74</v>
      </c>
      <c r="AQ378" s="2" t="s">
        <v>74</v>
      </c>
      <c r="AR378" s="2" t="s">
        <v>74</v>
      </c>
      <c r="AS378" s="2" t="s">
        <v>74</v>
      </c>
      <c r="AT378" s="2" t="s">
        <v>964</v>
      </c>
      <c r="AU378" s="2">
        <v>1997</v>
      </c>
      <c r="AV378" s="2">
        <v>134</v>
      </c>
      <c r="AW378" s="2" t="s">
        <v>74</v>
      </c>
      <c r="AX378" s="2" t="s">
        <v>548</v>
      </c>
      <c r="AY378" s="2" t="s">
        <v>74</v>
      </c>
      <c r="AZ378" s="2" t="s">
        <v>74</v>
      </c>
      <c r="BA378" s="2" t="s">
        <v>74</v>
      </c>
      <c r="BB378" s="2">
        <v>127</v>
      </c>
      <c r="BC378" s="2">
        <v>142</v>
      </c>
      <c r="BD378" s="2" t="s">
        <v>74</v>
      </c>
      <c r="BE378" s="2" t="s">
        <v>8040</v>
      </c>
      <c r="BF378" s="2" t="str">
        <f>HYPERLINK("http://dx.doi.org/10.1163/156853997X00313","http://dx.doi.org/10.1163/156853997X00313")</f>
        <v>http://dx.doi.org/10.1163/156853997X00313</v>
      </c>
      <c r="BG378" s="2" t="s">
        <v>74</v>
      </c>
      <c r="BH378" s="2" t="s">
        <v>74</v>
      </c>
      <c r="BI378" s="2" t="s">
        <v>74</v>
      </c>
      <c r="BJ378" s="2" t="s">
        <v>74</v>
      </c>
      <c r="BK378" s="2" t="s">
        <v>74</v>
      </c>
      <c r="BL378" s="2" t="s">
        <v>74</v>
      </c>
      <c r="BM378" s="2" t="s">
        <v>74</v>
      </c>
      <c r="BN378" s="2" t="s">
        <v>74</v>
      </c>
      <c r="BO378" s="2" t="s">
        <v>74</v>
      </c>
      <c r="BP378" s="2" t="s">
        <v>74</v>
      </c>
      <c r="BQ378" s="2" t="s">
        <v>74</v>
      </c>
      <c r="BR378" s="2" t="s">
        <v>74</v>
      </c>
      <c r="BS378" s="2" t="s">
        <v>8041</v>
      </c>
      <c r="BT378" s="2" t="str">
        <f>HYPERLINK("https%3A%2F%2Fwww.webofscience.com%2Fwos%2Fwoscc%2Ffull-record%2FWOS:A1997WJ21600007","View Full Record in Web of Science")</f>
        <v>View Full Record in Web of Science</v>
      </c>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row>
    <row r="379" spans="1:314" s="2" customFormat="1" x14ac:dyDescent="0.4">
      <c r="A379" s="2" t="s">
        <v>72</v>
      </c>
      <c r="B379" s="2" t="s">
        <v>2659</v>
      </c>
      <c r="C379" s="2" t="s">
        <v>74</v>
      </c>
      <c r="D379" s="2" t="s">
        <v>74</v>
      </c>
      <c r="E379" s="2" t="s">
        <v>74</v>
      </c>
      <c r="F379" s="2" t="s">
        <v>2660</v>
      </c>
      <c r="G379" s="2" t="s">
        <v>74</v>
      </c>
      <c r="H379" s="2" t="s">
        <v>74</v>
      </c>
      <c r="I379" s="2" t="s">
        <v>2661</v>
      </c>
      <c r="J379" s="2" t="s">
        <v>2662</v>
      </c>
      <c r="K379" s="2" t="s">
        <v>74</v>
      </c>
      <c r="L379" s="2" t="s">
        <v>74</v>
      </c>
      <c r="M379" s="2" t="s">
        <v>74</v>
      </c>
      <c r="N379" s="2" t="s">
        <v>74</v>
      </c>
      <c r="O379" s="2" t="s">
        <v>74</v>
      </c>
      <c r="P379" s="2" t="s">
        <v>74</v>
      </c>
      <c r="Q379" s="2" t="s">
        <v>74</v>
      </c>
      <c r="R379" s="2" t="s">
        <v>74</v>
      </c>
      <c r="S379" s="2" t="s">
        <v>74</v>
      </c>
      <c r="T379" s="2" t="s">
        <v>74</v>
      </c>
      <c r="U379" s="2" t="s">
        <v>74</v>
      </c>
      <c r="V379" s="5" t="s">
        <v>2663</v>
      </c>
      <c r="W379" s="2" t="s">
        <v>74</v>
      </c>
      <c r="X379" s="2" t="s">
        <v>74</v>
      </c>
      <c r="Y379" s="2" t="s">
        <v>74</v>
      </c>
      <c r="Z379" s="2" t="s">
        <v>74</v>
      </c>
      <c r="AA379" s="2" t="s">
        <v>74</v>
      </c>
      <c r="AB379" s="2" t="s">
        <v>74</v>
      </c>
      <c r="AC379" s="2" t="s">
        <v>74</v>
      </c>
      <c r="AD379" s="2" t="s">
        <v>74</v>
      </c>
      <c r="AE379" s="2" t="s">
        <v>74</v>
      </c>
      <c r="AF379" s="2" t="s">
        <v>74</v>
      </c>
      <c r="AG379" s="2" t="s">
        <v>74</v>
      </c>
      <c r="AH379" s="2" t="s">
        <v>74</v>
      </c>
      <c r="AI379" s="2" t="s">
        <v>74</v>
      </c>
      <c r="AJ379" s="2" t="s">
        <v>74</v>
      </c>
      <c r="AK379" s="2" t="s">
        <v>74</v>
      </c>
      <c r="AL379" s="2" t="s">
        <v>74</v>
      </c>
      <c r="AM379" s="2" t="s">
        <v>74</v>
      </c>
      <c r="AN379" s="2" t="s">
        <v>74</v>
      </c>
      <c r="AO379" s="2" t="s">
        <v>2664</v>
      </c>
      <c r="AP379" s="2" t="s">
        <v>2665</v>
      </c>
      <c r="AQ379" s="2" t="s">
        <v>74</v>
      </c>
      <c r="AR379" s="2" t="s">
        <v>74</v>
      </c>
      <c r="AS379" s="2" t="s">
        <v>74</v>
      </c>
      <c r="AT379" s="2" t="s">
        <v>352</v>
      </c>
      <c r="AU379" s="2">
        <v>2014</v>
      </c>
      <c r="AV379" s="2">
        <v>48</v>
      </c>
      <c r="AW379" s="2">
        <v>3</v>
      </c>
      <c r="AX379" s="2" t="s">
        <v>74</v>
      </c>
      <c r="AY379" s="2" t="s">
        <v>74</v>
      </c>
      <c r="AZ379" s="2" t="s">
        <v>74</v>
      </c>
      <c r="BA379" s="2" t="s">
        <v>74</v>
      </c>
      <c r="BB379" s="2">
        <v>240</v>
      </c>
      <c r="BC379" s="2">
        <v>247</v>
      </c>
      <c r="BD379" s="2" t="s">
        <v>74</v>
      </c>
      <c r="BE379" s="2" t="s">
        <v>2666</v>
      </c>
      <c r="BF379" s="2" t="str">
        <f>HYPERLINK("http://dx.doi.org/10.3356/0892-1016-48.3.240","http://dx.doi.org/10.3356/0892-1016-48.3.240")</f>
        <v>http://dx.doi.org/10.3356/0892-1016-48.3.240</v>
      </c>
      <c r="BG379" s="2" t="s">
        <v>74</v>
      </c>
      <c r="BH379" s="2" t="s">
        <v>74</v>
      </c>
      <c r="BI379" s="2" t="s">
        <v>74</v>
      </c>
      <c r="BJ379" s="2" t="s">
        <v>74</v>
      </c>
      <c r="BK379" s="2" t="s">
        <v>74</v>
      </c>
      <c r="BL379" s="2" t="s">
        <v>74</v>
      </c>
      <c r="BM379" s="2" t="s">
        <v>74</v>
      </c>
      <c r="BN379" s="2" t="s">
        <v>74</v>
      </c>
      <c r="BO379" s="2" t="s">
        <v>74</v>
      </c>
      <c r="BP379" s="2" t="s">
        <v>74</v>
      </c>
      <c r="BQ379" s="2" t="s">
        <v>74</v>
      </c>
      <c r="BR379" s="2" t="s">
        <v>74</v>
      </c>
      <c r="BS379" s="2" t="s">
        <v>2667</v>
      </c>
      <c r="BT379" s="2" t="str">
        <f>HYPERLINK("https%3A%2F%2Fwww.webofscience.com%2Fwos%2Fwoscc%2Ffull-record%2FWOS:000341096200005","View Full Record in Web of Science")</f>
        <v>View Full Record in Web of Science</v>
      </c>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row>
    <row r="380" spans="1:314" s="2" customFormat="1" x14ac:dyDescent="0.4">
      <c r="A380" s="2" t="s">
        <v>72</v>
      </c>
      <c r="B380" s="2" t="s">
        <v>1624</v>
      </c>
      <c r="C380" s="2" t="s">
        <v>74</v>
      </c>
      <c r="D380" s="2" t="s">
        <v>74</v>
      </c>
      <c r="E380" s="2" t="s">
        <v>74</v>
      </c>
      <c r="F380" s="2" t="s">
        <v>1625</v>
      </c>
      <c r="G380" s="2" t="s">
        <v>74</v>
      </c>
      <c r="H380" s="2" t="s">
        <v>74</v>
      </c>
      <c r="I380" s="2" t="s">
        <v>1626</v>
      </c>
      <c r="J380" s="2" t="s">
        <v>129</v>
      </c>
      <c r="K380" s="2" t="s">
        <v>74</v>
      </c>
      <c r="L380" s="2" t="s">
        <v>74</v>
      </c>
      <c r="M380" s="2" t="s">
        <v>74</v>
      </c>
      <c r="N380" s="2" t="s">
        <v>74</v>
      </c>
      <c r="O380" s="2" t="s">
        <v>74</v>
      </c>
      <c r="P380" s="2" t="s">
        <v>74</v>
      </c>
      <c r="Q380" s="2" t="s">
        <v>74</v>
      </c>
      <c r="R380" s="2" t="s">
        <v>74</v>
      </c>
      <c r="S380" s="2" t="s">
        <v>74</v>
      </c>
      <c r="T380" s="2" t="s">
        <v>74</v>
      </c>
      <c r="U380" s="2" t="s">
        <v>74</v>
      </c>
      <c r="V380" s="5" t="s">
        <v>1627</v>
      </c>
      <c r="W380" s="2" t="s">
        <v>74</v>
      </c>
      <c r="X380" s="2" t="s">
        <v>74</v>
      </c>
      <c r="Y380" s="2" t="s">
        <v>74</v>
      </c>
      <c r="Z380" s="2" t="s">
        <v>74</v>
      </c>
      <c r="AA380" s="2" t="s">
        <v>74</v>
      </c>
      <c r="AB380" s="2" t="s">
        <v>1628</v>
      </c>
      <c r="AC380" s="2" t="s">
        <v>74</v>
      </c>
      <c r="AD380" s="2" t="s">
        <v>74</v>
      </c>
      <c r="AE380" s="2" t="s">
        <v>74</v>
      </c>
      <c r="AF380" s="2" t="s">
        <v>74</v>
      </c>
      <c r="AG380" s="2" t="s">
        <v>74</v>
      </c>
      <c r="AH380" s="2" t="s">
        <v>74</v>
      </c>
      <c r="AI380" s="2" t="s">
        <v>74</v>
      </c>
      <c r="AJ380" s="2" t="s">
        <v>74</v>
      </c>
      <c r="AK380" s="2" t="s">
        <v>74</v>
      </c>
      <c r="AL380" s="2" t="s">
        <v>74</v>
      </c>
      <c r="AM380" s="2" t="s">
        <v>74</v>
      </c>
      <c r="AN380" s="2" t="s">
        <v>74</v>
      </c>
      <c r="AO380" s="2" t="s">
        <v>132</v>
      </c>
      <c r="AP380" s="2" t="s">
        <v>133</v>
      </c>
      <c r="AQ380" s="2" t="s">
        <v>74</v>
      </c>
      <c r="AR380" s="2" t="s">
        <v>74</v>
      </c>
      <c r="AS380" s="2" t="s">
        <v>74</v>
      </c>
      <c r="AT380" s="2" t="s">
        <v>1629</v>
      </c>
      <c r="AU380" s="2">
        <v>2020</v>
      </c>
      <c r="AV380" s="2">
        <v>74</v>
      </c>
      <c r="AW380" s="2">
        <v>10</v>
      </c>
      <c r="AX380" s="2" t="s">
        <v>74</v>
      </c>
      <c r="AY380" s="2" t="s">
        <v>74</v>
      </c>
      <c r="AZ380" s="2" t="s">
        <v>74</v>
      </c>
      <c r="BA380" s="2" t="s">
        <v>74</v>
      </c>
      <c r="BB380" s="2" t="s">
        <v>74</v>
      </c>
      <c r="BC380" s="2" t="s">
        <v>74</v>
      </c>
      <c r="BD380" s="2">
        <v>116</v>
      </c>
      <c r="BE380" s="2" t="s">
        <v>1630</v>
      </c>
      <c r="BF380" s="2" t="str">
        <f>HYPERLINK("http://dx.doi.org/10.1007/s00265-020-02899-w","http://dx.doi.org/10.1007/s00265-020-02899-w")</f>
        <v>http://dx.doi.org/10.1007/s00265-020-02899-w</v>
      </c>
      <c r="BG380" s="2" t="s">
        <v>74</v>
      </c>
      <c r="BH380" s="2" t="s">
        <v>74</v>
      </c>
      <c r="BI380" s="2" t="s">
        <v>74</v>
      </c>
      <c r="BJ380" s="2" t="s">
        <v>74</v>
      </c>
      <c r="BK380" s="2" t="s">
        <v>74</v>
      </c>
      <c r="BL380" s="2" t="s">
        <v>74</v>
      </c>
      <c r="BM380" s="2" t="s">
        <v>74</v>
      </c>
      <c r="BN380" s="2" t="s">
        <v>74</v>
      </c>
      <c r="BO380" s="2" t="s">
        <v>74</v>
      </c>
      <c r="BP380" s="2" t="s">
        <v>74</v>
      </c>
      <c r="BQ380" s="2" t="s">
        <v>74</v>
      </c>
      <c r="BR380" s="2" t="s">
        <v>74</v>
      </c>
      <c r="BS380" s="2" t="s">
        <v>1631</v>
      </c>
      <c r="BT380" s="2" t="str">
        <f>HYPERLINK("https%3A%2F%2Fwww.webofscience.com%2Fwos%2Fwoscc%2Ffull-record%2FWOS:000565883300001","View Full Record in Web of Science")</f>
        <v>View Full Record in Web of Science</v>
      </c>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row>
    <row r="381" spans="1:314" s="2" customFormat="1" x14ac:dyDescent="0.4">
      <c r="A381" s="2" t="s">
        <v>72</v>
      </c>
      <c r="B381" s="2" t="s">
        <v>3408</v>
      </c>
      <c r="C381" s="2" t="s">
        <v>74</v>
      </c>
      <c r="D381" s="2" t="s">
        <v>74</v>
      </c>
      <c r="E381" s="2" t="s">
        <v>74</v>
      </c>
      <c r="F381" s="2" t="s">
        <v>3409</v>
      </c>
      <c r="G381" s="2" t="s">
        <v>74</v>
      </c>
      <c r="H381" s="2" t="s">
        <v>74</v>
      </c>
      <c r="I381" s="2" t="s">
        <v>3410</v>
      </c>
      <c r="J381" s="2" t="s">
        <v>3411</v>
      </c>
      <c r="K381" s="2" t="s">
        <v>74</v>
      </c>
      <c r="L381" s="2" t="s">
        <v>74</v>
      </c>
      <c r="M381" s="2" t="s">
        <v>74</v>
      </c>
      <c r="N381" s="2" t="s">
        <v>74</v>
      </c>
      <c r="O381" s="2" t="s">
        <v>74</v>
      </c>
      <c r="P381" s="2" t="s">
        <v>74</v>
      </c>
      <c r="Q381" s="2" t="s">
        <v>74</v>
      </c>
      <c r="R381" s="2" t="s">
        <v>74</v>
      </c>
      <c r="S381" s="2" t="s">
        <v>74</v>
      </c>
      <c r="T381" s="2" t="s">
        <v>74</v>
      </c>
      <c r="U381" s="2" t="s">
        <v>74</v>
      </c>
      <c r="V381" s="5" t="s">
        <v>3412</v>
      </c>
      <c r="W381" s="2" t="s">
        <v>74</v>
      </c>
      <c r="X381" s="2" t="s">
        <v>74</v>
      </c>
      <c r="Y381" s="2" t="s">
        <v>74</v>
      </c>
      <c r="Z381" s="2" t="s">
        <v>74</v>
      </c>
      <c r="AA381" s="2" t="s">
        <v>3413</v>
      </c>
      <c r="AB381" s="2" t="s">
        <v>3414</v>
      </c>
      <c r="AC381" s="2" t="s">
        <v>74</v>
      </c>
      <c r="AD381" s="2" t="s">
        <v>74</v>
      </c>
      <c r="AE381" s="2" t="s">
        <v>74</v>
      </c>
      <c r="AF381" s="2" t="s">
        <v>74</v>
      </c>
      <c r="AG381" s="2" t="s">
        <v>74</v>
      </c>
      <c r="AH381" s="2" t="s">
        <v>74</v>
      </c>
      <c r="AI381" s="2" t="s">
        <v>74</v>
      </c>
      <c r="AJ381" s="2" t="s">
        <v>74</v>
      </c>
      <c r="AK381" s="2" t="s">
        <v>74</v>
      </c>
      <c r="AL381" s="2" t="s">
        <v>74</v>
      </c>
      <c r="AM381" s="2" t="s">
        <v>74</v>
      </c>
      <c r="AN381" s="2" t="s">
        <v>74</v>
      </c>
      <c r="AO381" s="2" t="s">
        <v>3415</v>
      </c>
      <c r="AP381" s="2" t="s">
        <v>3416</v>
      </c>
      <c r="AQ381" s="2" t="s">
        <v>74</v>
      </c>
      <c r="AR381" s="2" t="s">
        <v>74</v>
      </c>
      <c r="AS381" s="2" t="s">
        <v>74</v>
      </c>
      <c r="AT381" s="2" t="s">
        <v>74</v>
      </c>
      <c r="AU381" s="2">
        <v>2018</v>
      </c>
      <c r="AV381" s="2">
        <v>118</v>
      </c>
      <c r="AW381" s="2">
        <v>4</v>
      </c>
      <c r="AX381" s="2" t="s">
        <v>74</v>
      </c>
      <c r="AY381" s="2" t="s">
        <v>74</v>
      </c>
      <c r="AZ381" s="2" t="s">
        <v>74</v>
      </c>
      <c r="BA381" s="2" t="s">
        <v>74</v>
      </c>
      <c r="BB381" s="2">
        <v>369</v>
      </c>
      <c r="BC381" s="2">
        <v>374</v>
      </c>
      <c r="BD381" s="2" t="s">
        <v>74</v>
      </c>
      <c r="BE381" s="2" t="s">
        <v>3417</v>
      </c>
      <c r="BF381" s="2" t="str">
        <f>HYPERLINK("http://dx.doi.org/10.1080/01584197.2018.1453304","http://dx.doi.org/10.1080/01584197.2018.1453304")</f>
        <v>http://dx.doi.org/10.1080/01584197.2018.1453304</v>
      </c>
      <c r="BG381" s="2" t="s">
        <v>74</v>
      </c>
      <c r="BH381" s="2" t="s">
        <v>74</v>
      </c>
      <c r="BI381" s="2" t="s">
        <v>74</v>
      </c>
      <c r="BJ381" s="2" t="s">
        <v>74</v>
      </c>
      <c r="BK381" s="2" t="s">
        <v>74</v>
      </c>
      <c r="BL381" s="2" t="s">
        <v>74</v>
      </c>
      <c r="BM381" s="2" t="s">
        <v>74</v>
      </c>
      <c r="BN381" s="2" t="s">
        <v>74</v>
      </c>
      <c r="BO381" s="2" t="s">
        <v>74</v>
      </c>
      <c r="BP381" s="2" t="s">
        <v>74</v>
      </c>
      <c r="BQ381" s="2" t="s">
        <v>74</v>
      </c>
      <c r="BR381" s="2" t="s">
        <v>74</v>
      </c>
      <c r="BS381" s="2" t="s">
        <v>3418</v>
      </c>
      <c r="BT381" s="2" t="str">
        <f>HYPERLINK("https%3A%2F%2Fwww.webofscience.com%2Fwos%2Fwoscc%2Ffull-record%2FWOS:000451715900007","View Full Record in Web of Science")</f>
        <v>View Full Record in Web of Science</v>
      </c>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row>
    <row r="382" spans="1:314" s="2" customFormat="1" x14ac:dyDescent="0.4">
      <c r="A382" s="2" t="s">
        <v>72</v>
      </c>
      <c r="B382" s="2" t="s">
        <v>2356</v>
      </c>
      <c r="C382" s="2" t="s">
        <v>74</v>
      </c>
      <c r="D382" s="2" t="s">
        <v>74</v>
      </c>
      <c r="E382" s="2" t="s">
        <v>74</v>
      </c>
      <c r="F382" s="2" t="s">
        <v>2357</v>
      </c>
      <c r="G382" s="2" t="s">
        <v>74</v>
      </c>
      <c r="H382" s="2" t="s">
        <v>74</v>
      </c>
      <c r="I382" s="2" t="s">
        <v>2358</v>
      </c>
      <c r="J382" s="2" t="s">
        <v>509</v>
      </c>
      <c r="K382" s="2" t="s">
        <v>74</v>
      </c>
      <c r="L382" s="2" t="s">
        <v>74</v>
      </c>
      <c r="M382" s="2" t="s">
        <v>74</v>
      </c>
      <c r="N382" s="2" t="s">
        <v>74</v>
      </c>
      <c r="O382" s="2" t="s">
        <v>74</v>
      </c>
      <c r="P382" s="2" t="s">
        <v>74</v>
      </c>
      <c r="Q382" s="2" t="s">
        <v>74</v>
      </c>
      <c r="R382" s="2" t="s">
        <v>74</v>
      </c>
      <c r="S382" s="2" t="s">
        <v>74</v>
      </c>
      <c r="T382" s="2" t="s">
        <v>74</v>
      </c>
      <c r="U382" s="2" t="s">
        <v>74</v>
      </c>
      <c r="V382" s="5" t="s">
        <v>2359</v>
      </c>
      <c r="W382" s="2" t="s">
        <v>74</v>
      </c>
      <c r="X382" s="2" t="s">
        <v>74</v>
      </c>
      <c r="Y382" s="2" t="s">
        <v>74</v>
      </c>
      <c r="Z382" s="2" t="s">
        <v>74</v>
      </c>
      <c r="AA382" s="2" t="s">
        <v>2360</v>
      </c>
      <c r="AB382" s="2" t="s">
        <v>2361</v>
      </c>
      <c r="AC382" s="2" t="s">
        <v>74</v>
      </c>
      <c r="AD382" s="2" t="s">
        <v>74</v>
      </c>
      <c r="AE382" s="2" t="s">
        <v>74</v>
      </c>
      <c r="AF382" s="2" t="s">
        <v>74</v>
      </c>
      <c r="AG382" s="2" t="s">
        <v>74</v>
      </c>
      <c r="AH382" s="2" t="s">
        <v>74</v>
      </c>
      <c r="AI382" s="2" t="s">
        <v>74</v>
      </c>
      <c r="AJ382" s="2" t="s">
        <v>74</v>
      </c>
      <c r="AK382" s="2" t="s">
        <v>74</v>
      </c>
      <c r="AL382" s="2" t="s">
        <v>74</v>
      </c>
      <c r="AM382" s="2" t="s">
        <v>74</v>
      </c>
      <c r="AN382" s="2" t="s">
        <v>74</v>
      </c>
      <c r="AO382" s="2" t="s">
        <v>511</v>
      </c>
      <c r="AP382" s="2" t="s">
        <v>512</v>
      </c>
      <c r="AQ382" s="2" t="s">
        <v>74</v>
      </c>
      <c r="AR382" s="2" t="s">
        <v>74</v>
      </c>
      <c r="AS382" s="2" t="s">
        <v>74</v>
      </c>
      <c r="AT382" s="2" t="s">
        <v>134</v>
      </c>
      <c r="AU382" s="2">
        <v>2015</v>
      </c>
      <c r="AV382" s="2">
        <v>71</v>
      </c>
      <c r="AW382" s="2" t="s">
        <v>74</v>
      </c>
      <c r="AX382" s="2" t="s">
        <v>74</v>
      </c>
      <c r="AY382" s="2" t="s">
        <v>74</v>
      </c>
      <c r="AZ382" s="2" t="s">
        <v>74</v>
      </c>
      <c r="BA382" s="2" t="s">
        <v>74</v>
      </c>
      <c r="BB382" s="2">
        <v>10</v>
      </c>
      <c r="BC382" s="2">
        <v>15</v>
      </c>
      <c r="BD382" s="2" t="s">
        <v>74</v>
      </c>
      <c r="BE382" s="2" t="s">
        <v>2362</v>
      </c>
      <c r="BF382" s="2" t="str">
        <f>HYPERLINK("http://dx.doi.org/10.1016/j.yhbeh.2015.03.005","http://dx.doi.org/10.1016/j.yhbeh.2015.03.005")</f>
        <v>http://dx.doi.org/10.1016/j.yhbeh.2015.03.005</v>
      </c>
      <c r="BG382" s="2" t="s">
        <v>74</v>
      </c>
      <c r="BH382" s="2" t="s">
        <v>74</v>
      </c>
      <c r="BI382" s="2" t="s">
        <v>74</v>
      </c>
      <c r="BJ382" s="2" t="s">
        <v>74</v>
      </c>
      <c r="BK382" s="2" t="s">
        <v>74</v>
      </c>
      <c r="BL382" s="2" t="s">
        <v>74</v>
      </c>
      <c r="BM382" s="2" t="s">
        <v>74</v>
      </c>
      <c r="BN382" s="2">
        <v>25840012</v>
      </c>
      <c r="BO382" s="2" t="s">
        <v>74</v>
      </c>
      <c r="BP382" s="2" t="s">
        <v>74</v>
      </c>
      <c r="BQ382" s="2" t="s">
        <v>74</v>
      </c>
      <c r="BR382" s="2" t="s">
        <v>74</v>
      </c>
      <c r="BS382" s="2" t="s">
        <v>2363</v>
      </c>
      <c r="BT382" s="2" t="str">
        <f>HYPERLINK("https%3A%2F%2Fwww.webofscience.com%2Fwos%2Fwoscc%2Ffull-record%2FWOS:000355573500002","View Full Record in Web of Science")</f>
        <v>View Full Record in Web of Science</v>
      </c>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row>
    <row r="383" spans="1:314" s="2" customFormat="1" x14ac:dyDescent="0.4">
      <c r="A383" s="2" t="s">
        <v>72</v>
      </c>
      <c r="B383" s="2" t="s">
        <v>5806</v>
      </c>
      <c r="C383" s="2" t="s">
        <v>74</v>
      </c>
      <c r="D383" s="2" t="s">
        <v>74</v>
      </c>
      <c r="E383" s="2" t="s">
        <v>74</v>
      </c>
      <c r="F383" s="2" t="s">
        <v>5806</v>
      </c>
      <c r="G383" s="2" t="s">
        <v>74</v>
      </c>
      <c r="H383" s="2" t="s">
        <v>74</v>
      </c>
      <c r="I383" s="2" t="s">
        <v>5807</v>
      </c>
      <c r="J383" s="2" t="s">
        <v>1533</v>
      </c>
      <c r="K383" s="2" t="s">
        <v>74</v>
      </c>
      <c r="L383" s="2" t="s">
        <v>74</v>
      </c>
      <c r="M383" s="2" t="s">
        <v>74</v>
      </c>
      <c r="N383" s="2" t="s">
        <v>74</v>
      </c>
      <c r="O383" s="2" t="s">
        <v>74</v>
      </c>
      <c r="P383" s="2" t="s">
        <v>74</v>
      </c>
      <c r="Q383" s="2" t="s">
        <v>74</v>
      </c>
      <c r="R383" s="2" t="s">
        <v>74</v>
      </c>
      <c r="S383" s="2" t="s">
        <v>74</v>
      </c>
      <c r="T383" s="2" t="s">
        <v>74</v>
      </c>
      <c r="U383" s="2" t="s">
        <v>74</v>
      </c>
      <c r="V383" s="5" t="s">
        <v>5808</v>
      </c>
      <c r="W383" s="2" t="s">
        <v>74</v>
      </c>
      <c r="X383" s="2" t="s">
        <v>74</v>
      </c>
      <c r="Y383" s="2" t="s">
        <v>74</v>
      </c>
      <c r="Z383" s="2" t="s">
        <v>74</v>
      </c>
      <c r="AA383" s="2" t="s">
        <v>74</v>
      </c>
      <c r="AB383" s="2" t="s">
        <v>74</v>
      </c>
      <c r="AC383" s="2" t="s">
        <v>74</v>
      </c>
      <c r="AD383" s="2" t="s">
        <v>74</v>
      </c>
      <c r="AE383" s="2" t="s">
        <v>74</v>
      </c>
      <c r="AF383" s="2" t="s">
        <v>74</v>
      </c>
      <c r="AG383" s="2" t="s">
        <v>74</v>
      </c>
      <c r="AH383" s="2" t="s">
        <v>74</v>
      </c>
      <c r="AI383" s="2" t="s">
        <v>74</v>
      </c>
      <c r="AJ383" s="2" t="s">
        <v>74</v>
      </c>
      <c r="AK383" s="2" t="s">
        <v>74</v>
      </c>
      <c r="AL383" s="2" t="s">
        <v>74</v>
      </c>
      <c r="AM383" s="2" t="s">
        <v>74</v>
      </c>
      <c r="AN383" s="2" t="s">
        <v>74</v>
      </c>
      <c r="AO383" s="2" t="s">
        <v>1535</v>
      </c>
      <c r="AP383" s="2" t="s">
        <v>1536</v>
      </c>
      <c r="AQ383" s="2" t="s">
        <v>74</v>
      </c>
      <c r="AR383" s="2" t="s">
        <v>74</v>
      </c>
      <c r="AS383" s="2" t="s">
        <v>74</v>
      </c>
      <c r="AT383" s="2" t="s">
        <v>74</v>
      </c>
      <c r="AU383" s="2">
        <v>1980</v>
      </c>
      <c r="AV383" s="2">
        <v>33</v>
      </c>
      <c r="AW383" s="2">
        <v>3</v>
      </c>
      <c r="AX383" s="2" t="s">
        <v>74</v>
      </c>
      <c r="AY383" s="2" t="s">
        <v>74</v>
      </c>
      <c r="AZ383" s="2" t="s">
        <v>74</v>
      </c>
      <c r="BA383" s="2" t="s">
        <v>74</v>
      </c>
      <c r="BB383" s="2">
        <v>383</v>
      </c>
      <c r="BC383" s="2">
        <v>395</v>
      </c>
      <c r="BD383" s="2" t="s">
        <v>74</v>
      </c>
      <c r="BE383" s="2" t="s">
        <v>5809</v>
      </c>
      <c r="BF383" s="2" t="str">
        <f>HYPERLINK("http://dx.doi.org/10.1901/jeab.1980.33-383","http://dx.doi.org/10.1901/jeab.1980.33-383")</f>
        <v>http://dx.doi.org/10.1901/jeab.1980.33-383</v>
      </c>
      <c r="BG383" s="2" t="s">
        <v>74</v>
      </c>
      <c r="BH383" s="2" t="s">
        <v>74</v>
      </c>
      <c r="BI383" s="2" t="s">
        <v>74</v>
      </c>
      <c r="BJ383" s="2" t="s">
        <v>74</v>
      </c>
      <c r="BK383" s="2" t="s">
        <v>74</v>
      </c>
      <c r="BL383" s="2" t="s">
        <v>74</v>
      </c>
      <c r="BM383" s="2" t="s">
        <v>74</v>
      </c>
      <c r="BN383" s="2">
        <v>16812171</v>
      </c>
      <c r="BO383" s="2" t="s">
        <v>74</v>
      </c>
      <c r="BP383" s="2" t="s">
        <v>74</v>
      </c>
      <c r="BQ383" s="2" t="s">
        <v>74</v>
      </c>
      <c r="BR383" s="2" t="s">
        <v>74</v>
      </c>
      <c r="BS383" s="2" t="s">
        <v>5810</v>
      </c>
      <c r="BT383" s="2" t="str">
        <f>HYPERLINK("https%3A%2F%2Fwww.webofscience.com%2Fwos%2Fwoscc%2Ffull-record%2FWOS:A1980JR70200008","View Full Record in Web of Science")</f>
        <v>View Full Record in Web of Science</v>
      </c>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row>
    <row r="384" spans="1:314" s="2" customFormat="1" x14ac:dyDescent="0.4">
      <c r="A384" s="2" t="s">
        <v>72</v>
      </c>
      <c r="B384" s="2" t="s">
        <v>7332</v>
      </c>
      <c r="C384" s="2" t="s">
        <v>74</v>
      </c>
      <c r="D384" s="2" t="s">
        <v>74</v>
      </c>
      <c r="E384" s="2" t="s">
        <v>74</v>
      </c>
      <c r="F384" s="2" t="s">
        <v>7333</v>
      </c>
      <c r="G384" s="2" t="s">
        <v>74</v>
      </c>
      <c r="H384" s="2" t="s">
        <v>74</v>
      </c>
      <c r="I384" s="2" t="s">
        <v>7334</v>
      </c>
      <c r="J384" s="2" t="s">
        <v>1384</v>
      </c>
      <c r="K384" s="2" t="s">
        <v>74</v>
      </c>
      <c r="L384" s="2" t="s">
        <v>74</v>
      </c>
      <c r="M384" s="2" t="s">
        <v>74</v>
      </c>
      <c r="N384" s="2" t="s">
        <v>74</v>
      </c>
      <c r="O384" s="2" t="s">
        <v>74</v>
      </c>
      <c r="P384" s="2" t="s">
        <v>74</v>
      </c>
      <c r="Q384" s="2" t="s">
        <v>74</v>
      </c>
      <c r="R384" s="2" t="s">
        <v>74</v>
      </c>
      <c r="S384" s="2" t="s">
        <v>74</v>
      </c>
      <c r="T384" s="2" t="s">
        <v>74</v>
      </c>
      <c r="U384" s="2" t="s">
        <v>74</v>
      </c>
      <c r="V384" s="5" t="s">
        <v>7335</v>
      </c>
      <c r="W384" s="2" t="s">
        <v>74</v>
      </c>
      <c r="X384" s="2" t="s">
        <v>74</v>
      </c>
      <c r="Y384" s="2" t="s">
        <v>74</v>
      </c>
      <c r="Z384" s="2" t="s">
        <v>74</v>
      </c>
      <c r="AA384" s="2" t="s">
        <v>7336</v>
      </c>
      <c r="AB384" s="2" t="s">
        <v>7337</v>
      </c>
      <c r="AC384" s="2" t="s">
        <v>74</v>
      </c>
      <c r="AD384" s="2" t="s">
        <v>74</v>
      </c>
      <c r="AE384" s="2" t="s">
        <v>74</v>
      </c>
      <c r="AF384" s="2" t="s">
        <v>74</v>
      </c>
      <c r="AG384" s="2" t="s">
        <v>74</v>
      </c>
      <c r="AH384" s="2" t="s">
        <v>74</v>
      </c>
      <c r="AI384" s="2" t="s">
        <v>74</v>
      </c>
      <c r="AJ384" s="2" t="s">
        <v>74</v>
      </c>
      <c r="AK384" s="2" t="s">
        <v>74</v>
      </c>
      <c r="AL384" s="2" t="s">
        <v>74</v>
      </c>
      <c r="AM384" s="2" t="s">
        <v>74</v>
      </c>
      <c r="AN384" s="2" t="s">
        <v>74</v>
      </c>
      <c r="AO384" s="2" t="s">
        <v>1388</v>
      </c>
      <c r="AP384" s="2" t="s">
        <v>1389</v>
      </c>
      <c r="AQ384" s="2" t="s">
        <v>74</v>
      </c>
      <c r="AR384" s="2" t="s">
        <v>74</v>
      </c>
      <c r="AS384" s="2" t="s">
        <v>74</v>
      </c>
      <c r="AT384" s="2" t="s">
        <v>633</v>
      </c>
      <c r="AU384" s="2">
        <v>2007</v>
      </c>
      <c r="AV384" s="2">
        <v>149</v>
      </c>
      <c r="AW384" s="2">
        <v>2</v>
      </c>
      <c r="AX384" s="2" t="s">
        <v>74</v>
      </c>
      <c r="AY384" s="2" t="s">
        <v>74</v>
      </c>
      <c r="AZ384" s="2" t="s">
        <v>74</v>
      </c>
      <c r="BA384" s="2" t="s">
        <v>74</v>
      </c>
      <c r="BB384" s="2">
        <v>313</v>
      </c>
      <c r="BC384" s="2">
        <v>320</v>
      </c>
      <c r="BD384" s="2" t="s">
        <v>74</v>
      </c>
      <c r="BE384" s="2" t="s">
        <v>7338</v>
      </c>
      <c r="BF384" s="2" t="str">
        <f>HYPERLINK("http://dx.doi.org/10.1111/j.1474-919X.2006.00632.x","http://dx.doi.org/10.1111/j.1474-919X.2006.00632.x")</f>
        <v>http://dx.doi.org/10.1111/j.1474-919X.2006.00632.x</v>
      </c>
      <c r="BG384" s="2" t="s">
        <v>74</v>
      </c>
      <c r="BH384" s="2" t="s">
        <v>74</v>
      </c>
      <c r="BI384" s="2" t="s">
        <v>74</v>
      </c>
      <c r="BJ384" s="2" t="s">
        <v>74</v>
      </c>
      <c r="BK384" s="2" t="s">
        <v>74</v>
      </c>
      <c r="BL384" s="2" t="s">
        <v>74</v>
      </c>
      <c r="BM384" s="2" t="s">
        <v>74</v>
      </c>
      <c r="BN384" s="2" t="s">
        <v>74</v>
      </c>
      <c r="BO384" s="2" t="s">
        <v>74</v>
      </c>
      <c r="BP384" s="2" t="s">
        <v>74</v>
      </c>
      <c r="BQ384" s="2" t="s">
        <v>74</v>
      </c>
      <c r="BR384" s="2" t="s">
        <v>74</v>
      </c>
      <c r="BS384" s="2" t="s">
        <v>7339</v>
      </c>
      <c r="BT384" s="2" t="str">
        <f>HYPERLINK("https%3A%2F%2Fwww.webofscience.com%2Fwos%2Fwoscc%2Ffull-record%2FWOS:000245312000012","View Full Record in Web of Science")</f>
        <v>View Full Record in Web of Science</v>
      </c>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row>
    <row r="385" spans="1:314" s="2" customFormat="1" x14ac:dyDescent="0.4">
      <c r="A385" s="2" t="s">
        <v>72</v>
      </c>
      <c r="B385" s="2" t="s">
        <v>8550</v>
      </c>
      <c r="C385" s="2" t="s">
        <v>74</v>
      </c>
      <c r="D385" s="2" t="s">
        <v>74</v>
      </c>
      <c r="E385" s="2" t="s">
        <v>74</v>
      </c>
      <c r="F385" s="2" t="s">
        <v>8551</v>
      </c>
      <c r="G385" s="2" t="s">
        <v>74</v>
      </c>
      <c r="H385" s="2" t="s">
        <v>74</v>
      </c>
      <c r="I385" s="2" t="s">
        <v>8552</v>
      </c>
      <c r="J385" s="2" t="s">
        <v>3595</v>
      </c>
      <c r="K385" s="2" t="s">
        <v>74</v>
      </c>
      <c r="L385" s="2" t="s">
        <v>74</v>
      </c>
      <c r="M385" s="2" t="s">
        <v>74</v>
      </c>
      <c r="N385" s="2" t="s">
        <v>74</v>
      </c>
      <c r="O385" s="2" t="s">
        <v>74</v>
      </c>
      <c r="P385" s="2" t="s">
        <v>74</v>
      </c>
      <c r="Q385" s="2" t="s">
        <v>74</v>
      </c>
      <c r="R385" s="2" t="s">
        <v>74</v>
      </c>
      <c r="S385" s="2" t="s">
        <v>74</v>
      </c>
      <c r="T385" s="2" t="s">
        <v>74</v>
      </c>
      <c r="U385" s="2" t="s">
        <v>74</v>
      </c>
      <c r="V385" s="5" t="s">
        <v>8553</v>
      </c>
      <c r="W385" s="2" t="s">
        <v>74</v>
      </c>
      <c r="X385" s="2" t="s">
        <v>74</v>
      </c>
      <c r="Y385" s="2" t="s">
        <v>74</v>
      </c>
      <c r="Z385" s="2" t="s">
        <v>74</v>
      </c>
      <c r="AA385" s="2" t="s">
        <v>74</v>
      </c>
      <c r="AB385" s="2" t="s">
        <v>8554</v>
      </c>
      <c r="AC385" s="2" t="s">
        <v>74</v>
      </c>
      <c r="AD385" s="2" t="s">
        <v>74</v>
      </c>
      <c r="AE385" s="2" t="s">
        <v>74</v>
      </c>
      <c r="AF385" s="2" t="s">
        <v>74</v>
      </c>
      <c r="AG385" s="2" t="s">
        <v>74</v>
      </c>
      <c r="AH385" s="2" t="s">
        <v>74</v>
      </c>
      <c r="AI385" s="2" t="s">
        <v>74</v>
      </c>
      <c r="AJ385" s="2" t="s">
        <v>74</v>
      </c>
      <c r="AK385" s="2" t="s">
        <v>74</v>
      </c>
      <c r="AL385" s="2" t="s">
        <v>74</v>
      </c>
      <c r="AM385" s="2" t="s">
        <v>74</v>
      </c>
      <c r="AN385" s="2" t="s">
        <v>74</v>
      </c>
      <c r="AO385" s="2" t="s">
        <v>3599</v>
      </c>
      <c r="AP385" s="2" t="s">
        <v>3600</v>
      </c>
      <c r="AQ385" s="2" t="s">
        <v>74</v>
      </c>
      <c r="AR385" s="2" t="s">
        <v>74</v>
      </c>
      <c r="AS385" s="2" t="s">
        <v>74</v>
      </c>
      <c r="AT385" s="2" t="s">
        <v>134</v>
      </c>
      <c r="AU385" s="2">
        <v>2020</v>
      </c>
      <c r="AV385" s="2">
        <v>172</v>
      </c>
      <c r="AW385" s="2">
        <v>1</v>
      </c>
      <c r="AX385" s="2" t="s">
        <v>74</v>
      </c>
      <c r="AY385" s="2" t="s">
        <v>74</v>
      </c>
      <c r="AZ385" s="2" t="s">
        <v>74</v>
      </c>
      <c r="BA385" s="2" t="s">
        <v>74</v>
      </c>
      <c r="BB385" s="2">
        <v>140</v>
      </c>
      <c r="BC385" s="2">
        <v>147</v>
      </c>
      <c r="BD385" s="2" t="s">
        <v>74</v>
      </c>
      <c r="BE385" s="2" t="s">
        <v>8555</v>
      </c>
      <c r="BF385" s="2" t="str">
        <f>HYPERLINK("http://dx.doi.org/10.1002/ajpa.24049","http://dx.doi.org/10.1002/ajpa.24049")</f>
        <v>http://dx.doi.org/10.1002/ajpa.24049</v>
      </c>
      <c r="BG385" s="2" t="s">
        <v>74</v>
      </c>
      <c r="BH385" s="2" t="s">
        <v>74</v>
      </c>
      <c r="BI385" s="2" t="s">
        <v>74</v>
      </c>
      <c r="BJ385" s="2" t="s">
        <v>74</v>
      </c>
      <c r="BK385" s="2" t="s">
        <v>74</v>
      </c>
      <c r="BL385" s="2" t="s">
        <v>74</v>
      </c>
      <c r="BM385" s="2" t="s">
        <v>74</v>
      </c>
      <c r="BN385" s="2">
        <v>32170724</v>
      </c>
      <c r="BO385" s="2" t="s">
        <v>74</v>
      </c>
      <c r="BP385" s="2" t="s">
        <v>74</v>
      </c>
      <c r="BQ385" s="2" t="s">
        <v>74</v>
      </c>
      <c r="BR385" s="2" t="s">
        <v>74</v>
      </c>
      <c r="BS385" s="2" t="s">
        <v>8556</v>
      </c>
      <c r="BT385" s="2" t="str">
        <f>HYPERLINK("https%3A%2F%2Fwww.webofscience.com%2Fwos%2Fwoscc%2Ffull-record%2FWOS:000527838500012","View Full Record in Web of Science")</f>
        <v>View Full Record in Web of Science</v>
      </c>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row>
    <row r="386" spans="1:314" s="2" customFormat="1" x14ac:dyDescent="0.4">
      <c r="A386" s="2" t="s">
        <v>72</v>
      </c>
      <c r="B386" s="2" t="s">
        <v>8114</v>
      </c>
      <c r="C386" s="2" t="s">
        <v>74</v>
      </c>
      <c r="D386" s="2" t="s">
        <v>74</v>
      </c>
      <c r="E386" s="2" t="s">
        <v>74</v>
      </c>
      <c r="F386" s="2" t="s">
        <v>8115</v>
      </c>
      <c r="G386" s="2" t="s">
        <v>74</v>
      </c>
      <c r="H386" s="2" t="s">
        <v>74</v>
      </c>
      <c r="I386" s="2" t="s">
        <v>8116</v>
      </c>
      <c r="J386" s="2" t="s">
        <v>2662</v>
      </c>
      <c r="K386" s="2" t="s">
        <v>74</v>
      </c>
      <c r="L386" s="2" t="s">
        <v>74</v>
      </c>
      <c r="M386" s="2" t="s">
        <v>74</v>
      </c>
      <c r="N386" s="2" t="s">
        <v>74</v>
      </c>
      <c r="O386" s="2" t="s">
        <v>74</v>
      </c>
      <c r="P386" s="2" t="s">
        <v>74</v>
      </c>
      <c r="Q386" s="2" t="s">
        <v>74</v>
      </c>
      <c r="R386" s="2" t="s">
        <v>74</v>
      </c>
      <c r="S386" s="2" t="s">
        <v>74</v>
      </c>
      <c r="T386" s="2" t="s">
        <v>74</v>
      </c>
      <c r="U386" s="2" t="s">
        <v>74</v>
      </c>
      <c r="V386" s="5" t="s">
        <v>8117</v>
      </c>
      <c r="W386" s="2" t="s">
        <v>74</v>
      </c>
      <c r="X386" s="2" t="s">
        <v>74</v>
      </c>
      <c r="Y386" s="2" t="s">
        <v>74</v>
      </c>
      <c r="Z386" s="2" t="s">
        <v>74</v>
      </c>
      <c r="AA386" s="2" t="s">
        <v>74</v>
      </c>
      <c r="AB386" s="2" t="s">
        <v>2537</v>
      </c>
      <c r="AC386" s="2" t="s">
        <v>74</v>
      </c>
      <c r="AD386" s="2" t="s">
        <v>74</v>
      </c>
      <c r="AE386" s="2" t="s">
        <v>74</v>
      </c>
      <c r="AF386" s="2" t="s">
        <v>74</v>
      </c>
      <c r="AG386" s="2" t="s">
        <v>74</v>
      </c>
      <c r="AH386" s="2" t="s">
        <v>74</v>
      </c>
      <c r="AI386" s="2" t="s">
        <v>74</v>
      </c>
      <c r="AJ386" s="2" t="s">
        <v>74</v>
      </c>
      <c r="AK386" s="2" t="s">
        <v>74</v>
      </c>
      <c r="AL386" s="2" t="s">
        <v>74</v>
      </c>
      <c r="AM386" s="2" t="s">
        <v>74</v>
      </c>
      <c r="AN386" s="2" t="s">
        <v>74</v>
      </c>
      <c r="AO386" s="2" t="s">
        <v>2664</v>
      </c>
      <c r="AP386" s="2" t="s">
        <v>2665</v>
      </c>
      <c r="AQ386" s="2" t="s">
        <v>74</v>
      </c>
      <c r="AR386" s="2" t="s">
        <v>74</v>
      </c>
      <c r="AS386" s="2" t="s">
        <v>74</v>
      </c>
      <c r="AT386" s="2" t="s">
        <v>123</v>
      </c>
      <c r="AU386" s="2">
        <v>2006</v>
      </c>
      <c r="AV386" s="2">
        <v>40</v>
      </c>
      <c r="AW386" s="2">
        <v>1</v>
      </c>
      <c r="AX386" s="2" t="s">
        <v>74</v>
      </c>
      <c r="AY386" s="2" t="s">
        <v>74</v>
      </c>
      <c r="AZ386" s="2" t="s">
        <v>74</v>
      </c>
      <c r="BA386" s="2" t="s">
        <v>74</v>
      </c>
      <c r="BB386" s="2">
        <v>1</v>
      </c>
      <c r="BC386" s="2">
        <v>28</v>
      </c>
      <c r="BD386" s="2" t="s">
        <v>74</v>
      </c>
      <c r="BE386" s="2" t="s">
        <v>8118</v>
      </c>
      <c r="BF386" s="2" t="str">
        <f>HYPERLINK("http://dx.doi.org/10.3356/0892-1016(2006)40[1:TAFAOG]2.0.CO;2","http://dx.doi.org/10.3356/0892-1016(2006)40[1:TAFAOG]2.0.CO;2")</f>
        <v>http://dx.doi.org/10.3356/0892-1016(2006)40[1:TAFAOG]2.0.CO;2</v>
      </c>
      <c r="BG386" s="2" t="s">
        <v>74</v>
      </c>
      <c r="BH386" s="2" t="s">
        <v>74</v>
      </c>
      <c r="BI386" s="2" t="s">
        <v>74</v>
      </c>
      <c r="BJ386" s="2" t="s">
        <v>74</v>
      </c>
      <c r="BK386" s="2" t="s">
        <v>74</v>
      </c>
      <c r="BL386" s="2" t="s">
        <v>74</v>
      </c>
      <c r="BM386" s="2" t="s">
        <v>74</v>
      </c>
      <c r="BN386" s="2" t="s">
        <v>74</v>
      </c>
      <c r="BO386" s="2" t="s">
        <v>74</v>
      </c>
      <c r="BP386" s="2" t="s">
        <v>74</v>
      </c>
      <c r="BQ386" s="2" t="s">
        <v>74</v>
      </c>
      <c r="BR386" s="2" t="s">
        <v>74</v>
      </c>
      <c r="BS386" s="2" t="s">
        <v>8119</v>
      </c>
      <c r="BT386" s="2" t="str">
        <f>HYPERLINK("https%3A%2F%2Fwww.webofscience.com%2Fwos%2Fwoscc%2Ffull-record%2FWOS:000237905000001","View Full Record in Web of Science")</f>
        <v>View Full Record in Web of Science</v>
      </c>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row>
    <row r="387" spans="1:314" s="2" customFormat="1" x14ac:dyDescent="0.4">
      <c r="A387" s="2" t="s">
        <v>72</v>
      </c>
      <c r="B387" s="2" t="s">
        <v>2534</v>
      </c>
      <c r="C387" s="2" t="s">
        <v>74</v>
      </c>
      <c r="D387" s="2" t="s">
        <v>74</v>
      </c>
      <c r="E387" s="2" t="s">
        <v>74</v>
      </c>
      <c r="F387" s="2" t="s">
        <v>2534</v>
      </c>
      <c r="G387" s="2" t="s">
        <v>74</v>
      </c>
      <c r="H387" s="2" t="s">
        <v>74</v>
      </c>
      <c r="I387" s="2" t="s">
        <v>2535</v>
      </c>
      <c r="J387" s="2" t="s">
        <v>431</v>
      </c>
      <c r="K387" s="2" t="s">
        <v>74</v>
      </c>
      <c r="L387" s="2" t="s">
        <v>74</v>
      </c>
      <c r="M387" s="2" t="s">
        <v>74</v>
      </c>
      <c r="N387" s="2" t="s">
        <v>74</v>
      </c>
      <c r="O387" s="2" t="s">
        <v>74</v>
      </c>
      <c r="P387" s="2" t="s">
        <v>74</v>
      </c>
      <c r="Q387" s="2" t="s">
        <v>74</v>
      </c>
      <c r="R387" s="2" t="s">
        <v>74</v>
      </c>
      <c r="S387" s="2" t="s">
        <v>74</v>
      </c>
      <c r="T387" s="2" t="s">
        <v>74</v>
      </c>
      <c r="U387" s="2" t="s">
        <v>74</v>
      </c>
      <c r="V387" s="5" t="s">
        <v>2536</v>
      </c>
      <c r="W387" s="2" t="s">
        <v>74</v>
      </c>
      <c r="X387" s="2" t="s">
        <v>74</v>
      </c>
      <c r="Y387" s="2" t="s">
        <v>74</v>
      </c>
      <c r="Z387" s="2" t="s">
        <v>74</v>
      </c>
      <c r="AA387" s="2" t="s">
        <v>74</v>
      </c>
      <c r="AB387" s="2" t="s">
        <v>2537</v>
      </c>
      <c r="AC387" s="2" t="s">
        <v>74</v>
      </c>
      <c r="AD387" s="2" t="s">
        <v>74</v>
      </c>
      <c r="AE387" s="2" t="s">
        <v>74</v>
      </c>
      <c r="AF387" s="2" t="s">
        <v>74</v>
      </c>
      <c r="AG387" s="2" t="s">
        <v>74</v>
      </c>
      <c r="AH387" s="2" t="s">
        <v>74</v>
      </c>
      <c r="AI387" s="2" t="s">
        <v>74</v>
      </c>
      <c r="AJ387" s="2" t="s">
        <v>74</v>
      </c>
      <c r="AK387" s="2" t="s">
        <v>74</v>
      </c>
      <c r="AL387" s="2" t="s">
        <v>74</v>
      </c>
      <c r="AM387" s="2" t="s">
        <v>74</v>
      </c>
      <c r="AN387" s="2" t="s">
        <v>74</v>
      </c>
      <c r="AO387" s="2" t="s">
        <v>74</v>
      </c>
      <c r="AP387" s="2" t="s">
        <v>435</v>
      </c>
      <c r="AQ387" s="2" t="s">
        <v>74</v>
      </c>
      <c r="AR387" s="2" t="s">
        <v>74</v>
      </c>
      <c r="AS387" s="2" t="s">
        <v>74</v>
      </c>
      <c r="AT387" s="2" t="s">
        <v>74</v>
      </c>
      <c r="AU387" s="2">
        <v>1983</v>
      </c>
      <c r="AV387" s="2">
        <v>100</v>
      </c>
      <c r="AW387" s="2">
        <v>2</v>
      </c>
      <c r="AX387" s="2" t="s">
        <v>74</v>
      </c>
      <c r="AY387" s="2" t="s">
        <v>74</v>
      </c>
      <c r="AZ387" s="2" t="s">
        <v>74</v>
      </c>
      <c r="BA387" s="2" t="s">
        <v>74</v>
      </c>
      <c r="BB387" s="2">
        <v>269</v>
      </c>
      <c r="BC387" s="2" t="s">
        <v>726</v>
      </c>
      <c r="BD387" s="2" t="s">
        <v>74</v>
      </c>
      <c r="BE387" s="2" t="s">
        <v>2538</v>
      </c>
      <c r="BF387" s="2" t="str">
        <f>HYPERLINK("http://dx.doi.org/10.1093/auk/100.2.269","http://dx.doi.org/10.1093/auk/100.2.269")</f>
        <v>http://dx.doi.org/10.1093/auk/100.2.269</v>
      </c>
      <c r="BG387" s="2" t="s">
        <v>74</v>
      </c>
      <c r="BH387" s="2" t="s">
        <v>74</v>
      </c>
      <c r="BI387" s="2" t="s">
        <v>74</v>
      </c>
      <c r="BJ387" s="2" t="s">
        <v>74</v>
      </c>
      <c r="BK387" s="2" t="s">
        <v>74</v>
      </c>
      <c r="BL387" s="2" t="s">
        <v>74</v>
      </c>
      <c r="BM387" s="2" t="s">
        <v>74</v>
      </c>
      <c r="BN387" s="2" t="s">
        <v>74</v>
      </c>
      <c r="BO387" s="2" t="s">
        <v>74</v>
      </c>
      <c r="BP387" s="2" t="s">
        <v>74</v>
      </c>
      <c r="BQ387" s="2" t="s">
        <v>74</v>
      </c>
      <c r="BR387" s="2" t="s">
        <v>74</v>
      </c>
      <c r="BS387" s="2" t="s">
        <v>2539</v>
      </c>
      <c r="BT387" s="2" t="str">
        <f>HYPERLINK("https%3A%2F%2Fwww.webofscience.com%2Fwos%2Fwoscc%2Ffull-record%2FWOS:A1983QX26300001","View Full Record in Web of Science")</f>
        <v>View Full Record in Web of Science</v>
      </c>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row>
    <row r="388" spans="1:314" s="2" customFormat="1" x14ac:dyDescent="0.4">
      <c r="A388" s="2" t="s">
        <v>72</v>
      </c>
      <c r="B388" s="2" t="s">
        <v>707</v>
      </c>
      <c r="C388" s="2" t="s">
        <v>74</v>
      </c>
      <c r="D388" s="2" t="s">
        <v>74</v>
      </c>
      <c r="E388" s="2" t="s">
        <v>74</v>
      </c>
      <c r="F388" s="2" t="s">
        <v>707</v>
      </c>
      <c r="G388" s="2" t="s">
        <v>74</v>
      </c>
      <c r="H388" s="2" t="s">
        <v>74</v>
      </c>
      <c r="I388" s="2" t="s">
        <v>708</v>
      </c>
      <c r="J388" s="2" t="s">
        <v>408</v>
      </c>
      <c r="K388" s="2" t="s">
        <v>74</v>
      </c>
      <c r="L388" s="2" t="s">
        <v>74</v>
      </c>
      <c r="M388" s="2" t="s">
        <v>74</v>
      </c>
      <c r="N388" s="2" t="s">
        <v>74</v>
      </c>
      <c r="O388" s="2" t="s">
        <v>74</v>
      </c>
      <c r="P388" s="2" t="s">
        <v>74</v>
      </c>
      <c r="Q388" s="2" t="s">
        <v>74</v>
      </c>
      <c r="R388" s="2" t="s">
        <v>74</v>
      </c>
      <c r="S388" s="2" t="s">
        <v>74</v>
      </c>
      <c r="T388" s="2" t="s">
        <v>74</v>
      </c>
      <c r="U388" s="2" t="s">
        <v>74</v>
      </c>
      <c r="V388" s="5" t="s">
        <v>709</v>
      </c>
      <c r="W388" s="2" t="s">
        <v>74</v>
      </c>
      <c r="X388" s="2" t="s">
        <v>74</v>
      </c>
      <c r="Y388" s="2" t="s">
        <v>74</v>
      </c>
      <c r="Z388" s="2" t="s">
        <v>74</v>
      </c>
      <c r="AA388" s="2" t="s">
        <v>710</v>
      </c>
      <c r="AB388" s="2" t="s">
        <v>711</v>
      </c>
      <c r="AC388" s="2" t="s">
        <v>74</v>
      </c>
      <c r="AD388" s="2" t="s">
        <v>74</v>
      </c>
      <c r="AE388" s="2" t="s">
        <v>74</v>
      </c>
      <c r="AF388" s="2" t="s">
        <v>74</v>
      </c>
      <c r="AG388" s="2" t="s">
        <v>74</v>
      </c>
      <c r="AH388" s="2" t="s">
        <v>74</v>
      </c>
      <c r="AI388" s="2" t="s">
        <v>74</v>
      </c>
      <c r="AJ388" s="2" t="s">
        <v>74</v>
      </c>
      <c r="AK388" s="2" t="s">
        <v>74</v>
      </c>
      <c r="AL388" s="2" t="s">
        <v>74</v>
      </c>
      <c r="AM388" s="2" t="s">
        <v>74</v>
      </c>
      <c r="AN388" s="2" t="s">
        <v>74</v>
      </c>
      <c r="AO388" s="2" t="s">
        <v>412</v>
      </c>
      <c r="AP388" s="2" t="s">
        <v>413</v>
      </c>
      <c r="AQ388" s="2" t="s">
        <v>74</v>
      </c>
      <c r="AR388" s="2" t="s">
        <v>74</v>
      </c>
      <c r="AS388" s="2" t="s">
        <v>74</v>
      </c>
      <c r="AT388" s="2" t="s">
        <v>305</v>
      </c>
      <c r="AU388" s="2">
        <v>1990</v>
      </c>
      <c r="AV388" s="2">
        <v>41</v>
      </c>
      <c r="AW388" s="2">
        <v>4</v>
      </c>
      <c r="AX388" s="2" t="s">
        <v>74</v>
      </c>
      <c r="AY388" s="2" t="s">
        <v>74</v>
      </c>
      <c r="AZ388" s="2" t="s">
        <v>74</v>
      </c>
      <c r="BA388" s="2" t="s">
        <v>74</v>
      </c>
      <c r="BB388" s="2">
        <v>315</v>
      </c>
      <c r="BC388" s="2">
        <v>352</v>
      </c>
      <c r="BD388" s="2" t="s">
        <v>74</v>
      </c>
      <c r="BE388" s="2" t="s">
        <v>712</v>
      </c>
      <c r="BF388" s="2" t="str">
        <f>HYPERLINK("http://dx.doi.org/10.1111/j.1095-8312.1990.tb00839.x","http://dx.doi.org/10.1111/j.1095-8312.1990.tb00839.x")</f>
        <v>http://dx.doi.org/10.1111/j.1095-8312.1990.tb00839.x</v>
      </c>
      <c r="BG388" s="2" t="s">
        <v>74</v>
      </c>
      <c r="BH388" s="2" t="s">
        <v>74</v>
      </c>
      <c r="BI388" s="2" t="s">
        <v>74</v>
      </c>
      <c r="BJ388" s="2" t="s">
        <v>74</v>
      </c>
      <c r="BK388" s="2" t="s">
        <v>74</v>
      </c>
      <c r="BL388" s="2" t="s">
        <v>74</v>
      </c>
      <c r="BM388" s="2" t="s">
        <v>74</v>
      </c>
      <c r="BN388" s="2" t="s">
        <v>74</v>
      </c>
      <c r="BO388" s="2" t="s">
        <v>74</v>
      </c>
      <c r="BP388" s="2" t="s">
        <v>74</v>
      </c>
      <c r="BQ388" s="2" t="s">
        <v>74</v>
      </c>
      <c r="BR388" s="2" t="s">
        <v>74</v>
      </c>
      <c r="BS388" s="2" t="s">
        <v>713</v>
      </c>
      <c r="BT388" s="2" t="str">
        <f>HYPERLINK("https%3A%2F%2Fwww.webofscience.com%2Fwos%2Fwoscc%2Ffull-record%2FWOS:A1990EQ25300002","View Full Record in Web of Science")</f>
        <v>View Full Record in Web of Science</v>
      </c>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row>
    <row r="389" spans="1:314" s="2" customFormat="1" x14ac:dyDescent="0.4">
      <c r="A389" s="2" t="s">
        <v>72</v>
      </c>
      <c r="B389" s="2" t="s">
        <v>5434</v>
      </c>
      <c r="C389" s="2" t="s">
        <v>74</v>
      </c>
      <c r="D389" s="2" t="s">
        <v>74</v>
      </c>
      <c r="E389" s="2" t="s">
        <v>74</v>
      </c>
      <c r="F389" s="2" t="s">
        <v>5435</v>
      </c>
      <c r="G389" s="2" t="s">
        <v>74</v>
      </c>
      <c r="H389" s="2" t="s">
        <v>74</v>
      </c>
      <c r="I389" s="2" t="s">
        <v>5436</v>
      </c>
      <c r="J389" s="2" t="s">
        <v>229</v>
      </c>
      <c r="K389" s="2" t="s">
        <v>74</v>
      </c>
      <c r="L389" s="2" t="s">
        <v>74</v>
      </c>
      <c r="M389" s="2" t="s">
        <v>74</v>
      </c>
      <c r="N389" s="2" t="s">
        <v>74</v>
      </c>
      <c r="O389" s="2" t="s">
        <v>74</v>
      </c>
      <c r="P389" s="2" t="s">
        <v>74</v>
      </c>
      <c r="Q389" s="2" t="s">
        <v>74</v>
      </c>
      <c r="R389" s="2" t="s">
        <v>74</v>
      </c>
      <c r="S389" s="2" t="s">
        <v>74</v>
      </c>
      <c r="T389" s="2" t="s">
        <v>74</v>
      </c>
      <c r="U389" s="2" t="s">
        <v>74</v>
      </c>
      <c r="V389" s="5" t="s">
        <v>5437</v>
      </c>
      <c r="W389" s="2" t="s">
        <v>74</v>
      </c>
      <c r="X389" s="2" t="s">
        <v>74</v>
      </c>
      <c r="Y389" s="2" t="s">
        <v>74</v>
      </c>
      <c r="Z389" s="2" t="s">
        <v>74</v>
      </c>
      <c r="AA389" s="2" t="s">
        <v>5438</v>
      </c>
      <c r="AB389" s="2" t="s">
        <v>5439</v>
      </c>
      <c r="AC389" s="2" t="s">
        <v>74</v>
      </c>
      <c r="AD389" s="2" t="s">
        <v>74</v>
      </c>
      <c r="AE389" s="2" t="s">
        <v>74</v>
      </c>
      <c r="AF389" s="2" t="s">
        <v>74</v>
      </c>
      <c r="AG389" s="2" t="s">
        <v>74</v>
      </c>
      <c r="AH389" s="2" t="s">
        <v>74</v>
      </c>
      <c r="AI389" s="2" t="s">
        <v>74</v>
      </c>
      <c r="AJ389" s="2" t="s">
        <v>74</v>
      </c>
      <c r="AK389" s="2" t="s">
        <v>74</v>
      </c>
      <c r="AL389" s="2" t="s">
        <v>74</v>
      </c>
      <c r="AM389" s="2" t="s">
        <v>74</v>
      </c>
      <c r="AN389" s="2" t="s">
        <v>74</v>
      </c>
      <c r="AO389" s="2" t="s">
        <v>233</v>
      </c>
      <c r="AP389" s="2" t="s">
        <v>234</v>
      </c>
      <c r="AQ389" s="2" t="s">
        <v>74</v>
      </c>
      <c r="AR389" s="2" t="s">
        <v>74</v>
      </c>
      <c r="AS389" s="2" t="s">
        <v>74</v>
      </c>
      <c r="AT389" s="2" t="s">
        <v>123</v>
      </c>
      <c r="AU389" s="2">
        <v>2014</v>
      </c>
      <c r="AV389" s="2">
        <v>40</v>
      </c>
      <c r="AW389" s="2">
        <v>2</v>
      </c>
      <c r="AX389" s="2" t="s">
        <v>74</v>
      </c>
      <c r="AY389" s="2" t="s">
        <v>74</v>
      </c>
      <c r="AZ389" s="2" t="s">
        <v>74</v>
      </c>
      <c r="BA389" s="2" t="s">
        <v>74</v>
      </c>
      <c r="BB389" s="2">
        <v>109</v>
      </c>
      <c r="BC389" s="2">
        <v>119</v>
      </c>
      <c r="BD389" s="2" t="s">
        <v>74</v>
      </c>
      <c r="BE389" s="2" t="s">
        <v>5440</v>
      </c>
      <c r="BF389" s="2" t="str">
        <f>HYPERLINK("http://dx.doi.org/10.1002/ab.21508","http://dx.doi.org/10.1002/ab.21508")</f>
        <v>http://dx.doi.org/10.1002/ab.21508</v>
      </c>
      <c r="BG389" s="2" t="s">
        <v>74</v>
      </c>
      <c r="BH389" s="2" t="s">
        <v>74</v>
      </c>
      <c r="BI389" s="2" t="s">
        <v>74</v>
      </c>
      <c r="BJ389" s="2" t="s">
        <v>74</v>
      </c>
      <c r="BK389" s="2" t="s">
        <v>74</v>
      </c>
      <c r="BL389" s="2" t="s">
        <v>74</v>
      </c>
      <c r="BM389" s="2" t="s">
        <v>74</v>
      </c>
      <c r="BN389" s="2">
        <v>24497000</v>
      </c>
      <c r="BO389" s="2" t="s">
        <v>74</v>
      </c>
      <c r="BP389" s="2" t="s">
        <v>74</v>
      </c>
      <c r="BQ389" s="2" t="s">
        <v>74</v>
      </c>
      <c r="BR389" s="2" t="s">
        <v>74</v>
      </c>
      <c r="BS389" s="2" t="s">
        <v>5441</v>
      </c>
      <c r="BT389" s="2" t="str">
        <f>HYPERLINK("https%3A%2F%2Fwww.webofscience.com%2Fwos%2Fwoscc%2Ffull-record%2FWOS:000331255700002","View Full Record in Web of Science")</f>
        <v>View Full Record in Web of Science</v>
      </c>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row>
    <row r="390" spans="1:314" s="2" customFormat="1" x14ac:dyDescent="0.4">
      <c r="A390" s="2" t="s">
        <v>72</v>
      </c>
      <c r="B390" s="2" t="s">
        <v>5383</v>
      </c>
      <c r="C390" s="2" t="s">
        <v>74</v>
      </c>
      <c r="D390" s="2" t="s">
        <v>74</v>
      </c>
      <c r="E390" s="2" t="s">
        <v>74</v>
      </c>
      <c r="F390" s="2" t="s">
        <v>5383</v>
      </c>
      <c r="G390" s="2" t="s">
        <v>74</v>
      </c>
      <c r="H390" s="2" t="s">
        <v>74</v>
      </c>
      <c r="I390" s="2" t="s">
        <v>5384</v>
      </c>
      <c r="J390" s="2" t="s">
        <v>5385</v>
      </c>
      <c r="K390" s="2" t="s">
        <v>74</v>
      </c>
      <c r="L390" s="2" t="s">
        <v>74</v>
      </c>
      <c r="M390" s="2" t="s">
        <v>74</v>
      </c>
      <c r="N390" s="2" t="s">
        <v>74</v>
      </c>
      <c r="O390" s="2" t="s">
        <v>74</v>
      </c>
      <c r="P390" s="2" t="s">
        <v>74</v>
      </c>
      <c r="Q390" s="2" t="s">
        <v>74</v>
      </c>
      <c r="R390" s="2" t="s">
        <v>74</v>
      </c>
      <c r="S390" s="2" t="s">
        <v>74</v>
      </c>
      <c r="T390" s="2" t="s">
        <v>74</v>
      </c>
      <c r="U390" s="2" t="s">
        <v>74</v>
      </c>
      <c r="V390" s="5" t="s">
        <v>5386</v>
      </c>
      <c r="W390" s="2" t="s">
        <v>74</v>
      </c>
      <c r="X390" s="2" t="s">
        <v>74</v>
      </c>
      <c r="Y390" s="2" t="s">
        <v>74</v>
      </c>
      <c r="Z390" s="2" t="s">
        <v>74</v>
      </c>
      <c r="AA390" s="2" t="s">
        <v>74</v>
      </c>
      <c r="AB390" s="2" t="s">
        <v>74</v>
      </c>
      <c r="AC390" s="2" t="s">
        <v>74</v>
      </c>
      <c r="AD390" s="2" t="s">
        <v>74</v>
      </c>
      <c r="AE390" s="2" t="s">
        <v>74</v>
      </c>
      <c r="AF390" s="2" t="s">
        <v>74</v>
      </c>
      <c r="AG390" s="2" t="s">
        <v>74</v>
      </c>
      <c r="AH390" s="2" t="s">
        <v>74</v>
      </c>
      <c r="AI390" s="2" t="s">
        <v>74</v>
      </c>
      <c r="AJ390" s="2" t="s">
        <v>74</v>
      </c>
      <c r="AK390" s="2" t="s">
        <v>74</v>
      </c>
      <c r="AL390" s="2" t="s">
        <v>74</v>
      </c>
      <c r="AM390" s="2" t="s">
        <v>74</v>
      </c>
      <c r="AN390" s="2" t="s">
        <v>74</v>
      </c>
      <c r="AO390" s="2" t="s">
        <v>5387</v>
      </c>
      <c r="AP390" s="2" t="s">
        <v>74</v>
      </c>
      <c r="AQ390" s="2" t="s">
        <v>74</v>
      </c>
      <c r="AR390" s="2" t="s">
        <v>74</v>
      </c>
      <c r="AS390" s="2" t="s">
        <v>74</v>
      </c>
      <c r="AT390" s="2" t="s">
        <v>74</v>
      </c>
      <c r="AU390" s="2">
        <v>1993</v>
      </c>
      <c r="AV390" s="2">
        <v>35</v>
      </c>
      <c r="AW390" s="2">
        <v>2</v>
      </c>
      <c r="AX390" s="2" t="s">
        <v>74</v>
      </c>
      <c r="AY390" s="2" t="s">
        <v>74</v>
      </c>
      <c r="AZ390" s="2" t="s">
        <v>74</v>
      </c>
      <c r="BA390" s="2" t="s">
        <v>74</v>
      </c>
      <c r="BB390" s="2">
        <v>371</v>
      </c>
      <c r="BC390" s="2">
        <v>388</v>
      </c>
      <c r="BD390" s="2" t="s">
        <v>74</v>
      </c>
      <c r="BE390" s="2" t="s">
        <v>74</v>
      </c>
      <c r="BF390" s="2" t="s">
        <v>74</v>
      </c>
      <c r="BG390" s="2" t="s">
        <v>74</v>
      </c>
      <c r="BH390" s="2" t="s">
        <v>74</v>
      </c>
      <c r="BI390" s="2" t="s">
        <v>74</v>
      </c>
      <c r="BJ390" s="2" t="s">
        <v>74</v>
      </c>
      <c r="BK390" s="2" t="s">
        <v>74</v>
      </c>
      <c r="BL390" s="2" t="s">
        <v>74</v>
      </c>
      <c r="BM390" s="2" t="s">
        <v>74</v>
      </c>
      <c r="BN390" s="2" t="s">
        <v>74</v>
      </c>
      <c r="BO390" s="2" t="s">
        <v>74</v>
      </c>
      <c r="BP390" s="2" t="s">
        <v>74</v>
      </c>
      <c r="BQ390" s="2" t="s">
        <v>74</v>
      </c>
      <c r="BR390" s="2" t="s">
        <v>74</v>
      </c>
      <c r="BS390" s="2" t="s">
        <v>5388</v>
      </c>
      <c r="BT390" s="2" t="str">
        <f>HYPERLINK("https%3A%2F%2Fwww.webofscience.com%2Fwos%2Fwoscc%2Ffull-record%2FWOS:A1993MK18700007","View Full Record in Web of Science")</f>
        <v>View Full Record in Web of Science</v>
      </c>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row>
    <row r="391" spans="1:314" s="2" customFormat="1" x14ac:dyDescent="0.4">
      <c r="A391" s="2" t="s">
        <v>72</v>
      </c>
      <c r="B391" s="2" t="s">
        <v>7131</v>
      </c>
      <c r="C391" s="2" t="s">
        <v>74</v>
      </c>
      <c r="D391" s="2" t="s">
        <v>74</v>
      </c>
      <c r="E391" s="2" t="s">
        <v>74</v>
      </c>
      <c r="F391" s="2" t="s">
        <v>7132</v>
      </c>
      <c r="G391" s="2" t="s">
        <v>74</v>
      </c>
      <c r="H391" s="2" t="s">
        <v>74</v>
      </c>
      <c r="I391" s="2" t="s">
        <v>7133</v>
      </c>
      <c r="J391" s="2" t="s">
        <v>119</v>
      </c>
      <c r="K391" s="2" t="s">
        <v>74</v>
      </c>
      <c r="L391" s="2" t="s">
        <v>74</v>
      </c>
      <c r="M391" s="2" t="s">
        <v>74</v>
      </c>
      <c r="N391" s="2" t="s">
        <v>74</v>
      </c>
      <c r="O391" s="2" t="s">
        <v>74</v>
      </c>
      <c r="P391" s="2" t="s">
        <v>74</v>
      </c>
      <c r="Q391" s="2" t="s">
        <v>74</v>
      </c>
      <c r="R391" s="2" t="s">
        <v>74</v>
      </c>
      <c r="S391" s="2" t="s">
        <v>74</v>
      </c>
      <c r="T391" s="2" t="s">
        <v>74</v>
      </c>
      <c r="U391" s="2" t="s">
        <v>74</v>
      </c>
      <c r="V391" s="5" t="s">
        <v>7134</v>
      </c>
      <c r="W391" s="2" t="s">
        <v>74</v>
      </c>
      <c r="X391" s="2" t="s">
        <v>74</v>
      </c>
      <c r="Y391" s="2" t="s">
        <v>74</v>
      </c>
      <c r="Z391" s="2" t="s">
        <v>74</v>
      </c>
      <c r="AA391" s="2" t="s">
        <v>7135</v>
      </c>
      <c r="AB391" s="2" t="s">
        <v>7136</v>
      </c>
      <c r="AC391" s="2" t="s">
        <v>74</v>
      </c>
      <c r="AD391" s="2" t="s">
        <v>74</v>
      </c>
      <c r="AE391" s="2" t="s">
        <v>74</v>
      </c>
      <c r="AF391" s="2" t="s">
        <v>74</v>
      </c>
      <c r="AG391" s="2" t="s">
        <v>74</v>
      </c>
      <c r="AH391" s="2" t="s">
        <v>74</v>
      </c>
      <c r="AI391" s="2" t="s">
        <v>74</v>
      </c>
      <c r="AJ391" s="2" t="s">
        <v>74</v>
      </c>
      <c r="AK391" s="2" t="s">
        <v>74</v>
      </c>
      <c r="AL391" s="2" t="s">
        <v>74</v>
      </c>
      <c r="AM391" s="2" t="s">
        <v>74</v>
      </c>
      <c r="AN391" s="2" t="s">
        <v>74</v>
      </c>
      <c r="AO391" s="2" t="s">
        <v>121</v>
      </c>
      <c r="AP391" s="2" t="s">
        <v>122</v>
      </c>
      <c r="AQ391" s="2" t="s">
        <v>74</v>
      </c>
      <c r="AR391" s="2" t="s">
        <v>74</v>
      </c>
      <c r="AS391" s="2" t="s">
        <v>74</v>
      </c>
      <c r="AT391" s="2" t="s">
        <v>352</v>
      </c>
      <c r="AU391" s="2">
        <v>2017</v>
      </c>
      <c r="AV391" s="2">
        <v>142</v>
      </c>
      <c r="AW391" s="2" t="s">
        <v>74</v>
      </c>
      <c r="AX391" s="2" t="s">
        <v>74</v>
      </c>
      <c r="AY391" s="2" t="s">
        <v>74</v>
      </c>
      <c r="AZ391" s="2" t="s">
        <v>74</v>
      </c>
      <c r="BA391" s="2" t="s">
        <v>74</v>
      </c>
      <c r="BB391" s="2">
        <v>116</v>
      </c>
      <c r="BC391" s="2">
        <v>118</v>
      </c>
      <c r="BD391" s="2" t="s">
        <v>74</v>
      </c>
      <c r="BE391" s="2" t="s">
        <v>7137</v>
      </c>
      <c r="BF391" s="2" t="str">
        <f>HYPERLINK("http://dx.doi.org/10.1016/j.beproc.2017.07.002","http://dx.doi.org/10.1016/j.beproc.2017.07.002")</f>
        <v>http://dx.doi.org/10.1016/j.beproc.2017.07.002</v>
      </c>
      <c r="BG391" s="2" t="s">
        <v>74</v>
      </c>
      <c r="BH391" s="2" t="s">
        <v>74</v>
      </c>
      <c r="BI391" s="2" t="s">
        <v>74</v>
      </c>
      <c r="BJ391" s="2" t="s">
        <v>74</v>
      </c>
      <c r="BK391" s="2" t="s">
        <v>74</v>
      </c>
      <c r="BL391" s="2" t="s">
        <v>74</v>
      </c>
      <c r="BM391" s="2" t="s">
        <v>74</v>
      </c>
      <c r="BN391" s="2">
        <v>28694127</v>
      </c>
      <c r="BO391" s="2" t="s">
        <v>74</v>
      </c>
      <c r="BP391" s="2" t="s">
        <v>74</v>
      </c>
      <c r="BQ391" s="2" t="s">
        <v>74</v>
      </c>
      <c r="BR391" s="2" t="s">
        <v>74</v>
      </c>
      <c r="BS391" s="2" t="s">
        <v>7138</v>
      </c>
      <c r="BT391" s="2" t="str">
        <f>HYPERLINK("https%3A%2F%2Fwww.webofscience.com%2Fwos%2Fwoscc%2Ffull-record%2FWOS:000411539500017","View Full Record in Web of Science")</f>
        <v>View Full Record in Web of Science</v>
      </c>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row>
    <row r="392" spans="1:314" s="2" customFormat="1" x14ac:dyDescent="0.4">
      <c r="A392" s="2" t="s">
        <v>72</v>
      </c>
      <c r="B392" s="2" t="s">
        <v>6651</v>
      </c>
      <c r="C392" s="2" t="s">
        <v>74</v>
      </c>
      <c r="D392" s="2" t="s">
        <v>74</v>
      </c>
      <c r="E392" s="2" t="s">
        <v>74</v>
      </c>
      <c r="F392" s="2" t="s">
        <v>6652</v>
      </c>
      <c r="G392" s="2" t="s">
        <v>74</v>
      </c>
      <c r="H392" s="2" t="s">
        <v>74</v>
      </c>
      <c r="I392" s="2" t="s">
        <v>6653</v>
      </c>
      <c r="J392" s="2" t="s">
        <v>824</v>
      </c>
      <c r="K392" s="2" t="s">
        <v>74</v>
      </c>
      <c r="L392" s="2" t="s">
        <v>74</v>
      </c>
      <c r="M392" s="2" t="s">
        <v>74</v>
      </c>
      <c r="N392" s="2" t="s">
        <v>74</v>
      </c>
      <c r="O392" s="2" t="s">
        <v>74</v>
      </c>
      <c r="P392" s="2" t="s">
        <v>74</v>
      </c>
      <c r="Q392" s="2" t="s">
        <v>74</v>
      </c>
      <c r="R392" s="2" t="s">
        <v>74</v>
      </c>
      <c r="S392" s="2" t="s">
        <v>74</v>
      </c>
      <c r="T392" s="2" t="s">
        <v>74</v>
      </c>
      <c r="U392" s="2" t="s">
        <v>74</v>
      </c>
      <c r="V392" s="5" t="s">
        <v>6654</v>
      </c>
      <c r="W392" s="2" t="s">
        <v>74</v>
      </c>
      <c r="X392" s="2" t="s">
        <v>74</v>
      </c>
      <c r="Y392" s="2" t="s">
        <v>74</v>
      </c>
      <c r="Z392" s="2" t="s">
        <v>74</v>
      </c>
      <c r="AA392" s="2" t="s">
        <v>6655</v>
      </c>
      <c r="AB392" s="2" t="s">
        <v>6656</v>
      </c>
      <c r="AC392" s="2" t="s">
        <v>74</v>
      </c>
      <c r="AD392" s="2" t="s">
        <v>74</v>
      </c>
      <c r="AE392" s="2" t="s">
        <v>74</v>
      </c>
      <c r="AF392" s="2" t="s">
        <v>74</v>
      </c>
      <c r="AG392" s="2" t="s">
        <v>74</v>
      </c>
      <c r="AH392" s="2" t="s">
        <v>74</v>
      </c>
      <c r="AI392" s="2" t="s">
        <v>74</v>
      </c>
      <c r="AJ392" s="2" t="s">
        <v>74</v>
      </c>
      <c r="AK392" s="2" t="s">
        <v>74</v>
      </c>
      <c r="AL392" s="2" t="s">
        <v>74</v>
      </c>
      <c r="AM392" s="2" t="s">
        <v>74</v>
      </c>
      <c r="AN392" s="2" t="s">
        <v>74</v>
      </c>
      <c r="AO392" s="2" t="s">
        <v>828</v>
      </c>
      <c r="AP392" s="2" t="s">
        <v>829</v>
      </c>
      <c r="AQ392" s="2" t="s">
        <v>74</v>
      </c>
      <c r="AR392" s="2" t="s">
        <v>74</v>
      </c>
      <c r="AS392" s="2" t="s">
        <v>74</v>
      </c>
      <c r="AT392" s="2" t="s">
        <v>352</v>
      </c>
      <c r="AU392" s="2">
        <v>2018</v>
      </c>
      <c r="AV392" s="2">
        <v>87</v>
      </c>
      <c r="AW392" s="2">
        <v>5</v>
      </c>
      <c r="AX392" s="2" t="s">
        <v>74</v>
      </c>
      <c r="AY392" s="2" t="s">
        <v>74</v>
      </c>
      <c r="AZ392" s="2" t="s">
        <v>74</v>
      </c>
      <c r="BA392" s="2" t="s">
        <v>74</v>
      </c>
      <c r="BB392" s="2">
        <v>1274</v>
      </c>
      <c r="BC392" s="2">
        <v>1285</v>
      </c>
      <c r="BD392" s="2" t="s">
        <v>74</v>
      </c>
      <c r="BE392" s="2" t="s">
        <v>6657</v>
      </c>
      <c r="BF392" s="2" t="str">
        <f>HYPERLINK("http://dx.doi.org/10.1111/1365-2656.12855","http://dx.doi.org/10.1111/1365-2656.12855")</f>
        <v>http://dx.doi.org/10.1111/1365-2656.12855</v>
      </c>
      <c r="BG392" s="2" t="s">
        <v>74</v>
      </c>
      <c r="BH392" s="2" t="s">
        <v>74</v>
      </c>
      <c r="BI392" s="2" t="s">
        <v>74</v>
      </c>
      <c r="BJ392" s="2" t="s">
        <v>74</v>
      </c>
      <c r="BK392" s="2" t="s">
        <v>74</v>
      </c>
      <c r="BL392" s="2" t="s">
        <v>74</v>
      </c>
      <c r="BM392" s="2" t="s">
        <v>74</v>
      </c>
      <c r="BN392" s="2">
        <v>29943467</v>
      </c>
      <c r="BO392" s="2" t="s">
        <v>74</v>
      </c>
      <c r="BP392" s="2" t="s">
        <v>74</v>
      </c>
      <c r="BQ392" s="2" t="s">
        <v>74</v>
      </c>
      <c r="BR392" s="2" t="s">
        <v>74</v>
      </c>
      <c r="BS392" s="2" t="s">
        <v>6658</v>
      </c>
      <c r="BT392" s="2" t="str">
        <f>HYPERLINK("https%3A%2F%2Fwww.webofscience.com%2Fwos%2Fwoscc%2Ffull-record%2FWOS:000441246100008","View Full Record in Web of Science")</f>
        <v>View Full Record in Web of Science</v>
      </c>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row>
    <row r="393" spans="1:314" s="2" customFormat="1" x14ac:dyDescent="0.4">
      <c r="A393" s="2" t="s">
        <v>72</v>
      </c>
      <c r="B393" s="2" t="s">
        <v>6470</v>
      </c>
      <c r="C393" s="2" t="s">
        <v>74</v>
      </c>
      <c r="D393" s="2" t="s">
        <v>74</v>
      </c>
      <c r="E393" s="2" t="s">
        <v>74</v>
      </c>
      <c r="F393" s="2" t="s">
        <v>6470</v>
      </c>
      <c r="G393" s="2" t="s">
        <v>74</v>
      </c>
      <c r="H393" s="2" t="s">
        <v>74</v>
      </c>
      <c r="I393" s="2" t="s">
        <v>6471</v>
      </c>
      <c r="J393" s="2" t="s">
        <v>77</v>
      </c>
      <c r="K393" s="2" t="s">
        <v>74</v>
      </c>
      <c r="L393" s="2" t="s">
        <v>74</v>
      </c>
      <c r="M393" s="2" t="s">
        <v>74</v>
      </c>
      <c r="N393" s="2" t="s">
        <v>74</v>
      </c>
      <c r="O393" s="2" t="s">
        <v>74</v>
      </c>
      <c r="P393" s="2" t="s">
        <v>74</v>
      </c>
      <c r="Q393" s="2" t="s">
        <v>74</v>
      </c>
      <c r="R393" s="2" t="s">
        <v>74</v>
      </c>
      <c r="S393" s="2" t="s">
        <v>74</v>
      </c>
      <c r="T393" s="2" t="s">
        <v>74</v>
      </c>
      <c r="U393" s="2" t="s">
        <v>74</v>
      </c>
      <c r="V393" s="5" t="s">
        <v>6472</v>
      </c>
      <c r="W393" s="2" t="s">
        <v>74</v>
      </c>
      <c r="X393" s="2" t="s">
        <v>74</v>
      </c>
      <c r="Y393" s="2" t="s">
        <v>74</v>
      </c>
      <c r="Z393" s="2" t="s">
        <v>74</v>
      </c>
      <c r="AA393" s="2" t="s">
        <v>6473</v>
      </c>
      <c r="AB393" s="2" t="s">
        <v>74</v>
      </c>
      <c r="AC393" s="2" t="s">
        <v>74</v>
      </c>
      <c r="AD393" s="2" t="s">
        <v>74</v>
      </c>
      <c r="AE393" s="2" t="s">
        <v>74</v>
      </c>
      <c r="AF393" s="2" t="s">
        <v>74</v>
      </c>
      <c r="AG393" s="2" t="s">
        <v>74</v>
      </c>
      <c r="AH393" s="2" t="s">
        <v>74</v>
      </c>
      <c r="AI393" s="2" t="s">
        <v>74</v>
      </c>
      <c r="AJ393" s="2" t="s">
        <v>74</v>
      </c>
      <c r="AK393" s="2" t="s">
        <v>74</v>
      </c>
      <c r="AL393" s="2" t="s">
        <v>74</v>
      </c>
      <c r="AM393" s="2" t="s">
        <v>74</v>
      </c>
      <c r="AN393" s="2" t="s">
        <v>74</v>
      </c>
      <c r="AO393" s="2" t="s">
        <v>81</v>
      </c>
      <c r="AP393" s="2" t="s">
        <v>82</v>
      </c>
      <c r="AQ393" s="2" t="s">
        <v>74</v>
      </c>
      <c r="AR393" s="2" t="s">
        <v>74</v>
      </c>
      <c r="AS393" s="2" t="s">
        <v>74</v>
      </c>
      <c r="AT393" s="2" t="s">
        <v>74</v>
      </c>
      <c r="AU393" s="2">
        <v>1980</v>
      </c>
      <c r="AV393" s="2">
        <v>74</v>
      </c>
      <c r="AW393" s="2" t="s">
        <v>74</v>
      </c>
      <c r="AX393" s="2" t="s">
        <v>548</v>
      </c>
      <c r="AY393" s="2" t="s">
        <v>74</v>
      </c>
      <c r="AZ393" s="2" t="s">
        <v>74</v>
      </c>
      <c r="BA393" s="2" t="s">
        <v>74</v>
      </c>
      <c r="BB393" s="2">
        <v>38</v>
      </c>
      <c r="BC393" s="2">
        <v>91</v>
      </c>
      <c r="BD393" s="2" t="s">
        <v>74</v>
      </c>
      <c r="BE393" s="2" t="s">
        <v>6474</v>
      </c>
      <c r="BF393" s="2" t="str">
        <f>HYPERLINK("http://dx.doi.org/10.1163/156853980X00311","http://dx.doi.org/10.1163/156853980X00311")</f>
        <v>http://dx.doi.org/10.1163/156853980X00311</v>
      </c>
      <c r="BG393" s="2" t="s">
        <v>74</v>
      </c>
      <c r="BH393" s="2" t="s">
        <v>74</v>
      </c>
      <c r="BI393" s="2" t="s">
        <v>74</v>
      </c>
      <c r="BJ393" s="2" t="s">
        <v>74</v>
      </c>
      <c r="BK393" s="2" t="s">
        <v>74</v>
      </c>
      <c r="BL393" s="2" t="s">
        <v>74</v>
      </c>
      <c r="BM393" s="2" t="s">
        <v>74</v>
      </c>
      <c r="BN393" s="2" t="s">
        <v>74</v>
      </c>
      <c r="BO393" s="2" t="s">
        <v>74</v>
      </c>
      <c r="BP393" s="2" t="s">
        <v>74</v>
      </c>
      <c r="BQ393" s="2" t="s">
        <v>74</v>
      </c>
      <c r="BR393" s="2" t="s">
        <v>74</v>
      </c>
      <c r="BS393" s="2" t="s">
        <v>6475</v>
      </c>
      <c r="BT393" s="2" t="str">
        <f>HYPERLINK("https%3A%2F%2Fwww.webofscience.com%2Fwos%2Fwoscc%2Ffull-record%2FWOS:A1980KK26100003","View Full Record in Web of Science")</f>
        <v>View Full Record in Web of Science</v>
      </c>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row>
    <row r="394" spans="1:314" s="2" customFormat="1" x14ac:dyDescent="0.4">
      <c r="A394" s="2" t="s">
        <v>72</v>
      </c>
      <c r="B394" s="2" t="s">
        <v>3886</v>
      </c>
      <c r="C394" s="2" t="s">
        <v>74</v>
      </c>
      <c r="D394" s="2" t="s">
        <v>74</v>
      </c>
      <c r="E394" s="2" t="s">
        <v>74</v>
      </c>
      <c r="F394" s="2" t="s">
        <v>3887</v>
      </c>
      <c r="G394" s="2" t="s">
        <v>74</v>
      </c>
      <c r="H394" s="2" t="s">
        <v>74</v>
      </c>
      <c r="I394" s="2" t="s">
        <v>3888</v>
      </c>
      <c r="J394" s="2" t="s">
        <v>140</v>
      </c>
      <c r="K394" s="2" t="s">
        <v>74</v>
      </c>
      <c r="L394" s="2" t="s">
        <v>74</v>
      </c>
      <c r="M394" s="2" t="s">
        <v>74</v>
      </c>
      <c r="N394" s="2" t="s">
        <v>74</v>
      </c>
      <c r="O394" s="2" t="s">
        <v>74</v>
      </c>
      <c r="P394" s="2" t="s">
        <v>74</v>
      </c>
      <c r="Q394" s="2" t="s">
        <v>74</v>
      </c>
      <c r="R394" s="2" t="s">
        <v>74</v>
      </c>
      <c r="S394" s="2" t="s">
        <v>74</v>
      </c>
      <c r="T394" s="2" t="s">
        <v>74</v>
      </c>
      <c r="U394" s="2" t="s">
        <v>74</v>
      </c>
      <c r="V394" s="5" t="s">
        <v>3889</v>
      </c>
      <c r="W394" s="2" t="s">
        <v>74</v>
      </c>
      <c r="X394" s="2" t="s">
        <v>74</v>
      </c>
      <c r="Y394" s="2" t="s">
        <v>74</v>
      </c>
      <c r="Z394" s="2" t="s">
        <v>74</v>
      </c>
      <c r="AA394" s="2" t="s">
        <v>74</v>
      </c>
      <c r="AB394" s="2" t="s">
        <v>74</v>
      </c>
      <c r="AC394" s="2" t="s">
        <v>74</v>
      </c>
      <c r="AD394" s="2" t="s">
        <v>74</v>
      </c>
      <c r="AE394" s="2" t="s">
        <v>74</v>
      </c>
      <c r="AF394" s="2" t="s">
        <v>74</v>
      </c>
      <c r="AG394" s="2" t="s">
        <v>74</v>
      </c>
      <c r="AH394" s="2" t="s">
        <v>74</v>
      </c>
      <c r="AI394" s="2" t="s">
        <v>74</v>
      </c>
      <c r="AJ394" s="2" t="s">
        <v>74</v>
      </c>
      <c r="AK394" s="2" t="s">
        <v>74</v>
      </c>
      <c r="AL394" s="2" t="s">
        <v>74</v>
      </c>
      <c r="AM394" s="2" t="s">
        <v>74</v>
      </c>
      <c r="AN394" s="2" t="s">
        <v>74</v>
      </c>
      <c r="AO394" s="2" t="s">
        <v>143</v>
      </c>
      <c r="AP394" s="2" t="s">
        <v>144</v>
      </c>
      <c r="AQ394" s="2" t="s">
        <v>74</v>
      </c>
      <c r="AR394" s="2" t="s">
        <v>74</v>
      </c>
      <c r="AS394" s="2" t="s">
        <v>74</v>
      </c>
      <c r="AT394" s="2" t="s">
        <v>134</v>
      </c>
      <c r="AU394" s="2">
        <v>2006</v>
      </c>
      <c r="AV394" s="2">
        <v>71</v>
      </c>
      <c r="AW394" s="2" t="s">
        <v>74</v>
      </c>
      <c r="AX394" s="2">
        <v>5</v>
      </c>
      <c r="AY394" s="2" t="s">
        <v>74</v>
      </c>
      <c r="AZ394" s="2" t="s">
        <v>74</v>
      </c>
      <c r="BA394" s="2" t="s">
        <v>74</v>
      </c>
      <c r="BB394" s="2">
        <v>1155</v>
      </c>
      <c r="BC394" s="2">
        <v>1164</v>
      </c>
      <c r="BD394" s="2" t="s">
        <v>74</v>
      </c>
      <c r="BE394" s="2" t="s">
        <v>3890</v>
      </c>
      <c r="BF394" s="2" t="str">
        <f>HYPERLINK("http://dx.doi.org/10.1016/j.anbehav.2005.10.006","http://dx.doi.org/10.1016/j.anbehav.2005.10.006")</f>
        <v>http://dx.doi.org/10.1016/j.anbehav.2005.10.006</v>
      </c>
      <c r="BG394" s="2" t="s">
        <v>74</v>
      </c>
      <c r="BH394" s="2" t="s">
        <v>74</v>
      </c>
      <c r="BI394" s="2" t="s">
        <v>74</v>
      </c>
      <c r="BJ394" s="2" t="s">
        <v>74</v>
      </c>
      <c r="BK394" s="2" t="s">
        <v>74</v>
      </c>
      <c r="BL394" s="2" t="s">
        <v>74</v>
      </c>
      <c r="BM394" s="2" t="s">
        <v>74</v>
      </c>
      <c r="BN394" s="2" t="s">
        <v>74</v>
      </c>
      <c r="BO394" s="2" t="s">
        <v>74</v>
      </c>
      <c r="BP394" s="2" t="s">
        <v>74</v>
      </c>
      <c r="BQ394" s="2" t="s">
        <v>74</v>
      </c>
      <c r="BR394" s="2" t="s">
        <v>74</v>
      </c>
      <c r="BS394" s="2" t="s">
        <v>3891</v>
      </c>
      <c r="BT394" s="2" t="str">
        <f>HYPERLINK("https%3A%2F%2Fwww.webofscience.com%2Fwos%2Fwoscc%2Ffull-record%2FWOS:000238108600018","View Full Record in Web of Science")</f>
        <v>View Full Record in Web of Science</v>
      </c>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row>
    <row r="395" spans="1:314" s="2" customFormat="1" x14ac:dyDescent="0.4">
      <c r="A395" s="2" t="s">
        <v>72</v>
      </c>
      <c r="B395" s="2" t="s">
        <v>8276</v>
      </c>
      <c r="C395" s="2" t="s">
        <v>74</v>
      </c>
      <c r="D395" s="2" t="s">
        <v>74</v>
      </c>
      <c r="E395" s="2" t="s">
        <v>74</v>
      </c>
      <c r="F395" s="2" t="s">
        <v>8277</v>
      </c>
      <c r="G395" s="2" t="s">
        <v>74</v>
      </c>
      <c r="H395" s="2" t="s">
        <v>74</v>
      </c>
      <c r="I395" s="2" t="s">
        <v>8278</v>
      </c>
      <c r="J395" s="2" t="s">
        <v>108</v>
      </c>
      <c r="K395" s="2" t="s">
        <v>74</v>
      </c>
      <c r="L395" s="2" t="s">
        <v>74</v>
      </c>
      <c r="M395" s="2" t="s">
        <v>74</v>
      </c>
      <c r="N395" s="2" t="s">
        <v>74</v>
      </c>
      <c r="O395" s="2" t="s">
        <v>74</v>
      </c>
      <c r="P395" s="2" t="s">
        <v>74</v>
      </c>
      <c r="Q395" s="2" t="s">
        <v>74</v>
      </c>
      <c r="R395" s="2" t="s">
        <v>74</v>
      </c>
      <c r="S395" s="2" t="s">
        <v>74</v>
      </c>
      <c r="T395" s="2" t="s">
        <v>74</v>
      </c>
      <c r="U395" s="2" t="s">
        <v>74</v>
      </c>
      <c r="V395" s="5" t="s">
        <v>8279</v>
      </c>
      <c r="W395" s="2" t="s">
        <v>74</v>
      </c>
      <c r="X395" s="2" t="s">
        <v>74</v>
      </c>
      <c r="Y395" s="2" t="s">
        <v>74</v>
      </c>
      <c r="Z395" s="2" t="s">
        <v>74</v>
      </c>
      <c r="AA395" s="2" t="s">
        <v>8280</v>
      </c>
      <c r="AB395" s="2" t="s">
        <v>8281</v>
      </c>
      <c r="AC395" s="2" t="s">
        <v>74</v>
      </c>
      <c r="AD395" s="2" t="s">
        <v>74</v>
      </c>
      <c r="AE395" s="2" t="s">
        <v>74</v>
      </c>
      <c r="AF395" s="2" t="s">
        <v>74</v>
      </c>
      <c r="AG395" s="2" t="s">
        <v>74</v>
      </c>
      <c r="AH395" s="2" t="s">
        <v>74</v>
      </c>
      <c r="AI395" s="2" t="s">
        <v>74</v>
      </c>
      <c r="AJ395" s="2" t="s">
        <v>74</v>
      </c>
      <c r="AK395" s="2" t="s">
        <v>74</v>
      </c>
      <c r="AL395" s="2" t="s">
        <v>74</v>
      </c>
      <c r="AM395" s="2" t="s">
        <v>74</v>
      </c>
      <c r="AN395" s="2" t="s">
        <v>74</v>
      </c>
      <c r="AO395" s="2" t="s">
        <v>111</v>
      </c>
      <c r="AP395" s="2" t="s">
        <v>112</v>
      </c>
      <c r="AQ395" s="2" t="s">
        <v>74</v>
      </c>
      <c r="AR395" s="2" t="s">
        <v>74</v>
      </c>
      <c r="AS395" s="2" t="s">
        <v>74</v>
      </c>
      <c r="AT395" s="2" t="s">
        <v>8282</v>
      </c>
      <c r="AU395" s="2">
        <v>2020</v>
      </c>
      <c r="AV395" s="2">
        <v>287</v>
      </c>
      <c r="AW395" s="2">
        <v>1924</v>
      </c>
      <c r="AX395" s="2" t="s">
        <v>74</v>
      </c>
      <c r="AY395" s="2" t="s">
        <v>74</v>
      </c>
      <c r="AZ395" s="2" t="s">
        <v>74</v>
      </c>
      <c r="BA395" s="2" t="s">
        <v>74</v>
      </c>
      <c r="BB395" s="2" t="s">
        <v>74</v>
      </c>
      <c r="BC395" s="2" t="s">
        <v>74</v>
      </c>
      <c r="BD395" s="2" t="s">
        <v>74</v>
      </c>
      <c r="BE395" s="2" t="s">
        <v>8283</v>
      </c>
      <c r="BF395" s="2" t="str">
        <f>HYPERLINK("http://dx.doi.org/10.1098/rspb.2020.0270","http://dx.doi.org/10.1098/rspb.2020.0270")</f>
        <v>http://dx.doi.org/10.1098/rspb.2020.0270</v>
      </c>
      <c r="BG395" s="2" t="s">
        <v>74</v>
      </c>
      <c r="BH395" s="2" t="s">
        <v>74</v>
      </c>
      <c r="BI395" s="2" t="s">
        <v>74</v>
      </c>
      <c r="BJ395" s="2" t="s">
        <v>74</v>
      </c>
      <c r="BK395" s="2" t="s">
        <v>74</v>
      </c>
      <c r="BL395" s="2" t="s">
        <v>74</v>
      </c>
      <c r="BM395" s="2" t="s">
        <v>74</v>
      </c>
      <c r="BN395" s="2">
        <v>32259470</v>
      </c>
      <c r="BO395" s="2" t="s">
        <v>74</v>
      </c>
      <c r="BP395" s="2" t="s">
        <v>74</v>
      </c>
      <c r="BQ395" s="2" t="s">
        <v>74</v>
      </c>
      <c r="BR395" s="2" t="s">
        <v>74</v>
      </c>
      <c r="BS395" s="2" t="s">
        <v>8284</v>
      </c>
      <c r="BT395" s="2" t="str">
        <f>HYPERLINK("https%3A%2F%2Fwww.webofscience.com%2Fwos%2Fwoscc%2Ffull-record%2FWOS:000546947600014","View Full Record in Web of Science")</f>
        <v>View Full Record in Web of Science</v>
      </c>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row>
    <row r="396" spans="1:314" s="2" customFormat="1" x14ac:dyDescent="0.4">
      <c r="A396" s="2" t="s">
        <v>72</v>
      </c>
      <c r="B396" s="2" t="s">
        <v>2487</v>
      </c>
      <c r="C396" s="2" t="s">
        <v>74</v>
      </c>
      <c r="D396" s="2" t="s">
        <v>74</v>
      </c>
      <c r="E396" s="2" t="s">
        <v>74</v>
      </c>
      <c r="F396" s="2" t="s">
        <v>2487</v>
      </c>
      <c r="G396" s="2" t="s">
        <v>74</v>
      </c>
      <c r="H396" s="2" t="s">
        <v>74</v>
      </c>
      <c r="I396" s="2" t="s">
        <v>2488</v>
      </c>
      <c r="J396" s="2" t="s">
        <v>119</v>
      </c>
      <c r="K396" s="2" t="s">
        <v>74</v>
      </c>
      <c r="L396" s="2" t="s">
        <v>74</v>
      </c>
      <c r="M396" s="2" t="s">
        <v>74</v>
      </c>
      <c r="N396" s="2" t="s">
        <v>74</v>
      </c>
      <c r="O396" s="2" t="s">
        <v>74</v>
      </c>
      <c r="P396" s="2" t="s">
        <v>74</v>
      </c>
      <c r="Q396" s="2" t="s">
        <v>74</v>
      </c>
      <c r="R396" s="2" t="s">
        <v>74</v>
      </c>
      <c r="S396" s="2" t="s">
        <v>74</v>
      </c>
      <c r="T396" s="2" t="s">
        <v>74</v>
      </c>
      <c r="U396" s="2" t="s">
        <v>74</v>
      </c>
      <c r="V396" s="5" t="s">
        <v>2489</v>
      </c>
      <c r="W396" s="2" t="s">
        <v>74</v>
      </c>
      <c r="X396" s="2" t="s">
        <v>74</v>
      </c>
      <c r="Y396" s="2" t="s">
        <v>74</v>
      </c>
      <c r="Z396" s="2" t="s">
        <v>74</v>
      </c>
      <c r="AA396" s="2" t="s">
        <v>2490</v>
      </c>
      <c r="AB396" s="2" t="s">
        <v>2491</v>
      </c>
      <c r="AC396" s="2" t="s">
        <v>74</v>
      </c>
      <c r="AD396" s="2" t="s">
        <v>74</v>
      </c>
      <c r="AE396" s="2" t="s">
        <v>74</v>
      </c>
      <c r="AF396" s="2" t="s">
        <v>74</v>
      </c>
      <c r="AG396" s="2" t="s">
        <v>74</v>
      </c>
      <c r="AH396" s="2" t="s">
        <v>74</v>
      </c>
      <c r="AI396" s="2" t="s">
        <v>74</v>
      </c>
      <c r="AJ396" s="2" t="s">
        <v>74</v>
      </c>
      <c r="AK396" s="2" t="s">
        <v>74</v>
      </c>
      <c r="AL396" s="2" t="s">
        <v>74</v>
      </c>
      <c r="AM396" s="2" t="s">
        <v>74</v>
      </c>
      <c r="AN396" s="2" t="s">
        <v>74</v>
      </c>
      <c r="AO396" s="2" t="s">
        <v>121</v>
      </c>
      <c r="AP396" s="2" t="s">
        <v>74</v>
      </c>
      <c r="AQ396" s="2" t="s">
        <v>74</v>
      </c>
      <c r="AR396" s="2" t="s">
        <v>74</v>
      </c>
      <c r="AS396" s="2" t="s">
        <v>74</v>
      </c>
      <c r="AT396" s="2" t="s">
        <v>2492</v>
      </c>
      <c r="AU396" s="2">
        <v>2004</v>
      </c>
      <c r="AV396" s="2">
        <v>67</v>
      </c>
      <c r="AW396" s="2">
        <v>3</v>
      </c>
      <c r="AX396" s="2" t="s">
        <v>74</v>
      </c>
      <c r="AY396" s="2" t="s">
        <v>74</v>
      </c>
      <c r="AZ396" s="2" t="s">
        <v>74</v>
      </c>
      <c r="BA396" s="2" t="s">
        <v>74</v>
      </c>
      <c r="BB396" s="2">
        <v>491</v>
      </c>
      <c r="BC396" s="2">
        <v>499</v>
      </c>
      <c r="BD396" s="2" t="s">
        <v>74</v>
      </c>
      <c r="BE396" s="2" t="s">
        <v>2493</v>
      </c>
      <c r="BF396" s="2" t="str">
        <f>HYPERLINK("http://dx.doi.org/10.1016/j.beproc.2004.08.005","http://dx.doi.org/10.1016/j.beproc.2004.08.005")</f>
        <v>http://dx.doi.org/10.1016/j.beproc.2004.08.005</v>
      </c>
      <c r="BG396" s="2" t="s">
        <v>74</v>
      </c>
      <c r="BH396" s="2" t="s">
        <v>74</v>
      </c>
      <c r="BI396" s="2" t="s">
        <v>74</v>
      </c>
      <c r="BJ396" s="2" t="s">
        <v>74</v>
      </c>
      <c r="BK396" s="2" t="s">
        <v>74</v>
      </c>
      <c r="BL396" s="2" t="s">
        <v>74</v>
      </c>
      <c r="BM396" s="2" t="s">
        <v>74</v>
      </c>
      <c r="BN396" s="2">
        <v>15518998</v>
      </c>
      <c r="BO396" s="2" t="s">
        <v>74</v>
      </c>
      <c r="BP396" s="2" t="s">
        <v>74</v>
      </c>
      <c r="BQ396" s="2" t="s">
        <v>74</v>
      </c>
      <c r="BR396" s="2" t="s">
        <v>74</v>
      </c>
      <c r="BS396" s="2" t="s">
        <v>2494</v>
      </c>
      <c r="BT396" s="2" t="str">
        <f>HYPERLINK("https%3A%2F%2Fwww.webofscience.com%2Fwos%2Fwoscc%2Ffull-record%2FWOS:000225051100016","View Full Record in Web of Science")</f>
        <v>View Full Record in Web of Science</v>
      </c>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row>
    <row r="397" spans="1:314" s="2" customFormat="1" x14ac:dyDescent="0.4">
      <c r="A397" s="2" t="s">
        <v>72</v>
      </c>
      <c r="B397" s="2" t="s">
        <v>2142</v>
      </c>
      <c r="C397" s="2" t="s">
        <v>74</v>
      </c>
      <c r="D397" s="2" t="s">
        <v>74</v>
      </c>
      <c r="E397" s="2" t="s">
        <v>74</v>
      </c>
      <c r="F397" s="2" t="s">
        <v>2142</v>
      </c>
      <c r="G397" s="2" t="s">
        <v>74</v>
      </c>
      <c r="H397" s="2" t="s">
        <v>74</v>
      </c>
      <c r="I397" s="2" t="s">
        <v>2143</v>
      </c>
      <c r="J397" s="2" t="s">
        <v>2144</v>
      </c>
      <c r="K397" s="2" t="s">
        <v>74</v>
      </c>
      <c r="L397" s="2" t="s">
        <v>74</v>
      </c>
      <c r="M397" s="2" t="s">
        <v>74</v>
      </c>
      <c r="N397" s="2" t="s">
        <v>74</v>
      </c>
      <c r="O397" s="2" t="s">
        <v>74</v>
      </c>
      <c r="P397" s="2" t="s">
        <v>74</v>
      </c>
      <c r="Q397" s="2" t="s">
        <v>74</v>
      </c>
      <c r="R397" s="2" t="s">
        <v>74</v>
      </c>
      <c r="S397" s="2" t="s">
        <v>74</v>
      </c>
      <c r="T397" s="2" t="s">
        <v>74</v>
      </c>
      <c r="U397" s="2" t="s">
        <v>74</v>
      </c>
      <c r="V397" s="5" t="s">
        <v>2145</v>
      </c>
      <c r="W397" s="2" t="s">
        <v>74</v>
      </c>
      <c r="X397" s="2" t="s">
        <v>74</v>
      </c>
      <c r="Y397" s="2" t="s">
        <v>74</v>
      </c>
      <c r="Z397" s="2" t="s">
        <v>74</v>
      </c>
      <c r="AA397" s="2" t="s">
        <v>74</v>
      </c>
      <c r="AB397" s="2" t="s">
        <v>74</v>
      </c>
      <c r="AC397" s="2" t="s">
        <v>74</v>
      </c>
      <c r="AD397" s="2" t="s">
        <v>74</v>
      </c>
      <c r="AE397" s="2" t="s">
        <v>74</v>
      </c>
      <c r="AF397" s="2" t="s">
        <v>74</v>
      </c>
      <c r="AG397" s="2" t="s">
        <v>74</v>
      </c>
      <c r="AH397" s="2" t="s">
        <v>74</v>
      </c>
      <c r="AI397" s="2" t="s">
        <v>74</v>
      </c>
      <c r="AJ397" s="2" t="s">
        <v>74</v>
      </c>
      <c r="AK397" s="2" t="s">
        <v>74</v>
      </c>
      <c r="AL397" s="2" t="s">
        <v>74</v>
      </c>
      <c r="AM397" s="2" t="s">
        <v>74</v>
      </c>
      <c r="AN397" s="2" t="s">
        <v>74</v>
      </c>
      <c r="AO397" s="2" t="s">
        <v>2146</v>
      </c>
      <c r="AP397" s="2" t="s">
        <v>2147</v>
      </c>
      <c r="AQ397" s="2" t="s">
        <v>74</v>
      </c>
      <c r="AR397" s="2" t="s">
        <v>74</v>
      </c>
      <c r="AS397" s="2" t="s">
        <v>74</v>
      </c>
      <c r="AT397" s="2" t="s">
        <v>74</v>
      </c>
      <c r="AU397" s="2">
        <v>1980</v>
      </c>
      <c r="AV397" s="2">
        <v>7</v>
      </c>
      <c r="AW397" s="2">
        <v>2</v>
      </c>
      <c r="AX397" s="2" t="s">
        <v>74</v>
      </c>
      <c r="AY397" s="2" t="s">
        <v>74</v>
      </c>
      <c r="AZ397" s="2" t="s">
        <v>74</v>
      </c>
      <c r="BA397" s="2" t="s">
        <v>74</v>
      </c>
      <c r="BB397" s="2">
        <v>211</v>
      </c>
      <c r="BC397" s="2">
        <v>220</v>
      </c>
      <c r="BD397" s="2" t="s">
        <v>74</v>
      </c>
      <c r="BE397" s="2" t="s">
        <v>2148</v>
      </c>
      <c r="BF397" s="2" t="str">
        <f>HYPERLINK("http://dx.doi.org/10.1080/03014223.1980.10423778","http://dx.doi.org/10.1080/03014223.1980.10423778")</f>
        <v>http://dx.doi.org/10.1080/03014223.1980.10423778</v>
      </c>
      <c r="BG397" s="2" t="s">
        <v>74</v>
      </c>
      <c r="BH397" s="2" t="s">
        <v>74</v>
      </c>
      <c r="BI397" s="2" t="s">
        <v>74</v>
      </c>
      <c r="BJ397" s="2" t="s">
        <v>74</v>
      </c>
      <c r="BK397" s="2" t="s">
        <v>74</v>
      </c>
      <c r="BL397" s="2" t="s">
        <v>74</v>
      </c>
      <c r="BM397" s="2" t="s">
        <v>74</v>
      </c>
      <c r="BN397" s="2" t="s">
        <v>74</v>
      </c>
      <c r="BO397" s="2" t="s">
        <v>74</v>
      </c>
      <c r="BP397" s="2" t="s">
        <v>74</v>
      </c>
      <c r="BQ397" s="2" t="s">
        <v>74</v>
      </c>
      <c r="BR397" s="2" t="s">
        <v>74</v>
      </c>
      <c r="BS397" s="2" t="s">
        <v>2149</v>
      </c>
      <c r="BT397" s="2" t="str">
        <f>HYPERLINK("https%3A%2F%2Fwww.webofscience.com%2Fwos%2Fwoscc%2Ffull-record%2FWOS:A1980JX22800006","View Full Record in Web of Science")</f>
        <v>View Full Record in Web of Science</v>
      </c>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row>
    <row r="398" spans="1:314" s="2" customFormat="1" x14ac:dyDescent="0.4">
      <c r="A398" s="2" t="s">
        <v>72</v>
      </c>
      <c r="B398" s="2" t="s">
        <v>2985</v>
      </c>
      <c r="C398" s="2" t="s">
        <v>74</v>
      </c>
      <c r="D398" s="2" t="s">
        <v>74</v>
      </c>
      <c r="E398" s="2" t="s">
        <v>74</v>
      </c>
      <c r="F398" s="2" t="s">
        <v>2986</v>
      </c>
      <c r="G398" s="2" t="s">
        <v>74</v>
      </c>
      <c r="H398" s="2" t="s">
        <v>74</v>
      </c>
      <c r="I398" s="2" t="s">
        <v>2987</v>
      </c>
      <c r="J398" s="2" t="s">
        <v>129</v>
      </c>
      <c r="K398" s="2" t="s">
        <v>74</v>
      </c>
      <c r="L398" s="2" t="s">
        <v>74</v>
      </c>
      <c r="M398" s="2" t="s">
        <v>74</v>
      </c>
      <c r="N398" s="2" t="s">
        <v>74</v>
      </c>
      <c r="O398" s="2" t="s">
        <v>74</v>
      </c>
      <c r="P398" s="2" t="s">
        <v>74</v>
      </c>
      <c r="Q398" s="2" t="s">
        <v>74</v>
      </c>
      <c r="R398" s="2" t="s">
        <v>74</v>
      </c>
      <c r="S398" s="2" t="s">
        <v>74</v>
      </c>
      <c r="T398" s="2" t="s">
        <v>74</v>
      </c>
      <c r="U398" s="2" t="s">
        <v>74</v>
      </c>
      <c r="V398" s="5" t="s">
        <v>2988</v>
      </c>
      <c r="W398" s="2" t="s">
        <v>74</v>
      </c>
      <c r="X398" s="2" t="s">
        <v>74</v>
      </c>
      <c r="Y398" s="2" t="s">
        <v>74</v>
      </c>
      <c r="Z398" s="2" t="s">
        <v>74</v>
      </c>
      <c r="AA398" s="2" t="s">
        <v>2989</v>
      </c>
      <c r="AB398" s="2" t="s">
        <v>2990</v>
      </c>
      <c r="AC398" s="2" t="s">
        <v>74</v>
      </c>
      <c r="AD398" s="2" t="s">
        <v>74</v>
      </c>
      <c r="AE398" s="2" t="s">
        <v>74</v>
      </c>
      <c r="AF398" s="2" t="s">
        <v>74</v>
      </c>
      <c r="AG398" s="2" t="s">
        <v>74</v>
      </c>
      <c r="AH398" s="2" t="s">
        <v>74</v>
      </c>
      <c r="AI398" s="2" t="s">
        <v>74</v>
      </c>
      <c r="AJ398" s="2" t="s">
        <v>74</v>
      </c>
      <c r="AK398" s="2" t="s">
        <v>74</v>
      </c>
      <c r="AL398" s="2" t="s">
        <v>74</v>
      </c>
      <c r="AM398" s="2" t="s">
        <v>74</v>
      </c>
      <c r="AN398" s="2" t="s">
        <v>74</v>
      </c>
      <c r="AO398" s="2" t="s">
        <v>132</v>
      </c>
      <c r="AP398" s="2" t="s">
        <v>133</v>
      </c>
      <c r="AQ398" s="2" t="s">
        <v>74</v>
      </c>
      <c r="AR398" s="2" t="s">
        <v>74</v>
      </c>
      <c r="AS398" s="2" t="s">
        <v>74</v>
      </c>
      <c r="AT398" s="2" t="s">
        <v>134</v>
      </c>
      <c r="AU398" s="2">
        <v>2007</v>
      </c>
      <c r="AV398" s="2">
        <v>61</v>
      </c>
      <c r="AW398" s="2">
        <v>7</v>
      </c>
      <c r="AX398" s="2" t="s">
        <v>74</v>
      </c>
      <c r="AY398" s="2" t="s">
        <v>74</v>
      </c>
      <c r="AZ398" s="2" t="s">
        <v>74</v>
      </c>
      <c r="BA398" s="2" t="s">
        <v>74</v>
      </c>
      <c r="BB398" s="2">
        <v>1121</v>
      </c>
      <c r="BC398" s="2">
        <v>1131</v>
      </c>
      <c r="BD398" s="2" t="s">
        <v>74</v>
      </c>
      <c r="BE398" s="2" t="s">
        <v>2991</v>
      </c>
      <c r="BF398" s="2" t="str">
        <f>HYPERLINK("http://dx.doi.org/10.1007/s00265-006-0345-3","http://dx.doi.org/10.1007/s00265-006-0345-3")</f>
        <v>http://dx.doi.org/10.1007/s00265-006-0345-3</v>
      </c>
      <c r="BG398" s="2" t="s">
        <v>74</v>
      </c>
      <c r="BH398" s="2" t="s">
        <v>74</v>
      </c>
      <c r="BI398" s="2" t="s">
        <v>74</v>
      </c>
      <c r="BJ398" s="2" t="s">
        <v>74</v>
      </c>
      <c r="BK398" s="2" t="s">
        <v>74</v>
      </c>
      <c r="BL398" s="2" t="s">
        <v>74</v>
      </c>
      <c r="BM398" s="2" t="s">
        <v>74</v>
      </c>
      <c r="BN398" s="2" t="s">
        <v>74</v>
      </c>
      <c r="BO398" s="2" t="s">
        <v>74</v>
      </c>
      <c r="BP398" s="2" t="s">
        <v>74</v>
      </c>
      <c r="BQ398" s="2" t="s">
        <v>74</v>
      </c>
      <c r="BR398" s="2" t="s">
        <v>74</v>
      </c>
      <c r="BS398" s="2" t="s">
        <v>2992</v>
      </c>
      <c r="BT398" s="2" t="str">
        <f>HYPERLINK("https%3A%2F%2Fwww.webofscience.com%2Fwos%2Fwoscc%2Ffull-record%2FWOS:000245519700015","View Full Record in Web of Science")</f>
        <v>View Full Record in Web of Science</v>
      </c>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row>
    <row r="399" spans="1:314" s="2" customFormat="1" x14ac:dyDescent="0.4">
      <c r="A399" s="2" t="s">
        <v>72</v>
      </c>
      <c r="B399" s="2" t="s">
        <v>7291</v>
      </c>
      <c r="C399" s="2" t="s">
        <v>74</v>
      </c>
      <c r="D399" s="2" t="s">
        <v>74</v>
      </c>
      <c r="E399" s="2" t="s">
        <v>74</v>
      </c>
      <c r="F399" s="2" t="s">
        <v>7291</v>
      </c>
      <c r="G399" s="2" t="s">
        <v>74</v>
      </c>
      <c r="H399" s="2" t="s">
        <v>74</v>
      </c>
      <c r="I399" s="2" t="s">
        <v>7292</v>
      </c>
      <c r="J399" s="2" t="s">
        <v>2629</v>
      </c>
      <c r="K399" s="2" t="s">
        <v>74</v>
      </c>
      <c r="L399" s="2" t="s">
        <v>74</v>
      </c>
      <c r="M399" s="2" t="s">
        <v>74</v>
      </c>
      <c r="N399" s="2" t="s">
        <v>74</v>
      </c>
      <c r="O399" s="2" t="s">
        <v>74</v>
      </c>
      <c r="P399" s="2" t="s">
        <v>74</v>
      </c>
      <c r="Q399" s="2" t="s">
        <v>74</v>
      </c>
      <c r="R399" s="2" t="s">
        <v>74</v>
      </c>
      <c r="S399" s="2" t="s">
        <v>74</v>
      </c>
      <c r="T399" s="2" t="s">
        <v>74</v>
      </c>
      <c r="U399" s="2" t="s">
        <v>74</v>
      </c>
      <c r="V399" s="5" t="s">
        <v>7293</v>
      </c>
      <c r="W399" s="2" t="s">
        <v>74</v>
      </c>
      <c r="X399" s="2" t="s">
        <v>74</v>
      </c>
      <c r="Y399" s="2" t="s">
        <v>74</v>
      </c>
      <c r="Z399" s="2" t="s">
        <v>74</v>
      </c>
      <c r="AA399" s="2" t="s">
        <v>74</v>
      </c>
      <c r="AB399" s="2" t="s">
        <v>74</v>
      </c>
      <c r="AC399" s="2" t="s">
        <v>74</v>
      </c>
      <c r="AD399" s="2" t="s">
        <v>74</v>
      </c>
      <c r="AE399" s="2" t="s">
        <v>74</v>
      </c>
      <c r="AF399" s="2" t="s">
        <v>74</v>
      </c>
      <c r="AG399" s="2" t="s">
        <v>74</v>
      </c>
      <c r="AH399" s="2" t="s">
        <v>74</v>
      </c>
      <c r="AI399" s="2" t="s">
        <v>74</v>
      </c>
      <c r="AJ399" s="2" t="s">
        <v>74</v>
      </c>
      <c r="AK399" s="2" t="s">
        <v>74</v>
      </c>
      <c r="AL399" s="2" t="s">
        <v>74</v>
      </c>
      <c r="AM399" s="2" t="s">
        <v>74</v>
      </c>
      <c r="AN399" s="2" t="s">
        <v>74</v>
      </c>
      <c r="AO399" s="2" t="s">
        <v>2632</v>
      </c>
      <c r="AP399" s="2" t="s">
        <v>74</v>
      </c>
      <c r="AQ399" s="2" t="s">
        <v>74</v>
      </c>
      <c r="AR399" s="2" t="s">
        <v>74</v>
      </c>
      <c r="AS399" s="2" t="s">
        <v>74</v>
      </c>
      <c r="AT399" s="2" t="s">
        <v>74</v>
      </c>
      <c r="AU399" s="2">
        <v>2000</v>
      </c>
      <c r="AV399" s="2">
        <v>48</v>
      </c>
      <c r="AW399" s="2">
        <v>4</v>
      </c>
      <c r="AX399" s="2" t="s">
        <v>74</v>
      </c>
      <c r="AY399" s="2" t="s">
        <v>74</v>
      </c>
      <c r="AZ399" s="2" t="s">
        <v>74</v>
      </c>
      <c r="BA399" s="2" t="s">
        <v>74</v>
      </c>
      <c r="BB399" s="2">
        <v>393</v>
      </c>
      <c r="BC399" s="2">
        <v>409</v>
      </c>
      <c r="BD399" s="2" t="s">
        <v>74</v>
      </c>
      <c r="BE399" s="2" t="s">
        <v>7294</v>
      </c>
      <c r="BF399" s="2" t="str">
        <f>HYPERLINK("http://dx.doi.org/10.1071/ZO00046","http://dx.doi.org/10.1071/ZO00046")</f>
        <v>http://dx.doi.org/10.1071/ZO00046</v>
      </c>
      <c r="BG399" s="2" t="s">
        <v>74</v>
      </c>
      <c r="BH399" s="2" t="s">
        <v>74</v>
      </c>
      <c r="BI399" s="2" t="s">
        <v>74</v>
      </c>
      <c r="BJ399" s="2" t="s">
        <v>74</v>
      </c>
      <c r="BK399" s="2" t="s">
        <v>74</v>
      </c>
      <c r="BL399" s="2" t="s">
        <v>74</v>
      </c>
      <c r="BM399" s="2" t="s">
        <v>74</v>
      </c>
      <c r="BN399" s="2" t="s">
        <v>74</v>
      </c>
      <c r="BO399" s="2" t="s">
        <v>74</v>
      </c>
      <c r="BP399" s="2" t="s">
        <v>74</v>
      </c>
      <c r="BQ399" s="2" t="s">
        <v>74</v>
      </c>
      <c r="BR399" s="2" t="s">
        <v>74</v>
      </c>
      <c r="BS399" s="2" t="s">
        <v>7295</v>
      </c>
      <c r="BT399" s="2" t="str">
        <f>HYPERLINK("https%3A%2F%2Fwww.webofscience.com%2Fwos%2Fwoscc%2Ffull-record%2FWOS:000089592900007","View Full Record in Web of Science")</f>
        <v>View Full Record in Web of Science</v>
      </c>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row>
    <row r="400" spans="1:314" s="2" customFormat="1" x14ac:dyDescent="0.4">
      <c r="A400" s="2" t="s">
        <v>72</v>
      </c>
      <c r="B400" s="2" t="s">
        <v>8175</v>
      </c>
      <c r="C400" s="2" t="s">
        <v>74</v>
      </c>
      <c r="D400" s="2" t="s">
        <v>74</v>
      </c>
      <c r="E400" s="2" t="s">
        <v>74</v>
      </c>
      <c r="F400" s="2" t="s">
        <v>8176</v>
      </c>
      <c r="G400" s="2" t="s">
        <v>74</v>
      </c>
      <c r="H400" s="2" t="s">
        <v>74</v>
      </c>
      <c r="I400" s="2" t="s">
        <v>8177</v>
      </c>
      <c r="J400" s="2" t="s">
        <v>8178</v>
      </c>
      <c r="K400" s="2" t="s">
        <v>74</v>
      </c>
      <c r="L400" s="2" t="s">
        <v>74</v>
      </c>
      <c r="M400" s="2" t="s">
        <v>74</v>
      </c>
      <c r="N400" s="2" t="s">
        <v>74</v>
      </c>
      <c r="O400" s="2" t="s">
        <v>74</v>
      </c>
      <c r="P400" s="2" t="s">
        <v>74</v>
      </c>
      <c r="Q400" s="2" t="s">
        <v>74</v>
      </c>
      <c r="R400" s="2" t="s">
        <v>74</v>
      </c>
      <c r="S400" s="2" t="s">
        <v>74</v>
      </c>
      <c r="T400" s="2" t="s">
        <v>74</v>
      </c>
      <c r="U400" s="2" t="s">
        <v>74</v>
      </c>
      <c r="V400" s="5" t="s">
        <v>8179</v>
      </c>
      <c r="W400" s="2" t="s">
        <v>74</v>
      </c>
      <c r="X400" s="2" t="s">
        <v>74</v>
      </c>
      <c r="Y400" s="2" t="s">
        <v>74</v>
      </c>
      <c r="Z400" s="2" t="s">
        <v>74</v>
      </c>
      <c r="AA400" s="2" t="s">
        <v>74</v>
      </c>
      <c r="AB400" s="2" t="s">
        <v>74</v>
      </c>
      <c r="AC400" s="2" t="s">
        <v>74</v>
      </c>
      <c r="AD400" s="2" t="s">
        <v>74</v>
      </c>
      <c r="AE400" s="2" t="s">
        <v>74</v>
      </c>
      <c r="AF400" s="2" t="s">
        <v>74</v>
      </c>
      <c r="AG400" s="2" t="s">
        <v>74</v>
      </c>
      <c r="AH400" s="2" t="s">
        <v>74</v>
      </c>
      <c r="AI400" s="2" t="s">
        <v>74</v>
      </c>
      <c r="AJ400" s="2" t="s">
        <v>74</v>
      </c>
      <c r="AK400" s="2" t="s">
        <v>74</v>
      </c>
      <c r="AL400" s="2" t="s">
        <v>74</v>
      </c>
      <c r="AM400" s="2" t="s">
        <v>74</v>
      </c>
      <c r="AN400" s="2" t="s">
        <v>74</v>
      </c>
      <c r="AO400" s="2" t="s">
        <v>8180</v>
      </c>
      <c r="AP400" s="2" t="s">
        <v>8181</v>
      </c>
      <c r="AQ400" s="2" t="s">
        <v>74</v>
      </c>
      <c r="AR400" s="2" t="s">
        <v>74</v>
      </c>
      <c r="AS400" s="2" t="s">
        <v>74</v>
      </c>
      <c r="AT400" s="2" t="s">
        <v>134</v>
      </c>
      <c r="AU400" s="2">
        <v>2020</v>
      </c>
      <c r="AV400" s="2">
        <v>148</v>
      </c>
      <c r="AW400" s="2" t="s">
        <v>74</v>
      </c>
      <c r="AX400" s="2" t="s">
        <v>74</v>
      </c>
      <c r="AY400" s="2" t="s">
        <v>74</v>
      </c>
      <c r="AZ400" s="2" t="s">
        <v>74</v>
      </c>
      <c r="BA400" s="2" t="s">
        <v>74</v>
      </c>
      <c r="BB400" s="2">
        <v>132</v>
      </c>
      <c r="BC400" s="2">
        <v>139</v>
      </c>
      <c r="BD400" s="2" t="s">
        <v>74</v>
      </c>
      <c r="BE400" s="2" t="s">
        <v>8182</v>
      </c>
      <c r="BF400" s="2" t="str">
        <f>HYPERLINK("http://dx.doi.org/10.1016/j.theriogenology.2020.03.004","http://dx.doi.org/10.1016/j.theriogenology.2020.03.004")</f>
        <v>http://dx.doi.org/10.1016/j.theriogenology.2020.03.004</v>
      </c>
      <c r="BG400" s="2" t="s">
        <v>74</v>
      </c>
      <c r="BH400" s="2" t="s">
        <v>74</v>
      </c>
      <c r="BI400" s="2" t="s">
        <v>74</v>
      </c>
      <c r="BJ400" s="2" t="s">
        <v>74</v>
      </c>
      <c r="BK400" s="2" t="s">
        <v>74</v>
      </c>
      <c r="BL400" s="2" t="s">
        <v>74</v>
      </c>
      <c r="BM400" s="2" t="s">
        <v>74</v>
      </c>
      <c r="BN400" s="2">
        <v>32171972</v>
      </c>
      <c r="BO400" s="2" t="s">
        <v>74</v>
      </c>
      <c r="BP400" s="2" t="s">
        <v>74</v>
      </c>
      <c r="BQ400" s="2" t="s">
        <v>74</v>
      </c>
      <c r="BR400" s="2" t="s">
        <v>74</v>
      </c>
      <c r="BS400" s="2" t="s">
        <v>8183</v>
      </c>
      <c r="BT400" s="2" t="str">
        <f>HYPERLINK("https%3A%2F%2Fwww.webofscience.com%2Fwos%2Fwoscc%2Ffull-record%2FWOS:000527365800015","View Full Record in Web of Science")</f>
        <v>View Full Record in Web of Science</v>
      </c>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row>
    <row r="401" spans="1:314" s="2" customFormat="1" x14ac:dyDescent="0.4">
      <c r="A401" s="2" t="s">
        <v>72</v>
      </c>
      <c r="B401" s="2" t="s">
        <v>7871</v>
      </c>
      <c r="C401" s="2" t="s">
        <v>74</v>
      </c>
      <c r="D401" s="2" t="s">
        <v>74</v>
      </c>
      <c r="E401" s="2" t="s">
        <v>74</v>
      </c>
      <c r="F401" s="2" t="s">
        <v>7871</v>
      </c>
      <c r="G401" s="2" t="s">
        <v>74</v>
      </c>
      <c r="H401" s="2" t="s">
        <v>74</v>
      </c>
      <c r="I401" s="2" t="s">
        <v>7872</v>
      </c>
      <c r="J401" s="2" t="s">
        <v>576</v>
      </c>
      <c r="K401" s="2" t="s">
        <v>74</v>
      </c>
      <c r="L401" s="2" t="s">
        <v>74</v>
      </c>
      <c r="M401" s="2" t="s">
        <v>74</v>
      </c>
      <c r="N401" s="2" t="s">
        <v>74</v>
      </c>
      <c r="O401" s="2" t="s">
        <v>74</v>
      </c>
      <c r="P401" s="2" t="s">
        <v>74</v>
      </c>
      <c r="Q401" s="2" t="s">
        <v>74</v>
      </c>
      <c r="R401" s="2" t="s">
        <v>74</v>
      </c>
      <c r="S401" s="2" t="s">
        <v>74</v>
      </c>
      <c r="T401" s="2" t="s">
        <v>74</v>
      </c>
      <c r="U401" s="2" t="s">
        <v>74</v>
      </c>
      <c r="V401" s="5" t="s">
        <v>7873</v>
      </c>
      <c r="W401" s="2" t="s">
        <v>74</v>
      </c>
      <c r="X401" s="2" t="s">
        <v>74</v>
      </c>
      <c r="Y401" s="2" t="s">
        <v>74</v>
      </c>
      <c r="Z401" s="2" t="s">
        <v>74</v>
      </c>
      <c r="AA401" s="2" t="s">
        <v>74</v>
      </c>
      <c r="AB401" s="2" t="s">
        <v>74</v>
      </c>
      <c r="AC401" s="2" t="s">
        <v>74</v>
      </c>
      <c r="AD401" s="2" t="s">
        <v>74</v>
      </c>
      <c r="AE401" s="2" t="s">
        <v>74</v>
      </c>
      <c r="AF401" s="2" t="s">
        <v>74</v>
      </c>
      <c r="AG401" s="2" t="s">
        <v>74</v>
      </c>
      <c r="AH401" s="2" t="s">
        <v>74</v>
      </c>
      <c r="AI401" s="2" t="s">
        <v>74</v>
      </c>
      <c r="AJ401" s="2" t="s">
        <v>74</v>
      </c>
      <c r="AK401" s="2" t="s">
        <v>74</v>
      </c>
      <c r="AL401" s="2" t="s">
        <v>74</v>
      </c>
      <c r="AM401" s="2" t="s">
        <v>74</v>
      </c>
      <c r="AN401" s="2" t="s">
        <v>74</v>
      </c>
      <c r="AO401" s="2" t="s">
        <v>579</v>
      </c>
      <c r="AP401" s="2" t="s">
        <v>74</v>
      </c>
      <c r="AQ401" s="2" t="s">
        <v>74</v>
      </c>
      <c r="AR401" s="2" t="s">
        <v>74</v>
      </c>
      <c r="AS401" s="2" t="s">
        <v>74</v>
      </c>
      <c r="AT401" s="2" t="s">
        <v>204</v>
      </c>
      <c r="AU401" s="2">
        <v>1994</v>
      </c>
      <c r="AV401" s="2">
        <v>8</v>
      </c>
      <c r="AW401" s="2">
        <v>4</v>
      </c>
      <c r="AX401" s="2" t="s">
        <v>74</v>
      </c>
      <c r="AY401" s="2" t="s">
        <v>74</v>
      </c>
      <c r="AZ401" s="2" t="s">
        <v>74</v>
      </c>
      <c r="BA401" s="2" t="s">
        <v>74</v>
      </c>
      <c r="BB401" s="2">
        <v>348</v>
      </c>
      <c r="BC401" s="2">
        <v>356</v>
      </c>
      <c r="BD401" s="2" t="s">
        <v>74</v>
      </c>
      <c r="BE401" s="2" t="s">
        <v>7874</v>
      </c>
      <c r="BF401" s="2" t="str">
        <f>HYPERLINK("http://dx.doi.org/10.1007/BF01238187","http://dx.doi.org/10.1007/BF01238187")</f>
        <v>http://dx.doi.org/10.1007/BF01238187</v>
      </c>
      <c r="BG401" s="2" t="s">
        <v>74</v>
      </c>
      <c r="BH401" s="2" t="s">
        <v>74</v>
      </c>
      <c r="BI401" s="2" t="s">
        <v>74</v>
      </c>
      <c r="BJ401" s="2" t="s">
        <v>74</v>
      </c>
      <c r="BK401" s="2" t="s">
        <v>74</v>
      </c>
      <c r="BL401" s="2" t="s">
        <v>74</v>
      </c>
      <c r="BM401" s="2" t="s">
        <v>74</v>
      </c>
      <c r="BN401" s="2" t="s">
        <v>74</v>
      </c>
      <c r="BO401" s="2" t="s">
        <v>74</v>
      </c>
      <c r="BP401" s="2" t="s">
        <v>74</v>
      </c>
      <c r="BQ401" s="2" t="s">
        <v>74</v>
      </c>
      <c r="BR401" s="2" t="s">
        <v>74</v>
      </c>
      <c r="BS401" s="2" t="s">
        <v>7875</v>
      </c>
      <c r="BT401" s="2" t="str">
        <f>HYPERLINK("https%3A%2F%2Fwww.webofscience.com%2Fwos%2Fwoscc%2Ffull-record%2FWOS:A1994NY27800002","View Full Record in Web of Science")</f>
        <v>View Full Record in Web of Science</v>
      </c>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row>
    <row r="402" spans="1:314" s="2" customFormat="1" x14ac:dyDescent="0.4">
      <c r="A402" s="2" t="s">
        <v>72</v>
      </c>
      <c r="B402" s="2" t="s">
        <v>4047</v>
      </c>
      <c r="C402" s="2" t="s">
        <v>74</v>
      </c>
      <c r="D402" s="2" t="s">
        <v>74</v>
      </c>
      <c r="E402" s="2" t="s">
        <v>74</v>
      </c>
      <c r="F402" s="2" t="s">
        <v>4048</v>
      </c>
      <c r="G402" s="2" t="s">
        <v>74</v>
      </c>
      <c r="H402" s="2" t="s">
        <v>74</v>
      </c>
      <c r="I402" s="2" t="s">
        <v>4049</v>
      </c>
      <c r="J402" s="2" t="s">
        <v>763</v>
      </c>
      <c r="K402" s="2" t="s">
        <v>74</v>
      </c>
      <c r="L402" s="2" t="s">
        <v>74</v>
      </c>
      <c r="M402" s="2" t="s">
        <v>74</v>
      </c>
      <c r="N402" s="2" t="s">
        <v>74</v>
      </c>
      <c r="O402" s="2" t="s">
        <v>74</v>
      </c>
      <c r="P402" s="2" t="s">
        <v>74</v>
      </c>
      <c r="Q402" s="2" t="s">
        <v>74</v>
      </c>
      <c r="R402" s="2" t="s">
        <v>74</v>
      </c>
      <c r="S402" s="2" t="s">
        <v>74</v>
      </c>
      <c r="T402" s="2" t="s">
        <v>74</v>
      </c>
      <c r="U402" s="2" t="s">
        <v>74</v>
      </c>
      <c r="V402" s="5" t="s">
        <v>4050</v>
      </c>
      <c r="W402" s="2" t="s">
        <v>74</v>
      </c>
      <c r="X402" s="2" t="s">
        <v>74</v>
      </c>
      <c r="Y402" s="2" t="s">
        <v>74</v>
      </c>
      <c r="Z402" s="2" t="s">
        <v>74</v>
      </c>
      <c r="AA402" s="2" t="s">
        <v>74</v>
      </c>
      <c r="AB402" s="2" t="s">
        <v>74</v>
      </c>
      <c r="AC402" s="2" t="s">
        <v>74</v>
      </c>
      <c r="AD402" s="2" t="s">
        <v>74</v>
      </c>
      <c r="AE402" s="2" t="s">
        <v>74</v>
      </c>
      <c r="AF402" s="2" t="s">
        <v>74</v>
      </c>
      <c r="AG402" s="2" t="s">
        <v>74</v>
      </c>
      <c r="AH402" s="2" t="s">
        <v>74</v>
      </c>
      <c r="AI402" s="2" t="s">
        <v>74</v>
      </c>
      <c r="AJ402" s="2" t="s">
        <v>74</v>
      </c>
      <c r="AK402" s="2" t="s">
        <v>74</v>
      </c>
      <c r="AL402" s="2" t="s">
        <v>74</v>
      </c>
      <c r="AM402" s="2" t="s">
        <v>74</v>
      </c>
      <c r="AN402" s="2" t="s">
        <v>74</v>
      </c>
      <c r="AO402" s="2" t="s">
        <v>767</v>
      </c>
      <c r="AP402" s="2" t="s">
        <v>768</v>
      </c>
      <c r="AQ402" s="2" t="s">
        <v>74</v>
      </c>
      <c r="AR402" s="2" t="s">
        <v>74</v>
      </c>
      <c r="AS402" s="2" t="s">
        <v>74</v>
      </c>
      <c r="AT402" s="2" t="s">
        <v>145</v>
      </c>
      <c r="AU402" s="2">
        <v>2013</v>
      </c>
      <c r="AV402" s="2">
        <v>216</v>
      </c>
      <c r="AW402" s="2">
        <v>15</v>
      </c>
      <c r="AX402" s="2" t="s">
        <v>74</v>
      </c>
      <c r="AY402" s="2" t="s">
        <v>74</v>
      </c>
      <c r="AZ402" s="2" t="s">
        <v>74</v>
      </c>
      <c r="BA402" s="2" t="s">
        <v>74</v>
      </c>
      <c r="BB402" s="2">
        <v>2806</v>
      </c>
      <c r="BC402" s="2">
        <v>2812</v>
      </c>
      <c r="BD402" s="2" t="s">
        <v>74</v>
      </c>
      <c r="BE402" s="2" t="s">
        <v>4051</v>
      </c>
      <c r="BF402" s="2" t="str">
        <f>HYPERLINK("http://dx.doi.org/10.1242/jeb.084889","http://dx.doi.org/10.1242/jeb.084889")</f>
        <v>http://dx.doi.org/10.1242/jeb.084889</v>
      </c>
      <c r="BG402" s="2" t="s">
        <v>74</v>
      </c>
      <c r="BH402" s="2" t="s">
        <v>74</v>
      </c>
      <c r="BI402" s="2" t="s">
        <v>74</v>
      </c>
      <c r="BJ402" s="2" t="s">
        <v>74</v>
      </c>
      <c r="BK402" s="2" t="s">
        <v>74</v>
      </c>
      <c r="BL402" s="2" t="s">
        <v>74</v>
      </c>
      <c r="BM402" s="2" t="s">
        <v>74</v>
      </c>
      <c r="BN402" s="2">
        <v>23580716</v>
      </c>
      <c r="BO402" s="2" t="s">
        <v>74</v>
      </c>
      <c r="BP402" s="2" t="s">
        <v>74</v>
      </c>
      <c r="BQ402" s="2" t="s">
        <v>74</v>
      </c>
      <c r="BR402" s="2" t="s">
        <v>74</v>
      </c>
      <c r="BS402" s="2" t="s">
        <v>4052</v>
      </c>
      <c r="BT402" s="2" t="str">
        <f>HYPERLINK("https%3A%2F%2Fwww.webofscience.com%2Fwos%2Fwoscc%2Ffull-record%2FWOS:000321614700015","View Full Record in Web of Science")</f>
        <v>View Full Record in Web of Science</v>
      </c>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row>
    <row r="403" spans="1:314" s="7" customFormat="1" x14ac:dyDescent="0.4">
      <c r="A403" s="2" t="s">
        <v>72</v>
      </c>
      <c r="B403" s="2" t="s">
        <v>3134</v>
      </c>
      <c r="C403" s="2" t="s">
        <v>74</v>
      </c>
      <c r="D403" s="2" t="s">
        <v>74</v>
      </c>
      <c r="E403" s="2" t="s">
        <v>74</v>
      </c>
      <c r="F403" s="2" t="s">
        <v>3135</v>
      </c>
      <c r="G403" s="2" t="s">
        <v>74</v>
      </c>
      <c r="H403" s="2" t="s">
        <v>74</v>
      </c>
      <c r="I403" s="2" t="s">
        <v>3136</v>
      </c>
      <c r="J403" s="2" t="s">
        <v>108</v>
      </c>
      <c r="K403" s="2" t="s">
        <v>74</v>
      </c>
      <c r="L403" s="2" t="s">
        <v>74</v>
      </c>
      <c r="M403" s="2" t="s">
        <v>74</v>
      </c>
      <c r="N403" s="2" t="s">
        <v>74</v>
      </c>
      <c r="O403" s="2" t="s">
        <v>74</v>
      </c>
      <c r="P403" s="2" t="s">
        <v>74</v>
      </c>
      <c r="Q403" s="2" t="s">
        <v>74</v>
      </c>
      <c r="R403" s="2" t="s">
        <v>74</v>
      </c>
      <c r="S403" s="2" t="s">
        <v>74</v>
      </c>
      <c r="T403" s="2" t="s">
        <v>74</v>
      </c>
      <c r="U403" s="2" t="s">
        <v>74</v>
      </c>
      <c r="V403" s="5" t="s">
        <v>3137</v>
      </c>
      <c r="W403" s="2" t="s">
        <v>74</v>
      </c>
      <c r="X403" s="2" t="s">
        <v>74</v>
      </c>
      <c r="Y403" s="2" t="s">
        <v>74</v>
      </c>
      <c r="Z403" s="2" t="s">
        <v>74</v>
      </c>
      <c r="AA403" s="2" t="s">
        <v>3138</v>
      </c>
      <c r="AB403" s="2" t="s">
        <v>3139</v>
      </c>
      <c r="AC403" s="2" t="s">
        <v>74</v>
      </c>
      <c r="AD403" s="2" t="s">
        <v>74</v>
      </c>
      <c r="AE403" s="2" t="s">
        <v>74</v>
      </c>
      <c r="AF403" s="2" t="s">
        <v>74</v>
      </c>
      <c r="AG403" s="2" t="s">
        <v>74</v>
      </c>
      <c r="AH403" s="2" t="s">
        <v>74</v>
      </c>
      <c r="AI403" s="2" t="s">
        <v>74</v>
      </c>
      <c r="AJ403" s="2" t="s">
        <v>74</v>
      </c>
      <c r="AK403" s="2" t="s">
        <v>74</v>
      </c>
      <c r="AL403" s="2" t="s">
        <v>74</v>
      </c>
      <c r="AM403" s="2" t="s">
        <v>74</v>
      </c>
      <c r="AN403" s="2" t="s">
        <v>74</v>
      </c>
      <c r="AO403" s="2" t="s">
        <v>111</v>
      </c>
      <c r="AP403" s="2" t="s">
        <v>74</v>
      </c>
      <c r="AQ403" s="2" t="s">
        <v>74</v>
      </c>
      <c r="AR403" s="2" t="s">
        <v>74</v>
      </c>
      <c r="AS403" s="2" t="s">
        <v>74</v>
      </c>
      <c r="AT403" s="2" t="s">
        <v>3140</v>
      </c>
      <c r="AU403" s="2">
        <v>2011</v>
      </c>
      <c r="AV403" s="2">
        <v>278</v>
      </c>
      <c r="AW403" s="2">
        <v>1720</v>
      </c>
      <c r="AX403" s="2" t="s">
        <v>74</v>
      </c>
      <c r="AY403" s="2" t="s">
        <v>74</v>
      </c>
      <c r="AZ403" s="2" t="s">
        <v>74</v>
      </c>
      <c r="BA403" s="2" t="s">
        <v>74</v>
      </c>
      <c r="BB403" s="2">
        <v>2891</v>
      </c>
      <c r="BC403" s="2">
        <v>2899</v>
      </c>
      <c r="BD403" s="2" t="s">
        <v>74</v>
      </c>
      <c r="BE403" s="2" t="s">
        <v>3141</v>
      </c>
      <c r="BF403" s="2" t="str">
        <f>HYPERLINK("http://dx.doi.org/10.1098/rspb.2011.0118","http://dx.doi.org/10.1098/rspb.2011.0118")</f>
        <v>http://dx.doi.org/10.1098/rspb.2011.0118</v>
      </c>
      <c r="BG403" s="2" t="s">
        <v>74</v>
      </c>
      <c r="BH403" s="2" t="s">
        <v>74</v>
      </c>
      <c r="BI403" s="2" t="s">
        <v>74</v>
      </c>
      <c r="BJ403" s="2" t="s">
        <v>74</v>
      </c>
      <c r="BK403" s="2" t="s">
        <v>74</v>
      </c>
      <c r="BL403" s="2" t="s">
        <v>74</v>
      </c>
      <c r="BM403" s="2" t="s">
        <v>74</v>
      </c>
      <c r="BN403" s="2">
        <v>21389031</v>
      </c>
      <c r="BO403" s="2" t="s">
        <v>74</v>
      </c>
      <c r="BP403" s="2" t="s">
        <v>74</v>
      </c>
      <c r="BQ403" s="2" t="s">
        <v>74</v>
      </c>
      <c r="BR403" s="2" t="s">
        <v>74</v>
      </c>
      <c r="BS403" s="2" t="s">
        <v>3142</v>
      </c>
      <c r="BT403" s="2" t="str">
        <f>HYPERLINK("https%3A%2F%2Fwww.webofscience.com%2Fwos%2Fwoscc%2Ffull-record%2FWOS:000294244900005","View Full Record in Web of Science")</f>
        <v>View Full Record in Web of Science</v>
      </c>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row>
    <row r="404" spans="1:314" s="2" customFormat="1" x14ac:dyDescent="0.4">
      <c r="A404" s="2" t="s">
        <v>72</v>
      </c>
      <c r="B404" s="2" t="s">
        <v>2873</v>
      </c>
      <c r="C404" s="2" t="s">
        <v>74</v>
      </c>
      <c r="D404" s="2" t="s">
        <v>74</v>
      </c>
      <c r="E404" s="2" t="s">
        <v>74</v>
      </c>
      <c r="F404" s="2" t="s">
        <v>2874</v>
      </c>
      <c r="G404" s="2" t="s">
        <v>74</v>
      </c>
      <c r="H404" s="2" t="s">
        <v>74</v>
      </c>
      <c r="I404" s="2" t="s">
        <v>2875</v>
      </c>
      <c r="J404" s="2" t="s">
        <v>312</v>
      </c>
      <c r="K404" s="2" t="s">
        <v>74</v>
      </c>
      <c r="L404" s="2" t="s">
        <v>74</v>
      </c>
      <c r="M404" s="2" t="s">
        <v>74</v>
      </c>
      <c r="N404" s="2" t="s">
        <v>74</v>
      </c>
      <c r="O404" s="2" t="s">
        <v>74</v>
      </c>
      <c r="P404" s="2" t="s">
        <v>74</v>
      </c>
      <c r="Q404" s="2" t="s">
        <v>74</v>
      </c>
      <c r="R404" s="2" t="s">
        <v>74</v>
      </c>
      <c r="S404" s="2" t="s">
        <v>74</v>
      </c>
      <c r="T404" s="2" t="s">
        <v>74</v>
      </c>
      <c r="U404" s="2" t="s">
        <v>74</v>
      </c>
      <c r="V404" s="5" t="s">
        <v>2876</v>
      </c>
      <c r="W404" s="2" t="s">
        <v>74</v>
      </c>
      <c r="X404" s="2" t="s">
        <v>74</v>
      </c>
      <c r="Y404" s="2" t="s">
        <v>74</v>
      </c>
      <c r="Z404" s="2" t="s">
        <v>74</v>
      </c>
      <c r="AA404" s="2" t="s">
        <v>74</v>
      </c>
      <c r="AB404" s="2" t="s">
        <v>931</v>
      </c>
      <c r="AC404" s="2" t="s">
        <v>74</v>
      </c>
      <c r="AD404" s="2" t="s">
        <v>74</v>
      </c>
      <c r="AE404" s="2" t="s">
        <v>74</v>
      </c>
      <c r="AF404" s="2" t="s">
        <v>74</v>
      </c>
      <c r="AG404" s="2" t="s">
        <v>74</v>
      </c>
      <c r="AH404" s="2" t="s">
        <v>74</v>
      </c>
      <c r="AI404" s="2" t="s">
        <v>74</v>
      </c>
      <c r="AJ404" s="2" t="s">
        <v>74</v>
      </c>
      <c r="AK404" s="2" t="s">
        <v>74</v>
      </c>
      <c r="AL404" s="2" t="s">
        <v>74</v>
      </c>
      <c r="AM404" s="2" t="s">
        <v>74</v>
      </c>
      <c r="AN404" s="2" t="s">
        <v>74</v>
      </c>
      <c r="AO404" s="2" t="s">
        <v>314</v>
      </c>
      <c r="AP404" s="2" t="s">
        <v>315</v>
      </c>
      <c r="AQ404" s="2" t="s">
        <v>74</v>
      </c>
      <c r="AR404" s="2" t="s">
        <v>74</v>
      </c>
      <c r="AS404" s="2" t="s">
        <v>74</v>
      </c>
      <c r="AT404" s="2" t="s">
        <v>1146</v>
      </c>
      <c r="AU404" s="2">
        <v>2022</v>
      </c>
      <c r="AV404" s="2">
        <v>200</v>
      </c>
      <c r="AW404" s="2">
        <v>2</v>
      </c>
      <c r="AX404" s="2" t="s">
        <v>74</v>
      </c>
      <c r="AY404" s="2" t="s">
        <v>74</v>
      </c>
      <c r="AZ404" s="2" t="s">
        <v>74</v>
      </c>
      <c r="BA404" s="2" t="s">
        <v>74</v>
      </c>
      <c r="BB404" s="2">
        <v>236</v>
      </c>
      <c r="BC404" s="2">
        <v>249</v>
      </c>
      <c r="BD404" s="2" t="s">
        <v>74</v>
      </c>
      <c r="BE404" s="2" t="s">
        <v>2877</v>
      </c>
      <c r="BF404" s="2" t="str">
        <f>HYPERLINK("http://dx.doi.org/10.1086/720267","http://dx.doi.org/10.1086/720267")</f>
        <v>http://dx.doi.org/10.1086/720267</v>
      </c>
      <c r="BG404" s="2" t="s">
        <v>74</v>
      </c>
      <c r="BH404" s="2" t="s">
        <v>307</v>
      </c>
      <c r="BI404" s="2" t="s">
        <v>74</v>
      </c>
      <c r="BJ404" s="2" t="s">
        <v>74</v>
      </c>
      <c r="BK404" s="2" t="s">
        <v>74</v>
      </c>
      <c r="BL404" s="2" t="s">
        <v>74</v>
      </c>
      <c r="BM404" s="2" t="s">
        <v>74</v>
      </c>
      <c r="BN404" s="2">
        <v>35905402</v>
      </c>
      <c r="BO404" s="2" t="s">
        <v>74</v>
      </c>
      <c r="BP404" s="2" t="s">
        <v>74</v>
      </c>
      <c r="BQ404" s="2" t="s">
        <v>74</v>
      </c>
      <c r="BR404" s="2" t="s">
        <v>74</v>
      </c>
      <c r="BS404" s="2" t="s">
        <v>2878</v>
      </c>
      <c r="BT404" s="2" t="str">
        <f>HYPERLINK("https%3A%2F%2Fwww.webofscience.com%2Fwos%2Fwoscc%2Ffull-record%2FWOS:000815766400001","View Full Record in Web of Science")</f>
        <v>View Full Record in Web of Science</v>
      </c>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row>
    <row r="405" spans="1:314" s="2" customFormat="1" x14ac:dyDescent="0.4">
      <c r="A405" s="2" t="s">
        <v>72</v>
      </c>
      <c r="B405" s="2" t="s">
        <v>927</v>
      </c>
      <c r="C405" s="2" t="s">
        <v>74</v>
      </c>
      <c r="D405" s="2" t="s">
        <v>74</v>
      </c>
      <c r="E405" s="2" t="s">
        <v>74</v>
      </c>
      <c r="F405" s="2" t="s">
        <v>928</v>
      </c>
      <c r="G405" s="2" t="s">
        <v>74</v>
      </c>
      <c r="H405" s="2" t="s">
        <v>74</v>
      </c>
      <c r="I405" s="2" t="s">
        <v>929</v>
      </c>
      <c r="J405" s="2" t="s">
        <v>763</v>
      </c>
      <c r="K405" s="2" t="s">
        <v>74</v>
      </c>
      <c r="L405" s="2" t="s">
        <v>74</v>
      </c>
      <c r="M405" s="2" t="s">
        <v>74</v>
      </c>
      <c r="N405" s="2" t="s">
        <v>74</v>
      </c>
      <c r="O405" s="2" t="s">
        <v>74</v>
      </c>
      <c r="P405" s="2" t="s">
        <v>74</v>
      </c>
      <c r="Q405" s="2" t="s">
        <v>74</v>
      </c>
      <c r="R405" s="2" t="s">
        <v>74</v>
      </c>
      <c r="S405" s="2" t="s">
        <v>74</v>
      </c>
      <c r="T405" s="2" t="s">
        <v>74</v>
      </c>
      <c r="U405" s="2" t="s">
        <v>74</v>
      </c>
      <c r="V405" s="5" t="s">
        <v>930</v>
      </c>
      <c r="W405" s="2" t="s">
        <v>74</v>
      </c>
      <c r="X405" s="2" t="s">
        <v>74</v>
      </c>
      <c r="Y405" s="2" t="s">
        <v>74</v>
      </c>
      <c r="Z405" s="2" t="s">
        <v>74</v>
      </c>
      <c r="AA405" s="2" t="s">
        <v>74</v>
      </c>
      <c r="AB405" s="2" t="s">
        <v>931</v>
      </c>
      <c r="AC405" s="2" t="s">
        <v>74</v>
      </c>
      <c r="AD405" s="2" t="s">
        <v>74</v>
      </c>
      <c r="AE405" s="2" t="s">
        <v>74</v>
      </c>
      <c r="AF405" s="2" t="s">
        <v>74</v>
      </c>
      <c r="AG405" s="2" t="s">
        <v>74</v>
      </c>
      <c r="AH405" s="2" t="s">
        <v>74</v>
      </c>
      <c r="AI405" s="2" t="s">
        <v>74</v>
      </c>
      <c r="AJ405" s="2" t="s">
        <v>74</v>
      </c>
      <c r="AK405" s="2" t="s">
        <v>74</v>
      </c>
      <c r="AL405" s="2" t="s">
        <v>74</v>
      </c>
      <c r="AM405" s="2" t="s">
        <v>74</v>
      </c>
      <c r="AN405" s="2" t="s">
        <v>74</v>
      </c>
      <c r="AO405" s="2" t="s">
        <v>767</v>
      </c>
      <c r="AP405" s="2" t="s">
        <v>768</v>
      </c>
      <c r="AQ405" s="2" t="s">
        <v>74</v>
      </c>
      <c r="AR405" s="2" t="s">
        <v>74</v>
      </c>
      <c r="AS405" s="2" t="s">
        <v>74</v>
      </c>
      <c r="AT405" s="2" t="s">
        <v>932</v>
      </c>
      <c r="AU405" s="2">
        <v>2017</v>
      </c>
      <c r="AV405" s="2">
        <v>220</v>
      </c>
      <c r="AW405" s="2">
        <v>12</v>
      </c>
      <c r="AX405" s="2" t="s">
        <v>74</v>
      </c>
      <c r="AY405" s="2" t="s">
        <v>74</v>
      </c>
      <c r="AZ405" s="2" t="s">
        <v>74</v>
      </c>
      <c r="BA405" s="2" t="s">
        <v>74</v>
      </c>
      <c r="BB405" s="2">
        <v>2154</v>
      </c>
      <c r="BC405" s="2">
        <v>2158</v>
      </c>
      <c r="BD405" s="2" t="s">
        <v>74</v>
      </c>
      <c r="BE405" s="2" t="s">
        <v>933</v>
      </c>
      <c r="BF405" s="2" t="str">
        <f>HYPERLINK("http://dx.doi.org/10.1242/jeb.150458","http://dx.doi.org/10.1242/jeb.150458")</f>
        <v>http://dx.doi.org/10.1242/jeb.150458</v>
      </c>
      <c r="BG405" s="2" t="s">
        <v>74</v>
      </c>
      <c r="BH405" s="2" t="s">
        <v>74</v>
      </c>
      <c r="BI405" s="2" t="s">
        <v>74</v>
      </c>
      <c r="BJ405" s="2" t="s">
        <v>74</v>
      </c>
      <c r="BK405" s="2" t="s">
        <v>74</v>
      </c>
      <c r="BL405" s="2" t="s">
        <v>74</v>
      </c>
      <c r="BM405" s="2" t="s">
        <v>74</v>
      </c>
      <c r="BN405" s="2">
        <v>28385798</v>
      </c>
      <c r="BO405" s="2" t="s">
        <v>74</v>
      </c>
      <c r="BP405" s="2" t="s">
        <v>74</v>
      </c>
      <c r="BQ405" s="2" t="s">
        <v>74</v>
      </c>
      <c r="BR405" s="2" t="s">
        <v>74</v>
      </c>
      <c r="BS405" s="2" t="s">
        <v>934</v>
      </c>
      <c r="BT405" s="2" t="str">
        <f>HYPERLINK("https%3A%2F%2Fwww.webofscience.com%2Fwos%2Fwoscc%2Ffull-record%2FWOS:000403337600009","View Full Record in Web of Science")</f>
        <v>View Full Record in Web of Science</v>
      </c>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row>
    <row r="406" spans="1:314" s="2" customFormat="1" x14ac:dyDescent="0.4">
      <c r="A406" s="2" t="s">
        <v>72</v>
      </c>
      <c r="B406" s="2" t="s">
        <v>5211</v>
      </c>
      <c r="C406" s="2" t="s">
        <v>74</v>
      </c>
      <c r="D406" s="2" t="s">
        <v>74</v>
      </c>
      <c r="E406" s="2" t="s">
        <v>74</v>
      </c>
      <c r="F406" s="2" t="s">
        <v>5212</v>
      </c>
      <c r="G406" s="2" t="s">
        <v>74</v>
      </c>
      <c r="H406" s="2" t="s">
        <v>74</v>
      </c>
      <c r="I406" s="2" t="s">
        <v>5213</v>
      </c>
      <c r="J406" s="2" t="s">
        <v>431</v>
      </c>
      <c r="K406" s="2" t="s">
        <v>74</v>
      </c>
      <c r="L406" s="2" t="s">
        <v>74</v>
      </c>
      <c r="M406" s="2" t="s">
        <v>74</v>
      </c>
      <c r="N406" s="2" t="s">
        <v>74</v>
      </c>
      <c r="O406" s="2" t="s">
        <v>74</v>
      </c>
      <c r="P406" s="2" t="s">
        <v>74</v>
      </c>
      <c r="Q406" s="2" t="s">
        <v>74</v>
      </c>
      <c r="R406" s="2" t="s">
        <v>74</v>
      </c>
      <c r="S406" s="2" t="s">
        <v>74</v>
      </c>
      <c r="T406" s="2" t="s">
        <v>74</v>
      </c>
      <c r="U406" s="2" t="s">
        <v>74</v>
      </c>
      <c r="V406" s="5" t="s">
        <v>5214</v>
      </c>
      <c r="W406" s="2" t="s">
        <v>74</v>
      </c>
      <c r="X406" s="2" t="s">
        <v>74</v>
      </c>
      <c r="Y406" s="2" t="s">
        <v>74</v>
      </c>
      <c r="Z406" s="2" t="s">
        <v>74</v>
      </c>
      <c r="AA406" s="2" t="s">
        <v>5215</v>
      </c>
      <c r="AB406" s="2" t="s">
        <v>5216</v>
      </c>
      <c r="AC406" s="2" t="s">
        <v>74</v>
      </c>
      <c r="AD406" s="2" t="s">
        <v>74</v>
      </c>
      <c r="AE406" s="2" t="s">
        <v>74</v>
      </c>
      <c r="AF406" s="2" t="s">
        <v>74</v>
      </c>
      <c r="AG406" s="2" t="s">
        <v>74</v>
      </c>
      <c r="AH406" s="2" t="s">
        <v>74</v>
      </c>
      <c r="AI406" s="2" t="s">
        <v>74</v>
      </c>
      <c r="AJ406" s="2" t="s">
        <v>74</v>
      </c>
      <c r="AK406" s="2" t="s">
        <v>74</v>
      </c>
      <c r="AL406" s="2" t="s">
        <v>74</v>
      </c>
      <c r="AM406" s="2" t="s">
        <v>74</v>
      </c>
      <c r="AN406" s="2" t="s">
        <v>74</v>
      </c>
      <c r="AO406" s="2" t="s">
        <v>1458</v>
      </c>
      <c r="AP406" s="2" t="s">
        <v>435</v>
      </c>
      <c r="AQ406" s="2" t="s">
        <v>74</v>
      </c>
      <c r="AR406" s="2" t="s">
        <v>74</v>
      </c>
      <c r="AS406" s="2" t="s">
        <v>74</v>
      </c>
      <c r="AT406" s="2" t="s">
        <v>633</v>
      </c>
      <c r="AU406" s="2">
        <v>2009</v>
      </c>
      <c r="AV406" s="2">
        <v>126</v>
      </c>
      <c r="AW406" s="2">
        <v>2</v>
      </c>
      <c r="AX406" s="2" t="s">
        <v>74</v>
      </c>
      <c r="AY406" s="2" t="s">
        <v>74</v>
      </c>
      <c r="AZ406" s="2" t="s">
        <v>74</v>
      </c>
      <c r="BA406" s="2" t="s">
        <v>74</v>
      </c>
      <c r="BB406" s="2">
        <v>351</v>
      </c>
      <c r="BC406" s="2">
        <v>358</v>
      </c>
      <c r="BD406" s="2" t="s">
        <v>74</v>
      </c>
      <c r="BE406" s="2" t="s">
        <v>5217</v>
      </c>
      <c r="BF406" s="2" t="str">
        <f>HYPERLINK("http://dx.doi.org/10.1525/auk.2009.08086","http://dx.doi.org/10.1525/auk.2009.08086")</f>
        <v>http://dx.doi.org/10.1525/auk.2009.08086</v>
      </c>
      <c r="BG406" s="2" t="s">
        <v>74</v>
      </c>
      <c r="BH406" s="2" t="s">
        <v>74</v>
      </c>
      <c r="BI406" s="2" t="s">
        <v>74</v>
      </c>
      <c r="BJ406" s="2" t="s">
        <v>74</v>
      </c>
      <c r="BK406" s="2" t="s">
        <v>74</v>
      </c>
      <c r="BL406" s="2" t="s">
        <v>74</v>
      </c>
      <c r="BM406" s="2" t="s">
        <v>74</v>
      </c>
      <c r="BN406" s="2" t="s">
        <v>74</v>
      </c>
      <c r="BO406" s="2" t="s">
        <v>74</v>
      </c>
      <c r="BP406" s="2" t="s">
        <v>74</v>
      </c>
      <c r="BQ406" s="2" t="s">
        <v>74</v>
      </c>
      <c r="BR406" s="2" t="s">
        <v>74</v>
      </c>
      <c r="BS406" s="2" t="s">
        <v>5218</v>
      </c>
      <c r="BT406" s="2" t="str">
        <f>HYPERLINK("https%3A%2F%2Fwww.webofscience.com%2Fwos%2Fwoscc%2Ffull-record%2FWOS:000265754300013","View Full Record in Web of Science")</f>
        <v>View Full Record in Web of Science</v>
      </c>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row>
    <row r="407" spans="1:314" s="2" customFormat="1" x14ac:dyDescent="0.4">
      <c r="A407" s="2" t="s">
        <v>72</v>
      </c>
      <c r="B407" s="2" t="s">
        <v>5337</v>
      </c>
      <c r="C407" s="2" t="s">
        <v>74</v>
      </c>
      <c r="D407" s="2" t="s">
        <v>74</v>
      </c>
      <c r="E407" s="2" t="s">
        <v>74</v>
      </c>
      <c r="F407" s="2" t="s">
        <v>5337</v>
      </c>
      <c r="G407" s="2" t="s">
        <v>74</v>
      </c>
      <c r="H407" s="2" t="s">
        <v>74</v>
      </c>
      <c r="I407" s="2" t="s">
        <v>5338</v>
      </c>
      <c r="J407" s="2" t="s">
        <v>129</v>
      </c>
      <c r="K407" s="2" t="s">
        <v>74</v>
      </c>
      <c r="L407" s="2" t="s">
        <v>74</v>
      </c>
      <c r="M407" s="2" t="s">
        <v>74</v>
      </c>
      <c r="N407" s="2" t="s">
        <v>74</v>
      </c>
      <c r="O407" s="2" t="s">
        <v>74</v>
      </c>
      <c r="P407" s="2" t="s">
        <v>74</v>
      </c>
      <c r="Q407" s="2" t="s">
        <v>74</v>
      </c>
      <c r="R407" s="2" t="s">
        <v>74</v>
      </c>
      <c r="S407" s="2" t="s">
        <v>74</v>
      </c>
      <c r="T407" s="2" t="s">
        <v>74</v>
      </c>
      <c r="U407" s="2" t="s">
        <v>74</v>
      </c>
      <c r="V407" s="5" t="s">
        <v>5339</v>
      </c>
      <c r="W407" s="2" t="s">
        <v>74</v>
      </c>
      <c r="X407" s="2" t="s">
        <v>74</v>
      </c>
      <c r="Y407" s="2" t="s">
        <v>74</v>
      </c>
      <c r="Z407" s="2" t="s">
        <v>74</v>
      </c>
      <c r="AA407" s="2" t="s">
        <v>74</v>
      </c>
      <c r="AB407" s="2" t="s">
        <v>74</v>
      </c>
      <c r="AC407" s="2" t="s">
        <v>74</v>
      </c>
      <c r="AD407" s="2" t="s">
        <v>74</v>
      </c>
      <c r="AE407" s="2" t="s">
        <v>74</v>
      </c>
      <c r="AF407" s="2" t="s">
        <v>74</v>
      </c>
      <c r="AG407" s="2" t="s">
        <v>74</v>
      </c>
      <c r="AH407" s="2" t="s">
        <v>74</v>
      </c>
      <c r="AI407" s="2" t="s">
        <v>74</v>
      </c>
      <c r="AJ407" s="2" t="s">
        <v>74</v>
      </c>
      <c r="AK407" s="2" t="s">
        <v>74</v>
      </c>
      <c r="AL407" s="2" t="s">
        <v>74</v>
      </c>
      <c r="AM407" s="2" t="s">
        <v>74</v>
      </c>
      <c r="AN407" s="2" t="s">
        <v>74</v>
      </c>
      <c r="AO407" s="2" t="s">
        <v>132</v>
      </c>
      <c r="AP407" s="2" t="s">
        <v>133</v>
      </c>
      <c r="AQ407" s="2" t="s">
        <v>74</v>
      </c>
      <c r="AR407" s="2" t="s">
        <v>74</v>
      </c>
      <c r="AS407" s="2" t="s">
        <v>74</v>
      </c>
      <c r="AT407" s="2" t="s">
        <v>74</v>
      </c>
      <c r="AU407" s="2">
        <v>1989</v>
      </c>
      <c r="AV407" s="2">
        <v>25</v>
      </c>
      <c r="AW407" s="2">
        <v>1</v>
      </c>
      <c r="AX407" s="2" t="s">
        <v>74</v>
      </c>
      <c r="AY407" s="2" t="s">
        <v>74</v>
      </c>
      <c r="AZ407" s="2" t="s">
        <v>74</v>
      </c>
      <c r="BA407" s="2" t="s">
        <v>74</v>
      </c>
      <c r="BB407" s="2">
        <v>49</v>
      </c>
      <c r="BC407" s="2">
        <v>56</v>
      </c>
      <c r="BD407" s="2" t="s">
        <v>74</v>
      </c>
      <c r="BE407" s="2" t="s">
        <v>5340</v>
      </c>
      <c r="BF407" s="2" t="str">
        <f>HYPERLINK("http://dx.doi.org/10.1007/BF00299710","http://dx.doi.org/10.1007/BF00299710")</f>
        <v>http://dx.doi.org/10.1007/BF00299710</v>
      </c>
      <c r="BG407" s="2" t="s">
        <v>74</v>
      </c>
      <c r="BH407" s="2" t="s">
        <v>74</v>
      </c>
      <c r="BI407" s="2" t="s">
        <v>74</v>
      </c>
      <c r="BJ407" s="2" t="s">
        <v>74</v>
      </c>
      <c r="BK407" s="2" t="s">
        <v>74</v>
      </c>
      <c r="BL407" s="2" t="s">
        <v>74</v>
      </c>
      <c r="BM407" s="2" t="s">
        <v>74</v>
      </c>
      <c r="BN407" s="2" t="s">
        <v>74</v>
      </c>
      <c r="BO407" s="2" t="s">
        <v>74</v>
      </c>
      <c r="BP407" s="2" t="s">
        <v>74</v>
      </c>
      <c r="BQ407" s="2" t="s">
        <v>74</v>
      </c>
      <c r="BR407" s="2" t="s">
        <v>74</v>
      </c>
      <c r="BS407" s="2" t="s">
        <v>5341</v>
      </c>
      <c r="BT407" s="2" t="str">
        <f>HYPERLINK("https%3A%2F%2Fwww.webofscience.com%2Fwos%2Fwoscc%2Ffull-record%2FWOS:A1989AJ00400006","View Full Record in Web of Science")</f>
        <v>View Full Record in Web of Science</v>
      </c>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row>
    <row r="408" spans="1:314" s="2" customFormat="1" ht="14.25" customHeight="1" x14ac:dyDescent="0.4">
      <c r="A408" s="2" t="s">
        <v>72</v>
      </c>
      <c r="B408" s="2" t="s">
        <v>5337</v>
      </c>
      <c r="C408" s="2" t="s">
        <v>74</v>
      </c>
      <c r="D408" s="2" t="s">
        <v>74</v>
      </c>
      <c r="E408" s="2" t="s">
        <v>74</v>
      </c>
      <c r="F408" s="2" t="s">
        <v>5337</v>
      </c>
      <c r="G408" s="2" t="s">
        <v>74</v>
      </c>
      <c r="H408" s="2" t="s">
        <v>74</v>
      </c>
      <c r="I408" s="2" t="s">
        <v>7139</v>
      </c>
      <c r="J408" s="2" t="s">
        <v>171</v>
      </c>
      <c r="K408" s="2" t="s">
        <v>74</v>
      </c>
      <c r="L408" s="2" t="s">
        <v>74</v>
      </c>
      <c r="M408" s="2" t="s">
        <v>74</v>
      </c>
      <c r="N408" s="2" t="s">
        <v>74</v>
      </c>
      <c r="O408" s="2" t="s">
        <v>74</v>
      </c>
      <c r="P408" s="2" t="s">
        <v>74</v>
      </c>
      <c r="Q408" s="2" t="s">
        <v>74</v>
      </c>
      <c r="R408" s="2" t="s">
        <v>74</v>
      </c>
      <c r="S408" s="2" t="s">
        <v>74</v>
      </c>
      <c r="T408" s="2" t="s">
        <v>74</v>
      </c>
      <c r="U408" s="2" t="s">
        <v>74</v>
      </c>
      <c r="V408" s="5" t="s">
        <v>7140</v>
      </c>
      <c r="W408" s="2" t="s">
        <v>74</v>
      </c>
      <c r="X408" s="2" t="s">
        <v>74</v>
      </c>
      <c r="Y408" s="2" t="s">
        <v>74</v>
      </c>
      <c r="Z408" s="2" t="s">
        <v>74</v>
      </c>
      <c r="AA408" s="2" t="s">
        <v>74</v>
      </c>
      <c r="AB408" s="2" t="s">
        <v>74</v>
      </c>
      <c r="AC408" s="2" t="s">
        <v>74</v>
      </c>
      <c r="AD408" s="2" t="s">
        <v>74</v>
      </c>
      <c r="AE408" s="2" t="s">
        <v>74</v>
      </c>
      <c r="AF408" s="2" t="s">
        <v>74</v>
      </c>
      <c r="AG408" s="2" t="s">
        <v>74</v>
      </c>
      <c r="AH408" s="2" t="s">
        <v>74</v>
      </c>
      <c r="AI408" s="2" t="s">
        <v>74</v>
      </c>
      <c r="AJ408" s="2" t="s">
        <v>74</v>
      </c>
      <c r="AK408" s="2" t="s">
        <v>74</v>
      </c>
      <c r="AL408" s="2" t="s">
        <v>74</v>
      </c>
      <c r="AM408" s="2" t="s">
        <v>74</v>
      </c>
      <c r="AN408" s="2" t="s">
        <v>74</v>
      </c>
      <c r="AO408" s="2" t="s">
        <v>173</v>
      </c>
      <c r="AP408" s="2" t="s">
        <v>174</v>
      </c>
      <c r="AQ408" s="2" t="s">
        <v>74</v>
      </c>
      <c r="AR408" s="2" t="s">
        <v>74</v>
      </c>
      <c r="AS408" s="2" t="s">
        <v>74</v>
      </c>
      <c r="AT408" s="2" t="s">
        <v>74</v>
      </c>
      <c r="AU408" s="2">
        <v>1984</v>
      </c>
      <c r="AV408" s="2">
        <v>38</v>
      </c>
      <c r="AW408" s="2">
        <v>2</v>
      </c>
      <c r="AX408" s="2" t="s">
        <v>74</v>
      </c>
      <c r="AY408" s="2" t="s">
        <v>74</v>
      </c>
      <c r="AZ408" s="2" t="s">
        <v>74</v>
      </c>
      <c r="BA408" s="2" t="s">
        <v>74</v>
      </c>
      <c r="BB408" s="2">
        <v>267</v>
      </c>
      <c r="BC408" s="2">
        <v>279</v>
      </c>
      <c r="BD408" s="2" t="s">
        <v>74</v>
      </c>
      <c r="BE408" s="2" t="s">
        <v>7141</v>
      </c>
      <c r="BF408" s="2" t="str">
        <f>HYPERLINK("http://dx.doi.org/10.2307/2408486","http://dx.doi.org/10.2307/2408486")</f>
        <v>http://dx.doi.org/10.2307/2408486</v>
      </c>
      <c r="BG408" s="2" t="s">
        <v>74</v>
      </c>
      <c r="BH408" s="2" t="s">
        <v>74</v>
      </c>
      <c r="BI408" s="2" t="s">
        <v>74</v>
      </c>
      <c r="BJ408" s="2" t="s">
        <v>74</v>
      </c>
      <c r="BK408" s="2" t="s">
        <v>74</v>
      </c>
      <c r="BL408" s="2" t="s">
        <v>74</v>
      </c>
      <c r="BM408" s="2" t="s">
        <v>74</v>
      </c>
      <c r="BN408" s="2">
        <v>28555921</v>
      </c>
      <c r="BO408" s="2" t="s">
        <v>74</v>
      </c>
      <c r="BP408" s="2" t="s">
        <v>74</v>
      </c>
      <c r="BQ408" s="2" t="s">
        <v>74</v>
      </c>
      <c r="BR408" s="2" t="s">
        <v>74</v>
      </c>
      <c r="BS408" s="2" t="s">
        <v>7142</v>
      </c>
      <c r="BT408" s="2" t="str">
        <f>HYPERLINK("https%3A%2F%2Fwww.webofscience.com%2Fwos%2Fwoscc%2Ffull-record%2FWOS:A1984SL13500004","View Full Record in Web of Science")</f>
        <v>View Full Record in Web of Science</v>
      </c>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row>
    <row r="409" spans="1:314" s="2" customFormat="1" x14ac:dyDescent="0.4">
      <c r="A409" s="2" t="s">
        <v>72</v>
      </c>
      <c r="B409" s="2" t="s">
        <v>1922</v>
      </c>
      <c r="C409" s="2" t="s">
        <v>74</v>
      </c>
      <c r="D409" s="2" t="s">
        <v>74</v>
      </c>
      <c r="E409" s="2" t="s">
        <v>74</v>
      </c>
      <c r="F409" s="2" t="s">
        <v>1923</v>
      </c>
      <c r="G409" s="2" t="s">
        <v>74</v>
      </c>
      <c r="H409" s="2" t="s">
        <v>74</v>
      </c>
      <c r="I409" s="2" t="s">
        <v>1924</v>
      </c>
      <c r="J409" s="2" t="s">
        <v>119</v>
      </c>
      <c r="K409" s="2" t="s">
        <v>74</v>
      </c>
      <c r="L409" s="2" t="s">
        <v>74</v>
      </c>
      <c r="M409" s="2" t="s">
        <v>74</v>
      </c>
      <c r="N409" s="2" t="s">
        <v>74</v>
      </c>
      <c r="O409" s="2" t="s">
        <v>74</v>
      </c>
      <c r="P409" s="2" t="s">
        <v>74</v>
      </c>
      <c r="Q409" s="2" t="s">
        <v>74</v>
      </c>
      <c r="R409" s="2" t="s">
        <v>74</v>
      </c>
      <c r="S409" s="2" t="s">
        <v>74</v>
      </c>
      <c r="T409" s="2" t="s">
        <v>74</v>
      </c>
      <c r="U409" s="2" t="s">
        <v>74</v>
      </c>
      <c r="V409" s="5" t="s">
        <v>1925</v>
      </c>
      <c r="W409" s="2" t="s">
        <v>74</v>
      </c>
      <c r="X409" s="2" t="s">
        <v>74</v>
      </c>
      <c r="Y409" s="2" t="s">
        <v>74</v>
      </c>
      <c r="Z409" s="2" t="s">
        <v>74</v>
      </c>
      <c r="AA409" s="2" t="s">
        <v>1926</v>
      </c>
      <c r="AB409" s="2" t="s">
        <v>1927</v>
      </c>
      <c r="AC409" s="2" t="s">
        <v>74</v>
      </c>
      <c r="AD409" s="2" t="s">
        <v>74</v>
      </c>
      <c r="AE409" s="2" t="s">
        <v>74</v>
      </c>
      <c r="AF409" s="2" t="s">
        <v>74</v>
      </c>
      <c r="AG409" s="2" t="s">
        <v>74</v>
      </c>
      <c r="AH409" s="2" t="s">
        <v>74</v>
      </c>
      <c r="AI409" s="2" t="s">
        <v>74</v>
      </c>
      <c r="AJ409" s="2" t="s">
        <v>74</v>
      </c>
      <c r="AK409" s="2" t="s">
        <v>74</v>
      </c>
      <c r="AL409" s="2" t="s">
        <v>74</v>
      </c>
      <c r="AM409" s="2" t="s">
        <v>74</v>
      </c>
      <c r="AN409" s="2" t="s">
        <v>74</v>
      </c>
      <c r="AO409" s="2" t="s">
        <v>121</v>
      </c>
      <c r="AP409" s="2" t="s">
        <v>122</v>
      </c>
      <c r="AQ409" s="2" t="s">
        <v>74</v>
      </c>
      <c r="AR409" s="2" t="s">
        <v>74</v>
      </c>
      <c r="AS409" s="2" t="s">
        <v>74</v>
      </c>
      <c r="AT409" s="2" t="s">
        <v>964</v>
      </c>
      <c r="AU409" s="2">
        <v>2018</v>
      </c>
      <c r="AV409" s="2">
        <v>147</v>
      </c>
      <c r="AW409" s="2" t="s">
        <v>74</v>
      </c>
      <c r="AX409" s="2" t="s">
        <v>74</v>
      </c>
      <c r="AY409" s="2" t="s">
        <v>74</v>
      </c>
      <c r="AZ409" s="2" t="s">
        <v>74</v>
      </c>
      <c r="BA409" s="2" t="s">
        <v>74</v>
      </c>
      <c r="BB409" s="2">
        <v>61</v>
      </c>
      <c r="BC409" s="2">
        <v>69</v>
      </c>
      <c r="BD409" s="2" t="s">
        <v>74</v>
      </c>
      <c r="BE409" s="2" t="s">
        <v>1928</v>
      </c>
      <c r="BF409" s="2" t="str">
        <f>HYPERLINK("http://dx.doi.org/10.1016/j.beproc.2017.12.015","http://dx.doi.org/10.1016/j.beproc.2017.12.015")</f>
        <v>http://dx.doi.org/10.1016/j.beproc.2017.12.015</v>
      </c>
      <c r="BG409" s="2" t="s">
        <v>74</v>
      </c>
      <c r="BH409" s="2" t="s">
        <v>74</v>
      </c>
      <c r="BI409" s="2" t="s">
        <v>74</v>
      </c>
      <c r="BJ409" s="2" t="s">
        <v>74</v>
      </c>
      <c r="BK409" s="2" t="s">
        <v>74</v>
      </c>
      <c r="BL409" s="2" t="s">
        <v>74</v>
      </c>
      <c r="BM409" s="2" t="s">
        <v>74</v>
      </c>
      <c r="BN409" s="2">
        <v>29273550</v>
      </c>
      <c r="BO409" s="2" t="s">
        <v>74</v>
      </c>
      <c r="BP409" s="2" t="s">
        <v>74</v>
      </c>
      <c r="BQ409" s="2" t="s">
        <v>74</v>
      </c>
      <c r="BR409" s="2" t="s">
        <v>74</v>
      </c>
      <c r="BS409" s="2" t="s">
        <v>1929</v>
      </c>
      <c r="BT409" s="2" t="str">
        <f>HYPERLINK("https%3A%2F%2Fwww.webofscience.com%2Fwos%2Fwoscc%2Ffull-record%2FWOS:000423645400009","View Full Record in Web of Science")</f>
        <v>View Full Record in Web of Science</v>
      </c>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row>
    <row r="410" spans="1:314" s="2" customFormat="1" x14ac:dyDescent="0.4">
      <c r="A410" s="2" t="s">
        <v>72</v>
      </c>
      <c r="B410" s="2" t="s">
        <v>6394</v>
      </c>
      <c r="C410" s="2" t="s">
        <v>74</v>
      </c>
      <c r="D410" s="2" t="s">
        <v>74</v>
      </c>
      <c r="E410" s="2" t="s">
        <v>74</v>
      </c>
      <c r="F410" s="2" t="s">
        <v>6394</v>
      </c>
      <c r="G410" s="2" t="s">
        <v>74</v>
      </c>
      <c r="H410" s="2" t="s">
        <v>74</v>
      </c>
      <c r="I410" s="2" t="s">
        <v>6395</v>
      </c>
      <c r="J410" s="2" t="s">
        <v>691</v>
      </c>
      <c r="K410" s="2" t="s">
        <v>74</v>
      </c>
      <c r="L410" s="2" t="s">
        <v>74</v>
      </c>
      <c r="M410" s="2" t="s">
        <v>74</v>
      </c>
      <c r="N410" s="2" t="s">
        <v>74</v>
      </c>
      <c r="O410" s="2" t="s">
        <v>74</v>
      </c>
      <c r="P410" s="2" t="s">
        <v>74</v>
      </c>
      <c r="Q410" s="2" t="s">
        <v>74</v>
      </c>
      <c r="R410" s="2" t="s">
        <v>74</v>
      </c>
      <c r="S410" s="2" t="s">
        <v>74</v>
      </c>
      <c r="T410" s="2" t="s">
        <v>74</v>
      </c>
      <c r="U410" s="2" t="s">
        <v>74</v>
      </c>
      <c r="V410" s="5" t="s">
        <v>6396</v>
      </c>
      <c r="W410" s="2" t="s">
        <v>74</v>
      </c>
      <c r="X410" s="2" t="s">
        <v>74</v>
      </c>
      <c r="Y410" s="2" t="s">
        <v>74</v>
      </c>
      <c r="Z410" s="2" t="s">
        <v>74</v>
      </c>
      <c r="AA410" s="2" t="s">
        <v>74</v>
      </c>
      <c r="AB410" s="2" t="s">
        <v>74</v>
      </c>
      <c r="AC410" s="2" t="s">
        <v>74</v>
      </c>
      <c r="AD410" s="2" t="s">
        <v>74</v>
      </c>
      <c r="AE410" s="2" t="s">
        <v>74</v>
      </c>
      <c r="AF410" s="2" t="s">
        <v>74</v>
      </c>
      <c r="AG410" s="2" t="s">
        <v>74</v>
      </c>
      <c r="AH410" s="2" t="s">
        <v>74</v>
      </c>
      <c r="AI410" s="2" t="s">
        <v>74</v>
      </c>
      <c r="AJ410" s="2" t="s">
        <v>74</v>
      </c>
      <c r="AK410" s="2" t="s">
        <v>74</v>
      </c>
      <c r="AL410" s="2" t="s">
        <v>74</v>
      </c>
      <c r="AM410" s="2" t="s">
        <v>74</v>
      </c>
      <c r="AN410" s="2" t="s">
        <v>74</v>
      </c>
      <c r="AO410" s="2" t="s">
        <v>695</v>
      </c>
      <c r="AP410" s="2" t="s">
        <v>981</v>
      </c>
      <c r="AQ410" s="2" t="s">
        <v>74</v>
      </c>
      <c r="AR410" s="2" t="s">
        <v>74</v>
      </c>
      <c r="AS410" s="2" t="s">
        <v>74</v>
      </c>
      <c r="AT410" s="2" t="s">
        <v>74</v>
      </c>
      <c r="AU410" s="2">
        <v>1985</v>
      </c>
      <c r="AV410" s="2">
        <v>34</v>
      </c>
      <c r="AW410" s="2">
        <v>3</v>
      </c>
      <c r="AX410" s="2" t="s">
        <v>74</v>
      </c>
      <c r="AY410" s="2" t="s">
        <v>74</v>
      </c>
      <c r="AZ410" s="2" t="s">
        <v>74</v>
      </c>
      <c r="BA410" s="2" t="s">
        <v>74</v>
      </c>
      <c r="BB410" s="2">
        <v>341</v>
      </c>
      <c r="BC410" s="2">
        <v>348</v>
      </c>
      <c r="BD410" s="2" t="s">
        <v>74</v>
      </c>
      <c r="BE410" s="2" t="s">
        <v>6397</v>
      </c>
      <c r="BF410" s="2" t="str">
        <f>HYPERLINK("http://dx.doi.org/10.1016/0031-9384(85)90193-3","http://dx.doi.org/10.1016/0031-9384(85)90193-3")</f>
        <v>http://dx.doi.org/10.1016/0031-9384(85)90193-3</v>
      </c>
      <c r="BG410" s="2" t="s">
        <v>74</v>
      </c>
      <c r="BH410" s="2" t="s">
        <v>74</v>
      </c>
      <c r="BI410" s="2" t="s">
        <v>74</v>
      </c>
      <c r="BJ410" s="2" t="s">
        <v>74</v>
      </c>
      <c r="BK410" s="2" t="s">
        <v>74</v>
      </c>
      <c r="BL410" s="2" t="s">
        <v>74</v>
      </c>
      <c r="BM410" s="2" t="s">
        <v>74</v>
      </c>
      <c r="BN410" s="2">
        <v>4040250</v>
      </c>
      <c r="BO410" s="2" t="s">
        <v>74</v>
      </c>
      <c r="BP410" s="2" t="s">
        <v>74</v>
      </c>
      <c r="BQ410" s="2" t="s">
        <v>74</v>
      </c>
      <c r="BR410" s="2" t="s">
        <v>74</v>
      </c>
      <c r="BS410" s="2" t="s">
        <v>6398</v>
      </c>
      <c r="BT410" s="2" t="str">
        <f>HYPERLINK("https%3A%2F%2Fwww.webofscience.com%2Fwos%2Fwoscc%2Ffull-record%2FWOS:A1985AFN3500003","View Full Record in Web of Science")</f>
        <v>View Full Record in Web of Science</v>
      </c>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row>
    <row r="411" spans="1:314" s="2" customFormat="1" x14ac:dyDescent="0.4">
      <c r="A411" s="2" t="s">
        <v>72</v>
      </c>
      <c r="B411" s="2" t="s">
        <v>1531</v>
      </c>
      <c r="C411" s="2" t="s">
        <v>74</v>
      </c>
      <c r="D411" s="2" t="s">
        <v>74</v>
      </c>
      <c r="E411" s="2" t="s">
        <v>74</v>
      </c>
      <c r="F411" s="2" t="s">
        <v>1531</v>
      </c>
      <c r="G411" s="2" t="s">
        <v>74</v>
      </c>
      <c r="H411" s="2" t="s">
        <v>74</v>
      </c>
      <c r="I411" s="2" t="s">
        <v>1532</v>
      </c>
      <c r="J411" s="2" t="s">
        <v>1533</v>
      </c>
      <c r="K411" s="2" t="s">
        <v>74</v>
      </c>
      <c r="L411" s="2" t="s">
        <v>74</v>
      </c>
      <c r="M411" s="2" t="s">
        <v>74</v>
      </c>
      <c r="N411" s="2" t="s">
        <v>74</v>
      </c>
      <c r="O411" s="2" t="s">
        <v>74</v>
      </c>
      <c r="P411" s="2" t="s">
        <v>74</v>
      </c>
      <c r="Q411" s="2" t="s">
        <v>74</v>
      </c>
      <c r="R411" s="2" t="s">
        <v>74</v>
      </c>
      <c r="S411" s="2" t="s">
        <v>74</v>
      </c>
      <c r="T411" s="2" t="s">
        <v>74</v>
      </c>
      <c r="U411" s="2" t="s">
        <v>74</v>
      </c>
      <c r="V411" s="5" t="s">
        <v>1534</v>
      </c>
      <c r="W411" s="2" t="s">
        <v>74</v>
      </c>
      <c r="X411" s="2" t="s">
        <v>74</v>
      </c>
      <c r="Y411" s="2" t="s">
        <v>74</v>
      </c>
      <c r="Z411" s="2" t="s">
        <v>74</v>
      </c>
      <c r="AA411" s="2" t="s">
        <v>74</v>
      </c>
      <c r="AB411" s="2" t="s">
        <v>74</v>
      </c>
      <c r="AC411" s="2" t="s">
        <v>74</v>
      </c>
      <c r="AD411" s="2" t="s">
        <v>74</v>
      </c>
      <c r="AE411" s="2" t="s">
        <v>74</v>
      </c>
      <c r="AF411" s="2" t="s">
        <v>74</v>
      </c>
      <c r="AG411" s="2" t="s">
        <v>74</v>
      </c>
      <c r="AH411" s="2" t="s">
        <v>74</v>
      </c>
      <c r="AI411" s="2" t="s">
        <v>74</v>
      </c>
      <c r="AJ411" s="2" t="s">
        <v>74</v>
      </c>
      <c r="AK411" s="2" t="s">
        <v>74</v>
      </c>
      <c r="AL411" s="2" t="s">
        <v>74</v>
      </c>
      <c r="AM411" s="2" t="s">
        <v>74</v>
      </c>
      <c r="AN411" s="2" t="s">
        <v>74</v>
      </c>
      <c r="AO411" s="2" t="s">
        <v>1535</v>
      </c>
      <c r="AP411" s="2" t="s">
        <v>1536</v>
      </c>
      <c r="AQ411" s="2" t="s">
        <v>74</v>
      </c>
      <c r="AR411" s="2" t="s">
        <v>74</v>
      </c>
      <c r="AS411" s="2" t="s">
        <v>74</v>
      </c>
      <c r="AT411" s="2" t="s">
        <v>74</v>
      </c>
      <c r="AU411" s="2">
        <v>1977</v>
      </c>
      <c r="AV411" s="2">
        <v>27</v>
      </c>
      <c r="AW411" s="2">
        <v>1</v>
      </c>
      <c r="AX411" s="2" t="s">
        <v>74</v>
      </c>
      <c r="AY411" s="2" t="s">
        <v>74</v>
      </c>
      <c r="AZ411" s="2" t="s">
        <v>74</v>
      </c>
      <c r="BA411" s="2" t="s">
        <v>74</v>
      </c>
      <c r="BB411" s="2">
        <v>5</v>
      </c>
      <c r="BC411" s="2">
        <v>15</v>
      </c>
      <c r="BD411" s="2" t="s">
        <v>74</v>
      </c>
      <c r="BE411" s="2" t="s">
        <v>1537</v>
      </c>
      <c r="BF411" s="2" t="str">
        <f>HYPERLINK("http://dx.doi.org/10.1901/jeab.1977.27-5","http://dx.doi.org/10.1901/jeab.1977.27-5")</f>
        <v>http://dx.doi.org/10.1901/jeab.1977.27-5</v>
      </c>
      <c r="BG411" s="2" t="s">
        <v>74</v>
      </c>
      <c r="BH411" s="2" t="s">
        <v>74</v>
      </c>
      <c r="BI411" s="2" t="s">
        <v>74</v>
      </c>
      <c r="BJ411" s="2" t="s">
        <v>74</v>
      </c>
      <c r="BK411" s="2" t="s">
        <v>74</v>
      </c>
      <c r="BL411" s="2" t="s">
        <v>74</v>
      </c>
      <c r="BM411" s="2" t="s">
        <v>74</v>
      </c>
      <c r="BN411" s="2">
        <v>556755</v>
      </c>
      <c r="BO411" s="2" t="s">
        <v>74</v>
      </c>
      <c r="BP411" s="2" t="s">
        <v>74</v>
      </c>
      <c r="BQ411" s="2" t="s">
        <v>74</v>
      </c>
      <c r="BR411" s="2" t="s">
        <v>74</v>
      </c>
      <c r="BS411" s="2" t="s">
        <v>1538</v>
      </c>
      <c r="BT411" s="2" t="str">
        <f>HYPERLINK("https%3A%2F%2Fwww.webofscience.com%2Fwos%2Fwoscc%2Ffull-record%2FWOS:A1977CV62300001","View Full Record in Web of Science")</f>
        <v>View Full Record in Web of Science</v>
      </c>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row>
    <row r="412" spans="1:314" s="2" customFormat="1" x14ac:dyDescent="0.4">
      <c r="A412" s="2" t="s">
        <v>72</v>
      </c>
      <c r="B412" s="2" t="s">
        <v>1875</v>
      </c>
      <c r="C412" s="2" t="s">
        <v>74</v>
      </c>
      <c r="D412" s="2" t="s">
        <v>74</v>
      </c>
      <c r="E412" s="2" t="s">
        <v>74</v>
      </c>
      <c r="F412" s="2" t="s">
        <v>1876</v>
      </c>
      <c r="G412" s="2" t="s">
        <v>74</v>
      </c>
      <c r="H412" s="2" t="s">
        <v>74</v>
      </c>
      <c r="I412" s="2" t="s">
        <v>1877</v>
      </c>
      <c r="J412" s="2" t="s">
        <v>1878</v>
      </c>
      <c r="K412" s="2" t="s">
        <v>74</v>
      </c>
      <c r="L412" s="2" t="s">
        <v>74</v>
      </c>
      <c r="M412" s="2" t="s">
        <v>74</v>
      </c>
      <c r="N412" s="2" t="s">
        <v>74</v>
      </c>
      <c r="O412" s="2" t="s">
        <v>74</v>
      </c>
      <c r="P412" s="2" t="s">
        <v>74</v>
      </c>
      <c r="Q412" s="2" t="s">
        <v>74</v>
      </c>
      <c r="R412" s="2" t="s">
        <v>74</v>
      </c>
      <c r="S412" s="2" t="s">
        <v>74</v>
      </c>
      <c r="T412" s="2" t="s">
        <v>74</v>
      </c>
      <c r="U412" s="2" t="s">
        <v>74</v>
      </c>
      <c r="V412" s="5" t="s">
        <v>1879</v>
      </c>
      <c r="W412" s="2" t="s">
        <v>74</v>
      </c>
      <c r="X412" s="2" t="s">
        <v>74</v>
      </c>
      <c r="Y412" s="2" t="s">
        <v>74</v>
      </c>
      <c r="Z412" s="2" t="s">
        <v>74</v>
      </c>
      <c r="AA412" s="2" t="s">
        <v>1880</v>
      </c>
      <c r="AB412" s="2" t="s">
        <v>1881</v>
      </c>
      <c r="AC412" s="2" t="s">
        <v>74</v>
      </c>
      <c r="AD412" s="2" t="s">
        <v>74</v>
      </c>
      <c r="AE412" s="2" t="s">
        <v>74</v>
      </c>
      <c r="AF412" s="2" t="s">
        <v>74</v>
      </c>
      <c r="AG412" s="2" t="s">
        <v>74</v>
      </c>
      <c r="AH412" s="2" t="s">
        <v>74</v>
      </c>
      <c r="AI412" s="2" t="s">
        <v>74</v>
      </c>
      <c r="AJ412" s="2" t="s">
        <v>74</v>
      </c>
      <c r="AK412" s="2" t="s">
        <v>74</v>
      </c>
      <c r="AL412" s="2" t="s">
        <v>74</v>
      </c>
      <c r="AM412" s="2" t="s">
        <v>74</v>
      </c>
      <c r="AN412" s="2" t="s">
        <v>74</v>
      </c>
      <c r="AO412" s="2" t="s">
        <v>1882</v>
      </c>
      <c r="AP412" s="2" t="s">
        <v>1883</v>
      </c>
      <c r="AQ412" s="2" t="s">
        <v>74</v>
      </c>
      <c r="AR412" s="2" t="s">
        <v>74</v>
      </c>
      <c r="AS412" s="2" t="s">
        <v>74</v>
      </c>
      <c r="AT412" s="2" t="s">
        <v>964</v>
      </c>
      <c r="AU412" s="2">
        <v>2016</v>
      </c>
      <c r="AV412" s="2">
        <v>141</v>
      </c>
      <c r="AW412" s="2" t="s">
        <v>74</v>
      </c>
      <c r="AX412" s="2" t="s">
        <v>74</v>
      </c>
      <c r="AY412" s="2" t="s">
        <v>74</v>
      </c>
      <c r="AZ412" s="2" t="s">
        <v>74</v>
      </c>
      <c r="BA412" s="2" t="s">
        <v>74</v>
      </c>
      <c r="BB412" s="2">
        <v>18</v>
      </c>
      <c r="BC412" s="2">
        <v>27</v>
      </c>
      <c r="BD412" s="2" t="s">
        <v>74</v>
      </c>
      <c r="BE412" s="2" t="s">
        <v>1884</v>
      </c>
      <c r="BF412" s="2" t="str">
        <f>HYPERLINK("http://dx.doi.org/10.1016/j.pbb.2015.11.011","http://dx.doi.org/10.1016/j.pbb.2015.11.011")</f>
        <v>http://dx.doi.org/10.1016/j.pbb.2015.11.011</v>
      </c>
      <c r="BG412" s="2" t="s">
        <v>74</v>
      </c>
      <c r="BH412" s="2" t="s">
        <v>74</v>
      </c>
      <c r="BI412" s="2" t="s">
        <v>74</v>
      </c>
      <c r="BJ412" s="2" t="s">
        <v>74</v>
      </c>
      <c r="BK412" s="2" t="s">
        <v>74</v>
      </c>
      <c r="BL412" s="2" t="s">
        <v>74</v>
      </c>
      <c r="BM412" s="2" t="s">
        <v>74</v>
      </c>
      <c r="BN412" s="2">
        <v>26631619</v>
      </c>
      <c r="BO412" s="2" t="s">
        <v>74</v>
      </c>
      <c r="BP412" s="2" t="s">
        <v>74</v>
      </c>
      <c r="BQ412" s="2" t="s">
        <v>74</v>
      </c>
      <c r="BR412" s="2" t="s">
        <v>74</v>
      </c>
      <c r="BS412" s="2" t="s">
        <v>1885</v>
      </c>
      <c r="BT412" s="2" t="str">
        <f>HYPERLINK("https%3A%2F%2Fwww.webofscience.com%2Fwos%2Fwoscc%2Ffull-record%2FWOS:000369466100003","View Full Record in Web of Science")</f>
        <v>View Full Record in Web of Science</v>
      </c>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row>
    <row r="413" spans="1:314" s="2" customFormat="1" x14ac:dyDescent="0.4">
      <c r="A413" s="2" t="s">
        <v>72</v>
      </c>
      <c r="B413" s="2" t="s">
        <v>6715</v>
      </c>
      <c r="C413" s="2" t="s">
        <v>74</v>
      </c>
      <c r="D413" s="2" t="s">
        <v>74</v>
      </c>
      <c r="E413" s="2" t="s">
        <v>74</v>
      </c>
      <c r="F413" s="2" t="s">
        <v>6715</v>
      </c>
      <c r="G413" s="2" t="s">
        <v>74</v>
      </c>
      <c r="H413" s="2" t="s">
        <v>74</v>
      </c>
      <c r="I413" s="2" t="s">
        <v>6716</v>
      </c>
      <c r="J413" s="2" t="s">
        <v>2087</v>
      </c>
      <c r="K413" s="2" t="s">
        <v>74</v>
      </c>
      <c r="L413" s="2" t="s">
        <v>74</v>
      </c>
      <c r="M413" s="2" t="s">
        <v>74</v>
      </c>
      <c r="N413" s="2" t="s">
        <v>74</v>
      </c>
      <c r="O413" s="2" t="s">
        <v>74</v>
      </c>
      <c r="P413" s="2" t="s">
        <v>74</v>
      </c>
      <c r="Q413" s="2" t="s">
        <v>74</v>
      </c>
      <c r="R413" s="2" t="s">
        <v>74</v>
      </c>
      <c r="S413" s="2" t="s">
        <v>74</v>
      </c>
      <c r="T413" s="2" t="s">
        <v>74</v>
      </c>
      <c r="U413" s="2" t="s">
        <v>74</v>
      </c>
      <c r="V413" s="5" t="s">
        <v>6717</v>
      </c>
      <c r="W413" s="2" t="s">
        <v>74</v>
      </c>
      <c r="X413" s="2" t="s">
        <v>74</v>
      </c>
      <c r="Y413" s="2" t="s">
        <v>74</v>
      </c>
      <c r="Z413" s="2" t="s">
        <v>74</v>
      </c>
      <c r="AA413" s="2" t="s">
        <v>6718</v>
      </c>
      <c r="AB413" s="2" t="s">
        <v>6719</v>
      </c>
      <c r="AC413" s="2" t="s">
        <v>74</v>
      </c>
      <c r="AD413" s="2" t="s">
        <v>74</v>
      </c>
      <c r="AE413" s="2" t="s">
        <v>74</v>
      </c>
      <c r="AF413" s="2" t="s">
        <v>74</v>
      </c>
      <c r="AG413" s="2" t="s">
        <v>74</v>
      </c>
      <c r="AH413" s="2" t="s">
        <v>74</v>
      </c>
      <c r="AI413" s="2" t="s">
        <v>74</v>
      </c>
      <c r="AJ413" s="2" t="s">
        <v>74</v>
      </c>
      <c r="AK413" s="2" t="s">
        <v>74</v>
      </c>
      <c r="AL413" s="2" t="s">
        <v>74</v>
      </c>
      <c r="AM413" s="2" t="s">
        <v>74</v>
      </c>
      <c r="AN413" s="2" t="s">
        <v>74</v>
      </c>
      <c r="AO413" s="2" t="s">
        <v>2089</v>
      </c>
      <c r="AP413" s="2" t="s">
        <v>6720</v>
      </c>
      <c r="AQ413" s="2" t="s">
        <v>74</v>
      </c>
      <c r="AR413" s="2" t="s">
        <v>74</v>
      </c>
      <c r="AS413" s="2" t="s">
        <v>74</v>
      </c>
      <c r="AT413" s="2" t="s">
        <v>74</v>
      </c>
      <c r="AU413" s="2">
        <v>1995</v>
      </c>
      <c r="AV413" s="2">
        <v>2</v>
      </c>
      <c r="AW413" s="2">
        <v>1</v>
      </c>
      <c r="AX413" s="2" t="s">
        <v>74</v>
      </c>
      <c r="AY413" s="2" t="s">
        <v>74</v>
      </c>
      <c r="AZ413" s="2" t="s">
        <v>74</v>
      </c>
      <c r="BA413" s="2" t="s">
        <v>74</v>
      </c>
      <c r="BB413" s="2">
        <v>28</v>
      </c>
      <c r="BC413" s="2">
        <v>33</v>
      </c>
      <c r="BD413" s="2" t="s">
        <v>74</v>
      </c>
      <c r="BE413" s="2" t="s">
        <v>6721</v>
      </c>
      <c r="BF413" s="2" t="str">
        <f>HYPERLINK("http://dx.doi.org/10.1080/11956860.1995.11682265","http://dx.doi.org/10.1080/11956860.1995.11682265")</f>
        <v>http://dx.doi.org/10.1080/11956860.1995.11682265</v>
      </c>
      <c r="BG413" s="2" t="s">
        <v>74</v>
      </c>
      <c r="BH413" s="2" t="s">
        <v>74</v>
      </c>
      <c r="BI413" s="2" t="s">
        <v>74</v>
      </c>
      <c r="BJ413" s="2" t="s">
        <v>74</v>
      </c>
      <c r="BK413" s="2" t="s">
        <v>74</v>
      </c>
      <c r="BL413" s="2" t="s">
        <v>74</v>
      </c>
      <c r="BM413" s="2" t="s">
        <v>74</v>
      </c>
      <c r="BN413" s="2" t="s">
        <v>74</v>
      </c>
      <c r="BO413" s="2" t="s">
        <v>74</v>
      </c>
      <c r="BP413" s="2" t="s">
        <v>74</v>
      </c>
      <c r="BQ413" s="2" t="s">
        <v>74</v>
      </c>
      <c r="BR413" s="2" t="s">
        <v>74</v>
      </c>
      <c r="BS413" s="2" t="s">
        <v>6722</v>
      </c>
      <c r="BT413" s="2" t="str">
        <f>HYPERLINK("https%3A%2F%2Fwww.webofscience.com%2Fwos%2Fwoscc%2Ffull-record%2FWOS:A1995TF50700003","View Full Record in Web of Science")</f>
        <v>View Full Record in Web of Science</v>
      </c>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row>
    <row r="414" spans="1:314" s="2" customFormat="1" x14ac:dyDescent="0.4">
      <c r="A414" s="2" t="s">
        <v>72</v>
      </c>
      <c r="B414" s="2" t="s">
        <v>8379</v>
      </c>
      <c r="C414" s="2" t="s">
        <v>74</v>
      </c>
      <c r="D414" s="2" t="s">
        <v>74</v>
      </c>
      <c r="E414" s="2" t="s">
        <v>74</v>
      </c>
      <c r="F414" s="2" t="s">
        <v>8380</v>
      </c>
      <c r="G414" s="2" t="s">
        <v>74</v>
      </c>
      <c r="H414" s="2" t="s">
        <v>74</v>
      </c>
      <c r="I414" s="2" t="s">
        <v>8381</v>
      </c>
      <c r="J414" s="2" t="s">
        <v>8382</v>
      </c>
      <c r="K414" s="2" t="s">
        <v>74</v>
      </c>
      <c r="L414" s="2" t="s">
        <v>74</v>
      </c>
      <c r="M414" s="2" t="s">
        <v>74</v>
      </c>
      <c r="N414" s="2" t="s">
        <v>74</v>
      </c>
      <c r="O414" s="2" t="s">
        <v>74</v>
      </c>
      <c r="P414" s="2" t="s">
        <v>74</v>
      </c>
      <c r="Q414" s="2" t="s">
        <v>74</v>
      </c>
      <c r="R414" s="2" t="s">
        <v>74</v>
      </c>
      <c r="S414" s="2" t="s">
        <v>74</v>
      </c>
      <c r="T414" s="2" t="s">
        <v>74</v>
      </c>
      <c r="U414" s="2" t="s">
        <v>74</v>
      </c>
      <c r="V414" s="5" t="s">
        <v>8383</v>
      </c>
      <c r="W414" s="2" t="s">
        <v>74</v>
      </c>
      <c r="X414" s="2" t="s">
        <v>74</v>
      </c>
      <c r="Y414" s="2" t="s">
        <v>74</v>
      </c>
      <c r="Z414" s="2" t="s">
        <v>74</v>
      </c>
      <c r="AA414" s="2" t="s">
        <v>8384</v>
      </c>
      <c r="AB414" s="2" t="s">
        <v>8385</v>
      </c>
      <c r="AC414" s="2" t="s">
        <v>74</v>
      </c>
      <c r="AD414" s="2" t="s">
        <v>74</v>
      </c>
      <c r="AE414" s="2" t="s">
        <v>74</v>
      </c>
      <c r="AF414" s="2" t="s">
        <v>74</v>
      </c>
      <c r="AG414" s="2" t="s">
        <v>74</v>
      </c>
      <c r="AH414" s="2" t="s">
        <v>74</v>
      </c>
      <c r="AI414" s="2" t="s">
        <v>74</v>
      </c>
      <c r="AJ414" s="2" t="s">
        <v>74</v>
      </c>
      <c r="AK414" s="2" t="s">
        <v>74</v>
      </c>
      <c r="AL414" s="2" t="s">
        <v>74</v>
      </c>
      <c r="AM414" s="2" t="s">
        <v>74</v>
      </c>
      <c r="AN414" s="2" t="s">
        <v>74</v>
      </c>
      <c r="AO414" s="2" t="s">
        <v>8386</v>
      </c>
      <c r="AP414" s="2" t="s">
        <v>8387</v>
      </c>
      <c r="AQ414" s="2" t="s">
        <v>74</v>
      </c>
      <c r="AR414" s="2" t="s">
        <v>74</v>
      </c>
      <c r="AS414" s="2" t="s">
        <v>74</v>
      </c>
      <c r="AT414" s="2" t="s">
        <v>352</v>
      </c>
      <c r="AU414" s="2">
        <v>2021</v>
      </c>
      <c r="AV414" s="2">
        <v>35</v>
      </c>
      <c r="AW414" s="2">
        <v>3</v>
      </c>
      <c r="AX414" s="2" t="s">
        <v>74</v>
      </c>
      <c r="AY414" s="2" t="s">
        <v>74</v>
      </c>
      <c r="AZ414" s="2" t="s">
        <v>74</v>
      </c>
      <c r="BA414" s="2" t="s">
        <v>74</v>
      </c>
      <c r="BB414" s="2">
        <v>313</v>
      </c>
      <c r="BC414" s="2">
        <v>324</v>
      </c>
      <c r="BD414" s="2" t="s">
        <v>74</v>
      </c>
      <c r="BE414" s="2" t="s">
        <v>8388</v>
      </c>
      <c r="BF414" s="2" t="str">
        <f>HYPERLINK("http://dx.doi.org/10.1647/20-00009","http://dx.doi.org/10.1647/20-00009")</f>
        <v>http://dx.doi.org/10.1647/20-00009</v>
      </c>
      <c r="BG414" s="2" t="s">
        <v>74</v>
      </c>
      <c r="BH414" s="2" t="s">
        <v>74</v>
      </c>
      <c r="BI414" s="2" t="s">
        <v>74</v>
      </c>
      <c r="BJ414" s="2" t="s">
        <v>74</v>
      </c>
      <c r="BK414" s="2" t="s">
        <v>74</v>
      </c>
      <c r="BL414" s="2" t="s">
        <v>74</v>
      </c>
      <c r="BM414" s="2" t="s">
        <v>74</v>
      </c>
      <c r="BN414" s="2">
        <v>34677030</v>
      </c>
      <c r="BO414" s="2" t="s">
        <v>74</v>
      </c>
      <c r="BP414" s="2" t="s">
        <v>74</v>
      </c>
      <c r="BQ414" s="2" t="s">
        <v>74</v>
      </c>
      <c r="BR414" s="2" t="s">
        <v>74</v>
      </c>
      <c r="BS414" s="2" t="s">
        <v>8389</v>
      </c>
      <c r="BT414" s="2" t="str">
        <f>HYPERLINK("https%3A%2F%2Fwww.webofscience.com%2Fwos%2Fwoscc%2Ffull-record%2FWOS:000704164200007","View Full Record in Web of Science")</f>
        <v>View Full Record in Web of Science</v>
      </c>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row>
    <row r="415" spans="1:314" s="2" customFormat="1" x14ac:dyDescent="0.4">
      <c r="A415" s="2" t="s">
        <v>72</v>
      </c>
      <c r="B415" s="2" t="s">
        <v>4084</v>
      </c>
      <c r="C415" s="2" t="s">
        <v>74</v>
      </c>
      <c r="D415" s="2" t="s">
        <v>74</v>
      </c>
      <c r="E415" s="2" t="s">
        <v>74</v>
      </c>
      <c r="F415" s="2" t="s">
        <v>4084</v>
      </c>
      <c r="G415" s="2" t="s">
        <v>74</v>
      </c>
      <c r="H415" s="2" t="s">
        <v>74</v>
      </c>
      <c r="I415" s="2" t="s">
        <v>4085</v>
      </c>
      <c r="J415" s="2" t="s">
        <v>3605</v>
      </c>
      <c r="K415" s="2" t="s">
        <v>74</v>
      </c>
      <c r="L415" s="2" t="s">
        <v>74</v>
      </c>
      <c r="M415" s="2" t="s">
        <v>74</v>
      </c>
      <c r="N415" s="2" t="s">
        <v>74</v>
      </c>
      <c r="O415" s="2" t="s">
        <v>74</v>
      </c>
      <c r="P415" s="2" t="s">
        <v>74</v>
      </c>
      <c r="Q415" s="2" t="s">
        <v>74</v>
      </c>
      <c r="R415" s="2" t="s">
        <v>74</v>
      </c>
      <c r="S415" s="2" t="s">
        <v>74</v>
      </c>
      <c r="T415" s="2" t="s">
        <v>74</v>
      </c>
      <c r="U415" s="2" t="s">
        <v>74</v>
      </c>
      <c r="V415" s="5" t="s">
        <v>4086</v>
      </c>
      <c r="W415" s="2" t="s">
        <v>74</v>
      </c>
      <c r="X415" s="2" t="s">
        <v>74</v>
      </c>
      <c r="Y415" s="2" t="s">
        <v>74</v>
      </c>
      <c r="Z415" s="2" t="s">
        <v>74</v>
      </c>
      <c r="AA415" s="2" t="s">
        <v>74</v>
      </c>
      <c r="AB415" s="2" t="s">
        <v>74</v>
      </c>
      <c r="AC415" s="2" t="s">
        <v>74</v>
      </c>
      <c r="AD415" s="2" t="s">
        <v>74</v>
      </c>
      <c r="AE415" s="2" t="s">
        <v>74</v>
      </c>
      <c r="AF415" s="2" t="s">
        <v>74</v>
      </c>
      <c r="AG415" s="2" t="s">
        <v>74</v>
      </c>
      <c r="AH415" s="2" t="s">
        <v>74</v>
      </c>
      <c r="AI415" s="2" t="s">
        <v>74</v>
      </c>
      <c r="AJ415" s="2" t="s">
        <v>74</v>
      </c>
      <c r="AK415" s="2" t="s">
        <v>74</v>
      </c>
      <c r="AL415" s="2" t="s">
        <v>74</v>
      </c>
      <c r="AM415" s="2" t="s">
        <v>74</v>
      </c>
      <c r="AN415" s="2" t="s">
        <v>74</v>
      </c>
      <c r="AO415" s="2" t="s">
        <v>3607</v>
      </c>
      <c r="AP415" s="2" t="s">
        <v>3608</v>
      </c>
      <c r="AQ415" s="2" t="s">
        <v>74</v>
      </c>
      <c r="AR415" s="2" t="s">
        <v>74</v>
      </c>
      <c r="AS415" s="2" t="s">
        <v>74</v>
      </c>
      <c r="AT415" s="2" t="s">
        <v>74</v>
      </c>
      <c r="AU415" s="2">
        <v>1965</v>
      </c>
      <c r="AV415" s="2">
        <v>45</v>
      </c>
      <c r="AW415" s="2">
        <v>3</v>
      </c>
      <c r="AX415" s="2" t="s">
        <v>74</v>
      </c>
      <c r="AY415" s="2" t="s">
        <v>74</v>
      </c>
      <c r="AZ415" s="2" t="s">
        <v>74</v>
      </c>
      <c r="BA415" s="2" t="s">
        <v>74</v>
      </c>
      <c r="BB415" s="2">
        <v>773</v>
      </c>
      <c r="BC415" s="2" t="s">
        <v>726</v>
      </c>
      <c r="BD415" s="2" t="s">
        <v>74</v>
      </c>
      <c r="BE415" s="2" t="s">
        <v>4087</v>
      </c>
      <c r="BF415" s="2" t="str">
        <f>HYPERLINK("http://dx.doi.org/10.1017/S0025315400016581","http://dx.doi.org/10.1017/S0025315400016581")</f>
        <v>http://dx.doi.org/10.1017/S0025315400016581</v>
      </c>
      <c r="BG415" s="2" t="s">
        <v>74</v>
      </c>
      <c r="BH415" s="2" t="s">
        <v>74</v>
      </c>
      <c r="BI415" s="2" t="s">
        <v>74</v>
      </c>
      <c r="BJ415" s="2" t="s">
        <v>74</v>
      </c>
      <c r="BK415" s="2" t="s">
        <v>74</v>
      </c>
      <c r="BL415" s="2" t="s">
        <v>74</v>
      </c>
      <c r="BM415" s="2" t="s">
        <v>74</v>
      </c>
      <c r="BN415" s="2" t="s">
        <v>74</v>
      </c>
      <c r="BO415" s="2" t="s">
        <v>74</v>
      </c>
      <c r="BP415" s="2" t="s">
        <v>74</v>
      </c>
      <c r="BQ415" s="2" t="s">
        <v>74</v>
      </c>
      <c r="BR415" s="2" t="s">
        <v>74</v>
      </c>
      <c r="BS415" s="2" t="s">
        <v>4088</v>
      </c>
      <c r="BT415" s="2" t="str">
        <f>HYPERLINK("https%3A%2F%2Fwww.webofscience.com%2Fwos%2Fwoscc%2Ffull-record%2FWOS:A19657014900017","View Full Record in Web of Science")</f>
        <v>View Full Record in Web of Science</v>
      </c>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row>
    <row r="416" spans="1:314" s="2" customFormat="1" x14ac:dyDescent="0.4">
      <c r="A416" s="2" t="s">
        <v>72</v>
      </c>
      <c r="B416" s="2" t="s">
        <v>6789</v>
      </c>
      <c r="C416" s="2" t="s">
        <v>74</v>
      </c>
      <c r="D416" s="2" t="s">
        <v>74</v>
      </c>
      <c r="E416" s="2" t="s">
        <v>74</v>
      </c>
      <c r="F416" s="2" t="s">
        <v>6789</v>
      </c>
      <c r="G416" s="2" t="s">
        <v>74</v>
      </c>
      <c r="H416" s="2" t="s">
        <v>74</v>
      </c>
      <c r="I416" s="2" t="s">
        <v>6790</v>
      </c>
      <c r="J416" s="2" t="s">
        <v>140</v>
      </c>
      <c r="K416" s="2" t="s">
        <v>74</v>
      </c>
      <c r="L416" s="2" t="s">
        <v>74</v>
      </c>
      <c r="M416" s="2" t="s">
        <v>74</v>
      </c>
      <c r="N416" s="2" t="s">
        <v>74</v>
      </c>
      <c r="O416" s="2" t="s">
        <v>74</v>
      </c>
      <c r="P416" s="2" t="s">
        <v>74</v>
      </c>
      <c r="Q416" s="2" t="s">
        <v>74</v>
      </c>
      <c r="R416" s="2" t="s">
        <v>74</v>
      </c>
      <c r="S416" s="2" t="s">
        <v>74</v>
      </c>
      <c r="T416" s="2" t="s">
        <v>74</v>
      </c>
      <c r="U416" s="2" t="s">
        <v>74</v>
      </c>
      <c r="V416" s="5" t="s">
        <v>6791</v>
      </c>
      <c r="W416" s="2" t="s">
        <v>74</v>
      </c>
      <c r="X416" s="2" t="s">
        <v>74</v>
      </c>
      <c r="Y416" s="2" t="s">
        <v>74</v>
      </c>
      <c r="Z416" s="2" t="s">
        <v>74</v>
      </c>
      <c r="AA416" s="2" t="s">
        <v>74</v>
      </c>
      <c r="AB416" s="2" t="s">
        <v>74</v>
      </c>
      <c r="AC416" s="2" t="s">
        <v>74</v>
      </c>
      <c r="AD416" s="2" t="s">
        <v>74</v>
      </c>
      <c r="AE416" s="2" t="s">
        <v>74</v>
      </c>
      <c r="AF416" s="2" t="s">
        <v>74</v>
      </c>
      <c r="AG416" s="2" t="s">
        <v>74</v>
      </c>
      <c r="AH416" s="2" t="s">
        <v>74</v>
      </c>
      <c r="AI416" s="2" t="s">
        <v>74</v>
      </c>
      <c r="AJ416" s="2" t="s">
        <v>74</v>
      </c>
      <c r="AK416" s="2" t="s">
        <v>74</v>
      </c>
      <c r="AL416" s="2" t="s">
        <v>74</v>
      </c>
      <c r="AM416" s="2" t="s">
        <v>74</v>
      </c>
      <c r="AN416" s="2" t="s">
        <v>74</v>
      </c>
      <c r="AO416" s="2" t="s">
        <v>143</v>
      </c>
      <c r="AP416" s="2" t="s">
        <v>144</v>
      </c>
      <c r="AQ416" s="2" t="s">
        <v>74</v>
      </c>
      <c r="AR416" s="2" t="s">
        <v>74</v>
      </c>
      <c r="AS416" s="2" t="s">
        <v>74</v>
      </c>
      <c r="AT416" s="2" t="s">
        <v>213</v>
      </c>
      <c r="AU416" s="2">
        <v>2004</v>
      </c>
      <c r="AV416" s="2">
        <v>68</v>
      </c>
      <c r="AW416" s="2" t="s">
        <v>74</v>
      </c>
      <c r="AX416" s="2">
        <v>5</v>
      </c>
      <c r="AY416" s="2" t="s">
        <v>74</v>
      </c>
      <c r="AZ416" s="2" t="s">
        <v>74</v>
      </c>
      <c r="BA416" s="2" t="s">
        <v>74</v>
      </c>
      <c r="BB416" s="2">
        <v>1005</v>
      </c>
      <c r="BC416" s="2">
        <v>1015</v>
      </c>
      <c r="BD416" s="2" t="s">
        <v>74</v>
      </c>
      <c r="BE416" s="2" t="s">
        <v>6792</v>
      </c>
      <c r="BF416" s="2" t="str">
        <f>HYPERLINK("http://dx.doi.org/10.1016/j.anbehav.2004.02.003","http://dx.doi.org/10.1016/j.anbehav.2004.02.003")</f>
        <v>http://dx.doi.org/10.1016/j.anbehav.2004.02.003</v>
      </c>
      <c r="BG416" s="2" t="s">
        <v>74</v>
      </c>
      <c r="BH416" s="2" t="s">
        <v>74</v>
      </c>
      <c r="BI416" s="2" t="s">
        <v>74</v>
      </c>
      <c r="BJ416" s="2" t="s">
        <v>74</v>
      </c>
      <c r="BK416" s="2" t="s">
        <v>74</v>
      </c>
      <c r="BL416" s="2" t="s">
        <v>74</v>
      </c>
      <c r="BM416" s="2" t="s">
        <v>74</v>
      </c>
      <c r="BN416" s="2" t="s">
        <v>74</v>
      </c>
      <c r="BO416" s="2" t="s">
        <v>74</v>
      </c>
      <c r="BP416" s="2" t="s">
        <v>74</v>
      </c>
      <c r="BQ416" s="2" t="s">
        <v>74</v>
      </c>
      <c r="BR416" s="2" t="s">
        <v>74</v>
      </c>
      <c r="BS416" s="2" t="s">
        <v>6793</v>
      </c>
      <c r="BT416" s="2" t="str">
        <f>HYPERLINK("https%3A%2F%2Fwww.webofscience.com%2Fwos%2Fwoscc%2Ffull-record%2FWOS:000225064400004","View Full Record in Web of Science")</f>
        <v>View Full Record in Web of Science</v>
      </c>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row>
    <row r="417" spans="1:314" s="2" customFormat="1" x14ac:dyDescent="0.4">
      <c r="A417" s="2" t="s">
        <v>72</v>
      </c>
      <c r="B417" s="2" t="s">
        <v>6822</v>
      </c>
      <c r="C417" s="2" t="s">
        <v>74</v>
      </c>
      <c r="D417" s="2" t="s">
        <v>74</v>
      </c>
      <c r="E417" s="2" t="s">
        <v>74</v>
      </c>
      <c r="F417" s="2" t="s">
        <v>6822</v>
      </c>
      <c r="G417" s="2" t="s">
        <v>74</v>
      </c>
      <c r="H417" s="2" t="s">
        <v>74</v>
      </c>
      <c r="I417" s="2" t="s">
        <v>6823</v>
      </c>
      <c r="J417" s="2" t="s">
        <v>1237</v>
      </c>
      <c r="K417" s="2" t="s">
        <v>74</v>
      </c>
      <c r="L417" s="2" t="s">
        <v>74</v>
      </c>
      <c r="M417" s="2" t="s">
        <v>74</v>
      </c>
      <c r="N417" s="2" t="s">
        <v>74</v>
      </c>
      <c r="O417" s="2" t="s">
        <v>74</v>
      </c>
      <c r="P417" s="2" t="s">
        <v>74</v>
      </c>
      <c r="Q417" s="2" t="s">
        <v>74</v>
      </c>
      <c r="R417" s="2" t="s">
        <v>74</v>
      </c>
      <c r="S417" s="2" t="s">
        <v>74</v>
      </c>
      <c r="T417" s="2" t="s">
        <v>74</v>
      </c>
      <c r="U417" s="2" t="s">
        <v>74</v>
      </c>
      <c r="V417" s="5" t="s">
        <v>6824</v>
      </c>
      <c r="W417" s="2" t="s">
        <v>74</v>
      </c>
      <c r="X417" s="2" t="s">
        <v>74</v>
      </c>
      <c r="Y417" s="2" t="s">
        <v>74</v>
      </c>
      <c r="Z417" s="2" t="s">
        <v>74</v>
      </c>
      <c r="AA417" s="2" t="s">
        <v>74</v>
      </c>
      <c r="AB417" s="2" t="s">
        <v>74</v>
      </c>
      <c r="AC417" s="2" t="s">
        <v>74</v>
      </c>
      <c r="AD417" s="2" t="s">
        <v>74</v>
      </c>
      <c r="AE417" s="2" t="s">
        <v>74</v>
      </c>
      <c r="AF417" s="2" t="s">
        <v>74</v>
      </c>
      <c r="AG417" s="2" t="s">
        <v>74</v>
      </c>
      <c r="AH417" s="2" t="s">
        <v>74</v>
      </c>
      <c r="AI417" s="2" t="s">
        <v>74</v>
      </c>
      <c r="AJ417" s="2" t="s">
        <v>74</v>
      </c>
      <c r="AK417" s="2" t="s">
        <v>74</v>
      </c>
      <c r="AL417" s="2" t="s">
        <v>74</v>
      </c>
      <c r="AM417" s="2" t="s">
        <v>74</v>
      </c>
      <c r="AN417" s="2" t="s">
        <v>74</v>
      </c>
      <c r="AO417" s="2" t="s">
        <v>1239</v>
      </c>
      <c r="AP417" s="2" t="s">
        <v>74</v>
      </c>
      <c r="AQ417" s="2" t="s">
        <v>74</v>
      </c>
      <c r="AR417" s="2" t="s">
        <v>74</v>
      </c>
      <c r="AS417" s="2" t="s">
        <v>74</v>
      </c>
      <c r="AT417" s="2" t="s">
        <v>134</v>
      </c>
      <c r="AU417" s="2">
        <v>1995</v>
      </c>
      <c r="AV417" s="2">
        <v>73</v>
      </c>
      <c r="AW417" s="2">
        <v>5</v>
      </c>
      <c r="AX417" s="2" t="s">
        <v>74</v>
      </c>
      <c r="AY417" s="2" t="s">
        <v>74</v>
      </c>
      <c r="AZ417" s="2" t="s">
        <v>74</v>
      </c>
      <c r="BA417" s="2" t="s">
        <v>74</v>
      </c>
      <c r="BB417" s="2">
        <v>858</v>
      </c>
      <c r="BC417" s="2">
        <v>868</v>
      </c>
      <c r="BD417" s="2" t="s">
        <v>74</v>
      </c>
      <c r="BE417" s="2" t="s">
        <v>6825</v>
      </c>
      <c r="BF417" s="2" t="str">
        <f>HYPERLINK("http://dx.doi.org/10.1139/z95-101","http://dx.doi.org/10.1139/z95-101")</f>
        <v>http://dx.doi.org/10.1139/z95-101</v>
      </c>
      <c r="BG417" s="2" t="s">
        <v>74</v>
      </c>
      <c r="BH417" s="2" t="s">
        <v>74</v>
      </c>
      <c r="BI417" s="2" t="s">
        <v>74</v>
      </c>
      <c r="BJ417" s="2" t="s">
        <v>74</v>
      </c>
      <c r="BK417" s="2" t="s">
        <v>74</v>
      </c>
      <c r="BL417" s="2" t="s">
        <v>74</v>
      </c>
      <c r="BM417" s="2" t="s">
        <v>74</v>
      </c>
      <c r="BN417" s="2" t="s">
        <v>74</v>
      </c>
      <c r="BO417" s="2" t="s">
        <v>74</v>
      </c>
      <c r="BP417" s="2" t="s">
        <v>74</v>
      </c>
      <c r="BQ417" s="2" t="s">
        <v>74</v>
      </c>
      <c r="BR417" s="2" t="s">
        <v>74</v>
      </c>
      <c r="BS417" s="2" t="s">
        <v>6826</v>
      </c>
      <c r="BT417" s="2" t="str">
        <f>HYPERLINK("https%3A%2F%2Fwww.webofscience.com%2Fwos%2Fwoscc%2Ffull-record%2FWOS:A1995RR09100006","View Full Record in Web of Science")</f>
        <v>View Full Record in Web of Science</v>
      </c>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row>
    <row r="418" spans="1:314" s="2" customFormat="1" x14ac:dyDescent="0.4">
      <c r="A418" s="2" t="s">
        <v>72</v>
      </c>
      <c r="B418" s="2" t="s">
        <v>6334</v>
      </c>
      <c r="C418" s="2" t="s">
        <v>74</v>
      </c>
      <c r="D418" s="2" t="s">
        <v>74</v>
      </c>
      <c r="E418" s="2" t="s">
        <v>74</v>
      </c>
      <c r="F418" s="2" t="s">
        <v>6335</v>
      </c>
      <c r="G418" s="2" t="s">
        <v>74</v>
      </c>
      <c r="H418" s="2" t="s">
        <v>74</v>
      </c>
      <c r="I418" s="2" t="s">
        <v>6336</v>
      </c>
      <c r="J418" s="2" t="s">
        <v>408</v>
      </c>
      <c r="K418" s="2" t="s">
        <v>74</v>
      </c>
      <c r="L418" s="2" t="s">
        <v>74</v>
      </c>
      <c r="M418" s="2" t="s">
        <v>74</v>
      </c>
      <c r="N418" s="2" t="s">
        <v>74</v>
      </c>
      <c r="O418" s="2" t="s">
        <v>74</v>
      </c>
      <c r="P418" s="2" t="s">
        <v>74</v>
      </c>
      <c r="Q418" s="2" t="s">
        <v>74</v>
      </c>
      <c r="R418" s="2" t="s">
        <v>74</v>
      </c>
      <c r="S418" s="2" t="s">
        <v>74</v>
      </c>
      <c r="T418" s="2" t="s">
        <v>74</v>
      </c>
      <c r="U418" s="2" t="s">
        <v>74</v>
      </c>
      <c r="V418" s="5" t="s">
        <v>6337</v>
      </c>
      <c r="W418" s="2" t="s">
        <v>74</v>
      </c>
      <c r="X418" s="2" t="s">
        <v>74</v>
      </c>
      <c r="Y418" s="2" t="s">
        <v>74</v>
      </c>
      <c r="Z418" s="2" t="s">
        <v>74</v>
      </c>
      <c r="AA418" s="2" t="s">
        <v>74</v>
      </c>
      <c r="AB418" s="2" t="s">
        <v>74</v>
      </c>
      <c r="AC418" s="2" t="s">
        <v>74</v>
      </c>
      <c r="AD418" s="2" t="s">
        <v>74</v>
      </c>
      <c r="AE418" s="2" t="s">
        <v>74</v>
      </c>
      <c r="AF418" s="2" t="s">
        <v>74</v>
      </c>
      <c r="AG418" s="2" t="s">
        <v>74</v>
      </c>
      <c r="AH418" s="2" t="s">
        <v>74</v>
      </c>
      <c r="AI418" s="2" t="s">
        <v>74</v>
      </c>
      <c r="AJ418" s="2" t="s">
        <v>74</v>
      </c>
      <c r="AK418" s="2" t="s">
        <v>74</v>
      </c>
      <c r="AL418" s="2" t="s">
        <v>74</v>
      </c>
      <c r="AM418" s="2" t="s">
        <v>74</v>
      </c>
      <c r="AN418" s="2" t="s">
        <v>74</v>
      </c>
      <c r="AO418" s="2" t="s">
        <v>412</v>
      </c>
      <c r="AP418" s="2" t="s">
        <v>413</v>
      </c>
      <c r="AQ418" s="2" t="s">
        <v>74</v>
      </c>
      <c r="AR418" s="2" t="s">
        <v>74</v>
      </c>
      <c r="AS418" s="2" t="s">
        <v>74</v>
      </c>
      <c r="AT418" s="2" t="s">
        <v>102</v>
      </c>
      <c r="AU418" s="2">
        <v>2020</v>
      </c>
      <c r="AV418" s="2">
        <v>130</v>
      </c>
      <c r="AW418" s="2">
        <v>2</v>
      </c>
      <c r="AX418" s="2" t="s">
        <v>74</v>
      </c>
      <c r="AY418" s="2" t="s">
        <v>74</v>
      </c>
      <c r="AZ418" s="2" t="s">
        <v>74</v>
      </c>
      <c r="BA418" s="2" t="s">
        <v>74</v>
      </c>
      <c r="BB418" s="2">
        <v>336</v>
      </c>
      <c r="BC418" s="2">
        <v>344</v>
      </c>
      <c r="BD418" s="2" t="s">
        <v>74</v>
      </c>
      <c r="BE418" s="2" t="s">
        <v>6338</v>
      </c>
      <c r="BF418" s="2" t="str">
        <f>HYPERLINK("http://dx.doi.org/10.1093/biolinnean/blaa045","http://dx.doi.org/10.1093/biolinnean/blaa045")</f>
        <v>http://dx.doi.org/10.1093/biolinnean/blaa045</v>
      </c>
      <c r="BG418" s="2" t="s">
        <v>74</v>
      </c>
      <c r="BH418" s="2" t="s">
        <v>74</v>
      </c>
      <c r="BI418" s="2" t="s">
        <v>74</v>
      </c>
      <c r="BJ418" s="2" t="s">
        <v>74</v>
      </c>
      <c r="BK418" s="2" t="s">
        <v>74</v>
      </c>
      <c r="BL418" s="2" t="s">
        <v>74</v>
      </c>
      <c r="BM418" s="2" t="s">
        <v>74</v>
      </c>
      <c r="BN418" s="2" t="s">
        <v>74</v>
      </c>
      <c r="BO418" s="2" t="s">
        <v>74</v>
      </c>
      <c r="BP418" s="2" t="s">
        <v>74</v>
      </c>
      <c r="BQ418" s="2" t="s">
        <v>74</v>
      </c>
      <c r="BR418" s="2" t="s">
        <v>74</v>
      </c>
      <c r="BS418" s="2" t="s">
        <v>6339</v>
      </c>
      <c r="BT418" s="2" t="str">
        <f>HYPERLINK("https%3A%2F%2Fwww.webofscience.com%2Fwos%2Fwoscc%2Ffull-record%2FWOS:000562378200007","View Full Record in Web of Science")</f>
        <v>View Full Record in Web of Science</v>
      </c>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row>
    <row r="419" spans="1:314" s="2" customFormat="1" x14ac:dyDescent="0.4">
      <c r="A419" s="2" t="s">
        <v>72</v>
      </c>
      <c r="B419" s="2" t="s">
        <v>7228</v>
      </c>
      <c r="C419" s="2" t="s">
        <v>74</v>
      </c>
      <c r="D419" s="2" t="s">
        <v>74</v>
      </c>
      <c r="E419" s="2" t="s">
        <v>74</v>
      </c>
      <c r="F419" s="2" t="s">
        <v>7229</v>
      </c>
      <c r="G419" s="2" t="s">
        <v>74</v>
      </c>
      <c r="H419" s="2" t="s">
        <v>74</v>
      </c>
      <c r="I419" s="2" t="s">
        <v>7230</v>
      </c>
      <c r="J419" s="2" t="s">
        <v>333</v>
      </c>
      <c r="K419" s="2" t="s">
        <v>74</v>
      </c>
      <c r="L419" s="2" t="s">
        <v>74</v>
      </c>
      <c r="M419" s="2" t="s">
        <v>74</v>
      </c>
      <c r="N419" s="2" t="s">
        <v>74</v>
      </c>
      <c r="O419" s="2" t="s">
        <v>74</v>
      </c>
      <c r="P419" s="2" t="s">
        <v>74</v>
      </c>
      <c r="Q419" s="2" t="s">
        <v>74</v>
      </c>
      <c r="R419" s="2" t="s">
        <v>74</v>
      </c>
      <c r="S419" s="2" t="s">
        <v>74</v>
      </c>
      <c r="T419" s="2" t="s">
        <v>74</v>
      </c>
      <c r="U419" s="2" t="s">
        <v>74</v>
      </c>
      <c r="V419" s="5" t="s">
        <v>7231</v>
      </c>
      <c r="W419" s="2" t="s">
        <v>74</v>
      </c>
      <c r="X419" s="2" t="s">
        <v>74</v>
      </c>
      <c r="Y419" s="2" t="s">
        <v>74</v>
      </c>
      <c r="Z419" s="2" t="s">
        <v>74</v>
      </c>
      <c r="AA419" s="2" t="s">
        <v>74</v>
      </c>
      <c r="AB419" s="2" t="s">
        <v>7232</v>
      </c>
      <c r="AC419" s="2" t="s">
        <v>74</v>
      </c>
      <c r="AD419" s="2" t="s">
        <v>74</v>
      </c>
      <c r="AE419" s="2" t="s">
        <v>74</v>
      </c>
      <c r="AF419" s="2" t="s">
        <v>74</v>
      </c>
      <c r="AG419" s="2" t="s">
        <v>74</v>
      </c>
      <c r="AH419" s="2" t="s">
        <v>74</v>
      </c>
      <c r="AI419" s="2" t="s">
        <v>74</v>
      </c>
      <c r="AJ419" s="2" t="s">
        <v>74</v>
      </c>
      <c r="AK419" s="2" t="s">
        <v>74</v>
      </c>
      <c r="AL419" s="2" t="s">
        <v>74</v>
      </c>
      <c r="AM419" s="2" t="s">
        <v>74</v>
      </c>
      <c r="AN419" s="2" t="s">
        <v>74</v>
      </c>
      <c r="AO419" s="2" t="s">
        <v>337</v>
      </c>
      <c r="AP419" s="2" t="s">
        <v>338</v>
      </c>
      <c r="AQ419" s="2" t="s">
        <v>74</v>
      </c>
      <c r="AR419" s="2" t="s">
        <v>74</v>
      </c>
      <c r="AS419" s="2" t="s">
        <v>74</v>
      </c>
      <c r="AT419" s="2" t="s">
        <v>1013</v>
      </c>
      <c r="AU419" s="2">
        <v>2017</v>
      </c>
      <c r="AV419" s="2">
        <v>28</v>
      </c>
      <c r="AW419" s="2">
        <v>5</v>
      </c>
      <c r="AX419" s="2" t="s">
        <v>74</v>
      </c>
      <c r="AY419" s="2" t="s">
        <v>74</v>
      </c>
      <c r="AZ419" s="2" t="s">
        <v>74</v>
      </c>
      <c r="BA419" s="2" t="s">
        <v>74</v>
      </c>
      <c r="BB419" s="2">
        <v>1329</v>
      </c>
      <c r="BC419" s="2">
        <v>1336</v>
      </c>
      <c r="BD419" s="2" t="s">
        <v>74</v>
      </c>
      <c r="BE419" s="2" t="s">
        <v>7233</v>
      </c>
      <c r="BF419" s="2" t="str">
        <f>HYPERLINK("http://dx.doi.org/10.1093/beheco/arx096","http://dx.doi.org/10.1093/beheco/arx096")</f>
        <v>http://dx.doi.org/10.1093/beheco/arx096</v>
      </c>
      <c r="BG419" s="2" t="s">
        <v>74</v>
      </c>
      <c r="BH419" s="2" t="s">
        <v>74</v>
      </c>
      <c r="BI419" s="2" t="s">
        <v>74</v>
      </c>
      <c r="BJ419" s="2" t="s">
        <v>74</v>
      </c>
      <c r="BK419" s="2" t="s">
        <v>74</v>
      </c>
      <c r="BL419" s="2" t="s">
        <v>74</v>
      </c>
      <c r="BM419" s="2" t="s">
        <v>74</v>
      </c>
      <c r="BN419" s="2" t="s">
        <v>74</v>
      </c>
      <c r="BO419" s="2" t="s">
        <v>74</v>
      </c>
      <c r="BP419" s="2" t="s">
        <v>74</v>
      </c>
      <c r="BQ419" s="2" t="s">
        <v>74</v>
      </c>
      <c r="BR419" s="2" t="s">
        <v>74</v>
      </c>
      <c r="BS419" s="2" t="s">
        <v>7234</v>
      </c>
      <c r="BT419" s="2" t="str">
        <f>HYPERLINK("https%3A%2F%2Fwww.webofscience.com%2Fwos%2Fwoscc%2Ffull-record%2FWOS:000412182400016","View Full Record in Web of Science")</f>
        <v>View Full Record in Web of Science</v>
      </c>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row>
    <row r="420" spans="1:314" s="2" customFormat="1" x14ac:dyDescent="0.4">
      <c r="A420" s="2" t="s">
        <v>72</v>
      </c>
      <c r="B420" s="2" t="s">
        <v>879</v>
      </c>
      <c r="C420" s="2" t="s">
        <v>74</v>
      </c>
      <c r="D420" s="2" t="s">
        <v>74</v>
      </c>
      <c r="E420" s="2" t="s">
        <v>74</v>
      </c>
      <c r="F420" s="2" t="s">
        <v>880</v>
      </c>
      <c r="G420" s="2" t="s">
        <v>74</v>
      </c>
      <c r="H420" s="2" t="s">
        <v>74</v>
      </c>
      <c r="I420" s="2" t="s">
        <v>881</v>
      </c>
      <c r="J420" s="2" t="s">
        <v>882</v>
      </c>
      <c r="K420" s="2" t="s">
        <v>74</v>
      </c>
      <c r="L420" s="2" t="s">
        <v>74</v>
      </c>
      <c r="M420" s="2" t="s">
        <v>74</v>
      </c>
      <c r="N420" s="2" t="s">
        <v>74</v>
      </c>
      <c r="O420" s="2" t="s">
        <v>74</v>
      </c>
      <c r="P420" s="2" t="s">
        <v>74</v>
      </c>
      <c r="Q420" s="2" t="s">
        <v>74</v>
      </c>
      <c r="R420" s="2" t="s">
        <v>74</v>
      </c>
      <c r="S420" s="2" t="s">
        <v>74</v>
      </c>
      <c r="T420" s="2" t="s">
        <v>74</v>
      </c>
      <c r="U420" s="2" t="s">
        <v>74</v>
      </c>
      <c r="V420" s="5" t="s">
        <v>883</v>
      </c>
      <c r="W420" s="2" t="s">
        <v>74</v>
      </c>
      <c r="X420" s="2" t="s">
        <v>74</v>
      </c>
      <c r="Y420" s="2" t="s">
        <v>74</v>
      </c>
      <c r="Z420" s="2" t="s">
        <v>74</v>
      </c>
      <c r="AA420" s="2" t="s">
        <v>884</v>
      </c>
      <c r="AB420" s="2" t="s">
        <v>885</v>
      </c>
      <c r="AC420" s="2" t="s">
        <v>74</v>
      </c>
      <c r="AD420" s="2" t="s">
        <v>74</v>
      </c>
      <c r="AE420" s="2" t="s">
        <v>74</v>
      </c>
      <c r="AF420" s="2" t="s">
        <v>74</v>
      </c>
      <c r="AG420" s="2" t="s">
        <v>74</v>
      </c>
      <c r="AH420" s="2" t="s">
        <v>74</v>
      </c>
      <c r="AI420" s="2" t="s">
        <v>74</v>
      </c>
      <c r="AJ420" s="2" t="s">
        <v>74</v>
      </c>
      <c r="AK420" s="2" t="s">
        <v>74</v>
      </c>
      <c r="AL420" s="2" t="s">
        <v>74</v>
      </c>
      <c r="AM420" s="2" t="s">
        <v>74</v>
      </c>
      <c r="AN420" s="2" t="s">
        <v>74</v>
      </c>
      <c r="AO420" s="2" t="s">
        <v>886</v>
      </c>
      <c r="AP420" s="2" t="s">
        <v>887</v>
      </c>
      <c r="AQ420" s="2" t="s">
        <v>74</v>
      </c>
      <c r="AR420" s="2" t="s">
        <v>74</v>
      </c>
      <c r="AS420" s="2" t="s">
        <v>74</v>
      </c>
      <c r="AT420" s="2" t="s">
        <v>74</v>
      </c>
      <c r="AU420" s="2">
        <v>2010</v>
      </c>
      <c r="AV420" s="2">
        <v>9</v>
      </c>
      <c r="AW420" s="2">
        <v>3</v>
      </c>
      <c r="AX420" s="2" t="s">
        <v>74</v>
      </c>
      <c r="AY420" s="2" t="s">
        <v>74</v>
      </c>
      <c r="AZ420" s="2" t="s">
        <v>74</v>
      </c>
      <c r="BA420" s="2" t="s">
        <v>74</v>
      </c>
      <c r="BB420" s="2">
        <v>271</v>
      </c>
      <c r="BC420" s="2">
        <v>277</v>
      </c>
      <c r="BD420" s="2" t="s">
        <v>74</v>
      </c>
      <c r="BE420" s="2" t="s">
        <v>888</v>
      </c>
      <c r="BF420" s="2" t="str">
        <f>HYPERLINK("http://dx.doi.org/10.3354/ab00257","http://dx.doi.org/10.3354/ab00257")</f>
        <v>http://dx.doi.org/10.3354/ab00257</v>
      </c>
      <c r="BG420" s="2" t="s">
        <v>74</v>
      </c>
      <c r="BH420" s="2" t="s">
        <v>74</v>
      </c>
      <c r="BI420" s="2" t="s">
        <v>74</v>
      </c>
      <c r="BJ420" s="2" t="s">
        <v>74</v>
      </c>
      <c r="BK420" s="2" t="s">
        <v>74</v>
      </c>
      <c r="BL420" s="2" t="s">
        <v>74</v>
      </c>
      <c r="BM420" s="2" t="s">
        <v>74</v>
      </c>
      <c r="BN420" s="2" t="s">
        <v>74</v>
      </c>
      <c r="BO420" s="2" t="s">
        <v>74</v>
      </c>
      <c r="BP420" s="2" t="s">
        <v>74</v>
      </c>
      <c r="BQ420" s="2" t="s">
        <v>74</v>
      </c>
      <c r="BR420" s="2" t="s">
        <v>74</v>
      </c>
      <c r="BS420" s="2" t="s">
        <v>889</v>
      </c>
      <c r="BT420" s="2" t="str">
        <f>HYPERLINK("https%3A%2F%2Fwww.webofscience.com%2Fwos%2Fwoscc%2Ffull-record%2FWOS:000278977700007","View Full Record in Web of Science")</f>
        <v>View Full Record in Web of Science</v>
      </c>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row>
    <row r="421" spans="1:314" s="2" customFormat="1" x14ac:dyDescent="0.4">
      <c r="A421" s="2" t="s">
        <v>72</v>
      </c>
      <c r="B421" s="2" t="s">
        <v>488</v>
      </c>
      <c r="C421" s="2" t="s">
        <v>74</v>
      </c>
      <c r="D421" s="2" t="s">
        <v>74</v>
      </c>
      <c r="E421" s="2" t="s">
        <v>74</v>
      </c>
      <c r="F421" s="2" t="s">
        <v>488</v>
      </c>
      <c r="G421" s="2" t="s">
        <v>74</v>
      </c>
      <c r="H421" s="2" t="s">
        <v>74</v>
      </c>
      <c r="I421" s="2" t="s">
        <v>489</v>
      </c>
      <c r="J421" s="2" t="s">
        <v>108</v>
      </c>
      <c r="K421" s="2" t="s">
        <v>74</v>
      </c>
      <c r="L421" s="2" t="s">
        <v>74</v>
      </c>
      <c r="M421" s="2" t="s">
        <v>74</v>
      </c>
      <c r="N421" s="2" t="s">
        <v>74</v>
      </c>
      <c r="O421" s="2" t="s">
        <v>74</v>
      </c>
      <c r="P421" s="2" t="s">
        <v>74</v>
      </c>
      <c r="Q421" s="2" t="s">
        <v>74</v>
      </c>
      <c r="R421" s="2" t="s">
        <v>74</v>
      </c>
      <c r="S421" s="2" t="s">
        <v>74</v>
      </c>
      <c r="T421" s="2" t="s">
        <v>74</v>
      </c>
      <c r="U421" s="2" t="s">
        <v>74</v>
      </c>
      <c r="V421" s="5" t="s">
        <v>490</v>
      </c>
      <c r="W421" s="2" t="s">
        <v>74</v>
      </c>
      <c r="X421" s="2" t="s">
        <v>74</v>
      </c>
      <c r="Y421" s="2" t="s">
        <v>74</v>
      </c>
      <c r="Z421" s="2" t="s">
        <v>74</v>
      </c>
      <c r="AA421" s="2" t="s">
        <v>491</v>
      </c>
      <c r="AB421" s="2" t="s">
        <v>492</v>
      </c>
      <c r="AC421" s="2" t="s">
        <v>74</v>
      </c>
      <c r="AD421" s="2" t="s">
        <v>74</v>
      </c>
      <c r="AE421" s="2" t="s">
        <v>74</v>
      </c>
      <c r="AF421" s="2" t="s">
        <v>74</v>
      </c>
      <c r="AG421" s="2" t="s">
        <v>74</v>
      </c>
      <c r="AH421" s="2" t="s">
        <v>74</v>
      </c>
      <c r="AI421" s="2" t="s">
        <v>74</v>
      </c>
      <c r="AJ421" s="2" t="s">
        <v>74</v>
      </c>
      <c r="AK421" s="2" t="s">
        <v>74</v>
      </c>
      <c r="AL421" s="2" t="s">
        <v>74</v>
      </c>
      <c r="AM421" s="2" t="s">
        <v>74</v>
      </c>
      <c r="AN421" s="2" t="s">
        <v>74</v>
      </c>
      <c r="AO421" s="2" t="s">
        <v>111</v>
      </c>
      <c r="AP421" s="2" t="s">
        <v>112</v>
      </c>
      <c r="AQ421" s="2" t="s">
        <v>74</v>
      </c>
      <c r="AR421" s="2" t="s">
        <v>74</v>
      </c>
      <c r="AS421" s="2" t="s">
        <v>74</v>
      </c>
      <c r="AT421" s="2" t="s">
        <v>493</v>
      </c>
      <c r="AU421" s="2">
        <v>2001</v>
      </c>
      <c r="AV421" s="2">
        <v>268</v>
      </c>
      <c r="AW421" s="2">
        <v>1475</v>
      </c>
      <c r="AX421" s="2" t="s">
        <v>74</v>
      </c>
      <c r="AY421" s="2" t="s">
        <v>74</v>
      </c>
      <c r="AZ421" s="2" t="s">
        <v>74</v>
      </c>
      <c r="BA421" s="2" t="s">
        <v>74</v>
      </c>
      <c r="BB421" s="2">
        <v>1519</v>
      </c>
      <c r="BC421" s="2">
        <v>1526</v>
      </c>
      <c r="BD421" s="2" t="s">
        <v>74</v>
      </c>
      <c r="BE421" s="2" t="s">
        <v>494</v>
      </c>
      <c r="BF421" s="2" t="str">
        <f>HYPERLINK("http://dx.doi.org/10.1098/rspb.2001.1701","http://dx.doi.org/10.1098/rspb.2001.1701")</f>
        <v>http://dx.doi.org/10.1098/rspb.2001.1701</v>
      </c>
      <c r="BG421" s="2" t="s">
        <v>74</v>
      </c>
      <c r="BH421" s="2" t="s">
        <v>74</v>
      </c>
      <c r="BI421" s="2" t="s">
        <v>74</v>
      </c>
      <c r="BJ421" s="2" t="s">
        <v>74</v>
      </c>
      <c r="BK421" s="2" t="s">
        <v>74</v>
      </c>
      <c r="BL421" s="2" t="s">
        <v>74</v>
      </c>
      <c r="BM421" s="2" t="s">
        <v>74</v>
      </c>
      <c r="BN421" s="2">
        <v>11454297</v>
      </c>
      <c r="BO421" s="2" t="s">
        <v>74</v>
      </c>
      <c r="BP421" s="2" t="s">
        <v>74</v>
      </c>
      <c r="BQ421" s="2" t="s">
        <v>74</v>
      </c>
      <c r="BR421" s="2" t="s">
        <v>74</v>
      </c>
      <c r="BS421" s="2" t="s">
        <v>495</v>
      </c>
      <c r="BT421" s="2" t="str">
        <f>HYPERLINK("https%3A%2F%2Fwww.webofscience.com%2Fwos%2Fwoscc%2Ffull-record%2FWOS:000170003600013","View Full Record in Web of Science")</f>
        <v>View Full Record in Web of Science</v>
      </c>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row>
    <row r="422" spans="1:314" s="2" customFormat="1" x14ac:dyDescent="0.4">
      <c r="A422" s="2" t="s">
        <v>72</v>
      </c>
      <c r="B422" s="2" t="s">
        <v>5024</v>
      </c>
      <c r="C422" s="2" t="s">
        <v>74</v>
      </c>
      <c r="D422" s="2" t="s">
        <v>74</v>
      </c>
      <c r="E422" s="2" t="s">
        <v>74</v>
      </c>
      <c r="F422" s="2" t="s">
        <v>5025</v>
      </c>
      <c r="G422" s="2" t="s">
        <v>74</v>
      </c>
      <c r="H422" s="2" t="s">
        <v>74</v>
      </c>
      <c r="I422" s="2" t="s">
        <v>5026</v>
      </c>
      <c r="J422" s="2" t="s">
        <v>2578</v>
      </c>
      <c r="K422" s="2" t="s">
        <v>74</v>
      </c>
      <c r="L422" s="2" t="s">
        <v>74</v>
      </c>
      <c r="M422" s="2" t="s">
        <v>74</v>
      </c>
      <c r="N422" s="2" t="s">
        <v>74</v>
      </c>
      <c r="O422" s="2" t="s">
        <v>74</v>
      </c>
      <c r="P422" s="2" t="s">
        <v>74</v>
      </c>
      <c r="Q422" s="2" t="s">
        <v>74</v>
      </c>
      <c r="R422" s="2" t="s">
        <v>74</v>
      </c>
      <c r="S422" s="2" t="s">
        <v>74</v>
      </c>
      <c r="T422" s="2" t="s">
        <v>74</v>
      </c>
      <c r="U422" s="2" t="s">
        <v>74</v>
      </c>
      <c r="V422" s="5" t="s">
        <v>5027</v>
      </c>
      <c r="W422" s="2" t="s">
        <v>74</v>
      </c>
      <c r="X422" s="2" t="s">
        <v>74</v>
      </c>
      <c r="Y422" s="2" t="s">
        <v>74</v>
      </c>
      <c r="Z422" s="2" t="s">
        <v>74</v>
      </c>
      <c r="AA422" s="2" t="s">
        <v>74</v>
      </c>
      <c r="AB422" s="2" t="s">
        <v>74</v>
      </c>
      <c r="AC422" s="2" t="s">
        <v>74</v>
      </c>
      <c r="AD422" s="2" t="s">
        <v>74</v>
      </c>
      <c r="AE422" s="2" t="s">
        <v>74</v>
      </c>
      <c r="AF422" s="2" t="s">
        <v>74</v>
      </c>
      <c r="AG422" s="2" t="s">
        <v>74</v>
      </c>
      <c r="AH422" s="2" t="s">
        <v>74</v>
      </c>
      <c r="AI422" s="2" t="s">
        <v>74</v>
      </c>
      <c r="AJ422" s="2" t="s">
        <v>74</v>
      </c>
      <c r="AK422" s="2" t="s">
        <v>74</v>
      </c>
      <c r="AL422" s="2" t="s">
        <v>74</v>
      </c>
      <c r="AM422" s="2" t="s">
        <v>74</v>
      </c>
      <c r="AN422" s="2" t="s">
        <v>74</v>
      </c>
      <c r="AO422" s="2" t="s">
        <v>2582</v>
      </c>
      <c r="AP422" s="2" t="s">
        <v>2583</v>
      </c>
      <c r="AQ422" s="2" t="s">
        <v>74</v>
      </c>
      <c r="AR422" s="2" t="s">
        <v>74</v>
      </c>
      <c r="AS422" s="2" t="s">
        <v>74</v>
      </c>
      <c r="AT422" s="2" t="s">
        <v>5028</v>
      </c>
      <c r="AU422" s="2">
        <v>2024</v>
      </c>
      <c r="AV422" s="2" t="s">
        <v>74</v>
      </c>
      <c r="AW422" s="2" t="s">
        <v>74</v>
      </c>
      <c r="AX422" s="2" t="s">
        <v>74</v>
      </c>
      <c r="AY422" s="2" t="s">
        <v>74</v>
      </c>
      <c r="AZ422" s="2" t="s">
        <v>74</v>
      </c>
      <c r="BA422" s="2" t="s">
        <v>74</v>
      </c>
      <c r="BB422" s="2" t="s">
        <v>74</v>
      </c>
      <c r="BC422" s="2" t="s">
        <v>74</v>
      </c>
      <c r="BD422" s="2" t="s">
        <v>74</v>
      </c>
      <c r="BE422" s="2" t="s">
        <v>5029</v>
      </c>
      <c r="BF422" s="2" t="str">
        <f>HYPERLINK("http://dx.doi.org/10.3758/s13420-024-00638-z","http://dx.doi.org/10.3758/s13420-024-00638-z")</f>
        <v>http://dx.doi.org/10.3758/s13420-024-00638-z</v>
      </c>
      <c r="BG422" s="2" t="s">
        <v>74</v>
      </c>
      <c r="BH422" s="2" t="s">
        <v>5030</v>
      </c>
      <c r="BI422" s="2" t="s">
        <v>74</v>
      </c>
      <c r="BJ422" s="2" t="s">
        <v>74</v>
      </c>
      <c r="BK422" s="2" t="s">
        <v>74</v>
      </c>
      <c r="BL422" s="2" t="s">
        <v>74</v>
      </c>
      <c r="BM422" s="2" t="s">
        <v>74</v>
      </c>
      <c r="BN422" s="2">
        <v>39150659</v>
      </c>
      <c r="BO422" s="2" t="s">
        <v>74</v>
      </c>
      <c r="BP422" s="2" t="s">
        <v>74</v>
      </c>
      <c r="BQ422" s="2" t="s">
        <v>74</v>
      </c>
      <c r="BR422" s="2" t="s">
        <v>74</v>
      </c>
      <c r="BS422" s="2" t="s">
        <v>5031</v>
      </c>
      <c r="BT422" s="2" t="str">
        <f>HYPERLINK("https%3A%2F%2Fwww.webofscience.com%2Fwos%2Fwoscc%2Ffull-record%2FWOS:001291940700001","View Full Record in Web of Science")</f>
        <v>View Full Record in Web of Science</v>
      </c>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row>
    <row r="423" spans="1:314" s="2" customFormat="1" x14ac:dyDescent="0.4">
      <c r="A423" s="2" t="s">
        <v>72</v>
      </c>
      <c r="B423" s="2" t="s">
        <v>7026</v>
      </c>
      <c r="C423" s="2" t="s">
        <v>74</v>
      </c>
      <c r="D423" s="2" t="s">
        <v>74</v>
      </c>
      <c r="E423" s="2" t="s">
        <v>74</v>
      </c>
      <c r="F423" s="2" t="s">
        <v>7027</v>
      </c>
      <c r="G423" s="2" t="s">
        <v>74</v>
      </c>
      <c r="H423" s="2" t="s">
        <v>74</v>
      </c>
      <c r="I423" s="2" t="s">
        <v>7028</v>
      </c>
      <c r="J423" s="2" t="s">
        <v>814</v>
      </c>
      <c r="K423" s="2" t="s">
        <v>74</v>
      </c>
      <c r="L423" s="2" t="s">
        <v>74</v>
      </c>
      <c r="M423" s="2" t="s">
        <v>74</v>
      </c>
      <c r="N423" s="2" t="s">
        <v>74</v>
      </c>
      <c r="O423" s="2" t="s">
        <v>74</v>
      </c>
      <c r="P423" s="2" t="s">
        <v>74</v>
      </c>
      <c r="Q423" s="2" t="s">
        <v>74</v>
      </c>
      <c r="R423" s="2" t="s">
        <v>74</v>
      </c>
      <c r="S423" s="2" t="s">
        <v>74</v>
      </c>
      <c r="T423" s="2" t="s">
        <v>74</v>
      </c>
      <c r="U423" s="2" t="s">
        <v>74</v>
      </c>
      <c r="V423" s="5" t="s">
        <v>7029</v>
      </c>
      <c r="W423" s="2" t="s">
        <v>74</v>
      </c>
      <c r="X423" s="2" t="s">
        <v>74</v>
      </c>
      <c r="Y423" s="2" t="s">
        <v>74</v>
      </c>
      <c r="Z423" s="2" t="s">
        <v>74</v>
      </c>
      <c r="AA423" s="2" t="s">
        <v>7030</v>
      </c>
      <c r="AB423" s="2" t="s">
        <v>7031</v>
      </c>
      <c r="AC423" s="2" t="s">
        <v>74</v>
      </c>
      <c r="AD423" s="2" t="s">
        <v>74</v>
      </c>
      <c r="AE423" s="2" t="s">
        <v>74</v>
      </c>
      <c r="AF423" s="2" t="s">
        <v>74</v>
      </c>
      <c r="AG423" s="2" t="s">
        <v>74</v>
      </c>
      <c r="AH423" s="2" t="s">
        <v>74</v>
      </c>
      <c r="AI423" s="2" t="s">
        <v>74</v>
      </c>
      <c r="AJ423" s="2" t="s">
        <v>74</v>
      </c>
      <c r="AK423" s="2" t="s">
        <v>74</v>
      </c>
      <c r="AL423" s="2" t="s">
        <v>74</v>
      </c>
      <c r="AM423" s="2" t="s">
        <v>74</v>
      </c>
      <c r="AN423" s="2" t="s">
        <v>74</v>
      </c>
      <c r="AO423" s="2" t="s">
        <v>818</v>
      </c>
      <c r="AP423" s="2" t="s">
        <v>1505</v>
      </c>
      <c r="AQ423" s="2" t="s">
        <v>74</v>
      </c>
      <c r="AR423" s="2" t="s">
        <v>74</v>
      </c>
      <c r="AS423" s="2" t="s">
        <v>74</v>
      </c>
      <c r="AT423" s="2" t="s">
        <v>102</v>
      </c>
      <c r="AU423" s="2">
        <v>2014</v>
      </c>
      <c r="AV423" s="2">
        <v>117</v>
      </c>
      <c r="AW423" s="2">
        <v>3</v>
      </c>
      <c r="AX423" s="2" t="s">
        <v>74</v>
      </c>
      <c r="AY423" s="2" t="s">
        <v>74</v>
      </c>
      <c r="AZ423" s="2" t="s">
        <v>74</v>
      </c>
      <c r="BA423" s="2" t="s">
        <v>74</v>
      </c>
      <c r="BB423" s="2">
        <v>179</v>
      </c>
      <c r="BC423" s="2">
        <v>184</v>
      </c>
      <c r="BD423" s="2" t="s">
        <v>74</v>
      </c>
      <c r="BE423" s="2" t="s">
        <v>7032</v>
      </c>
      <c r="BF423" s="2" t="str">
        <f>HYPERLINK("http://dx.doi.org/10.1016/j.zool.2013.09.005","http://dx.doi.org/10.1016/j.zool.2013.09.005")</f>
        <v>http://dx.doi.org/10.1016/j.zool.2013.09.005</v>
      </c>
      <c r="BG423" s="2" t="s">
        <v>74</v>
      </c>
      <c r="BH423" s="2" t="s">
        <v>74</v>
      </c>
      <c r="BI423" s="2" t="s">
        <v>74</v>
      </c>
      <c r="BJ423" s="2" t="s">
        <v>74</v>
      </c>
      <c r="BK423" s="2" t="s">
        <v>74</v>
      </c>
      <c r="BL423" s="2" t="s">
        <v>74</v>
      </c>
      <c r="BM423" s="2" t="s">
        <v>74</v>
      </c>
      <c r="BN423" s="2">
        <v>24783997</v>
      </c>
      <c r="BO423" s="2" t="s">
        <v>74</v>
      </c>
      <c r="BP423" s="2" t="s">
        <v>74</v>
      </c>
      <c r="BQ423" s="2" t="s">
        <v>74</v>
      </c>
      <c r="BR423" s="2" t="s">
        <v>74</v>
      </c>
      <c r="BS423" s="2" t="s">
        <v>7033</v>
      </c>
      <c r="BT423" s="2" t="str">
        <f>HYPERLINK("https%3A%2F%2Fwww.webofscience.com%2Fwos%2Fwoscc%2Ffull-record%2FWOS:000337884800004","View Full Record in Web of Science")</f>
        <v>View Full Record in Web of Science</v>
      </c>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row>
    <row r="424" spans="1:314" s="2" customFormat="1" x14ac:dyDescent="0.4">
      <c r="A424" s="2" t="s">
        <v>72</v>
      </c>
      <c r="B424" s="2" t="s">
        <v>912</v>
      </c>
      <c r="C424" s="2" t="s">
        <v>74</v>
      </c>
      <c r="D424" s="2" t="s">
        <v>74</v>
      </c>
      <c r="E424" s="2" t="s">
        <v>74</v>
      </c>
      <c r="F424" s="2" t="s">
        <v>913</v>
      </c>
      <c r="G424" s="2" t="s">
        <v>74</v>
      </c>
      <c r="H424" s="2" t="s">
        <v>74</v>
      </c>
      <c r="I424" s="2" t="s">
        <v>914</v>
      </c>
      <c r="J424" s="2" t="s">
        <v>140</v>
      </c>
      <c r="K424" s="2" t="s">
        <v>74</v>
      </c>
      <c r="L424" s="2" t="s">
        <v>74</v>
      </c>
      <c r="M424" s="2" t="s">
        <v>74</v>
      </c>
      <c r="N424" s="2" t="s">
        <v>74</v>
      </c>
      <c r="O424" s="2" t="s">
        <v>74</v>
      </c>
      <c r="P424" s="2" t="s">
        <v>74</v>
      </c>
      <c r="Q424" s="2" t="s">
        <v>74</v>
      </c>
      <c r="R424" s="2" t="s">
        <v>74</v>
      </c>
      <c r="S424" s="2" t="s">
        <v>74</v>
      </c>
      <c r="T424" s="2" t="s">
        <v>74</v>
      </c>
      <c r="U424" s="2" t="s">
        <v>74</v>
      </c>
      <c r="V424" s="5" t="s">
        <v>915</v>
      </c>
      <c r="W424" s="2" t="s">
        <v>74</v>
      </c>
      <c r="X424" s="2" t="s">
        <v>74</v>
      </c>
      <c r="Y424" s="2" t="s">
        <v>74</v>
      </c>
      <c r="Z424" s="2" t="s">
        <v>74</v>
      </c>
      <c r="AA424" s="2" t="s">
        <v>916</v>
      </c>
      <c r="AB424" s="2" t="s">
        <v>917</v>
      </c>
      <c r="AC424" s="2" t="s">
        <v>74</v>
      </c>
      <c r="AD424" s="2" t="s">
        <v>74</v>
      </c>
      <c r="AE424" s="2" t="s">
        <v>74</v>
      </c>
      <c r="AF424" s="2" t="s">
        <v>74</v>
      </c>
      <c r="AG424" s="2" t="s">
        <v>74</v>
      </c>
      <c r="AH424" s="2" t="s">
        <v>74</v>
      </c>
      <c r="AI424" s="2" t="s">
        <v>74</v>
      </c>
      <c r="AJ424" s="2" t="s">
        <v>74</v>
      </c>
      <c r="AK424" s="2" t="s">
        <v>74</v>
      </c>
      <c r="AL424" s="2" t="s">
        <v>74</v>
      </c>
      <c r="AM424" s="2" t="s">
        <v>74</v>
      </c>
      <c r="AN424" s="2" t="s">
        <v>74</v>
      </c>
      <c r="AO424" s="2" t="s">
        <v>143</v>
      </c>
      <c r="AP424" s="2" t="s">
        <v>144</v>
      </c>
      <c r="AQ424" s="2" t="s">
        <v>74</v>
      </c>
      <c r="AR424" s="2" t="s">
        <v>74</v>
      </c>
      <c r="AS424" s="2" t="s">
        <v>74</v>
      </c>
      <c r="AT424" s="2" t="s">
        <v>633</v>
      </c>
      <c r="AU424" s="2">
        <v>2015</v>
      </c>
      <c r="AV424" s="2">
        <v>102</v>
      </c>
      <c r="AW424" s="2" t="s">
        <v>74</v>
      </c>
      <c r="AX424" s="2" t="s">
        <v>74</v>
      </c>
      <c r="AY424" s="2" t="s">
        <v>74</v>
      </c>
      <c r="AZ424" s="2" t="s">
        <v>74</v>
      </c>
      <c r="BA424" s="2" t="s">
        <v>74</v>
      </c>
      <c r="BB424" s="2">
        <v>59</v>
      </c>
      <c r="BC424" s="2">
        <v>67</v>
      </c>
      <c r="BD424" s="2" t="s">
        <v>74</v>
      </c>
      <c r="BE424" s="2" t="s">
        <v>918</v>
      </c>
      <c r="BF424" s="2" t="str">
        <f>HYPERLINK("http://dx.doi.org/10.1016/j.anbehav.2015.01.004","http://dx.doi.org/10.1016/j.anbehav.2015.01.004")</f>
        <v>http://dx.doi.org/10.1016/j.anbehav.2015.01.004</v>
      </c>
      <c r="BG424" s="2" t="s">
        <v>74</v>
      </c>
      <c r="BH424" s="2" t="s">
        <v>74</v>
      </c>
      <c r="BI424" s="2" t="s">
        <v>74</v>
      </c>
      <c r="BJ424" s="2" t="s">
        <v>74</v>
      </c>
      <c r="BK424" s="2" t="s">
        <v>74</v>
      </c>
      <c r="BL424" s="2" t="s">
        <v>74</v>
      </c>
      <c r="BM424" s="2" t="s">
        <v>74</v>
      </c>
      <c r="BN424" s="2" t="s">
        <v>74</v>
      </c>
      <c r="BO424" s="2" t="s">
        <v>74</v>
      </c>
      <c r="BP424" s="2" t="s">
        <v>74</v>
      </c>
      <c r="BQ424" s="2" t="s">
        <v>74</v>
      </c>
      <c r="BR424" s="2" t="s">
        <v>74</v>
      </c>
      <c r="BS424" s="2" t="s">
        <v>919</v>
      </c>
      <c r="BT424" s="2" t="str">
        <f>HYPERLINK("https%3A%2F%2Fwww.webofscience.com%2Fwos%2Fwoscc%2Ffull-record%2FWOS:000351058700007","View Full Record in Web of Science")</f>
        <v>View Full Record in Web of Science</v>
      </c>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row>
    <row r="425" spans="1:314" s="2" customFormat="1" x14ac:dyDescent="0.4">
      <c r="A425" s="2" t="s">
        <v>72</v>
      </c>
      <c r="B425" s="2" t="s">
        <v>2853</v>
      </c>
      <c r="C425" s="2" t="s">
        <v>74</v>
      </c>
      <c r="D425" s="2" t="s">
        <v>74</v>
      </c>
      <c r="E425" s="2" t="s">
        <v>74</v>
      </c>
      <c r="F425" s="2" t="s">
        <v>2854</v>
      </c>
      <c r="G425" s="2" t="s">
        <v>74</v>
      </c>
      <c r="H425" s="2" t="s">
        <v>74</v>
      </c>
      <c r="I425" s="2" t="s">
        <v>2855</v>
      </c>
      <c r="J425" s="2" t="s">
        <v>2856</v>
      </c>
      <c r="K425" s="2" t="s">
        <v>74</v>
      </c>
      <c r="L425" s="2" t="s">
        <v>74</v>
      </c>
      <c r="M425" s="2" t="s">
        <v>74</v>
      </c>
      <c r="N425" s="2" t="s">
        <v>74</v>
      </c>
      <c r="O425" s="2" t="s">
        <v>2857</v>
      </c>
      <c r="P425" s="2" t="s">
        <v>2858</v>
      </c>
      <c r="Q425" s="2" t="s">
        <v>2859</v>
      </c>
      <c r="R425" s="2" t="s">
        <v>74</v>
      </c>
      <c r="S425" s="2" t="s">
        <v>74</v>
      </c>
      <c r="T425" s="2" t="s">
        <v>74</v>
      </c>
      <c r="U425" s="2" t="s">
        <v>74</v>
      </c>
      <c r="V425" s="5" t="s">
        <v>2860</v>
      </c>
      <c r="W425" s="2" t="s">
        <v>74</v>
      </c>
      <c r="X425" s="2" t="s">
        <v>74</v>
      </c>
      <c r="Y425" s="2" t="s">
        <v>74</v>
      </c>
      <c r="Z425" s="2" t="s">
        <v>74</v>
      </c>
      <c r="AA425" s="2" t="s">
        <v>74</v>
      </c>
      <c r="AB425" s="2" t="s">
        <v>74</v>
      </c>
      <c r="AC425" s="2" t="s">
        <v>74</v>
      </c>
      <c r="AD425" s="2" t="s">
        <v>74</v>
      </c>
      <c r="AE425" s="2" t="s">
        <v>74</v>
      </c>
      <c r="AF425" s="2" t="s">
        <v>74</v>
      </c>
      <c r="AG425" s="2" t="s">
        <v>74</v>
      </c>
      <c r="AH425" s="2" t="s">
        <v>74</v>
      </c>
      <c r="AI425" s="2" t="s">
        <v>74</v>
      </c>
      <c r="AJ425" s="2" t="s">
        <v>74</v>
      </c>
      <c r="AK425" s="2" t="s">
        <v>74</v>
      </c>
      <c r="AL425" s="2" t="s">
        <v>74</v>
      </c>
      <c r="AM425" s="2" t="s">
        <v>74</v>
      </c>
      <c r="AN425" s="2" t="s">
        <v>74</v>
      </c>
      <c r="AO425" s="2" t="s">
        <v>2861</v>
      </c>
      <c r="AP425" s="2" t="s">
        <v>2862</v>
      </c>
      <c r="AQ425" s="2" t="s">
        <v>74</v>
      </c>
      <c r="AR425" s="2" t="s">
        <v>74</v>
      </c>
      <c r="AS425" s="2" t="s">
        <v>74</v>
      </c>
      <c r="AT425" s="2" t="s">
        <v>123</v>
      </c>
      <c r="AU425" s="2">
        <v>2019</v>
      </c>
      <c r="AV425" s="2">
        <v>14</v>
      </c>
      <c r="AW425" s="2">
        <v>2</v>
      </c>
      <c r="AX425" s="2" t="s">
        <v>74</v>
      </c>
      <c r="AY425" s="2" t="s">
        <v>74</v>
      </c>
      <c r="AZ425" s="2" t="s">
        <v>848</v>
      </c>
      <c r="BA425" s="2" t="s">
        <v>74</v>
      </c>
      <c r="BB425" s="2">
        <v>214</v>
      </c>
      <c r="BC425" s="2">
        <v>222</v>
      </c>
      <c r="BD425" s="2" t="s">
        <v>74</v>
      </c>
      <c r="BE425" s="2" t="s">
        <v>2863</v>
      </c>
      <c r="BF425" s="2" t="str">
        <f>HYPERLINK("http://dx.doi.org/10.1111/1749-4877.12303","http://dx.doi.org/10.1111/1749-4877.12303")</f>
        <v>http://dx.doi.org/10.1111/1749-4877.12303</v>
      </c>
      <c r="BG425" s="2" t="s">
        <v>74</v>
      </c>
      <c r="BH425" s="2" t="s">
        <v>74</v>
      </c>
      <c r="BI425" s="2" t="s">
        <v>74</v>
      </c>
      <c r="BJ425" s="2" t="s">
        <v>74</v>
      </c>
      <c r="BK425" s="2" t="s">
        <v>74</v>
      </c>
      <c r="BL425" s="2" t="s">
        <v>74</v>
      </c>
      <c r="BM425" s="2" t="s">
        <v>74</v>
      </c>
      <c r="BN425" s="2">
        <v>29316228</v>
      </c>
      <c r="BO425" s="2" t="s">
        <v>74</v>
      </c>
      <c r="BP425" s="2" t="s">
        <v>74</v>
      </c>
      <c r="BQ425" s="2" t="s">
        <v>74</v>
      </c>
      <c r="BR425" s="2" t="s">
        <v>74</v>
      </c>
      <c r="BS425" s="2" t="s">
        <v>2864</v>
      </c>
      <c r="BT425" s="2" t="str">
        <f>HYPERLINK("https%3A%2F%2Fwww.webofscience.com%2Fwos%2Fwoscc%2Ffull-record%2FWOS:000462130200009","View Full Record in Web of Science")</f>
        <v>View Full Record in Web of Science</v>
      </c>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row>
    <row r="426" spans="1:314" s="2" customFormat="1" x14ac:dyDescent="0.4">
      <c r="A426" s="2" t="s">
        <v>72</v>
      </c>
      <c r="B426" s="2" t="s">
        <v>7280</v>
      </c>
      <c r="C426" s="2" t="s">
        <v>74</v>
      </c>
      <c r="D426" s="2" t="s">
        <v>74</v>
      </c>
      <c r="E426" s="2" t="s">
        <v>74</v>
      </c>
      <c r="F426" s="2" t="s">
        <v>7281</v>
      </c>
      <c r="G426" s="2" t="s">
        <v>74</v>
      </c>
      <c r="H426" s="2" t="s">
        <v>74</v>
      </c>
      <c r="I426" s="2" t="s">
        <v>7282</v>
      </c>
      <c r="J426" s="2" t="s">
        <v>77</v>
      </c>
      <c r="K426" s="2" t="s">
        <v>74</v>
      </c>
      <c r="L426" s="2" t="s">
        <v>74</v>
      </c>
      <c r="M426" s="2" t="s">
        <v>74</v>
      </c>
      <c r="N426" s="2" t="s">
        <v>74</v>
      </c>
      <c r="O426" s="2" t="s">
        <v>74</v>
      </c>
      <c r="P426" s="2" t="s">
        <v>74</v>
      </c>
      <c r="Q426" s="2" t="s">
        <v>74</v>
      </c>
      <c r="R426" s="2" t="s">
        <v>74</v>
      </c>
      <c r="S426" s="2" t="s">
        <v>74</v>
      </c>
      <c r="T426" s="2" t="s">
        <v>74</v>
      </c>
      <c r="U426" s="2" t="s">
        <v>74</v>
      </c>
      <c r="V426" s="5" t="s">
        <v>7283</v>
      </c>
      <c r="W426" s="2" t="s">
        <v>74</v>
      </c>
      <c r="X426" s="2" t="s">
        <v>74</v>
      </c>
      <c r="Y426" s="2" t="s">
        <v>74</v>
      </c>
      <c r="Z426" s="2" t="s">
        <v>74</v>
      </c>
      <c r="AA426" s="2" t="s">
        <v>7284</v>
      </c>
      <c r="AB426" s="2" t="s">
        <v>6078</v>
      </c>
      <c r="AC426" s="2" t="s">
        <v>74</v>
      </c>
      <c r="AD426" s="2" t="s">
        <v>74</v>
      </c>
      <c r="AE426" s="2" t="s">
        <v>74</v>
      </c>
      <c r="AF426" s="2" t="s">
        <v>74</v>
      </c>
      <c r="AG426" s="2" t="s">
        <v>74</v>
      </c>
      <c r="AH426" s="2" t="s">
        <v>74</v>
      </c>
      <c r="AI426" s="2" t="s">
        <v>74</v>
      </c>
      <c r="AJ426" s="2" t="s">
        <v>74</v>
      </c>
      <c r="AK426" s="2" t="s">
        <v>74</v>
      </c>
      <c r="AL426" s="2" t="s">
        <v>74</v>
      </c>
      <c r="AM426" s="2" t="s">
        <v>74</v>
      </c>
      <c r="AN426" s="2" t="s">
        <v>74</v>
      </c>
      <c r="AO426" s="2" t="s">
        <v>81</v>
      </c>
      <c r="AP426" s="2" t="s">
        <v>82</v>
      </c>
      <c r="AQ426" s="2" t="s">
        <v>74</v>
      </c>
      <c r="AR426" s="2" t="s">
        <v>74</v>
      </c>
      <c r="AS426" s="2" t="s">
        <v>74</v>
      </c>
      <c r="AT426" s="2" t="s">
        <v>74</v>
      </c>
      <c r="AU426" s="2">
        <v>2015</v>
      </c>
      <c r="AV426" s="2">
        <v>152</v>
      </c>
      <c r="AW426" s="2" t="s">
        <v>6362</v>
      </c>
      <c r="AX426" s="2" t="s">
        <v>74</v>
      </c>
      <c r="AY426" s="2" t="s">
        <v>74</v>
      </c>
      <c r="AZ426" s="2" t="s">
        <v>74</v>
      </c>
      <c r="BA426" s="2" t="s">
        <v>74</v>
      </c>
      <c r="BB426" s="2">
        <v>1769</v>
      </c>
      <c r="BC426" s="2">
        <v>1781</v>
      </c>
      <c r="BD426" s="2" t="s">
        <v>74</v>
      </c>
      <c r="BE426" s="2" t="s">
        <v>7285</v>
      </c>
      <c r="BF426" s="2" t="str">
        <f>HYPERLINK("http://dx.doi.org/10.1163/1568539X-00003303","http://dx.doi.org/10.1163/1568539X-00003303")</f>
        <v>http://dx.doi.org/10.1163/1568539X-00003303</v>
      </c>
      <c r="BG426" s="2" t="s">
        <v>74</v>
      </c>
      <c r="BH426" s="2" t="s">
        <v>74</v>
      </c>
      <c r="BI426" s="2" t="s">
        <v>74</v>
      </c>
      <c r="BJ426" s="2" t="s">
        <v>74</v>
      </c>
      <c r="BK426" s="2" t="s">
        <v>74</v>
      </c>
      <c r="BL426" s="2" t="s">
        <v>74</v>
      </c>
      <c r="BM426" s="2" t="s">
        <v>74</v>
      </c>
      <c r="BN426" s="2" t="s">
        <v>74</v>
      </c>
      <c r="BO426" s="2" t="s">
        <v>74</v>
      </c>
      <c r="BP426" s="2" t="s">
        <v>74</v>
      </c>
      <c r="BQ426" s="2" t="s">
        <v>74</v>
      </c>
      <c r="BR426" s="2" t="s">
        <v>74</v>
      </c>
      <c r="BS426" s="2" t="s">
        <v>7286</v>
      </c>
      <c r="BT426" s="2" t="str">
        <f>HYPERLINK("https%3A%2F%2Fwww.webofscience.com%2Fwos%2Fwoscc%2Ffull-record%2FWOS:000362911000009","View Full Record in Web of Science")</f>
        <v>View Full Record in Web of Science</v>
      </c>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row>
    <row r="427" spans="1:314" s="2" customFormat="1" x14ac:dyDescent="0.4">
      <c r="A427" s="2" t="s">
        <v>72</v>
      </c>
      <c r="B427" s="2" t="s">
        <v>3511</v>
      </c>
      <c r="C427" s="2" t="s">
        <v>74</v>
      </c>
      <c r="D427" s="2" t="s">
        <v>74</v>
      </c>
      <c r="E427" s="2" t="s">
        <v>74</v>
      </c>
      <c r="F427" s="2" t="s">
        <v>3511</v>
      </c>
      <c r="G427" s="2" t="s">
        <v>74</v>
      </c>
      <c r="H427" s="2" t="s">
        <v>74</v>
      </c>
      <c r="I427" s="2" t="s">
        <v>3512</v>
      </c>
      <c r="J427" s="2" t="s">
        <v>344</v>
      </c>
      <c r="K427" s="2" t="s">
        <v>74</v>
      </c>
      <c r="L427" s="2" t="s">
        <v>74</v>
      </c>
      <c r="M427" s="2" t="s">
        <v>74</v>
      </c>
      <c r="N427" s="2" t="s">
        <v>74</v>
      </c>
      <c r="O427" s="2" t="s">
        <v>74</v>
      </c>
      <c r="P427" s="2" t="s">
        <v>74</v>
      </c>
      <c r="Q427" s="2" t="s">
        <v>74</v>
      </c>
      <c r="R427" s="2" t="s">
        <v>74</v>
      </c>
      <c r="S427" s="2" t="s">
        <v>74</v>
      </c>
      <c r="T427" s="2" t="s">
        <v>74</v>
      </c>
      <c r="U427" s="2" t="s">
        <v>74</v>
      </c>
      <c r="V427" s="5" t="s">
        <v>3513</v>
      </c>
      <c r="W427" s="2" t="s">
        <v>74</v>
      </c>
      <c r="X427" s="2" t="s">
        <v>74</v>
      </c>
      <c r="Y427" s="2" t="s">
        <v>74</v>
      </c>
      <c r="Z427" s="2" t="s">
        <v>74</v>
      </c>
      <c r="AA427" s="2" t="s">
        <v>74</v>
      </c>
      <c r="AB427" s="2" t="s">
        <v>3514</v>
      </c>
      <c r="AC427" s="2" t="s">
        <v>74</v>
      </c>
      <c r="AD427" s="2" t="s">
        <v>74</v>
      </c>
      <c r="AE427" s="2" t="s">
        <v>74</v>
      </c>
      <c r="AF427" s="2" t="s">
        <v>74</v>
      </c>
      <c r="AG427" s="2" t="s">
        <v>74</v>
      </c>
      <c r="AH427" s="2" t="s">
        <v>74</v>
      </c>
      <c r="AI427" s="2" t="s">
        <v>74</v>
      </c>
      <c r="AJ427" s="2" t="s">
        <v>74</v>
      </c>
      <c r="AK427" s="2" t="s">
        <v>74</v>
      </c>
      <c r="AL427" s="2" t="s">
        <v>74</v>
      </c>
      <c r="AM427" s="2" t="s">
        <v>74</v>
      </c>
      <c r="AN427" s="2" t="s">
        <v>74</v>
      </c>
      <c r="AO427" s="2" t="s">
        <v>346</v>
      </c>
      <c r="AP427" s="2" t="s">
        <v>74</v>
      </c>
      <c r="AQ427" s="2" t="s">
        <v>74</v>
      </c>
      <c r="AR427" s="2" t="s">
        <v>74</v>
      </c>
      <c r="AS427" s="2" t="s">
        <v>74</v>
      </c>
      <c r="AT427" s="2" t="s">
        <v>145</v>
      </c>
      <c r="AU427" s="2">
        <v>2001</v>
      </c>
      <c r="AV427" s="2">
        <v>61</v>
      </c>
      <c r="AW427" s="2">
        <v>4</v>
      </c>
      <c r="AX427" s="2" t="s">
        <v>74</v>
      </c>
      <c r="AY427" s="2" t="s">
        <v>74</v>
      </c>
      <c r="AZ427" s="2" t="s">
        <v>74</v>
      </c>
      <c r="BA427" s="2" t="s">
        <v>74</v>
      </c>
      <c r="BB427" s="2">
        <v>419</v>
      </c>
      <c r="BC427" s="2">
        <v>426</v>
      </c>
      <c r="BD427" s="2" t="s">
        <v>74</v>
      </c>
      <c r="BE427" s="2" t="s">
        <v>3515</v>
      </c>
      <c r="BF427" s="2" t="str">
        <f>HYPERLINK("http://dx.doi.org/10.1023/A:1011658503017","http://dx.doi.org/10.1023/A:1011658503017")</f>
        <v>http://dx.doi.org/10.1023/A:1011658503017</v>
      </c>
      <c r="BG427" s="2" t="s">
        <v>74</v>
      </c>
      <c r="BH427" s="2" t="s">
        <v>74</v>
      </c>
      <c r="BI427" s="2" t="s">
        <v>74</v>
      </c>
      <c r="BJ427" s="2" t="s">
        <v>74</v>
      </c>
      <c r="BK427" s="2" t="s">
        <v>74</v>
      </c>
      <c r="BL427" s="2" t="s">
        <v>74</v>
      </c>
      <c r="BM427" s="2" t="s">
        <v>74</v>
      </c>
      <c r="BN427" s="2" t="s">
        <v>74</v>
      </c>
      <c r="BO427" s="2" t="s">
        <v>74</v>
      </c>
      <c r="BP427" s="2" t="s">
        <v>74</v>
      </c>
      <c r="BQ427" s="2" t="s">
        <v>74</v>
      </c>
      <c r="BR427" s="2" t="s">
        <v>74</v>
      </c>
      <c r="BS427" s="2" t="s">
        <v>3516</v>
      </c>
      <c r="BT427" s="2" t="str">
        <f>HYPERLINK("https%3A%2F%2Fwww.webofscience.com%2Fwos%2Fwoscc%2Ffull-record%2FWOS:000170725900008","View Full Record in Web of Science")</f>
        <v>View Full Record in Web of Science</v>
      </c>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row>
    <row r="428" spans="1:314" s="2" customFormat="1" x14ac:dyDescent="0.4">
      <c r="A428" s="2" t="s">
        <v>72</v>
      </c>
      <c r="B428" s="2" t="s">
        <v>2375</v>
      </c>
      <c r="C428" s="2" t="s">
        <v>74</v>
      </c>
      <c r="D428" s="2" t="s">
        <v>74</v>
      </c>
      <c r="E428" s="2" t="s">
        <v>74</v>
      </c>
      <c r="F428" s="2" t="s">
        <v>2376</v>
      </c>
      <c r="G428" s="2" t="s">
        <v>74</v>
      </c>
      <c r="H428" s="2" t="s">
        <v>74</v>
      </c>
      <c r="I428" s="2" t="s">
        <v>2377</v>
      </c>
      <c r="J428" s="2" t="s">
        <v>775</v>
      </c>
      <c r="K428" s="2" t="s">
        <v>74</v>
      </c>
      <c r="L428" s="2" t="s">
        <v>74</v>
      </c>
      <c r="M428" s="2" t="s">
        <v>74</v>
      </c>
      <c r="N428" s="2" t="s">
        <v>74</v>
      </c>
      <c r="O428" s="2" t="s">
        <v>74</v>
      </c>
      <c r="P428" s="2" t="s">
        <v>74</v>
      </c>
      <c r="Q428" s="2" t="s">
        <v>74</v>
      </c>
      <c r="R428" s="2" t="s">
        <v>74</v>
      </c>
      <c r="S428" s="2" t="s">
        <v>74</v>
      </c>
      <c r="T428" s="2" t="s">
        <v>74</v>
      </c>
      <c r="U428" s="2" t="s">
        <v>74</v>
      </c>
      <c r="V428" s="5" t="s">
        <v>2378</v>
      </c>
      <c r="W428" s="2" t="s">
        <v>74</v>
      </c>
      <c r="X428" s="2" t="s">
        <v>74</v>
      </c>
      <c r="Y428" s="2" t="s">
        <v>74</v>
      </c>
      <c r="Z428" s="2" t="s">
        <v>74</v>
      </c>
      <c r="AA428" s="2" t="s">
        <v>74</v>
      </c>
      <c r="AB428" s="2" t="s">
        <v>74</v>
      </c>
      <c r="AC428" s="2" t="s">
        <v>74</v>
      </c>
      <c r="AD428" s="2" t="s">
        <v>74</v>
      </c>
      <c r="AE428" s="2" t="s">
        <v>74</v>
      </c>
      <c r="AF428" s="2" t="s">
        <v>74</v>
      </c>
      <c r="AG428" s="2" t="s">
        <v>74</v>
      </c>
      <c r="AH428" s="2" t="s">
        <v>74</v>
      </c>
      <c r="AI428" s="2" t="s">
        <v>74</v>
      </c>
      <c r="AJ428" s="2" t="s">
        <v>74</v>
      </c>
      <c r="AK428" s="2" t="s">
        <v>74</v>
      </c>
      <c r="AL428" s="2" t="s">
        <v>74</v>
      </c>
      <c r="AM428" s="2" t="s">
        <v>74</v>
      </c>
      <c r="AN428" s="2" t="s">
        <v>74</v>
      </c>
      <c r="AO428" s="2" t="s">
        <v>778</v>
      </c>
      <c r="AP428" s="2" t="s">
        <v>779</v>
      </c>
      <c r="AQ428" s="2" t="s">
        <v>74</v>
      </c>
      <c r="AR428" s="2" t="s">
        <v>74</v>
      </c>
      <c r="AS428" s="2" t="s">
        <v>74</v>
      </c>
      <c r="AT428" s="2" t="s">
        <v>102</v>
      </c>
      <c r="AU428" s="2">
        <v>2019</v>
      </c>
      <c r="AV428" s="2">
        <v>65</v>
      </c>
      <c r="AW428" s="2">
        <v>3</v>
      </c>
      <c r="AX428" s="2" t="s">
        <v>74</v>
      </c>
      <c r="AY428" s="2" t="s">
        <v>74</v>
      </c>
      <c r="AZ428" s="2" t="s">
        <v>74</v>
      </c>
      <c r="BA428" s="2" t="s">
        <v>74</v>
      </c>
      <c r="BB428" s="2">
        <v>323</v>
      </c>
      <c r="BC428" s="2">
        <v>332</v>
      </c>
      <c r="BD428" s="2" t="s">
        <v>74</v>
      </c>
      <c r="BE428" s="2" t="s">
        <v>2379</v>
      </c>
      <c r="BF428" s="2" t="str">
        <f>HYPERLINK("http://dx.doi.org/10.1093/cz/zoz029","http://dx.doi.org/10.1093/cz/zoz029")</f>
        <v>http://dx.doi.org/10.1093/cz/zoz029</v>
      </c>
      <c r="BG428" s="2" t="s">
        <v>74</v>
      </c>
      <c r="BH428" s="2" t="s">
        <v>74</v>
      </c>
      <c r="BI428" s="2" t="s">
        <v>74</v>
      </c>
      <c r="BJ428" s="2" t="s">
        <v>74</v>
      </c>
      <c r="BK428" s="2" t="s">
        <v>74</v>
      </c>
      <c r="BL428" s="2" t="s">
        <v>74</v>
      </c>
      <c r="BM428" s="2" t="s">
        <v>74</v>
      </c>
      <c r="BN428" s="2">
        <v>31263491</v>
      </c>
      <c r="BO428" s="2" t="s">
        <v>74</v>
      </c>
      <c r="BP428" s="2" t="s">
        <v>74</v>
      </c>
      <c r="BQ428" s="2" t="s">
        <v>74</v>
      </c>
      <c r="BR428" s="2" t="s">
        <v>74</v>
      </c>
      <c r="BS428" s="2" t="s">
        <v>2380</v>
      </c>
      <c r="BT428" s="2" t="str">
        <f>HYPERLINK("https%3A%2F%2Fwww.webofscience.com%2Fwos%2Fwoscc%2Ffull-record%2FWOS:000475905500012","View Full Record in Web of Science")</f>
        <v>View Full Record in Web of Science</v>
      </c>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row>
    <row r="429" spans="1:314" s="2" customFormat="1" x14ac:dyDescent="0.4">
      <c r="A429" s="2" t="s">
        <v>72</v>
      </c>
      <c r="B429" s="2" t="s">
        <v>7445</v>
      </c>
      <c r="C429" s="2" t="s">
        <v>74</v>
      </c>
      <c r="D429" s="2" t="s">
        <v>74</v>
      </c>
      <c r="E429" s="2" t="s">
        <v>74</v>
      </c>
      <c r="F429" s="2" t="s">
        <v>7446</v>
      </c>
      <c r="G429" s="2" t="s">
        <v>74</v>
      </c>
      <c r="H429" s="2" t="s">
        <v>74</v>
      </c>
      <c r="I429" s="2" t="s">
        <v>7447</v>
      </c>
      <c r="J429" s="2" t="s">
        <v>6226</v>
      </c>
      <c r="K429" s="2" t="s">
        <v>74</v>
      </c>
      <c r="L429" s="2" t="s">
        <v>74</v>
      </c>
      <c r="M429" s="2" t="s">
        <v>74</v>
      </c>
      <c r="N429" s="2" t="s">
        <v>74</v>
      </c>
      <c r="O429" s="2" t="s">
        <v>74</v>
      </c>
      <c r="P429" s="2" t="s">
        <v>74</v>
      </c>
      <c r="Q429" s="2" t="s">
        <v>74</v>
      </c>
      <c r="R429" s="2" t="s">
        <v>74</v>
      </c>
      <c r="S429" s="2" t="s">
        <v>74</v>
      </c>
      <c r="T429" s="2" t="s">
        <v>74</v>
      </c>
      <c r="U429" s="2" t="s">
        <v>74</v>
      </c>
      <c r="V429" s="5" t="s">
        <v>7448</v>
      </c>
      <c r="W429" s="2" t="s">
        <v>74</v>
      </c>
      <c r="X429" s="2" t="s">
        <v>74</v>
      </c>
      <c r="Y429" s="2" t="s">
        <v>74</v>
      </c>
      <c r="Z429" s="2" t="s">
        <v>74</v>
      </c>
      <c r="AA429" s="2" t="s">
        <v>74</v>
      </c>
      <c r="AB429" s="2" t="s">
        <v>74</v>
      </c>
      <c r="AC429" s="2" t="s">
        <v>74</v>
      </c>
      <c r="AD429" s="2" t="s">
        <v>74</v>
      </c>
      <c r="AE429" s="2" t="s">
        <v>74</v>
      </c>
      <c r="AF429" s="2" t="s">
        <v>74</v>
      </c>
      <c r="AG429" s="2" t="s">
        <v>74</v>
      </c>
      <c r="AH429" s="2" t="s">
        <v>74</v>
      </c>
      <c r="AI429" s="2" t="s">
        <v>74</v>
      </c>
      <c r="AJ429" s="2" t="s">
        <v>74</v>
      </c>
      <c r="AK429" s="2" t="s">
        <v>74</v>
      </c>
      <c r="AL429" s="2" t="s">
        <v>74</v>
      </c>
      <c r="AM429" s="2" t="s">
        <v>74</v>
      </c>
      <c r="AN429" s="2" t="s">
        <v>74</v>
      </c>
      <c r="AO429" s="2" t="s">
        <v>6228</v>
      </c>
      <c r="AP429" s="2" t="s">
        <v>6229</v>
      </c>
      <c r="AQ429" s="2" t="s">
        <v>74</v>
      </c>
      <c r="AR429" s="2" t="s">
        <v>74</v>
      </c>
      <c r="AS429" s="2" t="s">
        <v>74</v>
      </c>
      <c r="AT429" s="2" t="s">
        <v>2177</v>
      </c>
      <c r="AU429" s="2">
        <v>2022</v>
      </c>
      <c r="AV429" s="2">
        <v>61</v>
      </c>
      <c r="AW429" s="2" t="s">
        <v>74</v>
      </c>
      <c r="AX429" s="2" t="s">
        <v>74</v>
      </c>
      <c r="AY429" s="2" t="s">
        <v>74</v>
      </c>
      <c r="AZ429" s="2" t="s">
        <v>74</v>
      </c>
      <c r="BA429" s="2" t="s">
        <v>74</v>
      </c>
      <c r="BB429" s="2" t="s">
        <v>74</v>
      </c>
      <c r="BC429" s="2" t="s">
        <v>74</v>
      </c>
      <c r="BD429" s="2">
        <v>76</v>
      </c>
      <c r="BE429" s="2" t="s">
        <v>7449</v>
      </c>
      <c r="BF429" s="2" t="str">
        <f>HYPERLINK("http://dx.doi.org/10.6620/ZS.2022.61-76","http://dx.doi.org/10.6620/ZS.2022.61-76")</f>
        <v>http://dx.doi.org/10.6620/ZS.2022.61-76</v>
      </c>
      <c r="BG429" s="2" t="s">
        <v>74</v>
      </c>
      <c r="BH429" s="2" t="s">
        <v>74</v>
      </c>
      <c r="BI429" s="2" t="s">
        <v>74</v>
      </c>
      <c r="BJ429" s="2" t="s">
        <v>74</v>
      </c>
      <c r="BK429" s="2" t="s">
        <v>74</v>
      </c>
      <c r="BL429" s="2" t="s">
        <v>74</v>
      </c>
      <c r="BM429" s="2" t="s">
        <v>74</v>
      </c>
      <c r="BN429" s="2">
        <v>37007821</v>
      </c>
      <c r="BO429" s="2" t="s">
        <v>74</v>
      </c>
      <c r="BP429" s="2" t="s">
        <v>74</v>
      </c>
      <c r="BQ429" s="2" t="s">
        <v>74</v>
      </c>
      <c r="BR429" s="2" t="s">
        <v>74</v>
      </c>
      <c r="BS429" s="2" t="s">
        <v>7450</v>
      </c>
      <c r="BT429" s="2" t="str">
        <f>HYPERLINK("https%3A%2F%2Fwww.webofscience.com%2Fwos%2Fwoscc%2Ffull-record%2FWOS:001026426500001","View Full Record in Web of Science")</f>
        <v>View Full Record in Web of Science</v>
      </c>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row>
    <row r="430" spans="1:314" s="2" customFormat="1" x14ac:dyDescent="0.4">
      <c r="A430" s="2" t="s">
        <v>72</v>
      </c>
      <c r="B430" s="2" t="s">
        <v>8149</v>
      </c>
      <c r="C430" s="2" t="s">
        <v>74</v>
      </c>
      <c r="D430" s="2" t="s">
        <v>74</v>
      </c>
      <c r="E430" s="2" t="s">
        <v>74</v>
      </c>
      <c r="F430" s="2" t="s">
        <v>8149</v>
      </c>
      <c r="G430" s="2" t="s">
        <v>74</v>
      </c>
      <c r="H430" s="2" t="s">
        <v>74</v>
      </c>
      <c r="I430" s="2" t="s">
        <v>8150</v>
      </c>
      <c r="J430" s="2" t="s">
        <v>129</v>
      </c>
      <c r="K430" s="2" t="s">
        <v>74</v>
      </c>
      <c r="L430" s="2" t="s">
        <v>74</v>
      </c>
      <c r="M430" s="2" t="s">
        <v>74</v>
      </c>
      <c r="N430" s="2" t="s">
        <v>74</v>
      </c>
      <c r="O430" s="2" t="s">
        <v>74</v>
      </c>
      <c r="P430" s="2" t="s">
        <v>74</v>
      </c>
      <c r="Q430" s="2" t="s">
        <v>74</v>
      </c>
      <c r="R430" s="2" t="s">
        <v>74</v>
      </c>
      <c r="S430" s="2" t="s">
        <v>74</v>
      </c>
      <c r="T430" s="2" t="s">
        <v>74</v>
      </c>
      <c r="U430" s="2" t="s">
        <v>74</v>
      </c>
      <c r="V430" s="5" t="s">
        <v>8151</v>
      </c>
      <c r="W430" s="2" t="s">
        <v>74</v>
      </c>
      <c r="X430" s="2" t="s">
        <v>74</v>
      </c>
      <c r="Y430" s="2" t="s">
        <v>74</v>
      </c>
      <c r="Z430" s="2" t="s">
        <v>74</v>
      </c>
      <c r="AA430" s="2" t="s">
        <v>8152</v>
      </c>
      <c r="AB430" s="2" t="s">
        <v>8153</v>
      </c>
      <c r="AC430" s="2" t="s">
        <v>74</v>
      </c>
      <c r="AD430" s="2" t="s">
        <v>74</v>
      </c>
      <c r="AE430" s="2" t="s">
        <v>74</v>
      </c>
      <c r="AF430" s="2" t="s">
        <v>74</v>
      </c>
      <c r="AG430" s="2" t="s">
        <v>74</v>
      </c>
      <c r="AH430" s="2" t="s">
        <v>74</v>
      </c>
      <c r="AI430" s="2" t="s">
        <v>74</v>
      </c>
      <c r="AJ430" s="2" t="s">
        <v>74</v>
      </c>
      <c r="AK430" s="2" t="s">
        <v>74</v>
      </c>
      <c r="AL430" s="2" t="s">
        <v>74</v>
      </c>
      <c r="AM430" s="2" t="s">
        <v>74</v>
      </c>
      <c r="AN430" s="2" t="s">
        <v>74</v>
      </c>
      <c r="AO430" s="2" t="s">
        <v>132</v>
      </c>
      <c r="AP430" s="2" t="s">
        <v>74</v>
      </c>
      <c r="AQ430" s="2" t="s">
        <v>74</v>
      </c>
      <c r="AR430" s="2" t="s">
        <v>74</v>
      </c>
      <c r="AS430" s="2" t="s">
        <v>74</v>
      </c>
      <c r="AT430" s="2" t="s">
        <v>175</v>
      </c>
      <c r="AU430" s="2">
        <v>1999</v>
      </c>
      <c r="AV430" s="2">
        <v>46</v>
      </c>
      <c r="AW430" s="2">
        <v>5</v>
      </c>
      <c r="AX430" s="2" t="s">
        <v>74</v>
      </c>
      <c r="AY430" s="2" t="s">
        <v>74</v>
      </c>
      <c r="AZ430" s="2" t="s">
        <v>74</v>
      </c>
      <c r="BA430" s="2" t="s">
        <v>74</v>
      </c>
      <c r="BB430" s="2">
        <v>333</v>
      </c>
      <c r="BC430" s="2">
        <v>340</v>
      </c>
      <c r="BD430" s="2" t="s">
        <v>74</v>
      </c>
      <c r="BE430" s="2" t="s">
        <v>8154</v>
      </c>
      <c r="BF430" s="2" t="str">
        <f>HYPERLINK("http://dx.doi.org/10.1007/s002650050627","http://dx.doi.org/10.1007/s002650050627")</f>
        <v>http://dx.doi.org/10.1007/s002650050627</v>
      </c>
      <c r="BG430" s="2" t="s">
        <v>74</v>
      </c>
      <c r="BH430" s="2" t="s">
        <v>74</v>
      </c>
      <c r="BI430" s="2" t="s">
        <v>74</v>
      </c>
      <c r="BJ430" s="2" t="s">
        <v>74</v>
      </c>
      <c r="BK430" s="2" t="s">
        <v>74</v>
      </c>
      <c r="BL430" s="2" t="s">
        <v>74</v>
      </c>
      <c r="BM430" s="2" t="s">
        <v>74</v>
      </c>
      <c r="BN430" s="2" t="s">
        <v>74</v>
      </c>
      <c r="BO430" s="2" t="s">
        <v>74</v>
      </c>
      <c r="BP430" s="2" t="s">
        <v>74</v>
      </c>
      <c r="BQ430" s="2" t="s">
        <v>74</v>
      </c>
      <c r="BR430" s="2" t="s">
        <v>74</v>
      </c>
      <c r="BS430" s="2" t="s">
        <v>8155</v>
      </c>
      <c r="BT430" s="2" t="str">
        <f>HYPERLINK("https%3A%2F%2Fwww.webofscience.com%2Fwos%2Fwoscc%2Ffull-record%2FWOS:000083089800006","View Full Record in Web of Science")</f>
        <v>View Full Record in Web of Science</v>
      </c>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row>
    <row r="431" spans="1:314" s="2" customFormat="1" x14ac:dyDescent="0.4">
      <c r="A431" s="2" t="s">
        <v>72</v>
      </c>
      <c r="B431" s="2" t="s">
        <v>1060</v>
      </c>
      <c r="C431" s="2" t="s">
        <v>74</v>
      </c>
      <c r="D431" s="2" t="s">
        <v>74</v>
      </c>
      <c r="E431" s="2" t="s">
        <v>74</v>
      </c>
      <c r="F431" s="2" t="s">
        <v>1061</v>
      </c>
      <c r="G431" s="2" t="s">
        <v>74</v>
      </c>
      <c r="H431" s="2" t="s">
        <v>74</v>
      </c>
      <c r="I431" s="2" t="s">
        <v>1062</v>
      </c>
      <c r="J431" s="2" t="s">
        <v>654</v>
      </c>
      <c r="K431" s="2" t="s">
        <v>74</v>
      </c>
      <c r="L431" s="2" t="s">
        <v>74</v>
      </c>
      <c r="M431" s="2" t="s">
        <v>74</v>
      </c>
      <c r="N431" s="2" t="s">
        <v>74</v>
      </c>
      <c r="O431" s="2" t="s">
        <v>74</v>
      </c>
      <c r="P431" s="2" t="s">
        <v>74</v>
      </c>
      <c r="Q431" s="2" t="s">
        <v>74</v>
      </c>
      <c r="R431" s="2" t="s">
        <v>74</v>
      </c>
      <c r="S431" s="2" t="s">
        <v>74</v>
      </c>
      <c r="T431" s="2" t="s">
        <v>74</v>
      </c>
      <c r="U431" s="2" t="s">
        <v>74</v>
      </c>
      <c r="V431" s="5" t="s">
        <v>1063</v>
      </c>
      <c r="W431" s="2" t="s">
        <v>74</v>
      </c>
      <c r="X431" s="2" t="s">
        <v>74</v>
      </c>
      <c r="Y431" s="2" t="s">
        <v>74</v>
      </c>
      <c r="Z431" s="2" t="s">
        <v>74</v>
      </c>
      <c r="AA431" s="2" t="s">
        <v>1064</v>
      </c>
      <c r="AB431" s="2" t="s">
        <v>1065</v>
      </c>
      <c r="AC431" s="2" t="s">
        <v>74</v>
      </c>
      <c r="AD431" s="2" t="s">
        <v>74</v>
      </c>
      <c r="AE431" s="2" t="s">
        <v>74</v>
      </c>
      <c r="AF431" s="2" t="s">
        <v>74</v>
      </c>
      <c r="AG431" s="2" t="s">
        <v>74</v>
      </c>
      <c r="AH431" s="2" t="s">
        <v>74</v>
      </c>
      <c r="AI431" s="2" t="s">
        <v>74</v>
      </c>
      <c r="AJ431" s="2" t="s">
        <v>74</v>
      </c>
      <c r="AK431" s="2" t="s">
        <v>74</v>
      </c>
      <c r="AL431" s="2" t="s">
        <v>74</v>
      </c>
      <c r="AM431" s="2" t="s">
        <v>74</v>
      </c>
      <c r="AN431" s="2" t="s">
        <v>74</v>
      </c>
      <c r="AO431" s="2" t="s">
        <v>658</v>
      </c>
      <c r="AP431" s="2" t="s">
        <v>74</v>
      </c>
      <c r="AQ431" s="2" t="s">
        <v>74</v>
      </c>
      <c r="AR431" s="2" t="s">
        <v>74</v>
      </c>
      <c r="AS431" s="2" t="s">
        <v>74</v>
      </c>
      <c r="AT431" s="2" t="s">
        <v>352</v>
      </c>
      <c r="AU431" s="2">
        <v>2020</v>
      </c>
      <c r="AV431" s="2">
        <v>10</v>
      </c>
      <c r="AW431" s="2">
        <v>18</v>
      </c>
      <c r="AX431" s="2" t="s">
        <v>74</v>
      </c>
      <c r="AY431" s="2" t="s">
        <v>74</v>
      </c>
      <c r="AZ431" s="2" t="s">
        <v>74</v>
      </c>
      <c r="BA431" s="2" t="s">
        <v>74</v>
      </c>
      <c r="BB431" s="2">
        <v>9663</v>
      </c>
      <c r="BC431" s="2">
        <v>9681</v>
      </c>
      <c r="BD431" s="2" t="s">
        <v>74</v>
      </c>
      <c r="BE431" s="2" t="s">
        <v>1066</v>
      </c>
      <c r="BF431" s="2" t="str">
        <f>HYPERLINK("http://dx.doi.org/10.1002/ece3.6566","http://dx.doi.org/10.1002/ece3.6566")</f>
        <v>http://dx.doi.org/10.1002/ece3.6566</v>
      </c>
      <c r="BG431" s="2" t="s">
        <v>74</v>
      </c>
      <c r="BH431" s="2" t="s">
        <v>1067</v>
      </c>
      <c r="BI431" s="2" t="s">
        <v>74</v>
      </c>
      <c r="BJ431" s="2" t="s">
        <v>74</v>
      </c>
      <c r="BK431" s="2" t="s">
        <v>74</v>
      </c>
      <c r="BL431" s="2" t="s">
        <v>74</v>
      </c>
      <c r="BM431" s="2" t="s">
        <v>74</v>
      </c>
      <c r="BN431" s="2">
        <v>33005338</v>
      </c>
      <c r="BO431" s="2" t="s">
        <v>74</v>
      </c>
      <c r="BP431" s="2" t="s">
        <v>74</v>
      </c>
      <c r="BQ431" s="2" t="s">
        <v>74</v>
      </c>
      <c r="BR431" s="2" t="s">
        <v>74</v>
      </c>
      <c r="BS431" s="2" t="s">
        <v>1068</v>
      </c>
      <c r="BT431" s="2" t="str">
        <f>HYPERLINK("https%3A%2F%2Fwww.webofscience.com%2Fwos%2Fwoscc%2Ffull-record%2FWOS:000565433500001","View Full Record in Web of Science")</f>
        <v>View Full Record in Web of Science</v>
      </c>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row>
    <row r="432" spans="1:314" s="2" customFormat="1" x14ac:dyDescent="0.4">
      <c r="A432" s="2" t="s">
        <v>72</v>
      </c>
      <c r="B432" s="2" t="s">
        <v>2712</v>
      </c>
      <c r="C432" s="2" t="s">
        <v>74</v>
      </c>
      <c r="D432" s="2" t="s">
        <v>74</v>
      </c>
      <c r="E432" s="2" t="s">
        <v>74</v>
      </c>
      <c r="F432" s="2" t="s">
        <v>2713</v>
      </c>
      <c r="G432" s="2" t="s">
        <v>74</v>
      </c>
      <c r="H432" s="2" t="s">
        <v>74</v>
      </c>
      <c r="I432" s="2" t="s">
        <v>2714</v>
      </c>
      <c r="J432" s="2" t="s">
        <v>129</v>
      </c>
      <c r="K432" s="2" t="s">
        <v>74</v>
      </c>
      <c r="L432" s="2" t="s">
        <v>74</v>
      </c>
      <c r="M432" s="2" t="s">
        <v>74</v>
      </c>
      <c r="N432" s="2" t="s">
        <v>74</v>
      </c>
      <c r="O432" s="2" t="s">
        <v>74</v>
      </c>
      <c r="P432" s="2" t="s">
        <v>74</v>
      </c>
      <c r="Q432" s="2" t="s">
        <v>74</v>
      </c>
      <c r="R432" s="2" t="s">
        <v>74</v>
      </c>
      <c r="S432" s="2" t="s">
        <v>74</v>
      </c>
      <c r="T432" s="2" t="s">
        <v>74</v>
      </c>
      <c r="U432" s="2" t="s">
        <v>74</v>
      </c>
      <c r="V432" s="5" t="s">
        <v>2715</v>
      </c>
      <c r="W432" s="2" t="s">
        <v>74</v>
      </c>
      <c r="X432" s="2" t="s">
        <v>74</v>
      </c>
      <c r="Y432" s="2" t="s">
        <v>74</v>
      </c>
      <c r="Z432" s="2" t="s">
        <v>74</v>
      </c>
      <c r="AA432" s="2" t="s">
        <v>2716</v>
      </c>
      <c r="AB432" s="2" t="s">
        <v>2717</v>
      </c>
      <c r="AC432" s="2" t="s">
        <v>74</v>
      </c>
      <c r="AD432" s="2" t="s">
        <v>74</v>
      </c>
      <c r="AE432" s="2" t="s">
        <v>74</v>
      </c>
      <c r="AF432" s="2" t="s">
        <v>74</v>
      </c>
      <c r="AG432" s="2" t="s">
        <v>74</v>
      </c>
      <c r="AH432" s="2" t="s">
        <v>74</v>
      </c>
      <c r="AI432" s="2" t="s">
        <v>74</v>
      </c>
      <c r="AJ432" s="2" t="s">
        <v>74</v>
      </c>
      <c r="AK432" s="2" t="s">
        <v>74</v>
      </c>
      <c r="AL432" s="2" t="s">
        <v>74</v>
      </c>
      <c r="AM432" s="2" t="s">
        <v>74</v>
      </c>
      <c r="AN432" s="2" t="s">
        <v>74</v>
      </c>
      <c r="AO432" s="2" t="s">
        <v>132</v>
      </c>
      <c r="AP432" s="2" t="s">
        <v>133</v>
      </c>
      <c r="AQ432" s="2" t="s">
        <v>74</v>
      </c>
      <c r="AR432" s="2" t="s">
        <v>74</v>
      </c>
      <c r="AS432" s="2" t="s">
        <v>74</v>
      </c>
      <c r="AT432" s="2" t="s">
        <v>255</v>
      </c>
      <c r="AU432" s="2">
        <v>2016</v>
      </c>
      <c r="AV432" s="2">
        <v>70</v>
      </c>
      <c r="AW432" s="2">
        <v>1</v>
      </c>
      <c r="AX432" s="2" t="s">
        <v>74</v>
      </c>
      <c r="AY432" s="2" t="s">
        <v>74</v>
      </c>
      <c r="AZ432" s="2" t="s">
        <v>74</v>
      </c>
      <c r="BA432" s="2" t="s">
        <v>74</v>
      </c>
      <c r="BB432" s="2">
        <v>83</v>
      </c>
      <c r="BC432" s="2">
        <v>97</v>
      </c>
      <c r="BD432" s="2" t="s">
        <v>74</v>
      </c>
      <c r="BE432" s="2" t="s">
        <v>2718</v>
      </c>
      <c r="BF432" s="2" t="str">
        <f>HYPERLINK("http://dx.doi.org/10.1007/s00265-015-2027-5","http://dx.doi.org/10.1007/s00265-015-2027-5")</f>
        <v>http://dx.doi.org/10.1007/s00265-015-2027-5</v>
      </c>
      <c r="BG432" s="2" t="s">
        <v>74</v>
      </c>
      <c r="BH432" s="2" t="s">
        <v>74</v>
      </c>
      <c r="BI432" s="2" t="s">
        <v>74</v>
      </c>
      <c r="BJ432" s="2" t="s">
        <v>74</v>
      </c>
      <c r="BK432" s="2" t="s">
        <v>74</v>
      </c>
      <c r="BL432" s="2" t="s">
        <v>74</v>
      </c>
      <c r="BM432" s="2" t="s">
        <v>74</v>
      </c>
      <c r="BN432" s="2" t="s">
        <v>74</v>
      </c>
      <c r="BO432" s="2" t="s">
        <v>74</v>
      </c>
      <c r="BP432" s="2" t="s">
        <v>74</v>
      </c>
      <c r="BQ432" s="2" t="s">
        <v>74</v>
      </c>
      <c r="BR432" s="2" t="s">
        <v>74</v>
      </c>
      <c r="BS432" s="2" t="s">
        <v>2719</v>
      </c>
      <c r="BT432" s="2" t="str">
        <f>HYPERLINK("https%3A%2F%2Fwww.webofscience.com%2Fwos%2Fwoscc%2Ffull-record%2FWOS:000367686200008","View Full Record in Web of Science")</f>
        <v>View Full Record in Web of Science</v>
      </c>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row>
    <row r="433" spans="1:314" s="2" customFormat="1" x14ac:dyDescent="0.4">
      <c r="A433" s="2" t="s">
        <v>72</v>
      </c>
      <c r="B433" s="2" t="s">
        <v>4361</v>
      </c>
      <c r="C433" s="2" t="s">
        <v>74</v>
      </c>
      <c r="D433" s="2" t="s">
        <v>74</v>
      </c>
      <c r="E433" s="2" t="s">
        <v>74</v>
      </c>
      <c r="F433" s="2" t="s">
        <v>4362</v>
      </c>
      <c r="G433" s="2" t="s">
        <v>74</v>
      </c>
      <c r="H433" s="2" t="s">
        <v>74</v>
      </c>
      <c r="I433" s="2" t="s">
        <v>4363</v>
      </c>
      <c r="J433" s="2" t="s">
        <v>4364</v>
      </c>
      <c r="K433" s="2" t="s">
        <v>74</v>
      </c>
      <c r="L433" s="2" t="s">
        <v>74</v>
      </c>
      <c r="M433" s="2" t="s">
        <v>74</v>
      </c>
      <c r="N433" s="2" t="s">
        <v>74</v>
      </c>
      <c r="O433" s="2" t="s">
        <v>74</v>
      </c>
      <c r="P433" s="2" t="s">
        <v>74</v>
      </c>
      <c r="Q433" s="2" t="s">
        <v>74</v>
      </c>
      <c r="R433" s="2" t="s">
        <v>74</v>
      </c>
      <c r="S433" s="2" t="s">
        <v>74</v>
      </c>
      <c r="T433" s="2" t="s">
        <v>74</v>
      </c>
      <c r="U433" s="2" t="s">
        <v>74</v>
      </c>
      <c r="V433" s="5" t="s">
        <v>4365</v>
      </c>
      <c r="W433" s="2" t="s">
        <v>74</v>
      </c>
      <c r="X433" s="2" t="s">
        <v>74</v>
      </c>
      <c r="Y433" s="2" t="s">
        <v>74</v>
      </c>
      <c r="Z433" s="2" t="s">
        <v>74</v>
      </c>
      <c r="AA433" s="2" t="s">
        <v>4366</v>
      </c>
      <c r="AB433" s="2" t="s">
        <v>4367</v>
      </c>
      <c r="AC433" s="2" t="s">
        <v>74</v>
      </c>
      <c r="AD433" s="2" t="s">
        <v>74</v>
      </c>
      <c r="AE433" s="2" t="s">
        <v>74</v>
      </c>
      <c r="AF433" s="2" t="s">
        <v>74</v>
      </c>
      <c r="AG433" s="2" t="s">
        <v>74</v>
      </c>
      <c r="AH433" s="2" t="s">
        <v>74</v>
      </c>
      <c r="AI433" s="2" t="s">
        <v>74</v>
      </c>
      <c r="AJ433" s="2" t="s">
        <v>74</v>
      </c>
      <c r="AK433" s="2" t="s">
        <v>74</v>
      </c>
      <c r="AL433" s="2" t="s">
        <v>74</v>
      </c>
      <c r="AM433" s="2" t="s">
        <v>74</v>
      </c>
      <c r="AN433" s="2" t="s">
        <v>74</v>
      </c>
      <c r="AO433" s="2" t="s">
        <v>4368</v>
      </c>
      <c r="AP433" s="2" t="s">
        <v>4369</v>
      </c>
      <c r="AQ433" s="2" t="s">
        <v>74</v>
      </c>
      <c r="AR433" s="2" t="s">
        <v>74</v>
      </c>
      <c r="AS433" s="2" t="s">
        <v>74</v>
      </c>
      <c r="AT433" s="2" t="s">
        <v>4370</v>
      </c>
      <c r="AU433" s="2">
        <v>2009</v>
      </c>
      <c r="AV433" s="2">
        <v>46</v>
      </c>
      <c r="AW433" s="2">
        <v>4</v>
      </c>
      <c r="AX433" s="2" t="s">
        <v>74</v>
      </c>
      <c r="AY433" s="2" t="s">
        <v>74</v>
      </c>
      <c r="AZ433" s="2" t="s">
        <v>74</v>
      </c>
      <c r="BA433" s="2" t="s">
        <v>74</v>
      </c>
      <c r="BB433" s="2">
        <v>271</v>
      </c>
      <c r="BC433" s="2">
        <v>282</v>
      </c>
      <c r="BD433" s="2" t="s">
        <v>74</v>
      </c>
      <c r="BE433" s="2" t="s">
        <v>4371</v>
      </c>
      <c r="BF433" s="2" t="str">
        <f>HYPERLINK("http://dx.doi.org/10.5735/086.046.0404","http://dx.doi.org/10.5735/086.046.0404")</f>
        <v>http://dx.doi.org/10.5735/086.046.0404</v>
      </c>
      <c r="BG433" s="2" t="s">
        <v>74</v>
      </c>
      <c r="BH433" s="2" t="s">
        <v>74</v>
      </c>
      <c r="BI433" s="2" t="s">
        <v>74</v>
      </c>
      <c r="BJ433" s="2" t="s">
        <v>74</v>
      </c>
      <c r="BK433" s="2" t="s">
        <v>74</v>
      </c>
      <c r="BL433" s="2" t="s">
        <v>74</v>
      </c>
      <c r="BM433" s="2" t="s">
        <v>74</v>
      </c>
      <c r="BN433" s="2" t="s">
        <v>74</v>
      </c>
      <c r="BO433" s="2" t="s">
        <v>74</v>
      </c>
      <c r="BP433" s="2" t="s">
        <v>74</v>
      </c>
      <c r="BQ433" s="2" t="s">
        <v>74</v>
      </c>
      <c r="BR433" s="2" t="s">
        <v>74</v>
      </c>
      <c r="BS433" s="2" t="s">
        <v>4372</v>
      </c>
      <c r="BT433" s="2" t="str">
        <f>HYPERLINK("https%3A%2F%2Fwww.webofscience.com%2Fwos%2Fwoscc%2Ffull-record%2FWOS:000269935900004","View Full Record in Web of Science")</f>
        <v>View Full Record in Web of Science</v>
      </c>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row>
    <row r="434" spans="1:314" s="2" customFormat="1" x14ac:dyDescent="0.4">
      <c r="A434" s="2" t="s">
        <v>72</v>
      </c>
      <c r="B434" s="2" t="s">
        <v>1256</v>
      </c>
      <c r="C434" s="2" t="s">
        <v>74</v>
      </c>
      <c r="D434" s="2" t="s">
        <v>74</v>
      </c>
      <c r="E434" s="2" t="s">
        <v>74</v>
      </c>
      <c r="F434" s="2" t="s">
        <v>1257</v>
      </c>
      <c r="G434" s="2" t="s">
        <v>74</v>
      </c>
      <c r="H434" s="2" t="s">
        <v>74</v>
      </c>
      <c r="I434" s="2" t="s">
        <v>1258</v>
      </c>
      <c r="J434" s="2" t="s">
        <v>333</v>
      </c>
      <c r="K434" s="2" t="s">
        <v>74</v>
      </c>
      <c r="L434" s="2" t="s">
        <v>74</v>
      </c>
      <c r="M434" s="2" t="s">
        <v>74</v>
      </c>
      <c r="N434" s="2" t="s">
        <v>74</v>
      </c>
      <c r="O434" s="2" t="s">
        <v>74</v>
      </c>
      <c r="P434" s="2" t="s">
        <v>74</v>
      </c>
      <c r="Q434" s="2" t="s">
        <v>74</v>
      </c>
      <c r="R434" s="2" t="s">
        <v>74</v>
      </c>
      <c r="S434" s="2" t="s">
        <v>74</v>
      </c>
      <c r="T434" s="2" t="s">
        <v>74</v>
      </c>
      <c r="U434" s="2" t="s">
        <v>74</v>
      </c>
      <c r="V434" s="5" t="s">
        <v>1259</v>
      </c>
      <c r="W434" s="2" t="s">
        <v>74</v>
      </c>
      <c r="X434" s="2" t="s">
        <v>74</v>
      </c>
      <c r="Y434" s="2" t="s">
        <v>74</v>
      </c>
      <c r="Z434" s="2" t="s">
        <v>74</v>
      </c>
      <c r="AA434" s="2" t="s">
        <v>1260</v>
      </c>
      <c r="AB434" s="2" t="s">
        <v>1261</v>
      </c>
      <c r="AC434" s="2" t="s">
        <v>74</v>
      </c>
      <c r="AD434" s="2" t="s">
        <v>74</v>
      </c>
      <c r="AE434" s="2" t="s">
        <v>74</v>
      </c>
      <c r="AF434" s="2" t="s">
        <v>74</v>
      </c>
      <c r="AG434" s="2" t="s">
        <v>74</v>
      </c>
      <c r="AH434" s="2" t="s">
        <v>74</v>
      </c>
      <c r="AI434" s="2" t="s">
        <v>74</v>
      </c>
      <c r="AJ434" s="2" t="s">
        <v>74</v>
      </c>
      <c r="AK434" s="2" t="s">
        <v>74</v>
      </c>
      <c r="AL434" s="2" t="s">
        <v>74</v>
      </c>
      <c r="AM434" s="2" t="s">
        <v>74</v>
      </c>
      <c r="AN434" s="2" t="s">
        <v>74</v>
      </c>
      <c r="AO434" s="2" t="s">
        <v>337</v>
      </c>
      <c r="AP434" s="2" t="s">
        <v>338</v>
      </c>
      <c r="AQ434" s="2" t="s">
        <v>74</v>
      </c>
      <c r="AR434" s="2" t="s">
        <v>74</v>
      </c>
      <c r="AS434" s="2" t="s">
        <v>74</v>
      </c>
      <c r="AT434" s="2" t="s">
        <v>1075</v>
      </c>
      <c r="AU434" s="2">
        <v>2018</v>
      </c>
      <c r="AV434" s="2">
        <v>29</v>
      </c>
      <c r="AW434" s="2">
        <v>6</v>
      </c>
      <c r="AX434" s="2" t="s">
        <v>74</v>
      </c>
      <c r="AY434" s="2" t="s">
        <v>74</v>
      </c>
      <c r="AZ434" s="2" t="s">
        <v>74</v>
      </c>
      <c r="BA434" s="2" t="s">
        <v>74</v>
      </c>
      <c r="BB434" s="2">
        <v>1286</v>
      </c>
      <c r="BC434" s="2">
        <v>1297</v>
      </c>
      <c r="BD434" s="2" t="s">
        <v>74</v>
      </c>
      <c r="BE434" s="2" t="s">
        <v>1262</v>
      </c>
      <c r="BF434" s="2" t="str">
        <f>HYPERLINK("http://dx.doi.org/10.1093/beheco/ary127","http://dx.doi.org/10.1093/beheco/ary127")</f>
        <v>http://dx.doi.org/10.1093/beheco/ary127</v>
      </c>
      <c r="BG434" s="2" t="s">
        <v>74</v>
      </c>
      <c r="BH434" s="2" t="s">
        <v>74</v>
      </c>
      <c r="BI434" s="2" t="s">
        <v>74</v>
      </c>
      <c r="BJ434" s="2" t="s">
        <v>74</v>
      </c>
      <c r="BK434" s="2" t="s">
        <v>74</v>
      </c>
      <c r="BL434" s="2" t="s">
        <v>74</v>
      </c>
      <c r="BM434" s="2" t="s">
        <v>74</v>
      </c>
      <c r="BN434" s="2" t="s">
        <v>74</v>
      </c>
      <c r="BO434" s="2" t="s">
        <v>74</v>
      </c>
      <c r="BP434" s="2" t="s">
        <v>74</v>
      </c>
      <c r="BQ434" s="2" t="s">
        <v>74</v>
      </c>
      <c r="BR434" s="2" t="s">
        <v>74</v>
      </c>
      <c r="BS434" s="2" t="s">
        <v>1263</v>
      </c>
      <c r="BT434" s="2" t="str">
        <f>HYPERLINK("https%3A%2F%2Fwww.webofscience.com%2Fwos%2Fwoscc%2Ffull-record%2FWOS:000453209600018","View Full Record in Web of Science")</f>
        <v>View Full Record in Web of Science</v>
      </c>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row>
    <row r="435" spans="1:314" s="2" customFormat="1" x14ac:dyDescent="0.4">
      <c r="A435" s="2" t="s">
        <v>72</v>
      </c>
      <c r="B435" s="2" t="s">
        <v>3419</v>
      </c>
      <c r="C435" s="2" t="s">
        <v>74</v>
      </c>
      <c r="D435" s="2" t="s">
        <v>74</v>
      </c>
      <c r="E435" s="2" t="s">
        <v>74</v>
      </c>
      <c r="F435" s="2" t="s">
        <v>3419</v>
      </c>
      <c r="G435" s="2" t="s">
        <v>74</v>
      </c>
      <c r="H435" s="2" t="s">
        <v>74</v>
      </c>
      <c r="I435" s="2" t="s">
        <v>3420</v>
      </c>
      <c r="J435" s="2" t="s">
        <v>2207</v>
      </c>
      <c r="K435" s="2" t="s">
        <v>74</v>
      </c>
      <c r="L435" s="2" t="s">
        <v>74</v>
      </c>
      <c r="M435" s="2" t="s">
        <v>74</v>
      </c>
      <c r="N435" s="2" t="s">
        <v>74</v>
      </c>
      <c r="O435" s="2" t="s">
        <v>74</v>
      </c>
      <c r="P435" s="2" t="s">
        <v>74</v>
      </c>
      <c r="Q435" s="2" t="s">
        <v>74</v>
      </c>
      <c r="R435" s="2" t="s">
        <v>74</v>
      </c>
      <c r="S435" s="2" t="s">
        <v>74</v>
      </c>
      <c r="T435" s="2" t="s">
        <v>74</v>
      </c>
      <c r="U435" s="2" t="s">
        <v>74</v>
      </c>
      <c r="V435" s="5" t="s">
        <v>3421</v>
      </c>
      <c r="W435" s="2" t="s">
        <v>74</v>
      </c>
      <c r="X435" s="2" t="s">
        <v>74</v>
      </c>
      <c r="Y435" s="2" t="s">
        <v>74</v>
      </c>
      <c r="Z435" s="2" t="s">
        <v>74</v>
      </c>
      <c r="AA435" s="2" t="s">
        <v>3422</v>
      </c>
      <c r="AB435" s="2" t="s">
        <v>3423</v>
      </c>
      <c r="AC435" s="2" t="s">
        <v>74</v>
      </c>
      <c r="AD435" s="2" t="s">
        <v>74</v>
      </c>
      <c r="AE435" s="2" t="s">
        <v>74</v>
      </c>
      <c r="AF435" s="2" t="s">
        <v>74</v>
      </c>
      <c r="AG435" s="2" t="s">
        <v>74</v>
      </c>
      <c r="AH435" s="2" t="s">
        <v>74</v>
      </c>
      <c r="AI435" s="2" t="s">
        <v>74</v>
      </c>
      <c r="AJ435" s="2" t="s">
        <v>74</v>
      </c>
      <c r="AK435" s="2" t="s">
        <v>74</v>
      </c>
      <c r="AL435" s="2" t="s">
        <v>74</v>
      </c>
      <c r="AM435" s="2" t="s">
        <v>74</v>
      </c>
      <c r="AN435" s="2" t="s">
        <v>74</v>
      </c>
      <c r="AO435" s="2" t="s">
        <v>2211</v>
      </c>
      <c r="AP435" s="2" t="s">
        <v>2461</v>
      </c>
      <c r="AQ435" s="2" t="s">
        <v>74</v>
      </c>
      <c r="AR435" s="2" t="s">
        <v>74</v>
      </c>
      <c r="AS435" s="2" t="s">
        <v>74</v>
      </c>
      <c r="AT435" s="2" t="s">
        <v>305</v>
      </c>
      <c r="AU435" s="2">
        <v>2003</v>
      </c>
      <c r="AV435" s="2">
        <v>34</v>
      </c>
      <c r="AW435" s="2">
        <v>4</v>
      </c>
      <c r="AX435" s="2" t="s">
        <v>74</v>
      </c>
      <c r="AY435" s="2" t="s">
        <v>74</v>
      </c>
      <c r="AZ435" s="2" t="s">
        <v>74</v>
      </c>
      <c r="BA435" s="2" t="s">
        <v>74</v>
      </c>
      <c r="BB435" s="2">
        <v>402</v>
      </c>
      <c r="BC435" s="2">
        <v>408</v>
      </c>
      <c r="BD435" s="2" t="s">
        <v>74</v>
      </c>
      <c r="BE435" s="2" t="s">
        <v>3424</v>
      </c>
      <c r="BF435" s="2" t="str">
        <f>HYPERLINK("http://dx.doi.org/10.1111/j.0908-8857.2003.03064.x","http://dx.doi.org/10.1111/j.0908-8857.2003.03064.x")</f>
        <v>http://dx.doi.org/10.1111/j.0908-8857.2003.03064.x</v>
      </c>
      <c r="BG435" s="2" t="s">
        <v>74</v>
      </c>
      <c r="BH435" s="2" t="s">
        <v>74</v>
      </c>
      <c r="BI435" s="2" t="s">
        <v>74</v>
      </c>
      <c r="BJ435" s="2" t="s">
        <v>74</v>
      </c>
      <c r="BK435" s="2" t="s">
        <v>74</v>
      </c>
      <c r="BL435" s="2" t="s">
        <v>74</v>
      </c>
      <c r="BM435" s="2" t="s">
        <v>74</v>
      </c>
      <c r="BN435" s="2" t="s">
        <v>74</v>
      </c>
      <c r="BO435" s="2" t="s">
        <v>74</v>
      </c>
      <c r="BP435" s="2" t="s">
        <v>74</v>
      </c>
      <c r="BQ435" s="2" t="s">
        <v>74</v>
      </c>
      <c r="BR435" s="2" t="s">
        <v>74</v>
      </c>
      <c r="BS435" s="2" t="s">
        <v>3425</v>
      </c>
      <c r="BT435" s="2" t="str">
        <f>HYPERLINK("https%3A%2F%2Fwww.webofscience.com%2Fwos%2Fwoscc%2Ffull-record%2FWOS:000187792000014","View Full Record in Web of Science")</f>
        <v>View Full Record in Web of Science</v>
      </c>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row>
    <row r="436" spans="1:314" s="2" customFormat="1" x14ac:dyDescent="0.4">
      <c r="A436" s="2" t="s">
        <v>72</v>
      </c>
      <c r="B436" s="2" t="s">
        <v>5008</v>
      </c>
      <c r="C436" s="2" t="s">
        <v>74</v>
      </c>
      <c r="D436" s="2" t="s">
        <v>74</v>
      </c>
      <c r="E436" s="2" t="s">
        <v>74</v>
      </c>
      <c r="F436" s="2" t="s">
        <v>5009</v>
      </c>
      <c r="G436" s="2" t="s">
        <v>74</v>
      </c>
      <c r="H436" s="2" t="s">
        <v>74</v>
      </c>
      <c r="I436" s="2" t="s">
        <v>5010</v>
      </c>
      <c r="J436" s="2" t="s">
        <v>545</v>
      </c>
      <c r="K436" s="2" t="s">
        <v>74</v>
      </c>
      <c r="L436" s="2" t="s">
        <v>74</v>
      </c>
      <c r="M436" s="2" t="s">
        <v>74</v>
      </c>
      <c r="N436" s="2" t="s">
        <v>74</v>
      </c>
      <c r="O436" s="2" t="s">
        <v>74</v>
      </c>
      <c r="P436" s="2" t="s">
        <v>74</v>
      </c>
      <c r="Q436" s="2" t="s">
        <v>74</v>
      </c>
      <c r="R436" s="2" t="s">
        <v>74</v>
      </c>
      <c r="S436" s="2" t="s">
        <v>74</v>
      </c>
      <c r="T436" s="2" t="s">
        <v>74</v>
      </c>
      <c r="U436" s="2" t="s">
        <v>74</v>
      </c>
      <c r="V436" s="5" t="s">
        <v>5011</v>
      </c>
      <c r="W436" s="2" t="s">
        <v>74</v>
      </c>
      <c r="X436" s="2" t="s">
        <v>74</v>
      </c>
      <c r="Y436" s="2" t="s">
        <v>74</v>
      </c>
      <c r="Z436" s="2" t="s">
        <v>74</v>
      </c>
      <c r="AA436" s="2" t="s">
        <v>5012</v>
      </c>
      <c r="AB436" s="2" t="s">
        <v>5013</v>
      </c>
      <c r="AC436" s="2" t="s">
        <v>74</v>
      </c>
      <c r="AD436" s="2" t="s">
        <v>74</v>
      </c>
      <c r="AE436" s="2" t="s">
        <v>74</v>
      </c>
      <c r="AF436" s="2" t="s">
        <v>74</v>
      </c>
      <c r="AG436" s="2" t="s">
        <v>74</v>
      </c>
      <c r="AH436" s="2" t="s">
        <v>74</v>
      </c>
      <c r="AI436" s="2" t="s">
        <v>74</v>
      </c>
      <c r="AJ436" s="2" t="s">
        <v>74</v>
      </c>
      <c r="AK436" s="2" t="s">
        <v>74</v>
      </c>
      <c r="AL436" s="2" t="s">
        <v>74</v>
      </c>
      <c r="AM436" s="2" t="s">
        <v>74</v>
      </c>
      <c r="AN436" s="2" t="s">
        <v>74</v>
      </c>
      <c r="AO436" s="2" t="s">
        <v>547</v>
      </c>
      <c r="AP436" s="2" t="s">
        <v>74</v>
      </c>
      <c r="AQ436" s="2" t="s">
        <v>74</v>
      </c>
      <c r="AR436" s="2" t="s">
        <v>74</v>
      </c>
      <c r="AS436" s="2" t="s">
        <v>74</v>
      </c>
      <c r="AT436" s="2" t="s">
        <v>74</v>
      </c>
      <c r="AU436" s="2">
        <v>2017</v>
      </c>
      <c r="AV436" s="2">
        <v>267</v>
      </c>
      <c r="AW436" s="2" t="s">
        <v>74</v>
      </c>
      <c r="AX436" s="2" t="s">
        <v>74</v>
      </c>
      <c r="AY436" s="2" t="s">
        <v>74</v>
      </c>
      <c r="AZ436" s="2" t="s">
        <v>74</v>
      </c>
      <c r="BA436" s="2" t="s">
        <v>74</v>
      </c>
      <c r="BB436" s="2">
        <v>21</v>
      </c>
      <c r="BC436" s="2">
        <v>30</v>
      </c>
      <c r="BD436" s="2" t="s">
        <v>74</v>
      </c>
      <c r="BE436" s="2" t="s">
        <v>5014</v>
      </c>
      <c r="BF436" s="2" t="str">
        <f>HYPERLINK("http://dx.doi.org/10.1016/j.jcz.2017.01.002","http://dx.doi.org/10.1016/j.jcz.2017.01.002")</f>
        <v>http://dx.doi.org/10.1016/j.jcz.2017.01.002</v>
      </c>
      <c r="BG436" s="2" t="s">
        <v>74</v>
      </c>
      <c r="BH436" s="2" t="s">
        <v>74</v>
      </c>
      <c r="BI436" s="2" t="s">
        <v>74</v>
      </c>
      <c r="BJ436" s="2" t="s">
        <v>74</v>
      </c>
      <c r="BK436" s="2" t="s">
        <v>74</v>
      </c>
      <c r="BL436" s="2" t="s">
        <v>74</v>
      </c>
      <c r="BM436" s="2" t="s">
        <v>74</v>
      </c>
      <c r="BN436" s="2" t="s">
        <v>74</v>
      </c>
      <c r="BO436" s="2" t="s">
        <v>74</v>
      </c>
      <c r="BP436" s="2" t="s">
        <v>74</v>
      </c>
      <c r="BQ436" s="2" t="s">
        <v>74</v>
      </c>
      <c r="BR436" s="2" t="s">
        <v>74</v>
      </c>
      <c r="BS436" s="2" t="s">
        <v>5015</v>
      </c>
      <c r="BT436" s="2" t="str">
        <f>HYPERLINK("https%3A%2F%2Fwww.webofscience.com%2Fwos%2Fwoscc%2Ffull-record%2FWOS:000403123700004","View Full Record in Web of Science")</f>
        <v>View Full Record in Web of Science</v>
      </c>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row>
    <row r="437" spans="1:314" s="2" customFormat="1" x14ac:dyDescent="0.4">
      <c r="A437" s="2" t="s">
        <v>72</v>
      </c>
      <c r="B437" s="2" t="s">
        <v>7510</v>
      </c>
      <c r="C437" s="2" t="s">
        <v>74</v>
      </c>
      <c r="D437" s="2" t="s">
        <v>74</v>
      </c>
      <c r="E437" s="2" t="s">
        <v>74</v>
      </c>
      <c r="F437" s="2" t="s">
        <v>7510</v>
      </c>
      <c r="G437" s="2" t="s">
        <v>74</v>
      </c>
      <c r="H437" s="2" t="s">
        <v>74</v>
      </c>
      <c r="I437" s="2" t="s">
        <v>7511</v>
      </c>
      <c r="J437" s="2" t="s">
        <v>140</v>
      </c>
      <c r="K437" s="2" t="s">
        <v>74</v>
      </c>
      <c r="L437" s="2" t="s">
        <v>74</v>
      </c>
      <c r="M437" s="2" t="s">
        <v>74</v>
      </c>
      <c r="N437" s="2" t="s">
        <v>74</v>
      </c>
      <c r="O437" s="2" t="s">
        <v>74</v>
      </c>
      <c r="P437" s="2" t="s">
        <v>74</v>
      </c>
      <c r="Q437" s="2" t="s">
        <v>74</v>
      </c>
      <c r="R437" s="2" t="s">
        <v>74</v>
      </c>
      <c r="S437" s="2" t="s">
        <v>74</v>
      </c>
      <c r="T437" s="2" t="s">
        <v>74</v>
      </c>
      <c r="U437" s="2" t="s">
        <v>74</v>
      </c>
      <c r="V437" s="5" t="s">
        <v>7512</v>
      </c>
      <c r="W437" s="2" t="s">
        <v>74</v>
      </c>
      <c r="X437" s="2" t="s">
        <v>74</v>
      </c>
      <c r="Y437" s="2" t="s">
        <v>74</v>
      </c>
      <c r="Z437" s="2" t="s">
        <v>74</v>
      </c>
      <c r="AA437" s="2" t="s">
        <v>7513</v>
      </c>
      <c r="AB437" s="2" t="s">
        <v>7514</v>
      </c>
      <c r="AC437" s="2" t="s">
        <v>74</v>
      </c>
      <c r="AD437" s="2" t="s">
        <v>74</v>
      </c>
      <c r="AE437" s="2" t="s">
        <v>74</v>
      </c>
      <c r="AF437" s="2" t="s">
        <v>74</v>
      </c>
      <c r="AG437" s="2" t="s">
        <v>74</v>
      </c>
      <c r="AH437" s="2" t="s">
        <v>74</v>
      </c>
      <c r="AI437" s="2" t="s">
        <v>74</v>
      </c>
      <c r="AJ437" s="2" t="s">
        <v>74</v>
      </c>
      <c r="AK437" s="2" t="s">
        <v>74</v>
      </c>
      <c r="AL437" s="2" t="s">
        <v>74</v>
      </c>
      <c r="AM437" s="2" t="s">
        <v>74</v>
      </c>
      <c r="AN437" s="2" t="s">
        <v>74</v>
      </c>
      <c r="AO437" s="2" t="s">
        <v>143</v>
      </c>
      <c r="AP437" s="2" t="s">
        <v>74</v>
      </c>
      <c r="AQ437" s="2" t="s">
        <v>74</v>
      </c>
      <c r="AR437" s="2" t="s">
        <v>74</v>
      </c>
      <c r="AS437" s="2" t="s">
        <v>74</v>
      </c>
      <c r="AT437" s="2" t="s">
        <v>352</v>
      </c>
      <c r="AU437" s="2">
        <v>2003</v>
      </c>
      <c r="AV437" s="2">
        <v>66</v>
      </c>
      <c r="AW437" s="2" t="s">
        <v>74</v>
      </c>
      <c r="AX437" s="2">
        <v>3</v>
      </c>
      <c r="AY437" s="2" t="s">
        <v>74</v>
      </c>
      <c r="AZ437" s="2" t="s">
        <v>74</v>
      </c>
      <c r="BA437" s="2" t="s">
        <v>74</v>
      </c>
      <c r="BB437" s="2">
        <v>521</v>
      </c>
      <c r="BC437" s="2">
        <v>530</v>
      </c>
      <c r="BD437" s="2" t="s">
        <v>74</v>
      </c>
      <c r="BE437" s="2" t="s">
        <v>7515</v>
      </c>
      <c r="BF437" s="2" t="str">
        <f>HYPERLINK("http://dx.doi.org/10.1006/anbe.2003.2206","http://dx.doi.org/10.1006/anbe.2003.2206")</f>
        <v>http://dx.doi.org/10.1006/anbe.2003.2206</v>
      </c>
      <c r="BG437" s="2" t="s">
        <v>74</v>
      </c>
      <c r="BH437" s="2" t="s">
        <v>74</v>
      </c>
      <c r="BI437" s="2" t="s">
        <v>74</v>
      </c>
      <c r="BJ437" s="2" t="s">
        <v>74</v>
      </c>
      <c r="BK437" s="2" t="s">
        <v>74</v>
      </c>
      <c r="BL437" s="2" t="s">
        <v>74</v>
      </c>
      <c r="BM437" s="2" t="s">
        <v>74</v>
      </c>
      <c r="BN437" s="2" t="s">
        <v>74</v>
      </c>
      <c r="BO437" s="2" t="s">
        <v>74</v>
      </c>
      <c r="BP437" s="2" t="s">
        <v>74</v>
      </c>
      <c r="BQ437" s="2" t="s">
        <v>74</v>
      </c>
      <c r="BR437" s="2" t="s">
        <v>74</v>
      </c>
      <c r="BS437" s="2" t="s">
        <v>7516</v>
      </c>
      <c r="BT437" s="2" t="str">
        <f>HYPERLINK("https%3A%2F%2Fwww.webofscience.com%2Fwos%2Fwoscc%2Ffull-record%2FWOS:000185477900013","View Full Record in Web of Science")</f>
        <v>View Full Record in Web of Science</v>
      </c>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row>
    <row r="438" spans="1:314" s="2" customFormat="1" x14ac:dyDescent="0.4">
      <c r="A438" s="2" t="s">
        <v>72</v>
      </c>
      <c r="B438" s="2" t="s">
        <v>1085</v>
      </c>
      <c r="C438" s="2" t="s">
        <v>74</v>
      </c>
      <c r="D438" s="2" t="s">
        <v>74</v>
      </c>
      <c r="E438" s="2" t="s">
        <v>74</v>
      </c>
      <c r="F438" s="2" t="s">
        <v>1086</v>
      </c>
      <c r="G438" s="2" t="s">
        <v>74</v>
      </c>
      <c r="H438" s="2" t="s">
        <v>74</v>
      </c>
      <c r="I438" s="2" t="s">
        <v>1087</v>
      </c>
      <c r="J438" s="2" t="s">
        <v>475</v>
      </c>
      <c r="K438" s="2" t="s">
        <v>74</v>
      </c>
      <c r="L438" s="2" t="s">
        <v>74</v>
      </c>
      <c r="M438" s="2" t="s">
        <v>74</v>
      </c>
      <c r="N438" s="2" t="s">
        <v>74</v>
      </c>
      <c r="O438" s="2" t="s">
        <v>74</v>
      </c>
      <c r="P438" s="2" t="s">
        <v>74</v>
      </c>
      <c r="Q438" s="2" t="s">
        <v>74</v>
      </c>
      <c r="R438" s="2" t="s">
        <v>74</v>
      </c>
      <c r="S438" s="2" t="s">
        <v>74</v>
      </c>
      <c r="T438" s="2" t="s">
        <v>74</v>
      </c>
      <c r="U438" s="2" t="s">
        <v>74</v>
      </c>
      <c r="V438" s="5" t="s">
        <v>1088</v>
      </c>
      <c r="W438" s="2" t="s">
        <v>74</v>
      </c>
      <c r="X438" s="2" t="s">
        <v>74</v>
      </c>
      <c r="Y438" s="2" t="s">
        <v>74</v>
      </c>
      <c r="Z438" s="2" t="s">
        <v>74</v>
      </c>
      <c r="AA438" s="2" t="s">
        <v>74</v>
      </c>
      <c r="AB438" s="2" t="s">
        <v>74</v>
      </c>
      <c r="AC438" s="2" t="s">
        <v>74</v>
      </c>
      <c r="AD438" s="2" t="s">
        <v>74</v>
      </c>
      <c r="AE438" s="2" t="s">
        <v>74</v>
      </c>
      <c r="AF438" s="2" t="s">
        <v>74</v>
      </c>
      <c r="AG438" s="2" t="s">
        <v>74</v>
      </c>
      <c r="AH438" s="2" t="s">
        <v>74</v>
      </c>
      <c r="AI438" s="2" t="s">
        <v>74</v>
      </c>
      <c r="AJ438" s="2" t="s">
        <v>74</v>
      </c>
      <c r="AK438" s="2" t="s">
        <v>74</v>
      </c>
      <c r="AL438" s="2" t="s">
        <v>74</v>
      </c>
      <c r="AM438" s="2" t="s">
        <v>74</v>
      </c>
      <c r="AN438" s="2" t="s">
        <v>74</v>
      </c>
      <c r="AO438" s="2" t="s">
        <v>477</v>
      </c>
      <c r="AP438" s="2" t="s">
        <v>1089</v>
      </c>
      <c r="AQ438" s="2" t="s">
        <v>74</v>
      </c>
      <c r="AR438" s="2" t="s">
        <v>74</v>
      </c>
      <c r="AS438" s="2" t="s">
        <v>74</v>
      </c>
      <c r="AT438" s="2" t="s">
        <v>1090</v>
      </c>
      <c r="AU438" s="2">
        <v>2020</v>
      </c>
      <c r="AV438" s="2">
        <v>285</v>
      </c>
      <c r="AW438" s="2" t="s">
        <v>74</v>
      </c>
      <c r="AX438" s="2" t="s">
        <v>74</v>
      </c>
      <c r="AY438" s="2" t="s">
        <v>74</v>
      </c>
      <c r="AZ438" s="2" t="s">
        <v>74</v>
      </c>
      <c r="BA438" s="2" t="s">
        <v>74</v>
      </c>
      <c r="BB438" s="2" t="s">
        <v>74</v>
      </c>
      <c r="BC438" s="2" t="s">
        <v>74</v>
      </c>
      <c r="BD438" s="2">
        <v>113292</v>
      </c>
      <c r="BE438" s="2" t="s">
        <v>1091</v>
      </c>
      <c r="BF438" s="2" t="str">
        <f>HYPERLINK("http://dx.doi.org/10.1016/j.ygcen.2019.113292","http://dx.doi.org/10.1016/j.ygcen.2019.113292")</f>
        <v>http://dx.doi.org/10.1016/j.ygcen.2019.113292</v>
      </c>
      <c r="BG438" s="2" t="s">
        <v>74</v>
      </c>
      <c r="BH438" s="2" t="s">
        <v>74</v>
      </c>
      <c r="BI438" s="2" t="s">
        <v>74</v>
      </c>
      <c r="BJ438" s="2" t="s">
        <v>74</v>
      </c>
      <c r="BK438" s="2" t="s">
        <v>74</v>
      </c>
      <c r="BL438" s="2" t="s">
        <v>74</v>
      </c>
      <c r="BM438" s="2" t="s">
        <v>74</v>
      </c>
      <c r="BN438" s="2">
        <v>31580882</v>
      </c>
      <c r="BO438" s="2" t="s">
        <v>74</v>
      </c>
      <c r="BP438" s="2" t="s">
        <v>74</v>
      </c>
      <c r="BQ438" s="2" t="s">
        <v>74</v>
      </c>
      <c r="BR438" s="2" t="s">
        <v>74</v>
      </c>
      <c r="BS438" s="2" t="s">
        <v>1092</v>
      </c>
      <c r="BT438" s="2" t="str">
        <f>HYPERLINK("https%3A%2F%2Fwww.webofscience.com%2Fwos%2Fwoscc%2Ffull-record%2FWOS:000504341800024","View Full Record in Web of Science")</f>
        <v>View Full Record in Web of Science</v>
      </c>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row>
    <row r="439" spans="1:314" s="2" customFormat="1" x14ac:dyDescent="0.4">
      <c r="A439" s="2" t="s">
        <v>72</v>
      </c>
      <c r="B439" s="2" t="s">
        <v>3383</v>
      </c>
      <c r="C439" s="2" t="s">
        <v>74</v>
      </c>
      <c r="D439" s="2" t="s">
        <v>74</v>
      </c>
      <c r="E439" s="2" t="s">
        <v>74</v>
      </c>
      <c r="F439" s="2" t="s">
        <v>3384</v>
      </c>
      <c r="G439" s="2" t="s">
        <v>74</v>
      </c>
      <c r="H439" s="2" t="s">
        <v>74</v>
      </c>
      <c r="I439" s="2" t="s">
        <v>3385</v>
      </c>
      <c r="J439" s="2" t="s">
        <v>610</v>
      </c>
      <c r="K439" s="2" t="s">
        <v>74</v>
      </c>
      <c r="L439" s="2" t="s">
        <v>74</v>
      </c>
      <c r="M439" s="2" t="s">
        <v>74</v>
      </c>
      <c r="N439" s="2" t="s">
        <v>74</v>
      </c>
      <c r="O439" s="2" t="s">
        <v>74</v>
      </c>
      <c r="P439" s="2" t="s">
        <v>74</v>
      </c>
      <c r="Q439" s="2" t="s">
        <v>74</v>
      </c>
      <c r="R439" s="2" t="s">
        <v>74</v>
      </c>
      <c r="S439" s="2" t="s">
        <v>74</v>
      </c>
      <c r="T439" s="2" t="s">
        <v>74</v>
      </c>
      <c r="U439" s="2" t="s">
        <v>74</v>
      </c>
      <c r="V439" s="5" t="s">
        <v>3386</v>
      </c>
      <c r="W439" s="2" t="s">
        <v>74</v>
      </c>
      <c r="X439" s="2" t="s">
        <v>74</v>
      </c>
      <c r="Y439" s="2" t="s">
        <v>74</v>
      </c>
      <c r="Z439" s="2" t="s">
        <v>74</v>
      </c>
      <c r="AA439" s="2" t="s">
        <v>74</v>
      </c>
      <c r="AB439" s="2" t="s">
        <v>3387</v>
      </c>
      <c r="AC439" s="2" t="s">
        <v>74</v>
      </c>
      <c r="AD439" s="2" t="s">
        <v>74</v>
      </c>
      <c r="AE439" s="2" t="s">
        <v>74</v>
      </c>
      <c r="AF439" s="2" t="s">
        <v>74</v>
      </c>
      <c r="AG439" s="2" t="s">
        <v>74</v>
      </c>
      <c r="AH439" s="2" t="s">
        <v>74</v>
      </c>
      <c r="AI439" s="2" t="s">
        <v>74</v>
      </c>
      <c r="AJ439" s="2" t="s">
        <v>74</v>
      </c>
      <c r="AK439" s="2" t="s">
        <v>74</v>
      </c>
      <c r="AL439" s="2" t="s">
        <v>74</v>
      </c>
      <c r="AM439" s="2" t="s">
        <v>74</v>
      </c>
      <c r="AN439" s="2" t="s">
        <v>74</v>
      </c>
      <c r="AO439" s="2" t="s">
        <v>614</v>
      </c>
      <c r="AP439" s="2" t="s">
        <v>615</v>
      </c>
      <c r="AQ439" s="2" t="s">
        <v>74</v>
      </c>
      <c r="AR439" s="2" t="s">
        <v>74</v>
      </c>
      <c r="AS439" s="2" t="s">
        <v>74</v>
      </c>
      <c r="AT439" s="2" t="s">
        <v>102</v>
      </c>
      <c r="AU439" s="2">
        <v>2021</v>
      </c>
      <c r="AV439" s="2">
        <v>127</v>
      </c>
      <c r="AW439" s="2">
        <v>6</v>
      </c>
      <c r="AX439" s="2" t="s">
        <v>74</v>
      </c>
      <c r="AY439" s="2" t="s">
        <v>74</v>
      </c>
      <c r="AZ439" s="2" t="s">
        <v>74</v>
      </c>
      <c r="BA439" s="2" t="s">
        <v>74</v>
      </c>
      <c r="BB439" s="2">
        <v>475</v>
      </c>
      <c r="BC439" s="2">
        <v>483</v>
      </c>
      <c r="BD439" s="2" t="s">
        <v>74</v>
      </c>
      <c r="BE439" s="2" t="s">
        <v>3388</v>
      </c>
      <c r="BF439" s="2" t="str">
        <f>HYPERLINK("http://dx.doi.org/10.1111/eth.13156","http://dx.doi.org/10.1111/eth.13156")</f>
        <v>http://dx.doi.org/10.1111/eth.13156</v>
      </c>
      <c r="BG439" s="2" t="s">
        <v>74</v>
      </c>
      <c r="BH439" s="2" t="s">
        <v>1051</v>
      </c>
      <c r="BI439" s="2" t="s">
        <v>74</v>
      </c>
      <c r="BJ439" s="2" t="s">
        <v>74</v>
      </c>
      <c r="BK439" s="2" t="s">
        <v>74</v>
      </c>
      <c r="BL439" s="2" t="s">
        <v>74</v>
      </c>
      <c r="BM439" s="2" t="s">
        <v>74</v>
      </c>
      <c r="BN439" s="2" t="s">
        <v>74</v>
      </c>
      <c r="BO439" s="2" t="s">
        <v>74</v>
      </c>
      <c r="BP439" s="2" t="s">
        <v>74</v>
      </c>
      <c r="BQ439" s="2" t="s">
        <v>74</v>
      </c>
      <c r="BR439" s="2" t="s">
        <v>74</v>
      </c>
      <c r="BS439" s="2" t="s">
        <v>3389</v>
      </c>
      <c r="BT439" s="2" t="str">
        <f>HYPERLINK("https%3A%2F%2Fwww.webofscience.com%2Fwos%2Fwoscc%2Ffull-record%2FWOS:000640929900001","View Full Record in Web of Science")</f>
        <v>View Full Record in Web of Science</v>
      </c>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row>
    <row r="440" spans="1:314" s="2" customFormat="1" x14ac:dyDescent="0.4">
      <c r="A440" s="2" t="s">
        <v>72</v>
      </c>
      <c r="B440" s="2" t="s">
        <v>7432</v>
      </c>
      <c r="C440" s="2" t="s">
        <v>74</v>
      </c>
      <c r="D440" s="2" t="s">
        <v>74</v>
      </c>
      <c r="E440" s="2" t="s">
        <v>74</v>
      </c>
      <c r="F440" s="2" t="s">
        <v>7433</v>
      </c>
      <c r="G440" s="2" t="s">
        <v>74</v>
      </c>
      <c r="H440" s="2" t="s">
        <v>74</v>
      </c>
      <c r="I440" s="2" t="s">
        <v>7434</v>
      </c>
      <c r="J440" s="2" t="s">
        <v>1995</v>
      </c>
      <c r="K440" s="2" t="s">
        <v>74</v>
      </c>
      <c r="L440" s="2" t="s">
        <v>74</v>
      </c>
      <c r="M440" s="2" t="s">
        <v>74</v>
      </c>
      <c r="N440" s="2" t="s">
        <v>74</v>
      </c>
      <c r="O440" s="2" t="s">
        <v>74</v>
      </c>
      <c r="P440" s="2" t="s">
        <v>74</v>
      </c>
      <c r="Q440" s="2" t="s">
        <v>74</v>
      </c>
      <c r="R440" s="2" t="s">
        <v>74</v>
      </c>
      <c r="S440" s="2" t="s">
        <v>74</v>
      </c>
      <c r="T440" s="2" t="s">
        <v>74</v>
      </c>
      <c r="U440" s="2" t="s">
        <v>74</v>
      </c>
      <c r="V440" s="5" t="s">
        <v>7435</v>
      </c>
      <c r="W440" s="2" t="s">
        <v>74</v>
      </c>
      <c r="X440" s="2" t="s">
        <v>74</v>
      </c>
      <c r="Y440" s="2" t="s">
        <v>74</v>
      </c>
      <c r="Z440" s="2" t="s">
        <v>74</v>
      </c>
      <c r="AA440" s="2" t="s">
        <v>74</v>
      </c>
      <c r="AB440" s="2" t="s">
        <v>7436</v>
      </c>
      <c r="AC440" s="2" t="s">
        <v>74</v>
      </c>
      <c r="AD440" s="2" t="s">
        <v>74</v>
      </c>
      <c r="AE440" s="2" t="s">
        <v>74</v>
      </c>
      <c r="AF440" s="2" t="s">
        <v>74</v>
      </c>
      <c r="AG440" s="2" t="s">
        <v>74</v>
      </c>
      <c r="AH440" s="2" t="s">
        <v>74</v>
      </c>
      <c r="AI440" s="2" t="s">
        <v>74</v>
      </c>
      <c r="AJ440" s="2" t="s">
        <v>74</v>
      </c>
      <c r="AK440" s="2" t="s">
        <v>74</v>
      </c>
      <c r="AL440" s="2" t="s">
        <v>74</v>
      </c>
      <c r="AM440" s="2" t="s">
        <v>74</v>
      </c>
      <c r="AN440" s="2" t="s">
        <v>74</v>
      </c>
      <c r="AO440" s="2" t="s">
        <v>1997</v>
      </c>
      <c r="AP440" s="2" t="s">
        <v>3917</v>
      </c>
      <c r="AQ440" s="2" t="s">
        <v>74</v>
      </c>
      <c r="AR440" s="2" t="s">
        <v>74</v>
      </c>
      <c r="AS440" s="2" t="s">
        <v>74</v>
      </c>
      <c r="AT440" s="2" t="s">
        <v>305</v>
      </c>
      <c r="AU440" s="2">
        <v>2021</v>
      </c>
      <c r="AV440" s="2">
        <v>92</v>
      </c>
      <c r="AW440" s="2">
        <v>4</v>
      </c>
      <c r="AX440" s="2" t="s">
        <v>74</v>
      </c>
      <c r="AY440" s="2" t="s">
        <v>74</v>
      </c>
      <c r="AZ440" s="2" t="s">
        <v>74</v>
      </c>
      <c r="BA440" s="2" t="s">
        <v>74</v>
      </c>
      <c r="BB440" s="2">
        <v>365</v>
      </c>
      <c r="BC440" s="2">
        <v>376</v>
      </c>
      <c r="BD440" s="2" t="s">
        <v>74</v>
      </c>
      <c r="BE440" s="2" t="s">
        <v>7437</v>
      </c>
      <c r="BF440" s="2" t="str">
        <f>HYPERLINK("http://dx.doi.org/10.1111/jofo.12395","http://dx.doi.org/10.1111/jofo.12395")</f>
        <v>http://dx.doi.org/10.1111/jofo.12395</v>
      </c>
      <c r="BG440" s="2" t="s">
        <v>74</v>
      </c>
      <c r="BH440" s="2" t="s">
        <v>7438</v>
      </c>
      <c r="BI440" s="2" t="s">
        <v>74</v>
      </c>
      <c r="BJ440" s="2" t="s">
        <v>74</v>
      </c>
      <c r="BK440" s="2" t="s">
        <v>74</v>
      </c>
      <c r="BL440" s="2" t="s">
        <v>74</v>
      </c>
      <c r="BM440" s="2" t="s">
        <v>74</v>
      </c>
      <c r="BN440" s="2" t="s">
        <v>74</v>
      </c>
      <c r="BO440" s="2" t="s">
        <v>74</v>
      </c>
      <c r="BP440" s="2" t="s">
        <v>74</v>
      </c>
      <c r="BQ440" s="2" t="s">
        <v>74</v>
      </c>
      <c r="BR440" s="2" t="s">
        <v>74</v>
      </c>
      <c r="BS440" s="2" t="s">
        <v>7439</v>
      </c>
      <c r="BT440" s="2" t="str">
        <f>HYPERLINK("https%3A%2F%2Fwww.webofscience.com%2Fwos%2Fwoscc%2Ffull-record%2FWOS:000751937600001","View Full Record in Web of Science")</f>
        <v>View Full Record in Web of Science</v>
      </c>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row>
    <row r="441" spans="1:314" s="2" customFormat="1" x14ac:dyDescent="0.4">
      <c r="A441" s="2" t="s">
        <v>72</v>
      </c>
      <c r="B441" s="2" t="s">
        <v>8324</v>
      </c>
      <c r="C441" s="2" t="s">
        <v>74</v>
      </c>
      <c r="D441" s="2" t="s">
        <v>74</v>
      </c>
      <c r="E441" s="2" t="s">
        <v>74</v>
      </c>
      <c r="F441" s="2" t="s">
        <v>8325</v>
      </c>
      <c r="G441" s="2" t="s">
        <v>74</v>
      </c>
      <c r="H441" s="2" t="s">
        <v>74</v>
      </c>
      <c r="I441" s="2" t="s">
        <v>8326</v>
      </c>
      <c r="J441" s="2" t="s">
        <v>408</v>
      </c>
      <c r="K441" s="2" t="s">
        <v>74</v>
      </c>
      <c r="L441" s="2" t="s">
        <v>74</v>
      </c>
      <c r="M441" s="2" t="s">
        <v>74</v>
      </c>
      <c r="N441" s="2" t="s">
        <v>74</v>
      </c>
      <c r="O441" s="2" t="s">
        <v>74</v>
      </c>
      <c r="P441" s="2" t="s">
        <v>74</v>
      </c>
      <c r="Q441" s="2" t="s">
        <v>74</v>
      </c>
      <c r="R441" s="2" t="s">
        <v>74</v>
      </c>
      <c r="S441" s="2" t="s">
        <v>74</v>
      </c>
      <c r="T441" s="2" t="s">
        <v>74</v>
      </c>
      <c r="U441" s="2" t="s">
        <v>74</v>
      </c>
      <c r="V441" s="5" t="s">
        <v>8327</v>
      </c>
      <c r="W441" s="2" t="s">
        <v>74</v>
      </c>
      <c r="X441" s="2" t="s">
        <v>74</v>
      </c>
      <c r="Y441" s="2" t="s">
        <v>74</v>
      </c>
      <c r="Z441" s="2" t="s">
        <v>74</v>
      </c>
      <c r="AA441" s="2" t="s">
        <v>8328</v>
      </c>
      <c r="AB441" s="2" t="s">
        <v>8329</v>
      </c>
      <c r="AC441" s="2" t="s">
        <v>74</v>
      </c>
      <c r="AD441" s="2" t="s">
        <v>74</v>
      </c>
      <c r="AE441" s="2" t="s">
        <v>74</v>
      </c>
      <c r="AF441" s="2" t="s">
        <v>74</v>
      </c>
      <c r="AG441" s="2" t="s">
        <v>74</v>
      </c>
      <c r="AH441" s="2" t="s">
        <v>74</v>
      </c>
      <c r="AI441" s="2" t="s">
        <v>74</v>
      </c>
      <c r="AJ441" s="2" t="s">
        <v>74</v>
      </c>
      <c r="AK441" s="2" t="s">
        <v>74</v>
      </c>
      <c r="AL441" s="2" t="s">
        <v>74</v>
      </c>
      <c r="AM441" s="2" t="s">
        <v>74</v>
      </c>
      <c r="AN441" s="2" t="s">
        <v>74</v>
      </c>
      <c r="AO441" s="2" t="s">
        <v>412</v>
      </c>
      <c r="AP441" s="2" t="s">
        <v>413</v>
      </c>
      <c r="AQ441" s="2" t="s">
        <v>74</v>
      </c>
      <c r="AR441" s="2" t="s">
        <v>74</v>
      </c>
      <c r="AS441" s="2" t="s">
        <v>74</v>
      </c>
      <c r="AT441" s="2" t="s">
        <v>175</v>
      </c>
      <c r="AU441" s="2">
        <v>2013</v>
      </c>
      <c r="AV441" s="2">
        <v>110</v>
      </c>
      <c r="AW441" s="2">
        <v>2</v>
      </c>
      <c r="AX441" s="2" t="s">
        <v>74</v>
      </c>
      <c r="AY441" s="2" t="s">
        <v>74</v>
      </c>
      <c r="AZ441" s="2" t="s">
        <v>74</v>
      </c>
      <c r="BA441" s="2" t="s">
        <v>74</v>
      </c>
      <c r="BB441" s="2">
        <v>409</v>
      </c>
      <c r="BC441" s="2">
        <v>426</v>
      </c>
      <c r="BD441" s="2" t="s">
        <v>74</v>
      </c>
      <c r="BE441" s="2" t="s">
        <v>8330</v>
      </c>
      <c r="BF441" s="2" t="str">
        <f>HYPERLINK("http://dx.doi.org/10.1111/bij.12131","http://dx.doi.org/10.1111/bij.12131")</f>
        <v>http://dx.doi.org/10.1111/bij.12131</v>
      </c>
      <c r="BG441" s="2" t="s">
        <v>74</v>
      </c>
      <c r="BH441" s="2" t="s">
        <v>74</v>
      </c>
      <c r="BI441" s="2" t="s">
        <v>74</v>
      </c>
      <c r="BJ441" s="2" t="s">
        <v>74</v>
      </c>
      <c r="BK441" s="2" t="s">
        <v>74</v>
      </c>
      <c r="BL441" s="2" t="s">
        <v>74</v>
      </c>
      <c r="BM441" s="2" t="s">
        <v>74</v>
      </c>
      <c r="BN441" s="2" t="s">
        <v>74</v>
      </c>
      <c r="BO441" s="2" t="s">
        <v>74</v>
      </c>
      <c r="BP441" s="2" t="s">
        <v>74</v>
      </c>
      <c r="BQ441" s="2" t="s">
        <v>74</v>
      </c>
      <c r="BR441" s="2" t="s">
        <v>74</v>
      </c>
      <c r="BS441" s="2" t="s">
        <v>8331</v>
      </c>
      <c r="BT441" s="2" t="str">
        <f>HYPERLINK("https%3A%2F%2Fwww.webofscience.com%2Fwos%2Fwoscc%2Ffull-record%2FWOS:000324302400012","View Full Record in Web of Science")</f>
        <v>View Full Record in Web of Science</v>
      </c>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row>
    <row r="442" spans="1:314" s="2" customFormat="1" x14ac:dyDescent="0.4">
      <c r="A442" s="2" t="s">
        <v>72</v>
      </c>
      <c r="B442" s="2" t="s">
        <v>7777</v>
      </c>
      <c r="C442" s="2" t="s">
        <v>74</v>
      </c>
      <c r="D442" s="2" t="s">
        <v>74</v>
      </c>
      <c r="E442" s="2" t="s">
        <v>74</v>
      </c>
      <c r="F442" s="2" t="s">
        <v>7777</v>
      </c>
      <c r="G442" s="2" t="s">
        <v>74</v>
      </c>
      <c r="H442" s="2" t="s">
        <v>74</v>
      </c>
      <c r="I442" s="2" t="s">
        <v>7778</v>
      </c>
      <c r="J442" s="2" t="s">
        <v>129</v>
      </c>
      <c r="K442" s="2" t="s">
        <v>74</v>
      </c>
      <c r="L442" s="2" t="s">
        <v>74</v>
      </c>
      <c r="M442" s="2" t="s">
        <v>74</v>
      </c>
      <c r="N442" s="2" t="s">
        <v>74</v>
      </c>
      <c r="O442" s="2" t="s">
        <v>74</v>
      </c>
      <c r="P442" s="2" t="s">
        <v>74</v>
      </c>
      <c r="Q442" s="2" t="s">
        <v>74</v>
      </c>
      <c r="R442" s="2" t="s">
        <v>74</v>
      </c>
      <c r="S442" s="2" t="s">
        <v>74</v>
      </c>
      <c r="T442" s="2" t="s">
        <v>74</v>
      </c>
      <c r="U442" s="2" t="s">
        <v>74</v>
      </c>
      <c r="V442" s="5" t="s">
        <v>7779</v>
      </c>
      <c r="W442" s="2" t="s">
        <v>74</v>
      </c>
      <c r="X442" s="2" t="s">
        <v>74</v>
      </c>
      <c r="Y442" s="2" t="s">
        <v>74</v>
      </c>
      <c r="Z442" s="2" t="s">
        <v>74</v>
      </c>
      <c r="AA442" s="2" t="s">
        <v>7780</v>
      </c>
      <c r="AB442" s="2" t="s">
        <v>7781</v>
      </c>
      <c r="AC442" s="2" t="s">
        <v>74</v>
      </c>
      <c r="AD442" s="2" t="s">
        <v>74</v>
      </c>
      <c r="AE442" s="2" t="s">
        <v>74</v>
      </c>
      <c r="AF442" s="2" t="s">
        <v>74</v>
      </c>
      <c r="AG442" s="2" t="s">
        <v>74</v>
      </c>
      <c r="AH442" s="2" t="s">
        <v>74</v>
      </c>
      <c r="AI442" s="2" t="s">
        <v>74</v>
      </c>
      <c r="AJ442" s="2" t="s">
        <v>74</v>
      </c>
      <c r="AK442" s="2" t="s">
        <v>74</v>
      </c>
      <c r="AL442" s="2" t="s">
        <v>74</v>
      </c>
      <c r="AM442" s="2" t="s">
        <v>74</v>
      </c>
      <c r="AN442" s="2" t="s">
        <v>74</v>
      </c>
      <c r="AO442" s="2" t="s">
        <v>132</v>
      </c>
      <c r="AP442" s="2" t="s">
        <v>74</v>
      </c>
      <c r="AQ442" s="2" t="s">
        <v>74</v>
      </c>
      <c r="AR442" s="2" t="s">
        <v>74</v>
      </c>
      <c r="AS442" s="2" t="s">
        <v>74</v>
      </c>
      <c r="AT442" s="2" t="s">
        <v>123</v>
      </c>
      <c r="AU442" s="2">
        <v>1994</v>
      </c>
      <c r="AV442" s="2">
        <v>34</v>
      </c>
      <c r="AW442" s="2">
        <v>3</v>
      </c>
      <c r="AX442" s="2" t="s">
        <v>74</v>
      </c>
      <c r="AY442" s="2" t="s">
        <v>74</v>
      </c>
      <c r="AZ442" s="2" t="s">
        <v>74</v>
      </c>
      <c r="BA442" s="2" t="s">
        <v>74</v>
      </c>
      <c r="BB442" s="2">
        <v>203</v>
      </c>
      <c r="BC442" s="2">
        <v>210</v>
      </c>
      <c r="BD442" s="2" t="s">
        <v>74</v>
      </c>
      <c r="BE442" s="2" t="s">
        <v>7782</v>
      </c>
      <c r="BF442" s="2" t="str">
        <f>HYPERLINK("http://dx.doi.org/10.1007/s002650050034","http://dx.doi.org/10.1007/s002650050034")</f>
        <v>http://dx.doi.org/10.1007/s002650050034</v>
      </c>
      <c r="BG442" s="2" t="s">
        <v>74</v>
      </c>
      <c r="BH442" s="2" t="s">
        <v>74</v>
      </c>
      <c r="BI442" s="2" t="s">
        <v>74</v>
      </c>
      <c r="BJ442" s="2" t="s">
        <v>74</v>
      </c>
      <c r="BK442" s="2" t="s">
        <v>74</v>
      </c>
      <c r="BL442" s="2" t="s">
        <v>74</v>
      </c>
      <c r="BM442" s="2" t="s">
        <v>74</v>
      </c>
      <c r="BN442" s="2" t="s">
        <v>74</v>
      </c>
      <c r="BO442" s="2" t="s">
        <v>74</v>
      </c>
      <c r="BP442" s="2" t="s">
        <v>74</v>
      </c>
      <c r="BQ442" s="2" t="s">
        <v>74</v>
      </c>
      <c r="BR442" s="2" t="s">
        <v>74</v>
      </c>
      <c r="BS442" s="2" t="s">
        <v>7783</v>
      </c>
      <c r="BT442" s="2" t="str">
        <f>HYPERLINK("https%3A%2F%2Fwww.webofscience.com%2Fwos%2Fwoscc%2Ffull-record%2FWOS:A1994NG04500006","View Full Record in Web of Science")</f>
        <v>View Full Record in Web of Science</v>
      </c>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row>
    <row r="443" spans="1:314" s="2" customFormat="1" x14ac:dyDescent="0.4">
      <c r="A443" s="2" t="s">
        <v>72</v>
      </c>
      <c r="B443" s="2" t="s">
        <v>5575</v>
      </c>
      <c r="C443" s="2" t="s">
        <v>74</v>
      </c>
      <c r="D443" s="2" t="s">
        <v>74</v>
      </c>
      <c r="E443" s="2" t="s">
        <v>74</v>
      </c>
      <c r="F443" s="2" t="s">
        <v>5575</v>
      </c>
      <c r="G443" s="2" t="s">
        <v>74</v>
      </c>
      <c r="H443" s="2" t="s">
        <v>74</v>
      </c>
      <c r="I443" s="2" t="s">
        <v>5576</v>
      </c>
      <c r="J443" s="2" t="s">
        <v>5577</v>
      </c>
      <c r="K443" s="2" t="s">
        <v>74</v>
      </c>
      <c r="L443" s="2" t="s">
        <v>74</v>
      </c>
      <c r="M443" s="2" t="s">
        <v>74</v>
      </c>
      <c r="N443" s="2" t="s">
        <v>74</v>
      </c>
      <c r="O443" s="2" t="s">
        <v>74</v>
      </c>
      <c r="P443" s="2" t="s">
        <v>74</v>
      </c>
      <c r="Q443" s="2" t="s">
        <v>74</v>
      </c>
      <c r="R443" s="2" t="s">
        <v>74</v>
      </c>
      <c r="S443" s="2" t="s">
        <v>74</v>
      </c>
      <c r="T443" s="2" t="s">
        <v>74</v>
      </c>
      <c r="U443" s="2" t="s">
        <v>74</v>
      </c>
      <c r="V443" s="5" t="s">
        <v>5578</v>
      </c>
      <c r="W443" s="2" t="s">
        <v>74</v>
      </c>
      <c r="X443" s="2" t="s">
        <v>74</v>
      </c>
      <c r="Y443" s="2" t="s">
        <v>74</v>
      </c>
      <c r="Z443" s="2" t="s">
        <v>74</v>
      </c>
      <c r="AA443" s="2" t="s">
        <v>74</v>
      </c>
      <c r="AB443" s="2" t="s">
        <v>74</v>
      </c>
      <c r="AC443" s="2" t="s">
        <v>74</v>
      </c>
      <c r="AD443" s="2" t="s">
        <v>74</v>
      </c>
      <c r="AE443" s="2" t="s">
        <v>74</v>
      </c>
      <c r="AF443" s="2" t="s">
        <v>74</v>
      </c>
      <c r="AG443" s="2" t="s">
        <v>74</v>
      </c>
      <c r="AH443" s="2" t="s">
        <v>74</v>
      </c>
      <c r="AI443" s="2" t="s">
        <v>74</v>
      </c>
      <c r="AJ443" s="2" t="s">
        <v>74</v>
      </c>
      <c r="AK443" s="2" t="s">
        <v>74</v>
      </c>
      <c r="AL443" s="2" t="s">
        <v>74</v>
      </c>
      <c r="AM443" s="2" t="s">
        <v>74</v>
      </c>
      <c r="AN443" s="2" t="s">
        <v>74</v>
      </c>
      <c r="AO443" s="2" t="s">
        <v>5579</v>
      </c>
      <c r="AP443" s="2" t="s">
        <v>74</v>
      </c>
      <c r="AQ443" s="2" t="s">
        <v>74</v>
      </c>
      <c r="AR443" s="2" t="s">
        <v>74</v>
      </c>
      <c r="AS443" s="2" t="s">
        <v>74</v>
      </c>
      <c r="AT443" s="2" t="s">
        <v>123</v>
      </c>
      <c r="AU443" s="2">
        <v>1989</v>
      </c>
      <c r="AV443" s="2">
        <v>68</v>
      </c>
      <c r="AW443" s="2">
        <v>3</v>
      </c>
      <c r="AX443" s="2" t="s">
        <v>74</v>
      </c>
      <c r="AY443" s="2" t="s">
        <v>74</v>
      </c>
      <c r="AZ443" s="2" t="s">
        <v>74</v>
      </c>
      <c r="BA443" s="2" t="s">
        <v>74</v>
      </c>
      <c r="BB443" s="2">
        <v>67</v>
      </c>
      <c r="BC443" s="2">
        <v>76</v>
      </c>
      <c r="BD443" s="2" t="s">
        <v>74</v>
      </c>
      <c r="BE443" s="2" t="s">
        <v>74</v>
      </c>
      <c r="BF443" s="2" t="s">
        <v>74</v>
      </c>
      <c r="BG443" s="2" t="s">
        <v>74</v>
      </c>
      <c r="BH443" s="2" t="s">
        <v>74</v>
      </c>
      <c r="BI443" s="2" t="s">
        <v>74</v>
      </c>
      <c r="BJ443" s="2" t="s">
        <v>74</v>
      </c>
      <c r="BK443" s="2" t="s">
        <v>74</v>
      </c>
      <c r="BL443" s="2" t="s">
        <v>74</v>
      </c>
      <c r="BM443" s="2" t="s">
        <v>74</v>
      </c>
      <c r="BN443" s="2" t="s">
        <v>74</v>
      </c>
      <c r="BO443" s="2" t="s">
        <v>74</v>
      </c>
      <c r="BP443" s="2" t="s">
        <v>74</v>
      </c>
      <c r="BQ443" s="2" t="s">
        <v>74</v>
      </c>
      <c r="BR443" s="2" t="s">
        <v>74</v>
      </c>
      <c r="BS443" s="2" t="s">
        <v>5580</v>
      </c>
      <c r="BT443" s="2" t="str">
        <f>HYPERLINK("https%3A%2F%2Fwww.webofscience.com%2Fwos%2Fwoscc%2Ffull-record%2FWOS:A1989U136200008","View Full Record in Web of Science")</f>
        <v>View Full Record in Web of Science</v>
      </c>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row>
    <row r="444" spans="1:314" s="2" customFormat="1" x14ac:dyDescent="0.4">
      <c r="A444" s="2" t="s">
        <v>72</v>
      </c>
      <c r="B444" s="2" t="s">
        <v>6932</v>
      </c>
      <c r="C444" s="2" t="s">
        <v>74</v>
      </c>
      <c r="D444" s="2" t="s">
        <v>74</v>
      </c>
      <c r="E444" s="2" t="s">
        <v>74</v>
      </c>
      <c r="F444" s="2" t="s">
        <v>6933</v>
      </c>
      <c r="G444" s="2" t="s">
        <v>74</v>
      </c>
      <c r="H444" s="2" t="s">
        <v>74</v>
      </c>
      <c r="I444" s="2" t="s">
        <v>6934</v>
      </c>
      <c r="J444" s="2" t="s">
        <v>129</v>
      </c>
      <c r="K444" s="2" t="s">
        <v>74</v>
      </c>
      <c r="L444" s="2" t="s">
        <v>74</v>
      </c>
      <c r="M444" s="2" t="s">
        <v>74</v>
      </c>
      <c r="N444" s="2" t="s">
        <v>74</v>
      </c>
      <c r="O444" s="2" t="s">
        <v>74</v>
      </c>
      <c r="P444" s="2" t="s">
        <v>74</v>
      </c>
      <c r="Q444" s="2" t="s">
        <v>74</v>
      </c>
      <c r="R444" s="2" t="s">
        <v>74</v>
      </c>
      <c r="S444" s="2" t="s">
        <v>74</v>
      </c>
      <c r="T444" s="2" t="s">
        <v>74</v>
      </c>
      <c r="U444" s="2" t="s">
        <v>74</v>
      </c>
      <c r="V444" s="5" t="s">
        <v>6935</v>
      </c>
      <c r="W444" s="2" t="s">
        <v>74</v>
      </c>
      <c r="X444" s="2" t="s">
        <v>74</v>
      </c>
      <c r="Y444" s="2" t="s">
        <v>74</v>
      </c>
      <c r="Z444" s="2" t="s">
        <v>74</v>
      </c>
      <c r="AA444" s="2" t="s">
        <v>6936</v>
      </c>
      <c r="AB444" s="2" t="s">
        <v>6937</v>
      </c>
      <c r="AC444" s="2" t="s">
        <v>74</v>
      </c>
      <c r="AD444" s="2" t="s">
        <v>74</v>
      </c>
      <c r="AE444" s="2" t="s">
        <v>74</v>
      </c>
      <c r="AF444" s="2" t="s">
        <v>74</v>
      </c>
      <c r="AG444" s="2" t="s">
        <v>74</v>
      </c>
      <c r="AH444" s="2" t="s">
        <v>74</v>
      </c>
      <c r="AI444" s="2" t="s">
        <v>74</v>
      </c>
      <c r="AJ444" s="2" t="s">
        <v>74</v>
      </c>
      <c r="AK444" s="2" t="s">
        <v>74</v>
      </c>
      <c r="AL444" s="2" t="s">
        <v>74</v>
      </c>
      <c r="AM444" s="2" t="s">
        <v>74</v>
      </c>
      <c r="AN444" s="2" t="s">
        <v>74</v>
      </c>
      <c r="AO444" s="2" t="s">
        <v>132</v>
      </c>
      <c r="AP444" s="2" t="s">
        <v>133</v>
      </c>
      <c r="AQ444" s="2" t="s">
        <v>74</v>
      </c>
      <c r="AR444" s="2" t="s">
        <v>74</v>
      </c>
      <c r="AS444" s="2" t="s">
        <v>74</v>
      </c>
      <c r="AT444" s="2" t="s">
        <v>255</v>
      </c>
      <c r="AU444" s="2">
        <v>2022</v>
      </c>
      <c r="AV444" s="2">
        <v>76</v>
      </c>
      <c r="AW444" s="2">
        <v>1</v>
      </c>
      <c r="AX444" s="2" t="s">
        <v>74</v>
      </c>
      <c r="AY444" s="2" t="s">
        <v>74</v>
      </c>
      <c r="AZ444" s="2" t="s">
        <v>74</v>
      </c>
      <c r="BA444" s="2" t="s">
        <v>74</v>
      </c>
      <c r="BB444" s="2" t="s">
        <v>74</v>
      </c>
      <c r="BC444" s="2" t="s">
        <v>74</v>
      </c>
      <c r="BD444" s="2">
        <v>5</v>
      </c>
      <c r="BE444" s="2" t="s">
        <v>6938</v>
      </c>
      <c r="BF444" s="2" t="str">
        <f>HYPERLINK("http://dx.doi.org/10.1007/s00265-021-03122-0","http://dx.doi.org/10.1007/s00265-021-03122-0")</f>
        <v>http://dx.doi.org/10.1007/s00265-021-03122-0</v>
      </c>
      <c r="BG444" s="2" t="s">
        <v>74</v>
      </c>
      <c r="BH444" s="2" t="s">
        <v>74</v>
      </c>
      <c r="BI444" s="2" t="s">
        <v>74</v>
      </c>
      <c r="BJ444" s="2" t="s">
        <v>74</v>
      </c>
      <c r="BK444" s="2" t="s">
        <v>74</v>
      </c>
      <c r="BL444" s="2" t="s">
        <v>74</v>
      </c>
      <c r="BM444" s="2" t="s">
        <v>74</v>
      </c>
      <c r="BN444" s="2" t="s">
        <v>74</v>
      </c>
      <c r="BO444" s="2" t="s">
        <v>74</v>
      </c>
      <c r="BP444" s="2" t="s">
        <v>74</v>
      </c>
      <c r="BQ444" s="2" t="s">
        <v>74</v>
      </c>
      <c r="BR444" s="2" t="s">
        <v>74</v>
      </c>
      <c r="BS444" s="2" t="s">
        <v>6939</v>
      </c>
      <c r="BT444" s="2" t="str">
        <f>HYPERLINK("https%3A%2F%2Fwww.webofscience.com%2Fwos%2Fwoscc%2Ffull-record%2FWOS:000736712500001","View Full Record in Web of Science")</f>
        <v>View Full Record in Web of Science</v>
      </c>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row>
    <row r="445" spans="1:314" s="2" customFormat="1" x14ac:dyDescent="0.4">
      <c r="A445" s="2" t="s">
        <v>72</v>
      </c>
      <c r="B445" s="2" t="s">
        <v>2507</v>
      </c>
      <c r="C445" s="2" t="s">
        <v>74</v>
      </c>
      <c r="D445" s="2" t="s">
        <v>74</v>
      </c>
      <c r="E445" s="2" t="s">
        <v>74</v>
      </c>
      <c r="F445" s="2" t="s">
        <v>2508</v>
      </c>
      <c r="G445" s="2" t="s">
        <v>74</v>
      </c>
      <c r="H445" s="2" t="s">
        <v>74</v>
      </c>
      <c r="I445" s="2" t="s">
        <v>2509</v>
      </c>
      <c r="J445" s="2" t="s">
        <v>509</v>
      </c>
      <c r="K445" s="2" t="s">
        <v>74</v>
      </c>
      <c r="L445" s="2" t="s">
        <v>74</v>
      </c>
      <c r="M445" s="2" t="s">
        <v>74</v>
      </c>
      <c r="N445" s="2" t="s">
        <v>74</v>
      </c>
      <c r="O445" s="2" t="s">
        <v>74</v>
      </c>
      <c r="P445" s="2" t="s">
        <v>74</v>
      </c>
      <c r="Q445" s="2" t="s">
        <v>74</v>
      </c>
      <c r="R445" s="2" t="s">
        <v>74</v>
      </c>
      <c r="S445" s="2" t="s">
        <v>74</v>
      </c>
      <c r="T445" s="2" t="s">
        <v>74</v>
      </c>
      <c r="U445" s="2" t="s">
        <v>74</v>
      </c>
      <c r="V445" s="5" t="s">
        <v>2510</v>
      </c>
      <c r="W445" s="2" t="s">
        <v>74</v>
      </c>
      <c r="X445" s="2" t="s">
        <v>74</v>
      </c>
      <c r="Y445" s="2" t="s">
        <v>74</v>
      </c>
      <c r="Z445" s="2" t="s">
        <v>74</v>
      </c>
      <c r="AA445" s="2" t="s">
        <v>2511</v>
      </c>
      <c r="AB445" s="2" t="s">
        <v>2512</v>
      </c>
      <c r="AC445" s="2" t="s">
        <v>74</v>
      </c>
      <c r="AD445" s="2" t="s">
        <v>74</v>
      </c>
      <c r="AE445" s="2" t="s">
        <v>74</v>
      </c>
      <c r="AF445" s="2" t="s">
        <v>74</v>
      </c>
      <c r="AG445" s="2" t="s">
        <v>74</v>
      </c>
      <c r="AH445" s="2" t="s">
        <v>74</v>
      </c>
      <c r="AI445" s="2" t="s">
        <v>74</v>
      </c>
      <c r="AJ445" s="2" t="s">
        <v>74</v>
      </c>
      <c r="AK445" s="2" t="s">
        <v>74</v>
      </c>
      <c r="AL445" s="2" t="s">
        <v>74</v>
      </c>
      <c r="AM445" s="2" t="s">
        <v>74</v>
      </c>
      <c r="AN445" s="2" t="s">
        <v>74</v>
      </c>
      <c r="AO445" s="2" t="s">
        <v>511</v>
      </c>
      <c r="AP445" s="2" t="s">
        <v>512</v>
      </c>
      <c r="AQ445" s="2" t="s">
        <v>74</v>
      </c>
      <c r="AR445" s="2" t="s">
        <v>74</v>
      </c>
      <c r="AS445" s="2" t="s">
        <v>74</v>
      </c>
      <c r="AT445" s="2" t="s">
        <v>204</v>
      </c>
      <c r="AU445" s="2">
        <v>2018</v>
      </c>
      <c r="AV445" s="2">
        <v>103</v>
      </c>
      <c r="AW445" s="2" t="s">
        <v>74</v>
      </c>
      <c r="AX445" s="2" t="s">
        <v>74</v>
      </c>
      <c r="AY445" s="2" t="s">
        <v>74</v>
      </c>
      <c r="AZ445" s="2" t="s">
        <v>74</v>
      </c>
      <c r="BA445" s="2" t="s">
        <v>74</v>
      </c>
      <c r="BB445" s="2">
        <v>28</v>
      </c>
      <c r="BC445" s="2">
        <v>35</v>
      </c>
      <c r="BD445" s="2" t="s">
        <v>74</v>
      </c>
      <c r="BE445" s="2" t="s">
        <v>2513</v>
      </c>
      <c r="BF445" s="2" t="str">
        <f>HYPERLINK("http://dx.doi.org/10.1016/j.yhbeh.2018.05.015","http://dx.doi.org/10.1016/j.yhbeh.2018.05.015")</f>
        <v>http://dx.doi.org/10.1016/j.yhbeh.2018.05.015</v>
      </c>
      <c r="BG445" s="2" t="s">
        <v>74</v>
      </c>
      <c r="BH445" s="2" t="s">
        <v>74</v>
      </c>
      <c r="BI445" s="2" t="s">
        <v>74</v>
      </c>
      <c r="BJ445" s="2" t="s">
        <v>74</v>
      </c>
      <c r="BK445" s="2" t="s">
        <v>74</v>
      </c>
      <c r="BL445" s="2" t="s">
        <v>74</v>
      </c>
      <c r="BM445" s="2" t="s">
        <v>74</v>
      </c>
      <c r="BN445" s="2">
        <v>29807035</v>
      </c>
      <c r="BO445" s="2" t="s">
        <v>74</v>
      </c>
      <c r="BP445" s="2" t="s">
        <v>74</v>
      </c>
      <c r="BQ445" s="2" t="s">
        <v>74</v>
      </c>
      <c r="BR445" s="2" t="s">
        <v>74</v>
      </c>
      <c r="BS445" s="2" t="s">
        <v>2514</v>
      </c>
      <c r="BT445" s="2" t="str">
        <f>HYPERLINK("https%3A%2F%2Fwww.webofscience.com%2Fwos%2Fwoscc%2Ffull-record%2FWOS:000441368400004","View Full Record in Web of Science")</f>
        <v>View Full Record in Web of Science</v>
      </c>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row>
    <row r="446" spans="1:314" s="2" customFormat="1" x14ac:dyDescent="0.4">
      <c r="A446" s="2" t="s">
        <v>72</v>
      </c>
      <c r="B446" s="2" t="s">
        <v>5095</v>
      </c>
      <c r="C446" s="2" t="s">
        <v>74</v>
      </c>
      <c r="D446" s="2" t="s">
        <v>74</v>
      </c>
      <c r="E446" s="2" t="s">
        <v>74</v>
      </c>
      <c r="F446" s="2" t="s">
        <v>5096</v>
      </c>
      <c r="G446" s="2" t="s">
        <v>74</v>
      </c>
      <c r="H446" s="2" t="s">
        <v>74</v>
      </c>
      <c r="I446" s="2" t="s">
        <v>5097</v>
      </c>
      <c r="J446" s="2" t="s">
        <v>333</v>
      </c>
      <c r="K446" s="2" t="s">
        <v>74</v>
      </c>
      <c r="L446" s="2" t="s">
        <v>74</v>
      </c>
      <c r="M446" s="2" t="s">
        <v>74</v>
      </c>
      <c r="N446" s="2" t="s">
        <v>74</v>
      </c>
      <c r="O446" s="2" t="s">
        <v>74</v>
      </c>
      <c r="P446" s="2" t="s">
        <v>74</v>
      </c>
      <c r="Q446" s="2" t="s">
        <v>74</v>
      </c>
      <c r="R446" s="2" t="s">
        <v>74</v>
      </c>
      <c r="S446" s="2" t="s">
        <v>74</v>
      </c>
      <c r="T446" s="2" t="s">
        <v>74</v>
      </c>
      <c r="U446" s="2" t="s">
        <v>74</v>
      </c>
      <c r="V446" s="5" t="s">
        <v>5098</v>
      </c>
      <c r="W446" s="2" t="s">
        <v>74</v>
      </c>
      <c r="X446" s="2" t="s">
        <v>74</v>
      </c>
      <c r="Y446" s="2" t="s">
        <v>74</v>
      </c>
      <c r="Z446" s="2" t="s">
        <v>74</v>
      </c>
      <c r="AA446" s="2" t="s">
        <v>2511</v>
      </c>
      <c r="AB446" s="2" t="s">
        <v>5099</v>
      </c>
      <c r="AC446" s="2" t="s">
        <v>74</v>
      </c>
      <c r="AD446" s="2" t="s">
        <v>74</v>
      </c>
      <c r="AE446" s="2" t="s">
        <v>74</v>
      </c>
      <c r="AF446" s="2" t="s">
        <v>74</v>
      </c>
      <c r="AG446" s="2" t="s">
        <v>74</v>
      </c>
      <c r="AH446" s="2" t="s">
        <v>74</v>
      </c>
      <c r="AI446" s="2" t="s">
        <v>74</v>
      </c>
      <c r="AJ446" s="2" t="s">
        <v>74</v>
      </c>
      <c r="AK446" s="2" t="s">
        <v>74</v>
      </c>
      <c r="AL446" s="2" t="s">
        <v>74</v>
      </c>
      <c r="AM446" s="2" t="s">
        <v>74</v>
      </c>
      <c r="AN446" s="2" t="s">
        <v>74</v>
      </c>
      <c r="AO446" s="2" t="s">
        <v>337</v>
      </c>
      <c r="AP446" s="2" t="s">
        <v>338</v>
      </c>
      <c r="AQ446" s="2" t="s">
        <v>74</v>
      </c>
      <c r="AR446" s="2" t="s">
        <v>74</v>
      </c>
      <c r="AS446" s="2" t="s">
        <v>74</v>
      </c>
      <c r="AT446" s="2" t="s">
        <v>5100</v>
      </c>
      <c r="AU446" s="2">
        <v>2022</v>
      </c>
      <c r="AV446" s="2">
        <v>33</v>
      </c>
      <c r="AW446" s="2">
        <v>1</v>
      </c>
      <c r="AX446" s="2" t="s">
        <v>74</v>
      </c>
      <c r="AY446" s="2" t="s">
        <v>74</v>
      </c>
      <c r="AZ446" s="2" t="s">
        <v>74</v>
      </c>
      <c r="BA446" s="2" t="s">
        <v>74</v>
      </c>
      <c r="BB446" s="2">
        <v>233</v>
      </c>
      <c r="BC446" s="2">
        <v>244</v>
      </c>
      <c r="BD446" s="2" t="s">
        <v>5101</v>
      </c>
      <c r="BE446" s="2" t="s">
        <v>5102</v>
      </c>
      <c r="BF446" s="2" t="str">
        <f>HYPERLINK("http://dx.doi.org/10.1093/beheco/arab129","http://dx.doi.org/10.1093/beheco/arab129")</f>
        <v>http://dx.doi.org/10.1093/beheco/arab129</v>
      </c>
      <c r="BG446" s="2" t="s">
        <v>74</v>
      </c>
      <c r="BH446" s="2" t="s">
        <v>5103</v>
      </c>
      <c r="BI446" s="2" t="s">
        <v>74</v>
      </c>
      <c r="BJ446" s="2" t="s">
        <v>74</v>
      </c>
      <c r="BK446" s="2" t="s">
        <v>74</v>
      </c>
      <c r="BL446" s="2" t="s">
        <v>74</v>
      </c>
      <c r="BM446" s="2" t="s">
        <v>74</v>
      </c>
      <c r="BN446" s="2">
        <v>35210941</v>
      </c>
      <c r="BO446" s="2" t="s">
        <v>74</v>
      </c>
      <c r="BP446" s="2" t="s">
        <v>74</v>
      </c>
      <c r="BQ446" s="2" t="s">
        <v>74</v>
      </c>
      <c r="BR446" s="2" t="s">
        <v>74</v>
      </c>
      <c r="BS446" s="2" t="s">
        <v>5104</v>
      </c>
      <c r="BT446" s="2" t="str">
        <f>HYPERLINK("https%3A%2F%2Fwww.webofscience.com%2Fwos%2Fwoscc%2Ffull-record%2FWOS:000757960400024","View Full Record in Web of Science")</f>
        <v>View Full Record in Web of Science</v>
      </c>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row>
    <row r="447" spans="1:314" s="2" customFormat="1" x14ac:dyDescent="0.4">
      <c r="A447" s="2" t="s">
        <v>72</v>
      </c>
      <c r="B447" s="2" t="s">
        <v>7619</v>
      </c>
      <c r="C447" s="2" t="s">
        <v>74</v>
      </c>
      <c r="D447" s="2" t="s">
        <v>74</v>
      </c>
      <c r="E447" s="2" t="s">
        <v>74</v>
      </c>
      <c r="F447" s="2" t="s">
        <v>7620</v>
      </c>
      <c r="G447" s="2" t="s">
        <v>74</v>
      </c>
      <c r="H447" s="2" t="s">
        <v>74</v>
      </c>
      <c r="I447" s="2" t="s">
        <v>7621</v>
      </c>
      <c r="J447" s="2" t="s">
        <v>7622</v>
      </c>
      <c r="K447" s="2" t="s">
        <v>74</v>
      </c>
      <c r="L447" s="2" t="s">
        <v>74</v>
      </c>
      <c r="M447" s="2" t="s">
        <v>74</v>
      </c>
      <c r="N447" s="2" t="s">
        <v>74</v>
      </c>
      <c r="O447" s="2" t="s">
        <v>74</v>
      </c>
      <c r="P447" s="2" t="s">
        <v>74</v>
      </c>
      <c r="Q447" s="2" t="s">
        <v>74</v>
      </c>
      <c r="R447" s="2" t="s">
        <v>74</v>
      </c>
      <c r="S447" s="2" t="s">
        <v>74</v>
      </c>
      <c r="T447" s="2" t="s">
        <v>74</v>
      </c>
      <c r="U447" s="2" t="s">
        <v>74</v>
      </c>
      <c r="V447" s="5" t="s">
        <v>7623</v>
      </c>
      <c r="W447" s="2" t="s">
        <v>74</v>
      </c>
      <c r="X447" s="2" t="s">
        <v>74</v>
      </c>
      <c r="Y447" s="2" t="s">
        <v>74</v>
      </c>
      <c r="Z447" s="2" t="s">
        <v>74</v>
      </c>
      <c r="AA447" s="2" t="s">
        <v>74</v>
      </c>
      <c r="AB447" s="2" t="s">
        <v>74</v>
      </c>
      <c r="AC447" s="2" t="s">
        <v>74</v>
      </c>
      <c r="AD447" s="2" t="s">
        <v>74</v>
      </c>
      <c r="AE447" s="2" t="s">
        <v>74</v>
      </c>
      <c r="AF447" s="2" t="s">
        <v>74</v>
      </c>
      <c r="AG447" s="2" t="s">
        <v>74</v>
      </c>
      <c r="AH447" s="2" t="s">
        <v>74</v>
      </c>
      <c r="AI447" s="2" t="s">
        <v>74</v>
      </c>
      <c r="AJ447" s="2" t="s">
        <v>74</v>
      </c>
      <c r="AK447" s="2" t="s">
        <v>74</v>
      </c>
      <c r="AL447" s="2" t="s">
        <v>74</v>
      </c>
      <c r="AM447" s="2" t="s">
        <v>74</v>
      </c>
      <c r="AN447" s="2" t="s">
        <v>74</v>
      </c>
      <c r="AO447" s="2" t="s">
        <v>7624</v>
      </c>
      <c r="AP447" s="2" t="s">
        <v>74</v>
      </c>
      <c r="AQ447" s="2" t="s">
        <v>74</v>
      </c>
      <c r="AR447" s="2" t="s">
        <v>74</v>
      </c>
      <c r="AS447" s="2" t="s">
        <v>74</v>
      </c>
      <c r="AT447" s="2" t="s">
        <v>305</v>
      </c>
      <c r="AU447" s="2">
        <v>2007</v>
      </c>
      <c r="AV447" s="2">
        <v>36</v>
      </c>
      <c r="AW447" s="2">
        <v>6</v>
      </c>
      <c r="AX447" s="2" t="s">
        <v>74</v>
      </c>
      <c r="AY447" s="2" t="s">
        <v>74</v>
      </c>
      <c r="AZ447" s="2" t="s">
        <v>74</v>
      </c>
      <c r="BA447" s="2" t="s">
        <v>74</v>
      </c>
      <c r="BB447" s="2">
        <v>348</v>
      </c>
      <c r="BC447" s="2">
        <v>354</v>
      </c>
      <c r="BD447" s="2" t="s">
        <v>74</v>
      </c>
      <c r="BE447" s="2" t="s">
        <v>7625</v>
      </c>
      <c r="BF447" s="2" t="str">
        <f>HYPERLINK("http://dx.doi.org/10.1111/j.1600-0684.2007.00227.x","http://dx.doi.org/10.1111/j.1600-0684.2007.00227.x")</f>
        <v>http://dx.doi.org/10.1111/j.1600-0684.2007.00227.x</v>
      </c>
      <c r="BG447" s="2" t="s">
        <v>74</v>
      </c>
      <c r="BH447" s="2" t="s">
        <v>74</v>
      </c>
      <c r="BI447" s="2" t="s">
        <v>74</v>
      </c>
      <c r="BJ447" s="2" t="s">
        <v>74</v>
      </c>
      <c r="BK447" s="2" t="s">
        <v>74</v>
      </c>
      <c r="BL447" s="2" t="s">
        <v>74</v>
      </c>
      <c r="BM447" s="2" t="s">
        <v>74</v>
      </c>
      <c r="BN447" s="2">
        <v>17976039</v>
      </c>
      <c r="BO447" s="2" t="s">
        <v>74</v>
      </c>
      <c r="BP447" s="2" t="s">
        <v>74</v>
      </c>
      <c r="BQ447" s="2" t="s">
        <v>74</v>
      </c>
      <c r="BR447" s="2" t="s">
        <v>74</v>
      </c>
      <c r="BS447" s="2" t="s">
        <v>7626</v>
      </c>
      <c r="BT447" s="2" t="str">
        <f>HYPERLINK("https%3A%2F%2Fwww.webofscience.com%2Fwos%2Fwoscc%2Ffull-record%2FWOS:000250553200003","View Full Record in Web of Science")</f>
        <v>View Full Record in Web of Science</v>
      </c>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row>
    <row r="448" spans="1:314" s="2" customFormat="1" x14ac:dyDescent="0.4">
      <c r="A448" s="2" t="s">
        <v>72</v>
      </c>
      <c r="B448" s="2" t="s">
        <v>207</v>
      </c>
      <c r="C448" s="2" t="s">
        <v>74</v>
      </c>
      <c r="D448" s="2" t="s">
        <v>74</v>
      </c>
      <c r="E448" s="2" t="s">
        <v>74</v>
      </c>
      <c r="F448" s="2" t="s">
        <v>208</v>
      </c>
      <c r="G448" s="2" t="s">
        <v>74</v>
      </c>
      <c r="H448" s="2" t="s">
        <v>74</v>
      </c>
      <c r="I448" s="2" t="s">
        <v>209</v>
      </c>
      <c r="J448" s="2" t="s">
        <v>210</v>
      </c>
      <c r="K448" s="2" t="s">
        <v>74</v>
      </c>
      <c r="L448" s="2" t="s">
        <v>74</v>
      </c>
      <c r="M448" s="2" t="s">
        <v>74</v>
      </c>
      <c r="N448" s="2" t="s">
        <v>74</v>
      </c>
      <c r="O448" s="2" t="s">
        <v>74</v>
      </c>
      <c r="P448" s="2" t="s">
        <v>74</v>
      </c>
      <c r="Q448" s="2" t="s">
        <v>74</v>
      </c>
      <c r="R448" s="2" t="s">
        <v>74</v>
      </c>
      <c r="S448" s="2" t="s">
        <v>74</v>
      </c>
      <c r="T448" s="2" t="s">
        <v>74</v>
      </c>
      <c r="U448" s="2" t="s">
        <v>74</v>
      </c>
      <c r="V448" s="5" t="s">
        <v>211</v>
      </c>
      <c r="W448" s="2" t="s">
        <v>74</v>
      </c>
      <c r="X448" s="2" t="s">
        <v>74</v>
      </c>
      <c r="Y448" s="2" t="s">
        <v>74</v>
      </c>
      <c r="Z448" s="2" t="s">
        <v>74</v>
      </c>
      <c r="AA448" s="2" t="s">
        <v>74</v>
      </c>
      <c r="AB448" s="2" t="s">
        <v>74</v>
      </c>
      <c r="AC448" s="2" t="s">
        <v>74</v>
      </c>
      <c r="AD448" s="2" t="s">
        <v>74</v>
      </c>
      <c r="AE448" s="2" t="s">
        <v>74</v>
      </c>
      <c r="AF448" s="2" t="s">
        <v>74</v>
      </c>
      <c r="AG448" s="2" t="s">
        <v>74</v>
      </c>
      <c r="AH448" s="2" t="s">
        <v>74</v>
      </c>
      <c r="AI448" s="2" t="s">
        <v>74</v>
      </c>
      <c r="AJ448" s="2" t="s">
        <v>74</v>
      </c>
      <c r="AK448" s="2" t="s">
        <v>74</v>
      </c>
      <c r="AL448" s="2" t="s">
        <v>74</v>
      </c>
      <c r="AM448" s="2" t="s">
        <v>74</v>
      </c>
      <c r="AN448" s="2" t="s">
        <v>74</v>
      </c>
      <c r="AO448" s="2" t="s">
        <v>212</v>
      </c>
      <c r="AP448" s="2" t="s">
        <v>74</v>
      </c>
      <c r="AQ448" s="2" t="s">
        <v>74</v>
      </c>
      <c r="AR448" s="2" t="s">
        <v>74</v>
      </c>
      <c r="AS448" s="2" t="s">
        <v>74</v>
      </c>
      <c r="AT448" s="2" t="s">
        <v>213</v>
      </c>
      <c r="AU448" s="2">
        <v>2006</v>
      </c>
      <c r="AV448" s="2">
        <v>15</v>
      </c>
      <c r="AW448" s="2">
        <v>4</v>
      </c>
      <c r="AX448" s="2" t="s">
        <v>74</v>
      </c>
      <c r="AY448" s="2" t="s">
        <v>74</v>
      </c>
      <c r="AZ448" s="2" t="s">
        <v>74</v>
      </c>
      <c r="BA448" s="2" t="s">
        <v>74</v>
      </c>
      <c r="BB448" s="2">
        <v>363</v>
      </c>
      <c r="BC448" s="2">
        <v>369</v>
      </c>
      <c r="BD448" s="2" t="s">
        <v>74</v>
      </c>
      <c r="BE448" s="2" t="s">
        <v>74</v>
      </c>
      <c r="BF448" s="2" t="s">
        <v>74</v>
      </c>
      <c r="BG448" s="2" t="s">
        <v>74</v>
      </c>
      <c r="BH448" s="2" t="s">
        <v>74</v>
      </c>
      <c r="BI448" s="2" t="s">
        <v>74</v>
      </c>
      <c r="BJ448" s="2" t="s">
        <v>74</v>
      </c>
      <c r="BK448" s="2" t="s">
        <v>74</v>
      </c>
      <c r="BL448" s="2" t="s">
        <v>74</v>
      </c>
      <c r="BM448" s="2" t="s">
        <v>74</v>
      </c>
      <c r="BN448" s="2" t="s">
        <v>74</v>
      </c>
      <c r="BO448" s="2" t="s">
        <v>74</v>
      </c>
      <c r="BP448" s="2" t="s">
        <v>74</v>
      </c>
      <c r="BQ448" s="2" t="s">
        <v>74</v>
      </c>
      <c r="BR448" s="2" t="s">
        <v>74</v>
      </c>
      <c r="BS448" s="2" t="s">
        <v>214</v>
      </c>
      <c r="BT448" s="2" t="str">
        <f>HYPERLINK("https%3A%2F%2Fwww.webofscience.com%2Fwos%2Fwoscc%2Ffull-record%2FWOS:000241770100007","View Full Record in Web of Science")</f>
        <v>View Full Record in Web of Science</v>
      </c>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row>
    <row r="449" spans="1:314" s="2" customFormat="1" x14ac:dyDescent="0.4">
      <c r="A449" s="2" t="s">
        <v>72</v>
      </c>
      <c r="B449" s="2" t="s">
        <v>3316</v>
      </c>
      <c r="C449" s="2" t="s">
        <v>74</v>
      </c>
      <c r="D449" s="2" t="s">
        <v>74</v>
      </c>
      <c r="E449" s="2" t="s">
        <v>74</v>
      </c>
      <c r="F449" s="2" t="s">
        <v>3317</v>
      </c>
      <c r="G449" s="2" t="s">
        <v>74</v>
      </c>
      <c r="H449" s="2" t="s">
        <v>74</v>
      </c>
      <c r="I449" s="2" t="s">
        <v>3318</v>
      </c>
      <c r="J449" s="2" t="s">
        <v>119</v>
      </c>
      <c r="K449" s="2" t="s">
        <v>74</v>
      </c>
      <c r="L449" s="2" t="s">
        <v>74</v>
      </c>
      <c r="M449" s="2" t="s">
        <v>74</v>
      </c>
      <c r="N449" s="2" t="s">
        <v>74</v>
      </c>
      <c r="O449" s="2" t="s">
        <v>74</v>
      </c>
      <c r="P449" s="2" t="s">
        <v>74</v>
      </c>
      <c r="Q449" s="2" t="s">
        <v>74</v>
      </c>
      <c r="R449" s="2" t="s">
        <v>74</v>
      </c>
      <c r="S449" s="2" t="s">
        <v>74</v>
      </c>
      <c r="T449" s="2" t="s">
        <v>74</v>
      </c>
      <c r="U449" s="2" t="s">
        <v>74</v>
      </c>
      <c r="V449" s="5" t="s">
        <v>3319</v>
      </c>
      <c r="W449" s="2" t="s">
        <v>74</v>
      </c>
      <c r="X449" s="2" t="s">
        <v>74</v>
      </c>
      <c r="Y449" s="2" t="s">
        <v>74</v>
      </c>
      <c r="Z449" s="2" t="s">
        <v>74</v>
      </c>
      <c r="AA449" s="2" t="s">
        <v>1028</v>
      </c>
      <c r="AB449" s="2" t="s">
        <v>1029</v>
      </c>
      <c r="AC449" s="2" t="s">
        <v>74</v>
      </c>
      <c r="AD449" s="2" t="s">
        <v>74</v>
      </c>
      <c r="AE449" s="2" t="s">
        <v>74</v>
      </c>
      <c r="AF449" s="2" t="s">
        <v>74</v>
      </c>
      <c r="AG449" s="2" t="s">
        <v>74</v>
      </c>
      <c r="AH449" s="2" t="s">
        <v>74</v>
      </c>
      <c r="AI449" s="2" t="s">
        <v>74</v>
      </c>
      <c r="AJ449" s="2" t="s">
        <v>74</v>
      </c>
      <c r="AK449" s="2" t="s">
        <v>74</v>
      </c>
      <c r="AL449" s="2" t="s">
        <v>74</v>
      </c>
      <c r="AM449" s="2" t="s">
        <v>74</v>
      </c>
      <c r="AN449" s="2" t="s">
        <v>74</v>
      </c>
      <c r="AO449" s="2" t="s">
        <v>121</v>
      </c>
      <c r="AP449" s="2" t="s">
        <v>74</v>
      </c>
      <c r="AQ449" s="2" t="s">
        <v>74</v>
      </c>
      <c r="AR449" s="2" t="s">
        <v>74</v>
      </c>
      <c r="AS449" s="2" t="s">
        <v>74</v>
      </c>
      <c r="AT449" s="2" t="s">
        <v>255</v>
      </c>
      <c r="AU449" s="2">
        <v>2009</v>
      </c>
      <c r="AV449" s="2">
        <v>80</v>
      </c>
      <c r="AW449" s="2">
        <v>1</v>
      </c>
      <c r="AX449" s="2" t="s">
        <v>74</v>
      </c>
      <c r="AY449" s="2" t="s">
        <v>74</v>
      </c>
      <c r="AZ449" s="2" t="s">
        <v>74</v>
      </c>
      <c r="BA449" s="2" t="s">
        <v>74</v>
      </c>
      <c r="BB449" s="2">
        <v>7</v>
      </c>
      <c r="BC449" s="2">
        <v>11</v>
      </c>
      <c r="BD449" s="2" t="s">
        <v>74</v>
      </c>
      <c r="BE449" s="2" t="s">
        <v>3320</v>
      </c>
      <c r="BF449" s="2" t="str">
        <f>HYPERLINK("http://dx.doi.org/10.1016/j.beproc.2008.08.001","http://dx.doi.org/10.1016/j.beproc.2008.08.001")</f>
        <v>http://dx.doi.org/10.1016/j.beproc.2008.08.001</v>
      </c>
      <c r="BG449" s="2" t="s">
        <v>74</v>
      </c>
      <c r="BH449" s="2" t="s">
        <v>74</v>
      </c>
      <c r="BI449" s="2" t="s">
        <v>74</v>
      </c>
      <c r="BJ449" s="2" t="s">
        <v>74</v>
      </c>
      <c r="BK449" s="2" t="s">
        <v>74</v>
      </c>
      <c r="BL449" s="2" t="s">
        <v>74</v>
      </c>
      <c r="BM449" s="2" t="s">
        <v>74</v>
      </c>
      <c r="BN449" s="2">
        <v>18761061</v>
      </c>
      <c r="BO449" s="2" t="s">
        <v>74</v>
      </c>
      <c r="BP449" s="2" t="s">
        <v>74</v>
      </c>
      <c r="BQ449" s="2" t="s">
        <v>74</v>
      </c>
      <c r="BR449" s="2" t="s">
        <v>74</v>
      </c>
      <c r="BS449" s="2" t="s">
        <v>3321</v>
      </c>
      <c r="BT449" s="2" t="str">
        <f>HYPERLINK("https%3A%2F%2Fwww.webofscience.com%2Fwos%2Fwoscc%2Ffull-record%2FWOS:000262546900002","View Full Record in Web of Science")</f>
        <v>View Full Record in Web of Science</v>
      </c>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row>
    <row r="450" spans="1:314" s="2" customFormat="1" x14ac:dyDescent="0.4">
      <c r="A450" s="2" t="s">
        <v>72</v>
      </c>
      <c r="B450" s="2" t="s">
        <v>1023</v>
      </c>
      <c r="C450" s="2" t="s">
        <v>74</v>
      </c>
      <c r="D450" s="2" t="s">
        <v>74</v>
      </c>
      <c r="E450" s="2" t="s">
        <v>74</v>
      </c>
      <c r="F450" s="2" t="s">
        <v>1024</v>
      </c>
      <c r="G450" s="2" t="s">
        <v>74</v>
      </c>
      <c r="H450" s="2" t="s">
        <v>74</v>
      </c>
      <c r="I450" s="2" t="s">
        <v>1025</v>
      </c>
      <c r="J450" s="2" t="s">
        <v>1026</v>
      </c>
      <c r="K450" s="2" t="s">
        <v>74</v>
      </c>
      <c r="L450" s="2" t="s">
        <v>74</v>
      </c>
      <c r="M450" s="2" t="s">
        <v>74</v>
      </c>
      <c r="N450" s="2" t="s">
        <v>74</v>
      </c>
      <c r="O450" s="2" t="s">
        <v>74</v>
      </c>
      <c r="P450" s="2" t="s">
        <v>74</v>
      </c>
      <c r="Q450" s="2" t="s">
        <v>74</v>
      </c>
      <c r="R450" s="2" t="s">
        <v>74</v>
      </c>
      <c r="S450" s="2" t="s">
        <v>74</v>
      </c>
      <c r="T450" s="2" t="s">
        <v>74</v>
      </c>
      <c r="U450" s="2" t="s">
        <v>74</v>
      </c>
      <c r="V450" s="5" t="s">
        <v>1027</v>
      </c>
      <c r="W450" s="2" t="s">
        <v>74</v>
      </c>
      <c r="X450" s="2" t="s">
        <v>74</v>
      </c>
      <c r="Y450" s="2" t="s">
        <v>74</v>
      </c>
      <c r="Z450" s="2" t="s">
        <v>74</v>
      </c>
      <c r="AA450" s="2" t="s">
        <v>1028</v>
      </c>
      <c r="AB450" s="2" t="s">
        <v>1029</v>
      </c>
      <c r="AC450" s="2" t="s">
        <v>74</v>
      </c>
      <c r="AD450" s="2" t="s">
        <v>74</v>
      </c>
      <c r="AE450" s="2" t="s">
        <v>74</v>
      </c>
      <c r="AF450" s="2" t="s">
        <v>74</v>
      </c>
      <c r="AG450" s="2" t="s">
        <v>74</v>
      </c>
      <c r="AH450" s="2" t="s">
        <v>74</v>
      </c>
      <c r="AI450" s="2" t="s">
        <v>74</v>
      </c>
      <c r="AJ450" s="2" t="s">
        <v>74</v>
      </c>
      <c r="AK450" s="2" t="s">
        <v>74</v>
      </c>
      <c r="AL450" s="2" t="s">
        <v>74</v>
      </c>
      <c r="AM450" s="2" t="s">
        <v>74</v>
      </c>
      <c r="AN450" s="2" t="s">
        <v>74</v>
      </c>
      <c r="AO450" s="2" t="s">
        <v>1030</v>
      </c>
      <c r="AP450" s="2" t="s">
        <v>1031</v>
      </c>
      <c r="AQ450" s="2" t="s">
        <v>74</v>
      </c>
      <c r="AR450" s="2" t="s">
        <v>74</v>
      </c>
      <c r="AS450" s="2" t="s">
        <v>74</v>
      </c>
      <c r="AT450" s="2" t="s">
        <v>964</v>
      </c>
      <c r="AU450" s="2">
        <v>2007</v>
      </c>
      <c r="AV450" s="2">
        <v>28</v>
      </c>
      <c r="AW450" s="2">
        <v>1</v>
      </c>
      <c r="AX450" s="2" t="s">
        <v>74</v>
      </c>
      <c r="AY450" s="2" t="s">
        <v>74</v>
      </c>
      <c r="AZ450" s="2" t="s">
        <v>74</v>
      </c>
      <c r="BA450" s="2" t="s">
        <v>74</v>
      </c>
      <c r="BB450" s="2">
        <v>1</v>
      </c>
      <c r="BC450" s="2">
        <v>7</v>
      </c>
      <c r="BD450" s="2" t="s">
        <v>74</v>
      </c>
      <c r="BE450" s="2" t="s">
        <v>1032</v>
      </c>
      <c r="BF450" s="2" t="str">
        <f>HYPERLINK("http://dx.doi.org/10.1007/s10764-006-9110-8","http://dx.doi.org/10.1007/s10764-006-9110-8")</f>
        <v>http://dx.doi.org/10.1007/s10764-006-9110-8</v>
      </c>
      <c r="BG450" s="2" t="s">
        <v>74</v>
      </c>
      <c r="BH450" s="2" t="s">
        <v>74</v>
      </c>
      <c r="BI450" s="2" t="s">
        <v>74</v>
      </c>
      <c r="BJ450" s="2" t="s">
        <v>74</v>
      </c>
      <c r="BK450" s="2" t="s">
        <v>74</v>
      </c>
      <c r="BL450" s="2" t="s">
        <v>74</v>
      </c>
      <c r="BM450" s="2" t="s">
        <v>74</v>
      </c>
      <c r="BN450" s="2" t="s">
        <v>74</v>
      </c>
      <c r="BO450" s="2" t="s">
        <v>74</v>
      </c>
      <c r="BP450" s="2" t="s">
        <v>74</v>
      </c>
      <c r="BQ450" s="2" t="s">
        <v>74</v>
      </c>
      <c r="BR450" s="2" t="s">
        <v>74</v>
      </c>
      <c r="BS450" s="2" t="s">
        <v>1033</v>
      </c>
      <c r="BT450" s="2" t="str">
        <f>HYPERLINK("https%3A%2F%2Fwww.webofscience.com%2Fwos%2Fwoscc%2Ffull-record%2FWOS:000246843800001","View Full Record in Web of Science")</f>
        <v>View Full Record in Web of Science</v>
      </c>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row>
    <row r="451" spans="1:314" s="2" customFormat="1" x14ac:dyDescent="0.4">
      <c r="A451" s="2" t="s">
        <v>72</v>
      </c>
      <c r="B451" s="2" t="s">
        <v>7627</v>
      </c>
      <c r="C451" s="2" t="s">
        <v>74</v>
      </c>
      <c r="D451" s="2" t="s">
        <v>74</v>
      </c>
      <c r="E451" s="2" t="s">
        <v>74</v>
      </c>
      <c r="F451" s="2" t="s">
        <v>7628</v>
      </c>
      <c r="G451" s="2" t="s">
        <v>74</v>
      </c>
      <c r="H451" s="2" t="s">
        <v>74</v>
      </c>
      <c r="I451" s="2" t="s">
        <v>7629</v>
      </c>
      <c r="J451" s="2" t="s">
        <v>1526</v>
      </c>
      <c r="K451" s="2" t="s">
        <v>74</v>
      </c>
      <c r="L451" s="2" t="s">
        <v>74</v>
      </c>
      <c r="M451" s="2" t="s">
        <v>74</v>
      </c>
      <c r="N451" s="2" t="s">
        <v>74</v>
      </c>
      <c r="O451" s="2" t="s">
        <v>74</v>
      </c>
      <c r="P451" s="2" t="s">
        <v>74</v>
      </c>
      <c r="Q451" s="2" t="s">
        <v>74</v>
      </c>
      <c r="R451" s="2" t="s">
        <v>74</v>
      </c>
      <c r="S451" s="2" t="s">
        <v>74</v>
      </c>
      <c r="T451" s="2" t="s">
        <v>74</v>
      </c>
      <c r="U451" s="2" t="s">
        <v>74</v>
      </c>
      <c r="V451" s="5" t="s">
        <v>7630</v>
      </c>
      <c r="W451" s="2" t="s">
        <v>74</v>
      </c>
      <c r="X451" s="2" t="s">
        <v>74</v>
      </c>
      <c r="Y451" s="2" t="s">
        <v>74</v>
      </c>
      <c r="Z451" s="2" t="s">
        <v>74</v>
      </c>
      <c r="AA451" s="2" t="s">
        <v>7631</v>
      </c>
      <c r="AB451" s="2" t="s">
        <v>7632</v>
      </c>
      <c r="AC451" s="2" t="s">
        <v>74</v>
      </c>
      <c r="AD451" s="2" t="s">
        <v>74</v>
      </c>
      <c r="AE451" s="2" t="s">
        <v>74</v>
      </c>
      <c r="AF451" s="2" t="s">
        <v>74</v>
      </c>
      <c r="AG451" s="2" t="s">
        <v>74</v>
      </c>
      <c r="AH451" s="2" t="s">
        <v>74</v>
      </c>
      <c r="AI451" s="2" t="s">
        <v>74</v>
      </c>
      <c r="AJ451" s="2" t="s">
        <v>74</v>
      </c>
      <c r="AK451" s="2" t="s">
        <v>74</v>
      </c>
      <c r="AL451" s="2" t="s">
        <v>74</v>
      </c>
      <c r="AM451" s="2" t="s">
        <v>74</v>
      </c>
      <c r="AN451" s="2" t="s">
        <v>74</v>
      </c>
      <c r="AO451" s="2" t="s">
        <v>1528</v>
      </c>
      <c r="AP451" s="2" t="s">
        <v>74</v>
      </c>
      <c r="AQ451" s="2" t="s">
        <v>74</v>
      </c>
      <c r="AR451" s="2" t="s">
        <v>74</v>
      </c>
      <c r="AS451" s="2" t="s">
        <v>74</v>
      </c>
      <c r="AT451" s="2" t="s">
        <v>213</v>
      </c>
      <c r="AU451" s="2">
        <v>2010</v>
      </c>
      <c r="AV451" s="2">
        <v>112</v>
      </c>
      <c r="AW451" s="2">
        <v>4</v>
      </c>
      <c r="AX451" s="2" t="s">
        <v>74</v>
      </c>
      <c r="AY451" s="2" t="s">
        <v>74</v>
      </c>
      <c r="AZ451" s="2" t="s">
        <v>74</v>
      </c>
      <c r="BA451" s="2" t="s">
        <v>74</v>
      </c>
      <c r="BB451" s="2">
        <v>676</v>
      </c>
      <c r="BC451" s="2">
        <v>682</v>
      </c>
      <c r="BD451" s="2" t="s">
        <v>74</v>
      </c>
      <c r="BE451" s="2" t="s">
        <v>7633</v>
      </c>
      <c r="BF451" s="2" t="str">
        <f>HYPERLINK("http://dx.doi.org/10.1525/cond.2010.090193","http://dx.doi.org/10.1525/cond.2010.090193")</f>
        <v>http://dx.doi.org/10.1525/cond.2010.090193</v>
      </c>
      <c r="BG451" s="2" t="s">
        <v>74</v>
      </c>
      <c r="BH451" s="2" t="s">
        <v>74</v>
      </c>
      <c r="BI451" s="2" t="s">
        <v>74</v>
      </c>
      <c r="BJ451" s="2" t="s">
        <v>74</v>
      </c>
      <c r="BK451" s="2" t="s">
        <v>74</v>
      </c>
      <c r="BL451" s="2" t="s">
        <v>74</v>
      </c>
      <c r="BM451" s="2" t="s">
        <v>74</v>
      </c>
      <c r="BN451" s="2" t="s">
        <v>74</v>
      </c>
      <c r="BO451" s="2" t="s">
        <v>74</v>
      </c>
      <c r="BP451" s="2" t="s">
        <v>74</v>
      </c>
      <c r="BQ451" s="2" t="s">
        <v>74</v>
      </c>
      <c r="BR451" s="2" t="s">
        <v>74</v>
      </c>
      <c r="BS451" s="2" t="s">
        <v>7634</v>
      </c>
      <c r="BT451" s="2" t="str">
        <f>HYPERLINK("https%3A%2F%2Fwww.webofscience.com%2Fwos%2Fwoscc%2Ffull-record%2FWOS:000285727700006","View Full Record in Web of Science")</f>
        <v>View Full Record in Web of Science</v>
      </c>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row>
    <row r="452" spans="1:314" s="2" customFormat="1" x14ac:dyDescent="0.4">
      <c r="A452" s="2" t="s">
        <v>72</v>
      </c>
      <c r="B452" s="2" t="s">
        <v>4659</v>
      </c>
      <c r="C452" s="2" t="s">
        <v>74</v>
      </c>
      <c r="D452" s="2" t="s">
        <v>74</v>
      </c>
      <c r="E452" s="2" t="s">
        <v>74</v>
      </c>
      <c r="F452" s="2" t="s">
        <v>4659</v>
      </c>
      <c r="G452" s="2" t="s">
        <v>74</v>
      </c>
      <c r="H452" s="2" t="s">
        <v>74</v>
      </c>
      <c r="I452" s="2" t="s">
        <v>4660</v>
      </c>
      <c r="J452" s="2" t="s">
        <v>4661</v>
      </c>
      <c r="K452" s="2" t="s">
        <v>74</v>
      </c>
      <c r="L452" s="2" t="s">
        <v>74</v>
      </c>
      <c r="M452" s="2" t="s">
        <v>74</v>
      </c>
      <c r="N452" s="2" t="s">
        <v>74</v>
      </c>
      <c r="O452" s="2" t="s">
        <v>74</v>
      </c>
      <c r="P452" s="2" t="s">
        <v>74</v>
      </c>
      <c r="Q452" s="2" t="s">
        <v>74</v>
      </c>
      <c r="R452" s="2" t="s">
        <v>74</v>
      </c>
      <c r="S452" s="2" t="s">
        <v>74</v>
      </c>
      <c r="T452" s="2" t="s">
        <v>74</v>
      </c>
      <c r="U452" s="2" t="s">
        <v>74</v>
      </c>
      <c r="V452" s="5" t="s">
        <v>4662</v>
      </c>
      <c r="W452" s="2" t="s">
        <v>74</v>
      </c>
      <c r="X452" s="2" t="s">
        <v>74</v>
      </c>
      <c r="Y452" s="2" t="s">
        <v>74</v>
      </c>
      <c r="Z452" s="2" t="s">
        <v>74</v>
      </c>
      <c r="AA452" s="2" t="s">
        <v>74</v>
      </c>
      <c r="AB452" s="2" t="s">
        <v>74</v>
      </c>
      <c r="AC452" s="2" t="s">
        <v>74</v>
      </c>
      <c r="AD452" s="2" t="s">
        <v>74</v>
      </c>
      <c r="AE452" s="2" t="s">
        <v>74</v>
      </c>
      <c r="AF452" s="2" t="s">
        <v>74</v>
      </c>
      <c r="AG452" s="2" t="s">
        <v>74</v>
      </c>
      <c r="AH452" s="2" t="s">
        <v>74</v>
      </c>
      <c r="AI452" s="2" t="s">
        <v>74</v>
      </c>
      <c r="AJ452" s="2" t="s">
        <v>74</v>
      </c>
      <c r="AK452" s="2" t="s">
        <v>74</v>
      </c>
      <c r="AL452" s="2" t="s">
        <v>74</v>
      </c>
      <c r="AM452" s="2" t="s">
        <v>74</v>
      </c>
      <c r="AN452" s="2" t="s">
        <v>74</v>
      </c>
      <c r="AO452" s="2" t="s">
        <v>4663</v>
      </c>
      <c r="AP452" s="2" t="s">
        <v>74</v>
      </c>
      <c r="AQ452" s="2" t="s">
        <v>74</v>
      </c>
      <c r="AR452" s="2" t="s">
        <v>74</v>
      </c>
      <c r="AS452" s="2" t="s">
        <v>74</v>
      </c>
      <c r="AT452" s="2" t="s">
        <v>74</v>
      </c>
      <c r="AU452" s="2">
        <v>1996</v>
      </c>
      <c r="AV452" s="2">
        <v>24</v>
      </c>
      <c r="AW452" s="2">
        <v>2</v>
      </c>
      <c r="AX452" s="2" t="s">
        <v>74</v>
      </c>
      <c r="AY452" s="2" t="s">
        <v>74</v>
      </c>
      <c r="AZ452" s="2" t="s">
        <v>74</v>
      </c>
      <c r="BA452" s="2" t="s">
        <v>74</v>
      </c>
      <c r="BB452" s="2">
        <v>93</v>
      </c>
      <c r="BC452" s="2">
        <v>100</v>
      </c>
      <c r="BD452" s="2" t="s">
        <v>74</v>
      </c>
      <c r="BE452" s="2" t="s">
        <v>74</v>
      </c>
      <c r="BF452" s="2" t="s">
        <v>74</v>
      </c>
      <c r="BG452" s="2" t="s">
        <v>74</v>
      </c>
      <c r="BH452" s="2" t="s">
        <v>74</v>
      </c>
      <c r="BI452" s="2" t="s">
        <v>74</v>
      </c>
      <c r="BJ452" s="2" t="s">
        <v>74</v>
      </c>
      <c r="BK452" s="2" t="s">
        <v>74</v>
      </c>
      <c r="BL452" s="2" t="s">
        <v>74</v>
      </c>
      <c r="BM452" s="2" t="s">
        <v>74</v>
      </c>
      <c r="BN452" s="2" t="s">
        <v>74</v>
      </c>
      <c r="BO452" s="2" t="s">
        <v>74</v>
      </c>
      <c r="BP452" s="2" t="s">
        <v>74</v>
      </c>
      <c r="BQ452" s="2" t="s">
        <v>74</v>
      </c>
      <c r="BR452" s="2" t="s">
        <v>74</v>
      </c>
      <c r="BS452" s="2" t="s">
        <v>4664</v>
      </c>
      <c r="BT452" s="2" t="str">
        <f>HYPERLINK("https%3A%2F%2Fwww.webofscience.com%2Fwos%2Fwoscc%2Ffull-record%2FWOS:A1996VW78600003","View Full Record in Web of Science")</f>
        <v>View Full Record in Web of Science</v>
      </c>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row>
    <row r="453" spans="1:314" s="2" customFormat="1" x14ac:dyDescent="0.4">
      <c r="A453" s="2" t="s">
        <v>72</v>
      </c>
      <c r="B453" s="2" t="s">
        <v>7730</v>
      </c>
      <c r="C453" s="2" t="s">
        <v>74</v>
      </c>
      <c r="D453" s="2" t="s">
        <v>74</v>
      </c>
      <c r="E453" s="2" t="s">
        <v>74</v>
      </c>
      <c r="F453" s="2" t="s">
        <v>7731</v>
      </c>
      <c r="G453" s="2" t="s">
        <v>74</v>
      </c>
      <c r="H453" s="2" t="s">
        <v>74</v>
      </c>
      <c r="I453" s="2" t="s">
        <v>7732</v>
      </c>
      <c r="J453" s="2" t="s">
        <v>1656</v>
      </c>
      <c r="K453" s="2" t="s">
        <v>74</v>
      </c>
      <c r="L453" s="2" t="s">
        <v>74</v>
      </c>
      <c r="M453" s="2" t="s">
        <v>74</v>
      </c>
      <c r="N453" s="2" t="s">
        <v>74</v>
      </c>
      <c r="O453" s="2" t="s">
        <v>74</v>
      </c>
      <c r="P453" s="2" t="s">
        <v>74</v>
      </c>
      <c r="Q453" s="2" t="s">
        <v>74</v>
      </c>
      <c r="R453" s="2" t="s">
        <v>74</v>
      </c>
      <c r="S453" s="2" t="s">
        <v>74</v>
      </c>
      <c r="T453" s="2" t="s">
        <v>74</v>
      </c>
      <c r="U453" s="2" t="s">
        <v>74</v>
      </c>
      <c r="V453" s="5" t="s">
        <v>7733</v>
      </c>
      <c r="W453" s="2" t="s">
        <v>74</v>
      </c>
      <c r="X453" s="2" t="s">
        <v>74</v>
      </c>
      <c r="Y453" s="2" t="s">
        <v>74</v>
      </c>
      <c r="Z453" s="2" t="s">
        <v>74</v>
      </c>
      <c r="AA453" s="2" t="s">
        <v>7734</v>
      </c>
      <c r="AB453" s="2" t="s">
        <v>7735</v>
      </c>
      <c r="AC453" s="2" t="s">
        <v>74</v>
      </c>
      <c r="AD453" s="2" t="s">
        <v>74</v>
      </c>
      <c r="AE453" s="2" t="s">
        <v>74</v>
      </c>
      <c r="AF453" s="2" t="s">
        <v>74</v>
      </c>
      <c r="AG453" s="2" t="s">
        <v>74</v>
      </c>
      <c r="AH453" s="2" t="s">
        <v>74</v>
      </c>
      <c r="AI453" s="2" t="s">
        <v>74</v>
      </c>
      <c r="AJ453" s="2" t="s">
        <v>74</v>
      </c>
      <c r="AK453" s="2" t="s">
        <v>74</v>
      </c>
      <c r="AL453" s="2" t="s">
        <v>74</v>
      </c>
      <c r="AM453" s="2" t="s">
        <v>74</v>
      </c>
      <c r="AN453" s="2" t="s">
        <v>74</v>
      </c>
      <c r="AO453" s="2" t="s">
        <v>1658</v>
      </c>
      <c r="AP453" s="2" t="s">
        <v>1659</v>
      </c>
      <c r="AQ453" s="2" t="s">
        <v>74</v>
      </c>
      <c r="AR453" s="2" t="s">
        <v>74</v>
      </c>
      <c r="AS453" s="2" t="s">
        <v>74</v>
      </c>
      <c r="AT453" s="2" t="s">
        <v>275</v>
      </c>
      <c r="AU453" s="2">
        <v>2022</v>
      </c>
      <c r="AV453" s="2">
        <v>5128</v>
      </c>
      <c r="AW453" s="2">
        <v>4</v>
      </c>
      <c r="AX453" s="2" t="s">
        <v>74</v>
      </c>
      <c r="AY453" s="2" t="s">
        <v>74</v>
      </c>
      <c r="AZ453" s="2" t="s">
        <v>74</v>
      </c>
      <c r="BA453" s="2" t="s">
        <v>74</v>
      </c>
      <c r="BB453" s="2">
        <v>486</v>
      </c>
      <c r="BC453" s="2">
        <v>502</v>
      </c>
      <c r="BD453" s="2" t="s">
        <v>74</v>
      </c>
      <c r="BE453" s="2" t="s">
        <v>7736</v>
      </c>
      <c r="BF453" s="2" t="str">
        <f>HYPERLINK("http://dx.doi.org/10.11646/zootaxa.5128.4.2","http://dx.doi.org/10.11646/zootaxa.5128.4.2")</f>
        <v>http://dx.doi.org/10.11646/zootaxa.5128.4.2</v>
      </c>
      <c r="BG453" s="2" t="s">
        <v>74</v>
      </c>
      <c r="BH453" s="2" t="s">
        <v>74</v>
      </c>
      <c r="BI453" s="2" t="s">
        <v>74</v>
      </c>
      <c r="BJ453" s="2" t="s">
        <v>74</v>
      </c>
      <c r="BK453" s="2" t="s">
        <v>74</v>
      </c>
      <c r="BL453" s="2" t="s">
        <v>74</v>
      </c>
      <c r="BM453" s="2" t="s">
        <v>74</v>
      </c>
      <c r="BN453" s="2">
        <v>36101160</v>
      </c>
      <c r="BO453" s="2" t="s">
        <v>74</v>
      </c>
      <c r="BP453" s="2" t="s">
        <v>74</v>
      </c>
      <c r="BQ453" s="2" t="s">
        <v>74</v>
      </c>
      <c r="BR453" s="2" t="s">
        <v>74</v>
      </c>
      <c r="BS453" s="2" t="s">
        <v>7737</v>
      </c>
      <c r="BT453" s="2" t="str">
        <f>HYPERLINK("https%3A%2F%2Fwww.webofscience.com%2Fwos%2Fwoscc%2Ffull-record%2FWOS:000792772900002","View Full Record in Web of Science")</f>
        <v>View Full Record in Web of Science</v>
      </c>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row>
    <row r="454" spans="1:314" s="2" customFormat="1" x14ac:dyDescent="0.4">
      <c r="A454" s="2" t="s">
        <v>72</v>
      </c>
      <c r="B454" s="2" t="s">
        <v>6811</v>
      </c>
      <c r="C454" s="2" t="s">
        <v>74</v>
      </c>
      <c r="D454" s="2" t="s">
        <v>74</v>
      </c>
      <c r="E454" s="2" t="s">
        <v>74</v>
      </c>
      <c r="F454" s="2" t="s">
        <v>6812</v>
      </c>
      <c r="G454" s="2" t="s">
        <v>74</v>
      </c>
      <c r="H454" s="2" t="s">
        <v>74</v>
      </c>
      <c r="I454" s="2" t="s">
        <v>6813</v>
      </c>
      <c r="J454" s="2" t="s">
        <v>6814</v>
      </c>
      <c r="K454" s="2" t="s">
        <v>74</v>
      </c>
      <c r="L454" s="2" t="s">
        <v>74</v>
      </c>
      <c r="M454" s="2" t="s">
        <v>74</v>
      </c>
      <c r="N454" s="2" t="s">
        <v>74</v>
      </c>
      <c r="O454" s="2" t="s">
        <v>74</v>
      </c>
      <c r="P454" s="2" t="s">
        <v>74</v>
      </c>
      <c r="Q454" s="2" t="s">
        <v>74</v>
      </c>
      <c r="R454" s="2" t="s">
        <v>74</v>
      </c>
      <c r="S454" s="2" t="s">
        <v>74</v>
      </c>
      <c r="T454" s="2" t="s">
        <v>74</v>
      </c>
      <c r="U454" s="2" t="s">
        <v>74</v>
      </c>
      <c r="V454" s="5" t="s">
        <v>6815</v>
      </c>
      <c r="W454" s="2" t="s">
        <v>74</v>
      </c>
      <c r="X454" s="2" t="s">
        <v>74</v>
      </c>
      <c r="Y454" s="2" t="s">
        <v>74</v>
      </c>
      <c r="Z454" s="2" t="s">
        <v>74</v>
      </c>
      <c r="AA454" s="2" t="s">
        <v>6816</v>
      </c>
      <c r="AB454" s="2" t="s">
        <v>6817</v>
      </c>
      <c r="AC454" s="2" t="s">
        <v>74</v>
      </c>
      <c r="AD454" s="2" t="s">
        <v>74</v>
      </c>
      <c r="AE454" s="2" t="s">
        <v>74</v>
      </c>
      <c r="AF454" s="2" t="s">
        <v>74</v>
      </c>
      <c r="AG454" s="2" t="s">
        <v>74</v>
      </c>
      <c r="AH454" s="2" t="s">
        <v>74</v>
      </c>
      <c r="AI454" s="2" t="s">
        <v>74</v>
      </c>
      <c r="AJ454" s="2" t="s">
        <v>74</v>
      </c>
      <c r="AK454" s="2" t="s">
        <v>74</v>
      </c>
      <c r="AL454" s="2" t="s">
        <v>74</v>
      </c>
      <c r="AM454" s="2" t="s">
        <v>74</v>
      </c>
      <c r="AN454" s="2" t="s">
        <v>74</v>
      </c>
      <c r="AO454" s="2" t="s">
        <v>6818</v>
      </c>
      <c r="AP454" s="2" t="s">
        <v>6819</v>
      </c>
      <c r="AQ454" s="2" t="s">
        <v>74</v>
      </c>
      <c r="AR454" s="2" t="s">
        <v>74</v>
      </c>
      <c r="AS454" s="2" t="s">
        <v>74</v>
      </c>
      <c r="AT454" s="2" t="s">
        <v>352</v>
      </c>
      <c r="AU454" s="2">
        <v>2021</v>
      </c>
      <c r="AV454" s="2">
        <v>14</v>
      </c>
      <c r="AW454" s="2">
        <v>5</v>
      </c>
      <c r="AX454" s="2" t="s">
        <v>74</v>
      </c>
      <c r="AY454" s="2" t="s">
        <v>74</v>
      </c>
      <c r="AZ454" s="2" t="s">
        <v>74</v>
      </c>
      <c r="BA454" s="2" t="s">
        <v>74</v>
      </c>
      <c r="BB454" s="2">
        <v>661</v>
      </c>
      <c r="BC454" s="2">
        <v>674</v>
      </c>
      <c r="BD454" s="2" t="s">
        <v>74</v>
      </c>
      <c r="BE454" s="2" t="s">
        <v>6820</v>
      </c>
      <c r="BF454" s="2" t="str">
        <f>HYPERLINK("http://dx.doi.org/10.1111/icad.12500","http://dx.doi.org/10.1111/icad.12500")</f>
        <v>http://dx.doi.org/10.1111/icad.12500</v>
      </c>
      <c r="BG454" s="2" t="s">
        <v>74</v>
      </c>
      <c r="BH454" s="2" t="s">
        <v>571</v>
      </c>
      <c r="BI454" s="2" t="s">
        <v>74</v>
      </c>
      <c r="BJ454" s="2" t="s">
        <v>74</v>
      </c>
      <c r="BK454" s="2" t="s">
        <v>74</v>
      </c>
      <c r="BL454" s="2" t="s">
        <v>74</v>
      </c>
      <c r="BM454" s="2" t="s">
        <v>74</v>
      </c>
      <c r="BN454" s="2" t="s">
        <v>74</v>
      </c>
      <c r="BO454" s="2" t="s">
        <v>74</v>
      </c>
      <c r="BP454" s="2" t="s">
        <v>74</v>
      </c>
      <c r="BQ454" s="2" t="s">
        <v>74</v>
      </c>
      <c r="BR454" s="2" t="s">
        <v>74</v>
      </c>
      <c r="BS454" s="2" t="s">
        <v>6821</v>
      </c>
      <c r="BT454" s="2" t="str">
        <f>HYPERLINK("https%3A%2F%2Fwww.webofscience.com%2Fwos%2Fwoscc%2Ffull-record%2FWOS:000653231000001","View Full Record in Web of Science")</f>
        <v>View Full Record in Web of Science</v>
      </c>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row>
    <row r="455" spans="1:314" s="2" customFormat="1" x14ac:dyDescent="0.4">
      <c r="A455" s="2" t="s">
        <v>72</v>
      </c>
      <c r="B455" s="2" t="s">
        <v>7206</v>
      </c>
      <c r="C455" s="2" t="s">
        <v>74</v>
      </c>
      <c r="D455" s="2" t="s">
        <v>74</v>
      </c>
      <c r="E455" s="2" t="s">
        <v>74</v>
      </c>
      <c r="F455" s="2" t="s">
        <v>7207</v>
      </c>
      <c r="G455" s="2" t="s">
        <v>74</v>
      </c>
      <c r="H455" s="2" t="s">
        <v>74</v>
      </c>
      <c r="I455" s="2" t="s">
        <v>7208</v>
      </c>
      <c r="J455" s="2" t="s">
        <v>1237</v>
      </c>
      <c r="K455" s="2" t="s">
        <v>74</v>
      </c>
      <c r="L455" s="2" t="s">
        <v>74</v>
      </c>
      <c r="M455" s="2" t="s">
        <v>74</v>
      </c>
      <c r="N455" s="2" t="s">
        <v>74</v>
      </c>
      <c r="O455" s="2" t="s">
        <v>74</v>
      </c>
      <c r="P455" s="2" t="s">
        <v>74</v>
      </c>
      <c r="Q455" s="2" t="s">
        <v>74</v>
      </c>
      <c r="R455" s="2" t="s">
        <v>74</v>
      </c>
      <c r="S455" s="2" t="s">
        <v>74</v>
      </c>
      <c r="T455" s="2" t="s">
        <v>74</v>
      </c>
      <c r="U455" s="2" t="s">
        <v>74</v>
      </c>
      <c r="V455" s="5" t="s">
        <v>7209</v>
      </c>
      <c r="W455" s="2" t="s">
        <v>74</v>
      </c>
      <c r="X455" s="2" t="s">
        <v>74</v>
      </c>
      <c r="Y455" s="2" t="s">
        <v>74</v>
      </c>
      <c r="Z455" s="2" t="s">
        <v>74</v>
      </c>
      <c r="AA455" s="2" t="s">
        <v>74</v>
      </c>
      <c r="AB455" s="2" t="s">
        <v>74</v>
      </c>
      <c r="AC455" s="2" t="s">
        <v>74</v>
      </c>
      <c r="AD455" s="2" t="s">
        <v>74</v>
      </c>
      <c r="AE455" s="2" t="s">
        <v>74</v>
      </c>
      <c r="AF455" s="2" t="s">
        <v>74</v>
      </c>
      <c r="AG455" s="2" t="s">
        <v>74</v>
      </c>
      <c r="AH455" s="2" t="s">
        <v>74</v>
      </c>
      <c r="AI455" s="2" t="s">
        <v>74</v>
      </c>
      <c r="AJ455" s="2" t="s">
        <v>74</v>
      </c>
      <c r="AK455" s="2" t="s">
        <v>74</v>
      </c>
      <c r="AL455" s="2" t="s">
        <v>74</v>
      </c>
      <c r="AM455" s="2" t="s">
        <v>74</v>
      </c>
      <c r="AN455" s="2" t="s">
        <v>74</v>
      </c>
      <c r="AO455" s="2" t="s">
        <v>1239</v>
      </c>
      <c r="AP455" s="2" t="s">
        <v>74</v>
      </c>
      <c r="AQ455" s="2" t="s">
        <v>74</v>
      </c>
      <c r="AR455" s="2" t="s">
        <v>74</v>
      </c>
      <c r="AS455" s="2" t="s">
        <v>74</v>
      </c>
      <c r="AT455" s="2" t="s">
        <v>102</v>
      </c>
      <c r="AU455" s="2">
        <v>2009</v>
      </c>
      <c r="AV455" s="2">
        <v>87</v>
      </c>
      <c r="AW455" s="2">
        <v>6</v>
      </c>
      <c r="AX455" s="2" t="s">
        <v>74</v>
      </c>
      <c r="AY455" s="2" t="s">
        <v>74</v>
      </c>
      <c r="AZ455" s="2" t="s">
        <v>74</v>
      </c>
      <c r="BA455" s="2" t="s">
        <v>74</v>
      </c>
      <c r="BB455" s="2">
        <v>529</v>
      </c>
      <c r="BC455" s="2">
        <v>536</v>
      </c>
      <c r="BD455" s="2" t="s">
        <v>74</v>
      </c>
      <c r="BE455" s="2" t="s">
        <v>7210</v>
      </c>
      <c r="BF455" s="2" t="str">
        <f>HYPERLINK("http://dx.doi.org/10.1139/Z09-039","http://dx.doi.org/10.1139/Z09-039")</f>
        <v>http://dx.doi.org/10.1139/Z09-039</v>
      </c>
      <c r="BG455" s="2" t="s">
        <v>74</v>
      </c>
      <c r="BH455" s="2" t="s">
        <v>74</v>
      </c>
      <c r="BI455" s="2" t="s">
        <v>74</v>
      </c>
      <c r="BJ455" s="2" t="s">
        <v>74</v>
      </c>
      <c r="BK455" s="2" t="s">
        <v>74</v>
      </c>
      <c r="BL455" s="2" t="s">
        <v>74</v>
      </c>
      <c r="BM455" s="2" t="s">
        <v>74</v>
      </c>
      <c r="BN455" s="2" t="s">
        <v>74</v>
      </c>
      <c r="BO455" s="2" t="s">
        <v>74</v>
      </c>
      <c r="BP455" s="2" t="s">
        <v>74</v>
      </c>
      <c r="BQ455" s="2" t="s">
        <v>74</v>
      </c>
      <c r="BR455" s="2" t="s">
        <v>74</v>
      </c>
      <c r="BS455" s="2" t="s">
        <v>7211</v>
      </c>
      <c r="BT455" s="2" t="str">
        <f>HYPERLINK("https%3A%2F%2Fwww.webofscience.com%2Fwos%2Fwoscc%2Ffull-record%2FWOS:000267075500008","View Full Record in Web of Science")</f>
        <v>View Full Record in Web of Science</v>
      </c>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row>
    <row r="456" spans="1:314" s="2" customFormat="1" x14ac:dyDescent="0.4">
      <c r="A456" s="2" t="s">
        <v>72</v>
      </c>
      <c r="B456" s="2" t="s">
        <v>4257</v>
      </c>
      <c r="C456" s="2" t="s">
        <v>74</v>
      </c>
      <c r="D456" s="2" t="s">
        <v>74</v>
      </c>
      <c r="E456" s="2" t="s">
        <v>74</v>
      </c>
      <c r="F456" s="2" t="s">
        <v>4257</v>
      </c>
      <c r="G456" s="2" t="s">
        <v>74</v>
      </c>
      <c r="H456" s="2" t="s">
        <v>74</v>
      </c>
      <c r="I456" s="2" t="s">
        <v>4258</v>
      </c>
      <c r="J456" s="2" t="s">
        <v>431</v>
      </c>
      <c r="K456" s="2" t="s">
        <v>74</v>
      </c>
      <c r="L456" s="2" t="s">
        <v>74</v>
      </c>
      <c r="M456" s="2" t="s">
        <v>74</v>
      </c>
      <c r="N456" s="2" t="s">
        <v>74</v>
      </c>
      <c r="O456" s="2" t="s">
        <v>74</v>
      </c>
      <c r="P456" s="2" t="s">
        <v>74</v>
      </c>
      <c r="Q456" s="2" t="s">
        <v>74</v>
      </c>
      <c r="R456" s="2" t="s">
        <v>74</v>
      </c>
      <c r="S456" s="2" t="s">
        <v>74</v>
      </c>
      <c r="T456" s="2" t="s">
        <v>74</v>
      </c>
      <c r="U456" s="2" t="s">
        <v>74</v>
      </c>
      <c r="V456" s="5" t="s">
        <v>4259</v>
      </c>
      <c r="W456" s="2" t="s">
        <v>74</v>
      </c>
      <c r="X456" s="2" t="s">
        <v>74</v>
      </c>
      <c r="Y456" s="2" t="s">
        <v>74</v>
      </c>
      <c r="Z456" s="2" t="s">
        <v>74</v>
      </c>
      <c r="AA456" s="2" t="s">
        <v>74</v>
      </c>
      <c r="AB456" s="2" t="s">
        <v>74</v>
      </c>
      <c r="AC456" s="2" t="s">
        <v>74</v>
      </c>
      <c r="AD456" s="2" t="s">
        <v>74</v>
      </c>
      <c r="AE456" s="2" t="s">
        <v>74</v>
      </c>
      <c r="AF456" s="2" t="s">
        <v>74</v>
      </c>
      <c r="AG456" s="2" t="s">
        <v>74</v>
      </c>
      <c r="AH456" s="2" t="s">
        <v>74</v>
      </c>
      <c r="AI456" s="2" t="s">
        <v>74</v>
      </c>
      <c r="AJ456" s="2" t="s">
        <v>74</v>
      </c>
      <c r="AK456" s="2" t="s">
        <v>74</v>
      </c>
      <c r="AL456" s="2" t="s">
        <v>74</v>
      </c>
      <c r="AM456" s="2" t="s">
        <v>74</v>
      </c>
      <c r="AN456" s="2" t="s">
        <v>74</v>
      </c>
      <c r="AO456" s="2" t="s">
        <v>74</v>
      </c>
      <c r="AP456" s="2" t="s">
        <v>435</v>
      </c>
      <c r="AQ456" s="2" t="s">
        <v>74</v>
      </c>
      <c r="AR456" s="2" t="s">
        <v>74</v>
      </c>
      <c r="AS456" s="2" t="s">
        <v>74</v>
      </c>
      <c r="AT456" s="2" t="s">
        <v>204</v>
      </c>
      <c r="AU456" s="2">
        <v>1987</v>
      </c>
      <c r="AV456" s="2">
        <v>104</v>
      </c>
      <c r="AW456" s="2">
        <v>3</v>
      </c>
      <c r="AX456" s="2" t="s">
        <v>74</v>
      </c>
      <c r="AY456" s="2" t="s">
        <v>74</v>
      </c>
      <c r="AZ456" s="2" t="s">
        <v>74</v>
      </c>
      <c r="BA456" s="2" t="s">
        <v>74</v>
      </c>
      <c r="BB456" s="2">
        <v>444</v>
      </c>
      <c r="BC456" s="2">
        <v>449</v>
      </c>
      <c r="BD456" s="2" t="s">
        <v>74</v>
      </c>
      <c r="BE456" s="2" t="s">
        <v>4260</v>
      </c>
      <c r="BF456" s="2" t="str">
        <f>HYPERLINK("http://dx.doi.org/10.2307/4087543","http://dx.doi.org/10.2307/4087543")</f>
        <v>http://dx.doi.org/10.2307/4087543</v>
      </c>
      <c r="BG456" s="2" t="s">
        <v>74</v>
      </c>
      <c r="BH456" s="2" t="s">
        <v>74</v>
      </c>
      <c r="BI456" s="2" t="s">
        <v>74</v>
      </c>
      <c r="BJ456" s="2" t="s">
        <v>74</v>
      </c>
      <c r="BK456" s="2" t="s">
        <v>74</v>
      </c>
      <c r="BL456" s="2" t="s">
        <v>74</v>
      </c>
      <c r="BM456" s="2" t="s">
        <v>74</v>
      </c>
      <c r="BN456" s="2" t="s">
        <v>74</v>
      </c>
      <c r="BO456" s="2" t="s">
        <v>74</v>
      </c>
      <c r="BP456" s="2" t="s">
        <v>74</v>
      </c>
      <c r="BQ456" s="2" t="s">
        <v>74</v>
      </c>
      <c r="BR456" s="2" t="s">
        <v>74</v>
      </c>
      <c r="BS456" s="2" t="s">
        <v>4261</v>
      </c>
      <c r="BT456" s="2" t="str">
        <f>HYPERLINK("https%3A%2F%2Fwww.webofscience.com%2Fwos%2Fwoscc%2Ffull-record%2FWOS:A1987J266100010","View Full Record in Web of Science")</f>
        <v>View Full Record in Web of Science</v>
      </c>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row>
    <row r="457" spans="1:314" s="2" customFormat="1" x14ac:dyDescent="0.4">
      <c r="A457" s="2" t="s">
        <v>72</v>
      </c>
      <c r="B457" s="2" t="s">
        <v>2794</v>
      </c>
      <c r="C457" s="2" t="s">
        <v>74</v>
      </c>
      <c r="D457" s="2" t="s">
        <v>74</v>
      </c>
      <c r="E457" s="2" t="s">
        <v>74</v>
      </c>
      <c r="F457" s="2" t="s">
        <v>2795</v>
      </c>
      <c r="G457" s="2" t="s">
        <v>74</v>
      </c>
      <c r="H457" s="2" t="s">
        <v>74</v>
      </c>
      <c r="I457" s="2" t="s">
        <v>2796</v>
      </c>
      <c r="J457" s="2" t="s">
        <v>1656</v>
      </c>
      <c r="K457" s="2" t="s">
        <v>74</v>
      </c>
      <c r="L457" s="2" t="s">
        <v>74</v>
      </c>
      <c r="M457" s="2" t="s">
        <v>74</v>
      </c>
      <c r="N457" s="2" t="s">
        <v>74</v>
      </c>
      <c r="O457" s="2" t="s">
        <v>74</v>
      </c>
      <c r="P457" s="2" t="s">
        <v>74</v>
      </c>
      <c r="Q457" s="2" t="s">
        <v>74</v>
      </c>
      <c r="R457" s="2" t="s">
        <v>74</v>
      </c>
      <c r="S457" s="2" t="s">
        <v>74</v>
      </c>
      <c r="T457" s="2" t="s">
        <v>74</v>
      </c>
      <c r="U457" s="2" t="s">
        <v>74</v>
      </c>
      <c r="V457" s="5" t="s">
        <v>2797</v>
      </c>
      <c r="W457" s="2" t="s">
        <v>74</v>
      </c>
      <c r="X457" s="2" t="s">
        <v>74</v>
      </c>
      <c r="Y457" s="2" t="s">
        <v>74</v>
      </c>
      <c r="Z457" s="2" t="s">
        <v>74</v>
      </c>
      <c r="AA457" s="2" t="s">
        <v>2798</v>
      </c>
      <c r="AB457" s="2" t="s">
        <v>2799</v>
      </c>
      <c r="AC457" s="2" t="s">
        <v>74</v>
      </c>
      <c r="AD457" s="2" t="s">
        <v>74</v>
      </c>
      <c r="AE457" s="2" t="s">
        <v>74</v>
      </c>
      <c r="AF457" s="2" t="s">
        <v>74</v>
      </c>
      <c r="AG457" s="2" t="s">
        <v>74</v>
      </c>
      <c r="AH457" s="2" t="s">
        <v>74</v>
      </c>
      <c r="AI457" s="2" t="s">
        <v>74</v>
      </c>
      <c r="AJ457" s="2" t="s">
        <v>74</v>
      </c>
      <c r="AK457" s="2" t="s">
        <v>74</v>
      </c>
      <c r="AL457" s="2" t="s">
        <v>74</v>
      </c>
      <c r="AM457" s="2" t="s">
        <v>74</v>
      </c>
      <c r="AN457" s="2" t="s">
        <v>74</v>
      </c>
      <c r="AO457" s="2" t="s">
        <v>1658</v>
      </c>
      <c r="AP457" s="2" t="s">
        <v>1659</v>
      </c>
      <c r="AQ457" s="2" t="s">
        <v>74</v>
      </c>
      <c r="AR457" s="2" t="s">
        <v>74</v>
      </c>
      <c r="AS457" s="2" t="s">
        <v>74</v>
      </c>
      <c r="AT457" s="2" t="s">
        <v>2800</v>
      </c>
      <c r="AU457" s="2">
        <v>2013</v>
      </c>
      <c r="AV457" s="2">
        <v>3700</v>
      </c>
      <c r="AW457" s="2">
        <v>3</v>
      </c>
      <c r="AX457" s="2" t="s">
        <v>74</v>
      </c>
      <c r="AY457" s="2" t="s">
        <v>74</v>
      </c>
      <c r="AZ457" s="2" t="s">
        <v>74</v>
      </c>
      <c r="BA457" s="2" t="s">
        <v>74</v>
      </c>
      <c r="BB457" s="2">
        <v>348</v>
      </c>
      <c r="BC457" s="2">
        <v>360</v>
      </c>
      <c r="BD457" s="2" t="s">
        <v>74</v>
      </c>
      <c r="BE457" s="2" t="s">
        <v>2801</v>
      </c>
      <c r="BF457" s="2" t="str">
        <f>HYPERLINK("http://dx.doi.org/10.11646/zootaxa.3700.3.2","http://dx.doi.org/10.11646/zootaxa.3700.3.2")</f>
        <v>http://dx.doi.org/10.11646/zootaxa.3700.3.2</v>
      </c>
      <c r="BG457" s="2" t="s">
        <v>74</v>
      </c>
      <c r="BH457" s="2" t="s">
        <v>74</v>
      </c>
      <c r="BI457" s="2" t="s">
        <v>74</v>
      </c>
      <c r="BJ457" s="2" t="s">
        <v>74</v>
      </c>
      <c r="BK457" s="2" t="s">
        <v>74</v>
      </c>
      <c r="BL457" s="2" t="s">
        <v>74</v>
      </c>
      <c r="BM457" s="2" t="s">
        <v>74</v>
      </c>
      <c r="BN457" s="2">
        <v>26106731</v>
      </c>
      <c r="BO457" s="2" t="s">
        <v>74</v>
      </c>
      <c r="BP457" s="2" t="s">
        <v>74</v>
      </c>
      <c r="BQ457" s="2" t="s">
        <v>74</v>
      </c>
      <c r="BR457" s="2" t="s">
        <v>74</v>
      </c>
      <c r="BS457" s="2" t="s">
        <v>2802</v>
      </c>
      <c r="BT457" s="2" t="str">
        <f>HYPERLINK("https%3A%2F%2Fwww.webofscience.com%2Fwos%2Fwoscc%2Ffull-record%2FWOS:000323105800002","View Full Record in Web of Science")</f>
        <v>View Full Record in Web of Science</v>
      </c>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row>
    <row r="458" spans="1:314" s="2" customFormat="1" x14ac:dyDescent="0.4">
      <c r="A458" s="2" t="s">
        <v>72</v>
      </c>
      <c r="B458" s="2" t="s">
        <v>6424</v>
      </c>
      <c r="C458" s="2" t="s">
        <v>74</v>
      </c>
      <c r="D458" s="2" t="s">
        <v>74</v>
      </c>
      <c r="E458" s="2" t="s">
        <v>74</v>
      </c>
      <c r="F458" s="2" t="s">
        <v>6425</v>
      </c>
      <c r="G458" s="2" t="s">
        <v>74</v>
      </c>
      <c r="H458" s="2" t="s">
        <v>74</v>
      </c>
      <c r="I458" s="2" t="s">
        <v>6426</v>
      </c>
      <c r="J458" s="2" t="s">
        <v>6427</v>
      </c>
      <c r="K458" s="2" t="s">
        <v>74</v>
      </c>
      <c r="L458" s="2" t="s">
        <v>74</v>
      </c>
      <c r="M458" s="2" t="s">
        <v>74</v>
      </c>
      <c r="N458" s="2" t="s">
        <v>74</v>
      </c>
      <c r="O458" s="2" t="s">
        <v>74</v>
      </c>
      <c r="P458" s="2" t="s">
        <v>74</v>
      </c>
      <c r="Q458" s="2" t="s">
        <v>74</v>
      </c>
      <c r="R458" s="2" t="s">
        <v>74</v>
      </c>
      <c r="S458" s="2" t="s">
        <v>74</v>
      </c>
      <c r="T458" s="2" t="s">
        <v>74</v>
      </c>
      <c r="U458" s="2" t="s">
        <v>74</v>
      </c>
      <c r="V458" s="5" t="s">
        <v>6428</v>
      </c>
      <c r="W458" s="2" t="s">
        <v>74</v>
      </c>
      <c r="X458" s="2" t="s">
        <v>74</v>
      </c>
      <c r="Y458" s="2" t="s">
        <v>74</v>
      </c>
      <c r="Z458" s="2" t="s">
        <v>74</v>
      </c>
      <c r="AA458" s="2" t="s">
        <v>6429</v>
      </c>
      <c r="AB458" s="2" t="s">
        <v>6430</v>
      </c>
      <c r="AC458" s="2" t="s">
        <v>74</v>
      </c>
      <c r="AD458" s="2" t="s">
        <v>74</v>
      </c>
      <c r="AE458" s="2" t="s">
        <v>74</v>
      </c>
      <c r="AF458" s="2" t="s">
        <v>74</v>
      </c>
      <c r="AG458" s="2" t="s">
        <v>74</v>
      </c>
      <c r="AH458" s="2" t="s">
        <v>74</v>
      </c>
      <c r="AI458" s="2" t="s">
        <v>74</v>
      </c>
      <c r="AJ458" s="2" t="s">
        <v>74</v>
      </c>
      <c r="AK458" s="2" t="s">
        <v>74</v>
      </c>
      <c r="AL458" s="2" t="s">
        <v>74</v>
      </c>
      <c r="AM458" s="2" t="s">
        <v>74</v>
      </c>
      <c r="AN458" s="2" t="s">
        <v>74</v>
      </c>
      <c r="AO458" s="2" t="s">
        <v>6431</v>
      </c>
      <c r="AP458" s="2" t="s">
        <v>74</v>
      </c>
      <c r="AQ458" s="2" t="s">
        <v>74</v>
      </c>
      <c r="AR458" s="2" t="s">
        <v>74</v>
      </c>
      <c r="AS458" s="2" t="s">
        <v>74</v>
      </c>
      <c r="AT458" s="2" t="s">
        <v>113</v>
      </c>
      <c r="AU458" s="2">
        <v>2023</v>
      </c>
      <c r="AV458" s="2">
        <v>59</v>
      </c>
      <c r="AW458" s="2">
        <v>3</v>
      </c>
      <c r="AX458" s="2" t="s">
        <v>74</v>
      </c>
      <c r="AY458" s="2" t="s">
        <v>74</v>
      </c>
      <c r="AZ458" s="2" t="s">
        <v>74</v>
      </c>
      <c r="BA458" s="2" t="s">
        <v>74</v>
      </c>
      <c r="BB458" s="2">
        <v>239</v>
      </c>
      <c r="BC458" s="2">
        <v>261</v>
      </c>
      <c r="BD458" s="2" t="s">
        <v>74</v>
      </c>
      <c r="BE458" s="2" t="s">
        <v>74</v>
      </c>
      <c r="BF458" s="2" t="s">
        <v>74</v>
      </c>
      <c r="BG458" s="2" t="s">
        <v>74</v>
      </c>
      <c r="BH458" s="2" t="s">
        <v>74</v>
      </c>
      <c r="BI458" s="2" t="s">
        <v>74</v>
      </c>
      <c r="BJ458" s="2" t="s">
        <v>74</v>
      </c>
      <c r="BK458" s="2" t="s">
        <v>74</v>
      </c>
      <c r="BL458" s="2" t="s">
        <v>74</v>
      </c>
      <c r="BM458" s="2" t="s">
        <v>74</v>
      </c>
      <c r="BN458" s="2" t="s">
        <v>74</v>
      </c>
      <c r="BO458" s="2" t="s">
        <v>74</v>
      </c>
      <c r="BP458" s="2" t="s">
        <v>74</v>
      </c>
      <c r="BQ458" s="2" t="s">
        <v>74</v>
      </c>
      <c r="BR458" s="2" t="s">
        <v>74</v>
      </c>
      <c r="BS458" s="2" t="s">
        <v>6432</v>
      </c>
      <c r="BT458" s="2" t="str">
        <f>HYPERLINK("https%3A%2F%2Fwww.webofscience.com%2Fwos%2Fwoscc%2Ffull-record%2FWOS:001051428100001","View Full Record in Web of Science")</f>
        <v>View Full Record in Web of Science</v>
      </c>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row>
    <row r="459" spans="1:314" s="2" customFormat="1" x14ac:dyDescent="0.4">
      <c r="A459" s="2" t="s">
        <v>72</v>
      </c>
      <c r="B459" s="2" t="s">
        <v>7841</v>
      </c>
      <c r="C459" s="2" t="s">
        <v>74</v>
      </c>
      <c r="D459" s="2" t="s">
        <v>74</v>
      </c>
      <c r="E459" s="2" t="s">
        <v>74</v>
      </c>
      <c r="F459" s="2" t="s">
        <v>7842</v>
      </c>
      <c r="G459" s="2" t="s">
        <v>74</v>
      </c>
      <c r="H459" s="2" t="s">
        <v>74</v>
      </c>
      <c r="I459" s="2" t="s">
        <v>7843</v>
      </c>
      <c r="J459" s="2" t="s">
        <v>7612</v>
      </c>
      <c r="K459" s="2" t="s">
        <v>74</v>
      </c>
      <c r="L459" s="2" t="s">
        <v>74</v>
      </c>
      <c r="M459" s="2" t="s">
        <v>74</v>
      </c>
      <c r="N459" s="2" t="s">
        <v>74</v>
      </c>
      <c r="O459" s="2" t="s">
        <v>74</v>
      </c>
      <c r="P459" s="2" t="s">
        <v>74</v>
      </c>
      <c r="Q459" s="2" t="s">
        <v>74</v>
      </c>
      <c r="R459" s="2" t="s">
        <v>74</v>
      </c>
      <c r="S459" s="2" t="s">
        <v>74</v>
      </c>
      <c r="T459" s="2" t="s">
        <v>74</v>
      </c>
      <c r="U459" s="2" t="s">
        <v>74</v>
      </c>
      <c r="V459" s="5" t="s">
        <v>7844</v>
      </c>
      <c r="W459" s="2" t="s">
        <v>74</v>
      </c>
      <c r="X459" s="2" t="s">
        <v>74</v>
      </c>
      <c r="Y459" s="2" t="s">
        <v>74</v>
      </c>
      <c r="Z459" s="2" t="s">
        <v>74</v>
      </c>
      <c r="AA459" s="2" t="s">
        <v>74</v>
      </c>
      <c r="AB459" s="2" t="s">
        <v>7845</v>
      </c>
      <c r="AC459" s="2" t="s">
        <v>74</v>
      </c>
      <c r="AD459" s="2" t="s">
        <v>74</v>
      </c>
      <c r="AE459" s="2" t="s">
        <v>74</v>
      </c>
      <c r="AF459" s="2" t="s">
        <v>74</v>
      </c>
      <c r="AG459" s="2" t="s">
        <v>74</v>
      </c>
      <c r="AH459" s="2" t="s">
        <v>74</v>
      </c>
      <c r="AI459" s="2" t="s">
        <v>74</v>
      </c>
      <c r="AJ459" s="2" t="s">
        <v>74</v>
      </c>
      <c r="AK459" s="2" t="s">
        <v>74</v>
      </c>
      <c r="AL459" s="2" t="s">
        <v>74</v>
      </c>
      <c r="AM459" s="2" t="s">
        <v>74</v>
      </c>
      <c r="AN459" s="2" t="s">
        <v>74</v>
      </c>
      <c r="AO459" s="2" t="s">
        <v>7615</v>
      </c>
      <c r="AP459" s="2" t="s">
        <v>7616</v>
      </c>
      <c r="AQ459" s="2" t="s">
        <v>74</v>
      </c>
      <c r="AR459" s="2" t="s">
        <v>74</v>
      </c>
      <c r="AS459" s="2" t="s">
        <v>74</v>
      </c>
      <c r="AT459" s="2" t="s">
        <v>7846</v>
      </c>
      <c r="AU459" s="2">
        <v>2023</v>
      </c>
      <c r="AV459" s="2">
        <v>2023</v>
      </c>
      <c r="AW459" s="2" t="s">
        <v>74</v>
      </c>
      <c r="AX459" s="2" t="s">
        <v>74</v>
      </c>
      <c r="AY459" s="2" t="s">
        <v>74</v>
      </c>
      <c r="AZ459" s="2" t="s">
        <v>74</v>
      </c>
      <c r="BA459" s="2" t="s">
        <v>74</v>
      </c>
      <c r="BB459" s="2" t="s">
        <v>74</v>
      </c>
      <c r="BC459" s="2" t="s">
        <v>74</v>
      </c>
      <c r="BD459" s="2">
        <v>8868453</v>
      </c>
      <c r="BE459" s="2" t="s">
        <v>7847</v>
      </c>
      <c r="BF459" s="2" t="str">
        <f>HYPERLINK("http://dx.doi.org/10.1155/2023/8868453","http://dx.doi.org/10.1155/2023/8868453")</f>
        <v>http://dx.doi.org/10.1155/2023/8868453</v>
      </c>
      <c r="BG459" s="2" t="s">
        <v>74</v>
      </c>
      <c r="BH459" s="2" t="s">
        <v>74</v>
      </c>
      <c r="BI459" s="2" t="s">
        <v>74</v>
      </c>
      <c r="BJ459" s="2" t="s">
        <v>74</v>
      </c>
      <c r="BK459" s="2" t="s">
        <v>74</v>
      </c>
      <c r="BL459" s="2" t="s">
        <v>74</v>
      </c>
      <c r="BM459" s="2" t="s">
        <v>74</v>
      </c>
      <c r="BN459" s="2" t="s">
        <v>74</v>
      </c>
      <c r="BO459" s="2" t="s">
        <v>74</v>
      </c>
      <c r="BP459" s="2" t="s">
        <v>74</v>
      </c>
      <c r="BQ459" s="2" t="s">
        <v>74</v>
      </c>
      <c r="BR459" s="2" t="s">
        <v>74</v>
      </c>
      <c r="BS459" s="2" t="s">
        <v>7848</v>
      </c>
      <c r="BT459" s="2" t="str">
        <f>HYPERLINK("https%3A%2F%2Fwww.webofscience.com%2Fwos%2Fwoscc%2Ffull-record%2FWOS:000982639500001","View Full Record in Web of Science")</f>
        <v>View Full Record in Web of Science</v>
      </c>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row>
    <row r="460" spans="1:314" s="2" customFormat="1" x14ac:dyDescent="0.4">
      <c r="A460" s="2" t="s">
        <v>72</v>
      </c>
      <c r="B460" s="2" t="s">
        <v>7002</v>
      </c>
      <c r="C460" s="2" t="s">
        <v>74</v>
      </c>
      <c r="D460" s="2" t="s">
        <v>74</v>
      </c>
      <c r="E460" s="2" t="s">
        <v>74</v>
      </c>
      <c r="F460" s="2" t="s">
        <v>7002</v>
      </c>
      <c r="G460" s="2" t="s">
        <v>74</v>
      </c>
      <c r="H460" s="2" t="s">
        <v>74</v>
      </c>
      <c r="I460" s="2" t="s">
        <v>7003</v>
      </c>
      <c r="J460" s="2" t="s">
        <v>140</v>
      </c>
      <c r="K460" s="2" t="s">
        <v>74</v>
      </c>
      <c r="L460" s="2" t="s">
        <v>74</v>
      </c>
      <c r="M460" s="2" t="s">
        <v>74</v>
      </c>
      <c r="N460" s="2" t="s">
        <v>74</v>
      </c>
      <c r="O460" s="2" t="s">
        <v>74</v>
      </c>
      <c r="P460" s="2" t="s">
        <v>74</v>
      </c>
      <c r="Q460" s="2" t="s">
        <v>74</v>
      </c>
      <c r="R460" s="2" t="s">
        <v>74</v>
      </c>
      <c r="S460" s="2" t="s">
        <v>74</v>
      </c>
      <c r="T460" s="2" t="s">
        <v>74</v>
      </c>
      <c r="U460" s="2" t="s">
        <v>74</v>
      </c>
      <c r="V460" s="5" t="s">
        <v>7004</v>
      </c>
      <c r="W460" s="2" t="s">
        <v>74</v>
      </c>
      <c r="X460" s="2" t="s">
        <v>74</v>
      </c>
      <c r="Y460" s="2" t="s">
        <v>74</v>
      </c>
      <c r="Z460" s="2" t="s">
        <v>74</v>
      </c>
      <c r="AA460" s="2" t="s">
        <v>74</v>
      </c>
      <c r="AB460" s="2" t="s">
        <v>74</v>
      </c>
      <c r="AC460" s="2" t="s">
        <v>74</v>
      </c>
      <c r="AD460" s="2" t="s">
        <v>74</v>
      </c>
      <c r="AE460" s="2" t="s">
        <v>74</v>
      </c>
      <c r="AF460" s="2" t="s">
        <v>74</v>
      </c>
      <c r="AG460" s="2" t="s">
        <v>74</v>
      </c>
      <c r="AH460" s="2" t="s">
        <v>74</v>
      </c>
      <c r="AI460" s="2" t="s">
        <v>74</v>
      </c>
      <c r="AJ460" s="2" t="s">
        <v>74</v>
      </c>
      <c r="AK460" s="2" t="s">
        <v>74</v>
      </c>
      <c r="AL460" s="2" t="s">
        <v>74</v>
      </c>
      <c r="AM460" s="2" t="s">
        <v>74</v>
      </c>
      <c r="AN460" s="2" t="s">
        <v>74</v>
      </c>
      <c r="AO460" s="2" t="s">
        <v>143</v>
      </c>
      <c r="AP460" s="2" t="s">
        <v>144</v>
      </c>
      <c r="AQ460" s="2" t="s">
        <v>74</v>
      </c>
      <c r="AR460" s="2" t="s">
        <v>74</v>
      </c>
      <c r="AS460" s="2" t="s">
        <v>74</v>
      </c>
      <c r="AT460" s="2" t="s">
        <v>633</v>
      </c>
      <c r="AU460" s="2">
        <v>2005</v>
      </c>
      <c r="AV460" s="2">
        <v>69</v>
      </c>
      <c r="AW460" s="2" t="s">
        <v>74</v>
      </c>
      <c r="AX460" s="2">
        <v>4</v>
      </c>
      <c r="AY460" s="2" t="s">
        <v>74</v>
      </c>
      <c r="AZ460" s="2" t="s">
        <v>74</v>
      </c>
      <c r="BA460" s="2" t="s">
        <v>74</v>
      </c>
      <c r="BB460" s="2">
        <v>999</v>
      </c>
      <c r="BC460" s="2">
        <v>1005</v>
      </c>
      <c r="BD460" s="2" t="s">
        <v>74</v>
      </c>
      <c r="BE460" s="2" t="s">
        <v>7005</v>
      </c>
      <c r="BF460" s="2" t="str">
        <f>HYPERLINK("http://dx.doi.org/10.1016/j.anbehav.2004.07.016","http://dx.doi.org/10.1016/j.anbehav.2004.07.016")</f>
        <v>http://dx.doi.org/10.1016/j.anbehav.2004.07.016</v>
      </c>
      <c r="BG460" s="2" t="s">
        <v>74</v>
      </c>
      <c r="BH460" s="2" t="s">
        <v>74</v>
      </c>
      <c r="BI460" s="2" t="s">
        <v>74</v>
      </c>
      <c r="BJ460" s="2" t="s">
        <v>74</v>
      </c>
      <c r="BK460" s="2" t="s">
        <v>74</v>
      </c>
      <c r="BL460" s="2" t="s">
        <v>74</v>
      </c>
      <c r="BM460" s="2" t="s">
        <v>74</v>
      </c>
      <c r="BN460" s="2" t="s">
        <v>74</v>
      </c>
      <c r="BO460" s="2" t="s">
        <v>74</v>
      </c>
      <c r="BP460" s="2" t="s">
        <v>74</v>
      </c>
      <c r="BQ460" s="2" t="s">
        <v>74</v>
      </c>
      <c r="BR460" s="2" t="s">
        <v>74</v>
      </c>
      <c r="BS460" s="2" t="s">
        <v>7006</v>
      </c>
      <c r="BT460" s="2" t="str">
        <f>HYPERLINK("https%3A%2F%2Fwww.webofscience.com%2Fwos%2Fwoscc%2Ffull-record%2FWOS:000228511900028","View Full Record in Web of Science")</f>
        <v>View Full Record in Web of Science</v>
      </c>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row>
    <row r="461" spans="1:314" s="2" customFormat="1" x14ac:dyDescent="0.4">
      <c r="A461" s="2" t="s">
        <v>72</v>
      </c>
      <c r="B461" s="2" t="s">
        <v>4143</v>
      </c>
      <c r="C461" s="2" t="s">
        <v>74</v>
      </c>
      <c r="D461" s="2" t="s">
        <v>74</v>
      </c>
      <c r="E461" s="2" t="s">
        <v>74</v>
      </c>
      <c r="F461" s="2" t="s">
        <v>4143</v>
      </c>
      <c r="G461" s="2" t="s">
        <v>74</v>
      </c>
      <c r="H461" s="2" t="s">
        <v>74</v>
      </c>
      <c r="I461" s="2" t="s">
        <v>4144</v>
      </c>
      <c r="J461" s="2" t="s">
        <v>4145</v>
      </c>
      <c r="K461" s="2" t="s">
        <v>74</v>
      </c>
      <c r="L461" s="2" t="s">
        <v>74</v>
      </c>
      <c r="M461" s="2" t="s">
        <v>74</v>
      </c>
      <c r="N461" s="2" t="s">
        <v>74</v>
      </c>
      <c r="O461" s="2" t="s">
        <v>74</v>
      </c>
      <c r="P461" s="2" t="s">
        <v>74</v>
      </c>
      <c r="Q461" s="2" t="s">
        <v>74</v>
      </c>
      <c r="R461" s="2" t="s">
        <v>74</v>
      </c>
      <c r="S461" s="2" t="s">
        <v>74</v>
      </c>
      <c r="T461" s="2" t="s">
        <v>74</v>
      </c>
      <c r="U461" s="2" t="s">
        <v>74</v>
      </c>
      <c r="V461" s="5" t="s">
        <v>4146</v>
      </c>
      <c r="W461" s="2" t="s">
        <v>74</v>
      </c>
      <c r="X461" s="2" t="s">
        <v>74</v>
      </c>
      <c r="Y461" s="2" t="s">
        <v>74</v>
      </c>
      <c r="Z461" s="2" t="s">
        <v>74</v>
      </c>
      <c r="AA461" s="2" t="s">
        <v>74</v>
      </c>
      <c r="AB461" s="2" t="s">
        <v>74</v>
      </c>
      <c r="AC461" s="2" t="s">
        <v>74</v>
      </c>
      <c r="AD461" s="2" t="s">
        <v>74</v>
      </c>
      <c r="AE461" s="2" t="s">
        <v>74</v>
      </c>
      <c r="AF461" s="2" t="s">
        <v>74</v>
      </c>
      <c r="AG461" s="2" t="s">
        <v>74</v>
      </c>
      <c r="AH461" s="2" t="s">
        <v>74</v>
      </c>
      <c r="AI461" s="2" t="s">
        <v>74</v>
      </c>
      <c r="AJ461" s="2" t="s">
        <v>74</v>
      </c>
      <c r="AK461" s="2" t="s">
        <v>74</v>
      </c>
      <c r="AL461" s="2" t="s">
        <v>74</v>
      </c>
      <c r="AM461" s="2" t="s">
        <v>74</v>
      </c>
      <c r="AN461" s="2" t="s">
        <v>74</v>
      </c>
      <c r="AO461" s="2" t="s">
        <v>4147</v>
      </c>
      <c r="AP461" s="2" t="s">
        <v>74</v>
      </c>
      <c r="AQ461" s="2" t="s">
        <v>74</v>
      </c>
      <c r="AR461" s="2" t="s">
        <v>74</v>
      </c>
      <c r="AS461" s="2" t="s">
        <v>74</v>
      </c>
      <c r="AT461" s="2" t="s">
        <v>964</v>
      </c>
      <c r="AU461" s="2">
        <v>2003</v>
      </c>
      <c r="AV461" s="2">
        <v>189</v>
      </c>
      <c r="AW461" s="2">
        <v>2</v>
      </c>
      <c r="AX461" s="2" t="s">
        <v>74</v>
      </c>
      <c r="AY461" s="2" t="s">
        <v>74</v>
      </c>
      <c r="AZ461" s="2" t="s">
        <v>74</v>
      </c>
      <c r="BA461" s="2" t="s">
        <v>74</v>
      </c>
      <c r="BB461" s="2">
        <v>135</v>
      </c>
      <c r="BC461" s="2">
        <v>142</v>
      </c>
      <c r="BD461" s="2" t="s">
        <v>74</v>
      </c>
      <c r="BE461" s="2" t="s">
        <v>4148</v>
      </c>
      <c r="BF461" s="2" t="str">
        <f>HYPERLINK("http://dx.doi.org/10.1007/s00359-002-0385-8","http://dx.doi.org/10.1007/s00359-002-0385-8")</f>
        <v>http://dx.doi.org/10.1007/s00359-002-0385-8</v>
      </c>
      <c r="BG461" s="2" t="s">
        <v>74</v>
      </c>
      <c r="BH461" s="2" t="s">
        <v>74</v>
      </c>
      <c r="BI461" s="2" t="s">
        <v>74</v>
      </c>
      <c r="BJ461" s="2" t="s">
        <v>74</v>
      </c>
      <c r="BK461" s="2" t="s">
        <v>74</v>
      </c>
      <c r="BL461" s="2" t="s">
        <v>74</v>
      </c>
      <c r="BM461" s="2" t="s">
        <v>74</v>
      </c>
      <c r="BN461" s="2">
        <v>12607042</v>
      </c>
      <c r="BO461" s="2" t="s">
        <v>74</v>
      </c>
      <c r="BP461" s="2" t="s">
        <v>74</v>
      </c>
      <c r="BQ461" s="2" t="s">
        <v>74</v>
      </c>
      <c r="BR461" s="2" t="s">
        <v>74</v>
      </c>
      <c r="BS461" s="2" t="s">
        <v>4149</v>
      </c>
      <c r="BT461" s="2" t="str">
        <f>HYPERLINK("https%3A%2F%2Fwww.webofscience.com%2Fwos%2Fwoscc%2Ffull-record%2FWOS:000181896800007","View Full Record in Web of Science")</f>
        <v>View Full Record in Web of Science</v>
      </c>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row>
    <row r="462" spans="1:314" s="2" customFormat="1" x14ac:dyDescent="0.4">
      <c r="A462" s="2" t="s">
        <v>72</v>
      </c>
      <c r="B462" s="2" t="s">
        <v>7768</v>
      </c>
      <c r="C462" s="2" t="s">
        <v>74</v>
      </c>
      <c r="D462" s="2" t="s">
        <v>74</v>
      </c>
      <c r="E462" s="2" t="s">
        <v>74</v>
      </c>
      <c r="F462" s="2" t="s">
        <v>7769</v>
      </c>
      <c r="G462" s="2" t="s">
        <v>74</v>
      </c>
      <c r="H462" s="2" t="s">
        <v>74</v>
      </c>
      <c r="I462" s="2" t="s">
        <v>7770</v>
      </c>
      <c r="J462" s="2" t="s">
        <v>1656</v>
      </c>
      <c r="K462" s="2" t="s">
        <v>74</v>
      </c>
      <c r="L462" s="2" t="s">
        <v>74</v>
      </c>
      <c r="M462" s="2" t="s">
        <v>74</v>
      </c>
      <c r="N462" s="2" t="s">
        <v>74</v>
      </c>
      <c r="O462" s="2" t="s">
        <v>74</v>
      </c>
      <c r="P462" s="2" t="s">
        <v>74</v>
      </c>
      <c r="Q462" s="2" t="s">
        <v>74</v>
      </c>
      <c r="R462" s="2" t="s">
        <v>74</v>
      </c>
      <c r="S462" s="2" t="s">
        <v>74</v>
      </c>
      <c r="T462" s="2" t="s">
        <v>74</v>
      </c>
      <c r="U462" s="2" t="s">
        <v>74</v>
      </c>
      <c r="V462" s="5" t="s">
        <v>7771</v>
      </c>
      <c r="W462" s="2" t="s">
        <v>74</v>
      </c>
      <c r="X462" s="2" t="s">
        <v>74</v>
      </c>
      <c r="Y462" s="2" t="s">
        <v>74</v>
      </c>
      <c r="Z462" s="2" t="s">
        <v>74</v>
      </c>
      <c r="AA462" s="2" t="s">
        <v>7772</v>
      </c>
      <c r="AB462" s="2" t="s">
        <v>7773</v>
      </c>
      <c r="AC462" s="2" t="s">
        <v>74</v>
      </c>
      <c r="AD462" s="2" t="s">
        <v>74</v>
      </c>
      <c r="AE462" s="2" t="s">
        <v>74</v>
      </c>
      <c r="AF462" s="2" t="s">
        <v>74</v>
      </c>
      <c r="AG462" s="2" t="s">
        <v>74</v>
      </c>
      <c r="AH462" s="2" t="s">
        <v>74</v>
      </c>
      <c r="AI462" s="2" t="s">
        <v>74</v>
      </c>
      <c r="AJ462" s="2" t="s">
        <v>74</v>
      </c>
      <c r="AK462" s="2" t="s">
        <v>74</v>
      </c>
      <c r="AL462" s="2" t="s">
        <v>74</v>
      </c>
      <c r="AM462" s="2" t="s">
        <v>74</v>
      </c>
      <c r="AN462" s="2" t="s">
        <v>74</v>
      </c>
      <c r="AO462" s="2" t="s">
        <v>1658</v>
      </c>
      <c r="AP462" s="2" t="s">
        <v>1659</v>
      </c>
      <c r="AQ462" s="2" t="s">
        <v>74</v>
      </c>
      <c r="AR462" s="2" t="s">
        <v>74</v>
      </c>
      <c r="AS462" s="2" t="s">
        <v>74</v>
      </c>
      <c r="AT462" s="2" t="s">
        <v>7774</v>
      </c>
      <c r="AU462" s="2">
        <v>2020</v>
      </c>
      <c r="AV462" s="2">
        <v>4819</v>
      </c>
      <c r="AW462" s="2">
        <v>2</v>
      </c>
      <c r="AX462" s="2" t="s">
        <v>74</v>
      </c>
      <c r="AY462" s="2" t="s">
        <v>74</v>
      </c>
      <c r="AZ462" s="2" t="s">
        <v>74</v>
      </c>
      <c r="BA462" s="2" t="s">
        <v>74</v>
      </c>
      <c r="BB462" s="2">
        <v>316</v>
      </c>
      <c r="BC462" s="2">
        <v>334</v>
      </c>
      <c r="BD462" s="2" t="s">
        <v>74</v>
      </c>
      <c r="BE462" s="2" t="s">
        <v>7775</v>
      </c>
      <c r="BF462" s="2" t="str">
        <f>HYPERLINK("http://dx.doi.org/10.11646/zootaxa.4819.2.5","http://dx.doi.org/10.11646/zootaxa.4819.2.5")</f>
        <v>http://dx.doi.org/10.11646/zootaxa.4819.2.5</v>
      </c>
      <c r="BG462" s="2" t="s">
        <v>74</v>
      </c>
      <c r="BH462" s="2" t="s">
        <v>74</v>
      </c>
      <c r="BI462" s="2" t="s">
        <v>74</v>
      </c>
      <c r="BJ462" s="2" t="s">
        <v>74</v>
      </c>
      <c r="BK462" s="2" t="s">
        <v>74</v>
      </c>
      <c r="BL462" s="2" t="s">
        <v>74</v>
      </c>
      <c r="BM462" s="2" t="s">
        <v>74</v>
      </c>
      <c r="BN462" s="2">
        <v>33055661</v>
      </c>
      <c r="BO462" s="2" t="s">
        <v>74</v>
      </c>
      <c r="BP462" s="2" t="s">
        <v>74</v>
      </c>
      <c r="BQ462" s="2" t="s">
        <v>74</v>
      </c>
      <c r="BR462" s="2" t="s">
        <v>74</v>
      </c>
      <c r="BS462" s="2" t="s">
        <v>7776</v>
      </c>
      <c r="BT462" s="2" t="str">
        <f>HYPERLINK("https%3A%2F%2Fwww.webofscience.com%2Fwos%2Fwoscc%2Ffull-record%2FWOS:000552250100005","View Full Record in Web of Science")</f>
        <v>View Full Record in Web of Science</v>
      </c>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row>
    <row r="463" spans="1:314" s="2" customFormat="1" x14ac:dyDescent="0.4">
      <c r="A463" s="2" t="s">
        <v>72</v>
      </c>
      <c r="B463" s="2" t="s">
        <v>8259</v>
      </c>
      <c r="C463" s="2" t="s">
        <v>74</v>
      </c>
      <c r="D463" s="2" t="s">
        <v>74</v>
      </c>
      <c r="E463" s="2" t="s">
        <v>74</v>
      </c>
      <c r="F463" s="2" t="s">
        <v>8259</v>
      </c>
      <c r="G463" s="2" t="s">
        <v>74</v>
      </c>
      <c r="H463" s="2" t="s">
        <v>74</v>
      </c>
      <c r="I463" s="2" t="s">
        <v>8260</v>
      </c>
      <c r="J463" s="2" t="s">
        <v>77</v>
      </c>
      <c r="K463" s="2" t="s">
        <v>74</v>
      </c>
      <c r="L463" s="2" t="s">
        <v>74</v>
      </c>
      <c r="M463" s="2" t="s">
        <v>74</v>
      </c>
      <c r="N463" s="2" t="s">
        <v>74</v>
      </c>
      <c r="O463" s="2" t="s">
        <v>74</v>
      </c>
      <c r="P463" s="2" t="s">
        <v>74</v>
      </c>
      <c r="Q463" s="2" t="s">
        <v>74</v>
      </c>
      <c r="R463" s="2" t="s">
        <v>74</v>
      </c>
      <c r="S463" s="2" t="s">
        <v>74</v>
      </c>
      <c r="T463" s="2" t="s">
        <v>74</v>
      </c>
      <c r="U463" s="2" t="s">
        <v>74</v>
      </c>
      <c r="V463" s="5" t="s">
        <v>8261</v>
      </c>
      <c r="W463" s="2" t="s">
        <v>74</v>
      </c>
      <c r="X463" s="2" t="s">
        <v>74</v>
      </c>
      <c r="Y463" s="2" t="s">
        <v>74</v>
      </c>
      <c r="Z463" s="2" t="s">
        <v>74</v>
      </c>
      <c r="AA463" s="2" t="s">
        <v>8262</v>
      </c>
      <c r="AB463" s="2" t="s">
        <v>8263</v>
      </c>
      <c r="AC463" s="2" t="s">
        <v>74</v>
      </c>
      <c r="AD463" s="2" t="s">
        <v>74</v>
      </c>
      <c r="AE463" s="2" t="s">
        <v>74</v>
      </c>
      <c r="AF463" s="2" t="s">
        <v>74</v>
      </c>
      <c r="AG463" s="2" t="s">
        <v>74</v>
      </c>
      <c r="AH463" s="2" t="s">
        <v>74</v>
      </c>
      <c r="AI463" s="2" t="s">
        <v>74</v>
      </c>
      <c r="AJ463" s="2" t="s">
        <v>74</v>
      </c>
      <c r="AK463" s="2" t="s">
        <v>74</v>
      </c>
      <c r="AL463" s="2" t="s">
        <v>74</v>
      </c>
      <c r="AM463" s="2" t="s">
        <v>74</v>
      </c>
      <c r="AN463" s="2" t="s">
        <v>74</v>
      </c>
      <c r="AO463" s="2" t="s">
        <v>81</v>
      </c>
      <c r="AP463" s="2" t="s">
        <v>82</v>
      </c>
      <c r="AQ463" s="2" t="s">
        <v>74</v>
      </c>
      <c r="AR463" s="2" t="s">
        <v>74</v>
      </c>
      <c r="AS463" s="2" t="s">
        <v>74</v>
      </c>
      <c r="AT463" s="2" t="s">
        <v>102</v>
      </c>
      <c r="AU463" s="2">
        <v>2005</v>
      </c>
      <c r="AV463" s="2">
        <v>142</v>
      </c>
      <c r="AW463" s="2" t="s">
        <v>74</v>
      </c>
      <c r="AX463" s="2">
        <v>6</v>
      </c>
      <c r="AY463" s="2" t="s">
        <v>74</v>
      </c>
      <c r="AZ463" s="2" t="s">
        <v>74</v>
      </c>
      <c r="BA463" s="2" t="s">
        <v>74</v>
      </c>
      <c r="BB463" s="2">
        <v>827</v>
      </c>
      <c r="BC463" s="2">
        <v>844</v>
      </c>
      <c r="BD463" s="2" t="s">
        <v>74</v>
      </c>
      <c r="BE463" s="2" t="s">
        <v>8264</v>
      </c>
      <c r="BF463" s="2" t="str">
        <f>HYPERLINK("http://dx.doi.org/10.1163/1568539054729141","http://dx.doi.org/10.1163/1568539054729141")</f>
        <v>http://dx.doi.org/10.1163/1568539054729141</v>
      </c>
      <c r="BG463" s="2" t="s">
        <v>74</v>
      </c>
      <c r="BH463" s="2" t="s">
        <v>74</v>
      </c>
      <c r="BI463" s="2" t="s">
        <v>74</v>
      </c>
      <c r="BJ463" s="2" t="s">
        <v>74</v>
      </c>
      <c r="BK463" s="2" t="s">
        <v>74</v>
      </c>
      <c r="BL463" s="2" t="s">
        <v>74</v>
      </c>
      <c r="BM463" s="2" t="s">
        <v>74</v>
      </c>
      <c r="BN463" s="2" t="s">
        <v>74</v>
      </c>
      <c r="BO463" s="2" t="s">
        <v>74</v>
      </c>
      <c r="BP463" s="2" t="s">
        <v>74</v>
      </c>
      <c r="BQ463" s="2" t="s">
        <v>74</v>
      </c>
      <c r="BR463" s="2" t="s">
        <v>74</v>
      </c>
      <c r="BS463" s="2" t="s">
        <v>8265</v>
      </c>
      <c r="BT463" s="2" t="str">
        <f>HYPERLINK("https%3A%2F%2Fwww.webofscience.com%2Fwos%2Fwoscc%2Ffull-record%2FWOS:000231869400008","View Full Record in Web of Science")</f>
        <v>View Full Record in Web of Science</v>
      </c>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row>
    <row r="464" spans="1:314" s="2" customFormat="1" x14ac:dyDescent="0.4">
      <c r="A464" s="2" t="s">
        <v>72</v>
      </c>
      <c r="B464" s="2" t="s">
        <v>5504</v>
      </c>
      <c r="C464" s="2" t="s">
        <v>74</v>
      </c>
      <c r="D464" s="2" t="s">
        <v>74</v>
      </c>
      <c r="E464" s="2" t="s">
        <v>74</v>
      </c>
      <c r="F464" s="2" t="s">
        <v>5505</v>
      </c>
      <c r="G464" s="2" t="s">
        <v>74</v>
      </c>
      <c r="H464" s="2" t="s">
        <v>74</v>
      </c>
      <c r="I464" s="2" t="s">
        <v>5506</v>
      </c>
      <c r="J464" s="2" t="s">
        <v>545</v>
      </c>
      <c r="K464" s="2" t="s">
        <v>74</v>
      </c>
      <c r="L464" s="2" t="s">
        <v>74</v>
      </c>
      <c r="M464" s="2" t="s">
        <v>74</v>
      </c>
      <c r="N464" s="2" t="s">
        <v>74</v>
      </c>
      <c r="O464" s="2" t="s">
        <v>74</v>
      </c>
      <c r="P464" s="2" t="s">
        <v>74</v>
      </c>
      <c r="Q464" s="2" t="s">
        <v>74</v>
      </c>
      <c r="R464" s="2" t="s">
        <v>74</v>
      </c>
      <c r="S464" s="2" t="s">
        <v>74</v>
      </c>
      <c r="T464" s="2" t="s">
        <v>74</v>
      </c>
      <c r="U464" s="2" t="s">
        <v>74</v>
      </c>
      <c r="V464" s="5" t="s">
        <v>5507</v>
      </c>
      <c r="W464" s="2" t="s">
        <v>74</v>
      </c>
      <c r="X464" s="2" t="s">
        <v>74</v>
      </c>
      <c r="Y464" s="2" t="s">
        <v>74</v>
      </c>
      <c r="Z464" s="2" t="s">
        <v>74</v>
      </c>
      <c r="AA464" s="2" t="s">
        <v>5508</v>
      </c>
      <c r="AB464" s="2" t="s">
        <v>5509</v>
      </c>
      <c r="AC464" s="2" t="s">
        <v>74</v>
      </c>
      <c r="AD464" s="2" t="s">
        <v>74</v>
      </c>
      <c r="AE464" s="2" t="s">
        <v>74</v>
      </c>
      <c r="AF464" s="2" t="s">
        <v>74</v>
      </c>
      <c r="AG464" s="2" t="s">
        <v>74</v>
      </c>
      <c r="AH464" s="2" t="s">
        <v>74</v>
      </c>
      <c r="AI464" s="2" t="s">
        <v>74</v>
      </c>
      <c r="AJ464" s="2" t="s">
        <v>74</v>
      </c>
      <c r="AK464" s="2" t="s">
        <v>74</v>
      </c>
      <c r="AL464" s="2" t="s">
        <v>74</v>
      </c>
      <c r="AM464" s="2" t="s">
        <v>74</v>
      </c>
      <c r="AN464" s="2" t="s">
        <v>74</v>
      </c>
      <c r="AO464" s="2" t="s">
        <v>547</v>
      </c>
      <c r="AP464" s="2" t="s">
        <v>74</v>
      </c>
      <c r="AQ464" s="2" t="s">
        <v>74</v>
      </c>
      <c r="AR464" s="2" t="s">
        <v>74</v>
      </c>
      <c r="AS464" s="2" t="s">
        <v>74</v>
      </c>
      <c r="AT464" s="2" t="s">
        <v>213</v>
      </c>
      <c r="AU464" s="2">
        <v>2021</v>
      </c>
      <c r="AV464" s="2">
        <v>295</v>
      </c>
      <c r="AW464" s="2" t="s">
        <v>74</v>
      </c>
      <c r="AX464" s="2" t="s">
        <v>74</v>
      </c>
      <c r="AY464" s="2" t="s">
        <v>74</v>
      </c>
      <c r="AZ464" s="2" t="s">
        <v>74</v>
      </c>
      <c r="BA464" s="2" t="s">
        <v>74</v>
      </c>
      <c r="BB464" s="2">
        <v>1</v>
      </c>
      <c r="BC464" s="2">
        <v>11</v>
      </c>
      <c r="BD464" s="2" t="s">
        <v>74</v>
      </c>
      <c r="BE464" s="2" t="s">
        <v>5510</v>
      </c>
      <c r="BF464" s="2" t="str">
        <f>HYPERLINK("http://dx.doi.org/10.1016/j.jcz.2021.08.009","http://dx.doi.org/10.1016/j.jcz.2021.08.009")</f>
        <v>http://dx.doi.org/10.1016/j.jcz.2021.08.009</v>
      </c>
      <c r="BG464" s="2" t="s">
        <v>74</v>
      </c>
      <c r="BH464" s="2" t="s">
        <v>675</v>
      </c>
      <c r="BI464" s="2" t="s">
        <v>74</v>
      </c>
      <c r="BJ464" s="2" t="s">
        <v>74</v>
      </c>
      <c r="BK464" s="2" t="s">
        <v>74</v>
      </c>
      <c r="BL464" s="2" t="s">
        <v>74</v>
      </c>
      <c r="BM464" s="2" t="s">
        <v>74</v>
      </c>
      <c r="BN464" s="2" t="s">
        <v>74</v>
      </c>
      <c r="BO464" s="2" t="s">
        <v>74</v>
      </c>
      <c r="BP464" s="2" t="s">
        <v>74</v>
      </c>
      <c r="BQ464" s="2" t="s">
        <v>74</v>
      </c>
      <c r="BR464" s="2" t="s">
        <v>74</v>
      </c>
      <c r="BS464" s="2" t="s">
        <v>5511</v>
      </c>
      <c r="BT464" s="2" t="str">
        <f>HYPERLINK("https%3A%2F%2Fwww.webofscience.com%2Fwos%2Fwoscc%2Ffull-record%2FWOS:000697574600001","View Full Record in Web of Science")</f>
        <v>View Full Record in Web of Science</v>
      </c>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row>
    <row r="465" spans="1:314" s="2" customFormat="1" x14ac:dyDescent="0.4">
      <c r="A465" s="2" t="s">
        <v>72</v>
      </c>
      <c r="B465" s="2" t="s">
        <v>5202</v>
      </c>
      <c r="C465" s="2" t="s">
        <v>74</v>
      </c>
      <c r="D465" s="2" t="s">
        <v>74</v>
      </c>
      <c r="E465" s="2" t="s">
        <v>74</v>
      </c>
      <c r="F465" s="2" t="s">
        <v>5203</v>
      </c>
      <c r="G465" s="2" t="s">
        <v>74</v>
      </c>
      <c r="H465" s="2" t="s">
        <v>74</v>
      </c>
      <c r="I465" s="2" t="s">
        <v>5204</v>
      </c>
      <c r="J465" s="2" t="s">
        <v>108</v>
      </c>
      <c r="K465" s="2" t="s">
        <v>74</v>
      </c>
      <c r="L465" s="2" t="s">
        <v>74</v>
      </c>
      <c r="M465" s="2" t="s">
        <v>74</v>
      </c>
      <c r="N465" s="2" t="s">
        <v>74</v>
      </c>
      <c r="O465" s="2" t="s">
        <v>74</v>
      </c>
      <c r="P465" s="2" t="s">
        <v>74</v>
      </c>
      <c r="Q465" s="2" t="s">
        <v>74</v>
      </c>
      <c r="R465" s="2" t="s">
        <v>74</v>
      </c>
      <c r="S465" s="2" t="s">
        <v>74</v>
      </c>
      <c r="T465" s="2" t="s">
        <v>74</v>
      </c>
      <c r="U465" s="2" t="s">
        <v>74</v>
      </c>
      <c r="V465" s="5" t="s">
        <v>5205</v>
      </c>
      <c r="W465" s="2" t="s">
        <v>74</v>
      </c>
      <c r="X465" s="2" t="s">
        <v>74</v>
      </c>
      <c r="Y465" s="2" t="s">
        <v>74</v>
      </c>
      <c r="Z465" s="2" t="s">
        <v>74</v>
      </c>
      <c r="AA465" s="2" t="s">
        <v>5206</v>
      </c>
      <c r="AB465" s="2" t="s">
        <v>5207</v>
      </c>
      <c r="AC465" s="2" t="s">
        <v>74</v>
      </c>
      <c r="AD465" s="2" t="s">
        <v>74</v>
      </c>
      <c r="AE465" s="2" t="s">
        <v>74</v>
      </c>
      <c r="AF465" s="2" t="s">
        <v>74</v>
      </c>
      <c r="AG465" s="2" t="s">
        <v>74</v>
      </c>
      <c r="AH465" s="2" t="s">
        <v>74</v>
      </c>
      <c r="AI465" s="2" t="s">
        <v>74</v>
      </c>
      <c r="AJ465" s="2" t="s">
        <v>74</v>
      </c>
      <c r="AK465" s="2" t="s">
        <v>74</v>
      </c>
      <c r="AL465" s="2" t="s">
        <v>74</v>
      </c>
      <c r="AM465" s="2" t="s">
        <v>74</v>
      </c>
      <c r="AN465" s="2" t="s">
        <v>74</v>
      </c>
      <c r="AO465" s="2" t="s">
        <v>111</v>
      </c>
      <c r="AP465" s="2" t="s">
        <v>112</v>
      </c>
      <c r="AQ465" s="2" t="s">
        <v>74</v>
      </c>
      <c r="AR465" s="2" t="s">
        <v>74</v>
      </c>
      <c r="AS465" s="2" t="s">
        <v>74</v>
      </c>
      <c r="AT465" s="2" t="s">
        <v>5208</v>
      </c>
      <c r="AU465" s="2">
        <v>2020</v>
      </c>
      <c r="AV465" s="2">
        <v>287</v>
      </c>
      <c r="AW465" s="2">
        <v>1926</v>
      </c>
      <c r="AX465" s="2" t="s">
        <v>74</v>
      </c>
      <c r="AY465" s="2" t="s">
        <v>74</v>
      </c>
      <c r="AZ465" s="2" t="s">
        <v>74</v>
      </c>
      <c r="BA465" s="2" t="s">
        <v>74</v>
      </c>
      <c r="BB465" s="2" t="s">
        <v>74</v>
      </c>
      <c r="BC465" s="2" t="s">
        <v>74</v>
      </c>
      <c r="BD465" s="2" t="s">
        <v>74</v>
      </c>
      <c r="BE465" s="2" t="s">
        <v>5209</v>
      </c>
      <c r="BF465" s="2" t="str">
        <f>HYPERLINK("http://dx.doi.org/10.1098/rspb.2020.0587","http://dx.doi.org/10.1098/rspb.2020.0587")</f>
        <v>http://dx.doi.org/10.1098/rspb.2020.0587</v>
      </c>
      <c r="BG465" s="2" t="s">
        <v>74</v>
      </c>
      <c r="BH465" s="2" t="s">
        <v>74</v>
      </c>
      <c r="BI465" s="2" t="s">
        <v>74</v>
      </c>
      <c r="BJ465" s="2" t="s">
        <v>74</v>
      </c>
      <c r="BK465" s="2" t="s">
        <v>74</v>
      </c>
      <c r="BL465" s="2" t="s">
        <v>74</v>
      </c>
      <c r="BM465" s="2" t="s">
        <v>74</v>
      </c>
      <c r="BN465" s="2">
        <v>32370676</v>
      </c>
      <c r="BO465" s="2" t="s">
        <v>74</v>
      </c>
      <c r="BP465" s="2" t="s">
        <v>74</v>
      </c>
      <c r="BQ465" s="2" t="s">
        <v>74</v>
      </c>
      <c r="BR465" s="2" t="s">
        <v>74</v>
      </c>
      <c r="BS465" s="2" t="s">
        <v>5210</v>
      </c>
      <c r="BT465" s="2" t="str">
        <f>HYPERLINK("https%3A%2F%2Fwww.webofscience.com%2Fwos%2Fwoscc%2Ffull-record%2FWOS:000540446700001","View Full Record in Web of Science")</f>
        <v>View Full Record in Web of Science</v>
      </c>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row>
    <row r="466" spans="1:314" s="2" customFormat="1" x14ac:dyDescent="0.4">
      <c r="A466" s="2" t="s">
        <v>72</v>
      </c>
      <c r="B466" s="2" t="s">
        <v>6198</v>
      </c>
      <c r="C466" s="2" t="s">
        <v>74</v>
      </c>
      <c r="D466" s="2" t="s">
        <v>74</v>
      </c>
      <c r="E466" s="2" t="s">
        <v>74</v>
      </c>
      <c r="F466" s="2" t="s">
        <v>6198</v>
      </c>
      <c r="G466" s="2" t="s">
        <v>74</v>
      </c>
      <c r="H466" s="2" t="s">
        <v>74</v>
      </c>
      <c r="I466" s="2" t="s">
        <v>6199</v>
      </c>
      <c r="J466" s="2" t="s">
        <v>6200</v>
      </c>
      <c r="K466" s="2" t="s">
        <v>74</v>
      </c>
      <c r="L466" s="2" t="s">
        <v>74</v>
      </c>
      <c r="M466" s="2" t="s">
        <v>74</v>
      </c>
      <c r="N466" s="2" t="s">
        <v>74</v>
      </c>
      <c r="O466" s="2" t="s">
        <v>74</v>
      </c>
      <c r="P466" s="2" t="s">
        <v>74</v>
      </c>
      <c r="Q466" s="2" t="s">
        <v>74</v>
      </c>
      <c r="R466" s="2" t="s">
        <v>74</v>
      </c>
      <c r="S466" s="2" t="s">
        <v>74</v>
      </c>
      <c r="T466" s="2" t="s">
        <v>74</v>
      </c>
      <c r="U466" s="2" t="s">
        <v>74</v>
      </c>
      <c r="V466" s="5" t="s">
        <v>6201</v>
      </c>
      <c r="W466" s="2" t="s">
        <v>74</v>
      </c>
      <c r="X466" s="2" t="s">
        <v>74</v>
      </c>
      <c r="Y466" s="2" t="s">
        <v>74</v>
      </c>
      <c r="Z466" s="2" t="s">
        <v>74</v>
      </c>
      <c r="AA466" s="2" t="s">
        <v>74</v>
      </c>
      <c r="AB466" s="2" t="s">
        <v>74</v>
      </c>
      <c r="AC466" s="2" t="s">
        <v>74</v>
      </c>
      <c r="AD466" s="2" t="s">
        <v>74</v>
      </c>
      <c r="AE466" s="2" t="s">
        <v>74</v>
      </c>
      <c r="AF466" s="2" t="s">
        <v>74</v>
      </c>
      <c r="AG466" s="2" t="s">
        <v>74</v>
      </c>
      <c r="AH466" s="2" t="s">
        <v>74</v>
      </c>
      <c r="AI466" s="2" t="s">
        <v>74</v>
      </c>
      <c r="AJ466" s="2" t="s">
        <v>74</v>
      </c>
      <c r="AK466" s="2" t="s">
        <v>74</v>
      </c>
      <c r="AL466" s="2" t="s">
        <v>74</v>
      </c>
      <c r="AM466" s="2" t="s">
        <v>74</v>
      </c>
      <c r="AN466" s="2" t="s">
        <v>74</v>
      </c>
      <c r="AO466" s="2" t="s">
        <v>6202</v>
      </c>
      <c r="AP466" s="2" t="s">
        <v>74</v>
      </c>
      <c r="AQ466" s="2" t="s">
        <v>74</v>
      </c>
      <c r="AR466" s="2" t="s">
        <v>74</v>
      </c>
      <c r="AS466" s="2" t="s">
        <v>74</v>
      </c>
      <c r="AT466" s="2" t="s">
        <v>1620</v>
      </c>
      <c r="AU466" s="2">
        <v>1999</v>
      </c>
      <c r="AV466" s="2">
        <v>42</v>
      </c>
      <c r="AW466" s="2">
        <v>3</v>
      </c>
      <c r="AX466" s="2" t="s">
        <v>74</v>
      </c>
      <c r="AY466" s="2" t="s">
        <v>74</v>
      </c>
      <c r="AZ466" s="2" t="s">
        <v>74</v>
      </c>
      <c r="BA466" s="2" t="s">
        <v>74</v>
      </c>
      <c r="BB466" s="2">
        <v>201</v>
      </c>
      <c r="BC466" s="2">
        <v>210</v>
      </c>
      <c r="BD466" s="2" t="s">
        <v>74</v>
      </c>
      <c r="BE466" s="2" t="s">
        <v>74</v>
      </c>
      <c r="BF466" s="2" t="s">
        <v>74</v>
      </c>
      <c r="BG466" s="2" t="s">
        <v>74</v>
      </c>
      <c r="BH466" s="2" t="s">
        <v>74</v>
      </c>
      <c r="BI466" s="2" t="s">
        <v>74</v>
      </c>
      <c r="BJ466" s="2" t="s">
        <v>74</v>
      </c>
      <c r="BK466" s="2" t="s">
        <v>74</v>
      </c>
      <c r="BL466" s="2" t="s">
        <v>74</v>
      </c>
      <c r="BM466" s="2" t="s">
        <v>74</v>
      </c>
      <c r="BN466" s="2" t="s">
        <v>74</v>
      </c>
      <c r="BO466" s="2" t="s">
        <v>74</v>
      </c>
      <c r="BP466" s="2" t="s">
        <v>74</v>
      </c>
      <c r="BQ466" s="2" t="s">
        <v>74</v>
      </c>
      <c r="BR466" s="2" t="s">
        <v>74</v>
      </c>
      <c r="BS466" s="2" t="s">
        <v>6203</v>
      </c>
      <c r="BT466" s="2" t="str">
        <f>HYPERLINK("https%3A%2F%2Fwww.webofscience.com%2Fwos%2Fwoscc%2Ffull-record%2FWOS:000081353100001","View Full Record in Web of Science")</f>
        <v>View Full Record in Web of Science</v>
      </c>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row>
    <row r="467" spans="1:314" s="2" customFormat="1" x14ac:dyDescent="0.4">
      <c r="A467" s="2" t="s">
        <v>72</v>
      </c>
      <c r="B467" s="2" t="s">
        <v>8723</v>
      </c>
      <c r="C467" s="2" t="s">
        <v>74</v>
      </c>
      <c r="D467" s="2" t="s">
        <v>74</v>
      </c>
      <c r="E467" s="2" t="s">
        <v>74</v>
      </c>
      <c r="F467" s="2" t="s">
        <v>8724</v>
      </c>
      <c r="G467" s="2" t="s">
        <v>74</v>
      </c>
      <c r="H467" s="2" t="s">
        <v>74</v>
      </c>
      <c r="I467" s="2" t="s">
        <v>8725</v>
      </c>
      <c r="J467" s="2" t="s">
        <v>397</v>
      </c>
      <c r="K467" s="2" t="s">
        <v>74</v>
      </c>
      <c r="L467" s="2" t="s">
        <v>74</v>
      </c>
      <c r="M467" s="2" t="s">
        <v>74</v>
      </c>
      <c r="N467" s="2" t="s">
        <v>74</v>
      </c>
      <c r="O467" s="2" t="s">
        <v>74</v>
      </c>
      <c r="P467" s="2" t="s">
        <v>74</v>
      </c>
      <c r="Q467" s="2" t="s">
        <v>74</v>
      </c>
      <c r="R467" s="2" t="s">
        <v>74</v>
      </c>
      <c r="S467" s="2" t="s">
        <v>74</v>
      </c>
      <c r="T467" s="2" t="s">
        <v>74</v>
      </c>
      <c r="U467" s="2" t="s">
        <v>74</v>
      </c>
      <c r="V467" s="5" t="s">
        <v>8726</v>
      </c>
      <c r="W467" s="2" t="s">
        <v>74</v>
      </c>
      <c r="X467" s="2" t="s">
        <v>74</v>
      </c>
      <c r="Y467" s="2" t="s">
        <v>74</v>
      </c>
      <c r="Z467" s="2" t="s">
        <v>74</v>
      </c>
      <c r="AA467" s="2" t="s">
        <v>8727</v>
      </c>
      <c r="AB467" s="2" t="s">
        <v>8728</v>
      </c>
      <c r="AC467" s="2" t="s">
        <v>74</v>
      </c>
      <c r="AD467" s="2" t="s">
        <v>74</v>
      </c>
      <c r="AE467" s="2" t="s">
        <v>74</v>
      </c>
      <c r="AF467" s="2" t="s">
        <v>74</v>
      </c>
      <c r="AG467" s="2" t="s">
        <v>74</v>
      </c>
      <c r="AH467" s="2" t="s">
        <v>74</v>
      </c>
      <c r="AI467" s="2" t="s">
        <v>74</v>
      </c>
      <c r="AJ467" s="2" t="s">
        <v>74</v>
      </c>
      <c r="AK467" s="2" t="s">
        <v>74</v>
      </c>
      <c r="AL467" s="2" t="s">
        <v>74</v>
      </c>
      <c r="AM467" s="2" t="s">
        <v>74</v>
      </c>
      <c r="AN467" s="2" t="s">
        <v>74</v>
      </c>
      <c r="AO467" s="2" t="s">
        <v>401</v>
      </c>
      <c r="AP467" s="2" t="s">
        <v>402</v>
      </c>
      <c r="AQ467" s="2" t="s">
        <v>74</v>
      </c>
      <c r="AR467" s="2" t="s">
        <v>74</v>
      </c>
      <c r="AS467" s="2" t="s">
        <v>74</v>
      </c>
      <c r="AT467" s="2" t="s">
        <v>213</v>
      </c>
      <c r="AU467" s="2">
        <v>2013</v>
      </c>
      <c r="AV467" s="2">
        <v>12</v>
      </c>
      <c r="AW467" s="2">
        <v>8</v>
      </c>
      <c r="AX467" s="2" t="s">
        <v>74</v>
      </c>
      <c r="AY467" s="2" t="s">
        <v>74</v>
      </c>
      <c r="AZ467" s="2" t="s">
        <v>74</v>
      </c>
      <c r="BA467" s="2" t="s">
        <v>74</v>
      </c>
      <c r="BB467" s="2">
        <v>760</v>
      </c>
      <c r="BC467" s="2">
        <v>770</v>
      </c>
      <c r="BD467" s="2" t="s">
        <v>74</v>
      </c>
      <c r="BE467" s="2" t="s">
        <v>8729</v>
      </c>
      <c r="BF467" s="2" t="str">
        <f>HYPERLINK("http://dx.doi.org/10.1111/gbb.12088","http://dx.doi.org/10.1111/gbb.12088")</f>
        <v>http://dx.doi.org/10.1111/gbb.12088</v>
      </c>
      <c r="BG467" s="2" t="s">
        <v>74</v>
      </c>
      <c r="BH467" s="2" t="s">
        <v>74</v>
      </c>
      <c r="BI467" s="2" t="s">
        <v>74</v>
      </c>
      <c r="BJ467" s="2" t="s">
        <v>74</v>
      </c>
      <c r="BK467" s="2" t="s">
        <v>74</v>
      </c>
      <c r="BL467" s="2" t="s">
        <v>74</v>
      </c>
      <c r="BM467" s="2" t="s">
        <v>74</v>
      </c>
      <c r="BN467" s="2">
        <v>24034605</v>
      </c>
      <c r="BO467" s="2" t="s">
        <v>74</v>
      </c>
      <c r="BP467" s="2" t="s">
        <v>74</v>
      </c>
      <c r="BQ467" s="2" t="s">
        <v>74</v>
      </c>
      <c r="BR467" s="2" t="s">
        <v>74</v>
      </c>
      <c r="BS467" s="2" t="s">
        <v>8730</v>
      </c>
      <c r="BT467" s="2" t="str">
        <f>HYPERLINK("https%3A%2F%2Fwww.webofscience.com%2Fwos%2Fwoscc%2Ffull-record%2FWOS:000330101600002","View Full Record in Web of Science")</f>
        <v>View Full Record in Web of Science</v>
      </c>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row>
    <row r="468" spans="1:314" s="2" customFormat="1" x14ac:dyDescent="0.4">
      <c r="A468" s="2" t="s">
        <v>72</v>
      </c>
      <c r="B468" s="2" t="s">
        <v>6739</v>
      </c>
      <c r="C468" s="2" t="s">
        <v>74</v>
      </c>
      <c r="D468" s="2" t="s">
        <v>74</v>
      </c>
      <c r="E468" s="2" t="s">
        <v>74</v>
      </c>
      <c r="F468" s="2" t="s">
        <v>6739</v>
      </c>
      <c r="G468" s="2" t="s">
        <v>74</v>
      </c>
      <c r="H468" s="2" t="s">
        <v>74</v>
      </c>
      <c r="I468" s="2" t="s">
        <v>6740</v>
      </c>
      <c r="J468" s="2" t="s">
        <v>201</v>
      </c>
      <c r="K468" s="2" t="s">
        <v>74</v>
      </c>
      <c r="L468" s="2" t="s">
        <v>74</v>
      </c>
      <c r="M468" s="2" t="s">
        <v>74</v>
      </c>
      <c r="N468" s="2" t="s">
        <v>74</v>
      </c>
      <c r="O468" s="2" t="s">
        <v>6741</v>
      </c>
      <c r="P468" s="2" t="s">
        <v>6742</v>
      </c>
      <c r="Q468" s="2" t="s">
        <v>6743</v>
      </c>
      <c r="R468" s="2" t="s">
        <v>6744</v>
      </c>
      <c r="S468" s="2" t="s">
        <v>74</v>
      </c>
      <c r="T468" s="2" t="s">
        <v>74</v>
      </c>
      <c r="U468" s="2" t="s">
        <v>74</v>
      </c>
      <c r="V468" s="5" t="s">
        <v>6745</v>
      </c>
      <c r="W468" s="2" t="s">
        <v>74</v>
      </c>
      <c r="X468" s="2" t="s">
        <v>74</v>
      </c>
      <c r="Y468" s="2" t="s">
        <v>74</v>
      </c>
      <c r="Z468" s="2" t="s">
        <v>74</v>
      </c>
      <c r="AA468" s="2" t="s">
        <v>6746</v>
      </c>
      <c r="AB468" s="2" t="s">
        <v>74</v>
      </c>
      <c r="AC468" s="2" t="s">
        <v>74</v>
      </c>
      <c r="AD468" s="2" t="s">
        <v>74</v>
      </c>
      <c r="AE468" s="2" t="s">
        <v>74</v>
      </c>
      <c r="AF468" s="2" t="s">
        <v>74</v>
      </c>
      <c r="AG468" s="2" t="s">
        <v>74</v>
      </c>
      <c r="AH468" s="2" t="s">
        <v>74</v>
      </c>
      <c r="AI468" s="2" t="s">
        <v>74</v>
      </c>
      <c r="AJ468" s="2" t="s">
        <v>74</v>
      </c>
      <c r="AK468" s="2" t="s">
        <v>74</v>
      </c>
      <c r="AL468" s="2" t="s">
        <v>74</v>
      </c>
      <c r="AM468" s="2" t="s">
        <v>74</v>
      </c>
      <c r="AN468" s="2" t="s">
        <v>74</v>
      </c>
      <c r="AO468" s="2" t="s">
        <v>203</v>
      </c>
      <c r="AP468" s="2" t="s">
        <v>1192</v>
      </c>
      <c r="AQ468" s="2" t="s">
        <v>74</v>
      </c>
      <c r="AR468" s="2" t="s">
        <v>74</v>
      </c>
      <c r="AS468" s="2" t="s">
        <v>74</v>
      </c>
      <c r="AT468" s="2" t="s">
        <v>305</v>
      </c>
      <c r="AU468" s="2">
        <v>2003</v>
      </c>
      <c r="AV468" s="2">
        <v>63</v>
      </c>
      <c r="AW468" s="2" t="s">
        <v>74</v>
      </c>
      <c r="AX468" s="2" t="s">
        <v>74</v>
      </c>
      <c r="AY468" s="2" t="s">
        <v>6747</v>
      </c>
      <c r="AZ468" s="2" t="s">
        <v>74</v>
      </c>
      <c r="BA468" s="2" t="s">
        <v>74</v>
      </c>
      <c r="BB468" s="2">
        <v>131</v>
      </c>
      <c r="BC468" s="2">
        <v>143</v>
      </c>
      <c r="BD468" s="2" t="s">
        <v>74</v>
      </c>
      <c r="BE468" s="2" t="s">
        <v>6748</v>
      </c>
      <c r="BF468" s="2" t="str">
        <f>HYPERLINK("http://dx.doi.org/10.1111/j.1095-8649.2003.00210.x","http://dx.doi.org/10.1111/j.1095-8649.2003.00210.x")</f>
        <v>http://dx.doi.org/10.1111/j.1095-8649.2003.00210.x</v>
      </c>
      <c r="BG468" s="2" t="s">
        <v>74</v>
      </c>
      <c r="BH468" s="2" t="s">
        <v>74</v>
      </c>
      <c r="BI468" s="2" t="s">
        <v>74</v>
      </c>
      <c r="BJ468" s="2" t="s">
        <v>74</v>
      </c>
      <c r="BK468" s="2" t="s">
        <v>74</v>
      </c>
      <c r="BL468" s="2" t="s">
        <v>74</v>
      </c>
      <c r="BM468" s="2" t="s">
        <v>74</v>
      </c>
      <c r="BN468" s="2" t="s">
        <v>74</v>
      </c>
      <c r="BO468" s="2" t="s">
        <v>74</v>
      </c>
      <c r="BP468" s="2" t="s">
        <v>74</v>
      </c>
      <c r="BQ468" s="2" t="s">
        <v>74</v>
      </c>
      <c r="BR468" s="2" t="s">
        <v>74</v>
      </c>
      <c r="BS468" s="2" t="s">
        <v>6749</v>
      </c>
      <c r="BT468" s="2" t="str">
        <f>HYPERLINK("https%3A%2F%2Fwww.webofscience.com%2Fwos%2Fwoscc%2Ffull-record%2FWOS:000187879700008","View Full Record in Web of Science")</f>
        <v>View Full Record in Web of Science</v>
      </c>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row>
    <row r="469" spans="1:314" s="2" customFormat="1" x14ac:dyDescent="0.4">
      <c r="A469" s="2" t="s">
        <v>72</v>
      </c>
      <c r="B469" s="2" t="s">
        <v>8101</v>
      </c>
      <c r="C469" s="2" t="s">
        <v>74</v>
      </c>
      <c r="D469" s="2" t="s">
        <v>74</v>
      </c>
      <c r="E469" s="2" t="s">
        <v>74</v>
      </c>
      <c r="F469" s="2" t="s">
        <v>8101</v>
      </c>
      <c r="G469" s="2" t="s">
        <v>74</v>
      </c>
      <c r="H469" s="2" t="s">
        <v>74</v>
      </c>
      <c r="I469" s="2" t="s">
        <v>8102</v>
      </c>
      <c r="J469" s="2" t="s">
        <v>8103</v>
      </c>
      <c r="K469" s="2" t="s">
        <v>74</v>
      </c>
      <c r="L469" s="2" t="s">
        <v>74</v>
      </c>
      <c r="M469" s="2" t="s">
        <v>74</v>
      </c>
      <c r="N469" s="2" t="s">
        <v>74</v>
      </c>
      <c r="O469" s="2" t="s">
        <v>74</v>
      </c>
      <c r="P469" s="2" t="s">
        <v>74</v>
      </c>
      <c r="Q469" s="2" t="s">
        <v>74</v>
      </c>
      <c r="R469" s="2" t="s">
        <v>74</v>
      </c>
      <c r="S469" s="2" t="s">
        <v>74</v>
      </c>
      <c r="T469" s="2" t="s">
        <v>74</v>
      </c>
      <c r="U469" s="2" t="s">
        <v>74</v>
      </c>
      <c r="V469" s="5" t="s">
        <v>8104</v>
      </c>
      <c r="W469" s="2" t="s">
        <v>74</v>
      </c>
      <c r="X469" s="2" t="s">
        <v>74</v>
      </c>
      <c r="Y469" s="2" t="s">
        <v>74</v>
      </c>
      <c r="Z469" s="2" t="s">
        <v>74</v>
      </c>
      <c r="AA469" s="2" t="s">
        <v>74</v>
      </c>
      <c r="AB469" s="2" t="s">
        <v>74</v>
      </c>
      <c r="AC469" s="2" t="s">
        <v>74</v>
      </c>
      <c r="AD469" s="2" t="s">
        <v>74</v>
      </c>
      <c r="AE469" s="2" t="s">
        <v>74</v>
      </c>
      <c r="AF469" s="2" t="s">
        <v>74</v>
      </c>
      <c r="AG469" s="2" t="s">
        <v>74</v>
      </c>
      <c r="AH469" s="2" t="s">
        <v>74</v>
      </c>
      <c r="AI469" s="2" t="s">
        <v>74</v>
      </c>
      <c r="AJ469" s="2" t="s">
        <v>74</v>
      </c>
      <c r="AK469" s="2" t="s">
        <v>74</v>
      </c>
      <c r="AL469" s="2" t="s">
        <v>74</v>
      </c>
      <c r="AM469" s="2" t="s">
        <v>74</v>
      </c>
      <c r="AN469" s="2" t="s">
        <v>74</v>
      </c>
      <c r="AO469" s="2" t="s">
        <v>8105</v>
      </c>
      <c r="AP469" s="2" t="s">
        <v>74</v>
      </c>
      <c r="AQ469" s="2" t="s">
        <v>74</v>
      </c>
      <c r="AR469" s="2" t="s">
        <v>74</v>
      </c>
      <c r="AS469" s="2" t="s">
        <v>74</v>
      </c>
      <c r="AT469" s="2" t="s">
        <v>74</v>
      </c>
      <c r="AU469" s="2">
        <v>2006</v>
      </c>
      <c r="AV469" s="2">
        <v>47</v>
      </c>
      <c r="AW469" s="2">
        <v>2</v>
      </c>
      <c r="AX469" s="2" t="s">
        <v>74</v>
      </c>
      <c r="AY469" s="2" t="s">
        <v>74</v>
      </c>
      <c r="AZ469" s="2" t="s">
        <v>74</v>
      </c>
      <c r="BA469" s="2" t="s">
        <v>74</v>
      </c>
      <c r="BB469" s="2">
        <v>315</v>
      </c>
      <c r="BC469" s="2">
        <v>327</v>
      </c>
      <c r="BD469" s="2" t="s">
        <v>74</v>
      </c>
      <c r="BE469" s="2" t="s">
        <v>74</v>
      </c>
      <c r="BF469" s="2" t="s">
        <v>74</v>
      </c>
      <c r="BG469" s="2" t="s">
        <v>74</v>
      </c>
      <c r="BH469" s="2" t="s">
        <v>74</v>
      </c>
      <c r="BI469" s="2" t="s">
        <v>74</v>
      </c>
      <c r="BJ469" s="2" t="s">
        <v>74</v>
      </c>
      <c r="BK469" s="2" t="s">
        <v>74</v>
      </c>
      <c r="BL469" s="2" t="s">
        <v>74</v>
      </c>
      <c r="BM469" s="2" t="s">
        <v>74</v>
      </c>
      <c r="BN469" s="2" t="s">
        <v>74</v>
      </c>
      <c r="BO469" s="2" t="s">
        <v>74</v>
      </c>
      <c r="BP469" s="2" t="s">
        <v>74</v>
      </c>
      <c r="BQ469" s="2" t="s">
        <v>74</v>
      </c>
      <c r="BR469" s="2" t="s">
        <v>74</v>
      </c>
      <c r="BS469" s="2" t="s">
        <v>8106</v>
      </c>
      <c r="BT469" s="2" t="str">
        <f>HYPERLINK("https%3A%2F%2Fwww.webofscience.com%2Fwos%2Fwoscc%2Ffull-record%2FWOS:000236117900003","View Full Record in Web of Science")</f>
        <v>View Full Record in Web of Science</v>
      </c>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row>
    <row r="470" spans="1:314" s="1" customFormat="1" x14ac:dyDescent="0.4">
      <c r="A470" s="2" t="s">
        <v>72</v>
      </c>
      <c r="B470" s="2" t="s">
        <v>5219</v>
      </c>
      <c r="C470" s="2" t="s">
        <v>74</v>
      </c>
      <c r="D470" s="2" t="s">
        <v>74</v>
      </c>
      <c r="E470" s="2" t="s">
        <v>74</v>
      </c>
      <c r="F470" s="2" t="s">
        <v>5220</v>
      </c>
      <c r="G470" s="2" t="s">
        <v>74</v>
      </c>
      <c r="H470" s="2" t="s">
        <v>74</v>
      </c>
      <c r="I470" s="2" t="s">
        <v>5221</v>
      </c>
      <c r="J470" s="2" t="s">
        <v>475</v>
      </c>
      <c r="K470" s="2" t="s">
        <v>74</v>
      </c>
      <c r="L470" s="2" t="s">
        <v>74</v>
      </c>
      <c r="M470" s="2" t="s">
        <v>74</v>
      </c>
      <c r="N470" s="2" t="s">
        <v>74</v>
      </c>
      <c r="O470" s="2" t="s">
        <v>74</v>
      </c>
      <c r="P470" s="2" t="s">
        <v>74</v>
      </c>
      <c r="Q470" s="2" t="s">
        <v>74</v>
      </c>
      <c r="R470" s="2" t="s">
        <v>74</v>
      </c>
      <c r="S470" s="2" t="s">
        <v>74</v>
      </c>
      <c r="T470" s="2" t="s">
        <v>74</v>
      </c>
      <c r="U470" s="2" t="s">
        <v>74</v>
      </c>
      <c r="V470" s="5" t="s">
        <v>5222</v>
      </c>
      <c r="W470" s="2" t="s">
        <v>74</v>
      </c>
      <c r="X470" s="2" t="s">
        <v>74</v>
      </c>
      <c r="Y470" s="2" t="s">
        <v>74</v>
      </c>
      <c r="Z470" s="2" t="s">
        <v>74</v>
      </c>
      <c r="AA470" s="2" t="s">
        <v>74</v>
      </c>
      <c r="AB470" s="2" t="s">
        <v>5223</v>
      </c>
      <c r="AC470" s="2" t="s">
        <v>74</v>
      </c>
      <c r="AD470" s="2" t="s">
        <v>74</v>
      </c>
      <c r="AE470" s="2" t="s">
        <v>74</v>
      </c>
      <c r="AF470" s="2" t="s">
        <v>74</v>
      </c>
      <c r="AG470" s="2" t="s">
        <v>74</v>
      </c>
      <c r="AH470" s="2" t="s">
        <v>74</v>
      </c>
      <c r="AI470" s="2" t="s">
        <v>74</v>
      </c>
      <c r="AJ470" s="2" t="s">
        <v>74</v>
      </c>
      <c r="AK470" s="2" t="s">
        <v>74</v>
      </c>
      <c r="AL470" s="2" t="s">
        <v>74</v>
      </c>
      <c r="AM470" s="2" t="s">
        <v>74</v>
      </c>
      <c r="AN470" s="2" t="s">
        <v>74</v>
      </c>
      <c r="AO470" s="2" t="s">
        <v>477</v>
      </c>
      <c r="AP470" s="2" t="s">
        <v>1089</v>
      </c>
      <c r="AQ470" s="2" t="s">
        <v>74</v>
      </c>
      <c r="AR470" s="2" t="s">
        <v>74</v>
      </c>
      <c r="AS470" s="2" t="s">
        <v>74</v>
      </c>
      <c r="AT470" s="2" t="s">
        <v>3671</v>
      </c>
      <c r="AU470" s="2">
        <v>2022</v>
      </c>
      <c r="AV470" s="2">
        <v>316</v>
      </c>
      <c r="AW470" s="2" t="s">
        <v>74</v>
      </c>
      <c r="AX470" s="2" t="s">
        <v>74</v>
      </c>
      <c r="AY470" s="2" t="s">
        <v>74</v>
      </c>
      <c r="AZ470" s="2" t="s">
        <v>74</v>
      </c>
      <c r="BA470" s="2" t="s">
        <v>74</v>
      </c>
      <c r="BB470" s="2" t="s">
        <v>74</v>
      </c>
      <c r="BC470" s="2" t="s">
        <v>74</v>
      </c>
      <c r="BD470" s="2">
        <v>113948</v>
      </c>
      <c r="BE470" s="2" t="s">
        <v>5224</v>
      </c>
      <c r="BF470" s="2" t="str">
        <f>HYPERLINK("http://dx.doi.org/10.1016/j.ygcen.2021.113948","http://dx.doi.org/10.1016/j.ygcen.2021.113948")</f>
        <v>http://dx.doi.org/10.1016/j.ygcen.2021.113948</v>
      </c>
      <c r="BG470" s="2" t="s">
        <v>74</v>
      </c>
      <c r="BH470" s="2" t="s">
        <v>74</v>
      </c>
      <c r="BI470" s="2" t="s">
        <v>74</v>
      </c>
      <c r="BJ470" s="2" t="s">
        <v>74</v>
      </c>
      <c r="BK470" s="2" t="s">
        <v>74</v>
      </c>
      <c r="BL470" s="2" t="s">
        <v>74</v>
      </c>
      <c r="BM470" s="2" t="s">
        <v>74</v>
      </c>
      <c r="BN470" s="2">
        <v>34826430</v>
      </c>
      <c r="BO470" s="2" t="s">
        <v>74</v>
      </c>
      <c r="BP470" s="2" t="s">
        <v>74</v>
      </c>
      <c r="BQ470" s="2" t="s">
        <v>74</v>
      </c>
      <c r="BR470" s="2" t="s">
        <v>74</v>
      </c>
      <c r="BS470" s="2" t="s">
        <v>5225</v>
      </c>
      <c r="BT470" s="2" t="str">
        <f>HYPERLINK("https%3A%2F%2Fwww.webofscience.com%2Fwos%2Fwoscc%2Ffull-record%2FWOS:000784337800003","View Full Record in Web of Science")</f>
        <v>View Full Record in Web of Science</v>
      </c>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row>
    <row r="471" spans="1:314" s="2" customFormat="1" x14ac:dyDescent="0.4">
      <c r="A471" s="2" t="s">
        <v>72</v>
      </c>
      <c r="B471" s="2" t="s">
        <v>6600</v>
      </c>
      <c r="C471" s="2" t="s">
        <v>74</v>
      </c>
      <c r="D471" s="2" t="s">
        <v>74</v>
      </c>
      <c r="E471" s="2" t="s">
        <v>74</v>
      </c>
      <c r="F471" s="2" t="s">
        <v>6600</v>
      </c>
      <c r="G471" s="2" t="s">
        <v>74</v>
      </c>
      <c r="H471" s="2" t="s">
        <v>74</v>
      </c>
      <c r="I471" s="2" t="s">
        <v>6601</v>
      </c>
      <c r="J471" s="2" t="s">
        <v>691</v>
      </c>
      <c r="K471" s="2" t="s">
        <v>74</v>
      </c>
      <c r="L471" s="2" t="s">
        <v>74</v>
      </c>
      <c r="M471" s="2" t="s">
        <v>74</v>
      </c>
      <c r="N471" s="2" t="s">
        <v>74</v>
      </c>
      <c r="O471" s="2" t="s">
        <v>6602</v>
      </c>
      <c r="P471" s="2" t="s">
        <v>6603</v>
      </c>
      <c r="Q471" s="2" t="s">
        <v>6604</v>
      </c>
      <c r="R471" s="2" t="s">
        <v>6605</v>
      </c>
      <c r="S471" s="2" t="s">
        <v>74</v>
      </c>
      <c r="T471" s="2" t="s">
        <v>74</v>
      </c>
      <c r="U471" s="2" t="s">
        <v>74</v>
      </c>
      <c r="V471" s="5" t="s">
        <v>6606</v>
      </c>
      <c r="W471" s="2" t="s">
        <v>74</v>
      </c>
      <c r="X471" s="2" t="s">
        <v>74</v>
      </c>
      <c r="Y471" s="2" t="s">
        <v>74</v>
      </c>
      <c r="Z471" s="2" t="s">
        <v>74</v>
      </c>
      <c r="AA471" s="2" t="s">
        <v>74</v>
      </c>
      <c r="AB471" s="2" t="s">
        <v>74</v>
      </c>
      <c r="AC471" s="2" t="s">
        <v>74</v>
      </c>
      <c r="AD471" s="2" t="s">
        <v>74</v>
      </c>
      <c r="AE471" s="2" t="s">
        <v>74</v>
      </c>
      <c r="AF471" s="2" t="s">
        <v>74</v>
      </c>
      <c r="AG471" s="2" t="s">
        <v>74</v>
      </c>
      <c r="AH471" s="2" t="s">
        <v>74</v>
      </c>
      <c r="AI471" s="2" t="s">
        <v>74</v>
      </c>
      <c r="AJ471" s="2" t="s">
        <v>74</v>
      </c>
      <c r="AK471" s="2" t="s">
        <v>74</v>
      </c>
      <c r="AL471" s="2" t="s">
        <v>74</v>
      </c>
      <c r="AM471" s="2" t="s">
        <v>74</v>
      </c>
      <c r="AN471" s="2" t="s">
        <v>74</v>
      </c>
      <c r="AO471" s="2" t="s">
        <v>695</v>
      </c>
      <c r="AP471" s="2" t="s">
        <v>74</v>
      </c>
      <c r="AQ471" s="2" t="s">
        <v>74</v>
      </c>
      <c r="AR471" s="2" t="s">
        <v>74</v>
      </c>
      <c r="AS471" s="2" t="s">
        <v>74</v>
      </c>
      <c r="AT471" s="2" t="s">
        <v>145</v>
      </c>
      <c r="AU471" s="2">
        <v>2003</v>
      </c>
      <c r="AV471" s="2">
        <v>79</v>
      </c>
      <c r="AW471" s="2">
        <v>3</v>
      </c>
      <c r="AX471" s="2" t="s">
        <v>74</v>
      </c>
      <c r="AY471" s="2" t="s">
        <v>74</v>
      </c>
      <c r="AZ471" s="2" t="s">
        <v>74</v>
      </c>
      <c r="BA471" s="2" t="s">
        <v>74</v>
      </c>
      <c r="BB471" s="2">
        <v>429</v>
      </c>
      <c r="BC471" s="2">
        <v>440</v>
      </c>
      <c r="BD471" s="2" t="s">
        <v>74</v>
      </c>
      <c r="BE471" s="2" t="s">
        <v>6607</v>
      </c>
      <c r="BF471" s="2" t="str">
        <f>HYPERLINK("http://dx.doi.org/10.1016/S0031-9384(03)00162-8","http://dx.doi.org/10.1016/S0031-9384(03)00162-8")</f>
        <v>http://dx.doi.org/10.1016/S0031-9384(03)00162-8</v>
      </c>
      <c r="BG471" s="2" t="s">
        <v>74</v>
      </c>
      <c r="BH471" s="2" t="s">
        <v>74</v>
      </c>
      <c r="BI471" s="2" t="s">
        <v>74</v>
      </c>
      <c r="BJ471" s="2" t="s">
        <v>74</v>
      </c>
      <c r="BK471" s="2" t="s">
        <v>74</v>
      </c>
      <c r="BL471" s="2" t="s">
        <v>74</v>
      </c>
      <c r="BM471" s="2" t="s">
        <v>74</v>
      </c>
      <c r="BN471" s="2">
        <v>12954437</v>
      </c>
      <c r="BO471" s="2" t="s">
        <v>74</v>
      </c>
      <c r="BP471" s="2" t="s">
        <v>74</v>
      </c>
      <c r="BQ471" s="2" t="s">
        <v>74</v>
      </c>
      <c r="BR471" s="2" t="s">
        <v>74</v>
      </c>
      <c r="BS471" s="2" t="s">
        <v>6608</v>
      </c>
      <c r="BT471" s="2" t="str">
        <f>HYPERLINK("https%3A%2F%2Fwww.webofscience.com%2Fwos%2Fwoscc%2Ffull-record%2FWOS:000185291300010","View Full Record in Web of Science")</f>
        <v>View Full Record in Web of Science</v>
      </c>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row>
    <row r="472" spans="1:314" s="1" customFormat="1" x14ac:dyDescent="0.4">
      <c r="A472" s="2" t="s">
        <v>72</v>
      </c>
      <c r="B472" s="2" t="s">
        <v>5164</v>
      </c>
      <c r="C472" s="2" t="s">
        <v>74</v>
      </c>
      <c r="D472" s="2" t="s">
        <v>74</v>
      </c>
      <c r="E472" s="2" t="s">
        <v>74</v>
      </c>
      <c r="F472" s="2" t="s">
        <v>5164</v>
      </c>
      <c r="G472" s="2" t="s">
        <v>74</v>
      </c>
      <c r="H472" s="2" t="s">
        <v>74</v>
      </c>
      <c r="I472" s="2" t="s">
        <v>5165</v>
      </c>
      <c r="J472" s="2" t="s">
        <v>509</v>
      </c>
      <c r="K472" s="2" t="s">
        <v>74</v>
      </c>
      <c r="L472" s="2" t="s">
        <v>74</v>
      </c>
      <c r="M472" s="2" t="s">
        <v>74</v>
      </c>
      <c r="N472" s="2" t="s">
        <v>74</v>
      </c>
      <c r="O472" s="2" t="s">
        <v>74</v>
      </c>
      <c r="P472" s="2" t="s">
        <v>74</v>
      </c>
      <c r="Q472" s="2" t="s">
        <v>74</v>
      </c>
      <c r="R472" s="2" t="s">
        <v>74</v>
      </c>
      <c r="S472" s="2" t="s">
        <v>74</v>
      </c>
      <c r="T472" s="2" t="s">
        <v>74</v>
      </c>
      <c r="U472" s="2" t="s">
        <v>74</v>
      </c>
      <c r="V472" s="5" t="s">
        <v>5166</v>
      </c>
      <c r="W472" s="2" t="s">
        <v>74</v>
      </c>
      <c r="X472" s="2" t="s">
        <v>74</v>
      </c>
      <c r="Y472" s="2" t="s">
        <v>74</v>
      </c>
      <c r="Z472" s="2" t="s">
        <v>74</v>
      </c>
      <c r="AA472" s="2" t="s">
        <v>74</v>
      </c>
      <c r="AB472" s="2" t="s">
        <v>74</v>
      </c>
      <c r="AC472" s="2" t="s">
        <v>74</v>
      </c>
      <c r="AD472" s="2" t="s">
        <v>74</v>
      </c>
      <c r="AE472" s="2" t="s">
        <v>74</v>
      </c>
      <c r="AF472" s="2" t="s">
        <v>74</v>
      </c>
      <c r="AG472" s="2" t="s">
        <v>74</v>
      </c>
      <c r="AH472" s="2" t="s">
        <v>74</v>
      </c>
      <c r="AI472" s="2" t="s">
        <v>74</v>
      </c>
      <c r="AJ472" s="2" t="s">
        <v>74</v>
      </c>
      <c r="AK472" s="2" t="s">
        <v>74</v>
      </c>
      <c r="AL472" s="2" t="s">
        <v>74</v>
      </c>
      <c r="AM472" s="2" t="s">
        <v>74</v>
      </c>
      <c r="AN472" s="2" t="s">
        <v>74</v>
      </c>
      <c r="AO472" s="2" t="s">
        <v>511</v>
      </c>
      <c r="AP472" s="2" t="s">
        <v>512</v>
      </c>
      <c r="AQ472" s="2" t="s">
        <v>74</v>
      </c>
      <c r="AR472" s="2" t="s">
        <v>74</v>
      </c>
      <c r="AS472" s="2" t="s">
        <v>74</v>
      </c>
      <c r="AT472" s="2" t="s">
        <v>74</v>
      </c>
      <c r="AU472" s="2">
        <v>1984</v>
      </c>
      <c r="AV472" s="2">
        <v>18</v>
      </c>
      <c r="AW472" s="2">
        <v>1</v>
      </c>
      <c r="AX472" s="2" t="s">
        <v>74</v>
      </c>
      <c r="AY472" s="2" t="s">
        <v>74</v>
      </c>
      <c r="AZ472" s="2" t="s">
        <v>74</v>
      </c>
      <c r="BA472" s="2" t="s">
        <v>74</v>
      </c>
      <c r="BB472" s="2">
        <v>1</v>
      </c>
      <c r="BC472" s="2">
        <v>11</v>
      </c>
      <c r="BD472" s="2" t="s">
        <v>74</v>
      </c>
      <c r="BE472" s="2" t="s">
        <v>5167</v>
      </c>
      <c r="BF472" s="2" t="str">
        <f>HYPERLINK("http://dx.doi.org/10.1016/0018-506X(84)90045-X","http://dx.doi.org/10.1016/0018-506X(84)90045-X")</f>
        <v>http://dx.doi.org/10.1016/0018-506X(84)90045-X</v>
      </c>
      <c r="BG472" s="2" t="s">
        <v>74</v>
      </c>
      <c r="BH472" s="2" t="s">
        <v>74</v>
      </c>
      <c r="BI472" s="2" t="s">
        <v>74</v>
      </c>
      <c r="BJ472" s="2" t="s">
        <v>74</v>
      </c>
      <c r="BK472" s="2" t="s">
        <v>74</v>
      </c>
      <c r="BL472" s="2" t="s">
        <v>74</v>
      </c>
      <c r="BM472" s="2" t="s">
        <v>74</v>
      </c>
      <c r="BN472" s="2">
        <v>6706316</v>
      </c>
      <c r="BO472" s="2" t="s">
        <v>74</v>
      </c>
      <c r="BP472" s="2" t="s">
        <v>74</v>
      </c>
      <c r="BQ472" s="2" t="s">
        <v>74</v>
      </c>
      <c r="BR472" s="2" t="s">
        <v>74</v>
      </c>
      <c r="BS472" s="2" t="s">
        <v>5168</v>
      </c>
      <c r="BT472" s="2" t="str">
        <f>HYPERLINK("https%3A%2F%2Fwww.webofscience.com%2Fwos%2Fwoscc%2Ffull-record%2FWOS:A1984SG50600001","View Full Record in Web of Science")</f>
        <v>View Full Record in Web of Science</v>
      </c>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row>
    <row r="473" spans="1:314" s="2" customFormat="1" x14ac:dyDescent="0.4">
      <c r="A473" s="2" t="s">
        <v>72</v>
      </c>
      <c r="B473" s="2" t="s">
        <v>3660</v>
      </c>
      <c r="C473" s="2" t="s">
        <v>74</v>
      </c>
      <c r="D473" s="2" t="s">
        <v>74</v>
      </c>
      <c r="E473" s="2" t="s">
        <v>74</v>
      </c>
      <c r="F473" s="2" t="s">
        <v>3660</v>
      </c>
      <c r="G473" s="2" t="s">
        <v>74</v>
      </c>
      <c r="H473" s="2" t="s">
        <v>74</v>
      </c>
      <c r="I473" s="2" t="s">
        <v>3661</v>
      </c>
      <c r="J473" s="2" t="s">
        <v>475</v>
      </c>
      <c r="K473" s="2" t="s">
        <v>74</v>
      </c>
      <c r="L473" s="2" t="s">
        <v>74</v>
      </c>
      <c r="M473" s="2" t="s">
        <v>74</v>
      </c>
      <c r="N473" s="2" t="s">
        <v>74</v>
      </c>
      <c r="O473" s="2" t="s">
        <v>74</v>
      </c>
      <c r="P473" s="2" t="s">
        <v>74</v>
      </c>
      <c r="Q473" s="2" t="s">
        <v>74</v>
      </c>
      <c r="R473" s="2" t="s">
        <v>74</v>
      </c>
      <c r="S473" s="2" t="s">
        <v>74</v>
      </c>
      <c r="T473" s="2" t="s">
        <v>74</v>
      </c>
      <c r="U473" s="2" t="s">
        <v>74</v>
      </c>
      <c r="V473" s="5" t="s">
        <v>3662</v>
      </c>
      <c r="W473" s="2" t="s">
        <v>74</v>
      </c>
      <c r="X473" s="2" t="s">
        <v>74</v>
      </c>
      <c r="Y473" s="2" t="s">
        <v>74</v>
      </c>
      <c r="Z473" s="2" t="s">
        <v>74</v>
      </c>
      <c r="AA473" s="2" t="s">
        <v>74</v>
      </c>
      <c r="AB473" s="2" t="s">
        <v>74</v>
      </c>
      <c r="AC473" s="2" t="s">
        <v>74</v>
      </c>
      <c r="AD473" s="2" t="s">
        <v>74</v>
      </c>
      <c r="AE473" s="2" t="s">
        <v>74</v>
      </c>
      <c r="AF473" s="2" t="s">
        <v>74</v>
      </c>
      <c r="AG473" s="2" t="s">
        <v>74</v>
      </c>
      <c r="AH473" s="2" t="s">
        <v>74</v>
      </c>
      <c r="AI473" s="2" t="s">
        <v>74</v>
      </c>
      <c r="AJ473" s="2" t="s">
        <v>74</v>
      </c>
      <c r="AK473" s="2" t="s">
        <v>74</v>
      </c>
      <c r="AL473" s="2" t="s">
        <v>74</v>
      </c>
      <c r="AM473" s="2" t="s">
        <v>74</v>
      </c>
      <c r="AN473" s="2" t="s">
        <v>74</v>
      </c>
      <c r="AO473" s="2" t="s">
        <v>477</v>
      </c>
      <c r="AP473" s="2" t="s">
        <v>1089</v>
      </c>
      <c r="AQ473" s="2" t="s">
        <v>74</v>
      </c>
      <c r="AR473" s="2" t="s">
        <v>74</v>
      </c>
      <c r="AS473" s="2" t="s">
        <v>74</v>
      </c>
      <c r="AT473" s="2" t="s">
        <v>964</v>
      </c>
      <c r="AU473" s="2">
        <v>1990</v>
      </c>
      <c r="AV473" s="2">
        <v>77</v>
      </c>
      <c r="AW473" s="2">
        <v>2</v>
      </c>
      <c r="AX473" s="2" t="s">
        <v>74</v>
      </c>
      <c r="AY473" s="2" t="s">
        <v>74</v>
      </c>
      <c r="AZ473" s="2" t="s">
        <v>74</v>
      </c>
      <c r="BA473" s="2" t="s">
        <v>74</v>
      </c>
      <c r="BB473" s="2">
        <v>246</v>
      </c>
      <c r="BC473" s="2">
        <v>255</v>
      </c>
      <c r="BD473" s="2" t="s">
        <v>74</v>
      </c>
      <c r="BE473" s="2" t="s">
        <v>3663</v>
      </c>
      <c r="BF473" s="2" t="str">
        <f>HYPERLINK("http://dx.doi.org/10.1016/0016-6480(90)90309-A","http://dx.doi.org/10.1016/0016-6480(90)90309-A")</f>
        <v>http://dx.doi.org/10.1016/0016-6480(90)90309-A</v>
      </c>
      <c r="BG473" s="2" t="s">
        <v>74</v>
      </c>
      <c r="BH473" s="2" t="s">
        <v>74</v>
      </c>
      <c r="BI473" s="2" t="s">
        <v>74</v>
      </c>
      <c r="BJ473" s="2" t="s">
        <v>74</v>
      </c>
      <c r="BK473" s="2" t="s">
        <v>74</v>
      </c>
      <c r="BL473" s="2" t="s">
        <v>74</v>
      </c>
      <c r="BM473" s="2" t="s">
        <v>74</v>
      </c>
      <c r="BN473" s="2">
        <v>2307346</v>
      </c>
      <c r="BO473" s="2" t="s">
        <v>74</v>
      </c>
      <c r="BP473" s="2" t="s">
        <v>74</v>
      </c>
      <c r="BQ473" s="2" t="s">
        <v>74</v>
      </c>
      <c r="BR473" s="2" t="s">
        <v>74</v>
      </c>
      <c r="BS473" s="2" t="s">
        <v>3664</v>
      </c>
      <c r="BT473" s="2" t="str">
        <f>HYPERLINK("https%3A%2F%2Fwww.webofscience.com%2Fwos%2Fwoscc%2Ffull-record%2FWOS:A1990CN99400009","View Full Record in Web of Science")</f>
        <v>View Full Record in Web of Science</v>
      </c>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row>
    <row r="474" spans="1:314" s="2" customFormat="1" x14ac:dyDescent="0.4">
      <c r="A474" s="2" t="s">
        <v>72</v>
      </c>
      <c r="B474" s="2" t="s">
        <v>6913</v>
      </c>
      <c r="C474" s="2" t="s">
        <v>74</v>
      </c>
      <c r="D474" s="2" t="s">
        <v>74</v>
      </c>
      <c r="E474" s="2" t="s">
        <v>74</v>
      </c>
      <c r="F474" s="2" t="s">
        <v>6914</v>
      </c>
      <c r="G474" s="2" t="s">
        <v>74</v>
      </c>
      <c r="H474" s="2" t="s">
        <v>74</v>
      </c>
      <c r="I474" s="2" t="s">
        <v>6915</v>
      </c>
      <c r="J474" s="2" t="s">
        <v>171</v>
      </c>
      <c r="K474" s="2" t="s">
        <v>74</v>
      </c>
      <c r="L474" s="2" t="s">
        <v>74</v>
      </c>
      <c r="M474" s="2" t="s">
        <v>74</v>
      </c>
      <c r="N474" s="2" t="s">
        <v>74</v>
      </c>
      <c r="O474" s="2" t="s">
        <v>74</v>
      </c>
      <c r="P474" s="2" t="s">
        <v>74</v>
      </c>
      <c r="Q474" s="2" t="s">
        <v>74</v>
      </c>
      <c r="R474" s="2" t="s">
        <v>74</v>
      </c>
      <c r="S474" s="2" t="s">
        <v>74</v>
      </c>
      <c r="T474" s="2" t="s">
        <v>74</v>
      </c>
      <c r="U474" s="2" t="s">
        <v>74</v>
      </c>
      <c r="V474" s="5" t="s">
        <v>6916</v>
      </c>
      <c r="W474" s="2" t="s">
        <v>74</v>
      </c>
      <c r="X474" s="2" t="s">
        <v>74</v>
      </c>
      <c r="Y474" s="2" t="s">
        <v>74</v>
      </c>
      <c r="Z474" s="2" t="s">
        <v>74</v>
      </c>
      <c r="AA474" s="2" t="s">
        <v>4216</v>
      </c>
      <c r="AB474" s="2" t="s">
        <v>4217</v>
      </c>
      <c r="AC474" s="2" t="s">
        <v>74</v>
      </c>
      <c r="AD474" s="2" t="s">
        <v>74</v>
      </c>
      <c r="AE474" s="2" t="s">
        <v>74</v>
      </c>
      <c r="AF474" s="2" t="s">
        <v>74</v>
      </c>
      <c r="AG474" s="2" t="s">
        <v>74</v>
      </c>
      <c r="AH474" s="2" t="s">
        <v>74</v>
      </c>
      <c r="AI474" s="2" t="s">
        <v>74</v>
      </c>
      <c r="AJ474" s="2" t="s">
        <v>74</v>
      </c>
      <c r="AK474" s="2" t="s">
        <v>74</v>
      </c>
      <c r="AL474" s="2" t="s">
        <v>74</v>
      </c>
      <c r="AM474" s="2" t="s">
        <v>74</v>
      </c>
      <c r="AN474" s="2" t="s">
        <v>74</v>
      </c>
      <c r="AO474" s="2" t="s">
        <v>173</v>
      </c>
      <c r="AP474" s="2" t="s">
        <v>174</v>
      </c>
      <c r="AQ474" s="2" t="s">
        <v>74</v>
      </c>
      <c r="AR474" s="2" t="s">
        <v>74</v>
      </c>
      <c r="AS474" s="2" t="s">
        <v>74</v>
      </c>
      <c r="AT474" s="2" t="s">
        <v>175</v>
      </c>
      <c r="AU474" s="2">
        <v>2015</v>
      </c>
      <c r="AV474" s="2">
        <v>69</v>
      </c>
      <c r="AW474" s="2">
        <v>10</v>
      </c>
      <c r="AX474" s="2" t="s">
        <v>74</v>
      </c>
      <c r="AY474" s="2" t="s">
        <v>74</v>
      </c>
      <c r="AZ474" s="2" t="s">
        <v>74</v>
      </c>
      <c r="BA474" s="2" t="s">
        <v>74</v>
      </c>
      <c r="BB474" s="2">
        <v>2602</v>
      </c>
      <c r="BC474" s="2">
        <v>2612</v>
      </c>
      <c r="BD474" s="2" t="s">
        <v>74</v>
      </c>
      <c r="BE474" s="2" t="s">
        <v>6917</v>
      </c>
      <c r="BF474" s="2" t="str">
        <f>HYPERLINK("http://dx.doi.org/10.1111/evo.12756","http://dx.doi.org/10.1111/evo.12756")</f>
        <v>http://dx.doi.org/10.1111/evo.12756</v>
      </c>
      <c r="BG474" s="2" t="s">
        <v>74</v>
      </c>
      <c r="BH474" s="2" t="s">
        <v>74</v>
      </c>
      <c r="BI474" s="2" t="s">
        <v>74</v>
      </c>
      <c r="BJ474" s="2" t="s">
        <v>74</v>
      </c>
      <c r="BK474" s="2" t="s">
        <v>74</v>
      </c>
      <c r="BL474" s="2" t="s">
        <v>74</v>
      </c>
      <c r="BM474" s="2" t="s">
        <v>74</v>
      </c>
      <c r="BN474" s="2">
        <v>26292844</v>
      </c>
      <c r="BO474" s="2" t="s">
        <v>74</v>
      </c>
      <c r="BP474" s="2" t="s">
        <v>74</v>
      </c>
      <c r="BQ474" s="2" t="s">
        <v>74</v>
      </c>
      <c r="BR474" s="2" t="s">
        <v>74</v>
      </c>
      <c r="BS474" s="2" t="s">
        <v>6918</v>
      </c>
      <c r="BT474" s="2" t="str">
        <f>HYPERLINK("https%3A%2F%2Fwww.webofscience.com%2Fwos%2Fwoscc%2Ffull-record%2FWOS:000362970600006","View Full Record in Web of Science")</f>
        <v>View Full Record in Web of Science</v>
      </c>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row>
    <row r="475" spans="1:314" s="1" customFormat="1" x14ac:dyDescent="0.4">
      <c r="A475" s="2" t="s">
        <v>72</v>
      </c>
      <c r="B475" s="2" t="s">
        <v>6630</v>
      </c>
      <c r="C475" s="2" t="s">
        <v>74</v>
      </c>
      <c r="D475" s="2" t="s">
        <v>74</v>
      </c>
      <c r="E475" s="2" t="s">
        <v>74</v>
      </c>
      <c r="F475" s="2" t="s">
        <v>6631</v>
      </c>
      <c r="G475" s="2" t="s">
        <v>74</v>
      </c>
      <c r="H475" s="2" t="s">
        <v>74</v>
      </c>
      <c r="I475" s="2" t="s">
        <v>6632</v>
      </c>
      <c r="J475" s="2" t="s">
        <v>6633</v>
      </c>
      <c r="K475" s="2" t="s">
        <v>74</v>
      </c>
      <c r="L475" s="2" t="s">
        <v>74</v>
      </c>
      <c r="M475" s="2" t="s">
        <v>74</v>
      </c>
      <c r="N475" s="2" t="s">
        <v>74</v>
      </c>
      <c r="O475" s="2" t="s">
        <v>6634</v>
      </c>
      <c r="P475" s="2" t="s">
        <v>6635</v>
      </c>
      <c r="Q475" s="2" t="s">
        <v>6636</v>
      </c>
      <c r="R475" s="2" t="s">
        <v>6637</v>
      </c>
      <c r="S475" s="2" t="s">
        <v>74</v>
      </c>
      <c r="T475" s="2" t="s">
        <v>74</v>
      </c>
      <c r="U475" s="2" t="s">
        <v>74</v>
      </c>
      <c r="V475" s="5" t="s">
        <v>6638</v>
      </c>
      <c r="W475" s="2" t="s">
        <v>74</v>
      </c>
      <c r="X475" s="2" t="s">
        <v>74</v>
      </c>
      <c r="Y475" s="2" t="s">
        <v>74</v>
      </c>
      <c r="Z475" s="2" t="s">
        <v>74</v>
      </c>
      <c r="AA475" s="2" t="s">
        <v>74</v>
      </c>
      <c r="AB475" s="2" t="s">
        <v>624</v>
      </c>
      <c r="AC475" s="2" t="s">
        <v>74</v>
      </c>
      <c r="AD475" s="2" t="s">
        <v>74</v>
      </c>
      <c r="AE475" s="2" t="s">
        <v>74</v>
      </c>
      <c r="AF475" s="2" t="s">
        <v>74</v>
      </c>
      <c r="AG475" s="2" t="s">
        <v>74</v>
      </c>
      <c r="AH475" s="2" t="s">
        <v>74</v>
      </c>
      <c r="AI475" s="2" t="s">
        <v>74</v>
      </c>
      <c r="AJ475" s="2" t="s">
        <v>74</v>
      </c>
      <c r="AK475" s="2" t="s">
        <v>74</v>
      </c>
      <c r="AL475" s="2" t="s">
        <v>74</v>
      </c>
      <c r="AM475" s="2" t="s">
        <v>74</v>
      </c>
      <c r="AN475" s="2" t="s">
        <v>74</v>
      </c>
      <c r="AO475" s="2" t="s">
        <v>6639</v>
      </c>
      <c r="AP475" s="2" t="s">
        <v>6640</v>
      </c>
      <c r="AQ475" s="2" t="s">
        <v>74</v>
      </c>
      <c r="AR475" s="2" t="s">
        <v>74</v>
      </c>
      <c r="AS475" s="2" t="s">
        <v>74</v>
      </c>
      <c r="AT475" s="2" t="s">
        <v>213</v>
      </c>
      <c r="AU475" s="2">
        <v>2011</v>
      </c>
      <c r="AV475" s="2">
        <v>51</v>
      </c>
      <c r="AW475" s="2">
        <v>5</v>
      </c>
      <c r="AX475" s="2" t="s">
        <v>74</v>
      </c>
      <c r="AY475" s="2" t="s">
        <v>74</v>
      </c>
      <c r="AZ475" s="2" t="s">
        <v>74</v>
      </c>
      <c r="BA475" s="2" t="s">
        <v>74</v>
      </c>
      <c r="BB475" s="2">
        <v>807</v>
      </c>
      <c r="BC475" s="2">
        <v>818</v>
      </c>
      <c r="BD475" s="2" t="s">
        <v>74</v>
      </c>
      <c r="BE475" s="2" t="s">
        <v>6641</v>
      </c>
      <c r="BF475" s="2" t="str">
        <f>HYPERLINK("http://dx.doi.org/10.1093/icb/icr060","http://dx.doi.org/10.1093/icb/icr060")</f>
        <v>http://dx.doi.org/10.1093/icb/icr060</v>
      </c>
      <c r="BG475" s="2" t="s">
        <v>74</v>
      </c>
      <c r="BH475" s="2" t="s">
        <v>74</v>
      </c>
      <c r="BI475" s="2" t="s">
        <v>74</v>
      </c>
      <c r="BJ475" s="2" t="s">
        <v>74</v>
      </c>
      <c r="BK475" s="2" t="s">
        <v>74</v>
      </c>
      <c r="BL475" s="2" t="s">
        <v>74</v>
      </c>
      <c r="BM475" s="2" t="s">
        <v>74</v>
      </c>
      <c r="BN475" s="2">
        <v>21700572</v>
      </c>
      <c r="BO475" s="2" t="s">
        <v>74</v>
      </c>
      <c r="BP475" s="2" t="s">
        <v>74</v>
      </c>
      <c r="BQ475" s="2" t="s">
        <v>74</v>
      </c>
      <c r="BR475" s="2" t="s">
        <v>74</v>
      </c>
      <c r="BS475" s="2" t="s">
        <v>6642</v>
      </c>
      <c r="BT475" s="2" t="str">
        <f>HYPERLINK("https%3A%2F%2Fwww.webofscience.com%2Fwos%2Fwoscc%2Ffull-record%2FWOS:000296101600014","View Full Record in Web of Science")</f>
        <v>View Full Record in Web of Science</v>
      </c>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row>
    <row r="476" spans="1:314" s="2" customFormat="1" x14ac:dyDescent="0.4">
      <c r="A476" s="2" t="s">
        <v>72</v>
      </c>
      <c r="B476" s="2" t="s">
        <v>7804</v>
      </c>
      <c r="C476" s="2" t="s">
        <v>74</v>
      </c>
      <c r="D476" s="2" t="s">
        <v>74</v>
      </c>
      <c r="E476" s="2" t="s">
        <v>74</v>
      </c>
      <c r="F476" s="2" t="s">
        <v>7805</v>
      </c>
      <c r="G476" s="2" t="s">
        <v>74</v>
      </c>
      <c r="H476" s="2" t="s">
        <v>74</v>
      </c>
      <c r="I476" s="2" t="s">
        <v>7806</v>
      </c>
      <c r="J476" s="2" t="s">
        <v>333</v>
      </c>
      <c r="K476" s="2" t="s">
        <v>74</v>
      </c>
      <c r="L476" s="2" t="s">
        <v>74</v>
      </c>
      <c r="M476" s="2" t="s">
        <v>74</v>
      </c>
      <c r="N476" s="2" t="s">
        <v>74</v>
      </c>
      <c r="O476" s="2" t="s">
        <v>74</v>
      </c>
      <c r="P476" s="2" t="s">
        <v>74</v>
      </c>
      <c r="Q476" s="2" t="s">
        <v>74</v>
      </c>
      <c r="R476" s="2" t="s">
        <v>74</v>
      </c>
      <c r="S476" s="2" t="s">
        <v>74</v>
      </c>
      <c r="T476" s="2" t="s">
        <v>74</v>
      </c>
      <c r="U476" s="2" t="s">
        <v>74</v>
      </c>
      <c r="V476" s="5" t="s">
        <v>7807</v>
      </c>
      <c r="W476" s="2" t="s">
        <v>74</v>
      </c>
      <c r="X476" s="2" t="s">
        <v>74</v>
      </c>
      <c r="Y476" s="2" t="s">
        <v>74</v>
      </c>
      <c r="Z476" s="2" t="s">
        <v>74</v>
      </c>
      <c r="AA476" s="2" t="s">
        <v>7808</v>
      </c>
      <c r="AB476" s="2" t="s">
        <v>7809</v>
      </c>
      <c r="AC476" s="2" t="s">
        <v>74</v>
      </c>
      <c r="AD476" s="2" t="s">
        <v>74</v>
      </c>
      <c r="AE476" s="2" t="s">
        <v>74</v>
      </c>
      <c r="AF476" s="2" t="s">
        <v>74</v>
      </c>
      <c r="AG476" s="2" t="s">
        <v>74</v>
      </c>
      <c r="AH476" s="2" t="s">
        <v>74</v>
      </c>
      <c r="AI476" s="2" t="s">
        <v>74</v>
      </c>
      <c r="AJ476" s="2" t="s">
        <v>74</v>
      </c>
      <c r="AK476" s="2" t="s">
        <v>74</v>
      </c>
      <c r="AL476" s="2" t="s">
        <v>74</v>
      </c>
      <c r="AM476" s="2" t="s">
        <v>74</v>
      </c>
      <c r="AN476" s="2" t="s">
        <v>74</v>
      </c>
      <c r="AO476" s="2" t="s">
        <v>337</v>
      </c>
      <c r="AP476" s="2" t="s">
        <v>338</v>
      </c>
      <c r="AQ476" s="2" t="s">
        <v>74</v>
      </c>
      <c r="AR476" s="2" t="s">
        <v>74</v>
      </c>
      <c r="AS476" s="2" t="s">
        <v>74</v>
      </c>
      <c r="AT476" s="2" t="s">
        <v>1013</v>
      </c>
      <c r="AU476" s="2">
        <v>2009</v>
      </c>
      <c r="AV476" s="2">
        <v>20</v>
      </c>
      <c r="AW476" s="2">
        <v>5</v>
      </c>
      <c r="AX476" s="2" t="s">
        <v>74</v>
      </c>
      <c r="AY476" s="2" t="s">
        <v>74</v>
      </c>
      <c r="AZ476" s="2" t="s">
        <v>74</v>
      </c>
      <c r="BA476" s="2" t="s">
        <v>74</v>
      </c>
      <c r="BB476" s="2">
        <v>1072</v>
      </c>
      <c r="BC476" s="2">
        <v>1078</v>
      </c>
      <c r="BD476" s="2" t="s">
        <v>74</v>
      </c>
      <c r="BE476" s="2" t="s">
        <v>7810</v>
      </c>
      <c r="BF476" s="2" t="str">
        <f>HYPERLINK("http://dx.doi.org/10.1093/beheco/arp099","http://dx.doi.org/10.1093/beheco/arp099")</f>
        <v>http://dx.doi.org/10.1093/beheco/arp099</v>
      </c>
      <c r="BG476" s="2" t="s">
        <v>74</v>
      </c>
      <c r="BH476" s="2" t="s">
        <v>74</v>
      </c>
      <c r="BI476" s="2" t="s">
        <v>74</v>
      </c>
      <c r="BJ476" s="2" t="s">
        <v>74</v>
      </c>
      <c r="BK476" s="2" t="s">
        <v>74</v>
      </c>
      <c r="BL476" s="2" t="s">
        <v>74</v>
      </c>
      <c r="BM476" s="2" t="s">
        <v>74</v>
      </c>
      <c r="BN476" s="2" t="s">
        <v>74</v>
      </c>
      <c r="BO476" s="2" t="s">
        <v>74</v>
      </c>
      <c r="BP476" s="2" t="s">
        <v>74</v>
      </c>
      <c r="BQ476" s="2" t="s">
        <v>74</v>
      </c>
      <c r="BR476" s="2" t="s">
        <v>74</v>
      </c>
      <c r="BS476" s="2" t="s">
        <v>7811</v>
      </c>
      <c r="BT476" s="2" t="str">
        <f>HYPERLINK("https%3A%2F%2Fwww.webofscience.com%2Fwos%2Fwoscc%2Ffull-record%2FWOS:000269956400023","View Full Record in Web of Science")</f>
        <v>View Full Record in Web of Science</v>
      </c>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row>
    <row r="477" spans="1:314" s="2" customFormat="1" x14ac:dyDescent="0.4">
      <c r="A477" s="2" t="s">
        <v>72</v>
      </c>
      <c r="B477" s="2" t="s">
        <v>5032</v>
      </c>
      <c r="C477" s="2" t="s">
        <v>74</v>
      </c>
      <c r="D477" s="2" t="s">
        <v>74</v>
      </c>
      <c r="E477" s="2" t="s">
        <v>74</v>
      </c>
      <c r="F477" s="2" t="s">
        <v>5033</v>
      </c>
      <c r="G477" s="2" t="s">
        <v>74</v>
      </c>
      <c r="H477" s="2" t="s">
        <v>74</v>
      </c>
      <c r="I477" s="2" t="s">
        <v>5034</v>
      </c>
      <c r="J477" s="2" t="s">
        <v>1656</v>
      </c>
      <c r="K477" s="2" t="s">
        <v>74</v>
      </c>
      <c r="L477" s="2" t="s">
        <v>74</v>
      </c>
      <c r="M477" s="2" t="s">
        <v>74</v>
      </c>
      <c r="N477" s="2" t="s">
        <v>74</v>
      </c>
      <c r="O477" s="2" t="s">
        <v>74</v>
      </c>
      <c r="P477" s="2" t="s">
        <v>74</v>
      </c>
      <c r="Q477" s="2" t="s">
        <v>74</v>
      </c>
      <c r="R477" s="2" t="s">
        <v>74</v>
      </c>
      <c r="S477" s="2" t="s">
        <v>74</v>
      </c>
      <c r="T477" s="2" t="s">
        <v>74</v>
      </c>
      <c r="U477" s="2" t="s">
        <v>74</v>
      </c>
      <c r="V477" s="5" t="s">
        <v>5035</v>
      </c>
      <c r="W477" s="2" t="s">
        <v>74</v>
      </c>
      <c r="X477" s="2" t="s">
        <v>74</v>
      </c>
      <c r="Y477" s="2" t="s">
        <v>74</v>
      </c>
      <c r="Z477" s="2" t="s">
        <v>74</v>
      </c>
      <c r="AA477" s="2" t="s">
        <v>74</v>
      </c>
      <c r="AB477" s="2" t="s">
        <v>74</v>
      </c>
      <c r="AC477" s="2" t="s">
        <v>74</v>
      </c>
      <c r="AD477" s="2" t="s">
        <v>74</v>
      </c>
      <c r="AE477" s="2" t="s">
        <v>74</v>
      </c>
      <c r="AF477" s="2" t="s">
        <v>74</v>
      </c>
      <c r="AG477" s="2" t="s">
        <v>74</v>
      </c>
      <c r="AH477" s="2" t="s">
        <v>74</v>
      </c>
      <c r="AI477" s="2" t="s">
        <v>74</v>
      </c>
      <c r="AJ477" s="2" t="s">
        <v>74</v>
      </c>
      <c r="AK477" s="2" t="s">
        <v>74</v>
      </c>
      <c r="AL477" s="2" t="s">
        <v>74</v>
      </c>
      <c r="AM477" s="2" t="s">
        <v>74</v>
      </c>
      <c r="AN477" s="2" t="s">
        <v>74</v>
      </c>
      <c r="AO477" s="2" t="s">
        <v>1658</v>
      </c>
      <c r="AP477" s="2" t="s">
        <v>1659</v>
      </c>
      <c r="AQ477" s="2" t="s">
        <v>74</v>
      </c>
      <c r="AR477" s="2" t="s">
        <v>74</v>
      </c>
      <c r="AS477" s="2" t="s">
        <v>74</v>
      </c>
      <c r="AT477" s="2" t="s">
        <v>5036</v>
      </c>
      <c r="AU477" s="2">
        <v>2006</v>
      </c>
      <c r="AV477" s="2" t="s">
        <v>74</v>
      </c>
      <c r="AW477" s="2">
        <v>1327</v>
      </c>
      <c r="AX477" s="2" t="s">
        <v>74</v>
      </c>
      <c r="AY477" s="2" t="s">
        <v>74</v>
      </c>
      <c r="AZ477" s="2" t="s">
        <v>74</v>
      </c>
      <c r="BA477" s="2" t="s">
        <v>74</v>
      </c>
      <c r="BB477" s="2">
        <v>1</v>
      </c>
      <c r="BC477" s="2">
        <v>21</v>
      </c>
      <c r="BD477" s="2" t="s">
        <v>74</v>
      </c>
      <c r="BE477" s="2" t="s">
        <v>74</v>
      </c>
      <c r="BF477" s="2" t="s">
        <v>74</v>
      </c>
      <c r="BG477" s="2" t="s">
        <v>74</v>
      </c>
      <c r="BH477" s="2" t="s">
        <v>74</v>
      </c>
      <c r="BI477" s="2" t="s">
        <v>74</v>
      </c>
      <c r="BJ477" s="2" t="s">
        <v>74</v>
      </c>
      <c r="BK477" s="2" t="s">
        <v>74</v>
      </c>
      <c r="BL477" s="2" t="s">
        <v>74</v>
      </c>
      <c r="BM477" s="2" t="s">
        <v>74</v>
      </c>
      <c r="BN477" s="2" t="s">
        <v>74</v>
      </c>
      <c r="BO477" s="2" t="s">
        <v>74</v>
      </c>
      <c r="BP477" s="2" t="s">
        <v>74</v>
      </c>
      <c r="BQ477" s="2" t="s">
        <v>74</v>
      </c>
      <c r="BR477" s="2" t="s">
        <v>74</v>
      </c>
      <c r="BS477" s="2" t="s">
        <v>5037</v>
      </c>
      <c r="BT477" s="2" t="str">
        <f>HYPERLINK("https%3A%2F%2Fwww.webofscience.com%2Fwos%2Fwoscc%2Ffull-record%2FWOS:000240866100001","View Full Record in Web of Science")</f>
        <v>View Full Record in Web of Science</v>
      </c>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row>
    <row r="478" spans="1:314" s="2" customFormat="1" x14ac:dyDescent="0.4">
      <c r="A478" s="2" t="s">
        <v>72</v>
      </c>
      <c r="B478" s="2" t="s">
        <v>5322</v>
      </c>
      <c r="C478" s="2" t="s">
        <v>74</v>
      </c>
      <c r="D478" s="2" t="s">
        <v>74</v>
      </c>
      <c r="E478" s="2" t="s">
        <v>74</v>
      </c>
      <c r="F478" s="2" t="s">
        <v>5323</v>
      </c>
      <c r="G478" s="2" t="s">
        <v>74</v>
      </c>
      <c r="H478" s="2" t="s">
        <v>74</v>
      </c>
      <c r="I478" s="2" t="s">
        <v>5324</v>
      </c>
      <c r="J478" s="2" t="s">
        <v>1656</v>
      </c>
      <c r="K478" s="2" t="s">
        <v>74</v>
      </c>
      <c r="L478" s="2" t="s">
        <v>74</v>
      </c>
      <c r="M478" s="2" t="s">
        <v>74</v>
      </c>
      <c r="N478" s="2" t="s">
        <v>74</v>
      </c>
      <c r="O478" s="2" t="s">
        <v>74</v>
      </c>
      <c r="P478" s="2" t="s">
        <v>74</v>
      </c>
      <c r="Q478" s="2" t="s">
        <v>74</v>
      </c>
      <c r="R478" s="2" t="s">
        <v>74</v>
      </c>
      <c r="S478" s="2" t="s">
        <v>74</v>
      </c>
      <c r="T478" s="2" t="s">
        <v>74</v>
      </c>
      <c r="U478" s="2" t="s">
        <v>74</v>
      </c>
      <c r="V478" s="5" t="s">
        <v>5325</v>
      </c>
      <c r="W478" s="2" t="s">
        <v>74</v>
      </c>
      <c r="X478" s="2" t="s">
        <v>74</v>
      </c>
      <c r="Y478" s="2" t="s">
        <v>74</v>
      </c>
      <c r="Z478" s="2" t="s">
        <v>74</v>
      </c>
      <c r="AA478" s="2" t="s">
        <v>5326</v>
      </c>
      <c r="AB478" s="2" t="s">
        <v>5327</v>
      </c>
      <c r="AC478" s="2" t="s">
        <v>74</v>
      </c>
      <c r="AD478" s="2" t="s">
        <v>74</v>
      </c>
      <c r="AE478" s="2" t="s">
        <v>74</v>
      </c>
      <c r="AF478" s="2" t="s">
        <v>74</v>
      </c>
      <c r="AG478" s="2" t="s">
        <v>74</v>
      </c>
      <c r="AH478" s="2" t="s">
        <v>74</v>
      </c>
      <c r="AI478" s="2" t="s">
        <v>74</v>
      </c>
      <c r="AJ478" s="2" t="s">
        <v>74</v>
      </c>
      <c r="AK478" s="2" t="s">
        <v>74</v>
      </c>
      <c r="AL478" s="2" t="s">
        <v>74</v>
      </c>
      <c r="AM478" s="2" t="s">
        <v>74</v>
      </c>
      <c r="AN478" s="2" t="s">
        <v>74</v>
      </c>
      <c r="AO478" s="2" t="s">
        <v>1658</v>
      </c>
      <c r="AP478" s="2" t="s">
        <v>1659</v>
      </c>
      <c r="AQ478" s="2" t="s">
        <v>74</v>
      </c>
      <c r="AR478" s="2" t="s">
        <v>74</v>
      </c>
      <c r="AS478" s="2" t="s">
        <v>74</v>
      </c>
      <c r="AT478" s="2" t="s">
        <v>5328</v>
      </c>
      <c r="AU478" s="2">
        <v>2016</v>
      </c>
      <c r="AV478" s="2">
        <v>4105</v>
      </c>
      <c r="AW478" s="2">
        <v>5</v>
      </c>
      <c r="AX478" s="2" t="s">
        <v>74</v>
      </c>
      <c r="AY478" s="2" t="s">
        <v>74</v>
      </c>
      <c r="AZ478" s="2" t="s">
        <v>74</v>
      </c>
      <c r="BA478" s="2" t="s">
        <v>74</v>
      </c>
      <c r="BB478" s="2">
        <v>401</v>
      </c>
      <c r="BC478" s="2">
        <v>429</v>
      </c>
      <c r="BD478" s="2" t="s">
        <v>74</v>
      </c>
      <c r="BE478" s="2" t="s">
        <v>5329</v>
      </c>
      <c r="BF478" s="2" t="str">
        <f>HYPERLINK("http://dx.doi.org/10.11646/zootaxa.4105.5.1","http://dx.doi.org/10.11646/zootaxa.4105.5.1")</f>
        <v>http://dx.doi.org/10.11646/zootaxa.4105.5.1</v>
      </c>
      <c r="BG478" s="2" t="s">
        <v>74</v>
      </c>
      <c r="BH478" s="2" t="s">
        <v>74</v>
      </c>
      <c r="BI478" s="2" t="s">
        <v>74</v>
      </c>
      <c r="BJ478" s="2" t="s">
        <v>74</v>
      </c>
      <c r="BK478" s="2" t="s">
        <v>74</v>
      </c>
      <c r="BL478" s="2" t="s">
        <v>74</v>
      </c>
      <c r="BM478" s="2" t="s">
        <v>74</v>
      </c>
      <c r="BN478" s="2">
        <v>27394789</v>
      </c>
      <c r="BO478" s="2" t="s">
        <v>74</v>
      </c>
      <c r="BP478" s="2" t="s">
        <v>74</v>
      </c>
      <c r="BQ478" s="2" t="s">
        <v>74</v>
      </c>
      <c r="BR478" s="2" t="s">
        <v>74</v>
      </c>
      <c r="BS478" s="2" t="s">
        <v>5330</v>
      </c>
      <c r="BT478" s="2" t="str">
        <f>HYPERLINK("https%3A%2F%2Fwww.webofscience.com%2Fwos%2Fwoscc%2Ffull-record%2FWOS:000375273900001","View Full Record in Web of Science")</f>
        <v>View Full Record in Web of Science</v>
      </c>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row>
    <row r="479" spans="1:314" s="2" customFormat="1" x14ac:dyDescent="0.4">
      <c r="A479" s="2" t="s">
        <v>72</v>
      </c>
      <c r="B479" s="2" t="s">
        <v>7754</v>
      </c>
      <c r="C479" s="2" t="s">
        <v>74</v>
      </c>
      <c r="D479" s="2" t="s">
        <v>74</v>
      </c>
      <c r="E479" s="2" t="s">
        <v>74</v>
      </c>
      <c r="F479" s="2" t="s">
        <v>7755</v>
      </c>
      <c r="G479" s="2" t="s">
        <v>74</v>
      </c>
      <c r="H479" s="2" t="s">
        <v>74</v>
      </c>
      <c r="I479" s="2" t="s">
        <v>7756</v>
      </c>
      <c r="J479" s="2" t="s">
        <v>1574</v>
      </c>
      <c r="K479" s="2" t="s">
        <v>74</v>
      </c>
      <c r="L479" s="2" t="s">
        <v>74</v>
      </c>
      <c r="M479" s="2" t="s">
        <v>74</v>
      </c>
      <c r="N479" s="2" t="s">
        <v>74</v>
      </c>
      <c r="O479" s="2" t="s">
        <v>74</v>
      </c>
      <c r="P479" s="2" t="s">
        <v>74</v>
      </c>
      <c r="Q479" s="2" t="s">
        <v>74</v>
      </c>
      <c r="R479" s="2" t="s">
        <v>74</v>
      </c>
      <c r="S479" s="2" t="s">
        <v>74</v>
      </c>
      <c r="T479" s="2" t="s">
        <v>74</v>
      </c>
      <c r="U479" s="2" t="s">
        <v>74</v>
      </c>
      <c r="V479" s="5" t="s">
        <v>7757</v>
      </c>
      <c r="W479" s="2" t="s">
        <v>74</v>
      </c>
      <c r="X479" s="2" t="s">
        <v>74</v>
      </c>
      <c r="Y479" s="2" t="s">
        <v>74</v>
      </c>
      <c r="Z479" s="2" t="s">
        <v>74</v>
      </c>
      <c r="AA479" s="2" t="s">
        <v>74</v>
      </c>
      <c r="AB479" s="2" t="s">
        <v>7758</v>
      </c>
      <c r="AC479" s="2" t="s">
        <v>74</v>
      </c>
      <c r="AD479" s="2" t="s">
        <v>74</v>
      </c>
      <c r="AE479" s="2" t="s">
        <v>74</v>
      </c>
      <c r="AF479" s="2" t="s">
        <v>74</v>
      </c>
      <c r="AG479" s="2" t="s">
        <v>74</v>
      </c>
      <c r="AH479" s="2" t="s">
        <v>74</v>
      </c>
      <c r="AI479" s="2" t="s">
        <v>74</v>
      </c>
      <c r="AJ479" s="2" t="s">
        <v>74</v>
      </c>
      <c r="AK479" s="2" t="s">
        <v>74</v>
      </c>
      <c r="AL479" s="2" t="s">
        <v>74</v>
      </c>
      <c r="AM479" s="2" t="s">
        <v>74</v>
      </c>
      <c r="AN479" s="2" t="s">
        <v>74</v>
      </c>
      <c r="AO479" s="2" t="s">
        <v>1576</v>
      </c>
      <c r="AP479" s="2" t="s">
        <v>1577</v>
      </c>
      <c r="AQ479" s="2" t="s">
        <v>74</v>
      </c>
      <c r="AR479" s="2" t="s">
        <v>74</v>
      </c>
      <c r="AS479" s="2" t="s">
        <v>74</v>
      </c>
      <c r="AT479" s="2" t="s">
        <v>74</v>
      </c>
      <c r="AU479" s="2">
        <v>2008</v>
      </c>
      <c r="AV479" s="2">
        <v>71</v>
      </c>
      <c r="AW479" s="2">
        <v>1</v>
      </c>
      <c r="AX479" s="2" t="s">
        <v>74</v>
      </c>
      <c r="AY479" s="2" t="s">
        <v>74</v>
      </c>
      <c r="AZ479" s="2" t="s">
        <v>74</v>
      </c>
      <c r="BA479" s="2" t="s">
        <v>74</v>
      </c>
      <c r="BB479" s="2">
        <v>1</v>
      </c>
      <c r="BC479" s="2">
        <v>14</v>
      </c>
      <c r="BD479" s="2" t="s">
        <v>74</v>
      </c>
      <c r="BE479" s="2" t="s">
        <v>7759</v>
      </c>
      <c r="BF479" s="2" t="str">
        <f>HYPERLINK("http://dx.doi.org/10.1159/000108607","http://dx.doi.org/10.1159/000108607")</f>
        <v>http://dx.doi.org/10.1159/000108607</v>
      </c>
      <c r="BG479" s="2" t="s">
        <v>74</v>
      </c>
      <c r="BH479" s="2" t="s">
        <v>74</v>
      </c>
      <c r="BI479" s="2" t="s">
        <v>74</v>
      </c>
      <c r="BJ479" s="2" t="s">
        <v>74</v>
      </c>
      <c r="BK479" s="2" t="s">
        <v>74</v>
      </c>
      <c r="BL479" s="2" t="s">
        <v>74</v>
      </c>
      <c r="BM479" s="2" t="s">
        <v>74</v>
      </c>
      <c r="BN479" s="2">
        <v>17878714</v>
      </c>
      <c r="BO479" s="2" t="s">
        <v>74</v>
      </c>
      <c r="BP479" s="2" t="s">
        <v>74</v>
      </c>
      <c r="BQ479" s="2" t="s">
        <v>74</v>
      </c>
      <c r="BR479" s="2" t="s">
        <v>74</v>
      </c>
      <c r="BS479" s="2" t="s">
        <v>7760</v>
      </c>
      <c r="BT479" s="2" t="str">
        <f>HYPERLINK("https%3A%2F%2Fwww.webofscience.com%2Fwos%2Fwoscc%2Ffull-record%2FWOS:000251137800001","View Full Record in Web of Science")</f>
        <v>View Full Record in Web of Science</v>
      </c>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row>
    <row r="480" spans="1:314" s="2" customFormat="1" x14ac:dyDescent="0.4">
      <c r="A480" s="2" t="s">
        <v>72</v>
      </c>
      <c r="B480" s="2" t="s">
        <v>3791</v>
      </c>
      <c r="C480" s="2" t="s">
        <v>74</v>
      </c>
      <c r="D480" s="2" t="s">
        <v>74</v>
      </c>
      <c r="E480" s="2" t="s">
        <v>74</v>
      </c>
      <c r="F480" s="2" t="s">
        <v>3792</v>
      </c>
      <c r="G480" s="2" t="s">
        <v>74</v>
      </c>
      <c r="H480" s="2" t="s">
        <v>74</v>
      </c>
      <c r="I480" s="2" t="s">
        <v>3793</v>
      </c>
      <c r="J480" s="2" t="s">
        <v>1755</v>
      </c>
      <c r="K480" s="2" t="s">
        <v>74</v>
      </c>
      <c r="L480" s="2" t="s">
        <v>74</v>
      </c>
      <c r="M480" s="2" t="s">
        <v>74</v>
      </c>
      <c r="N480" s="2" t="s">
        <v>74</v>
      </c>
      <c r="O480" s="2" t="s">
        <v>74</v>
      </c>
      <c r="P480" s="2" t="s">
        <v>74</v>
      </c>
      <c r="Q480" s="2" t="s">
        <v>74</v>
      </c>
      <c r="R480" s="2" t="s">
        <v>74</v>
      </c>
      <c r="S480" s="2" t="s">
        <v>74</v>
      </c>
      <c r="T480" s="2" t="s">
        <v>74</v>
      </c>
      <c r="U480" s="2" t="s">
        <v>74</v>
      </c>
      <c r="V480" s="5" t="s">
        <v>3794</v>
      </c>
      <c r="W480" s="2" t="s">
        <v>74</v>
      </c>
      <c r="X480" s="2" t="s">
        <v>74</v>
      </c>
      <c r="Y480" s="2" t="s">
        <v>74</v>
      </c>
      <c r="Z480" s="2" t="s">
        <v>74</v>
      </c>
      <c r="AA480" s="2" t="s">
        <v>3795</v>
      </c>
      <c r="AB480" s="2" t="s">
        <v>3796</v>
      </c>
      <c r="AC480" s="2" t="s">
        <v>74</v>
      </c>
      <c r="AD480" s="2" t="s">
        <v>74</v>
      </c>
      <c r="AE480" s="2" t="s">
        <v>74</v>
      </c>
      <c r="AF480" s="2" t="s">
        <v>74</v>
      </c>
      <c r="AG480" s="2" t="s">
        <v>74</v>
      </c>
      <c r="AH480" s="2" t="s">
        <v>74</v>
      </c>
      <c r="AI480" s="2" t="s">
        <v>74</v>
      </c>
      <c r="AJ480" s="2" t="s">
        <v>74</v>
      </c>
      <c r="AK480" s="2" t="s">
        <v>74</v>
      </c>
      <c r="AL480" s="2" t="s">
        <v>74</v>
      </c>
      <c r="AM480" s="2" t="s">
        <v>74</v>
      </c>
      <c r="AN480" s="2" t="s">
        <v>74</v>
      </c>
      <c r="AO480" s="2" t="s">
        <v>1759</v>
      </c>
      <c r="AP480" s="2" t="s">
        <v>1760</v>
      </c>
      <c r="AQ480" s="2" t="s">
        <v>74</v>
      </c>
      <c r="AR480" s="2" t="s">
        <v>74</v>
      </c>
      <c r="AS480" s="2" t="s">
        <v>74</v>
      </c>
      <c r="AT480" s="2" t="s">
        <v>255</v>
      </c>
      <c r="AU480" s="2">
        <v>2014</v>
      </c>
      <c r="AV480" s="2">
        <v>27</v>
      </c>
      <c r="AW480" s="2">
        <v>1</v>
      </c>
      <c r="AX480" s="2" t="s">
        <v>74</v>
      </c>
      <c r="AY480" s="2" t="s">
        <v>74</v>
      </c>
      <c r="AZ480" s="2" t="s">
        <v>74</v>
      </c>
      <c r="BA480" s="2" t="s">
        <v>74</v>
      </c>
      <c r="BB480" s="2">
        <v>67</v>
      </c>
      <c r="BC480" s="2">
        <v>80</v>
      </c>
      <c r="BD480" s="2" t="s">
        <v>74</v>
      </c>
      <c r="BE480" s="2" t="s">
        <v>3797</v>
      </c>
      <c r="BF480" s="2" t="str">
        <f>HYPERLINK("http://dx.doi.org/10.1007/s10905-013-9406-4","http://dx.doi.org/10.1007/s10905-013-9406-4")</f>
        <v>http://dx.doi.org/10.1007/s10905-013-9406-4</v>
      </c>
      <c r="BG480" s="2" t="s">
        <v>74</v>
      </c>
      <c r="BH480" s="2" t="s">
        <v>74</v>
      </c>
      <c r="BI480" s="2" t="s">
        <v>74</v>
      </c>
      <c r="BJ480" s="2" t="s">
        <v>74</v>
      </c>
      <c r="BK480" s="2" t="s">
        <v>74</v>
      </c>
      <c r="BL480" s="2" t="s">
        <v>74</v>
      </c>
      <c r="BM480" s="2" t="s">
        <v>74</v>
      </c>
      <c r="BN480" s="2" t="s">
        <v>74</v>
      </c>
      <c r="BO480" s="2" t="s">
        <v>74</v>
      </c>
      <c r="BP480" s="2" t="s">
        <v>74</v>
      </c>
      <c r="BQ480" s="2" t="s">
        <v>74</v>
      </c>
      <c r="BR480" s="2" t="s">
        <v>74</v>
      </c>
      <c r="BS480" s="2" t="s">
        <v>3798</v>
      </c>
      <c r="BT480" s="2" t="str">
        <f>HYPERLINK("https%3A%2F%2Fwww.webofscience.com%2Fwos%2Fwoscc%2Ffull-record%2FWOS:000329237700006","View Full Record in Web of Science")</f>
        <v>View Full Record in Web of Science</v>
      </c>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row>
    <row r="481" spans="1:314" s="2" customFormat="1" x14ac:dyDescent="0.4">
      <c r="A481" s="2" t="s">
        <v>72</v>
      </c>
      <c r="B481" s="2" t="s">
        <v>3390</v>
      </c>
      <c r="C481" s="2" t="s">
        <v>74</v>
      </c>
      <c r="D481" s="2" t="s">
        <v>74</v>
      </c>
      <c r="E481" s="2" t="s">
        <v>74</v>
      </c>
      <c r="F481" s="2" t="s">
        <v>3391</v>
      </c>
      <c r="G481" s="2" t="s">
        <v>74</v>
      </c>
      <c r="H481" s="2" t="s">
        <v>74</v>
      </c>
      <c r="I481" s="2" t="s">
        <v>3392</v>
      </c>
      <c r="J481" s="2" t="s">
        <v>119</v>
      </c>
      <c r="K481" s="2" t="s">
        <v>74</v>
      </c>
      <c r="L481" s="2" t="s">
        <v>74</v>
      </c>
      <c r="M481" s="2" t="s">
        <v>74</v>
      </c>
      <c r="N481" s="2" t="s">
        <v>74</v>
      </c>
      <c r="O481" s="2" t="s">
        <v>74</v>
      </c>
      <c r="P481" s="2" t="s">
        <v>74</v>
      </c>
      <c r="Q481" s="2" t="s">
        <v>74</v>
      </c>
      <c r="R481" s="2" t="s">
        <v>74</v>
      </c>
      <c r="S481" s="2" t="s">
        <v>74</v>
      </c>
      <c r="T481" s="2" t="s">
        <v>74</v>
      </c>
      <c r="U481" s="2" t="s">
        <v>74</v>
      </c>
      <c r="V481" s="5" t="s">
        <v>3393</v>
      </c>
      <c r="W481" s="2" t="s">
        <v>74</v>
      </c>
      <c r="X481" s="2" t="s">
        <v>74</v>
      </c>
      <c r="Y481" s="2" t="s">
        <v>74</v>
      </c>
      <c r="Z481" s="2" t="s">
        <v>74</v>
      </c>
      <c r="AA481" s="2" t="s">
        <v>2838</v>
      </c>
      <c r="AB481" s="2" t="s">
        <v>3394</v>
      </c>
      <c r="AC481" s="2" t="s">
        <v>74</v>
      </c>
      <c r="AD481" s="2" t="s">
        <v>74</v>
      </c>
      <c r="AE481" s="2" t="s">
        <v>74</v>
      </c>
      <c r="AF481" s="2" t="s">
        <v>74</v>
      </c>
      <c r="AG481" s="2" t="s">
        <v>74</v>
      </c>
      <c r="AH481" s="2" t="s">
        <v>74</v>
      </c>
      <c r="AI481" s="2" t="s">
        <v>74</v>
      </c>
      <c r="AJ481" s="2" t="s">
        <v>74</v>
      </c>
      <c r="AK481" s="2" t="s">
        <v>74</v>
      </c>
      <c r="AL481" s="2" t="s">
        <v>74</v>
      </c>
      <c r="AM481" s="2" t="s">
        <v>74</v>
      </c>
      <c r="AN481" s="2" t="s">
        <v>74</v>
      </c>
      <c r="AO481" s="2" t="s">
        <v>121</v>
      </c>
      <c r="AP481" s="2" t="s">
        <v>122</v>
      </c>
      <c r="AQ481" s="2" t="s">
        <v>74</v>
      </c>
      <c r="AR481" s="2" t="s">
        <v>74</v>
      </c>
      <c r="AS481" s="2" t="s">
        <v>74</v>
      </c>
      <c r="AT481" s="2" t="s">
        <v>213</v>
      </c>
      <c r="AU481" s="2">
        <v>2014</v>
      </c>
      <c r="AV481" s="2">
        <v>109</v>
      </c>
      <c r="AW481" s="2" t="s">
        <v>74</v>
      </c>
      <c r="AX481" s="2" t="s">
        <v>3395</v>
      </c>
      <c r="AY481" s="2" t="s">
        <v>74</v>
      </c>
      <c r="AZ481" s="2" t="s">
        <v>848</v>
      </c>
      <c r="BA481" s="2" t="s">
        <v>74</v>
      </c>
      <c r="BB481" s="2">
        <v>145</v>
      </c>
      <c r="BC481" s="2">
        <v>150</v>
      </c>
      <c r="BD481" s="2" t="s">
        <v>74</v>
      </c>
      <c r="BE481" s="2" t="s">
        <v>3396</v>
      </c>
      <c r="BF481" s="2" t="str">
        <f>HYPERLINK("http://dx.doi.org/10.1016/j.beproc.2014.04.013","http://dx.doi.org/10.1016/j.beproc.2014.04.013")</f>
        <v>http://dx.doi.org/10.1016/j.beproc.2014.04.013</v>
      </c>
      <c r="BG481" s="2" t="s">
        <v>74</v>
      </c>
      <c r="BH481" s="2" t="s">
        <v>74</v>
      </c>
      <c r="BI481" s="2" t="s">
        <v>74</v>
      </c>
      <c r="BJ481" s="2" t="s">
        <v>74</v>
      </c>
      <c r="BK481" s="2" t="s">
        <v>74</v>
      </c>
      <c r="BL481" s="2" t="s">
        <v>74</v>
      </c>
      <c r="BM481" s="2" t="s">
        <v>74</v>
      </c>
      <c r="BN481" s="2">
        <v>24797456</v>
      </c>
      <c r="BO481" s="2" t="s">
        <v>74</v>
      </c>
      <c r="BP481" s="2" t="s">
        <v>74</v>
      </c>
      <c r="BQ481" s="2" t="s">
        <v>74</v>
      </c>
      <c r="BR481" s="2" t="s">
        <v>74</v>
      </c>
      <c r="BS481" s="2" t="s">
        <v>3397</v>
      </c>
      <c r="BT481" s="2" t="str">
        <f>HYPERLINK("https%3A%2F%2Fwww.webofscience.com%2Fwos%2Fwoscc%2Ffull-record%2FWOS:000347742900006","View Full Record in Web of Science")</f>
        <v>View Full Record in Web of Science</v>
      </c>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row>
    <row r="482" spans="1:314" s="2" customFormat="1" x14ac:dyDescent="0.4">
      <c r="A482" s="2" t="s">
        <v>72</v>
      </c>
      <c r="B482" s="2" t="s">
        <v>5870</v>
      </c>
      <c r="C482" s="2" t="s">
        <v>74</v>
      </c>
      <c r="D482" s="2" t="s">
        <v>74</v>
      </c>
      <c r="E482" s="2" t="s">
        <v>74</v>
      </c>
      <c r="F482" s="2" t="s">
        <v>5871</v>
      </c>
      <c r="G482" s="2" t="s">
        <v>74</v>
      </c>
      <c r="H482" s="2" t="s">
        <v>74</v>
      </c>
      <c r="I482" s="2" t="s">
        <v>5872</v>
      </c>
      <c r="J482" s="2" t="s">
        <v>108</v>
      </c>
      <c r="K482" s="2" t="s">
        <v>74</v>
      </c>
      <c r="L482" s="2" t="s">
        <v>74</v>
      </c>
      <c r="M482" s="2" t="s">
        <v>74</v>
      </c>
      <c r="N482" s="2" t="s">
        <v>74</v>
      </c>
      <c r="O482" s="2" t="s">
        <v>74</v>
      </c>
      <c r="P482" s="2" t="s">
        <v>74</v>
      </c>
      <c r="Q482" s="2" t="s">
        <v>74</v>
      </c>
      <c r="R482" s="2" t="s">
        <v>74</v>
      </c>
      <c r="S482" s="2" t="s">
        <v>74</v>
      </c>
      <c r="T482" s="2" t="s">
        <v>74</v>
      </c>
      <c r="U482" s="2" t="s">
        <v>74</v>
      </c>
      <c r="V482" s="5" t="s">
        <v>5873</v>
      </c>
      <c r="W482" s="2" t="s">
        <v>74</v>
      </c>
      <c r="X482" s="2" t="s">
        <v>74</v>
      </c>
      <c r="Y482" s="2" t="s">
        <v>74</v>
      </c>
      <c r="Z482" s="2" t="s">
        <v>74</v>
      </c>
      <c r="AA482" s="2" t="s">
        <v>2838</v>
      </c>
      <c r="AB482" s="2" t="s">
        <v>5874</v>
      </c>
      <c r="AC482" s="2" t="s">
        <v>74</v>
      </c>
      <c r="AD482" s="2" t="s">
        <v>74</v>
      </c>
      <c r="AE482" s="2" t="s">
        <v>74</v>
      </c>
      <c r="AF482" s="2" t="s">
        <v>74</v>
      </c>
      <c r="AG482" s="2" t="s">
        <v>74</v>
      </c>
      <c r="AH482" s="2" t="s">
        <v>74</v>
      </c>
      <c r="AI482" s="2" t="s">
        <v>74</v>
      </c>
      <c r="AJ482" s="2" t="s">
        <v>74</v>
      </c>
      <c r="AK482" s="2" t="s">
        <v>74</v>
      </c>
      <c r="AL482" s="2" t="s">
        <v>74</v>
      </c>
      <c r="AM482" s="2" t="s">
        <v>74</v>
      </c>
      <c r="AN482" s="2" t="s">
        <v>74</v>
      </c>
      <c r="AO482" s="2" t="s">
        <v>111</v>
      </c>
      <c r="AP482" s="2" t="s">
        <v>112</v>
      </c>
      <c r="AQ482" s="2" t="s">
        <v>74</v>
      </c>
      <c r="AR482" s="2" t="s">
        <v>74</v>
      </c>
      <c r="AS482" s="2" t="s">
        <v>74</v>
      </c>
      <c r="AT482" s="2" t="s">
        <v>5875</v>
      </c>
      <c r="AU482" s="2">
        <v>2016</v>
      </c>
      <c r="AV482" s="2">
        <v>283</v>
      </c>
      <c r="AW482" s="2">
        <v>1827</v>
      </c>
      <c r="AX482" s="2" t="s">
        <v>74</v>
      </c>
      <c r="AY482" s="2" t="s">
        <v>74</v>
      </c>
      <c r="AZ482" s="2" t="s">
        <v>74</v>
      </c>
      <c r="BA482" s="2" t="s">
        <v>74</v>
      </c>
      <c r="BB482" s="2" t="s">
        <v>74</v>
      </c>
      <c r="BC482" s="2" t="s">
        <v>74</v>
      </c>
      <c r="BD482" s="2">
        <v>20152685</v>
      </c>
      <c r="BE482" s="2" t="s">
        <v>5876</v>
      </c>
      <c r="BF482" s="2" t="str">
        <f>HYPERLINK("http://dx.doi.org/10.1098/rspb.2015.2685","http://dx.doi.org/10.1098/rspb.2015.2685")</f>
        <v>http://dx.doi.org/10.1098/rspb.2015.2685</v>
      </c>
      <c r="BG482" s="2" t="s">
        <v>74</v>
      </c>
      <c r="BH482" s="2" t="s">
        <v>74</v>
      </c>
      <c r="BI482" s="2" t="s">
        <v>74</v>
      </c>
      <c r="BJ482" s="2" t="s">
        <v>74</v>
      </c>
      <c r="BK482" s="2" t="s">
        <v>74</v>
      </c>
      <c r="BL482" s="2" t="s">
        <v>74</v>
      </c>
      <c r="BM482" s="2" t="s">
        <v>74</v>
      </c>
      <c r="BN482" s="2">
        <v>27009230</v>
      </c>
      <c r="BO482" s="2" t="s">
        <v>74</v>
      </c>
      <c r="BP482" s="2" t="s">
        <v>74</v>
      </c>
      <c r="BQ482" s="2" t="s">
        <v>74</v>
      </c>
      <c r="BR482" s="2" t="s">
        <v>74</v>
      </c>
      <c r="BS482" s="2" t="s">
        <v>5877</v>
      </c>
      <c r="BT482" s="2" t="str">
        <f>HYPERLINK("https%3A%2F%2Fwww.webofscience.com%2Fwos%2Fwoscc%2Ffull-record%2FWOS:000375732500019","View Full Record in Web of Science")</f>
        <v>View Full Record in Web of Science</v>
      </c>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row>
    <row r="483" spans="1:314" s="2" customFormat="1" x14ac:dyDescent="0.4">
      <c r="A483" s="2" t="s">
        <v>72</v>
      </c>
      <c r="B483" s="2" t="s">
        <v>6883</v>
      </c>
      <c r="C483" s="2" t="s">
        <v>74</v>
      </c>
      <c r="D483" s="2" t="s">
        <v>74</v>
      </c>
      <c r="E483" s="2" t="s">
        <v>74</v>
      </c>
      <c r="F483" s="2" t="s">
        <v>6883</v>
      </c>
      <c r="G483" s="2" t="s">
        <v>74</v>
      </c>
      <c r="H483" s="2" t="s">
        <v>74</v>
      </c>
      <c r="I483" s="2" t="s">
        <v>6884</v>
      </c>
      <c r="J483" s="2" t="s">
        <v>4235</v>
      </c>
      <c r="K483" s="2" t="s">
        <v>74</v>
      </c>
      <c r="L483" s="2" t="s">
        <v>74</v>
      </c>
      <c r="M483" s="2" t="s">
        <v>74</v>
      </c>
      <c r="N483" s="2" t="s">
        <v>74</v>
      </c>
      <c r="O483" s="2" t="s">
        <v>74</v>
      </c>
      <c r="P483" s="2" t="s">
        <v>74</v>
      </c>
      <c r="Q483" s="2" t="s">
        <v>74</v>
      </c>
      <c r="R483" s="2" t="s">
        <v>74</v>
      </c>
      <c r="S483" s="2" t="s">
        <v>74</v>
      </c>
      <c r="T483" s="2" t="s">
        <v>74</v>
      </c>
      <c r="U483" s="2" t="s">
        <v>74</v>
      </c>
      <c r="V483" s="5" t="s">
        <v>6885</v>
      </c>
      <c r="W483" s="2" t="s">
        <v>74</v>
      </c>
      <c r="X483" s="2" t="s">
        <v>74</v>
      </c>
      <c r="Y483" s="2" t="s">
        <v>74</v>
      </c>
      <c r="Z483" s="2" t="s">
        <v>74</v>
      </c>
      <c r="AA483" s="2" t="s">
        <v>74</v>
      </c>
      <c r="AB483" s="2" t="s">
        <v>6886</v>
      </c>
      <c r="AC483" s="2" t="s">
        <v>74</v>
      </c>
      <c r="AD483" s="2" t="s">
        <v>74</v>
      </c>
      <c r="AE483" s="2" t="s">
        <v>74</v>
      </c>
      <c r="AF483" s="2" t="s">
        <v>74</v>
      </c>
      <c r="AG483" s="2" t="s">
        <v>74</v>
      </c>
      <c r="AH483" s="2" t="s">
        <v>74</v>
      </c>
      <c r="AI483" s="2" t="s">
        <v>74</v>
      </c>
      <c r="AJ483" s="2" t="s">
        <v>74</v>
      </c>
      <c r="AK483" s="2" t="s">
        <v>74</v>
      </c>
      <c r="AL483" s="2" t="s">
        <v>74</v>
      </c>
      <c r="AM483" s="2" t="s">
        <v>74</v>
      </c>
      <c r="AN483" s="2" t="s">
        <v>74</v>
      </c>
      <c r="AO483" s="2" t="s">
        <v>4239</v>
      </c>
      <c r="AP483" s="2" t="s">
        <v>4240</v>
      </c>
      <c r="AQ483" s="2" t="s">
        <v>74</v>
      </c>
      <c r="AR483" s="2" t="s">
        <v>74</v>
      </c>
      <c r="AS483" s="2" t="s">
        <v>74</v>
      </c>
      <c r="AT483" s="2" t="s">
        <v>305</v>
      </c>
      <c r="AU483" s="2">
        <v>2005</v>
      </c>
      <c r="AV483" s="2">
        <v>37</v>
      </c>
      <c r="AW483" s="2">
        <v>3</v>
      </c>
      <c r="AX483" s="2" t="s">
        <v>74</v>
      </c>
      <c r="AY483" s="2" t="s">
        <v>74</v>
      </c>
      <c r="AZ483" s="2" t="s">
        <v>74</v>
      </c>
      <c r="BA483" s="2" t="s">
        <v>74</v>
      </c>
      <c r="BB483" s="2">
        <v>644</v>
      </c>
      <c r="BC483" s="2">
        <v>660</v>
      </c>
      <c r="BD483" s="2" t="s">
        <v>74</v>
      </c>
      <c r="BE483" s="2" t="s">
        <v>6887</v>
      </c>
      <c r="BF483" s="2" t="str">
        <f>HYPERLINK("http://dx.doi.org/10.1016/j.ympev.2005.04.026","http://dx.doi.org/10.1016/j.ympev.2005.04.026")</f>
        <v>http://dx.doi.org/10.1016/j.ympev.2005.04.026</v>
      </c>
      <c r="BG483" s="2" t="s">
        <v>74</v>
      </c>
      <c r="BH483" s="2" t="s">
        <v>74</v>
      </c>
      <c r="BI483" s="2" t="s">
        <v>74</v>
      </c>
      <c r="BJ483" s="2" t="s">
        <v>74</v>
      </c>
      <c r="BK483" s="2" t="s">
        <v>74</v>
      </c>
      <c r="BL483" s="2" t="s">
        <v>74</v>
      </c>
      <c r="BM483" s="2" t="s">
        <v>74</v>
      </c>
      <c r="BN483" s="2">
        <v>16055353</v>
      </c>
      <c r="BO483" s="2" t="s">
        <v>74</v>
      </c>
      <c r="BP483" s="2" t="s">
        <v>74</v>
      </c>
      <c r="BQ483" s="2" t="s">
        <v>74</v>
      </c>
      <c r="BR483" s="2" t="s">
        <v>74</v>
      </c>
      <c r="BS483" s="2" t="s">
        <v>6888</v>
      </c>
      <c r="BT483" s="2" t="str">
        <f>HYPERLINK("https%3A%2F%2Fwww.webofscience.com%2Fwos%2Fwoscc%2Ffull-record%2FWOS:000233658100002","View Full Record in Web of Science")</f>
        <v>View Full Record in Web of Science</v>
      </c>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row>
    <row r="484" spans="1:314" s="1" customFormat="1" x14ac:dyDescent="0.4">
      <c r="A484" s="2" t="s">
        <v>72</v>
      </c>
      <c r="B484" s="2" t="s">
        <v>4796</v>
      </c>
      <c r="C484" s="2" t="s">
        <v>74</v>
      </c>
      <c r="D484" s="2" t="s">
        <v>74</v>
      </c>
      <c r="E484" s="2" t="s">
        <v>74</v>
      </c>
      <c r="F484" s="2" t="s">
        <v>4796</v>
      </c>
      <c r="G484" s="2" t="s">
        <v>74</v>
      </c>
      <c r="H484" s="2" t="s">
        <v>74</v>
      </c>
      <c r="I484" s="2" t="s">
        <v>4797</v>
      </c>
      <c r="J484" s="2" t="s">
        <v>691</v>
      </c>
      <c r="K484" s="2" t="s">
        <v>74</v>
      </c>
      <c r="L484" s="2" t="s">
        <v>74</v>
      </c>
      <c r="M484" s="2" t="s">
        <v>74</v>
      </c>
      <c r="N484" s="2" t="s">
        <v>74</v>
      </c>
      <c r="O484" s="2" t="s">
        <v>74</v>
      </c>
      <c r="P484" s="2" t="s">
        <v>74</v>
      </c>
      <c r="Q484" s="2" t="s">
        <v>74</v>
      </c>
      <c r="R484" s="2" t="s">
        <v>74</v>
      </c>
      <c r="S484" s="2" t="s">
        <v>74</v>
      </c>
      <c r="T484" s="2" t="s">
        <v>74</v>
      </c>
      <c r="U484" s="2" t="s">
        <v>74</v>
      </c>
      <c r="V484" s="5" t="s">
        <v>4798</v>
      </c>
      <c r="W484" s="2" t="s">
        <v>74</v>
      </c>
      <c r="X484" s="2" t="s">
        <v>74</v>
      </c>
      <c r="Y484" s="2" t="s">
        <v>74</v>
      </c>
      <c r="Z484" s="2" t="s">
        <v>74</v>
      </c>
      <c r="AA484" s="2" t="s">
        <v>4799</v>
      </c>
      <c r="AB484" s="2" t="s">
        <v>4800</v>
      </c>
      <c r="AC484" s="2" t="s">
        <v>74</v>
      </c>
      <c r="AD484" s="2" t="s">
        <v>74</v>
      </c>
      <c r="AE484" s="2" t="s">
        <v>74</v>
      </c>
      <c r="AF484" s="2" t="s">
        <v>74</v>
      </c>
      <c r="AG484" s="2" t="s">
        <v>74</v>
      </c>
      <c r="AH484" s="2" t="s">
        <v>74</v>
      </c>
      <c r="AI484" s="2" t="s">
        <v>74</v>
      </c>
      <c r="AJ484" s="2" t="s">
        <v>74</v>
      </c>
      <c r="AK484" s="2" t="s">
        <v>74</v>
      </c>
      <c r="AL484" s="2" t="s">
        <v>74</v>
      </c>
      <c r="AM484" s="2" t="s">
        <v>74</v>
      </c>
      <c r="AN484" s="2" t="s">
        <v>74</v>
      </c>
      <c r="AO484" s="2" t="s">
        <v>695</v>
      </c>
      <c r="AP484" s="2" t="s">
        <v>74</v>
      </c>
      <c r="AQ484" s="2" t="s">
        <v>74</v>
      </c>
      <c r="AR484" s="2" t="s">
        <v>74</v>
      </c>
      <c r="AS484" s="2" t="s">
        <v>74</v>
      </c>
      <c r="AT484" s="2" t="s">
        <v>964</v>
      </c>
      <c r="AU484" s="2">
        <v>1994</v>
      </c>
      <c r="AV484" s="2">
        <v>55</v>
      </c>
      <c r="AW484" s="2">
        <v>2</v>
      </c>
      <c r="AX484" s="2" t="s">
        <v>74</v>
      </c>
      <c r="AY484" s="2" t="s">
        <v>74</v>
      </c>
      <c r="AZ484" s="2" t="s">
        <v>74</v>
      </c>
      <c r="BA484" s="2" t="s">
        <v>74</v>
      </c>
      <c r="BB484" s="2">
        <v>313</v>
      </c>
      <c r="BC484" s="2">
        <v>316</v>
      </c>
      <c r="BD484" s="2" t="s">
        <v>74</v>
      </c>
      <c r="BE484" s="2" t="s">
        <v>4801</v>
      </c>
      <c r="BF484" s="2" t="str">
        <f>HYPERLINK("http://dx.doi.org/10.1016/0031-9384(94)90139-2","http://dx.doi.org/10.1016/0031-9384(94)90139-2")</f>
        <v>http://dx.doi.org/10.1016/0031-9384(94)90139-2</v>
      </c>
      <c r="BG484" s="2" t="s">
        <v>74</v>
      </c>
      <c r="BH484" s="2" t="s">
        <v>74</v>
      </c>
      <c r="BI484" s="2" t="s">
        <v>74</v>
      </c>
      <c r="BJ484" s="2" t="s">
        <v>74</v>
      </c>
      <c r="BK484" s="2" t="s">
        <v>74</v>
      </c>
      <c r="BL484" s="2" t="s">
        <v>74</v>
      </c>
      <c r="BM484" s="2" t="s">
        <v>74</v>
      </c>
      <c r="BN484" s="2">
        <v>8153171</v>
      </c>
      <c r="BO484" s="2" t="s">
        <v>74</v>
      </c>
      <c r="BP484" s="2" t="s">
        <v>74</v>
      </c>
      <c r="BQ484" s="2" t="s">
        <v>74</v>
      </c>
      <c r="BR484" s="2" t="s">
        <v>74</v>
      </c>
      <c r="BS484" s="2" t="s">
        <v>4802</v>
      </c>
      <c r="BT484" s="2" t="str">
        <f>HYPERLINK("https%3A%2F%2Fwww.webofscience.com%2Fwos%2Fwoscc%2Ffull-record%2FWOS:A1994MV64200016","View Full Record in Web of Science")</f>
        <v>View Full Record in Web of Science</v>
      </c>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row>
    <row r="485" spans="1:314" s="2" customFormat="1" x14ac:dyDescent="0.4">
      <c r="A485" s="2" t="s">
        <v>72</v>
      </c>
      <c r="B485" s="2" t="s">
        <v>5151</v>
      </c>
      <c r="C485" s="2" t="s">
        <v>74</v>
      </c>
      <c r="D485" s="2" t="s">
        <v>74</v>
      </c>
      <c r="E485" s="2" t="s">
        <v>74</v>
      </c>
      <c r="F485" s="2" t="s">
        <v>5152</v>
      </c>
      <c r="G485" s="2" t="s">
        <v>74</v>
      </c>
      <c r="H485" s="2" t="s">
        <v>74</v>
      </c>
      <c r="I485" s="2" t="s">
        <v>5153</v>
      </c>
      <c r="J485" s="2" t="s">
        <v>1673</v>
      </c>
      <c r="K485" s="2" t="s">
        <v>74</v>
      </c>
      <c r="L485" s="2" t="s">
        <v>74</v>
      </c>
      <c r="M485" s="2" t="s">
        <v>74</v>
      </c>
      <c r="N485" s="2" t="s">
        <v>74</v>
      </c>
      <c r="O485" s="2" t="s">
        <v>74</v>
      </c>
      <c r="P485" s="2" t="s">
        <v>74</v>
      </c>
      <c r="Q485" s="2" t="s">
        <v>74</v>
      </c>
      <c r="R485" s="2" t="s">
        <v>74</v>
      </c>
      <c r="S485" s="2" t="s">
        <v>74</v>
      </c>
      <c r="T485" s="2" t="s">
        <v>74</v>
      </c>
      <c r="U485" s="2" t="s">
        <v>74</v>
      </c>
      <c r="V485" s="5" t="s">
        <v>5154</v>
      </c>
      <c r="W485" s="2" t="s">
        <v>74</v>
      </c>
      <c r="X485" s="2" t="s">
        <v>74</v>
      </c>
      <c r="Y485" s="2" t="s">
        <v>74</v>
      </c>
      <c r="Z485" s="2" t="s">
        <v>74</v>
      </c>
      <c r="AA485" s="2" t="s">
        <v>5155</v>
      </c>
      <c r="AB485" s="2" t="s">
        <v>5156</v>
      </c>
      <c r="AC485" s="2" t="s">
        <v>74</v>
      </c>
      <c r="AD485" s="2" t="s">
        <v>74</v>
      </c>
      <c r="AE485" s="2" t="s">
        <v>74</v>
      </c>
      <c r="AF485" s="2" t="s">
        <v>74</v>
      </c>
      <c r="AG485" s="2" t="s">
        <v>74</v>
      </c>
      <c r="AH485" s="2" t="s">
        <v>74</v>
      </c>
      <c r="AI485" s="2" t="s">
        <v>74</v>
      </c>
      <c r="AJ485" s="2" t="s">
        <v>74</v>
      </c>
      <c r="AK485" s="2" t="s">
        <v>74</v>
      </c>
      <c r="AL485" s="2" t="s">
        <v>74</v>
      </c>
      <c r="AM485" s="2" t="s">
        <v>74</v>
      </c>
      <c r="AN485" s="2" t="s">
        <v>74</v>
      </c>
      <c r="AO485" s="2" t="s">
        <v>1239</v>
      </c>
      <c r="AP485" s="2" t="s">
        <v>1675</v>
      </c>
      <c r="AQ485" s="2" t="s">
        <v>74</v>
      </c>
      <c r="AR485" s="2" t="s">
        <v>74</v>
      </c>
      <c r="AS485" s="2" t="s">
        <v>74</v>
      </c>
      <c r="AT485" s="2" t="s">
        <v>305</v>
      </c>
      <c r="AU485" s="2">
        <v>2014</v>
      </c>
      <c r="AV485" s="2">
        <v>92</v>
      </c>
      <c r="AW485" s="2">
        <v>12</v>
      </c>
      <c r="AX485" s="2" t="s">
        <v>74</v>
      </c>
      <c r="AY485" s="2" t="s">
        <v>74</v>
      </c>
      <c r="AZ485" s="2" t="s">
        <v>74</v>
      </c>
      <c r="BA485" s="2" t="s">
        <v>74</v>
      </c>
      <c r="BB485" s="2">
        <v>1075</v>
      </c>
      <c r="BC485" s="2">
        <v>1082</v>
      </c>
      <c r="BD485" s="2" t="s">
        <v>74</v>
      </c>
      <c r="BE485" s="2" t="s">
        <v>5157</v>
      </c>
      <c r="BF485" s="2" t="str">
        <f>HYPERLINK("http://dx.doi.org/10.1139/cjz-2014-0256","http://dx.doi.org/10.1139/cjz-2014-0256")</f>
        <v>http://dx.doi.org/10.1139/cjz-2014-0256</v>
      </c>
      <c r="BG485" s="2" t="s">
        <v>74</v>
      </c>
      <c r="BH485" s="2" t="s">
        <v>74</v>
      </c>
      <c r="BI485" s="2" t="s">
        <v>74</v>
      </c>
      <c r="BJ485" s="2" t="s">
        <v>74</v>
      </c>
      <c r="BK485" s="2" t="s">
        <v>74</v>
      </c>
      <c r="BL485" s="2" t="s">
        <v>74</v>
      </c>
      <c r="BM485" s="2" t="s">
        <v>74</v>
      </c>
      <c r="BN485" s="2" t="s">
        <v>74</v>
      </c>
      <c r="BO485" s="2" t="s">
        <v>74</v>
      </c>
      <c r="BP485" s="2" t="s">
        <v>74</v>
      </c>
      <c r="BQ485" s="2" t="s">
        <v>74</v>
      </c>
      <c r="BR485" s="2" t="s">
        <v>74</v>
      </c>
      <c r="BS485" s="2" t="s">
        <v>5158</v>
      </c>
      <c r="BT485" s="2" t="str">
        <f>HYPERLINK("https%3A%2F%2Fwww.webofscience.com%2Fwos%2Fwoscc%2Ffull-record%2FWOS:000345617300010","View Full Record in Web of Science")</f>
        <v>View Full Record in Web of Science</v>
      </c>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row>
    <row r="486" spans="1:314" s="2" customFormat="1" x14ac:dyDescent="0.4">
      <c r="A486" s="2" t="s">
        <v>72</v>
      </c>
      <c r="B486" s="2" t="s">
        <v>3143</v>
      </c>
      <c r="C486" s="2" t="s">
        <v>74</v>
      </c>
      <c r="D486" s="2" t="s">
        <v>74</v>
      </c>
      <c r="E486" s="2" t="s">
        <v>74</v>
      </c>
      <c r="F486" s="2" t="s">
        <v>3144</v>
      </c>
      <c r="G486" s="2" t="s">
        <v>74</v>
      </c>
      <c r="H486" s="2" t="s">
        <v>74</v>
      </c>
      <c r="I486" s="2" t="s">
        <v>3145</v>
      </c>
      <c r="J486" s="2" t="s">
        <v>456</v>
      </c>
      <c r="K486" s="2" t="s">
        <v>74</v>
      </c>
      <c r="L486" s="2" t="s">
        <v>74</v>
      </c>
      <c r="M486" s="2" t="s">
        <v>74</v>
      </c>
      <c r="N486" s="2" t="s">
        <v>74</v>
      </c>
      <c r="O486" s="2" t="s">
        <v>74</v>
      </c>
      <c r="P486" s="2" t="s">
        <v>74</v>
      </c>
      <c r="Q486" s="2" t="s">
        <v>74</v>
      </c>
      <c r="R486" s="2" t="s">
        <v>74</v>
      </c>
      <c r="S486" s="2" t="s">
        <v>74</v>
      </c>
      <c r="T486" s="2" t="s">
        <v>74</v>
      </c>
      <c r="U486" s="2" t="s">
        <v>74</v>
      </c>
      <c r="V486" s="5" t="s">
        <v>3146</v>
      </c>
      <c r="W486" s="2" t="s">
        <v>74</v>
      </c>
      <c r="X486" s="2" t="s">
        <v>74</v>
      </c>
      <c r="Y486" s="2" t="s">
        <v>74</v>
      </c>
      <c r="Z486" s="2" t="s">
        <v>74</v>
      </c>
      <c r="AA486" s="2" t="s">
        <v>3147</v>
      </c>
      <c r="AB486" s="2" t="s">
        <v>3148</v>
      </c>
      <c r="AC486" s="2" t="s">
        <v>74</v>
      </c>
      <c r="AD486" s="2" t="s">
        <v>74</v>
      </c>
      <c r="AE486" s="2" t="s">
        <v>74</v>
      </c>
      <c r="AF486" s="2" t="s">
        <v>74</v>
      </c>
      <c r="AG486" s="2" t="s">
        <v>74</v>
      </c>
      <c r="AH486" s="2" t="s">
        <v>74</v>
      </c>
      <c r="AI486" s="2" t="s">
        <v>74</v>
      </c>
      <c r="AJ486" s="2" t="s">
        <v>74</v>
      </c>
      <c r="AK486" s="2" t="s">
        <v>74</v>
      </c>
      <c r="AL486" s="2" t="s">
        <v>74</v>
      </c>
      <c r="AM486" s="2" t="s">
        <v>74</v>
      </c>
      <c r="AN486" s="2" t="s">
        <v>74</v>
      </c>
      <c r="AO486" s="2" t="s">
        <v>460</v>
      </c>
      <c r="AP486" s="2" t="s">
        <v>461</v>
      </c>
      <c r="AQ486" s="2" t="s">
        <v>74</v>
      </c>
      <c r="AR486" s="2" t="s">
        <v>74</v>
      </c>
      <c r="AS486" s="2" t="s">
        <v>74</v>
      </c>
      <c r="AT486" s="2" t="s">
        <v>123</v>
      </c>
      <c r="AU486" s="2">
        <v>2020</v>
      </c>
      <c r="AV486" s="2">
        <v>310</v>
      </c>
      <c r="AW486" s="2">
        <v>3</v>
      </c>
      <c r="AX486" s="2" t="s">
        <v>74</v>
      </c>
      <c r="AY486" s="2" t="s">
        <v>74</v>
      </c>
      <c r="AZ486" s="2" t="s">
        <v>74</v>
      </c>
      <c r="BA486" s="2" t="s">
        <v>74</v>
      </c>
      <c r="BB486" s="2">
        <v>246</v>
      </c>
      <c r="BC486" s="2">
        <v>253</v>
      </c>
      <c r="BD486" s="2" t="s">
        <v>74</v>
      </c>
      <c r="BE486" s="2" t="s">
        <v>3149</v>
      </c>
      <c r="BF486" s="2" t="str">
        <f>HYPERLINK("http://dx.doi.org/10.1111/jzo.12738","http://dx.doi.org/10.1111/jzo.12738")</f>
        <v>http://dx.doi.org/10.1111/jzo.12738</v>
      </c>
      <c r="BG486" s="2" t="s">
        <v>74</v>
      </c>
      <c r="BH486" s="2" t="s">
        <v>74</v>
      </c>
      <c r="BI486" s="2" t="s">
        <v>74</v>
      </c>
      <c r="BJ486" s="2" t="s">
        <v>74</v>
      </c>
      <c r="BK486" s="2" t="s">
        <v>74</v>
      </c>
      <c r="BL486" s="2" t="s">
        <v>74</v>
      </c>
      <c r="BM486" s="2" t="s">
        <v>74</v>
      </c>
      <c r="BN486" s="2" t="s">
        <v>74</v>
      </c>
      <c r="BO486" s="2" t="s">
        <v>74</v>
      </c>
      <c r="BP486" s="2" t="s">
        <v>74</v>
      </c>
      <c r="BQ486" s="2" t="s">
        <v>74</v>
      </c>
      <c r="BR486" s="2" t="s">
        <v>74</v>
      </c>
      <c r="BS486" s="2" t="s">
        <v>3150</v>
      </c>
      <c r="BT486" s="2" t="str">
        <f>HYPERLINK("https%3A%2F%2Fwww.webofscience.com%2Fwos%2Fwoscc%2Ffull-record%2FWOS:000517127100008","View Full Record in Web of Science")</f>
        <v>View Full Record in Web of Science</v>
      </c>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row>
    <row r="487" spans="1:314" s="2" customFormat="1" x14ac:dyDescent="0.4">
      <c r="A487" s="2" t="s">
        <v>72</v>
      </c>
      <c r="B487" s="2" t="s">
        <v>6365</v>
      </c>
      <c r="C487" s="2" t="s">
        <v>74</v>
      </c>
      <c r="D487" s="2" t="s">
        <v>74</v>
      </c>
      <c r="E487" s="2" t="s">
        <v>74</v>
      </c>
      <c r="F487" s="2" t="s">
        <v>6366</v>
      </c>
      <c r="G487" s="2" t="s">
        <v>74</v>
      </c>
      <c r="H487" s="2" t="s">
        <v>74</v>
      </c>
      <c r="I487" s="2" t="s">
        <v>6367</v>
      </c>
      <c r="J487" s="2" t="s">
        <v>140</v>
      </c>
      <c r="K487" s="2" t="s">
        <v>74</v>
      </c>
      <c r="L487" s="2" t="s">
        <v>74</v>
      </c>
      <c r="M487" s="2" t="s">
        <v>74</v>
      </c>
      <c r="N487" s="2" t="s">
        <v>74</v>
      </c>
      <c r="O487" s="2" t="s">
        <v>74</v>
      </c>
      <c r="P487" s="2" t="s">
        <v>74</v>
      </c>
      <c r="Q487" s="2" t="s">
        <v>74</v>
      </c>
      <c r="R487" s="2" t="s">
        <v>74</v>
      </c>
      <c r="S487" s="2" t="s">
        <v>74</v>
      </c>
      <c r="T487" s="2" t="s">
        <v>74</v>
      </c>
      <c r="U487" s="2" t="s">
        <v>74</v>
      </c>
      <c r="V487" s="5" t="s">
        <v>6368</v>
      </c>
      <c r="W487" s="2" t="s">
        <v>74</v>
      </c>
      <c r="X487" s="2" t="s">
        <v>74</v>
      </c>
      <c r="Y487" s="2" t="s">
        <v>74</v>
      </c>
      <c r="Z487" s="2" t="s">
        <v>74</v>
      </c>
      <c r="AA487" s="2" t="s">
        <v>74</v>
      </c>
      <c r="AB487" s="2" t="s">
        <v>74</v>
      </c>
      <c r="AC487" s="2" t="s">
        <v>74</v>
      </c>
      <c r="AD487" s="2" t="s">
        <v>74</v>
      </c>
      <c r="AE487" s="2" t="s">
        <v>74</v>
      </c>
      <c r="AF487" s="2" t="s">
        <v>74</v>
      </c>
      <c r="AG487" s="2" t="s">
        <v>74</v>
      </c>
      <c r="AH487" s="2" t="s">
        <v>74</v>
      </c>
      <c r="AI487" s="2" t="s">
        <v>74</v>
      </c>
      <c r="AJ487" s="2" t="s">
        <v>74</v>
      </c>
      <c r="AK487" s="2" t="s">
        <v>74</v>
      </c>
      <c r="AL487" s="2" t="s">
        <v>74</v>
      </c>
      <c r="AM487" s="2" t="s">
        <v>74</v>
      </c>
      <c r="AN487" s="2" t="s">
        <v>74</v>
      </c>
      <c r="AO487" s="2" t="s">
        <v>143</v>
      </c>
      <c r="AP487" s="2" t="s">
        <v>74</v>
      </c>
      <c r="AQ487" s="2" t="s">
        <v>74</v>
      </c>
      <c r="AR487" s="2" t="s">
        <v>74</v>
      </c>
      <c r="AS487" s="2" t="s">
        <v>74</v>
      </c>
      <c r="AT487" s="2" t="s">
        <v>175</v>
      </c>
      <c r="AU487" s="2">
        <v>2008</v>
      </c>
      <c r="AV487" s="2">
        <v>76</v>
      </c>
      <c r="AW487" s="2" t="s">
        <v>74</v>
      </c>
      <c r="AX487" s="2">
        <v>4</v>
      </c>
      <c r="AY487" s="2" t="s">
        <v>74</v>
      </c>
      <c r="AZ487" s="2" t="s">
        <v>74</v>
      </c>
      <c r="BA487" s="2" t="s">
        <v>74</v>
      </c>
      <c r="BB487" s="2">
        <v>1403</v>
      </c>
      <c r="BC487" s="2">
        <v>1410</v>
      </c>
      <c r="BD487" s="2" t="s">
        <v>74</v>
      </c>
      <c r="BE487" s="2" t="s">
        <v>6369</v>
      </c>
      <c r="BF487" s="2" t="str">
        <f>HYPERLINK("http://dx.doi.org/10.1016/j.anbehav.2008.06.021","http://dx.doi.org/10.1016/j.anbehav.2008.06.021")</f>
        <v>http://dx.doi.org/10.1016/j.anbehav.2008.06.021</v>
      </c>
      <c r="BG487" s="2" t="s">
        <v>74</v>
      </c>
      <c r="BH487" s="2" t="s">
        <v>74</v>
      </c>
      <c r="BI487" s="2" t="s">
        <v>74</v>
      </c>
      <c r="BJ487" s="2" t="s">
        <v>74</v>
      </c>
      <c r="BK487" s="2" t="s">
        <v>74</v>
      </c>
      <c r="BL487" s="2" t="s">
        <v>74</v>
      </c>
      <c r="BM487" s="2" t="s">
        <v>74</v>
      </c>
      <c r="BN487" s="2" t="s">
        <v>74</v>
      </c>
      <c r="BO487" s="2" t="s">
        <v>74</v>
      </c>
      <c r="BP487" s="2" t="s">
        <v>74</v>
      </c>
      <c r="BQ487" s="2" t="s">
        <v>74</v>
      </c>
      <c r="BR487" s="2" t="s">
        <v>74</v>
      </c>
      <c r="BS487" s="2" t="s">
        <v>6370</v>
      </c>
      <c r="BT487" s="2" t="str">
        <f>HYPERLINK("https%3A%2F%2Fwww.webofscience.com%2Fwos%2Fwoscc%2Ffull-record%2FWOS:000260118000031","View Full Record in Web of Science")</f>
        <v>View Full Record in Web of Science</v>
      </c>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row>
    <row r="488" spans="1:314" s="2" customFormat="1" x14ac:dyDescent="0.4">
      <c r="A488" s="2" t="s">
        <v>72</v>
      </c>
      <c r="B488" s="2" t="s">
        <v>2674</v>
      </c>
      <c r="C488" s="2" t="s">
        <v>74</v>
      </c>
      <c r="D488" s="2" t="s">
        <v>74</v>
      </c>
      <c r="E488" s="2" t="s">
        <v>74</v>
      </c>
      <c r="F488" s="2" t="s">
        <v>2675</v>
      </c>
      <c r="G488" s="2" t="s">
        <v>74</v>
      </c>
      <c r="H488" s="2" t="s">
        <v>74</v>
      </c>
      <c r="I488" s="2" t="s">
        <v>2676</v>
      </c>
      <c r="J488" s="2" t="s">
        <v>2677</v>
      </c>
      <c r="K488" s="2" t="s">
        <v>74</v>
      </c>
      <c r="L488" s="2" t="s">
        <v>74</v>
      </c>
      <c r="M488" s="2" t="s">
        <v>74</v>
      </c>
      <c r="N488" s="2" t="s">
        <v>74</v>
      </c>
      <c r="O488" s="2" t="s">
        <v>74</v>
      </c>
      <c r="P488" s="2" t="s">
        <v>74</v>
      </c>
      <c r="Q488" s="2" t="s">
        <v>74</v>
      </c>
      <c r="R488" s="2" t="s">
        <v>74</v>
      </c>
      <c r="S488" s="2" t="s">
        <v>74</v>
      </c>
      <c r="T488" s="2" t="s">
        <v>74</v>
      </c>
      <c r="U488" s="2" t="s">
        <v>74</v>
      </c>
      <c r="V488" s="5" t="s">
        <v>2678</v>
      </c>
      <c r="W488" s="2" t="s">
        <v>74</v>
      </c>
      <c r="X488" s="2" t="s">
        <v>74</v>
      </c>
      <c r="Y488" s="2" t="s">
        <v>74</v>
      </c>
      <c r="Z488" s="2" t="s">
        <v>74</v>
      </c>
      <c r="AA488" s="2" t="s">
        <v>2679</v>
      </c>
      <c r="AB488" s="2" t="s">
        <v>2680</v>
      </c>
      <c r="AC488" s="2" t="s">
        <v>74</v>
      </c>
      <c r="AD488" s="2" t="s">
        <v>74</v>
      </c>
      <c r="AE488" s="2" t="s">
        <v>74</v>
      </c>
      <c r="AF488" s="2" t="s">
        <v>74</v>
      </c>
      <c r="AG488" s="2" t="s">
        <v>74</v>
      </c>
      <c r="AH488" s="2" t="s">
        <v>74</v>
      </c>
      <c r="AI488" s="2" t="s">
        <v>74</v>
      </c>
      <c r="AJ488" s="2" t="s">
        <v>74</v>
      </c>
      <c r="AK488" s="2" t="s">
        <v>74</v>
      </c>
      <c r="AL488" s="2" t="s">
        <v>74</v>
      </c>
      <c r="AM488" s="2" t="s">
        <v>74</v>
      </c>
      <c r="AN488" s="2" t="s">
        <v>74</v>
      </c>
      <c r="AO488" s="2" t="s">
        <v>2681</v>
      </c>
      <c r="AP488" s="2" t="s">
        <v>2682</v>
      </c>
      <c r="AQ488" s="2" t="s">
        <v>74</v>
      </c>
      <c r="AR488" s="2" t="s">
        <v>74</v>
      </c>
      <c r="AS488" s="2" t="s">
        <v>74</v>
      </c>
      <c r="AT488" s="2" t="s">
        <v>74</v>
      </c>
      <c r="AU488" s="2">
        <v>2013</v>
      </c>
      <c r="AV488" s="2">
        <v>6</v>
      </c>
      <c r="AW488" s="2">
        <v>2</v>
      </c>
      <c r="AX488" s="2" t="s">
        <v>74</v>
      </c>
      <c r="AY488" s="2" t="s">
        <v>74</v>
      </c>
      <c r="AZ488" s="2" t="s">
        <v>74</v>
      </c>
      <c r="BA488" s="2" t="s">
        <v>74</v>
      </c>
      <c r="BB488" s="2">
        <v>147</v>
      </c>
      <c r="BC488" s="2">
        <v>156</v>
      </c>
      <c r="BD488" s="2" t="s">
        <v>74</v>
      </c>
      <c r="BE488" s="2" t="s">
        <v>2683</v>
      </c>
      <c r="BF488" s="2" t="str">
        <f>HYPERLINK("http://dx.doi.org/10.3184/175815513X13617279883973","http://dx.doi.org/10.3184/175815513X13617279883973")</f>
        <v>http://dx.doi.org/10.3184/175815513X13617279883973</v>
      </c>
      <c r="BG488" s="2" t="s">
        <v>74</v>
      </c>
      <c r="BH488" s="2" t="s">
        <v>74</v>
      </c>
      <c r="BI488" s="2" t="s">
        <v>74</v>
      </c>
      <c r="BJ488" s="2" t="s">
        <v>74</v>
      </c>
      <c r="BK488" s="2" t="s">
        <v>74</v>
      </c>
      <c r="BL488" s="2" t="s">
        <v>74</v>
      </c>
      <c r="BM488" s="2" t="s">
        <v>74</v>
      </c>
      <c r="BN488" s="2" t="s">
        <v>74</v>
      </c>
      <c r="BO488" s="2" t="s">
        <v>74</v>
      </c>
      <c r="BP488" s="2" t="s">
        <v>74</v>
      </c>
      <c r="BQ488" s="2" t="s">
        <v>74</v>
      </c>
      <c r="BR488" s="2" t="s">
        <v>74</v>
      </c>
      <c r="BS488" s="2" t="s">
        <v>2684</v>
      </c>
      <c r="BT488" s="2" t="str">
        <f>HYPERLINK("https%3A%2F%2Fwww.webofscience.com%2Fwos%2Fwoscc%2Ffull-record%2FWOS:000318967100007","View Full Record in Web of Science")</f>
        <v>View Full Record in Web of Science</v>
      </c>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row>
    <row r="489" spans="1:314" s="2" customFormat="1" x14ac:dyDescent="0.4">
      <c r="A489" s="2" t="s">
        <v>72</v>
      </c>
      <c r="B489" s="2" t="s">
        <v>3627</v>
      </c>
      <c r="C489" s="2" t="s">
        <v>74</v>
      </c>
      <c r="D489" s="2" t="s">
        <v>74</v>
      </c>
      <c r="E489" s="2" t="s">
        <v>74</v>
      </c>
      <c r="F489" s="2" t="s">
        <v>3628</v>
      </c>
      <c r="G489" s="2" t="s">
        <v>74</v>
      </c>
      <c r="H489" s="2" t="s">
        <v>74</v>
      </c>
      <c r="I489" s="2" t="s">
        <v>3629</v>
      </c>
      <c r="J489" s="2" t="s">
        <v>2901</v>
      </c>
      <c r="K489" s="2" t="s">
        <v>74</v>
      </c>
      <c r="L489" s="2" t="s">
        <v>74</v>
      </c>
      <c r="M489" s="2" t="s">
        <v>74</v>
      </c>
      <c r="N489" s="2" t="s">
        <v>74</v>
      </c>
      <c r="O489" s="2" t="s">
        <v>74</v>
      </c>
      <c r="P489" s="2" t="s">
        <v>74</v>
      </c>
      <c r="Q489" s="2" t="s">
        <v>74</v>
      </c>
      <c r="R489" s="2" t="s">
        <v>74</v>
      </c>
      <c r="S489" s="2" t="s">
        <v>74</v>
      </c>
      <c r="T489" s="2" t="s">
        <v>74</v>
      </c>
      <c r="U489" s="2" t="s">
        <v>74</v>
      </c>
      <c r="V489" s="5" t="s">
        <v>3630</v>
      </c>
      <c r="W489" s="2" t="s">
        <v>74</v>
      </c>
      <c r="X489" s="2" t="s">
        <v>74</v>
      </c>
      <c r="Y489" s="2" t="s">
        <v>74</v>
      </c>
      <c r="Z489" s="2" t="s">
        <v>74</v>
      </c>
      <c r="AA489" s="2" t="s">
        <v>74</v>
      </c>
      <c r="AB489" s="2" t="s">
        <v>2504</v>
      </c>
      <c r="AC489" s="2" t="s">
        <v>74</v>
      </c>
      <c r="AD489" s="2" t="s">
        <v>74</v>
      </c>
      <c r="AE489" s="2" t="s">
        <v>74</v>
      </c>
      <c r="AF489" s="2" t="s">
        <v>74</v>
      </c>
      <c r="AG489" s="2" t="s">
        <v>74</v>
      </c>
      <c r="AH489" s="2" t="s">
        <v>74</v>
      </c>
      <c r="AI489" s="2" t="s">
        <v>74</v>
      </c>
      <c r="AJ489" s="2" t="s">
        <v>74</v>
      </c>
      <c r="AK489" s="2" t="s">
        <v>74</v>
      </c>
      <c r="AL489" s="2" t="s">
        <v>74</v>
      </c>
      <c r="AM489" s="2" t="s">
        <v>74</v>
      </c>
      <c r="AN489" s="2" t="s">
        <v>74</v>
      </c>
      <c r="AO489" s="2" t="s">
        <v>2903</v>
      </c>
      <c r="AP489" s="2" t="s">
        <v>2904</v>
      </c>
      <c r="AQ489" s="2" t="s">
        <v>74</v>
      </c>
      <c r="AR489" s="2" t="s">
        <v>74</v>
      </c>
      <c r="AS489" s="2" t="s">
        <v>74</v>
      </c>
      <c r="AT489" s="2" t="s">
        <v>3631</v>
      </c>
      <c r="AU489" s="2">
        <v>2013</v>
      </c>
      <c r="AV489" s="2">
        <v>25</v>
      </c>
      <c r="AW489" s="2">
        <v>2</v>
      </c>
      <c r="AX489" s="2" t="s">
        <v>74</v>
      </c>
      <c r="AY489" s="2" t="s">
        <v>74</v>
      </c>
      <c r="AZ489" s="2" t="s">
        <v>74</v>
      </c>
      <c r="BA489" s="2" t="s">
        <v>74</v>
      </c>
      <c r="BB489" s="2">
        <v>161</v>
      </c>
      <c r="BC489" s="2">
        <v>173</v>
      </c>
      <c r="BD489" s="2" t="s">
        <v>74</v>
      </c>
      <c r="BE489" s="2" t="s">
        <v>3632</v>
      </c>
      <c r="BF489" s="2" t="str">
        <f>HYPERLINK("http://dx.doi.org/10.1080/03949370.2012.742464","http://dx.doi.org/10.1080/03949370.2012.742464")</f>
        <v>http://dx.doi.org/10.1080/03949370.2012.742464</v>
      </c>
      <c r="BG489" s="2" t="s">
        <v>74</v>
      </c>
      <c r="BH489" s="2" t="s">
        <v>74</v>
      </c>
      <c r="BI489" s="2" t="s">
        <v>74</v>
      </c>
      <c r="BJ489" s="2" t="s">
        <v>74</v>
      </c>
      <c r="BK489" s="2" t="s">
        <v>74</v>
      </c>
      <c r="BL489" s="2" t="s">
        <v>74</v>
      </c>
      <c r="BM489" s="2" t="s">
        <v>74</v>
      </c>
      <c r="BN489" s="2" t="s">
        <v>74</v>
      </c>
      <c r="BO489" s="2" t="s">
        <v>74</v>
      </c>
      <c r="BP489" s="2" t="s">
        <v>74</v>
      </c>
      <c r="BQ489" s="2" t="s">
        <v>74</v>
      </c>
      <c r="BR489" s="2" t="s">
        <v>74</v>
      </c>
      <c r="BS489" s="2" t="s">
        <v>3633</v>
      </c>
      <c r="BT489" s="2" t="str">
        <f>HYPERLINK("https%3A%2F%2Fwww.webofscience.com%2Fwos%2Fwoscc%2Ffull-record%2FWOS:000317742200005","View Full Record in Web of Science")</f>
        <v>View Full Record in Web of Science</v>
      </c>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row>
    <row r="490" spans="1:314" s="2" customFormat="1" x14ac:dyDescent="0.4">
      <c r="A490" s="2" t="s">
        <v>72</v>
      </c>
      <c r="B490" s="2" t="s">
        <v>2500</v>
      </c>
      <c r="C490" s="2" t="s">
        <v>74</v>
      </c>
      <c r="D490" s="2" t="s">
        <v>74</v>
      </c>
      <c r="E490" s="2" t="s">
        <v>74</v>
      </c>
      <c r="F490" s="2" t="s">
        <v>2500</v>
      </c>
      <c r="G490" s="2" t="s">
        <v>74</v>
      </c>
      <c r="H490" s="2" t="s">
        <v>74</v>
      </c>
      <c r="I490" s="2" t="s">
        <v>2501</v>
      </c>
      <c r="J490" s="2" t="s">
        <v>140</v>
      </c>
      <c r="K490" s="2" t="s">
        <v>74</v>
      </c>
      <c r="L490" s="2" t="s">
        <v>74</v>
      </c>
      <c r="M490" s="2" t="s">
        <v>74</v>
      </c>
      <c r="N490" s="2" t="s">
        <v>74</v>
      </c>
      <c r="O490" s="2" t="s">
        <v>74</v>
      </c>
      <c r="P490" s="2" t="s">
        <v>74</v>
      </c>
      <c r="Q490" s="2" t="s">
        <v>74</v>
      </c>
      <c r="R490" s="2" t="s">
        <v>74</v>
      </c>
      <c r="S490" s="2" t="s">
        <v>74</v>
      </c>
      <c r="T490" s="2" t="s">
        <v>74</v>
      </c>
      <c r="U490" s="2" t="s">
        <v>74</v>
      </c>
      <c r="V490" s="5" t="s">
        <v>2502</v>
      </c>
      <c r="W490" s="2" t="s">
        <v>74</v>
      </c>
      <c r="X490" s="2" t="s">
        <v>74</v>
      </c>
      <c r="Y490" s="2" t="s">
        <v>74</v>
      </c>
      <c r="Z490" s="2" t="s">
        <v>74</v>
      </c>
      <c r="AA490" s="2" t="s">
        <v>2503</v>
      </c>
      <c r="AB490" s="2" t="s">
        <v>2504</v>
      </c>
      <c r="AC490" s="2" t="s">
        <v>74</v>
      </c>
      <c r="AD490" s="2" t="s">
        <v>74</v>
      </c>
      <c r="AE490" s="2" t="s">
        <v>74</v>
      </c>
      <c r="AF490" s="2" t="s">
        <v>74</v>
      </c>
      <c r="AG490" s="2" t="s">
        <v>74</v>
      </c>
      <c r="AH490" s="2" t="s">
        <v>74</v>
      </c>
      <c r="AI490" s="2" t="s">
        <v>74</v>
      </c>
      <c r="AJ490" s="2" t="s">
        <v>74</v>
      </c>
      <c r="AK490" s="2" t="s">
        <v>74</v>
      </c>
      <c r="AL490" s="2" t="s">
        <v>74</v>
      </c>
      <c r="AM490" s="2" t="s">
        <v>74</v>
      </c>
      <c r="AN490" s="2" t="s">
        <v>74</v>
      </c>
      <c r="AO490" s="2" t="s">
        <v>143</v>
      </c>
      <c r="AP490" s="2" t="s">
        <v>74</v>
      </c>
      <c r="AQ490" s="2" t="s">
        <v>74</v>
      </c>
      <c r="AR490" s="2" t="s">
        <v>74</v>
      </c>
      <c r="AS490" s="2" t="s">
        <v>74</v>
      </c>
      <c r="AT490" s="2" t="s">
        <v>255</v>
      </c>
      <c r="AU490" s="2">
        <v>1995</v>
      </c>
      <c r="AV490" s="2">
        <v>49</v>
      </c>
      <c r="AW490" s="2">
        <v>1</v>
      </c>
      <c r="AX490" s="2" t="s">
        <v>74</v>
      </c>
      <c r="AY490" s="2" t="s">
        <v>74</v>
      </c>
      <c r="AZ490" s="2" t="s">
        <v>74</v>
      </c>
      <c r="BA490" s="2" t="s">
        <v>74</v>
      </c>
      <c r="BB490" s="2">
        <v>53</v>
      </c>
      <c r="BC490" s="2">
        <v>62</v>
      </c>
      <c r="BD490" s="2" t="s">
        <v>74</v>
      </c>
      <c r="BE490" s="2" t="s">
        <v>2505</v>
      </c>
      <c r="BF490" s="2" t="str">
        <f>HYPERLINK("http://dx.doi.org/10.1016/0003-3472(95)80153-7","http://dx.doi.org/10.1016/0003-3472(95)80153-7")</f>
        <v>http://dx.doi.org/10.1016/0003-3472(95)80153-7</v>
      </c>
      <c r="BG490" s="2" t="s">
        <v>74</v>
      </c>
      <c r="BH490" s="2" t="s">
        <v>74</v>
      </c>
      <c r="BI490" s="2" t="s">
        <v>74</v>
      </c>
      <c r="BJ490" s="2" t="s">
        <v>74</v>
      </c>
      <c r="BK490" s="2" t="s">
        <v>74</v>
      </c>
      <c r="BL490" s="2" t="s">
        <v>74</v>
      </c>
      <c r="BM490" s="2" t="s">
        <v>74</v>
      </c>
      <c r="BN490" s="2" t="s">
        <v>74</v>
      </c>
      <c r="BO490" s="2" t="s">
        <v>74</v>
      </c>
      <c r="BP490" s="2" t="s">
        <v>74</v>
      </c>
      <c r="BQ490" s="2" t="s">
        <v>74</v>
      </c>
      <c r="BR490" s="2" t="s">
        <v>74</v>
      </c>
      <c r="BS490" s="2" t="s">
        <v>2506</v>
      </c>
      <c r="BT490" s="2" t="str">
        <f>HYPERLINK("https%3A%2F%2Fwww.webofscience.com%2Fwos%2Fwoscc%2Ffull-record%2FWOS:A1995QC44700006","View Full Record in Web of Science")</f>
        <v>View Full Record in Web of Science</v>
      </c>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row>
    <row r="491" spans="1:314" s="2" customFormat="1" x14ac:dyDescent="0.4">
      <c r="A491" s="2" t="s">
        <v>72</v>
      </c>
      <c r="B491" s="2" t="s">
        <v>6492</v>
      </c>
      <c r="C491" s="2" t="s">
        <v>74</v>
      </c>
      <c r="D491" s="2" t="s">
        <v>74</v>
      </c>
      <c r="E491" s="2" t="s">
        <v>74</v>
      </c>
      <c r="F491" s="2" t="s">
        <v>6492</v>
      </c>
      <c r="G491" s="2" t="s">
        <v>74</v>
      </c>
      <c r="H491" s="2" t="s">
        <v>74</v>
      </c>
      <c r="I491" s="2" t="s">
        <v>6493</v>
      </c>
      <c r="J491" s="2" t="s">
        <v>140</v>
      </c>
      <c r="K491" s="2" t="s">
        <v>74</v>
      </c>
      <c r="L491" s="2" t="s">
        <v>74</v>
      </c>
      <c r="M491" s="2" t="s">
        <v>74</v>
      </c>
      <c r="N491" s="2" t="s">
        <v>74</v>
      </c>
      <c r="O491" s="2" t="s">
        <v>74</v>
      </c>
      <c r="P491" s="2" t="s">
        <v>74</v>
      </c>
      <c r="Q491" s="2" t="s">
        <v>74</v>
      </c>
      <c r="R491" s="2" t="s">
        <v>74</v>
      </c>
      <c r="S491" s="2" t="s">
        <v>74</v>
      </c>
      <c r="T491" s="2" t="s">
        <v>74</v>
      </c>
      <c r="U491" s="2" t="s">
        <v>74</v>
      </c>
      <c r="V491" s="5" t="s">
        <v>6494</v>
      </c>
      <c r="W491" s="2" t="s">
        <v>74</v>
      </c>
      <c r="X491" s="2" t="s">
        <v>74</v>
      </c>
      <c r="Y491" s="2" t="s">
        <v>74</v>
      </c>
      <c r="Z491" s="2" t="s">
        <v>74</v>
      </c>
      <c r="AA491" s="2" t="s">
        <v>74</v>
      </c>
      <c r="AB491" s="2" t="s">
        <v>74</v>
      </c>
      <c r="AC491" s="2" t="s">
        <v>74</v>
      </c>
      <c r="AD491" s="2" t="s">
        <v>74</v>
      </c>
      <c r="AE491" s="2" t="s">
        <v>74</v>
      </c>
      <c r="AF491" s="2" t="s">
        <v>74</v>
      </c>
      <c r="AG491" s="2" t="s">
        <v>74</v>
      </c>
      <c r="AH491" s="2" t="s">
        <v>74</v>
      </c>
      <c r="AI491" s="2" t="s">
        <v>74</v>
      </c>
      <c r="AJ491" s="2" t="s">
        <v>74</v>
      </c>
      <c r="AK491" s="2" t="s">
        <v>74</v>
      </c>
      <c r="AL491" s="2" t="s">
        <v>74</v>
      </c>
      <c r="AM491" s="2" t="s">
        <v>74</v>
      </c>
      <c r="AN491" s="2" t="s">
        <v>74</v>
      </c>
      <c r="AO491" s="2" t="s">
        <v>143</v>
      </c>
      <c r="AP491" s="2" t="s">
        <v>144</v>
      </c>
      <c r="AQ491" s="2" t="s">
        <v>74</v>
      </c>
      <c r="AR491" s="2" t="s">
        <v>74</v>
      </c>
      <c r="AS491" s="2" t="s">
        <v>74</v>
      </c>
      <c r="AT491" s="2" t="s">
        <v>964</v>
      </c>
      <c r="AU491" s="2">
        <v>1986</v>
      </c>
      <c r="AV491" s="2">
        <v>34</v>
      </c>
      <c r="AW491" s="2" t="s">
        <v>74</v>
      </c>
      <c r="AX491" s="2">
        <v>1</v>
      </c>
      <c r="AY491" s="2" t="s">
        <v>74</v>
      </c>
      <c r="AZ491" s="2" t="s">
        <v>74</v>
      </c>
      <c r="BA491" s="2" t="s">
        <v>74</v>
      </c>
      <c r="BB491" s="2">
        <v>69</v>
      </c>
      <c r="BC491" s="2">
        <v>76</v>
      </c>
      <c r="BD491" s="2" t="s">
        <v>74</v>
      </c>
      <c r="BE491" s="2" t="s">
        <v>6495</v>
      </c>
      <c r="BF491" s="2" t="str">
        <f>HYPERLINK("http://dx.doi.org/10.1016/0003-3472(86)90007-2","http://dx.doi.org/10.1016/0003-3472(86)90007-2")</f>
        <v>http://dx.doi.org/10.1016/0003-3472(86)90007-2</v>
      </c>
      <c r="BG491" s="2" t="s">
        <v>74</v>
      </c>
      <c r="BH491" s="2" t="s">
        <v>74</v>
      </c>
      <c r="BI491" s="2" t="s">
        <v>74</v>
      </c>
      <c r="BJ491" s="2" t="s">
        <v>74</v>
      </c>
      <c r="BK491" s="2" t="s">
        <v>74</v>
      </c>
      <c r="BL491" s="2" t="s">
        <v>74</v>
      </c>
      <c r="BM491" s="2" t="s">
        <v>74</v>
      </c>
      <c r="BN491" s="2" t="s">
        <v>74</v>
      </c>
      <c r="BO491" s="2" t="s">
        <v>74</v>
      </c>
      <c r="BP491" s="2" t="s">
        <v>74</v>
      </c>
      <c r="BQ491" s="2" t="s">
        <v>74</v>
      </c>
      <c r="BR491" s="2" t="s">
        <v>74</v>
      </c>
      <c r="BS491" s="2" t="s">
        <v>6496</v>
      </c>
      <c r="BT491" s="2" t="str">
        <f>HYPERLINK("https%3A%2F%2Fwww.webofscience.com%2Fwos%2Fwoscc%2Ffull-record%2FWOS:A1986AZF6400007","View Full Record in Web of Science")</f>
        <v>View Full Record in Web of Science</v>
      </c>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row>
    <row r="492" spans="1:314" s="2" customFormat="1" x14ac:dyDescent="0.4">
      <c r="A492" s="2" t="s">
        <v>72</v>
      </c>
      <c r="B492" s="2" t="s">
        <v>3225</v>
      </c>
      <c r="C492" s="2" t="s">
        <v>74</v>
      </c>
      <c r="D492" s="2" t="s">
        <v>74</v>
      </c>
      <c r="E492" s="2" t="s">
        <v>74</v>
      </c>
      <c r="F492" s="2" t="s">
        <v>3226</v>
      </c>
      <c r="G492" s="2" t="s">
        <v>74</v>
      </c>
      <c r="H492" s="2" t="s">
        <v>74</v>
      </c>
      <c r="I492" s="2" t="s">
        <v>3227</v>
      </c>
      <c r="J492" s="2" t="s">
        <v>1112</v>
      </c>
      <c r="K492" s="2" t="s">
        <v>74</v>
      </c>
      <c r="L492" s="2" t="s">
        <v>74</v>
      </c>
      <c r="M492" s="2" t="s">
        <v>74</v>
      </c>
      <c r="N492" s="2" t="s">
        <v>74</v>
      </c>
      <c r="O492" s="2" t="s">
        <v>74</v>
      </c>
      <c r="P492" s="2" t="s">
        <v>74</v>
      </c>
      <c r="Q492" s="2" t="s">
        <v>74</v>
      </c>
      <c r="R492" s="2" t="s">
        <v>74</v>
      </c>
      <c r="S492" s="2" t="s">
        <v>74</v>
      </c>
      <c r="T492" s="2" t="s">
        <v>74</v>
      </c>
      <c r="U492" s="2" t="s">
        <v>74</v>
      </c>
      <c r="V492" s="5" t="s">
        <v>3228</v>
      </c>
      <c r="W492" s="2" t="s">
        <v>74</v>
      </c>
      <c r="X492" s="2" t="s">
        <v>74</v>
      </c>
      <c r="Y492" s="2" t="s">
        <v>74</v>
      </c>
      <c r="Z492" s="2" t="s">
        <v>74</v>
      </c>
      <c r="AA492" s="2" t="s">
        <v>74</v>
      </c>
      <c r="AB492" s="2" t="s">
        <v>3229</v>
      </c>
      <c r="AC492" s="2" t="s">
        <v>74</v>
      </c>
      <c r="AD492" s="2" t="s">
        <v>74</v>
      </c>
      <c r="AE492" s="2" t="s">
        <v>74</v>
      </c>
      <c r="AF492" s="2" t="s">
        <v>74</v>
      </c>
      <c r="AG492" s="2" t="s">
        <v>74</v>
      </c>
      <c r="AH492" s="2" t="s">
        <v>74</v>
      </c>
      <c r="AI492" s="2" t="s">
        <v>74</v>
      </c>
      <c r="AJ492" s="2" t="s">
        <v>74</v>
      </c>
      <c r="AK492" s="2" t="s">
        <v>74</v>
      </c>
      <c r="AL492" s="2" t="s">
        <v>74</v>
      </c>
      <c r="AM492" s="2" t="s">
        <v>74</v>
      </c>
      <c r="AN492" s="2" t="s">
        <v>74</v>
      </c>
      <c r="AO492" s="2" t="s">
        <v>1114</v>
      </c>
      <c r="AP492" s="2" t="s">
        <v>1115</v>
      </c>
      <c r="AQ492" s="2" t="s">
        <v>74</v>
      </c>
      <c r="AR492" s="2" t="s">
        <v>74</v>
      </c>
      <c r="AS492" s="2" t="s">
        <v>74</v>
      </c>
      <c r="AT492" s="2" t="s">
        <v>352</v>
      </c>
      <c r="AU492" s="2">
        <v>2014</v>
      </c>
      <c r="AV492" s="2">
        <v>158</v>
      </c>
      <c r="AW492" s="2" t="s">
        <v>74</v>
      </c>
      <c r="AX492" s="2" t="s">
        <v>74</v>
      </c>
      <c r="AY492" s="2" t="s">
        <v>74</v>
      </c>
      <c r="AZ492" s="2" t="s">
        <v>74</v>
      </c>
      <c r="BA492" s="2" t="s">
        <v>74</v>
      </c>
      <c r="BB492" s="2">
        <v>76</v>
      </c>
      <c r="BC492" s="2">
        <v>85</v>
      </c>
      <c r="BD492" s="2" t="s">
        <v>74</v>
      </c>
      <c r="BE492" s="2" t="s">
        <v>3230</v>
      </c>
      <c r="BF492" s="2" t="str">
        <f>HYPERLINK("http://dx.doi.org/10.1016/j.applanim.2014.06.008","http://dx.doi.org/10.1016/j.applanim.2014.06.008")</f>
        <v>http://dx.doi.org/10.1016/j.applanim.2014.06.008</v>
      </c>
      <c r="BG492" s="2" t="s">
        <v>74</v>
      </c>
      <c r="BH492" s="2" t="s">
        <v>74</v>
      </c>
      <c r="BI492" s="2" t="s">
        <v>74</v>
      </c>
      <c r="BJ492" s="2" t="s">
        <v>74</v>
      </c>
      <c r="BK492" s="2" t="s">
        <v>74</v>
      </c>
      <c r="BL492" s="2" t="s">
        <v>74</v>
      </c>
      <c r="BM492" s="2" t="s">
        <v>74</v>
      </c>
      <c r="BN492" s="2" t="s">
        <v>74</v>
      </c>
      <c r="BO492" s="2" t="s">
        <v>74</v>
      </c>
      <c r="BP492" s="2" t="s">
        <v>74</v>
      </c>
      <c r="BQ492" s="2" t="s">
        <v>74</v>
      </c>
      <c r="BR492" s="2" t="s">
        <v>74</v>
      </c>
      <c r="BS492" s="2" t="s">
        <v>3231</v>
      </c>
      <c r="BT492" s="2" t="str">
        <f>HYPERLINK("https%3A%2F%2Fwww.webofscience.com%2Fwos%2Fwoscc%2Ffull-record%2FWOS:000341480200009","View Full Record in Web of Science")</f>
        <v>View Full Record in Web of Science</v>
      </c>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row>
    <row r="493" spans="1:314" s="1" customFormat="1" x14ac:dyDescent="0.4">
      <c r="A493" s="2" t="s">
        <v>72</v>
      </c>
      <c r="B493" s="2" t="s">
        <v>4129</v>
      </c>
      <c r="C493" s="2" t="s">
        <v>74</v>
      </c>
      <c r="D493" s="2" t="s">
        <v>74</v>
      </c>
      <c r="E493" s="2" t="s">
        <v>74</v>
      </c>
      <c r="F493" s="2" t="s">
        <v>4130</v>
      </c>
      <c r="G493" s="2" t="s">
        <v>74</v>
      </c>
      <c r="H493" s="2" t="s">
        <v>74</v>
      </c>
      <c r="I493" s="2" t="s">
        <v>4131</v>
      </c>
      <c r="J493" s="2" t="s">
        <v>610</v>
      </c>
      <c r="K493" s="2" t="s">
        <v>74</v>
      </c>
      <c r="L493" s="2" t="s">
        <v>74</v>
      </c>
      <c r="M493" s="2" t="s">
        <v>74</v>
      </c>
      <c r="N493" s="2" t="s">
        <v>74</v>
      </c>
      <c r="O493" s="2" t="s">
        <v>74</v>
      </c>
      <c r="P493" s="2" t="s">
        <v>74</v>
      </c>
      <c r="Q493" s="2" t="s">
        <v>74</v>
      </c>
      <c r="R493" s="2" t="s">
        <v>74</v>
      </c>
      <c r="S493" s="2" t="s">
        <v>74</v>
      </c>
      <c r="T493" s="2" t="s">
        <v>74</v>
      </c>
      <c r="U493" s="2" t="s">
        <v>74</v>
      </c>
      <c r="V493" s="5" t="s">
        <v>4132</v>
      </c>
      <c r="W493" s="2" t="s">
        <v>74</v>
      </c>
      <c r="X493" s="2" t="s">
        <v>74</v>
      </c>
      <c r="Y493" s="2" t="s">
        <v>74</v>
      </c>
      <c r="Z493" s="2" t="s">
        <v>74</v>
      </c>
      <c r="AA493" s="2" t="s">
        <v>4133</v>
      </c>
      <c r="AB493" s="2" t="s">
        <v>4134</v>
      </c>
      <c r="AC493" s="2" t="s">
        <v>74</v>
      </c>
      <c r="AD493" s="2" t="s">
        <v>74</v>
      </c>
      <c r="AE493" s="2" t="s">
        <v>74</v>
      </c>
      <c r="AF493" s="2" t="s">
        <v>74</v>
      </c>
      <c r="AG493" s="2" t="s">
        <v>74</v>
      </c>
      <c r="AH493" s="2" t="s">
        <v>74</v>
      </c>
      <c r="AI493" s="2" t="s">
        <v>74</v>
      </c>
      <c r="AJ493" s="2" t="s">
        <v>74</v>
      </c>
      <c r="AK493" s="2" t="s">
        <v>74</v>
      </c>
      <c r="AL493" s="2" t="s">
        <v>74</v>
      </c>
      <c r="AM493" s="2" t="s">
        <v>74</v>
      </c>
      <c r="AN493" s="2" t="s">
        <v>74</v>
      </c>
      <c r="AO493" s="2" t="s">
        <v>614</v>
      </c>
      <c r="AP493" s="2" t="s">
        <v>615</v>
      </c>
      <c r="AQ493" s="2" t="s">
        <v>74</v>
      </c>
      <c r="AR493" s="2" t="s">
        <v>74</v>
      </c>
      <c r="AS493" s="2" t="s">
        <v>74</v>
      </c>
      <c r="AT493" s="2" t="s">
        <v>213</v>
      </c>
      <c r="AU493" s="2">
        <v>2017</v>
      </c>
      <c r="AV493" s="2">
        <v>123</v>
      </c>
      <c r="AW493" s="2">
        <v>11</v>
      </c>
      <c r="AX493" s="2" t="s">
        <v>74</v>
      </c>
      <c r="AY493" s="2" t="s">
        <v>74</v>
      </c>
      <c r="AZ493" s="2" t="s">
        <v>74</v>
      </c>
      <c r="BA493" s="2" t="s">
        <v>74</v>
      </c>
      <c r="BB493" s="2">
        <v>875</v>
      </c>
      <c r="BC493" s="2">
        <v>884</v>
      </c>
      <c r="BD493" s="2" t="s">
        <v>74</v>
      </c>
      <c r="BE493" s="2" t="s">
        <v>4135</v>
      </c>
      <c r="BF493" s="2" t="str">
        <f>HYPERLINK("http://dx.doi.org/10.1111/eth.12664","http://dx.doi.org/10.1111/eth.12664")</f>
        <v>http://dx.doi.org/10.1111/eth.12664</v>
      </c>
      <c r="BG493" s="2" t="s">
        <v>74</v>
      </c>
      <c r="BH493" s="2" t="s">
        <v>74</v>
      </c>
      <c r="BI493" s="2" t="s">
        <v>74</v>
      </c>
      <c r="BJ493" s="2" t="s">
        <v>74</v>
      </c>
      <c r="BK493" s="2" t="s">
        <v>74</v>
      </c>
      <c r="BL493" s="2" t="s">
        <v>74</v>
      </c>
      <c r="BM493" s="2" t="s">
        <v>74</v>
      </c>
      <c r="BN493" s="2" t="s">
        <v>74</v>
      </c>
      <c r="BO493" s="2" t="s">
        <v>74</v>
      </c>
      <c r="BP493" s="2" t="s">
        <v>74</v>
      </c>
      <c r="BQ493" s="2" t="s">
        <v>74</v>
      </c>
      <c r="BR493" s="2" t="s">
        <v>74</v>
      </c>
      <c r="BS493" s="2" t="s">
        <v>4136</v>
      </c>
      <c r="BT493" s="2" t="str">
        <f>HYPERLINK("https%3A%2F%2Fwww.webofscience.com%2Fwos%2Fwoscc%2Ffull-record%2FWOS:000414036700013","View Full Record in Web of Science")</f>
        <v>View Full Record in Web of Science</v>
      </c>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row>
    <row r="494" spans="1:314" s="2" customFormat="1" x14ac:dyDescent="0.4">
      <c r="A494" s="2" t="s">
        <v>72</v>
      </c>
      <c r="B494" s="2" t="s">
        <v>342</v>
      </c>
      <c r="C494" s="2" t="s">
        <v>74</v>
      </c>
      <c r="D494" s="2" t="s">
        <v>74</v>
      </c>
      <c r="E494" s="2" t="s">
        <v>74</v>
      </c>
      <c r="F494" s="2" t="s">
        <v>342</v>
      </c>
      <c r="G494" s="2" t="s">
        <v>74</v>
      </c>
      <c r="H494" s="2" t="s">
        <v>74</v>
      </c>
      <c r="I494" s="2" t="s">
        <v>343</v>
      </c>
      <c r="J494" s="2" t="s">
        <v>344</v>
      </c>
      <c r="K494" s="2" t="s">
        <v>74</v>
      </c>
      <c r="L494" s="2" t="s">
        <v>74</v>
      </c>
      <c r="M494" s="2" t="s">
        <v>74</v>
      </c>
      <c r="N494" s="2" t="s">
        <v>74</v>
      </c>
      <c r="O494" s="2" t="s">
        <v>74</v>
      </c>
      <c r="P494" s="2" t="s">
        <v>74</v>
      </c>
      <c r="Q494" s="2" t="s">
        <v>74</v>
      </c>
      <c r="R494" s="2" t="s">
        <v>74</v>
      </c>
      <c r="S494" s="2" t="s">
        <v>74</v>
      </c>
      <c r="T494" s="2" t="s">
        <v>74</v>
      </c>
      <c r="U494" s="2" t="s">
        <v>74</v>
      </c>
      <c r="V494" s="5" t="s">
        <v>345</v>
      </c>
      <c r="W494" s="2" t="s">
        <v>74</v>
      </c>
      <c r="X494" s="2" t="s">
        <v>74</v>
      </c>
      <c r="Y494" s="2" t="s">
        <v>74</v>
      </c>
      <c r="Z494" s="2" t="s">
        <v>74</v>
      </c>
      <c r="AA494" s="2" t="s">
        <v>74</v>
      </c>
      <c r="AB494" s="2" t="s">
        <v>74</v>
      </c>
      <c r="AC494" s="2" t="s">
        <v>74</v>
      </c>
      <c r="AD494" s="2" t="s">
        <v>74</v>
      </c>
      <c r="AE494" s="2" t="s">
        <v>74</v>
      </c>
      <c r="AF494" s="2" t="s">
        <v>74</v>
      </c>
      <c r="AG494" s="2" t="s">
        <v>74</v>
      </c>
      <c r="AH494" s="2" t="s">
        <v>74</v>
      </c>
      <c r="AI494" s="2" t="s">
        <v>74</v>
      </c>
      <c r="AJ494" s="2" t="s">
        <v>74</v>
      </c>
      <c r="AK494" s="2" t="s">
        <v>74</v>
      </c>
      <c r="AL494" s="2" t="s">
        <v>74</v>
      </c>
      <c r="AM494" s="2" t="s">
        <v>74</v>
      </c>
      <c r="AN494" s="2" t="s">
        <v>74</v>
      </c>
      <c r="AO494" s="2" t="s">
        <v>346</v>
      </c>
      <c r="AP494" s="2" t="s">
        <v>74</v>
      </c>
      <c r="AQ494" s="2" t="s">
        <v>74</v>
      </c>
      <c r="AR494" s="2" t="s">
        <v>74</v>
      </c>
      <c r="AS494" s="2" t="s">
        <v>74</v>
      </c>
      <c r="AT494" s="2" t="s">
        <v>255</v>
      </c>
      <c r="AU494" s="2">
        <v>1995</v>
      </c>
      <c r="AV494" s="2">
        <v>42</v>
      </c>
      <c r="AW494" s="2">
        <v>1</v>
      </c>
      <c r="AX494" s="2" t="s">
        <v>74</v>
      </c>
      <c r="AY494" s="2" t="s">
        <v>74</v>
      </c>
      <c r="AZ494" s="2" t="s">
        <v>74</v>
      </c>
      <c r="BA494" s="2" t="s">
        <v>74</v>
      </c>
      <c r="BB494" s="2">
        <v>25</v>
      </c>
      <c r="BC494" s="2">
        <v>35</v>
      </c>
      <c r="BD494" s="2" t="s">
        <v>74</v>
      </c>
      <c r="BE494" s="2" t="s">
        <v>347</v>
      </c>
      <c r="BF494" s="2" t="str">
        <f>HYPERLINK("http://dx.doi.org/10.1007/BF00002348","http://dx.doi.org/10.1007/BF00002348")</f>
        <v>http://dx.doi.org/10.1007/BF00002348</v>
      </c>
      <c r="BG494" s="2" t="s">
        <v>74</v>
      </c>
      <c r="BH494" s="2" t="s">
        <v>74</v>
      </c>
      <c r="BI494" s="2" t="s">
        <v>74</v>
      </c>
      <c r="BJ494" s="2" t="s">
        <v>74</v>
      </c>
      <c r="BK494" s="2" t="s">
        <v>74</v>
      </c>
      <c r="BL494" s="2" t="s">
        <v>74</v>
      </c>
      <c r="BM494" s="2" t="s">
        <v>74</v>
      </c>
      <c r="BN494" s="2" t="s">
        <v>74</v>
      </c>
      <c r="BO494" s="2" t="s">
        <v>74</v>
      </c>
      <c r="BP494" s="2" t="s">
        <v>74</v>
      </c>
      <c r="BQ494" s="2" t="s">
        <v>74</v>
      </c>
      <c r="BR494" s="2" t="s">
        <v>74</v>
      </c>
      <c r="BS494" s="2" t="s">
        <v>348</v>
      </c>
      <c r="BT494" s="2" t="str">
        <f>HYPERLINK("https%3A%2F%2Fwww.webofscience.com%2Fwos%2Fwoscc%2Ffull-record%2FWOS:A1995QG52700004","View Full Record in Web of Science")</f>
        <v>View Full Record in Web of Science</v>
      </c>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row>
    <row r="495" spans="1:314" s="2" customFormat="1" x14ac:dyDescent="0.4">
      <c r="A495" s="2" t="s">
        <v>72</v>
      </c>
      <c r="B495" s="2" t="s">
        <v>342</v>
      </c>
      <c r="C495" s="2" t="s">
        <v>74</v>
      </c>
      <c r="D495" s="2" t="s">
        <v>74</v>
      </c>
      <c r="E495" s="2" t="s">
        <v>74</v>
      </c>
      <c r="F495" s="2" t="s">
        <v>342</v>
      </c>
      <c r="G495" s="2" t="s">
        <v>74</v>
      </c>
      <c r="H495" s="2" t="s">
        <v>74</v>
      </c>
      <c r="I495" s="2" t="s">
        <v>1125</v>
      </c>
      <c r="J495" s="2" t="s">
        <v>1126</v>
      </c>
      <c r="K495" s="2" t="s">
        <v>74</v>
      </c>
      <c r="L495" s="2" t="s">
        <v>74</v>
      </c>
      <c r="M495" s="2" t="s">
        <v>74</v>
      </c>
      <c r="N495" s="2" t="s">
        <v>74</v>
      </c>
      <c r="O495" s="2" t="s">
        <v>74</v>
      </c>
      <c r="P495" s="2" t="s">
        <v>74</v>
      </c>
      <c r="Q495" s="2" t="s">
        <v>74</v>
      </c>
      <c r="R495" s="2" t="s">
        <v>74</v>
      </c>
      <c r="S495" s="2" t="s">
        <v>74</v>
      </c>
      <c r="T495" s="2" t="s">
        <v>74</v>
      </c>
      <c r="U495" s="2" t="s">
        <v>74</v>
      </c>
      <c r="V495" s="5" t="s">
        <v>1127</v>
      </c>
      <c r="W495" s="2" t="s">
        <v>74</v>
      </c>
      <c r="X495" s="2" t="s">
        <v>74</v>
      </c>
      <c r="Y495" s="2" t="s">
        <v>74</v>
      </c>
      <c r="Z495" s="2" t="s">
        <v>74</v>
      </c>
      <c r="AA495" s="2" t="s">
        <v>74</v>
      </c>
      <c r="AB495" s="2" t="s">
        <v>74</v>
      </c>
      <c r="AC495" s="2" t="s">
        <v>74</v>
      </c>
      <c r="AD495" s="2" t="s">
        <v>74</v>
      </c>
      <c r="AE495" s="2" t="s">
        <v>74</v>
      </c>
      <c r="AF495" s="2" t="s">
        <v>74</v>
      </c>
      <c r="AG495" s="2" t="s">
        <v>74</v>
      </c>
      <c r="AH495" s="2" t="s">
        <v>74</v>
      </c>
      <c r="AI495" s="2" t="s">
        <v>74</v>
      </c>
      <c r="AJ495" s="2" t="s">
        <v>74</v>
      </c>
      <c r="AK495" s="2" t="s">
        <v>74</v>
      </c>
      <c r="AL495" s="2" t="s">
        <v>74</v>
      </c>
      <c r="AM495" s="2" t="s">
        <v>74</v>
      </c>
      <c r="AN495" s="2" t="s">
        <v>74</v>
      </c>
      <c r="AO495" s="2" t="s">
        <v>1128</v>
      </c>
      <c r="AP495" s="2" t="s">
        <v>1129</v>
      </c>
      <c r="AQ495" s="2" t="s">
        <v>74</v>
      </c>
      <c r="AR495" s="2" t="s">
        <v>74</v>
      </c>
      <c r="AS495" s="2" t="s">
        <v>74</v>
      </c>
      <c r="AT495" s="2" t="s">
        <v>1130</v>
      </c>
      <c r="AU495" s="2">
        <v>1993</v>
      </c>
      <c r="AV495" s="2" t="s">
        <v>74</v>
      </c>
      <c r="AW495" s="2">
        <v>1</v>
      </c>
      <c r="AX495" s="2" t="s">
        <v>74</v>
      </c>
      <c r="AY495" s="2" t="s">
        <v>74</v>
      </c>
      <c r="AZ495" s="2" t="s">
        <v>74</v>
      </c>
      <c r="BA495" s="2" t="s">
        <v>74</v>
      </c>
      <c r="BB495" s="2">
        <v>67</v>
      </c>
      <c r="BC495" s="2">
        <v>74</v>
      </c>
      <c r="BD495" s="2" t="s">
        <v>74</v>
      </c>
      <c r="BE495" s="2" t="s">
        <v>1131</v>
      </c>
      <c r="BF495" s="2" t="str">
        <f>HYPERLINK("http://dx.doi.org/10.2307/1446296","http://dx.doi.org/10.2307/1446296")</f>
        <v>http://dx.doi.org/10.2307/1446296</v>
      </c>
      <c r="BG495" s="2" t="s">
        <v>74</v>
      </c>
      <c r="BH495" s="2" t="s">
        <v>74</v>
      </c>
      <c r="BI495" s="2" t="s">
        <v>74</v>
      </c>
      <c r="BJ495" s="2" t="s">
        <v>74</v>
      </c>
      <c r="BK495" s="2" t="s">
        <v>74</v>
      </c>
      <c r="BL495" s="2" t="s">
        <v>74</v>
      </c>
      <c r="BM495" s="2" t="s">
        <v>74</v>
      </c>
      <c r="BN495" s="2" t="s">
        <v>74</v>
      </c>
      <c r="BO495" s="2" t="s">
        <v>74</v>
      </c>
      <c r="BP495" s="2" t="s">
        <v>74</v>
      </c>
      <c r="BQ495" s="2" t="s">
        <v>74</v>
      </c>
      <c r="BR495" s="2" t="s">
        <v>74</v>
      </c>
      <c r="BS495" s="2" t="s">
        <v>1132</v>
      </c>
      <c r="BT495" s="2" t="str">
        <f>HYPERLINK("https%3A%2F%2Fwww.webofscience.com%2Fwos%2Fwoscc%2Ffull-record%2FWOS:A1993KN22000006","View Full Record in Web of Science")</f>
        <v>View Full Record in Web of Science</v>
      </c>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row>
    <row r="496" spans="1:314" s="2" customFormat="1" x14ac:dyDescent="0.4">
      <c r="A496" s="2" t="s">
        <v>72</v>
      </c>
      <c r="B496" s="2" t="s">
        <v>6025</v>
      </c>
      <c r="C496" s="2" t="s">
        <v>74</v>
      </c>
      <c r="D496" s="2" t="s">
        <v>74</v>
      </c>
      <c r="E496" s="2" t="s">
        <v>74</v>
      </c>
      <c r="F496" s="2" t="s">
        <v>6026</v>
      </c>
      <c r="G496" s="2" t="s">
        <v>74</v>
      </c>
      <c r="H496" s="2" t="s">
        <v>74</v>
      </c>
      <c r="I496" s="2" t="s">
        <v>6027</v>
      </c>
      <c r="J496" s="2" t="s">
        <v>4727</v>
      </c>
      <c r="K496" s="2" t="s">
        <v>74</v>
      </c>
      <c r="L496" s="2" t="s">
        <v>74</v>
      </c>
      <c r="M496" s="2" t="s">
        <v>74</v>
      </c>
      <c r="N496" s="2" t="s">
        <v>74</v>
      </c>
      <c r="O496" s="2" t="s">
        <v>74</v>
      </c>
      <c r="P496" s="2" t="s">
        <v>74</v>
      </c>
      <c r="Q496" s="2" t="s">
        <v>74</v>
      </c>
      <c r="R496" s="2" t="s">
        <v>74</v>
      </c>
      <c r="S496" s="2" t="s">
        <v>74</v>
      </c>
      <c r="T496" s="2" t="s">
        <v>74</v>
      </c>
      <c r="U496" s="2" t="s">
        <v>74</v>
      </c>
      <c r="V496" s="5" t="s">
        <v>6028</v>
      </c>
      <c r="W496" s="2" t="s">
        <v>74</v>
      </c>
      <c r="X496" s="2" t="s">
        <v>74</v>
      </c>
      <c r="Y496" s="2" t="s">
        <v>74</v>
      </c>
      <c r="Z496" s="2" t="s">
        <v>74</v>
      </c>
      <c r="AA496" s="2" t="s">
        <v>74</v>
      </c>
      <c r="AB496" s="2" t="s">
        <v>6029</v>
      </c>
      <c r="AC496" s="2" t="s">
        <v>74</v>
      </c>
      <c r="AD496" s="2" t="s">
        <v>74</v>
      </c>
      <c r="AE496" s="2" t="s">
        <v>74</v>
      </c>
      <c r="AF496" s="2" t="s">
        <v>74</v>
      </c>
      <c r="AG496" s="2" t="s">
        <v>74</v>
      </c>
      <c r="AH496" s="2" t="s">
        <v>74</v>
      </c>
      <c r="AI496" s="2" t="s">
        <v>74</v>
      </c>
      <c r="AJ496" s="2" t="s">
        <v>74</v>
      </c>
      <c r="AK496" s="2" t="s">
        <v>74</v>
      </c>
      <c r="AL496" s="2" t="s">
        <v>74</v>
      </c>
      <c r="AM496" s="2" t="s">
        <v>74</v>
      </c>
      <c r="AN496" s="2" t="s">
        <v>74</v>
      </c>
      <c r="AO496" s="2" t="s">
        <v>74</v>
      </c>
      <c r="AP496" s="2" t="s">
        <v>4730</v>
      </c>
      <c r="AQ496" s="2" t="s">
        <v>74</v>
      </c>
      <c r="AR496" s="2" t="s">
        <v>74</v>
      </c>
      <c r="AS496" s="2" t="s">
        <v>74</v>
      </c>
      <c r="AT496" s="2" t="s">
        <v>123</v>
      </c>
      <c r="AU496" s="2">
        <v>2024</v>
      </c>
      <c r="AV496" s="2">
        <v>5</v>
      </c>
      <c r="AW496" s="2">
        <v>1</v>
      </c>
      <c r="AX496" s="2" t="s">
        <v>74</v>
      </c>
      <c r="AY496" s="2" t="s">
        <v>74</v>
      </c>
      <c r="AZ496" s="2" t="s">
        <v>74</v>
      </c>
      <c r="BA496" s="2" t="s">
        <v>74</v>
      </c>
      <c r="BB496" s="2">
        <v>173</v>
      </c>
      <c r="BC496" s="2">
        <v>189</v>
      </c>
      <c r="BD496" s="2" t="s">
        <v>74</v>
      </c>
      <c r="BE496" s="2" t="s">
        <v>6030</v>
      </c>
      <c r="BF496" s="2" t="str">
        <f>HYPERLINK("http://dx.doi.org/10.3390/birds5010012","http://dx.doi.org/10.3390/birds5010012")</f>
        <v>http://dx.doi.org/10.3390/birds5010012</v>
      </c>
      <c r="BG496" s="2" t="s">
        <v>74</v>
      </c>
      <c r="BH496" s="2" t="s">
        <v>74</v>
      </c>
      <c r="BI496" s="2" t="s">
        <v>74</v>
      </c>
      <c r="BJ496" s="2" t="s">
        <v>74</v>
      </c>
      <c r="BK496" s="2" t="s">
        <v>74</v>
      </c>
      <c r="BL496" s="2" t="s">
        <v>74</v>
      </c>
      <c r="BM496" s="2" t="s">
        <v>74</v>
      </c>
      <c r="BN496" s="2" t="s">
        <v>74</v>
      </c>
      <c r="BO496" s="2" t="s">
        <v>74</v>
      </c>
      <c r="BP496" s="2" t="s">
        <v>74</v>
      </c>
      <c r="BQ496" s="2" t="s">
        <v>74</v>
      </c>
      <c r="BR496" s="2" t="s">
        <v>74</v>
      </c>
      <c r="BS496" s="2" t="s">
        <v>6031</v>
      </c>
      <c r="BT496" s="2" t="str">
        <f>HYPERLINK("https%3A%2F%2Fwww.webofscience.com%2Fwos%2Fwoscc%2Ffull-record%2FWOS:001191523100001","View Full Record in Web of Science")</f>
        <v>View Full Record in Web of Science</v>
      </c>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row>
    <row r="497" spans="1:314" s="2" customFormat="1" x14ac:dyDescent="0.4">
      <c r="A497" s="2" t="s">
        <v>72</v>
      </c>
      <c r="B497" s="2" t="s">
        <v>6099</v>
      </c>
      <c r="C497" s="2" t="s">
        <v>74</v>
      </c>
      <c r="D497" s="2" t="s">
        <v>74</v>
      </c>
      <c r="E497" s="2" t="s">
        <v>74</v>
      </c>
      <c r="F497" s="2" t="s">
        <v>6100</v>
      </c>
      <c r="G497" s="2" t="s">
        <v>74</v>
      </c>
      <c r="H497" s="2" t="s">
        <v>74</v>
      </c>
      <c r="I497" s="2" t="s">
        <v>6101</v>
      </c>
      <c r="J497" s="2" t="s">
        <v>333</v>
      </c>
      <c r="K497" s="2" t="s">
        <v>74</v>
      </c>
      <c r="L497" s="2" t="s">
        <v>74</v>
      </c>
      <c r="M497" s="2" t="s">
        <v>74</v>
      </c>
      <c r="N497" s="2" t="s">
        <v>74</v>
      </c>
      <c r="O497" s="2" t="s">
        <v>74</v>
      </c>
      <c r="P497" s="2" t="s">
        <v>74</v>
      </c>
      <c r="Q497" s="2" t="s">
        <v>74</v>
      </c>
      <c r="R497" s="2" t="s">
        <v>74</v>
      </c>
      <c r="S497" s="2" t="s">
        <v>74</v>
      </c>
      <c r="T497" s="2" t="s">
        <v>74</v>
      </c>
      <c r="U497" s="2" t="s">
        <v>74</v>
      </c>
      <c r="V497" s="5" t="s">
        <v>6102</v>
      </c>
      <c r="W497" s="2" t="s">
        <v>74</v>
      </c>
      <c r="X497" s="2" t="s">
        <v>74</v>
      </c>
      <c r="Y497" s="2" t="s">
        <v>74</v>
      </c>
      <c r="Z497" s="2" t="s">
        <v>74</v>
      </c>
      <c r="AA497" s="2" t="s">
        <v>6103</v>
      </c>
      <c r="AB497" s="2" t="s">
        <v>1012</v>
      </c>
      <c r="AC497" s="2" t="s">
        <v>74</v>
      </c>
      <c r="AD497" s="2" t="s">
        <v>74</v>
      </c>
      <c r="AE497" s="2" t="s">
        <v>74</v>
      </c>
      <c r="AF497" s="2" t="s">
        <v>74</v>
      </c>
      <c r="AG497" s="2" t="s">
        <v>74</v>
      </c>
      <c r="AH497" s="2" t="s">
        <v>74</v>
      </c>
      <c r="AI497" s="2" t="s">
        <v>74</v>
      </c>
      <c r="AJ497" s="2" t="s">
        <v>74</v>
      </c>
      <c r="AK497" s="2" t="s">
        <v>74</v>
      </c>
      <c r="AL497" s="2" t="s">
        <v>74</v>
      </c>
      <c r="AM497" s="2" t="s">
        <v>74</v>
      </c>
      <c r="AN497" s="2" t="s">
        <v>74</v>
      </c>
      <c r="AO497" s="2" t="s">
        <v>337</v>
      </c>
      <c r="AP497" s="2" t="s">
        <v>338</v>
      </c>
      <c r="AQ497" s="2" t="s">
        <v>74</v>
      </c>
      <c r="AR497" s="2" t="s">
        <v>74</v>
      </c>
      <c r="AS497" s="2" t="s">
        <v>74</v>
      </c>
      <c r="AT497" s="2" t="s">
        <v>808</v>
      </c>
      <c r="AU497" s="2">
        <v>2014</v>
      </c>
      <c r="AV497" s="2">
        <v>25</v>
      </c>
      <c r="AW497" s="2">
        <v>3</v>
      </c>
      <c r="AX497" s="2" t="s">
        <v>74</v>
      </c>
      <c r="AY497" s="2" t="s">
        <v>74</v>
      </c>
      <c r="AZ497" s="2" t="s">
        <v>74</v>
      </c>
      <c r="BA497" s="2" t="s">
        <v>74</v>
      </c>
      <c r="BB497" s="2" t="s">
        <v>74</v>
      </c>
      <c r="BC497" s="2" t="s">
        <v>74</v>
      </c>
      <c r="BD497" s="2" t="s">
        <v>74</v>
      </c>
      <c r="BE497" s="2" t="s">
        <v>6104</v>
      </c>
      <c r="BF497" s="2" t="str">
        <f>HYPERLINK("http://dx.doi.org/10.1093/beheco/aru034","http://dx.doi.org/10.1093/beheco/aru034")</f>
        <v>http://dx.doi.org/10.1093/beheco/aru034</v>
      </c>
      <c r="BG497" s="2" t="s">
        <v>74</v>
      </c>
      <c r="BH497" s="2" t="s">
        <v>74</v>
      </c>
      <c r="BI497" s="2" t="s">
        <v>74</v>
      </c>
      <c r="BJ497" s="2" t="s">
        <v>74</v>
      </c>
      <c r="BK497" s="2" t="s">
        <v>74</v>
      </c>
      <c r="BL497" s="2" t="s">
        <v>74</v>
      </c>
      <c r="BM497" s="2" t="s">
        <v>74</v>
      </c>
      <c r="BN497" s="2" t="s">
        <v>74</v>
      </c>
      <c r="BO497" s="2" t="s">
        <v>74</v>
      </c>
      <c r="BP497" s="2" t="s">
        <v>74</v>
      </c>
      <c r="BQ497" s="2" t="s">
        <v>74</v>
      </c>
      <c r="BR497" s="2" t="s">
        <v>74</v>
      </c>
      <c r="BS497" s="2" t="s">
        <v>6105</v>
      </c>
      <c r="BT497" s="2" t="str">
        <f>HYPERLINK("https%3A%2F%2Fwww.webofscience.com%2Fwos%2Fwoscc%2Ffull-record%2FWOS:000336486100029","View Full Record in Web of Science")</f>
        <v>View Full Record in Web of Science</v>
      </c>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row>
    <row r="498" spans="1:314" s="7" customFormat="1" x14ac:dyDescent="0.4">
      <c r="A498" s="2" t="s">
        <v>72</v>
      </c>
      <c r="B498" s="2" t="s">
        <v>3023</v>
      </c>
      <c r="C498" s="2" t="s">
        <v>74</v>
      </c>
      <c r="D498" s="2" t="s">
        <v>74</v>
      </c>
      <c r="E498" s="2" t="s">
        <v>74</v>
      </c>
      <c r="F498" s="2" t="s">
        <v>3024</v>
      </c>
      <c r="G498" s="2" t="s">
        <v>74</v>
      </c>
      <c r="H498" s="2" t="s">
        <v>74</v>
      </c>
      <c r="I498" s="2" t="s">
        <v>3025</v>
      </c>
      <c r="J498" s="2" t="s">
        <v>3026</v>
      </c>
      <c r="K498" s="2" t="s">
        <v>74</v>
      </c>
      <c r="L498" s="2" t="s">
        <v>74</v>
      </c>
      <c r="M498" s="2" t="s">
        <v>74</v>
      </c>
      <c r="N498" s="2" t="s">
        <v>74</v>
      </c>
      <c r="O498" s="2" t="s">
        <v>74</v>
      </c>
      <c r="P498" s="2" t="s">
        <v>74</v>
      </c>
      <c r="Q498" s="2" t="s">
        <v>74</v>
      </c>
      <c r="R498" s="2" t="s">
        <v>74</v>
      </c>
      <c r="S498" s="2" t="s">
        <v>74</v>
      </c>
      <c r="T498" s="2" t="s">
        <v>74</v>
      </c>
      <c r="U498" s="2" t="s">
        <v>74</v>
      </c>
      <c r="V498" s="5" t="s">
        <v>3027</v>
      </c>
      <c r="W498" s="2" t="s">
        <v>74</v>
      </c>
      <c r="X498" s="2" t="s">
        <v>74</v>
      </c>
      <c r="Y498" s="2" t="s">
        <v>74</v>
      </c>
      <c r="Z498" s="2" t="s">
        <v>74</v>
      </c>
      <c r="AA498" s="2" t="s">
        <v>3028</v>
      </c>
      <c r="AB498" s="2" t="s">
        <v>3029</v>
      </c>
      <c r="AC498" s="2" t="s">
        <v>74</v>
      </c>
      <c r="AD498" s="2" t="s">
        <v>74</v>
      </c>
      <c r="AE498" s="2" t="s">
        <v>74</v>
      </c>
      <c r="AF498" s="2" t="s">
        <v>74</v>
      </c>
      <c r="AG498" s="2" t="s">
        <v>74</v>
      </c>
      <c r="AH498" s="2" t="s">
        <v>74</v>
      </c>
      <c r="AI498" s="2" t="s">
        <v>74</v>
      </c>
      <c r="AJ498" s="2" t="s">
        <v>74</v>
      </c>
      <c r="AK498" s="2" t="s">
        <v>74</v>
      </c>
      <c r="AL498" s="2" t="s">
        <v>74</v>
      </c>
      <c r="AM498" s="2" t="s">
        <v>74</v>
      </c>
      <c r="AN498" s="2" t="s">
        <v>74</v>
      </c>
      <c r="AO498" s="2" t="s">
        <v>3030</v>
      </c>
      <c r="AP498" s="2" t="s">
        <v>74</v>
      </c>
      <c r="AQ498" s="2" t="s">
        <v>74</v>
      </c>
      <c r="AR498" s="2" t="s">
        <v>74</v>
      </c>
      <c r="AS498" s="2" t="s">
        <v>74</v>
      </c>
      <c r="AT498" s="2" t="s">
        <v>175</v>
      </c>
      <c r="AU498" s="2">
        <v>2023</v>
      </c>
      <c r="AV498" s="2">
        <v>12</v>
      </c>
      <c r="AW498" s="2">
        <v>10</v>
      </c>
      <c r="AX498" s="2" t="s">
        <v>74</v>
      </c>
      <c r="AY498" s="2" t="s">
        <v>74</v>
      </c>
      <c r="AZ498" s="2" t="s">
        <v>74</v>
      </c>
      <c r="BA498" s="2" t="s">
        <v>74</v>
      </c>
      <c r="BB498" s="2" t="s">
        <v>74</v>
      </c>
      <c r="BC498" s="2" t="s">
        <v>74</v>
      </c>
      <c r="BD498" s="2" t="s">
        <v>3031</v>
      </c>
      <c r="BE498" s="2" t="s">
        <v>3032</v>
      </c>
      <c r="BF498" s="2" t="str">
        <f>HYPERLINK("http://dx.doi.org/10.1242/bio.060114","http://dx.doi.org/10.1242/bio.060114")</f>
        <v>http://dx.doi.org/10.1242/bio.060114</v>
      </c>
      <c r="BG498" s="2" t="s">
        <v>74</v>
      </c>
      <c r="BH498" s="2" t="s">
        <v>74</v>
      </c>
      <c r="BI498" s="2" t="s">
        <v>74</v>
      </c>
      <c r="BJ498" s="2" t="s">
        <v>74</v>
      </c>
      <c r="BK498" s="2" t="s">
        <v>74</v>
      </c>
      <c r="BL498" s="2" t="s">
        <v>74</v>
      </c>
      <c r="BM498" s="2" t="s">
        <v>74</v>
      </c>
      <c r="BN498" s="2">
        <v>37756597</v>
      </c>
      <c r="BO498" s="2" t="s">
        <v>74</v>
      </c>
      <c r="BP498" s="2" t="s">
        <v>74</v>
      </c>
      <c r="BQ498" s="2" t="s">
        <v>74</v>
      </c>
      <c r="BR498" s="2" t="s">
        <v>74</v>
      </c>
      <c r="BS498" s="2" t="s">
        <v>3033</v>
      </c>
      <c r="BT498" s="2" t="str">
        <f>HYPERLINK("https%3A%2F%2Fwww.webofscience.com%2Fwos%2Fwoscc%2Ffull-record%2FWOS:001108722600005","View Full Record in Web of Science")</f>
        <v>View Full Record in Web of Science</v>
      </c>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row>
    <row r="499" spans="1:314" s="2" customFormat="1" x14ac:dyDescent="0.4">
      <c r="A499" s="2" t="s">
        <v>72</v>
      </c>
      <c r="B499" s="2" t="s">
        <v>3946</v>
      </c>
      <c r="C499" s="2" t="s">
        <v>74</v>
      </c>
      <c r="D499" s="2" t="s">
        <v>74</v>
      </c>
      <c r="E499" s="2" t="s">
        <v>74</v>
      </c>
      <c r="F499" s="2" t="s">
        <v>3947</v>
      </c>
      <c r="G499" s="2" t="s">
        <v>74</v>
      </c>
      <c r="H499" s="2" t="s">
        <v>74</v>
      </c>
      <c r="I499" s="2" t="s">
        <v>3948</v>
      </c>
      <c r="J499" s="2" t="s">
        <v>88</v>
      </c>
      <c r="K499" s="2" t="s">
        <v>74</v>
      </c>
      <c r="L499" s="2" t="s">
        <v>74</v>
      </c>
      <c r="M499" s="2" t="s">
        <v>74</v>
      </c>
      <c r="N499" s="2" t="s">
        <v>74</v>
      </c>
      <c r="O499" s="2" t="s">
        <v>74</v>
      </c>
      <c r="P499" s="2" t="s">
        <v>74</v>
      </c>
      <c r="Q499" s="2" t="s">
        <v>74</v>
      </c>
      <c r="R499" s="2" t="s">
        <v>74</v>
      </c>
      <c r="S499" s="2" t="s">
        <v>74</v>
      </c>
      <c r="T499" s="2" t="s">
        <v>74</v>
      </c>
      <c r="U499" s="2" t="s">
        <v>74</v>
      </c>
      <c r="V499" s="5" t="s">
        <v>3949</v>
      </c>
      <c r="W499" s="2" t="s">
        <v>74</v>
      </c>
      <c r="X499" s="2" t="s">
        <v>74</v>
      </c>
      <c r="Y499" s="2" t="s">
        <v>74</v>
      </c>
      <c r="Z499" s="2" t="s">
        <v>74</v>
      </c>
      <c r="AA499" s="2" t="s">
        <v>74</v>
      </c>
      <c r="AB499" s="2" t="s">
        <v>74</v>
      </c>
      <c r="AC499" s="2" t="s">
        <v>74</v>
      </c>
      <c r="AD499" s="2" t="s">
        <v>74</v>
      </c>
      <c r="AE499" s="2" t="s">
        <v>74</v>
      </c>
      <c r="AF499" s="2" t="s">
        <v>74</v>
      </c>
      <c r="AG499" s="2" t="s">
        <v>74</v>
      </c>
      <c r="AH499" s="2" t="s">
        <v>74</v>
      </c>
      <c r="AI499" s="2" t="s">
        <v>74</v>
      </c>
      <c r="AJ499" s="2" t="s">
        <v>74</v>
      </c>
      <c r="AK499" s="2" t="s">
        <v>74</v>
      </c>
      <c r="AL499" s="2" t="s">
        <v>74</v>
      </c>
      <c r="AM499" s="2" t="s">
        <v>74</v>
      </c>
      <c r="AN499" s="2" t="s">
        <v>74</v>
      </c>
      <c r="AO499" s="2" t="s">
        <v>91</v>
      </c>
      <c r="AP499" s="2" t="s">
        <v>92</v>
      </c>
      <c r="AQ499" s="2" t="s">
        <v>74</v>
      </c>
      <c r="AR499" s="2" t="s">
        <v>74</v>
      </c>
      <c r="AS499" s="2" t="s">
        <v>74</v>
      </c>
      <c r="AT499" s="2" t="s">
        <v>3950</v>
      </c>
      <c r="AU499" s="2">
        <v>2006</v>
      </c>
      <c r="AV499" s="2">
        <v>2</v>
      </c>
      <c r="AW499" s="2">
        <v>2</v>
      </c>
      <c r="AX499" s="2" t="s">
        <v>74</v>
      </c>
      <c r="AY499" s="2" t="s">
        <v>74</v>
      </c>
      <c r="AZ499" s="2" t="s">
        <v>74</v>
      </c>
      <c r="BA499" s="2" t="s">
        <v>74</v>
      </c>
      <c r="BB499" s="2">
        <v>177</v>
      </c>
      <c r="BC499" s="2">
        <v>180</v>
      </c>
      <c r="BD499" s="2" t="s">
        <v>74</v>
      </c>
      <c r="BE499" s="2" t="s">
        <v>3951</v>
      </c>
      <c r="BF499" s="2" t="str">
        <f>HYPERLINK("http://dx.doi.org/10.1098/rsbl.2005.0438","http://dx.doi.org/10.1098/rsbl.2005.0438")</f>
        <v>http://dx.doi.org/10.1098/rsbl.2005.0438</v>
      </c>
      <c r="BG499" s="2" t="s">
        <v>74</v>
      </c>
      <c r="BH499" s="2" t="s">
        <v>74</v>
      </c>
      <c r="BI499" s="2" t="s">
        <v>74</v>
      </c>
      <c r="BJ499" s="2" t="s">
        <v>74</v>
      </c>
      <c r="BK499" s="2" t="s">
        <v>74</v>
      </c>
      <c r="BL499" s="2" t="s">
        <v>74</v>
      </c>
      <c r="BM499" s="2" t="s">
        <v>74</v>
      </c>
      <c r="BN499" s="2">
        <v>17148357</v>
      </c>
      <c r="BO499" s="2" t="s">
        <v>74</v>
      </c>
      <c r="BP499" s="2" t="s">
        <v>74</v>
      </c>
      <c r="BQ499" s="2" t="s">
        <v>74</v>
      </c>
      <c r="BR499" s="2" t="s">
        <v>74</v>
      </c>
      <c r="BS499" s="2" t="s">
        <v>3952</v>
      </c>
      <c r="BT499" s="2" t="str">
        <f>HYPERLINK("https%3A%2F%2Fwww.webofscience.com%2Fwos%2Fwoscc%2Ffull-record%2FWOS:000241862500005","View Full Record in Web of Science")</f>
        <v>View Full Record in Web of Science</v>
      </c>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row>
    <row r="500" spans="1:314" s="2" customFormat="1" x14ac:dyDescent="0.4">
      <c r="A500" s="2" t="s">
        <v>72</v>
      </c>
      <c r="B500" s="2" t="s">
        <v>7849</v>
      </c>
      <c r="C500" s="2" t="s">
        <v>74</v>
      </c>
      <c r="D500" s="2" t="s">
        <v>74</v>
      </c>
      <c r="E500" s="2" t="s">
        <v>74</v>
      </c>
      <c r="F500" s="2" t="s">
        <v>7850</v>
      </c>
      <c r="G500" s="2" t="s">
        <v>74</v>
      </c>
      <c r="H500" s="2" t="s">
        <v>74</v>
      </c>
      <c r="I500" s="2" t="s">
        <v>7851</v>
      </c>
      <c r="J500" s="2" t="s">
        <v>218</v>
      </c>
      <c r="K500" s="2" t="s">
        <v>74</v>
      </c>
      <c r="L500" s="2" t="s">
        <v>74</v>
      </c>
      <c r="M500" s="2" t="s">
        <v>74</v>
      </c>
      <c r="N500" s="2" t="s">
        <v>74</v>
      </c>
      <c r="O500" s="2" t="s">
        <v>74</v>
      </c>
      <c r="P500" s="2" t="s">
        <v>74</v>
      </c>
      <c r="Q500" s="2" t="s">
        <v>74</v>
      </c>
      <c r="R500" s="2" t="s">
        <v>74</v>
      </c>
      <c r="S500" s="2" t="s">
        <v>74</v>
      </c>
      <c r="T500" s="2" t="s">
        <v>74</v>
      </c>
      <c r="U500" s="2" t="s">
        <v>74</v>
      </c>
      <c r="V500" s="5" t="s">
        <v>7852</v>
      </c>
      <c r="W500" s="2" t="s">
        <v>74</v>
      </c>
      <c r="X500" s="2" t="s">
        <v>74</v>
      </c>
      <c r="Y500" s="2" t="s">
        <v>74</v>
      </c>
      <c r="Z500" s="2" t="s">
        <v>74</v>
      </c>
      <c r="AA500" s="2" t="s">
        <v>7853</v>
      </c>
      <c r="AB500" s="2" t="s">
        <v>7854</v>
      </c>
      <c r="AC500" s="2" t="s">
        <v>74</v>
      </c>
      <c r="AD500" s="2" t="s">
        <v>74</v>
      </c>
      <c r="AE500" s="2" t="s">
        <v>74</v>
      </c>
      <c r="AF500" s="2" t="s">
        <v>74</v>
      </c>
      <c r="AG500" s="2" t="s">
        <v>74</v>
      </c>
      <c r="AH500" s="2" t="s">
        <v>74</v>
      </c>
      <c r="AI500" s="2" t="s">
        <v>74</v>
      </c>
      <c r="AJ500" s="2" t="s">
        <v>74</v>
      </c>
      <c r="AK500" s="2" t="s">
        <v>74</v>
      </c>
      <c r="AL500" s="2" t="s">
        <v>74</v>
      </c>
      <c r="AM500" s="2" t="s">
        <v>74</v>
      </c>
      <c r="AN500" s="2" t="s">
        <v>74</v>
      </c>
      <c r="AO500" s="2" t="s">
        <v>221</v>
      </c>
      <c r="AP500" s="2" t="s">
        <v>222</v>
      </c>
      <c r="AQ500" s="2" t="s">
        <v>74</v>
      </c>
      <c r="AR500" s="2" t="s">
        <v>74</v>
      </c>
      <c r="AS500" s="2" t="s">
        <v>74</v>
      </c>
      <c r="AT500" s="2" t="s">
        <v>123</v>
      </c>
      <c r="AU500" s="2">
        <v>2023</v>
      </c>
      <c r="AV500" s="2">
        <v>36</v>
      </c>
      <c r="AW500" s="2">
        <v>3</v>
      </c>
      <c r="AX500" s="2" t="s">
        <v>74</v>
      </c>
      <c r="AY500" s="2" t="s">
        <v>74</v>
      </c>
      <c r="AZ500" s="2" t="s">
        <v>74</v>
      </c>
      <c r="BA500" s="2" t="s">
        <v>74</v>
      </c>
      <c r="BB500" s="2">
        <v>563</v>
      </c>
      <c r="BC500" s="2">
        <v>578</v>
      </c>
      <c r="BD500" s="2" t="s">
        <v>74</v>
      </c>
      <c r="BE500" s="2" t="s">
        <v>7855</v>
      </c>
      <c r="BF500" s="2" t="str">
        <f>HYPERLINK("http://dx.doi.org/10.1111/jeb.14151","http://dx.doi.org/10.1111/jeb.14151")</f>
        <v>http://dx.doi.org/10.1111/jeb.14151</v>
      </c>
      <c r="BG500" s="2" t="s">
        <v>74</v>
      </c>
      <c r="BH500" s="2" t="s">
        <v>3048</v>
      </c>
      <c r="BI500" s="2" t="s">
        <v>74</v>
      </c>
      <c r="BJ500" s="2" t="s">
        <v>74</v>
      </c>
      <c r="BK500" s="2" t="s">
        <v>74</v>
      </c>
      <c r="BL500" s="2" t="s">
        <v>74</v>
      </c>
      <c r="BM500" s="2" t="s">
        <v>74</v>
      </c>
      <c r="BN500" s="2">
        <v>36702779</v>
      </c>
      <c r="BO500" s="2" t="s">
        <v>74</v>
      </c>
      <c r="BP500" s="2" t="s">
        <v>74</v>
      </c>
      <c r="BQ500" s="2" t="s">
        <v>74</v>
      </c>
      <c r="BR500" s="2" t="s">
        <v>74</v>
      </c>
      <c r="BS500" s="2" t="s">
        <v>7856</v>
      </c>
      <c r="BT500" s="2" t="str">
        <f>HYPERLINK("https%3A%2F%2Fwww.webofscience.com%2Fwos%2Fwoscc%2Ffull-record%2FWOS:000922981900001","View Full Record in Web of Science")</f>
        <v>View Full Record in Web of Science</v>
      </c>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row>
    <row r="501" spans="1:314" s="2" customFormat="1" x14ac:dyDescent="0.4">
      <c r="A501" s="2" t="s">
        <v>72</v>
      </c>
      <c r="B501" s="2" t="s">
        <v>7529</v>
      </c>
      <c r="C501" s="2" t="s">
        <v>74</v>
      </c>
      <c r="D501" s="2" t="s">
        <v>74</v>
      </c>
      <c r="E501" s="2" t="s">
        <v>74</v>
      </c>
      <c r="F501" s="2" t="s">
        <v>7529</v>
      </c>
      <c r="G501" s="2" t="s">
        <v>74</v>
      </c>
      <c r="H501" s="2" t="s">
        <v>74</v>
      </c>
      <c r="I501" s="2" t="s">
        <v>7530</v>
      </c>
      <c r="J501" s="2" t="s">
        <v>4145</v>
      </c>
      <c r="K501" s="2" t="s">
        <v>74</v>
      </c>
      <c r="L501" s="2" t="s">
        <v>74</v>
      </c>
      <c r="M501" s="2" t="s">
        <v>74</v>
      </c>
      <c r="N501" s="2" t="s">
        <v>74</v>
      </c>
      <c r="O501" s="2" t="s">
        <v>74</v>
      </c>
      <c r="P501" s="2" t="s">
        <v>74</v>
      </c>
      <c r="Q501" s="2" t="s">
        <v>74</v>
      </c>
      <c r="R501" s="2" t="s">
        <v>74</v>
      </c>
      <c r="S501" s="2" t="s">
        <v>74</v>
      </c>
      <c r="T501" s="2" t="s">
        <v>74</v>
      </c>
      <c r="U501" s="2" t="s">
        <v>74</v>
      </c>
      <c r="V501" s="5" t="s">
        <v>7531</v>
      </c>
      <c r="W501" s="2" t="s">
        <v>74</v>
      </c>
      <c r="X501" s="2" t="s">
        <v>74</v>
      </c>
      <c r="Y501" s="2" t="s">
        <v>74</v>
      </c>
      <c r="Z501" s="2" t="s">
        <v>74</v>
      </c>
      <c r="AA501" s="2" t="s">
        <v>7532</v>
      </c>
      <c r="AB501" s="2" t="s">
        <v>7533</v>
      </c>
      <c r="AC501" s="2" t="s">
        <v>74</v>
      </c>
      <c r="AD501" s="2" t="s">
        <v>74</v>
      </c>
      <c r="AE501" s="2" t="s">
        <v>74</v>
      </c>
      <c r="AF501" s="2" t="s">
        <v>74</v>
      </c>
      <c r="AG501" s="2" t="s">
        <v>74</v>
      </c>
      <c r="AH501" s="2" t="s">
        <v>74</v>
      </c>
      <c r="AI501" s="2" t="s">
        <v>74</v>
      </c>
      <c r="AJ501" s="2" t="s">
        <v>74</v>
      </c>
      <c r="AK501" s="2" t="s">
        <v>74</v>
      </c>
      <c r="AL501" s="2" t="s">
        <v>74</v>
      </c>
      <c r="AM501" s="2" t="s">
        <v>74</v>
      </c>
      <c r="AN501" s="2" t="s">
        <v>74</v>
      </c>
      <c r="AO501" s="2" t="s">
        <v>4147</v>
      </c>
      <c r="AP501" s="2" t="s">
        <v>7534</v>
      </c>
      <c r="AQ501" s="2" t="s">
        <v>74</v>
      </c>
      <c r="AR501" s="2" t="s">
        <v>74</v>
      </c>
      <c r="AS501" s="2" t="s">
        <v>74</v>
      </c>
      <c r="AT501" s="2" t="s">
        <v>123</v>
      </c>
      <c r="AU501" s="2">
        <v>2003</v>
      </c>
      <c r="AV501" s="2">
        <v>189</v>
      </c>
      <c r="AW501" s="2">
        <v>3</v>
      </c>
      <c r="AX501" s="2" t="s">
        <v>74</v>
      </c>
      <c r="AY501" s="2" t="s">
        <v>74</v>
      </c>
      <c r="AZ501" s="2" t="s">
        <v>74</v>
      </c>
      <c r="BA501" s="2" t="s">
        <v>74</v>
      </c>
      <c r="BB501" s="2">
        <v>213</v>
      </c>
      <c r="BC501" s="2">
        <v>220</v>
      </c>
      <c r="BD501" s="2" t="s">
        <v>74</v>
      </c>
      <c r="BE501" s="2" t="s">
        <v>7535</v>
      </c>
      <c r="BF501" s="2" t="str">
        <f>HYPERLINK("http://dx.doi.org/10.1007/s00359-003-0392-4","http://dx.doi.org/10.1007/s00359-003-0392-4")</f>
        <v>http://dx.doi.org/10.1007/s00359-003-0392-4</v>
      </c>
      <c r="BG501" s="2" t="s">
        <v>74</v>
      </c>
      <c r="BH501" s="2" t="s">
        <v>74</v>
      </c>
      <c r="BI501" s="2" t="s">
        <v>74</v>
      </c>
      <c r="BJ501" s="2" t="s">
        <v>74</v>
      </c>
      <c r="BK501" s="2" t="s">
        <v>74</v>
      </c>
      <c r="BL501" s="2" t="s">
        <v>74</v>
      </c>
      <c r="BM501" s="2" t="s">
        <v>74</v>
      </c>
      <c r="BN501" s="2">
        <v>12664097</v>
      </c>
      <c r="BO501" s="2" t="s">
        <v>74</v>
      </c>
      <c r="BP501" s="2" t="s">
        <v>74</v>
      </c>
      <c r="BQ501" s="2" t="s">
        <v>74</v>
      </c>
      <c r="BR501" s="2" t="s">
        <v>74</v>
      </c>
      <c r="BS501" s="2" t="s">
        <v>7536</v>
      </c>
      <c r="BT501" s="2" t="str">
        <f>HYPERLINK("https%3A%2F%2Fwww.webofscience.com%2Fwos%2Fwoscc%2Ffull-record%2FWOS:000182652100007","View Full Record in Web of Science")</f>
        <v>View Full Record in Web of Science</v>
      </c>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row>
    <row r="502" spans="1:314" s="2" customFormat="1" x14ac:dyDescent="0.4">
      <c r="A502" s="2" t="s">
        <v>72</v>
      </c>
      <c r="B502" s="2" t="s">
        <v>7018</v>
      </c>
      <c r="C502" s="2" t="s">
        <v>74</v>
      </c>
      <c r="D502" s="2" t="s">
        <v>74</v>
      </c>
      <c r="E502" s="2" t="s">
        <v>74</v>
      </c>
      <c r="F502" s="2" t="s">
        <v>7018</v>
      </c>
      <c r="G502" s="2" t="s">
        <v>74</v>
      </c>
      <c r="H502" s="2" t="s">
        <v>74</v>
      </c>
      <c r="I502" s="2" t="s">
        <v>7019</v>
      </c>
      <c r="J502" s="2" t="s">
        <v>7020</v>
      </c>
      <c r="K502" s="2" t="s">
        <v>74</v>
      </c>
      <c r="L502" s="2" t="s">
        <v>74</v>
      </c>
      <c r="M502" s="2" t="s">
        <v>74</v>
      </c>
      <c r="N502" s="2" t="s">
        <v>74</v>
      </c>
      <c r="O502" s="2" t="s">
        <v>74</v>
      </c>
      <c r="P502" s="2" t="s">
        <v>74</v>
      </c>
      <c r="Q502" s="2" t="s">
        <v>74</v>
      </c>
      <c r="R502" s="2" t="s">
        <v>74</v>
      </c>
      <c r="S502" s="2" t="s">
        <v>74</v>
      </c>
      <c r="T502" s="2" t="s">
        <v>74</v>
      </c>
      <c r="U502" s="2" t="s">
        <v>74</v>
      </c>
      <c r="V502" s="5" t="s">
        <v>7021</v>
      </c>
      <c r="W502" s="2" t="s">
        <v>74</v>
      </c>
      <c r="X502" s="2" t="s">
        <v>74</v>
      </c>
      <c r="Y502" s="2" t="s">
        <v>74</v>
      </c>
      <c r="Z502" s="2" t="s">
        <v>74</v>
      </c>
      <c r="AA502" s="2" t="s">
        <v>74</v>
      </c>
      <c r="AB502" s="2" t="s">
        <v>7022</v>
      </c>
      <c r="AC502" s="2" t="s">
        <v>74</v>
      </c>
      <c r="AD502" s="2" t="s">
        <v>74</v>
      </c>
      <c r="AE502" s="2" t="s">
        <v>74</v>
      </c>
      <c r="AF502" s="2" t="s">
        <v>74</v>
      </c>
      <c r="AG502" s="2" t="s">
        <v>74</v>
      </c>
      <c r="AH502" s="2" t="s">
        <v>74</v>
      </c>
      <c r="AI502" s="2" t="s">
        <v>74</v>
      </c>
      <c r="AJ502" s="2" t="s">
        <v>74</v>
      </c>
      <c r="AK502" s="2" t="s">
        <v>74</v>
      </c>
      <c r="AL502" s="2" t="s">
        <v>74</v>
      </c>
      <c r="AM502" s="2" t="s">
        <v>74</v>
      </c>
      <c r="AN502" s="2" t="s">
        <v>74</v>
      </c>
      <c r="AO502" s="2" t="s">
        <v>7023</v>
      </c>
      <c r="AP502" s="2" t="s">
        <v>74</v>
      </c>
      <c r="AQ502" s="2" t="s">
        <v>74</v>
      </c>
      <c r="AR502" s="2" t="s">
        <v>74</v>
      </c>
      <c r="AS502" s="2" t="s">
        <v>74</v>
      </c>
      <c r="AT502" s="2" t="s">
        <v>175</v>
      </c>
      <c r="AU502" s="2">
        <v>2000</v>
      </c>
      <c r="AV502" s="2">
        <v>73</v>
      </c>
      <c r="AW502" s="2" t="s">
        <v>74</v>
      </c>
      <c r="AX502" s="2">
        <v>8</v>
      </c>
      <c r="AY502" s="2" t="s">
        <v>74</v>
      </c>
      <c r="AZ502" s="2" t="s">
        <v>74</v>
      </c>
      <c r="BA502" s="2" t="s">
        <v>74</v>
      </c>
      <c r="BB502" s="2">
        <v>899</v>
      </c>
      <c r="BC502" s="2">
        <v>912</v>
      </c>
      <c r="BD502" s="2" t="s">
        <v>74</v>
      </c>
      <c r="BE502" s="2" t="s">
        <v>7024</v>
      </c>
      <c r="BF502" s="2" t="str">
        <f>HYPERLINK("http://dx.doi.org/10.1163/156854000504903","http://dx.doi.org/10.1163/156854000504903")</f>
        <v>http://dx.doi.org/10.1163/156854000504903</v>
      </c>
      <c r="BG502" s="2" t="s">
        <v>74</v>
      </c>
      <c r="BH502" s="2" t="s">
        <v>74</v>
      </c>
      <c r="BI502" s="2" t="s">
        <v>74</v>
      </c>
      <c r="BJ502" s="2" t="s">
        <v>74</v>
      </c>
      <c r="BK502" s="2" t="s">
        <v>74</v>
      </c>
      <c r="BL502" s="2" t="s">
        <v>74</v>
      </c>
      <c r="BM502" s="2" t="s">
        <v>74</v>
      </c>
      <c r="BN502" s="2" t="s">
        <v>74</v>
      </c>
      <c r="BO502" s="2" t="s">
        <v>74</v>
      </c>
      <c r="BP502" s="2" t="s">
        <v>74</v>
      </c>
      <c r="BQ502" s="2" t="s">
        <v>74</v>
      </c>
      <c r="BR502" s="2" t="s">
        <v>74</v>
      </c>
      <c r="BS502" s="2" t="s">
        <v>7025</v>
      </c>
      <c r="BT502" s="2" t="str">
        <f>HYPERLINK("https%3A%2F%2Fwww.webofscience.com%2Fwos%2Fwoscc%2Ffull-record%2FWOS:000165977200001","View Full Record in Web of Science")</f>
        <v>View Full Record in Web of Science</v>
      </c>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row>
    <row r="503" spans="1:314" s="2" customFormat="1" x14ac:dyDescent="0.4">
      <c r="A503" s="2" t="s">
        <v>72</v>
      </c>
      <c r="B503" s="2" t="s">
        <v>3350</v>
      </c>
      <c r="C503" s="2" t="s">
        <v>74</v>
      </c>
      <c r="D503" s="2" t="s">
        <v>74</v>
      </c>
      <c r="E503" s="2" t="s">
        <v>74</v>
      </c>
      <c r="F503" s="2" t="s">
        <v>3351</v>
      </c>
      <c r="G503" s="2" t="s">
        <v>74</v>
      </c>
      <c r="H503" s="2" t="s">
        <v>74</v>
      </c>
      <c r="I503" s="2" t="s">
        <v>3352</v>
      </c>
      <c r="J503" s="2" t="s">
        <v>3353</v>
      </c>
      <c r="K503" s="2" t="s">
        <v>74</v>
      </c>
      <c r="L503" s="2" t="s">
        <v>74</v>
      </c>
      <c r="M503" s="2" t="s">
        <v>74</v>
      </c>
      <c r="N503" s="2" t="s">
        <v>74</v>
      </c>
      <c r="O503" s="2" t="s">
        <v>74</v>
      </c>
      <c r="P503" s="2" t="s">
        <v>74</v>
      </c>
      <c r="Q503" s="2" t="s">
        <v>74</v>
      </c>
      <c r="R503" s="2" t="s">
        <v>74</v>
      </c>
      <c r="S503" s="2" t="s">
        <v>74</v>
      </c>
      <c r="T503" s="2" t="s">
        <v>74</v>
      </c>
      <c r="U503" s="2" t="s">
        <v>74</v>
      </c>
      <c r="V503" s="5" t="s">
        <v>3354</v>
      </c>
      <c r="W503" s="2" t="s">
        <v>74</v>
      </c>
      <c r="X503" s="2" t="s">
        <v>74</v>
      </c>
      <c r="Y503" s="2" t="s">
        <v>74</v>
      </c>
      <c r="Z503" s="2" t="s">
        <v>74</v>
      </c>
      <c r="AA503" s="2" t="s">
        <v>3355</v>
      </c>
      <c r="AB503" s="2" t="s">
        <v>3356</v>
      </c>
      <c r="AC503" s="2" t="s">
        <v>74</v>
      </c>
      <c r="AD503" s="2" t="s">
        <v>74</v>
      </c>
      <c r="AE503" s="2" t="s">
        <v>74</v>
      </c>
      <c r="AF503" s="2" t="s">
        <v>74</v>
      </c>
      <c r="AG503" s="2" t="s">
        <v>74</v>
      </c>
      <c r="AH503" s="2" t="s">
        <v>74</v>
      </c>
      <c r="AI503" s="2" t="s">
        <v>74</v>
      </c>
      <c r="AJ503" s="2" t="s">
        <v>74</v>
      </c>
      <c r="AK503" s="2" t="s">
        <v>74</v>
      </c>
      <c r="AL503" s="2" t="s">
        <v>74</v>
      </c>
      <c r="AM503" s="2" t="s">
        <v>74</v>
      </c>
      <c r="AN503" s="2" t="s">
        <v>74</v>
      </c>
      <c r="AO503" s="2" t="s">
        <v>3357</v>
      </c>
      <c r="AP503" s="2" t="s">
        <v>3358</v>
      </c>
      <c r="AQ503" s="2" t="s">
        <v>74</v>
      </c>
      <c r="AR503" s="2" t="s">
        <v>74</v>
      </c>
      <c r="AS503" s="2" t="s">
        <v>74</v>
      </c>
      <c r="AT503" s="2" t="s">
        <v>352</v>
      </c>
      <c r="AU503" s="2">
        <v>2009</v>
      </c>
      <c r="AV503" s="2">
        <v>34</v>
      </c>
      <c r="AW503" s="2">
        <v>6</v>
      </c>
      <c r="AX503" s="2" t="s">
        <v>74</v>
      </c>
      <c r="AY503" s="2" t="s">
        <v>74</v>
      </c>
      <c r="AZ503" s="2" t="s">
        <v>74</v>
      </c>
      <c r="BA503" s="2" t="s">
        <v>74</v>
      </c>
      <c r="BB503" s="2">
        <v>636</v>
      </c>
      <c r="BC503" s="2">
        <v>640</v>
      </c>
      <c r="BD503" s="2" t="s">
        <v>74</v>
      </c>
      <c r="BE503" s="2" t="s">
        <v>3359</v>
      </c>
      <c r="BF503" s="2" t="str">
        <f>HYPERLINK("http://dx.doi.org/10.1111/j.1442-9993.2009.01968.x","http://dx.doi.org/10.1111/j.1442-9993.2009.01968.x")</f>
        <v>http://dx.doi.org/10.1111/j.1442-9993.2009.01968.x</v>
      </c>
      <c r="BG503" s="2" t="s">
        <v>74</v>
      </c>
      <c r="BH503" s="2" t="s">
        <v>74</v>
      </c>
      <c r="BI503" s="2" t="s">
        <v>74</v>
      </c>
      <c r="BJ503" s="2" t="s">
        <v>74</v>
      </c>
      <c r="BK503" s="2" t="s">
        <v>74</v>
      </c>
      <c r="BL503" s="2" t="s">
        <v>74</v>
      </c>
      <c r="BM503" s="2" t="s">
        <v>74</v>
      </c>
      <c r="BN503" s="2" t="s">
        <v>74</v>
      </c>
      <c r="BO503" s="2" t="s">
        <v>74</v>
      </c>
      <c r="BP503" s="2" t="s">
        <v>74</v>
      </c>
      <c r="BQ503" s="2" t="s">
        <v>74</v>
      </c>
      <c r="BR503" s="2" t="s">
        <v>74</v>
      </c>
      <c r="BS503" s="2" t="s">
        <v>3360</v>
      </c>
      <c r="BT503" s="2" t="str">
        <f>HYPERLINK("https%3A%2F%2Fwww.webofscience.com%2Fwos%2Fwoscc%2Ffull-record%2FWOS:000269675600004","View Full Record in Web of Science")</f>
        <v>View Full Record in Web of Science</v>
      </c>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row>
    <row r="504" spans="1:314" s="2" customFormat="1" x14ac:dyDescent="0.4">
      <c r="A504" s="2" t="s">
        <v>72</v>
      </c>
      <c r="B504" s="2" t="s">
        <v>5724</v>
      </c>
      <c r="C504" s="2" t="s">
        <v>74</v>
      </c>
      <c r="D504" s="2" t="s">
        <v>74</v>
      </c>
      <c r="E504" s="2" t="s">
        <v>74</v>
      </c>
      <c r="F504" s="2" t="s">
        <v>5724</v>
      </c>
      <c r="G504" s="2" t="s">
        <v>74</v>
      </c>
      <c r="H504" s="2" t="s">
        <v>74</v>
      </c>
      <c r="I504" s="2" t="s">
        <v>5725</v>
      </c>
      <c r="J504" s="2" t="s">
        <v>1755</v>
      </c>
      <c r="K504" s="2" t="s">
        <v>74</v>
      </c>
      <c r="L504" s="2" t="s">
        <v>74</v>
      </c>
      <c r="M504" s="2" t="s">
        <v>74</v>
      </c>
      <c r="N504" s="2" t="s">
        <v>74</v>
      </c>
      <c r="O504" s="2" t="s">
        <v>74</v>
      </c>
      <c r="P504" s="2" t="s">
        <v>74</v>
      </c>
      <c r="Q504" s="2" t="s">
        <v>74</v>
      </c>
      <c r="R504" s="2" t="s">
        <v>74</v>
      </c>
      <c r="S504" s="2" t="s">
        <v>74</v>
      </c>
      <c r="T504" s="2" t="s">
        <v>74</v>
      </c>
      <c r="U504" s="2" t="s">
        <v>74</v>
      </c>
      <c r="V504" s="5" t="s">
        <v>5726</v>
      </c>
      <c r="W504" s="2" t="s">
        <v>74</v>
      </c>
      <c r="X504" s="2" t="s">
        <v>74</v>
      </c>
      <c r="Y504" s="2" t="s">
        <v>74</v>
      </c>
      <c r="Z504" s="2" t="s">
        <v>74</v>
      </c>
      <c r="AA504" s="2" t="s">
        <v>5727</v>
      </c>
      <c r="AB504" s="2" t="s">
        <v>74</v>
      </c>
      <c r="AC504" s="2" t="s">
        <v>74</v>
      </c>
      <c r="AD504" s="2" t="s">
        <v>74</v>
      </c>
      <c r="AE504" s="2" t="s">
        <v>74</v>
      </c>
      <c r="AF504" s="2" t="s">
        <v>74</v>
      </c>
      <c r="AG504" s="2" t="s">
        <v>74</v>
      </c>
      <c r="AH504" s="2" t="s">
        <v>74</v>
      </c>
      <c r="AI504" s="2" t="s">
        <v>74</v>
      </c>
      <c r="AJ504" s="2" t="s">
        <v>74</v>
      </c>
      <c r="AK504" s="2" t="s">
        <v>74</v>
      </c>
      <c r="AL504" s="2" t="s">
        <v>74</v>
      </c>
      <c r="AM504" s="2" t="s">
        <v>74</v>
      </c>
      <c r="AN504" s="2" t="s">
        <v>74</v>
      </c>
      <c r="AO504" s="2" t="s">
        <v>1759</v>
      </c>
      <c r="AP504" s="2" t="s">
        <v>1760</v>
      </c>
      <c r="AQ504" s="2" t="s">
        <v>74</v>
      </c>
      <c r="AR504" s="2" t="s">
        <v>74</v>
      </c>
      <c r="AS504" s="2" t="s">
        <v>74</v>
      </c>
      <c r="AT504" s="2" t="s">
        <v>352</v>
      </c>
      <c r="AU504" s="2">
        <v>1996</v>
      </c>
      <c r="AV504" s="2">
        <v>9</v>
      </c>
      <c r="AW504" s="2">
        <v>5</v>
      </c>
      <c r="AX504" s="2" t="s">
        <v>74</v>
      </c>
      <c r="AY504" s="2" t="s">
        <v>74</v>
      </c>
      <c r="AZ504" s="2" t="s">
        <v>74</v>
      </c>
      <c r="BA504" s="2" t="s">
        <v>74</v>
      </c>
      <c r="BB504" s="2">
        <v>709</v>
      </c>
      <c r="BC504" s="2">
        <v>717</v>
      </c>
      <c r="BD504" s="2" t="s">
        <v>74</v>
      </c>
      <c r="BE504" s="2" t="s">
        <v>5728</v>
      </c>
      <c r="BF504" s="2" t="str">
        <f>HYPERLINK("http://dx.doi.org/10.1007/BF02213551","http://dx.doi.org/10.1007/BF02213551")</f>
        <v>http://dx.doi.org/10.1007/BF02213551</v>
      </c>
      <c r="BG504" s="2" t="s">
        <v>74</v>
      </c>
      <c r="BH504" s="2" t="s">
        <v>74</v>
      </c>
      <c r="BI504" s="2" t="s">
        <v>74</v>
      </c>
      <c r="BJ504" s="2" t="s">
        <v>74</v>
      </c>
      <c r="BK504" s="2" t="s">
        <v>74</v>
      </c>
      <c r="BL504" s="2" t="s">
        <v>74</v>
      </c>
      <c r="BM504" s="2" t="s">
        <v>74</v>
      </c>
      <c r="BN504" s="2" t="s">
        <v>74</v>
      </c>
      <c r="BO504" s="2" t="s">
        <v>74</v>
      </c>
      <c r="BP504" s="2" t="s">
        <v>74</v>
      </c>
      <c r="BQ504" s="2" t="s">
        <v>74</v>
      </c>
      <c r="BR504" s="2" t="s">
        <v>74</v>
      </c>
      <c r="BS504" s="2" t="s">
        <v>5729</v>
      </c>
      <c r="BT504" s="2" t="str">
        <f>HYPERLINK("https%3A%2F%2Fwww.webofscience.com%2Fwos%2Fwoscc%2Ffull-record%2FWOS:A1996VX87000005","View Full Record in Web of Science")</f>
        <v>View Full Record in Web of Science</v>
      </c>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row>
    <row r="505" spans="1:314" s="2" customFormat="1" x14ac:dyDescent="0.4">
      <c r="A505" s="2" t="s">
        <v>72</v>
      </c>
      <c r="B505" s="2" t="s">
        <v>6204</v>
      </c>
      <c r="C505" s="2" t="s">
        <v>74</v>
      </c>
      <c r="D505" s="2" t="s">
        <v>74</v>
      </c>
      <c r="E505" s="2" t="s">
        <v>74</v>
      </c>
      <c r="F505" s="2" t="s">
        <v>6205</v>
      </c>
      <c r="G505" s="2" t="s">
        <v>74</v>
      </c>
      <c r="H505" s="2" t="s">
        <v>74</v>
      </c>
      <c r="I505" s="2" t="s">
        <v>6206</v>
      </c>
      <c r="J505" s="2" t="s">
        <v>3238</v>
      </c>
      <c r="K505" s="2" t="s">
        <v>74</v>
      </c>
      <c r="L505" s="2" t="s">
        <v>74</v>
      </c>
      <c r="M505" s="2" t="s">
        <v>74</v>
      </c>
      <c r="N505" s="2" t="s">
        <v>74</v>
      </c>
      <c r="O505" s="2" t="s">
        <v>74</v>
      </c>
      <c r="P505" s="2" t="s">
        <v>74</v>
      </c>
      <c r="Q505" s="2" t="s">
        <v>74</v>
      </c>
      <c r="R505" s="2" t="s">
        <v>74</v>
      </c>
      <c r="S505" s="2" t="s">
        <v>74</v>
      </c>
      <c r="T505" s="2" t="s">
        <v>74</v>
      </c>
      <c r="U505" s="2" t="s">
        <v>74</v>
      </c>
      <c r="V505" s="5" t="s">
        <v>6207</v>
      </c>
      <c r="W505" s="2" t="s">
        <v>74</v>
      </c>
      <c r="X505" s="2" t="s">
        <v>74</v>
      </c>
      <c r="Y505" s="2" t="s">
        <v>74</v>
      </c>
      <c r="Z505" s="2" t="s">
        <v>74</v>
      </c>
      <c r="AA505" s="2" t="s">
        <v>74</v>
      </c>
      <c r="AB505" s="2" t="s">
        <v>74</v>
      </c>
      <c r="AC505" s="2" t="s">
        <v>74</v>
      </c>
      <c r="AD505" s="2" t="s">
        <v>74</v>
      </c>
      <c r="AE505" s="2" t="s">
        <v>74</v>
      </c>
      <c r="AF505" s="2" t="s">
        <v>74</v>
      </c>
      <c r="AG505" s="2" t="s">
        <v>74</v>
      </c>
      <c r="AH505" s="2" t="s">
        <v>74</v>
      </c>
      <c r="AI505" s="2" t="s">
        <v>74</v>
      </c>
      <c r="AJ505" s="2" t="s">
        <v>74</v>
      </c>
      <c r="AK505" s="2" t="s">
        <v>74</v>
      </c>
      <c r="AL505" s="2" t="s">
        <v>74</v>
      </c>
      <c r="AM505" s="2" t="s">
        <v>74</v>
      </c>
      <c r="AN505" s="2" t="s">
        <v>74</v>
      </c>
      <c r="AO505" s="2" t="s">
        <v>3240</v>
      </c>
      <c r="AP505" s="2" t="s">
        <v>3241</v>
      </c>
      <c r="AQ505" s="2" t="s">
        <v>74</v>
      </c>
      <c r="AR505" s="2" t="s">
        <v>74</v>
      </c>
      <c r="AS505" s="2" t="s">
        <v>74</v>
      </c>
      <c r="AT505" s="2" t="s">
        <v>255</v>
      </c>
      <c r="AU505" s="2">
        <v>2019</v>
      </c>
      <c r="AV505" s="2">
        <v>112</v>
      </c>
      <c r="AW505" s="2">
        <v>1</v>
      </c>
      <c r="AX505" s="2" t="s">
        <v>74</v>
      </c>
      <c r="AY505" s="2" t="s">
        <v>74</v>
      </c>
      <c r="AZ505" s="2" t="s">
        <v>74</v>
      </c>
      <c r="BA505" s="2" t="s">
        <v>74</v>
      </c>
      <c r="BB505" s="2">
        <v>33</v>
      </c>
      <c r="BC505" s="2">
        <v>43</v>
      </c>
      <c r="BD505" s="2" t="s">
        <v>74</v>
      </c>
      <c r="BE505" s="2" t="s">
        <v>6208</v>
      </c>
      <c r="BF505" s="2" t="str">
        <f>HYPERLINK("http://dx.doi.org/10.1093/aesa/say045","http://dx.doi.org/10.1093/aesa/say045")</f>
        <v>http://dx.doi.org/10.1093/aesa/say045</v>
      </c>
      <c r="BG505" s="2" t="s">
        <v>74</v>
      </c>
      <c r="BH505" s="2" t="s">
        <v>74</v>
      </c>
      <c r="BI505" s="2" t="s">
        <v>74</v>
      </c>
      <c r="BJ505" s="2" t="s">
        <v>74</v>
      </c>
      <c r="BK505" s="2" t="s">
        <v>74</v>
      </c>
      <c r="BL505" s="2" t="s">
        <v>74</v>
      </c>
      <c r="BM505" s="2" t="s">
        <v>74</v>
      </c>
      <c r="BN505" s="2" t="s">
        <v>74</v>
      </c>
      <c r="BO505" s="2" t="s">
        <v>74</v>
      </c>
      <c r="BP505" s="2" t="s">
        <v>74</v>
      </c>
      <c r="BQ505" s="2" t="s">
        <v>74</v>
      </c>
      <c r="BR505" s="2" t="s">
        <v>74</v>
      </c>
      <c r="BS505" s="2" t="s">
        <v>6209</v>
      </c>
      <c r="BT505" s="2" t="str">
        <f>HYPERLINK("https%3A%2F%2Fwww.webofscience.com%2Fwos%2Fwoscc%2Ffull-record%2FWOS:000467951400004","View Full Record in Web of Science")</f>
        <v>View Full Record in Web of Science</v>
      </c>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row>
    <row r="506" spans="1:314" s="2" customFormat="1" x14ac:dyDescent="0.4">
      <c r="A506" s="2" t="s">
        <v>72</v>
      </c>
      <c r="B506" s="2" t="s">
        <v>2752</v>
      </c>
      <c r="C506" s="2" t="s">
        <v>74</v>
      </c>
      <c r="D506" s="2" t="s">
        <v>74</v>
      </c>
      <c r="E506" s="2" t="s">
        <v>74</v>
      </c>
      <c r="F506" s="2" t="s">
        <v>2752</v>
      </c>
      <c r="G506" s="2" t="s">
        <v>74</v>
      </c>
      <c r="H506" s="2" t="s">
        <v>74</v>
      </c>
      <c r="I506" s="2" t="s">
        <v>2753</v>
      </c>
      <c r="J506" s="2" t="s">
        <v>408</v>
      </c>
      <c r="K506" s="2" t="s">
        <v>74</v>
      </c>
      <c r="L506" s="2" t="s">
        <v>74</v>
      </c>
      <c r="M506" s="2" t="s">
        <v>74</v>
      </c>
      <c r="N506" s="2" t="s">
        <v>74</v>
      </c>
      <c r="O506" s="2" t="s">
        <v>74</v>
      </c>
      <c r="P506" s="2" t="s">
        <v>74</v>
      </c>
      <c r="Q506" s="2" t="s">
        <v>74</v>
      </c>
      <c r="R506" s="2" t="s">
        <v>74</v>
      </c>
      <c r="S506" s="2" t="s">
        <v>74</v>
      </c>
      <c r="T506" s="2" t="s">
        <v>74</v>
      </c>
      <c r="U506" s="2" t="s">
        <v>74</v>
      </c>
      <c r="V506" s="5" t="s">
        <v>2754</v>
      </c>
      <c r="W506" s="2" t="s">
        <v>74</v>
      </c>
      <c r="X506" s="2" t="s">
        <v>74</v>
      </c>
      <c r="Y506" s="2" t="s">
        <v>74</v>
      </c>
      <c r="Z506" s="2" t="s">
        <v>74</v>
      </c>
      <c r="AA506" s="2" t="s">
        <v>74</v>
      </c>
      <c r="AB506" s="2" t="s">
        <v>74</v>
      </c>
      <c r="AC506" s="2" t="s">
        <v>74</v>
      </c>
      <c r="AD506" s="2" t="s">
        <v>74</v>
      </c>
      <c r="AE506" s="2" t="s">
        <v>74</v>
      </c>
      <c r="AF506" s="2" t="s">
        <v>74</v>
      </c>
      <c r="AG506" s="2" t="s">
        <v>74</v>
      </c>
      <c r="AH506" s="2" t="s">
        <v>74</v>
      </c>
      <c r="AI506" s="2" t="s">
        <v>74</v>
      </c>
      <c r="AJ506" s="2" t="s">
        <v>74</v>
      </c>
      <c r="AK506" s="2" t="s">
        <v>74</v>
      </c>
      <c r="AL506" s="2" t="s">
        <v>74</v>
      </c>
      <c r="AM506" s="2" t="s">
        <v>74</v>
      </c>
      <c r="AN506" s="2" t="s">
        <v>74</v>
      </c>
      <c r="AO506" s="2" t="s">
        <v>412</v>
      </c>
      <c r="AP506" s="2" t="s">
        <v>413</v>
      </c>
      <c r="AQ506" s="2" t="s">
        <v>74</v>
      </c>
      <c r="AR506" s="2" t="s">
        <v>74</v>
      </c>
      <c r="AS506" s="2" t="s">
        <v>74</v>
      </c>
      <c r="AT506" s="2" t="s">
        <v>305</v>
      </c>
      <c r="AU506" s="2">
        <v>2003</v>
      </c>
      <c r="AV506" s="2">
        <v>80</v>
      </c>
      <c r="AW506" s="2">
        <v>4</v>
      </c>
      <c r="AX506" s="2" t="s">
        <v>74</v>
      </c>
      <c r="AY506" s="2" t="s">
        <v>74</v>
      </c>
      <c r="AZ506" s="2" t="s">
        <v>74</v>
      </c>
      <c r="BA506" s="2" t="s">
        <v>74</v>
      </c>
      <c r="BB506" s="2">
        <v>647</v>
      </c>
      <c r="BC506" s="2">
        <v>658</v>
      </c>
      <c r="BD506" s="2" t="s">
        <v>74</v>
      </c>
      <c r="BE506" s="2" t="s">
        <v>2755</v>
      </c>
      <c r="BF506" s="2" t="str">
        <f>HYPERLINK("http://dx.doi.org/10.1111/j.1095-8312.2003.00264.x","http://dx.doi.org/10.1111/j.1095-8312.2003.00264.x")</f>
        <v>http://dx.doi.org/10.1111/j.1095-8312.2003.00264.x</v>
      </c>
      <c r="BG506" s="2" t="s">
        <v>74</v>
      </c>
      <c r="BH506" s="2" t="s">
        <v>74</v>
      </c>
      <c r="BI506" s="2" t="s">
        <v>74</v>
      </c>
      <c r="BJ506" s="2" t="s">
        <v>74</v>
      </c>
      <c r="BK506" s="2" t="s">
        <v>74</v>
      </c>
      <c r="BL506" s="2" t="s">
        <v>74</v>
      </c>
      <c r="BM506" s="2" t="s">
        <v>74</v>
      </c>
      <c r="BN506" s="2" t="s">
        <v>74</v>
      </c>
      <c r="BO506" s="2" t="s">
        <v>74</v>
      </c>
      <c r="BP506" s="2" t="s">
        <v>74</v>
      </c>
      <c r="BQ506" s="2" t="s">
        <v>74</v>
      </c>
      <c r="BR506" s="2" t="s">
        <v>74</v>
      </c>
      <c r="BS506" s="2" t="s">
        <v>2756</v>
      </c>
      <c r="BT506" s="2" t="str">
        <f>HYPERLINK("https%3A%2F%2Fwww.webofscience.com%2Fwos%2Fwoscc%2Ffull-record%2FWOS:000187247200007","View Full Record in Web of Science")</f>
        <v>View Full Record in Web of Science</v>
      </c>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row>
    <row r="507" spans="1:314" s="2" customFormat="1" x14ac:dyDescent="0.4">
      <c r="A507" s="2" t="s">
        <v>72</v>
      </c>
      <c r="B507" s="2" t="s">
        <v>8254</v>
      </c>
      <c r="C507" s="2" t="s">
        <v>74</v>
      </c>
      <c r="D507" s="2" t="s">
        <v>74</v>
      </c>
      <c r="E507" s="2" t="s">
        <v>74</v>
      </c>
      <c r="F507" s="2" t="s">
        <v>8254</v>
      </c>
      <c r="G507" s="2" t="s">
        <v>74</v>
      </c>
      <c r="H507" s="2" t="s">
        <v>74</v>
      </c>
      <c r="I507" s="2" t="s">
        <v>8255</v>
      </c>
      <c r="J507" s="2" t="s">
        <v>4278</v>
      </c>
      <c r="K507" s="2" t="s">
        <v>74</v>
      </c>
      <c r="L507" s="2" t="s">
        <v>74</v>
      </c>
      <c r="M507" s="2" t="s">
        <v>74</v>
      </c>
      <c r="N507" s="2" t="s">
        <v>74</v>
      </c>
      <c r="O507" s="2" t="s">
        <v>74</v>
      </c>
      <c r="P507" s="2" t="s">
        <v>74</v>
      </c>
      <c r="Q507" s="2" t="s">
        <v>74</v>
      </c>
      <c r="R507" s="2" t="s">
        <v>74</v>
      </c>
      <c r="S507" s="2" t="s">
        <v>74</v>
      </c>
      <c r="T507" s="2" t="s">
        <v>74</v>
      </c>
      <c r="U507" s="2" t="s">
        <v>74</v>
      </c>
      <c r="V507" s="5" t="s">
        <v>8256</v>
      </c>
      <c r="W507" s="2" t="s">
        <v>74</v>
      </c>
      <c r="X507" s="2" t="s">
        <v>74</v>
      </c>
      <c r="Y507" s="2" t="s">
        <v>74</v>
      </c>
      <c r="Z507" s="2" t="s">
        <v>74</v>
      </c>
      <c r="AA507" s="2" t="s">
        <v>74</v>
      </c>
      <c r="AB507" s="2" t="s">
        <v>74</v>
      </c>
      <c r="AC507" s="2" t="s">
        <v>74</v>
      </c>
      <c r="AD507" s="2" t="s">
        <v>74</v>
      </c>
      <c r="AE507" s="2" t="s">
        <v>74</v>
      </c>
      <c r="AF507" s="2" t="s">
        <v>74</v>
      </c>
      <c r="AG507" s="2" t="s">
        <v>74</v>
      </c>
      <c r="AH507" s="2" t="s">
        <v>74</v>
      </c>
      <c r="AI507" s="2" t="s">
        <v>74</v>
      </c>
      <c r="AJ507" s="2" t="s">
        <v>74</v>
      </c>
      <c r="AK507" s="2" t="s">
        <v>74</v>
      </c>
      <c r="AL507" s="2" t="s">
        <v>74</v>
      </c>
      <c r="AM507" s="2" t="s">
        <v>74</v>
      </c>
      <c r="AN507" s="2" t="s">
        <v>74</v>
      </c>
      <c r="AO507" s="2" t="s">
        <v>4282</v>
      </c>
      <c r="AP507" s="2" t="s">
        <v>74</v>
      </c>
      <c r="AQ507" s="2" t="s">
        <v>74</v>
      </c>
      <c r="AR507" s="2" t="s">
        <v>74</v>
      </c>
      <c r="AS507" s="2" t="s">
        <v>74</v>
      </c>
      <c r="AT507" s="2" t="s">
        <v>204</v>
      </c>
      <c r="AU507" s="2">
        <v>1999</v>
      </c>
      <c r="AV507" s="2">
        <v>25</v>
      </c>
      <c r="AW507" s="2">
        <v>7</v>
      </c>
      <c r="AX507" s="2" t="s">
        <v>74</v>
      </c>
      <c r="AY507" s="2" t="s">
        <v>74</v>
      </c>
      <c r="AZ507" s="2" t="s">
        <v>74</v>
      </c>
      <c r="BA507" s="2" t="s">
        <v>74</v>
      </c>
      <c r="BB507" s="2">
        <v>1671</v>
      </c>
      <c r="BC507" s="2">
        <v>1685</v>
      </c>
      <c r="BD507" s="2" t="s">
        <v>74</v>
      </c>
      <c r="BE507" s="2" t="s">
        <v>8257</v>
      </c>
      <c r="BF507" s="2" t="str">
        <f>HYPERLINK("http://dx.doi.org/10.1023/A:1020853303321","http://dx.doi.org/10.1023/A:1020853303321")</f>
        <v>http://dx.doi.org/10.1023/A:1020853303321</v>
      </c>
      <c r="BG507" s="2" t="s">
        <v>74</v>
      </c>
      <c r="BH507" s="2" t="s">
        <v>74</v>
      </c>
      <c r="BI507" s="2" t="s">
        <v>74</v>
      </c>
      <c r="BJ507" s="2" t="s">
        <v>74</v>
      </c>
      <c r="BK507" s="2" t="s">
        <v>74</v>
      </c>
      <c r="BL507" s="2" t="s">
        <v>74</v>
      </c>
      <c r="BM507" s="2" t="s">
        <v>74</v>
      </c>
      <c r="BN507" s="2" t="s">
        <v>74</v>
      </c>
      <c r="BO507" s="2" t="s">
        <v>74</v>
      </c>
      <c r="BP507" s="2" t="s">
        <v>74</v>
      </c>
      <c r="BQ507" s="2" t="s">
        <v>74</v>
      </c>
      <c r="BR507" s="2" t="s">
        <v>74</v>
      </c>
      <c r="BS507" s="2" t="s">
        <v>8258</v>
      </c>
      <c r="BT507" s="2" t="str">
        <f>HYPERLINK("https%3A%2F%2Fwww.webofscience.com%2Fwos%2Fwoscc%2Ffull-record%2FWOS:000081611500016","View Full Record in Web of Science")</f>
        <v>View Full Record in Web of Science</v>
      </c>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row>
    <row r="508" spans="1:314" s="2" customFormat="1" x14ac:dyDescent="0.4">
      <c r="A508" s="2" t="s">
        <v>72</v>
      </c>
      <c r="B508" s="2" t="s">
        <v>2150</v>
      </c>
      <c r="C508" s="2" t="s">
        <v>74</v>
      </c>
      <c r="D508" s="2" t="s">
        <v>74</v>
      </c>
      <c r="E508" s="2" t="s">
        <v>74</v>
      </c>
      <c r="F508" s="2" t="s">
        <v>2150</v>
      </c>
      <c r="G508" s="2" t="s">
        <v>74</v>
      </c>
      <c r="H508" s="2" t="s">
        <v>74</v>
      </c>
      <c r="I508" s="2" t="s">
        <v>2151</v>
      </c>
      <c r="J508" s="2" t="s">
        <v>2152</v>
      </c>
      <c r="K508" s="2" t="s">
        <v>74</v>
      </c>
      <c r="L508" s="2" t="s">
        <v>74</v>
      </c>
      <c r="M508" s="2" t="s">
        <v>74</v>
      </c>
      <c r="N508" s="2" t="s">
        <v>74</v>
      </c>
      <c r="O508" s="2" t="s">
        <v>74</v>
      </c>
      <c r="P508" s="2" t="s">
        <v>74</v>
      </c>
      <c r="Q508" s="2" t="s">
        <v>74</v>
      </c>
      <c r="R508" s="2" t="s">
        <v>74</v>
      </c>
      <c r="S508" s="2" t="s">
        <v>74</v>
      </c>
      <c r="T508" s="2" t="s">
        <v>74</v>
      </c>
      <c r="U508" s="2" t="s">
        <v>74</v>
      </c>
      <c r="V508" s="5" t="s">
        <v>74</v>
      </c>
      <c r="W508" s="2" t="s">
        <v>74</v>
      </c>
      <c r="X508" s="2" t="s">
        <v>74</v>
      </c>
      <c r="Y508" s="2" t="s">
        <v>74</v>
      </c>
      <c r="Z508" s="2" t="s">
        <v>74</v>
      </c>
      <c r="AA508" s="2" t="s">
        <v>74</v>
      </c>
      <c r="AB508" s="2" t="s">
        <v>74</v>
      </c>
      <c r="AC508" s="2" t="s">
        <v>74</v>
      </c>
      <c r="AD508" s="2" t="s">
        <v>74</v>
      </c>
      <c r="AE508" s="2" t="s">
        <v>74</v>
      </c>
      <c r="AF508" s="2" t="s">
        <v>74</v>
      </c>
      <c r="AG508" s="2" t="s">
        <v>74</v>
      </c>
      <c r="AH508" s="2" t="s">
        <v>74</v>
      </c>
      <c r="AI508" s="2" t="s">
        <v>74</v>
      </c>
      <c r="AJ508" s="2" t="s">
        <v>74</v>
      </c>
      <c r="AK508" s="2" t="s">
        <v>74</v>
      </c>
      <c r="AL508" s="2" t="s">
        <v>74</v>
      </c>
      <c r="AM508" s="2" t="s">
        <v>74</v>
      </c>
      <c r="AN508" s="2" t="s">
        <v>74</v>
      </c>
      <c r="AO508" s="2" t="s">
        <v>2153</v>
      </c>
      <c r="AP508" s="2" t="s">
        <v>74</v>
      </c>
      <c r="AQ508" s="2" t="s">
        <v>74</v>
      </c>
      <c r="AR508" s="2" t="s">
        <v>74</v>
      </c>
      <c r="AS508" s="2" t="s">
        <v>74</v>
      </c>
      <c r="AT508" s="2" t="s">
        <v>74</v>
      </c>
      <c r="AU508" s="2">
        <v>1981</v>
      </c>
      <c r="AV508" s="2">
        <v>30</v>
      </c>
      <c r="AW508" s="2" t="s">
        <v>548</v>
      </c>
      <c r="AX508" s="2" t="s">
        <v>74</v>
      </c>
      <c r="AY508" s="2" t="s">
        <v>74</v>
      </c>
      <c r="AZ508" s="2" t="s">
        <v>74</v>
      </c>
      <c r="BA508" s="2" t="s">
        <v>74</v>
      </c>
      <c r="BB508" s="2">
        <v>88</v>
      </c>
      <c r="BC508" s="2">
        <v>91</v>
      </c>
      <c r="BD508" s="2" t="s">
        <v>74</v>
      </c>
      <c r="BE508" s="2" t="s">
        <v>74</v>
      </c>
      <c r="BF508" s="2" t="s">
        <v>74</v>
      </c>
      <c r="BG508" s="2" t="s">
        <v>74</v>
      </c>
      <c r="BH508" s="2" t="s">
        <v>74</v>
      </c>
      <c r="BI508" s="2" t="s">
        <v>74</v>
      </c>
      <c r="BJ508" s="2" t="s">
        <v>74</v>
      </c>
      <c r="BK508" s="2" t="s">
        <v>74</v>
      </c>
      <c r="BL508" s="2" t="s">
        <v>74</v>
      </c>
      <c r="BM508" s="2" t="s">
        <v>74</v>
      </c>
      <c r="BN508" s="2" t="s">
        <v>74</v>
      </c>
      <c r="BO508" s="2" t="s">
        <v>74</v>
      </c>
      <c r="BP508" s="2" t="s">
        <v>74</v>
      </c>
      <c r="BQ508" s="2" t="s">
        <v>74</v>
      </c>
      <c r="BR508" s="2" t="s">
        <v>74</v>
      </c>
      <c r="BS508" s="2" t="s">
        <v>2154</v>
      </c>
      <c r="BT508" s="2" t="str">
        <f>HYPERLINK("https%3A%2F%2Fwww.webofscience.com%2Fwos%2Fwoscc%2Ffull-record%2FWOS:A1981MW98300007","View Full Record in Web of Science")</f>
        <v>View Full Record in Web of Science</v>
      </c>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row>
    <row r="509" spans="1:314" s="2" customFormat="1" x14ac:dyDescent="0.4">
      <c r="A509" s="2" t="s">
        <v>72</v>
      </c>
      <c r="B509" s="2" t="s">
        <v>5192</v>
      </c>
      <c r="C509" s="2" t="s">
        <v>74</v>
      </c>
      <c r="D509" s="2" t="s">
        <v>74</v>
      </c>
      <c r="E509" s="2" t="s">
        <v>74</v>
      </c>
      <c r="F509" s="2" t="s">
        <v>5192</v>
      </c>
      <c r="G509" s="2" t="s">
        <v>74</v>
      </c>
      <c r="H509" s="2" t="s">
        <v>74</v>
      </c>
      <c r="I509" s="2" t="s">
        <v>5193</v>
      </c>
      <c r="J509" s="2" t="s">
        <v>5194</v>
      </c>
      <c r="K509" s="2" t="s">
        <v>74</v>
      </c>
      <c r="L509" s="2" t="s">
        <v>74</v>
      </c>
      <c r="M509" s="2" t="s">
        <v>74</v>
      </c>
      <c r="N509" s="2" t="s">
        <v>74</v>
      </c>
      <c r="O509" s="2" t="s">
        <v>74</v>
      </c>
      <c r="P509" s="2" t="s">
        <v>74</v>
      </c>
      <c r="Q509" s="2" t="s">
        <v>74</v>
      </c>
      <c r="R509" s="2" t="s">
        <v>74</v>
      </c>
      <c r="S509" s="2" t="s">
        <v>74</v>
      </c>
      <c r="T509" s="2" t="s">
        <v>74</v>
      </c>
      <c r="U509" s="2" t="s">
        <v>74</v>
      </c>
      <c r="V509" s="5" t="s">
        <v>5195</v>
      </c>
      <c r="W509" s="2" t="s">
        <v>74</v>
      </c>
      <c r="X509" s="2" t="s">
        <v>74</v>
      </c>
      <c r="Y509" s="2" t="s">
        <v>74</v>
      </c>
      <c r="Z509" s="2" t="s">
        <v>74</v>
      </c>
      <c r="AA509" s="2" t="s">
        <v>5196</v>
      </c>
      <c r="AB509" s="2" t="s">
        <v>5197</v>
      </c>
      <c r="AC509" s="2" t="s">
        <v>74</v>
      </c>
      <c r="AD509" s="2" t="s">
        <v>74</v>
      </c>
      <c r="AE509" s="2" t="s">
        <v>74</v>
      </c>
      <c r="AF509" s="2" t="s">
        <v>74</v>
      </c>
      <c r="AG509" s="2" t="s">
        <v>74</v>
      </c>
      <c r="AH509" s="2" t="s">
        <v>74</v>
      </c>
      <c r="AI509" s="2" t="s">
        <v>74</v>
      </c>
      <c r="AJ509" s="2" t="s">
        <v>74</v>
      </c>
      <c r="AK509" s="2" t="s">
        <v>74</v>
      </c>
      <c r="AL509" s="2" t="s">
        <v>74</v>
      </c>
      <c r="AM509" s="2" t="s">
        <v>74</v>
      </c>
      <c r="AN509" s="2" t="s">
        <v>74</v>
      </c>
      <c r="AO509" s="2" t="s">
        <v>5198</v>
      </c>
      <c r="AP509" s="2" t="s">
        <v>5199</v>
      </c>
      <c r="AQ509" s="2" t="s">
        <v>74</v>
      </c>
      <c r="AR509" s="2" t="s">
        <v>74</v>
      </c>
      <c r="AS509" s="2" t="s">
        <v>74</v>
      </c>
      <c r="AT509" s="2" t="s">
        <v>74</v>
      </c>
      <c r="AU509" s="2">
        <v>1985</v>
      </c>
      <c r="AV509" s="2">
        <v>20</v>
      </c>
      <c r="AW509" s="2">
        <v>3</v>
      </c>
      <c r="AX509" s="2" t="s">
        <v>74</v>
      </c>
      <c r="AY509" s="2" t="s">
        <v>74</v>
      </c>
      <c r="AZ509" s="2" t="s">
        <v>74</v>
      </c>
      <c r="BA509" s="2" t="s">
        <v>74</v>
      </c>
      <c r="BB509" s="2">
        <v>167</v>
      </c>
      <c r="BC509" s="2">
        <v>173</v>
      </c>
      <c r="BD509" s="2" t="s">
        <v>74</v>
      </c>
      <c r="BE509" s="2" t="s">
        <v>5200</v>
      </c>
      <c r="BF509" s="2" t="str">
        <f>HYPERLINK("http://dx.doi.org/10.1080/01650528509360685","http://dx.doi.org/10.1080/01650528509360685")</f>
        <v>http://dx.doi.org/10.1080/01650528509360685</v>
      </c>
      <c r="BG509" s="2" t="s">
        <v>74</v>
      </c>
      <c r="BH509" s="2" t="s">
        <v>74</v>
      </c>
      <c r="BI509" s="2" t="s">
        <v>74</v>
      </c>
      <c r="BJ509" s="2" t="s">
        <v>74</v>
      </c>
      <c r="BK509" s="2" t="s">
        <v>74</v>
      </c>
      <c r="BL509" s="2" t="s">
        <v>74</v>
      </c>
      <c r="BM509" s="2" t="s">
        <v>74</v>
      </c>
      <c r="BN509" s="2" t="s">
        <v>74</v>
      </c>
      <c r="BO509" s="2" t="s">
        <v>74</v>
      </c>
      <c r="BP509" s="2" t="s">
        <v>74</v>
      </c>
      <c r="BQ509" s="2" t="s">
        <v>74</v>
      </c>
      <c r="BR509" s="2" t="s">
        <v>74</v>
      </c>
      <c r="BS509" s="2" t="s">
        <v>5201</v>
      </c>
      <c r="BT509" s="2" t="str">
        <f>HYPERLINK("https%3A%2F%2Fwww.webofscience.com%2Fwos%2Fwoscc%2Ffull-record%2FWOS:A1985C168200004","View Full Record in Web of Science")</f>
        <v>View Full Record in Web of Science</v>
      </c>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row>
    <row r="510" spans="1:314" s="2" customFormat="1" x14ac:dyDescent="0.4">
      <c r="A510" s="2" t="s">
        <v>72</v>
      </c>
      <c r="B510" s="2" t="s">
        <v>8692</v>
      </c>
      <c r="C510" s="2" t="s">
        <v>74</v>
      </c>
      <c r="D510" s="2" t="s">
        <v>74</v>
      </c>
      <c r="E510" s="2" t="s">
        <v>74</v>
      </c>
      <c r="F510" s="2" t="s">
        <v>8693</v>
      </c>
      <c r="G510" s="2" t="s">
        <v>74</v>
      </c>
      <c r="H510" s="2" t="s">
        <v>74</v>
      </c>
      <c r="I510" s="2" t="s">
        <v>8694</v>
      </c>
      <c r="J510" s="2" t="s">
        <v>1656</v>
      </c>
      <c r="K510" s="2" t="s">
        <v>74</v>
      </c>
      <c r="L510" s="2" t="s">
        <v>74</v>
      </c>
      <c r="M510" s="2" t="s">
        <v>74</v>
      </c>
      <c r="N510" s="2" t="s">
        <v>74</v>
      </c>
      <c r="O510" s="2" t="s">
        <v>74</v>
      </c>
      <c r="P510" s="2" t="s">
        <v>74</v>
      </c>
      <c r="Q510" s="2" t="s">
        <v>74</v>
      </c>
      <c r="R510" s="2" t="s">
        <v>74</v>
      </c>
      <c r="S510" s="2" t="s">
        <v>74</v>
      </c>
      <c r="T510" s="2" t="s">
        <v>74</v>
      </c>
      <c r="U510" s="2" t="s">
        <v>74</v>
      </c>
      <c r="V510" s="5" t="s">
        <v>8695</v>
      </c>
      <c r="W510" s="2" t="s">
        <v>74</v>
      </c>
      <c r="X510" s="2" t="s">
        <v>74</v>
      </c>
      <c r="Y510" s="2" t="s">
        <v>74</v>
      </c>
      <c r="Z510" s="2" t="s">
        <v>74</v>
      </c>
      <c r="AA510" s="2" t="s">
        <v>8696</v>
      </c>
      <c r="AB510" s="2" t="s">
        <v>8697</v>
      </c>
      <c r="AC510" s="2" t="s">
        <v>74</v>
      </c>
      <c r="AD510" s="2" t="s">
        <v>74</v>
      </c>
      <c r="AE510" s="2" t="s">
        <v>74</v>
      </c>
      <c r="AF510" s="2" t="s">
        <v>74</v>
      </c>
      <c r="AG510" s="2" t="s">
        <v>74</v>
      </c>
      <c r="AH510" s="2" t="s">
        <v>74</v>
      </c>
      <c r="AI510" s="2" t="s">
        <v>74</v>
      </c>
      <c r="AJ510" s="2" t="s">
        <v>74</v>
      </c>
      <c r="AK510" s="2" t="s">
        <v>74</v>
      </c>
      <c r="AL510" s="2" t="s">
        <v>74</v>
      </c>
      <c r="AM510" s="2" t="s">
        <v>74</v>
      </c>
      <c r="AN510" s="2" t="s">
        <v>74</v>
      </c>
      <c r="AO510" s="2" t="s">
        <v>1658</v>
      </c>
      <c r="AP510" s="2" t="s">
        <v>1659</v>
      </c>
      <c r="AQ510" s="2" t="s">
        <v>74</v>
      </c>
      <c r="AR510" s="2" t="s">
        <v>74</v>
      </c>
      <c r="AS510" s="2" t="s">
        <v>74</v>
      </c>
      <c r="AT510" s="2" t="s">
        <v>4744</v>
      </c>
      <c r="AU510" s="2">
        <v>2016</v>
      </c>
      <c r="AV510" s="2">
        <v>4159</v>
      </c>
      <c r="AW510" s="2">
        <v>1</v>
      </c>
      <c r="AX510" s="2" t="s">
        <v>74</v>
      </c>
      <c r="AY510" s="2" t="s">
        <v>74</v>
      </c>
      <c r="AZ510" s="2" t="s">
        <v>74</v>
      </c>
      <c r="BA510" s="2" t="s">
        <v>74</v>
      </c>
      <c r="BB510" s="2">
        <v>1</v>
      </c>
      <c r="BC510" s="2">
        <v>219</v>
      </c>
      <c r="BD510" s="2" t="s">
        <v>74</v>
      </c>
      <c r="BE510" s="2" t="s">
        <v>8698</v>
      </c>
      <c r="BF510" s="2" t="str">
        <f>HYPERLINK("http://dx.doi.org/10.11646/zootaxa.4159.1.1","http://dx.doi.org/10.11646/zootaxa.4159.1.1")</f>
        <v>http://dx.doi.org/10.11646/zootaxa.4159.1.1</v>
      </c>
      <c r="BG510" s="2" t="s">
        <v>74</v>
      </c>
      <c r="BH510" s="2" t="s">
        <v>74</v>
      </c>
      <c r="BI510" s="2" t="s">
        <v>74</v>
      </c>
      <c r="BJ510" s="2" t="s">
        <v>74</v>
      </c>
      <c r="BK510" s="2" t="s">
        <v>74</v>
      </c>
      <c r="BL510" s="2" t="s">
        <v>74</v>
      </c>
      <c r="BM510" s="2" t="s">
        <v>74</v>
      </c>
      <c r="BN510" s="2">
        <v>27615907</v>
      </c>
      <c r="BO510" s="2" t="s">
        <v>74</v>
      </c>
      <c r="BP510" s="2" t="s">
        <v>74</v>
      </c>
      <c r="BQ510" s="2" t="s">
        <v>74</v>
      </c>
      <c r="BR510" s="2" t="s">
        <v>74</v>
      </c>
      <c r="BS510" s="2" t="s">
        <v>8699</v>
      </c>
      <c r="BT510" s="2" t="str">
        <f>HYPERLINK("https%3A%2F%2Fwww.webofscience.com%2Fwos%2Fwoscc%2Ffull-record%2FWOS:000382724900001","View Full Record in Web of Science")</f>
        <v>View Full Record in Web of Science</v>
      </c>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row>
    <row r="511" spans="1:314" s="2" customFormat="1" x14ac:dyDescent="0.4">
      <c r="A511" s="2" t="s">
        <v>72</v>
      </c>
      <c r="B511" s="2" t="s">
        <v>7169</v>
      </c>
      <c r="C511" s="2" t="s">
        <v>74</v>
      </c>
      <c r="D511" s="2" t="s">
        <v>74</v>
      </c>
      <c r="E511" s="2" t="s">
        <v>74</v>
      </c>
      <c r="F511" s="2" t="s">
        <v>7169</v>
      </c>
      <c r="G511" s="2" t="s">
        <v>74</v>
      </c>
      <c r="H511" s="2" t="s">
        <v>74</v>
      </c>
      <c r="I511" s="2" t="s">
        <v>7170</v>
      </c>
      <c r="J511" s="2" t="s">
        <v>3238</v>
      </c>
      <c r="K511" s="2" t="s">
        <v>74</v>
      </c>
      <c r="L511" s="2" t="s">
        <v>74</v>
      </c>
      <c r="M511" s="2" t="s">
        <v>74</v>
      </c>
      <c r="N511" s="2" t="s">
        <v>74</v>
      </c>
      <c r="O511" s="2" t="s">
        <v>74</v>
      </c>
      <c r="P511" s="2" t="s">
        <v>74</v>
      </c>
      <c r="Q511" s="2" t="s">
        <v>74</v>
      </c>
      <c r="R511" s="2" t="s">
        <v>74</v>
      </c>
      <c r="S511" s="2" t="s">
        <v>74</v>
      </c>
      <c r="T511" s="2" t="s">
        <v>74</v>
      </c>
      <c r="U511" s="2" t="s">
        <v>74</v>
      </c>
      <c r="V511" s="5" t="s">
        <v>7171</v>
      </c>
      <c r="W511" s="2" t="s">
        <v>74</v>
      </c>
      <c r="X511" s="2" t="s">
        <v>74</v>
      </c>
      <c r="Y511" s="2" t="s">
        <v>74</v>
      </c>
      <c r="Z511" s="2" t="s">
        <v>74</v>
      </c>
      <c r="AA511" s="2" t="s">
        <v>74</v>
      </c>
      <c r="AB511" s="2" t="s">
        <v>7172</v>
      </c>
      <c r="AC511" s="2" t="s">
        <v>74</v>
      </c>
      <c r="AD511" s="2" t="s">
        <v>74</v>
      </c>
      <c r="AE511" s="2" t="s">
        <v>74</v>
      </c>
      <c r="AF511" s="2" t="s">
        <v>74</v>
      </c>
      <c r="AG511" s="2" t="s">
        <v>74</v>
      </c>
      <c r="AH511" s="2" t="s">
        <v>74</v>
      </c>
      <c r="AI511" s="2" t="s">
        <v>74</v>
      </c>
      <c r="AJ511" s="2" t="s">
        <v>74</v>
      </c>
      <c r="AK511" s="2" t="s">
        <v>74</v>
      </c>
      <c r="AL511" s="2" t="s">
        <v>74</v>
      </c>
      <c r="AM511" s="2" t="s">
        <v>74</v>
      </c>
      <c r="AN511" s="2" t="s">
        <v>74</v>
      </c>
      <c r="AO511" s="2" t="s">
        <v>3240</v>
      </c>
      <c r="AP511" s="2" t="s">
        <v>74</v>
      </c>
      <c r="AQ511" s="2" t="s">
        <v>74</v>
      </c>
      <c r="AR511" s="2" t="s">
        <v>74</v>
      </c>
      <c r="AS511" s="2" t="s">
        <v>74</v>
      </c>
      <c r="AT511" s="2" t="s">
        <v>123</v>
      </c>
      <c r="AU511" s="2">
        <v>2002</v>
      </c>
      <c r="AV511" s="2">
        <v>95</v>
      </c>
      <c r="AW511" s="2">
        <v>2</v>
      </c>
      <c r="AX511" s="2" t="s">
        <v>74</v>
      </c>
      <c r="AY511" s="2" t="s">
        <v>74</v>
      </c>
      <c r="AZ511" s="2" t="s">
        <v>74</v>
      </c>
      <c r="BA511" s="2" t="s">
        <v>74</v>
      </c>
      <c r="BB511" s="2">
        <v>172</v>
      </c>
      <c r="BC511" s="2">
        <v>191</v>
      </c>
      <c r="BD511" s="2" t="s">
        <v>74</v>
      </c>
      <c r="BE511" s="2" t="s">
        <v>7173</v>
      </c>
      <c r="BF511" s="2" t="str">
        <f>HYPERLINK("http://dx.doi.org/10.1603/0013-8746(2002)095[0172:DTTCCI]2.0.CO;2","http://dx.doi.org/10.1603/0013-8746(2002)095[0172:DTTCCI]2.0.CO;2")</f>
        <v>http://dx.doi.org/10.1603/0013-8746(2002)095[0172:DTTCCI]2.0.CO;2</v>
      </c>
      <c r="BG511" s="2" t="s">
        <v>74</v>
      </c>
      <c r="BH511" s="2" t="s">
        <v>74</v>
      </c>
      <c r="BI511" s="2" t="s">
        <v>74</v>
      </c>
      <c r="BJ511" s="2" t="s">
        <v>74</v>
      </c>
      <c r="BK511" s="2" t="s">
        <v>74</v>
      </c>
      <c r="BL511" s="2" t="s">
        <v>74</v>
      </c>
      <c r="BM511" s="2" t="s">
        <v>74</v>
      </c>
      <c r="BN511" s="2" t="s">
        <v>74</v>
      </c>
      <c r="BO511" s="2" t="s">
        <v>74</v>
      </c>
      <c r="BP511" s="2" t="s">
        <v>74</v>
      </c>
      <c r="BQ511" s="2" t="s">
        <v>74</v>
      </c>
      <c r="BR511" s="2" t="s">
        <v>74</v>
      </c>
      <c r="BS511" s="2" t="s">
        <v>7174</v>
      </c>
      <c r="BT511" s="2" t="str">
        <f>HYPERLINK("https%3A%2F%2Fwww.webofscience.com%2Fwos%2Fwoscc%2Ffull-record%2FWOS:000178373100006","View Full Record in Web of Science")</f>
        <v>View Full Record in Web of Science</v>
      </c>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row>
    <row r="512" spans="1:314" s="2" customFormat="1" x14ac:dyDescent="0.4">
      <c r="A512" s="2" t="s">
        <v>72</v>
      </c>
      <c r="B512" s="2" t="s">
        <v>8504</v>
      </c>
      <c r="C512" s="2" t="s">
        <v>74</v>
      </c>
      <c r="D512" s="2" t="s">
        <v>74</v>
      </c>
      <c r="E512" s="2" t="s">
        <v>74</v>
      </c>
      <c r="F512" s="2" t="s">
        <v>8505</v>
      </c>
      <c r="G512" s="2" t="s">
        <v>74</v>
      </c>
      <c r="H512" s="2" t="s">
        <v>74</v>
      </c>
      <c r="I512" s="2" t="s">
        <v>8506</v>
      </c>
      <c r="J512" s="2" t="s">
        <v>2847</v>
      </c>
      <c r="K512" s="2" t="s">
        <v>74</v>
      </c>
      <c r="L512" s="2" t="s">
        <v>74</v>
      </c>
      <c r="M512" s="2" t="s">
        <v>74</v>
      </c>
      <c r="N512" s="2" t="s">
        <v>74</v>
      </c>
      <c r="O512" s="2" t="s">
        <v>74</v>
      </c>
      <c r="P512" s="2" t="s">
        <v>74</v>
      </c>
      <c r="Q512" s="2" t="s">
        <v>74</v>
      </c>
      <c r="R512" s="2" t="s">
        <v>74</v>
      </c>
      <c r="S512" s="2" t="s">
        <v>74</v>
      </c>
      <c r="T512" s="2" t="s">
        <v>74</v>
      </c>
      <c r="U512" s="2" t="s">
        <v>74</v>
      </c>
      <c r="V512" s="5" t="s">
        <v>8507</v>
      </c>
      <c r="W512" s="2" t="s">
        <v>74</v>
      </c>
      <c r="X512" s="2" t="s">
        <v>74</v>
      </c>
      <c r="Y512" s="2" t="s">
        <v>74</v>
      </c>
      <c r="Z512" s="2" t="s">
        <v>74</v>
      </c>
      <c r="AA512" s="2" t="s">
        <v>8508</v>
      </c>
      <c r="AB512" s="2" t="s">
        <v>8509</v>
      </c>
      <c r="AC512" s="2" t="s">
        <v>74</v>
      </c>
      <c r="AD512" s="2" t="s">
        <v>74</v>
      </c>
      <c r="AE512" s="2" t="s">
        <v>74</v>
      </c>
      <c r="AF512" s="2" t="s">
        <v>74</v>
      </c>
      <c r="AG512" s="2" t="s">
        <v>74</v>
      </c>
      <c r="AH512" s="2" t="s">
        <v>74</v>
      </c>
      <c r="AI512" s="2" t="s">
        <v>74</v>
      </c>
      <c r="AJ512" s="2" t="s">
        <v>74</v>
      </c>
      <c r="AK512" s="2" t="s">
        <v>74</v>
      </c>
      <c r="AL512" s="2" t="s">
        <v>74</v>
      </c>
      <c r="AM512" s="2" t="s">
        <v>74</v>
      </c>
      <c r="AN512" s="2" t="s">
        <v>74</v>
      </c>
      <c r="AO512" s="2" t="s">
        <v>2849</v>
      </c>
      <c r="AP512" s="2" t="s">
        <v>2850</v>
      </c>
      <c r="AQ512" s="2" t="s">
        <v>74</v>
      </c>
      <c r="AR512" s="2" t="s">
        <v>74</v>
      </c>
      <c r="AS512" s="2" t="s">
        <v>74</v>
      </c>
      <c r="AT512" s="2" t="s">
        <v>4744</v>
      </c>
      <c r="AU512" s="2">
        <v>2012</v>
      </c>
      <c r="AV512" s="2">
        <v>426</v>
      </c>
      <c r="AW512" s="2" t="s">
        <v>74</v>
      </c>
      <c r="AX512" s="2" t="s">
        <v>74</v>
      </c>
      <c r="AY512" s="2" t="s">
        <v>74</v>
      </c>
      <c r="AZ512" s="2" t="s">
        <v>74</v>
      </c>
      <c r="BA512" s="2" t="s">
        <v>74</v>
      </c>
      <c r="BB512" s="2">
        <v>1</v>
      </c>
      <c r="BC512" s="2">
        <v>4</v>
      </c>
      <c r="BD512" s="2" t="s">
        <v>74</v>
      </c>
      <c r="BE512" s="2" t="s">
        <v>8510</v>
      </c>
      <c r="BF512" s="2" t="str">
        <f>HYPERLINK("http://dx.doi.org/10.1016/j.jembe.2012.05.011","http://dx.doi.org/10.1016/j.jembe.2012.05.011")</f>
        <v>http://dx.doi.org/10.1016/j.jembe.2012.05.011</v>
      </c>
      <c r="BG512" s="2" t="s">
        <v>74</v>
      </c>
      <c r="BH512" s="2" t="s">
        <v>74</v>
      </c>
      <c r="BI512" s="2" t="s">
        <v>74</v>
      </c>
      <c r="BJ512" s="2" t="s">
        <v>74</v>
      </c>
      <c r="BK512" s="2" t="s">
        <v>74</v>
      </c>
      <c r="BL512" s="2" t="s">
        <v>74</v>
      </c>
      <c r="BM512" s="2" t="s">
        <v>74</v>
      </c>
      <c r="BN512" s="2" t="s">
        <v>74</v>
      </c>
      <c r="BO512" s="2" t="s">
        <v>74</v>
      </c>
      <c r="BP512" s="2" t="s">
        <v>74</v>
      </c>
      <c r="BQ512" s="2" t="s">
        <v>74</v>
      </c>
      <c r="BR512" s="2" t="s">
        <v>74</v>
      </c>
      <c r="BS512" s="2" t="s">
        <v>8511</v>
      </c>
      <c r="BT512" s="2" t="str">
        <f>HYPERLINK("https%3A%2F%2Fwww.webofscience.com%2Fwos%2Fwoscc%2Ffull-record%2FWOS:000306623700001","View Full Record in Web of Science")</f>
        <v>View Full Record in Web of Science</v>
      </c>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row>
    <row r="513" spans="1:314" s="2" customFormat="1" x14ac:dyDescent="0.4">
      <c r="A513" s="2" t="s">
        <v>72</v>
      </c>
      <c r="B513" s="2" t="s">
        <v>1644</v>
      </c>
      <c r="C513" s="2" t="s">
        <v>74</v>
      </c>
      <c r="D513" s="2" t="s">
        <v>74</v>
      </c>
      <c r="E513" s="2" t="s">
        <v>74</v>
      </c>
      <c r="F513" s="2" t="s">
        <v>1645</v>
      </c>
      <c r="G513" s="2" t="s">
        <v>74</v>
      </c>
      <c r="H513" s="2" t="s">
        <v>74</v>
      </c>
      <c r="I513" s="2" t="s">
        <v>1646</v>
      </c>
      <c r="J513" s="2" t="s">
        <v>1647</v>
      </c>
      <c r="K513" s="2" t="s">
        <v>74</v>
      </c>
      <c r="L513" s="2" t="s">
        <v>74</v>
      </c>
      <c r="M513" s="2" t="s">
        <v>74</v>
      </c>
      <c r="N513" s="2" t="s">
        <v>74</v>
      </c>
      <c r="O513" s="2" t="s">
        <v>74</v>
      </c>
      <c r="P513" s="2" t="s">
        <v>74</v>
      </c>
      <c r="Q513" s="2" t="s">
        <v>74</v>
      </c>
      <c r="R513" s="2" t="s">
        <v>74</v>
      </c>
      <c r="S513" s="2" t="s">
        <v>74</v>
      </c>
      <c r="T513" s="2" t="s">
        <v>74</v>
      </c>
      <c r="U513" s="2" t="s">
        <v>74</v>
      </c>
      <c r="V513" s="5" t="s">
        <v>1648</v>
      </c>
      <c r="W513" s="2" t="s">
        <v>74</v>
      </c>
      <c r="X513" s="2" t="s">
        <v>74</v>
      </c>
      <c r="Y513" s="2" t="s">
        <v>74</v>
      </c>
      <c r="Z513" s="2" t="s">
        <v>74</v>
      </c>
      <c r="AA513" s="2" t="s">
        <v>74</v>
      </c>
      <c r="AB513" s="2" t="s">
        <v>74</v>
      </c>
      <c r="AC513" s="2" t="s">
        <v>74</v>
      </c>
      <c r="AD513" s="2" t="s">
        <v>74</v>
      </c>
      <c r="AE513" s="2" t="s">
        <v>74</v>
      </c>
      <c r="AF513" s="2" t="s">
        <v>74</v>
      </c>
      <c r="AG513" s="2" t="s">
        <v>74</v>
      </c>
      <c r="AH513" s="2" t="s">
        <v>74</v>
      </c>
      <c r="AI513" s="2" t="s">
        <v>74</v>
      </c>
      <c r="AJ513" s="2" t="s">
        <v>74</v>
      </c>
      <c r="AK513" s="2" t="s">
        <v>74</v>
      </c>
      <c r="AL513" s="2" t="s">
        <v>74</v>
      </c>
      <c r="AM513" s="2" t="s">
        <v>74</v>
      </c>
      <c r="AN513" s="2" t="s">
        <v>74</v>
      </c>
      <c r="AO513" s="2" t="s">
        <v>1649</v>
      </c>
      <c r="AP513" s="2" t="s">
        <v>74</v>
      </c>
      <c r="AQ513" s="2" t="s">
        <v>74</v>
      </c>
      <c r="AR513" s="2" t="s">
        <v>74</v>
      </c>
      <c r="AS513" s="2" t="s">
        <v>74</v>
      </c>
      <c r="AT513" s="2" t="s">
        <v>1650</v>
      </c>
      <c r="AU513" s="2">
        <v>2018</v>
      </c>
      <c r="AV513" s="2">
        <v>69</v>
      </c>
      <c r="AW513" s="2">
        <v>2</v>
      </c>
      <c r="AX513" s="2" t="s">
        <v>74</v>
      </c>
      <c r="AY513" s="2" t="s">
        <v>74</v>
      </c>
      <c r="AZ513" s="2" t="s">
        <v>74</v>
      </c>
      <c r="BA513" s="2" t="s">
        <v>74</v>
      </c>
      <c r="BB513" s="2">
        <v>951</v>
      </c>
      <c r="BC513" s="2">
        <v>958</v>
      </c>
      <c r="BD513" s="2" t="s">
        <v>74</v>
      </c>
      <c r="BE513" s="2" t="s">
        <v>1651</v>
      </c>
      <c r="BF513" s="2" t="str">
        <f>HYPERLINK("http://dx.doi.org/10.12681/jhvms.18017","http://dx.doi.org/10.12681/jhvms.18017")</f>
        <v>http://dx.doi.org/10.12681/jhvms.18017</v>
      </c>
      <c r="BG513" s="2" t="s">
        <v>74</v>
      </c>
      <c r="BH513" s="2" t="s">
        <v>74</v>
      </c>
      <c r="BI513" s="2" t="s">
        <v>74</v>
      </c>
      <c r="BJ513" s="2" t="s">
        <v>74</v>
      </c>
      <c r="BK513" s="2" t="s">
        <v>74</v>
      </c>
      <c r="BL513" s="2" t="s">
        <v>74</v>
      </c>
      <c r="BM513" s="2" t="s">
        <v>74</v>
      </c>
      <c r="BN513" s="2" t="s">
        <v>74</v>
      </c>
      <c r="BO513" s="2" t="s">
        <v>74</v>
      </c>
      <c r="BP513" s="2" t="s">
        <v>74</v>
      </c>
      <c r="BQ513" s="2" t="s">
        <v>74</v>
      </c>
      <c r="BR513" s="2" t="s">
        <v>74</v>
      </c>
      <c r="BS513" s="2" t="s">
        <v>1652</v>
      </c>
      <c r="BT513" s="2" t="str">
        <f>HYPERLINK("https%3A%2F%2Fwww.webofscience.com%2Fwos%2Fwoscc%2Ffull-record%2FWOS:000439066300006","View Full Record in Web of Science")</f>
        <v>View Full Record in Web of Science</v>
      </c>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row>
    <row r="514" spans="1:314" s="2" customFormat="1" x14ac:dyDescent="0.4">
      <c r="A514" s="2" t="s">
        <v>72</v>
      </c>
      <c r="B514" s="2" t="s">
        <v>6168</v>
      </c>
      <c r="C514" s="2" t="s">
        <v>74</v>
      </c>
      <c r="D514" s="2" t="s">
        <v>74</v>
      </c>
      <c r="E514" s="2" t="s">
        <v>74</v>
      </c>
      <c r="F514" s="2" t="s">
        <v>6168</v>
      </c>
      <c r="G514" s="2" t="s">
        <v>74</v>
      </c>
      <c r="H514" s="2" t="s">
        <v>74</v>
      </c>
      <c r="I514" s="2" t="s">
        <v>6169</v>
      </c>
      <c r="J514" s="2" t="s">
        <v>201</v>
      </c>
      <c r="K514" s="2" t="s">
        <v>74</v>
      </c>
      <c r="L514" s="2" t="s">
        <v>74</v>
      </c>
      <c r="M514" s="2" t="s">
        <v>74</v>
      </c>
      <c r="N514" s="2" t="s">
        <v>74</v>
      </c>
      <c r="O514" s="2" t="s">
        <v>74</v>
      </c>
      <c r="P514" s="2" t="s">
        <v>74</v>
      </c>
      <c r="Q514" s="2" t="s">
        <v>74</v>
      </c>
      <c r="R514" s="2" t="s">
        <v>74</v>
      </c>
      <c r="S514" s="2" t="s">
        <v>74</v>
      </c>
      <c r="T514" s="2" t="s">
        <v>74</v>
      </c>
      <c r="U514" s="2" t="s">
        <v>74</v>
      </c>
      <c r="V514" s="5" t="s">
        <v>6170</v>
      </c>
      <c r="W514" s="2" t="s">
        <v>74</v>
      </c>
      <c r="X514" s="2" t="s">
        <v>74</v>
      </c>
      <c r="Y514" s="2" t="s">
        <v>74</v>
      </c>
      <c r="Z514" s="2" t="s">
        <v>74</v>
      </c>
      <c r="AA514" s="2" t="s">
        <v>6171</v>
      </c>
      <c r="AB514" s="2" t="s">
        <v>6172</v>
      </c>
      <c r="AC514" s="2" t="s">
        <v>74</v>
      </c>
      <c r="AD514" s="2" t="s">
        <v>74</v>
      </c>
      <c r="AE514" s="2" t="s">
        <v>74</v>
      </c>
      <c r="AF514" s="2" t="s">
        <v>74</v>
      </c>
      <c r="AG514" s="2" t="s">
        <v>74</v>
      </c>
      <c r="AH514" s="2" t="s">
        <v>74</v>
      </c>
      <c r="AI514" s="2" t="s">
        <v>74</v>
      </c>
      <c r="AJ514" s="2" t="s">
        <v>74</v>
      </c>
      <c r="AK514" s="2" t="s">
        <v>74</v>
      </c>
      <c r="AL514" s="2" t="s">
        <v>74</v>
      </c>
      <c r="AM514" s="2" t="s">
        <v>74</v>
      </c>
      <c r="AN514" s="2" t="s">
        <v>74</v>
      </c>
      <c r="AO514" s="2" t="s">
        <v>203</v>
      </c>
      <c r="AP514" s="2" t="s">
        <v>1192</v>
      </c>
      <c r="AQ514" s="2" t="s">
        <v>74</v>
      </c>
      <c r="AR514" s="2" t="s">
        <v>74</v>
      </c>
      <c r="AS514" s="2" t="s">
        <v>74</v>
      </c>
      <c r="AT514" s="2" t="s">
        <v>964</v>
      </c>
      <c r="AU514" s="2">
        <v>2006</v>
      </c>
      <c r="AV514" s="2">
        <v>68</v>
      </c>
      <c r="AW514" s="2">
        <v>2</v>
      </c>
      <c r="AX514" s="2" t="s">
        <v>74</v>
      </c>
      <c r="AY514" s="2" t="s">
        <v>74</v>
      </c>
      <c r="AZ514" s="2" t="s">
        <v>74</v>
      </c>
      <c r="BA514" s="2" t="s">
        <v>74</v>
      </c>
      <c r="BB514" s="2">
        <v>555</v>
      </c>
      <c r="BC514" s="2">
        <v>568</v>
      </c>
      <c r="BD514" s="2" t="s">
        <v>74</v>
      </c>
      <c r="BE514" s="2" t="s">
        <v>6173</v>
      </c>
      <c r="BF514" s="2" t="str">
        <f>HYPERLINK("http://dx.doi.org/10.1111/j.0022-1112.2006.00941.x","http://dx.doi.org/10.1111/j.0022-1112.2006.00941.x")</f>
        <v>http://dx.doi.org/10.1111/j.0022-1112.2006.00941.x</v>
      </c>
      <c r="BG514" s="2" t="s">
        <v>74</v>
      </c>
      <c r="BH514" s="2" t="s">
        <v>74</v>
      </c>
      <c r="BI514" s="2" t="s">
        <v>74</v>
      </c>
      <c r="BJ514" s="2" t="s">
        <v>74</v>
      </c>
      <c r="BK514" s="2" t="s">
        <v>74</v>
      </c>
      <c r="BL514" s="2" t="s">
        <v>74</v>
      </c>
      <c r="BM514" s="2" t="s">
        <v>74</v>
      </c>
      <c r="BN514" s="2" t="s">
        <v>74</v>
      </c>
      <c r="BO514" s="2" t="s">
        <v>74</v>
      </c>
      <c r="BP514" s="2" t="s">
        <v>74</v>
      </c>
      <c r="BQ514" s="2" t="s">
        <v>74</v>
      </c>
      <c r="BR514" s="2" t="s">
        <v>74</v>
      </c>
      <c r="BS514" s="2" t="s">
        <v>6174</v>
      </c>
      <c r="BT514" s="2" t="str">
        <f>HYPERLINK("https%3A%2F%2Fwww.webofscience.com%2Fwos%2Fwoscc%2Ffull-record%2FWOS:000235469400016","View Full Record in Web of Science")</f>
        <v>View Full Record in Web of Science</v>
      </c>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row>
    <row r="515" spans="1:314" s="2" customFormat="1" x14ac:dyDescent="0.4">
      <c r="A515" s="2" t="s">
        <v>72</v>
      </c>
      <c r="B515" s="2" t="s">
        <v>1229</v>
      </c>
      <c r="C515" s="2" t="s">
        <v>74</v>
      </c>
      <c r="D515" s="2" t="s">
        <v>74</v>
      </c>
      <c r="E515" s="2" t="s">
        <v>74</v>
      </c>
      <c r="F515" s="2" t="s">
        <v>1229</v>
      </c>
      <c r="G515" s="2" t="s">
        <v>74</v>
      </c>
      <c r="H515" s="2" t="s">
        <v>74</v>
      </c>
      <c r="I515" s="2" t="s">
        <v>1230</v>
      </c>
      <c r="J515" s="2" t="s">
        <v>119</v>
      </c>
      <c r="K515" s="2" t="s">
        <v>74</v>
      </c>
      <c r="L515" s="2" t="s">
        <v>74</v>
      </c>
      <c r="M515" s="2" t="s">
        <v>74</v>
      </c>
      <c r="N515" s="2" t="s">
        <v>74</v>
      </c>
      <c r="O515" s="2" t="s">
        <v>74</v>
      </c>
      <c r="P515" s="2" t="s">
        <v>74</v>
      </c>
      <c r="Q515" s="2" t="s">
        <v>74</v>
      </c>
      <c r="R515" s="2" t="s">
        <v>74</v>
      </c>
      <c r="S515" s="2" t="s">
        <v>74</v>
      </c>
      <c r="T515" s="2" t="s">
        <v>74</v>
      </c>
      <c r="U515" s="2" t="s">
        <v>74</v>
      </c>
      <c r="V515" s="5" t="s">
        <v>1231</v>
      </c>
      <c r="W515" s="2" t="s">
        <v>74</v>
      </c>
      <c r="X515" s="2" t="s">
        <v>74</v>
      </c>
      <c r="Y515" s="2" t="s">
        <v>74</v>
      </c>
      <c r="Z515" s="2" t="s">
        <v>74</v>
      </c>
      <c r="AA515" s="2" t="s">
        <v>1232</v>
      </c>
      <c r="AB515" s="2" t="s">
        <v>74</v>
      </c>
      <c r="AC515" s="2" t="s">
        <v>74</v>
      </c>
      <c r="AD515" s="2" t="s">
        <v>74</v>
      </c>
      <c r="AE515" s="2" t="s">
        <v>74</v>
      </c>
      <c r="AF515" s="2" t="s">
        <v>74</v>
      </c>
      <c r="AG515" s="2" t="s">
        <v>74</v>
      </c>
      <c r="AH515" s="2" t="s">
        <v>74</v>
      </c>
      <c r="AI515" s="2" t="s">
        <v>74</v>
      </c>
      <c r="AJ515" s="2" t="s">
        <v>74</v>
      </c>
      <c r="AK515" s="2" t="s">
        <v>74</v>
      </c>
      <c r="AL515" s="2" t="s">
        <v>74</v>
      </c>
      <c r="AM515" s="2" t="s">
        <v>74</v>
      </c>
      <c r="AN515" s="2" t="s">
        <v>74</v>
      </c>
      <c r="AO515" s="2" t="s">
        <v>121</v>
      </c>
      <c r="AP515" s="2" t="s">
        <v>74</v>
      </c>
      <c r="AQ515" s="2" t="s">
        <v>74</v>
      </c>
      <c r="AR515" s="2" t="s">
        <v>74</v>
      </c>
      <c r="AS515" s="2" t="s">
        <v>74</v>
      </c>
      <c r="AT515" s="2" t="s">
        <v>102</v>
      </c>
      <c r="AU515" s="2">
        <v>1998</v>
      </c>
      <c r="AV515" s="2">
        <v>43</v>
      </c>
      <c r="AW515" s="2">
        <v>3</v>
      </c>
      <c r="AX515" s="2" t="s">
        <v>74</v>
      </c>
      <c r="AY515" s="2" t="s">
        <v>74</v>
      </c>
      <c r="AZ515" s="2" t="s">
        <v>74</v>
      </c>
      <c r="BA515" s="2" t="s">
        <v>74</v>
      </c>
      <c r="BB515" s="2">
        <v>251</v>
      </c>
      <c r="BC515" s="2">
        <v>255</v>
      </c>
      <c r="BD515" s="2" t="s">
        <v>74</v>
      </c>
      <c r="BE515" s="2" t="s">
        <v>1233</v>
      </c>
      <c r="BF515" s="2" t="str">
        <f>HYPERLINK("http://dx.doi.org/10.1016/S0376-6357(98)00006-0","http://dx.doi.org/10.1016/S0376-6357(98)00006-0")</f>
        <v>http://dx.doi.org/10.1016/S0376-6357(98)00006-0</v>
      </c>
      <c r="BG515" s="2" t="s">
        <v>74</v>
      </c>
      <c r="BH515" s="2" t="s">
        <v>74</v>
      </c>
      <c r="BI515" s="2" t="s">
        <v>74</v>
      </c>
      <c r="BJ515" s="2" t="s">
        <v>74</v>
      </c>
      <c r="BK515" s="2" t="s">
        <v>74</v>
      </c>
      <c r="BL515" s="2" t="s">
        <v>74</v>
      </c>
      <c r="BM515" s="2" t="s">
        <v>74</v>
      </c>
      <c r="BN515" s="2">
        <v>24896492</v>
      </c>
      <c r="BO515" s="2" t="s">
        <v>74</v>
      </c>
      <c r="BP515" s="2" t="s">
        <v>74</v>
      </c>
      <c r="BQ515" s="2" t="s">
        <v>74</v>
      </c>
      <c r="BR515" s="2" t="s">
        <v>74</v>
      </c>
      <c r="BS515" s="2" t="s">
        <v>1234</v>
      </c>
      <c r="BT515" s="2" t="str">
        <f>HYPERLINK("https%3A%2F%2Fwww.webofscience.com%2Fwos%2Fwoscc%2Ffull-record%2FWOS:000075498300002","View Full Record in Web of Science")</f>
        <v>View Full Record in Web of Science</v>
      </c>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row>
    <row r="516" spans="1:314" s="2" customFormat="1" x14ac:dyDescent="0.4">
      <c r="A516" s="2" t="s">
        <v>72</v>
      </c>
      <c r="B516" s="2" t="s">
        <v>3905</v>
      </c>
      <c r="C516" s="2" t="s">
        <v>74</v>
      </c>
      <c r="D516" s="2" t="s">
        <v>74</v>
      </c>
      <c r="E516" s="2" t="s">
        <v>74</v>
      </c>
      <c r="F516" s="2" t="s">
        <v>3906</v>
      </c>
      <c r="G516" s="2" t="s">
        <v>74</v>
      </c>
      <c r="H516" s="2" t="s">
        <v>74</v>
      </c>
      <c r="I516" s="2" t="s">
        <v>3907</v>
      </c>
      <c r="J516" s="2" t="s">
        <v>129</v>
      </c>
      <c r="K516" s="2" t="s">
        <v>74</v>
      </c>
      <c r="L516" s="2" t="s">
        <v>74</v>
      </c>
      <c r="M516" s="2" t="s">
        <v>74</v>
      </c>
      <c r="N516" s="2" t="s">
        <v>74</v>
      </c>
      <c r="O516" s="2" t="s">
        <v>74</v>
      </c>
      <c r="P516" s="2" t="s">
        <v>74</v>
      </c>
      <c r="Q516" s="2" t="s">
        <v>74</v>
      </c>
      <c r="R516" s="2" t="s">
        <v>74</v>
      </c>
      <c r="S516" s="2" t="s">
        <v>74</v>
      </c>
      <c r="T516" s="2" t="s">
        <v>74</v>
      </c>
      <c r="U516" s="2" t="s">
        <v>74</v>
      </c>
      <c r="V516" s="5" t="s">
        <v>3908</v>
      </c>
      <c r="W516" s="2" t="s">
        <v>74</v>
      </c>
      <c r="X516" s="2" t="s">
        <v>74</v>
      </c>
      <c r="Y516" s="2" t="s">
        <v>74</v>
      </c>
      <c r="Z516" s="2" t="s">
        <v>74</v>
      </c>
      <c r="AA516" s="2" t="s">
        <v>3909</v>
      </c>
      <c r="AB516" s="2" t="s">
        <v>3910</v>
      </c>
      <c r="AC516" s="2" t="s">
        <v>74</v>
      </c>
      <c r="AD516" s="2" t="s">
        <v>74</v>
      </c>
      <c r="AE516" s="2" t="s">
        <v>74</v>
      </c>
      <c r="AF516" s="2" t="s">
        <v>74</v>
      </c>
      <c r="AG516" s="2" t="s">
        <v>74</v>
      </c>
      <c r="AH516" s="2" t="s">
        <v>74</v>
      </c>
      <c r="AI516" s="2" t="s">
        <v>74</v>
      </c>
      <c r="AJ516" s="2" t="s">
        <v>74</v>
      </c>
      <c r="AK516" s="2" t="s">
        <v>74</v>
      </c>
      <c r="AL516" s="2" t="s">
        <v>74</v>
      </c>
      <c r="AM516" s="2" t="s">
        <v>74</v>
      </c>
      <c r="AN516" s="2" t="s">
        <v>74</v>
      </c>
      <c r="AO516" s="2" t="s">
        <v>132</v>
      </c>
      <c r="AP516" s="2" t="s">
        <v>74</v>
      </c>
      <c r="AQ516" s="2" t="s">
        <v>74</v>
      </c>
      <c r="AR516" s="2" t="s">
        <v>74</v>
      </c>
      <c r="AS516" s="2" t="s">
        <v>74</v>
      </c>
      <c r="AT516" s="2" t="s">
        <v>204</v>
      </c>
      <c r="AU516" s="2">
        <v>2011</v>
      </c>
      <c r="AV516" s="2">
        <v>65</v>
      </c>
      <c r="AW516" s="2">
        <v>7</v>
      </c>
      <c r="AX516" s="2" t="s">
        <v>74</v>
      </c>
      <c r="AY516" s="2" t="s">
        <v>74</v>
      </c>
      <c r="AZ516" s="2" t="s">
        <v>74</v>
      </c>
      <c r="BA516" s="2" t="s">
        <v>74</v>
      </c>
      <c r="BB516" s="2">
        <v>1403</v>
      </c>
      <c r="BC516" s="2">
        <v>1410</v>
      </c>
      <c r="BD516" s="2" t="s">
        <v>74</v>
      </c>
      <c r="BE516" s="2" t="s">
        <v>3911</v>
      </c>
      <c r="BF516" s="2" t="str">
        <f>HYPERLINK("http://dx.doi.org/10.1007/s00265-011-1150-1","http://dx.doi.org/10.1007/s00265-011-1150-1")</f>
        <v>http://dx.doi.org/10.1007/s00265-011-1150-1</v>
      </c>
      <c r="BG516" s="2" t="s">
        <v>74</v>
      </c>
      <c r="BH516" s="2" t="s">
        <v>74</v>
      </c>
      <c r="BI516" s="2" t="s">
        <v>74</v>
      </c>
      <c r="BJ516" s="2" t="s">
        <v>74</v>
      </c>
      <c r="BK516" s="2" t="s">
        <v>74</v>
      </c>
      <c r="BL516" s="2" t="s">
        <v>74</v>
      </c>
      <c r="BM516" s="2" t="s">
        <v>74</v>
      </c>
      <c r="BN516" s="2" t="s">
        <v>74</v>
      </c>
      <c r="BO516" s="2" t="s">
        <v>74</v>
      </c>
      <c r="BP516" s="2" t="s">
        <v>74</v>
      </c>
      <c r="BQ516" s="2" t="s">
        <v>74</v>
      </c>
      <c r="BR516" s="2" t="s">
        <v>74</v>
      </c>
      <c r="BS516" s="2" t="s">
        <v>3912</v>
      </c>
      <c r="BT516" s="2" t="str">
        <f>HYPERLINK("https%3A%2F%2Fwww.webofscience.com%2Fwos%2Fwoscc%2Ffull-record%2FWOS:000291654000006","View Full Record in Web of Science")</f>
        <v>View Full Record in Web of Science</v>
      </c>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row>
    <row r="517" spans="1:314" s="2" customFormat="1" x14ac:dyDescent="0.4">
      <c r="A517" s="2" t="s">
        <v>72</v>
      </c>
      <c r="B517" s="2" t="s">
        <v>472</v>
      </c>
      <c r="C517" s="2" t="s">
        <v>74</v>
      </c>
      <c r="D517" s="2" t="s">
        <v>74</v>
      </c>
      <c r="E517" s="2" t="s">
        <v>74</v>
      </c>
      <c r="F517" s="2" t="s">
        <v>473</v>
      </c>
      <c r="G517" s="2" t="s">
        <v>74</v>
      </c>
      <c r="H517" s="2" t="s">
        <v>74</v>
      </c>
      <c r="I517" s="2" t="s">
        <v>474</v>
      </c>
      <c r="J517" s="2" t="s">
        <v>475</v>
      </c>
      <c r="K517" s="2" t="s">
        <v>74</v>
      </c>
      <c r="L517" s="2" t="s">
        <v>74</v>
      </c>
      <c r="M517" s="2" t="s">
        <v>74</v>
      </c>
      <c r="N517" s="2" t="s">
        <v>74</v>
      </c>
      <c r="O517" s="2" t="s">
        <v>74</v>
      </c>
      <c r="P517" s="2" t="s">
        <v>74</v>
      </c>
      <c r="Q517" s="2" t="s">
        <v>74</v>
      </c>
      <c r="R517" s="2" t="s">
        <v>74</v>
      </c>
      <c r="S517" s="2" t="s">
        <v>74</v>
      </c>
      <c r="T517" s="2" t="s">
        <v>74</v>
      </c>
      <c r="U517" s="2" t="s">
        <v>74</v>
      </c>
      <c r="V517" s="5" t="s">
        <v>476</v>
      </c>
      <c r="W517" s="2" t="s">
        <v>74</v>
      </c>
      <c r="X517" s="2" t="s">
        <v>74</v>
      </c>
      <c r="Y517" s="2" t="s">
        <v>74</v>
      </c>
      <c r="Z517" s="2" t="s">
        <v>74</v>
      </c>
      <c r="AA517" s="2" t="s">
        <v>74</v>
      </c>
      <c r="AB517" s="2" t="s">
        <v>274</v>
      </c>
      <c r="AC517" s="2" t="s">
        <v>74</v>
      </c>
      <c r="AD517" s="2" t="s">
        <v>74</v>
      </c>
      <c r="AE517" s="2" t="s">
        <v>74</v>
      </c>
      <c r="AF517" s="2" t="s">
        <v>74</v>
      </c>
      <c r="AG517" s="2" t="s">
        <v>74</v>
      </c>
      <c r="AH517" s="2" t="s">
        <v>74</v>
      </c>
      <c r="AI517" s="2" t="s">
        <v>74</v>
      </c>
      <c r="AJ517" s="2" t="s">
        <v>74</v>
      </c>
      <c r="AK517" s="2" t="s">
        <v>74</v>
      </c>
      <c r="AL517" s="2" t="s">
        <v>74</v>
      </c>
      <c r="AM517" s="2" t="s">
        <v>74</v>
      </c>
      <c r="AN517" s="2" t="s">
        <v>74</v>
      </c>
      <c r="AO517" s="2" t="s">
        <v>477</v>
      </c>
      <c r="AP517" s="2" t="s">
        <v>74</v>
      </c>
      <c r="AQ517" s="2" t="s">
        <v>74</v>
      </c>
      <c r="AR517" s="2" t="s">
        <v>74</v>
      </c>
      <c r="AS517" s="2" t="s">
        <v>74</v>
      </c>
      <c r="AT517" s="2" t="s">
        <v>361</v>
      </c>
      <c r="AU517" s="2">
        <v>2012</v>
      </c>
      <c r="AV517" s="2">
        <v>176</v>
      </c>
      <c r="AW517" s="2">
        <v>3</v>
      </c>
      <c r="AX517" s="2" t="s">
        <v>74</v>
      </c>
      <c r="AY517" s="2" t="s">
        <v>74</v>
      </c>
      <c r="AZ517" s="2" t="s">
        <v>74</v>
      </c>
      <c r="BA517" s="2" t="s">
        <v>74</v>
      </c>
      <c r="BB517" s="2">
        <v>493</v>
      </c>
      <c r="BC517" s="2">
        <v>499</v>
      </c>
      <c r="BD517" s="2" t="s">
        <v>74</v>
      </c>
      <c r="BE517" s="2" t="s">
        <v>478</v>
      </c>
      <c r="BF517" s="2" t="str">
        <f>HYPERLINK("http://dx.doi.org/10.1016/j.ygcen.2011.12.028","http://dx.doi.org/10.1016/j.ygcen.2011.12.028")</f>
        <v>http://dx.doi.org/10.1016/j.ygcen.2011.12.028</v>
      </c>
      <c r="BG517" s="2" t="s">
        <v>74</v>
      </c>
      <c r="BH517" s="2" t="s">
        <v>74</v>
      </c>
      <c r="BI517" s="2" t="s">
        <v>74</v>
      </c>
      <c r="BJ517" s="2" t="s">
        <v>74</v>
      </c>
      <c r="BK517" s="2" t="s">
        <v>74</v>
      </c>
      <c r="BL517" s="2" t="s">
        <v>74</v>
      </c>
      <c r="BM517" s="2" t="s">
        <v>74</v>
      </c>
      <c r="BN517" s="2">
        <v>22230767</v>
      </c>
      <c r="BO517" s="2" t="s">
        <v>74</v>
      </c>
      <c r="BP517" s="2" t="s">
        <v>74</v>
      </c>
      <c r="BQ517" s="2" t="s">
        <v>74</v>
      </c>
      <c r="BR517" s="2" t="s">
        <v>74</v>
      </c>
      <c r="BS517" s="2" t="s">
        <v>479</v>
      </c>
      <c r="BT517" s="2" t="str">
        <f>HYPERLINK("https%3A%2F%2Fwww.webofscience.com%2Fwos%2Fwoscc%2Ffull-record%2FWOS:000303700900032","View Full Record in Web of Science")</f>
        <v>View Full Record in Web of Science</v>
      </c>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row>
    <row r="518" spans="1:314" s="2" customFormat="1" x14ac:dyDescent="0.4">
      <c r="A518" s="2" t="s">
        <v>72</v>
      </c>
      <c r="B518" s="2" t="s">
        <v>4567</v>
      </c>
      <c r="C518" s="2" t="s">
        <v>74</v>
      </c>
      <c r="D518" s="2" t="s">
        <v>74</v>
      </c>
      <c r="E518" s="2" t="s">
        <v>74</v>
      </c>
      <c r="F518" s="2" t="s">
        <v>4567</v>
      </c>
      <c r="G518" s="2" t="s">
        <v>74</v>
      </c>
      <c r="H518" s="2" t="s">
        <v>74</v>
      </c>
      <c r="I518" s="2" t="s">
        <v>4568</v>
      </c>
      <c r="J518" s="2" t="s">
        <v>610</v>
      </c>
      <c r="K518" s="2" t="s">
        <v>74</v>
      </c>
      <c r="L518" s="2" t="s">
        <v>74</v>
      </c>
      <c r="M518" s="2" t="s">
        <v>74</v>
      </c>
      <c r="N518" s="2" t="s">
        <v>74</v>
      </c>
      <c r="O518" s="2" t="s">
        <v>74</v>
      </c>
      <c r="P518" s="2" t="s">
        <v>74</v>
      </c>
      <c r="Q518" s="2" t="s">
        <v>74</v>
      </c>
      <c r="R518" s="2" t="s">
        <v>74</v>
      </c>
      <c r="S518" s="2" t="s">
        <v>74</v>
      </c>
      <c r="T518" s="2" t="s">
        <v>74</v>
      </c>
      <c r="U518" s="2" t="s">
        <v>74</v>
      </c>
      <c r="V518" s="5" t="s">
        <v>4569</v>
      </c>
      <c r="W518" s="2" t="s">
        <v>74</v>
      </c>
      <c r="X518" s="2" t="s">
        <v>74</v>
      </c>
      <c r="Y518" s="2" t="s">
        <v>74</v>
      </c>
      <c r="Z518" s="2" t="s">
        <v>74</v>
      </c>
      <c r="AA518" s="2" t="s">
        <v>74</v>
      </c>
      <c r="AB518" s="2" t="s">
        <v>4570</v>
      </c>
      <c r="AC518" s="2" t="s">
        <v>74</v>
      </c>
      <c r="AD518" s="2" t="s">
        <v>74</v>
      </c>
      <c r="AE518" s="2" t="s">
        <v>74</v>
      </c>
      <c r="AF518" s="2" t="s">
        <v>74</v>
      </c>
      <c r="AG518" s="2" t="s">
        <v>74</v>
      </c>
      <c r="AH518" s="2" t="s">
        <v>74</v>
      </c>
      <c r="AI518" s="2" t="s">
        <v>74</v>
      </c>
      <c r="AJ518" s="2" t="s">
        <v>74</v>
      </c>
      <c r="AK518" s="2" t="s">
        <v>74</v>
      </c>
      <c r="AL518" s="2" t="s">
        <v>74</v>
      </c>
      <c r="AM518" s="2" t="s">
        <v>74</v>
      </c>
      <c r="AN518" s="2" t="s">
        <v>74</v>
      </c>
      <c r="AO518" s="2" t="s">
        <v>614</v>
      </c>
      <c r="AP518" s="2" t="s">
        <v>615</v>
      </c>
      <c r="AQ518" s="2" t="s">
        <v>74</v>
      </c>
      <c r="AR518" s="2" t="s">
        <v>74</v>
      </c>
      <c r="AS518" s="2" t="s">
        <v>74</v>
      </c>
      <c r="AT518" s="2" t="s">
        <v>352</v>
      </c>
      <c r="AU518" s="2">
        <v>2001</v>
      </c>
      <c r="AV518" s="2">
        <v>107</v>
      </c>
      <c r="AW518" s="2">
        <v>9</v>
      </c>
      <c r="AX518" s="2" t="s">
        <v>74</v>
      </c>
      <c r="AY518" s="2" t="s">
        <v>74</v>
      </c>
      <c r="AZ518" s="2" t="s">
        <v>74</v>
      </c>
      <c r="BA518" s="2" t="s">
        <v>74</v>
      </c>
      <c r="BB518" s="2">
        <v>839</v>
      </c>
      <c r="BC518" s="2">
        <v>850</v>
      </c>
      <c r="BD518" s="2" t="s">
        <v>74</v>
      </c>
      <c r="BE518" s="2" t="s">
        <v>4571</v>
      </c>
      <c r="BF518" s="2" t="str">
        <f>HYPERLINK("http://dx.doi.org/10.1046/j.1439-0310.2001.00712.x","http://dx.doi.org/10.1046/j.1439-0310.2001.00712.x")</f>
        <v>http://dx.doi.org/10.1046/j.1439-0310.2001.00712.x</v>
      </c>
      <c r="BG518" s="2" t="s">
        <v>74</v>
      </c>
      <c r="BH518" s="2" t="s">
        <v>74</v>
      </c>
      <c r="BI518" s="2" t="s">
        <v>74</v>
      </c>
      <c r="BJ518" s="2" t="s">
        <v>74</v>
      </c>
      <c r="BK518" s="2" t="s">
        <v>74</v>
      </c>
      <c r="BL518" s="2" t="s">
        <v>74</v>
      </c>
      <c r="BM518" s="2" t="s">
        <v>74</v>
      </c>
      <c r="BN518" s="2" t="s">
        <v>74</v>
      </c>
      <c r="BO518" s="2" t="s">
        <v>74</v>
      </c>
      <c r="BP518" s="2" t="s">
        <v>74</v>
      </c>
      <c r="BQ518" s="2" t="s">
        <v>74</v>
      </c>
      <c r="BR518" s="2" t="s">
        <v>74</v>
      </c>
      <c r="BS518" s="2" t="s">
        <v>4572</v>
      </c>
      <c r="BT518" s="2" t="str">
        <f>HYPERLINK("https%3A%2F%2Fwww.webofscience.com%2Fwos%2Fwoscc%2Ffull-record%2FWOS:000171378500006","View Full Record in Web of Science")</f>
        <v>View Full Record in Web of Science</v>
      </c>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row>
    <row r="519" spans="1:314" s="2" customFormat="1" x14ac:dyDescent="0.4">
      <c r="A519" s="2" t="s">
        <v>72</v>
      </c>
      <c r="B519" s="2" t="s">
        <v>4299</v>
      </c>
      <c r="C519" s="2" t="s">
        <v>74</v>
      </c>
      <c r="D519" s="2" t="s">
        <v>74</v>
      </c>
      <c r="E519" s="2" t="s">
        <v>74</v>
      </c>
      <c r="F519" s="2" t="s">
        <v>4299</v>
      </c>
      <c r="G519" s="2" t="s">
        <v>74</v>
      </c>
      <c r="H519" s="2" t="s">
        <v>74</v>
      </c>
      <c r="I519" s="2" t="s">
        <v>4300</v>
      </c>
      <c r="J519" s="2" t="s">
        <v>140</v>
      </c>
      <c r="K519" s="2" t="s">
        <v>74</v>
      </c>
      <c r="L519" s="2" t="s">
        <v>74</v>
      </c>
      <c r="M519" s="2" t="s">
        <v>74</v>
      </c>
      <c r="N519" s="2" t="s">
        <v>74</v>
      </c>
      <c r="O519" s="2" t="s">
        <v>74</v>
      </c>
      <c r="P519" s="2" t="s">
        <v>74</v>
      </c>
      <c r="Q519" s="2" t="s">
        <v>74</v>
      </c>
      <c r="R519" s="2" t="s">
        <v>74</v>
      </c>
      <c r="S519" s="2" t="s">
        <v>74</v>
      </c>
      <c r="T519" s="2" t="s">
        <v>74</v>
      </c>
      <c r="U519" s="2" t="s">
        <v>74</v>
      </c>
      <c r="V519" s="5" t="s">
        <v>4301</v>
      </c>
      <c r="W519" s="2" t="s">
        <v>74</v>
      </c>
      <c r="X519" s="2" t="s">
        <v>74</v>
      </c>
      <c r="Y519" s="2" t="s">
        <v>74</v>
      </c>
      <c r="Z519" s="2" t="s">
        <v>74</v>
      </c>
      <c r="AA519" s="2" t="s">
        <v>74</v>
      </c>
      <c r="AB519" s="2" t="s">
        <v>74</v>
      </c>
      <c r="AC519" s="2" t="s">
        <v>74</v>
      </c>
      <c r="AD519" s="2" t="s">
        <v>74</v>
      </c>
      <c r="AE519" s="2" t="s">
        <v>74</v>
      </c>
      <c r="AF519" s="2" t="s">
        <v>74</v>
      </c>
      <c r="AG519" s="2" t="s">
        <v>74</v>
      </c>
      <c r="AH519" s="2" t="s">
        <v>74</v>
      </c>
      <c r="AI519" s="2" t="s">
        <v>74</v>
      </c>
      <c r="AJ519" s="2" t="s">
        <v>74</v>
      </c>
      <c r="AK519" s="2" t="s">
        <v>74</v>
      </c>
      <c r="AL519" s="2" t="s">
        <v>74</v>
      </c>
      <c r="AM519" s="2" t="s">
        <v>74</v>
      </c>
      <c r="AN519" s="2" t="s">
        <v>74</v>
      </c>
      <c r="AO519" s="2" t="s">
        <v>143</v>
      </c>
      <c r="AP519" s="2" t="s">
        <v>144</v>
      </c>
      <c r="AQ519" s="2" t="s">
        <v>74</v>
      </c>
      <c r="AR519" s="2" t="s">
        <v>74</v>
      </c>
      <c r="AS519" s="2" t="s">
        <v>74</v>
      </c>
      <c r="AT519" s="2" t="s">
        <v>305</v>
      </c>
      <c r="AU519" s="2">
        <v>2002</v>
      </c>
      <c r="AV519" s="2">
        <v>64</v>
      </c>
      <c r="AW519" s="2" t="s">
        <v>74</v>
      </c>
      <c r="AX519" s="2">
        <v>6</v>
      </c>
      <c r="AY519" s="2" t="s">
        <v>74</v>
      </c>
      <c r="AZ519" s="2" t="s">
        <v>74</v>
      </c>
      <c r="BA519" s="2" t="s">
        <v>74</v>
      </c>
      <c r="BB519" s="2">
        <v>851</v>
      </c>
      <c r="BC519" s="2">
        <v>859</v>
      </c>
      <c r="BD519" s="2" t="s">
        <v>74</v>
      </c>
      <c r="BE519" s="2" t="s">
        <v>4302</v>
      </c>
      <c r="BF519" s="2" t="str">
        <f>HYPERLINK("http://dx.doi.org/10.1006/anbe.2003.2002","http://dx.doi.org/10.1006/anbe.2003.2002")</f>
        <v>http://dx.doi.org/10.1006/anbe.2003.2002</v>
      </c>
      <c r="BG519" s="2" t="s">
        <v>74</v>
      </c>
      <c r="BH519" s="2" t="s">
        <v>74</v>
      </c>
      <c r="BI519" s="2" t="s">
        <v>74</v>
      </c>
      <c r="BJ519" s="2" t="s">
        <v>74</v>
      </c>
      <c r="BK519" s="2" t="s">
        <v>74</v>
      </c>
      <c r="BL519" s="2" t="s">
        <v>74</v>
      </c>
      <c r="BM519" s="2" t="s">
        <v>74</v>
      </c>
      <c r="BN519" s="2" t="s">
        <v>74</v>
      </c>
      <c r="BO519" s="2" t="s">
        <v>74</v>
      </c>
      <c r="BP519" s="2" t="s">
        <v>74</v>
      </c>
      <c r="BQ519" s="2" t="s">
        <v>74</v>
      </c>
      <c r="BR519" s="2" t="s">
        <v>74</v>
      </c>
      <c r="BS519" s="2" t="s">
        <v>4303</v>
      </c>
      <c r="BT519" s="2" t="str">
        <f>HYPERLINK("https%3A%2F%2Fwww.webofscience.com%2Fwos%2Fwoscc%2Ffull-record%2FWOS:000180910400003","View Full Record in Web of Science")</f>
        <v>View Full Record in Web of Science</v>
      </c>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row>
    <row r="520" spans="1:314" s="2" customFormat="1" x14ac:dyDescent="0.4">
      <c r="A520" s="2" t="s">
        <v>72</v>
      </c>
      <c r="B520" s="2" t="s">
        <v>7566</v>
      </c>
      <c r="C520" s="2" t="s">
        <v>74</v>
      </c>
      <c r="D520" s="2" t="s">
        <v>74</v>
      </c>
      <c r="E520" s="2" t="s">
        <v>74</v>
      </c>
      <c r="F520" s="2" t="s">
        <v>7566</v>
      </c>
      <c r="G520" s="2" t="s">
        <v>74</v>
      </c>
      <c r="H520" s="2" t="s">
        <v>74</v>
      </c>
      <c r="I520" s="2" t="s">
        <v>7567</v>
      </c>
      <c r="J520" s="2" t="s">
        <v>140</v>
      </c>
      <c r="K520" s="2" t="s">
        <v>74</v>
      </c>
      <c r="L520" s="2" t="s">
        <v>74</v>
      </c>
      <c r="M520" s="2" t="s">
        <v>74</v>
      </c>
      <c r="N520" s="2" t="s">
        <v>74</v>
      </c>
      <c r="O520" s="2" t="s">
        <v>74</v>
      </c>
      <c r="P520" s="2" t="s">
        <v>74</v>
      </c>
      <c r="Q520" s="2" t="s">
        <v>74</v>
      </c>
      <c r="R520" s="2" t="s">
        <v>74</v>
      </c>
      <c r="S520" s="2" t="s">
        <v>74</v>
      </c>
      <c r="T520" s="2" t="s">
        <v>74</v>
      </c>
      <c r="U520" s="2" t="s">
        <v>74</v>
      </c>
      <c r="V520" s="5" t="s">
        <v>7568</v>
      </c>
      <c r="W520" s="2" t="s">
        <v>74</v>
      </c>
      <c r="X520" s="2" t="s">
        <v>74</v>
      </c>
      <c r="Y520" s="2" t="s">
        <v>74</v>
      </c>
      <c r="Z520" s="2" t="s">
        <v>74</v>
      </c>
      <c r="AA520" s="2" t="s">
        <v>74</v>
      </c>
      <c r="AB520" s="2" t="s">
        <v>74</v>
      </c>
      <c r="AC520" s="2" t="s">
        <v>74</v>
      </c>
      <c r="AD520" s="2" t="s">
        <v>74</v>
      </c>
      <c r="AE520" s="2" t="s">
        <v>74</v>
      </c>
      <c r="AF520" s="2" t="s">
        <v>74</v>
      </c>
      <c r="AG520" s="2" t="s">
        <v>74</v>
      </c>
      <c r="AH520" s="2" t="s">
        <v>74</v>
      </c>
      <c r="AI520" s="2" t="s">
        <v>74</v>
      </c>
      <c r="AJ520" s="2" t="s">
        <v>74</v>
      </c>
      <c r="AK520" s="2" t="s">
        <v>74</v>
      </c>
      <c r="AL520" s="2" t="s">
        <v>74</v>
      </c>
      <c r="AM520" s="2" t="s">
        <v>74</v>
      </c>
      <c r="AN520" s="2" t="s">
        <v>74</v>
      </c>
      <c r="AO520" s="2" t="s">
        <v>143</v>
      </c>
      <c r="AP520" s="2" t="s">
        <v>144</v>
      </c>
      <c r="AQ520" s="2" t="s">
        <v>74</v>
      </c>
      <c r="AR520" s="2" t="s">
        <v>74</v>
      </c>
      <c r="AS520" s="2" t="s">
        <v>74</v>
      </c>
      <c r="AT520" s="2" t="s">
        <v>123</v>
      </c>
      <c r="AU520" s="2">
        <v>2001</v>
      </c>
      <c r="AV520" s="2">
        <v>61</v>
      </c>
      <c r="AW520" s="2" t="s">
        <v>74</v>
      </c>
      <c r="AX520" s="2">
        <v>3</v>
      </c>
      <c r="AY520" s="2" t="s">
        <v>74</v>
      </c>
      <c r="AZ520" s="2" t="s">
        <v>74</v>
      </c>
      <c r="BA520" s="2" t="s">
        <v>74</v>
      </c>
      <c r="BB520" s="2">
        <v>567</v>
      </c>
      <c r="BC520" s="2">
        <v>577</v>
      </c>
      <c r="BD520" s="2" t="s">
        <v>74</v>
      </c>
      <c r="BE520" s="2" t="s">
        <v>7569</v>
      </c>
      <c r="BF520" s="2" t="str">
        <f>HYPERLINK("http://dx.doi.org/10.1006/anbe.2000.1642","http://dx.doi.org/10.1006/anbe.2000.1642")</f>
        <v>http://dx.doi.org/10.1006/anbe.2000.1642</v>
      </c>
      <c r="BG520" s="2" t="s">
        <v>74</v>
      </c>
      <c r="BH520" s="2" t="s">
        <v>74</v>
      </c>
      <c r="BI520" s="2" t="s">
        <v>74</v>
      </c>
      <c r="BJ520" s="2" t="s">
        <v>74</v>
      </c>
      <c r="BK520" s="2" t="s">
        <v>74</v>
      </c>
      <c r="BL520" s="2" t="s">
        <v>74</v>
      </c>
      <c r="BM520" s="2" t="s">
        <v>74</v>
      </c>
      <c r="BN520" s="2" t="s">
        <v>74</v>
      </c>
      <c r="BO520" s="2" t="s">
        <v>74</v>
      </c>
      <c r="BP520" s="2" t="s">
        <v>74</v>
      </c>
      <c r="BQ520" s="2" t="s">
        <v>74</v>
      </c>
      <c r="BR520" s="2" t="s">
        <v>74</v>
      </c>
      <c r="BS520" s="2" t="s">
        <v>7570</v>
      </c>
      <c r="BT520" s="2" t="str">
        <f>HYPERLINK("https%3A%2F%2Fwww.webofscience.com%2Fwos%2Fwoscc%2Ffull-record%2FWOS:000167990100006","View Full Record in Web of Science")</f>
        <v>View Full Record in Web of Science</v>
      </c>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row>
    <row r="521" spans="1:314" s="2" customFormat="1" x14ac:dyDescent="0.4">
      <c r="A521" s="2" t="s">
        <v>72</v>
      </c>
      <c r="B521" s="2" t="s">
        <v>1763</v>
      </c>
      <c r="C521" s="2" t="s">
        <v>74</v>
      </c>
      <c r="D521" s="2" t="s">
        <v>74</v>
      </c>
      <c r="E521" s="2" t="s">
        <v>74</v>
      </c>
      <c r="F521" s="2" t="s">
        <v>1764</v>
      </c>
      <c r="G521" s="2" t="s">
        <v>74</v>
      </c>
      <c r="H521" s="2" t="s">
        <v>74</v>
      </c>
      <c r="I521" s="2" t="s">
        <v>1765</v>
      </c>
      <c r="J521" s="2" t="s">
        <v>775</v>
      </c>
      <c r="K521" s="2" t="s">
        <v>74</v>
      </c>
      <c r="L521" s="2" t="s">
        <v>74</v>
      </c>
      <c r="M521" s="2" t="s">
        <v>74</v>
      </c>
      <c r="N521" s="2" t="s">
        <v>74</v>
      </c>
      <c r="O521" s="2" t="s">
        <v>74</v>
      </c>
      <c r="P521" s="2" t="s">
        <v>74</v>
      </c>
      <c r="Q521" s="2" t="s">
        <v>74</v>
      </c>
      <c r="R521" s="2" t="s">
        <v>74</v>
      </c>
      <c r="S521" s="2" t="s">
        <v>74</v>
      </c>
      <c r="T521" s="2" t="s">
        <v>74</v>
      </c>
      <c r="U521" s="2" t="s">
        <v>74</v>
      </c>
      <c r="V521" s="5" t="s">
        <v>1766</v>
      </c>
      <c r="W521" s="2" t="s">
        <v>74</v>
      </c>
      <c r="X521" s="2" t="s">
        <v>74</v>
      </c>
      <c r="Y521" s="2" t="s">
        <v>74</v>
      </c>
      <c r="Z521" s="2" t="s">
        <v>74</v>
      </c>
      <c r="AA521" s="2" t="s">
        <v>1767</v>
      </c>
      <c r="AB521" s="2" t="s">
        <v>1768</v>
      </c>
      <c r="AC521" s="2" t="s">
        <v>74</v>
      </c>
      <c r="AD521" s="2" t="s">
        <v>74</v>
      </c>
      <c r="AE521" s="2" t="s">
        <v>74</v>
      </c>
      <c r="AF521" s="2" t="s">
        <v>74</v>
      </c>
      <c r="AG521" s="2" t="s">
        <v>74</v>
      </c>
      <c r="AH521" s="2" t="s">
        <v>74</v>
      </c>
      <c r="AI521" s="2" t="s">
        <v>74</v>
      </c>
      <c r="AJ521" s="2" t="s">
        <v>74</v>
      </c>
      <c r="AK521" s="2" t="s">
        <v>74</v>
      </c>
      <c r="AL521" s="2" t="s">
        <v>74</v>
      </c>
      <c r="AM521" s="2" t="s">
        <v>74</v>
      </c>
      <c r="AN521" s="2" t="s">
        <v>74</v>
      </c>
      <c r="AO521" s="2" t="s">
        <v>778</v>
      </c>
      <c r="AP521" s="2" t="s">
        <v>779</v>
      </c>
      <c r="AQ521" s="2" t="s">
        <v>74</v>
      </c>
      <c r="AR521" s="2" t="s">
        <v>74</v>
      </c>
      <c r="AS521" s="2" t="s">
        <v>74</v>
      </c>
      <c r="AT521" s="2" t="s">
        <v>964</v>
      </c>
      <c r="AU521" s="2">
        <v>2016</v>
      </c>
      <c r="AV521" s="2">
        <v>62</v>
      </c>
      <c r="AW521" s="2">
        <v>1</v>
      </c>
      <c r="AX521" s="2" t="s">
        <v>74</v>
      </c>
      <c r="AY521" s="2" t="s">
        <v>74</v>
      </c>
      <c r="AZ521" s="2" t="s">
        <v>74</v>
      </c>
      <c r="BA521" s="2" t="s">
        <v>74</v>
      </c>
      <c r="BB521" s="2">
        <v>23</v>
      </c>
      <c r="BC521" s="2">
        <v>31</v>
      </c>
      <c r="BD521" s="2" t="s">
        <v>74</v>
      </c>
      <c r="BE521" s="2" t="s">
        <v>1769</v>
      </c>
      <c r="BF521" s="2" t="str">
        <f>HYPERLINK("http://dx.doi.org/10.1093/cz/zov009","http://dx.doi.org/10.1093/cz/zov009")</f>
        <v>http://dx.doi.org/10.1093/cz/zov009</v>
      </c>
      <c r="BG521" s="2" t="s">
        <v>74</v>
      </c>
      <c r="BH521" s="2" t="s">
        <v>74</v>
      </c>
      <c r="BI521" s="2" t="s">
        <v>74</v>
      </c>
      <c r="BJ521" s="2" t="s">
        <v>74</v>
      </c>
      <c r="BK521" s="2" t="s">
        <v>74</v>
      </c>
      <c r="BL521" s="2" t="s">
        <v>74</v>
      </c>
      <c r="BM521" s="2" t="s">
        <v>74</v>
      </c>
      <c r="BN521" s="2">
        <v>29491887</v>
      </c>
      <c r="BO521" s="2" t="s">
        <v>74</v>
      </c>
      <c r="BP521" s="2" t="s">
        <v>74</v>
      </c>
      <c r="BQ521" s="2" t="s">
        <v>74</v>
      </c>
      <c r="BR521" s="2" t="s">
        <v>74</v>
      </c>
      <c r="BS521" s="2" t="s">
        <v>1770</v>
      </c>
      <c r="BT521" s="2" t="str">
        <f>HYPERLINK("https%3A%2F%2Fwww.webofscience.com%2Fwos%2Fwoscc%2Ffull-record%2FWOS:000374258900004","View Full Record in Web of Science")</f>
        <v>View Full Record in Web of Science</v>
      </c>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row>
    <row r="522" spans="1:314" s="1" customFormat="1" x14ac:dyDescent="0.4">
      <c r="A522" s="2" t="s">
        <v>72</v>
      </c>
      <c r="B522" s="2" t="s">
        <v>7706</v>
      </c>
      <c r="C522" s="2" t="s">
        <v>74</v>
      </c>
      <c r="D522" s="2" t="s">
        <v>74</v>
      </c>
      <c r="E522" s="2" t="s">
        <v>74</v>
      </c>
      <c r="F522" s="2" t="s">
        <v>7706</v>
      </c>
      <c r="G522" s="2" t="s">
        <v>74</v>
      </c>
      <c r="H522" s="2" t="s">
        <v>74</v>
      </c>
      <c r="I522" s="2" t="s">
        <v>7707</v>
      </c>
      <c r="J522" s="2" t="s">
        <v>1526</v>
      </c>
      <c r="K522" s="2" t="s">
        <v>74</v>
      </c>
      <c r="L522" s="2" t="s">
        <v>74</v>
      </c>
      <c r="M522" s="2" t="s">
        <v>74</v>
      </c>
      <c r="N522" s="2" t="s">
        <v>74</v>
      </c>
      <c r="O522" s="2" t="s">
        <v>74</v>
      </c>
      <c r="P522" s="2" t="s">
        <v>74</v>
      </c>
      <c r="Q522" s="2" t="s">
        <v>74</v>
      </c>
      <c r="R522" s="2" t="s">
        <v>74</v>
      </c>
      <c r="S522" s="2" t="s">
        <v>74</v>
      </c>
      <c r="T522" s="2" t="s">
        <v>74</v>
      </c>
      <c r="U522" s="2" t="s">
        <v>74</v>
      </c>
      <c r="V522" s="5" t="s">
        <v>7708</v>
      </c>
      <c r="W522" s="2" t="s">
        <v>74</v>
      </c>
      <c r="X522" s="2" t="s">
        <v>74</v>
      </c>
      <c r="Y522" s="2" t="s">
        <v>74</v>
      </c>
      <c r="Z522" s="2" t="s">
        <v>74</v>
      </c>
      <c r="AA522" s="2" t="s">
        <v>5351</v>
      </c>
      <c r="AB522" s="2" t="s">
        <v>6109</v>
      </c>
      <c r="AC522" s="2" t="s">
        <v>74</v>
      </c>
      <c r="AD522" s="2" t="s">
        <v>74</v>
      </c>
      <c r="AE522" s="2" t="s">
        <v>74</v>
      </c>
      <c r="AF522" s="2" t="s">
        <v>74</v>
      </c>
      <c r="AG522" s="2" t="s">
        <v>74</v>
      </c>
      <c r="AH522" s="2" t="s">
        <v>74</v>
      </c>
      <c r="AI522" s="2" t="s">
        <v>74</v>
      </c>
      <c r="AJ522" s="2" t="s">
        <v>74</v>
      </c>
      <c r="AK522" s="2" t="s">
        <v>74</v>
      </c>
      <c r="AL522" s="2" t="s">
        <v>74</v>
      </c>
      <c r="AM522" s="2" t="s">
        <v>74</v>
      </c>
      <c r="AN522" s="2" t="s">
        <v>74</v>
      </c>
      <c r="AO522" s="2" t="s">
        <v>1528</v>
      </c>
      <c r="AP522" s="2" t="s">
        <v>2131</v>
      </c>
      <c r="AQ522" s="2" t="s">
        <v>74</v>
      </c>
      <c r="AR522" s="2" t="s">
        <v>74</v>
      </c>
      <c r="AS522" s="2" t="s">
        <v>74</v>
      </c>
      <c r="AT522" s="2" t="s">
        <v>145</v>
      </c>
      <c r="AU522" s="2">
        <v>1994</v>
      </c>
      <c r="AV522" s="2">
        <v>96</v>
      </c>
      <c r="AW522" s="2">
        <v>3</v>
      </c>
      <c r="AX522" s="2" t="s">
        <v>74</v>
      </c>
      <c r="AY522" s="2" t="s">
        <v>74</v>
      </c>
      <c r="AZ522" s="2" t="s">
        <v>74</v>
      </c>
      <c r="BA522" s="2" t="s">
        <v>74</v>
      </c>
      <c r="BB522" s="2">
        <v>626</v>
      </c>
      <c r="BC522" s="2">
        <v>630</v>
      </c>
      <c r="BD522" s="2" t="s">
        <v>74</v>
      </c>
      <c r="BE522" s="2" t="s">
        <v>7709</v>
      </c>
      <c r="BF522" s="2" t="str">
        <f>HYPERLINK("http://dx.doi.org/10.2307/1369465","http://dx.doi.org/10.2307/1369465")</f>
        <v>http://dx.doi.org/10.2307/1369465</v>
      </c>
      <c r="BG522" s="2" t="s">
        <v>74</v>
      </c>
      <c r="BH522" s="2" t="s">
        <v>74</v>
      </c>
      <c r="BI522" s="2" t="s">
        <v>74</v>
      </c>
      <c r="BJ522" s="2" t="s">
        <v>74</v>
      </c>
      <c r="BK522" s="2" t="s">
        <v>74</v>
      </c>
      <c r="BL522" s="2" t="s">
        <v>74</v>
      </c>
      <c r="BM522" s="2" t="s">
        <v>74</v>
      </c>
      <c r="BN522" s="2" t="s">
        <v>74</v>
      </c>
      <c r="BO522" s="2" t="s">
        <v>74</v>
      </c>
      <c r="BP522" s="2" t="s">
        <v>74</v>
      </c>
      <c r="BQ522" s="2" t="s">
        <v>74</v>
      </c>
      <c r="BR522" s="2" t="s">
        <v>74</v>
      </c>
      <c r="BS522" s="2" t="s">
        <v>7710</v>
      </c>
      <c r="BT522" s="2" t="str">
        <f>HYPERLINK("https%3A%2F%2Fwww.webofscience.com%2Fwos%2Fwoscc%2Ffull-record%2FWOS:A1994PE53800006","View Full Record in Web of Science")</f>
        <v>View Full Record in Web of Science</v>
      </c>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row>
    <row r="523" spans="1:314" s="2" customFormat="1" x14ac:dyDescent="0.4">
      <c r="A523" s="2" t="s">
        <v>72</v>
      </c>
      <c r="B523" s="2" t="s">
        <v>1937</v>
      </c>
      <c r="C523" s="2" t="s">
        <v>74</v>
      </c>
      <c r="D523" s="2" t="s">
        <v>74</v>
      </c>
      <c r="E523" s="2" t="s">
        <v>74</v>
      </c>
      <c r="F523" s="2" t="s">
        <v>1938</v>
      </c>
      <c r="G523" s="2" t="s">
        <v>74</v>
      </c>
      <c r="H523" s="2" t="s">
        <v>74</v>
      </c>
      <c r="I523" s="2" t="s">
        <v>1939</v>
      </c>
      <c r="J523" s="2" t="s">
        <v>1044</v>
      </c>
      <c r="K523" s="2" t="s">
        <v>74</v>
      </c>
      <c r="L523" s="2" t="s">
        <v>74</v>
      </c>
      <c r="M523" s="2" t="s">
        <v>74</v>
      </c>
      <c r="N523" s="2" t="s">
        <v>74</v>
      </c>
      <c r="O523" s="2" t="s">
        <v>74</v>
      </c>
      <c r="P523" s="2" t="s">
        <v>74</v>
      </c>
      <c r="Q523" s="2" t="s">
        <v>74</v>
      </c>
      <c r="R523" s="2" t="s">
        <v>74</v>
      </c>
      <c r="S523" s="2" t="s">
        <v>74</v>
      </c>
      <c r="T523" s="2" t="s">
        <v>74</v>
      </c>
      <c r="U523" s="2" t="s">
        <v>74</v>
      </c>
      <c r="V523" s="5" t="s">
        <v>1940</v>
      </c>
      <c r="W523" s="2" t="s">
        <v>74</v>
      </c>
      <c r="X523" s="2" t="s">
        <v>74</v>
      </c>
      <c r="Y523" s="2" t="s">
        <v>74</v>
      </c>
      <c r="Z523" s="2" t="s">
        <v>74</v>
      </c>
      <c r="AA523" s="2" t="s">
        <v>1941</v>
      </c>
      <c r="AB523" s="2" t="s">
        <v>1942</v>
      </c>
      <c r="AC523" s="2" t="s">
        <v>74</v>
      </c>
      <c r="AD523" s="2" t="s">
        <v>74</v>
      </c>
      <c r="AE523" s="2" t="s">
        <v>74</v>
      </c>
      <c r="AF523" s="2" t="s">
        <v>74</v>
      </c>
      <c r="AG523" s="2" t="s">
        <v>74</v>
      </c>
      <c r="AH523" s="2" t="s">
        <v>74</v>
      </c>
      <c r="AI523" s="2" t="s">
        <v>74</v>
      </c>
      <c r="AJ523" s="2" t="s">
        <v>74</v>
      </c>
      <c r="AK523" s="2" t="s">
        <v>74</v>
      </c>
      <c r="AL523" s="2" t="s">
        <v>74</v>
      </c>
      <c r="AM523" s="2" t="s">
        <v>74</v>
      </c>
      <c r="AN523" s="2" t="s">
        <v>74</v>
      </c>
      <c r="AO523" s="2" t="s">
        <v>1048</v>
      </c>
      <c r="AP523" s="2" t="s">
        <v>1049</v>
      </c>
      <c r="AQ523" s="2" t="s">
        <v>74</v>
      </c>
      <c r="AR523" s="2" t="s">
        <v>74</v>
      </c>
      <c r="AS523" s="2" t="s">
        <v>74</v>
      </c>
      <c r="AT523" s="2" t="s">
        <v>305</v>
      </c>
      <c r="AU523" s="2">
        <v>2020</v>
      </c>
      <c r="AV523" s="2">
        <v>29</v>
      </c>
      <c r="AW523" s="2">
        <v>24</v>
      </c>
      <c r="AX523" s="2" t="s">
        <v>74</v>
      </c>
      <c r="AY523" s="2" t="s">
        <v>74</v>
      </c>
      <c r="AZ523" s="2" t="s">
        <v>74</v>
      </c>
      <c r="BA523" s="2" t="s">
        <v>74</v>
      </c>
      <c r="BB523" s="2">
        <v>4942</v>
      </c>
      <c r="BC523" s="2">
        <v>4955</v>
      </c>
      <c r="BD523" s="2" t="s">
        <v>74</v>
      </c>
      <c r="BE523" s="2" t="s">
        <v>1943</v>
      </c>
      <c r="BF523" s="2" t="str">
        <f>HYPERLINK("http://dx.doi.org/10.1111/mec.15682","http://dx.doi.org/10.1111/mec.15682")</f>
        <v>http://dx.doi.org/10.1111/mec.15682</v>
      </c>
      <c r="BG523" s="2" t="s">
        <v>74</v>
      </c>
      <c r="BH523" s="2" t="s">
        <v>1944</v>
      </c>
      <c r="BI523" s="2" t="s">
        <v>74</v>
      </c>
      <c r="BJ523" s="2" t="s">
        <v>74</v>
      </c>
      <c r="BK523" s="2" t="s">
        <v>74</v>
      </c>
      <c r="BL523" s="2" t="s">
        <v>74</v>
      </c>
      <c r="BM523" s="2" t="s">
        <v>74</v>
      </c>
      <c r="BN523" s="2">
        <v>33051915</v>
      </c>
      <c r="BO523" s="2" t="s">
        <v>74</v>
      </c>
      <c r="BP523" s="2" t="s">
        <v>74</v>
      </c>
      <c r="BQ523" s="2" t="s">
        <v>74</v>
      </c>
      <c r="BR523" s="2" t="s">
        <v>74</v>
      </c>
      <c r="BS523" s="2" t="s">
        <v>1945</v>
      </c>
      <c r="BT523" s="2" t="str">
        <f>HYPERLINK("https%3A%2F%2Fwww.webofscience.com%2Fwos%2Fwoscc%2Ffull-record%2FWOS:000586619500001","View Full Record in Web of Science")</f>
        <v>View Full Record in Web of Science</v>
      </c>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row>
    <row r="524" spans="1:314" s="2" customFormat="1" x14ac:dyDescent="0.4">
      <c r="A524" s="2" t="s">
        <v>72</v>
      </c>
      <c r="B524" s="2" t="s">
        <v>4970</v>
      </c>
      <c r="C524" s="2" t="s">
        <v>74</v>
      </c>
      <c r="D524" s="2" t="s">
        <v>74</v>
      </c>
      <c r="E524" s="2" t="s">
        <v>74</v>
      </c>
      <c r="F524" s="2" t="s">
        <v>4970</v>
      </c>
      <c r="G524" s="2" t="s">
        <v>74</v>
      </c>
      <c r="H524" s="2" t="s">
        <v>74</v>
      </c>
      <c r="I524" s="2" t="s">
        <v>4971</v>
      </c>
      <c r="J524" s="2" t="s">
        <v>281</v>
      </c>
      <c r="K524" s="2" t="s">
        <v>74</v>
      </c>
      <c r="L524" s="2" t="s">
        <v>74</v>
      </c>
      <c r="M524" s="2" t="s">
        <v>74</v>
      </c>
      <c r="N524" s="2" t="s">
        <v>74</v>
      </c>
      <c r="O524" s="2" t="s">
        <v>74</v>
      </c>
      <c r="P524" s="2" t="s">
        <v>74</v>
      </c>
      <c r="Q524" s="2" t="s">
        <v>74</v>
      </c>
      <c r="R524" s="2" t="s">
        <v>74</v>
      </c>
      <c r="S524" s="2" t="s">
        <v>74</v>
      </c>
      <c r="T524" s="2" t="s">
        <v>74</v>
      </c>
      <c r="U524" s="2" t="s">
        <v>74</v>
      </c>
      <c r="V524" s="5" t="s">
        <v>4972</v>
      </c>
      <c r="W524" s="2" t="s">
        <v>74</v>
      </c>
      <c r="X524" s="2" t="s">
        <v>74</v>
      </c>
      <c r="Y524" s="2" t="s">
        <v>74</v>
      </c>
      <c r="Z524" s="2" t="s">
        <v>74</v>
      </c>
      <c r="AA524" s="2" t="s">
        <v>74</v>
      </c>
      <c r="AB524" s="2" t="s">
        <v>4973</v>
      </c>
      <c r="AC524" s="2" t="s">
        <v>74</v>
      </c>
      <c r="AD524" s="2" t="s">
        <v>74</v>
      </c>
      <c r="AE524" s="2" t="s">
        <v>74</v>
      </c>
      <c r="AF524" s="2" t="s">
        <v>74</v>
      </c>
      <c r="AG524" s="2" t="s">
        <v>74</v>
      </c>
      <c r="AH524" s="2" t="s">
        <v>74</v>
      </c>
      <c r="AI524" s="2" t="s">
        <v>74</v>
      </c>
      <c r="AJ524" s="2" t="s">
        <v>74</v>
      </c>
      <c r="AK524" s="2" t="s">
        <v>74</v>
      </c>
      <c r="AL524" s="2" t="s">
        <v>74</v>
      </c>
      <c r="AM524" s="2" t="s">
        <v>74</v>
      </c>
      <c r="AN524" s="2" t="s">
        <v>74</v>
      </c>
      <c r="AO524" s="2" t="s">
        <v>285</v>
      </c>
      <c r="AP524" s="2" t="s">
        <v>286</v>
      </c>
      <c r="AQ524" s="2" t="s">
        <v>74</v>
      </c>
      <c r="AR524" s="2" t="s">
        <v>74</v>
      </c>
      <c r="AS524" s="2" t="s">
        <v>74</v>
      </c>
      <c r="AT524" s="2" t="s">
        <v>204</v>
      </c>
      <c r="AU524" s="2">
        <v>2005</v>
      </c>
      <c r="AV524" s="2">
        <v>8</v>
      </c>
      <c r="AW524" s="2">
        <v>3</v>
      </c>
      <c r="AX524" s="2" t="s">
        <v>74</v>
      </c>
      <c r="AY524" s="2" t="s">
        <v>74</v>
      </c>
      <c r="AZ524" s="2" t="s">
        <v>74</v>
      </c>
      <c r="BA524" s="2" t="s">
        <v>74</v>
      </c>
      <c r="BB524" s="2">
        <v>211</v>
      </c>
      <c r="BC524" s="2">
        <v>214</v>
      </c>
      <c r="BD524" s="2" t="s">
        <v>74</v>
      </c>
      <c r="BE524" s="2" t="s">
        <v>4974</v>
      </c>
      <c r="BF524" s="2" t="str">
        <f>HYPERLINK("http://dx.doi.org/10.1007/s10071-004-0249-4","http://dx.doi.org/10.1007/s10071-004-0249-4")</f>
        <v>http://dx.doi.org/10.1007/s10071-004-0249-4</v>
      </c>
      <c r="BG524" s="2" t="s">
        <v>74</v>
      </c>
      <c r="BH524" s="2" t="s">
        <v>74</v>
      </c>
      <c r="BI524" s="2" t="s">
        <v>74</v>
      </c>
      <c r="BJ524" s="2" t="s">
        <v>74</v>
      </c>
      <c r="BK524" s="2" t="s">
        <v>74</v>
      </c>
      <c r="BL524" s="2" t="s">
        <v>74</v>
      </c>
      <c r="BM524" s="2" t="s">
        <v>74</v>
      </c>
      <c r="BN524" s="2">
        <v>15611879</v>
      </c>
      <c r="BO524" s="2" t="s">
        <v>74</v>
      </c>
      <c r="BP524" s="2" t="s">
        <v>74</v>
      </c>
      <c r="BQ524" s="2" t="s">
        <v>74</v>
      </c>
      <c r="BR524" s="2" t="s">
        <v>74</v>
      </c>
      <c r="BS524" s="2" t="s">
        <v>4975</v>
      </c>
      <c r="BT524" s="2" t="str">
        <f>HYPERLINK("https%3A%2F%2Fwww.webofscience.com%2Fwos%2Fwoscc%2Ffull-record%2FWOS:000231236200007","View Full Record in Web of Science")</f>
        <v>View Full Record in Web of Science</v>
      </c>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row>
    <row r="525" spans="1:314" s="2" customFormat="1" x14ac:dyDescent="0.4">
      <c r="A525" s="2" t="s">
        <v>72</v>
      </c>
      <c r="B525" s="2" t="s">
        <v>4310</v>
      </c>
      <c r="C525" s="2" t="s">
        <v>74</v>
      </c>
      <c r="D525" s="2" t="s">
        <v>74</v>
      </c>
      <c r="E525" s="2" t="s">
        <v>74</v>
      </c>
      <c r="F525" s="2" t="s">
        <v>4310</v>
      </c>
      <c r="G525" s="2" t="s">
        <v>74</v>
      </c>
      <c r="H525" s="2" t="s">
        <v>74</v>
      </c>
      <c r="I525" s="2" t="s">
        <v>4311</v>
      </c>
      <c r="J525" s="2" t="s">
        <v>610</v>
      </c>
      <c r="K525" s="2" t="s">
        <v>74</v>
      </c>
      <c r="L525" s="2" t="s">
        <v>74</v>
      </c>
      <c r="M525" s="2" t="s">
        <v>74</v>
      </c>
      <c r="N525" s="2" t="s">
        <v>74</v>
      </c>
      <c r="O525" s="2" t="s">
        <v>74</v>
      </c>
      <c r="P525" s="2" t="s">
        <v>74</v>
      </c>
      <c r="Q525" s="2" t="s">
        <v>74</v>
      </c>
      <c r="R525" s="2" t="s">
        <v>74</v>
      </c>
      <c r="S525" s="2" t="s">
        <v>74</v>
      </c>
      <c r="T525" s="2" t="s">
        <v>74</v>
      </c>
      <c r="U525" s="2" t="s">
        <v>74</v>
      </c>
      <c r="V525" s="5" t="s">
        <v>4312</v>
      </c>
      <c r="W525" s="2" t="s">
        <v>74</v>
      </c>
      <c r="X525" s="2" t="s">
        <v>74</v>
      </c>
      <c r="Y525" s="2" t="s">
        <v>74</v>
      </c>
      <c r="Z525" s="2" t="s">
        <v>74</v>
      </c>
      <c r="AA525" s="2" t="s">
        <v>74</v>
      </c>
      <c r="AB525" s="2" t="s">
        <v>3979</v>
      </c>
      <c r="AC525" s="2" t="s">
        <v>74</v>
      </c>
      <c r="AD525" s="2" t="s">
        <v>74</v>
      </c>
      <c r="AE525" s="2" t="s">
        <v>74</v>
      </c>
      <c r="AF525" s="2" t="s">
        <v>74</v>
      </c>
      <c r="AG525" s="2" t="s">
        <v>74</v>
      </c>
      <c r="AH525" s="2" t="s">
        <v>74</v>
      </c>
      <c r="AI525" s="2" t="s">
        <v>74</v>
      </c>
      <c r="AJ525" s="2" t="s">
        <v>74</v>
      </c>
      <c r="AK525" s="2" t="s">
        <v>74</v>
      </c>
      <c r="AL525" s="2" t="s">
        <v>74</v>
      </c>
      <c r="AM525" s="2" t="s">
        <v>74</v>
      </c>
      <c r="AN525" s="2" t="s">
        <v>74</v>
      </c>
      <c r="AO525" s="2" t="s">
        <v>614</v>
      </c>
      <c r="AP525" s="2" t="s">
        <v>615</v>
      </c>
      <c r="AQ525" s="2" t="s">
        <v>74</v>
      </c>
      <c r="AR525" s="2" t="s">
        <v>74</v>
      </c>
      <c r="AS525" s="2" t="s">
        <v>74</v>
      </c>
      <c r="AT525" s="2" t="s">
        <v>134</v>
      </c>
      <c r="AU525" s="2">
        <v>1999</v>
      </c>
      <c r="AV525" s="2">
        <v>105</v>
      </c>
      <c r="AW525" s="2">
        <v>5</v>
      </c>
      <c r="AX525" s="2" t="s">
        <v>74</v>
      </c>
      <c r="AY525" s="2" t="s">
        <v>74</v>
      </c>
      <c r="AZ525" s="2" t="s">
        <v>74</v>
      </c>
      <c r="BA525" s="2" t="s">
        <v>74</v>
      </c>
      <c r="BB525" s="2">
        <v>431</v>
      </c>
      <c r="BC525" s="2">
        <v>438</v>
      </c>
      <c r="BD525" s="2" t="s">
        <v>74</v>
      </c>
      <c r="BE525" s="2" t="s">
        <v>4313</v>
      </c>
      <c r="BF525" s="2" t="str">
        <f>HYPERLINK("http://dx.doi.org/10.1046/j.1439-0310.1999.00400.x","http://dx.doi.org/10.1046/j.1439-0310.1999.00400.x")</f>
        <v>http://dx.doi.org/10.1046/j.1439-0310.1999.00400.x</v>
      </c>
      <c r="BG525" s="2" t="s">
        <v>74</v>
      </c>
      <c r="BH525" s="2" t="s">
        <v>74</v>
      </c>
      <c r="BI525" s="2" t="s">
        <v>74</v>
      </c>
      <c r="BJ525" s="2" t="s">
        <v>74</v>
      </c>
      <c r="BK525" s="2" t="s">
        <v>74</v>
      </c>
      <c r="BL525" s="2" t="s">
        <v>74</v>
      </c>
      <c r="BM525" s="2" t="s">
        <v>74</v>
      </c>
      <c r="BN525" s="2" t="s">
        <v>74</v>
      </c>
      <c r="BO525" s="2" t="s">
        <v>74</v>
      </c>
      <c r="BP525" s="2" t="s">
        <v>74</v>
      </c>
      <c r="BQ525" s="2" t="s">
        <v>74</v>
      </c>
      <c r="BR525" s="2" t="s">
        <v>74</v>
      </c>
      <c r="BS525" s="2" t="s">
        <v>4314</v>
      </c>
      <c r="BT525" s="2" t="str">
        <f>HYPERLINK("https%3A%2F%2Fwww.webofscience.com%2Fwos%2Fwoscc%2Ffull-record%2FWOS:000080438000006","View Full Record in Web of Science")</f>
        <v>View Full Record in Web of Science</v>
      </c>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row>
    <row r="526" spans="1:314" s="2" customFormat="1" x14ac:dyDescent="0.4">
      <c r="A526" s="2" t="s">
        <v>72</v>
      </c>
      <c r="B526" s="2" t="s">
        <v>1599</v>
      </c>
      <c r="C526" s="2" t="s">
        <v>74</v>
      </c>
      <c r="D526" s="2" t="s">
        <v>74</v>
      </c>
      <c r="E526" s="2" t="s">
        <v>74</v>
      </c>
      <c r="F526" s="2" t="s">
        <v>1599</v>
      </c>
      <c r="G526" s="2" t="s">
        <v>74</v>
      </c>
      <c r="H526" s="2" t="s">
        <v>74</v>
      </c>
      <c r="I526" s="2" t="s">
        <v>1600</v>
      </c>
      <c r="J526" s="2" t="s">
        <v>1601</v>
      </c>
      <c r="K526" s="2" t="s">
        <v>74</v>
      </c>
      <c r="L526" s="2" t="s">
        <v>74</v>
      </c>
      <c r="M526" s="2" t="s">
        <v>74</v>
      </c>
      <c r="N526" s="2" t="s">
        <v>74</v>
      </c>
      <c r="O526" s="2" t="s">
        <v>74</v>
      </c>
      <c r="P526" s="2" t="s">
        <v>74</v>
      </c>
      <c r="Q526" s="2" t="s">
        <v>74</v>
      </c>
      <c r="R526" s="2" t="s">
        <v>74</v>
      </c>
      <c r="S526" s="2" t="s">
        <v>74</v>
      </c>
      <c r="T526" s="2" t="s">
        <v>74</v>
      </c>
      <c r="U526" s="2" t="s">
        <v>74</v>
      </c>
      <c r="V526" s="5" t="s">
        <v>1602</v>
      </c>
      <c r="W526" s="2" t="s">
        <v>74</v>
      </c>
      <c r="X526" s="2" t="s">
        <v>74</v>
      </c>
      <c r="Y526" s="2" t="s">
        <v>74</v>
      </c>
      <c r="Z526" s="2" t="s">
        <v>74</v>
      </c>
      <c r="AA526" s="2" t="s">
        <v>74</v>
      </c>
      <c r="AB526" s="2" t="s">
        <v>74</v>
      </c>
      <c r="AC526" s="2" t="s">
        <v>74</v>
      </c>
      <c r="AD526" s="2" t="s">
        <v>74</v>
      </c>
      <c r="AE526" s="2" t="s">
        <v>74</v>
      </c>
      <c r="AF526" s="2" t="s">
        <v>74</v>
      </c>
      <c r="AG526" s="2" t="s">
        <v>74</v>
      </c>
      <c r="AH526" s="2" t="s">
        <v>74</v>
      </c>
      <c r="AI526" s="2" t="s">
        <v>74</v>
      </c>
      <c r="AJ526" s="2" t="s">
        <v>74</v>
      </c>
      <c r="AK526" s="2" t="s">
        <v>74</v>
      </c>
      <c r="AL526" s="2" t="s">
        <v>74</v>
      </c>
      <c r="AM526" s="2" t="s">
        <v>74</v>
      </c>
      <c r="AN526" s="2" t="s">
        <v>74</v>
      </c>
      <c r="AO526" s="2" t="s">
        <v>1603</v>
      </c>
      <c r="AP526" s="2" t="s">
        <v>74</v>
      </c>
      <c r="AQ526" s="2" t="s">
        <v>74</v>
      </c>
      <c r="AR526" s="2" t="s">
        <v>74</v>
      </c>
      <c r="AS526" s="2" t="s">
        <v>74</v>
      </c>
      <c r="AT526" s="2" t="s">
        <v>352</v>
      </c>
      <c r="AU526" s="2">
        <v>1999</v>
      </c>
      <c r="AV526" s="2">
        <v>106</v>
      </c>
      <c r="AW526" s="2">
        <v>3</v>
      </c>
      <c r="AX526" s="2" t="s">
        <v>74</v>
      </c>
      <c r="AY526" s="2" t="s">
        <v>74</v>
      </c>
      <c r="AZ526" s="2" t="s">
        <v>74</v>
      </c>
      <c r="BA526" s="2" t="s">
        <v>74</v>
      </c>
      <c r="BB526" s="2">
        <v>643</v>
      </c>
      <c r="BC526" s="2">
        <v>661</v>
      </c>
      <c r="BD526" s="2" t="s">
        <v>74</v>
      </c>
      <c r="BE526" s="2" t="s">
        <v>1604</v>
      </c>
      <c r="BF526" s="2" t="str">
        <f>HYPERLINK("http://dx.doi.org/10.5962/bhl.part.80100","http://dx.doi.org/10.5962/bhl.part.80100")</f>
        <v>http://dx.doi.org/10.5962/bhl.part.80100</v>
      </c>
      <c r="BG526" s="2" t="s">
        <v>74</v>
      </c>
      <c r="BH526" s="2" t="s">
        <v>74</v>
      </c>
      <c r="BI526" s="2" t="s">
        <v>74</v>
      </c>
      <c r="BJ526" s="2" t="s">
        <v>74</v>
      </c>
      <c r="BK526" s="2" t="s">
        <v>74</v>
      </c>
      <c r="BL526" s="2" t="s">
        <v>74</v>
      </c>
      <c r="BM526" s="2" t="s">
        <v>74</v>
      </c>
      <c r="BN526" s="2" t="s">
        <v>74</v>
      </c>
      <c r="BO526" s="2" t="s">
        <v>74</v>
      </c>
      <c r="BP526" s="2" t="s">
        <v>74</v>
      </c>
      <c r="BQ526" s="2" t="s">
        <v>74</v>
      </c>
      <c r="BR526" s="2" t="s">
        <v>74</v>
      </c>
      <c r="BS526" s="2" t="s">
        <v>1605</v>
      </c>
      <c r="BT526" s="2" t="str">
        <f>HYPERLINK("https%3A%2F%2Fwww.webofscience.com%2Fwos%2Fwoscc%2Ffull-record%2FWOS:000082969900010","View Full Record in Web of Science")</f>
        <v>View Full Record in Web of Science</v>
      </c>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row>
    <row r="527" spans="1:314" s="2" customFormat="1" x14ac:dyDescent="0.4">
      <c r="A527" s="2" t="s">
        <v>72</v>
      </c>
      <c r="B527" s="2" t="s">
        <v>3709</v>
      </c>
      <c r="C527" s="2" t="s">
        <v>74</v>
      </c>
      <c r="D527" s="2" t="s">
        <v>74</v>
      </c>
      <c r="E527" s="2" t="s">
        <v>74</v>
      </c>
      <c r="F527" s="2" t="s">
        <v>3710</v>
      </c>
      <c r="G527" s="2" t="s">
        <v>74</v>
      </c>
      <c r="H527" s="2" t="s">
        <v>74</v>
      </c>
      <c r="I527" s="2" t="s">
        <v>3711</v>
      </c>
      <c r="J527" s="2" t="s">
        <v>1656</v>
      </c>
      <c r="K527" s="2" t="s">
        <v>74</v>
      </c>
      <c r="L527" s="2" t="s">
        <v>74</v>
      </c>
      <c r="M527" s="2" t="s">
        <v>74</v>
      </c>
      <c r="N527" s="2" t="s">
        <v>74</v>
      </c>
      <c r="O527" s="2" t="s">
        <v>74</v>
      </c>
      <c r="P527" s="2" t="s">
        <v>74</v>
      </c>
      <c r="Q527" s="2" t="s">
        <v>74</v>
      </c>
      <c r="R527" s="2" t="s">
        <v>74</v>
      </c>
      <c r="S527" s="2" t="s">
        <v>74</v>
      </c>
      <c r="T527" s="2" t="s">
        <v>74</v>
      </c>
      <c r="U527" s="2" t="s">
        <v>74</v>
      </c>
      <c r="V527" s="5" t="s">
        <v>3712</v>
      </c>
      <c r="W527" s="2" t="s">
        <v>74</v>
      </c>
      <c r="X527" s="2" t="s">
        <v>74</v>
      </c>
      <c r="Y527" s="2" t="s">
        <v>74</v>
      </c>
      <c r="Z527" s="2" t="s">
        <v>74</v>
      </c>
      <c r="AA527" s="2" t="s">
        <v>3713</v>
      </c>
      <c r="AB527" s="2" t="s">
        <v>3714</v>
      </c>
      <c r="AC527" s="2" t="s">
        <v>74</v>
      </c>
      <c r="AD527" s="2" t="s">
        <v>74</v>
      </c>
      <c r="AE527" s="2" t="s">
        <v>74</v>
      </c>
      <c r="AF527" s="2" t="s">
        <v>74</v>
      </c>
      <c r="AG527" s="2" t="s">
        <v>74</v>
      </c>
      <c r="AH527" s="2" t="s">
        <v>74</v>
      </c>
      <c r="AI527" s="2" t="s">
        <v>74</v>
      </c>
      <c r="AJ527" s="2" t="s">
        <v>74</v>
      </c>
      <c r="AK527" s="2" t="s">
        <v>74</v>
      </c>
      <c r="AL527" s="2" t="s">
        <v>74</v>
      </c>
      <c r="AM527" s="2" t="s">
        <v>74</v>
      </c>
      <c r="AN527" s="2" t="s">
        <v>74</v>
      </c>
      <c r="AO527" s="2" t="s">
        <v>1658</v>
      </c>
      <c r="AP527" s="2" t="s">
        <v>1659</v>
      </c>
      <c r="AQ527" s="2" t="s">
        <v>74</v>
      </c>
      <c r="AR527" s="2" t="s">
        <v>74</v>
      </c>
      <c r="AS527" s="2" t="s">
        <v>74</v>
      </c>
      <c r="AT527" s="2" t="s">
        <v>1629</v>
      </c>
      <c r="AU527" s="2">
        <v>2018</v>
      </c>
      <c r="AV527" s="2">
        <v>4471</v>
      </c>
      <c r="AW527" s="2">
        <v>1</v>
      </c>
      <c r="AX527" s="2" t="s">
        <v>74</v>
      </c>
      <c r="AY527" s="2" t="s">
        <v>74</v>
      </c>
      <c r="AZ527" s="2" t="s">
        <v>74</v>
      </c>
      <c r="BA527" s="2" t="s">
        <v>74</v>
      </c>
      <c r="BB527" s="2">
        <v>137</v>
      </c>
      <c r="BC527" s="2">
        <v>153</v>
      </c>
      <c r="BD527" s="2" t="s">
        <v>74</v>
      </c>
      <c r="BE527" s="2" t="s">
        <v>3715</v>
      </c>
      <c r="BF527" s="2" t="str">
        <f>HYPERLINK("http://dx.doi.org/10.11646/zootaxa.4471.1.6","http://dx.doi.org/10.11646/zootaxa.4471.1.6")</f>
        <v>http://dx.doi.org/10.11646/zootaxa.4471.1.6</v>
      </c>
      <c r="BG527" s="2" t="s">
        <v>74</v>
      </c>
      <c r="BH527" s="2" t="s">
        <v>74</v>
      </c>
      <c r="BI527" s="2" t="s">
        <v>74</v>
      </c>
      <c r="BJ527" s="2" t="s">
        <v>74</v>
      </c>
      <c r="BK527" s="2" t="s">
        <v>74</v>
      </c>
      <c r="BL527" s="2" t="s">
        <v>74</v>
      </c>
      <c r="BM527" s="2" t="s">
        <v>74</v>
      </c>
      <c r="BN527" s="2">
        <v>30313421</v>
      </c>
      <c r="BO527" s="2" t="s">
        <v>74</v>
      </c>
      <c r="BP527" s="2" t="s">
        <v>74</v>
      </c>
      <c r="BQ527" s="2" t="s">
        <v>74</v>
      </c>
      <c r="BR527" s="2" t="s">
        <v>74</v>
      </c>
      <c r="BS527" s="2" t="s">
        <v>3716</v>
      </c>
      <c r="BT527" s="2" t="str">
        <f>HYPERLINK("https%3A%2F%2Fwww.webofscience.com%2Fwos%2Fwoscc%2Ffull-record%2FWOS:000443458800006","View Full Record in Web of Science")</f>
        <v>View Full Record in Web of Science</v>
      </c>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row>
    <row r="528" spans="1:314" s="2" customFormat="1" x14ac:dyDescent="0.4">
      <c r="A528" s="2" t="s">
        <v>72</v>
      </c>
      <c r="B528" s="2" t="s">
        <v>3703</v>
      </c>
      <c r="C528" s="2" t="s">
        <v>74</v>
      </c>
      <c r="D528" s="2" t="s">
        <v>74</v>
      </c>
      <c r="E528" s="2" t="s">
        <v>74</v>
      </c>
      <c r="F528" s="2" t="s">
        <v>3703</v>
      </c>
      <c r="G528" s="2" t="s">
        <v>74</v>
      </c>
      <c r="H528" s="2" t="s">
        <v>74</v>
      </c>
      <c r="I528" s="2" t="s">
        <v>3704</v>
      </c>
      <c r="J528" s="2" t="s">
        <v>763</v>
      </c>
      <c r="K528" s="2" t="s">
        <v>74</v>
      </c>
      <c r="L528" s="2" t="s">
        <v>74</v>
      </c>
      <c r="M528" s="2" t="s">
        <v>74</v>
      </c>
      <c r="N528" s="2" t="s">
        <v>74</v>
      </c>
      <c r="O528" s="2" t="s">
        <v>74</v>
      </c>
      <c r="P528" s="2" t="s">
        <v>74</v>
      </c>
      <c r="Q528" s="2" t="s">
        <v>74</v>
      </c>
      <c r="R528" s="2" t="s">
        <v>74</v>
      </c>
      <c r="S528" s="2" t="s">
        <v>74</v>
      </c>
      <c r="T528" s="2" t="s">
        <v>74</v>
      </c>
      <c r="U528" s="2" t="s">
        <v>74</v>
      </c>
      <c r="V528" s="5" t="s">
        <v>3705</v>
      </c>
      <c r="W528" s="2" t="s">
        <v>74</v>
      </c>
      <c r="X528" s="2" t="s">
        <v>74</v>
      </c>
      <c r="Y528" s="2" t="s">
        <v>74</v>
      </c>
      <c r="Z528" s="2" t="s">
        <v>74</v>
      </c>
      <c r="AA528" s="2" t="s">
        <v>3706</v>
      </c>
      <c r="AB528" s="2" t="s">
        <v>3707</v>
      </c>
      <c r="AC528" s="2" t="s">
        <v>74</v>
      </c>
      <c r="AD528" s="2" t="s">
        <v>74</v>
      </c>
      <c r="AE528" s="2" t="s">
        <v>74</v>
      </c>
      <c r="AF528" s="2" t="s">
        <v>74</v>
      </c>
      <c r="AG528" s="2" t="s">
        <v>74</v>
      </c>
      <c r="AH528" s="2" t="s">
        <v>74</v>
      </c>
      <c r="AI528" s="2" t="s">
        <v>74</v>
      </c>
      <c r="AJ528" s="2" t="s">
        <v>74</v>
      </c>
      <c r="AK528" s="2" t="s">
        <v>74</v>
      </c>
      <c r="AL528" s="2" t="s">
        <v>74</v>
      </c>
      <c r="AM528" s="2" t="s">
        <v>74</v>
      </c>
      <c r="AN528" s="2" t="s">
        <v>74</v>
      </c>
      <c r="AO528" s="2" t="s">
        <v>767</v>
      </c>
      <c r="AP528" s="2" t="s">
        <v>74</v>
      </c>
      <c r="AQ528" s="2" t="s">
        <v>74</v>
      </c>
      <c r="AR528" s="2" t="s">
        <v>74</v>
      </c>
      <c r="AS528" s="2" t="s">
        <v>74</v>
      </c>
      <c r="AT528" s="2" t="s">
        <v>145</v>
      </c>
      <c r="AU528" s="2">
        <v>2002</v>
      </c>
      <c r="AV528" s="2">
        <v>205</v>
      </c>
      <c r="AW528" s="2">
        <v>16</v>
      </c>
      <c r="AX528" s="2" t="s">
        <v>74</v>
      </c>
      <c r="AY528" s="2" t="s">
        <v>74</v>
      </c>
      <c r="AZ528" s="2" t="s">
        <v>74</v>
      </c>
      <c r="BA528" s="2" t="s">
        <v>74</v>
      </c>
      <c r="BB528" s="2">
        <v>2535</v>
      </c>
      <c r="BC528" s="2">
        <v>2543</v>
      </c>
      <c r="BD528" s="2" t="s">
        <v>74</v>
      </c>
      <c r="BE528" s="2" t="s">
        <v>74</v>
      </c>
      <c r="BF528" s="2" t="s">
        <v>74</v>
      </c>
      <c r="BG528" s="2" t="s">
        <v>74</v>
      </c>
      <c r="BH528" s="2" t="s">
        <v>74</v>
      </c>
      <c r="BI528" s="2" t="s">
        <v>74</v>
      </c>
      <c r="BJ528" s="2" t="s">
        <v>74</v>
      </c>
      <c r="BK528" s="2" t="s">
        <v>74</v>
      </c>
      <c r="BL528" s="2" t="s">
        <v>74</v>
      </c>
      <c r="BM528" s="2" t="s">
        <v>74</v>
      </c>
      <c r="BN528" s="2">
        <v>12124377</v>
      </c>
      <c r="BO528" s="2" t="s">
        <v>74</v>
      </c>
      <c r="BP528" s="2" t="s">
        <v>74</v>
      </c>
      <c r="BQ528" s="2" t="s">
        <v>74</v>
      </c>
      <c r="BR528" s="2" t="s">
        <v>74</v>
      </c>
      <c r="BS528" s="2" t="s">
        <v>3708</v>
      </c>
      <c r="BT528" s="2" t="str">
        <f>HYPERLINK("https%3A%2F%2Fwww.webofscience.com%2Fwos%2Fwoscc%2Ffull-record%2FWOS:000177855700019","View Full Record in Web of Science")</f>
        <v>View Full Record in Web of Science</v>
      </c>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row>
    <row r="529" spans="1:314" s="2" customFormat="1" x14ac:dyDescent="0.4">
      <c r="A529" s="2" t="s">
        <v>72</v>
      </c>
      <c r="B529" s="2" t="s">
        <v>2515</v>
      </c>
      <c r="C529" s="2" t="s">
        <v>74</v>
      </c>
      <c r="D529" s="2" t="s">
        <v>74</v>
      </c>
      <c r="E529" s="2" t="s">
        <v>74</v>
      </c>
      <c r="F529" s="2" t="s">
        <v>2515</v>
      </c>
      <c r="G529" s="2" t="s">
        <v>74</v>
      </c>
      <c r="H529" s="2" t="s">
        <v>74</v>
      </c>
      <c r="I529" s="2" t="s">
        <v>2516</v>
      </c>
      <c r="J529" s="2" t="s">
        <v>1135</v>
      </c>
      <c r="K529" s="2" t="s">
        <v>74</v>
      </c>
      <c r="L529" s="2" t="s">
        <v>74</v>
      </c>
      <c r="M529" s="2" t="s">
        <v>74</v>
      </c>
      <c r="N529" s="2" t="s">
        <v>74</v>
      </c>
      <c r="O529" s="2" t="s">
        <v>74</v>
      </c>
      <c r="P529" s="2" t="s">
        <v>74</v>
      </c>
      <c r="Q529" s="2" t="s">
        <v>74</v>
      </c>
      <c r="R529" s="2" t="s">
        <v>74</v>
      </c>
      <c r="S529" s="2" t="s">
        <v>74</v>
      </c>
      <c r="T529" s="2" t="s">
        <v>74</v>
      </c>
      <c r="U529" s="2" t="s">
        <v>74</v>
      </c>
      <c r="V529" s="5" t="s">
        <v>2517</v>
      </c>
      <c r="W529" s="2" t="s">
        <v>74</v>
      </c>
      <c r="X529" s="2" t="s">
        <v>74</v>
      </c>
      <c r="Y529" s="2" t="s">
        <v>74</v>
      </c>
      <c r="Z529" s="2" t="s">
        <v>74</v>
      </c>
      <c r="AA529" s="2" t="s">
        <v>2518</v>
      </c>
      <c r="AB529" s="2" t="s">
        <v>2519</v>
      </c>
      <c r="AC529" s="2" t="s">
        <v>74</v>
      </c>
      <c r="AD529" s="2" t="s">
        <v>74</v>
      </c>
      <c r="AE529" s="2" t="s">
        <v>74</v>
      </c>
      <c r="AF529" s="2" t="s">
        <v>74</v>
      </c>
      <c r="AG529" s="2" t="s">
        <v>74</v>
      </c>
      <c r="AH529" s="2" t="s">
        <v>74</v>
      </c>
      <c r="AI529" s="2" t="s">
        <v>74</v>
      </c>
      <c r="AJ529" s="2" t="s">
        <v>74</v>
      </c>
      <c r="AK529" s="2" t="s">
        <v>74</v>
      </c>
      <c r="AL529" s="2" t="s">
        <v>74</v>
      </c>
      <c r="AM529" s="2" t="s">
        <v>74</v>
      </c>
      <c r="AN529" s="2" t="s">
        <v>74</v>
      </c>
      <c r="AO529" s="2" t="s">
        <v>1137</v>
      </c>
      <c r="AP529" s="2" t="s">
        <v>74</v>
      </c>
      <c r="AQ529" s="2" t="s">
        <v>74</v>
      </c>
      <c r="AR529" s="2" t="s">
        <v>74</v>
      </c>
      <c r="AS529" s="2" t="s">
        <v>74</v>
      </c>
      <c r="AT529" s="2" t="s">
        <v>1611</v>
      </c>
      <c r="AU529" s="2">
        <v>1993</v>
      </c>
      <c r="AV529" s="2">
        <v>24</v>
      </c>
      <c r="AW529" s="2">
        <v>1</v>
      </c>
      <c r="AX529" s="2" t="s">
        <v>74</v>
      </c>
      <c r="AY529" s="2" t="s">
        <v>74</v>
      </c>
      <c r="AZ529" s="2" t="s">
        <v>74</v>
      </c>
      <c r="BA529" s="2" t="s">
        <v>74</v>
      </c>
      <c r="BB529" s="2">
        <v>53</v>
      </c>
      <c r="BC529" s="2">
        <v>58</v>
      </c>
      <c r="BD529" s="2" t="s">
        <v>74</v>
      </c>
      <c r="BE529" s="2" t="s">
        <v>2520</v>
      </c>
      <c r="BF529" s="2" t="str">
        <f>HYPERLINK("http://dx.doi.org/10.2307/3676410","http://dx.doi.org/10.2307/3676410")</f>
        <v>http://dx.doi.org/10.2307/3676410</v>
      </c>
      <c r="BG529" s="2" t="s">
        <v>74</v>
      </c>
      <c r="BH529" s="2" t="s">
        <v>74</v>
      </c>
      <c r="BI529" s="2" t="s">
        <v>74</v>
      </c>
      <c r="BJ529" s="2" t="s">
        <v>74</v>
      </c>
      <c r="BK529" s="2" t="s">
        <v>74</v>
      </c>
      <c r="BL529" s="2" t="s">
        <v>74</v>
      </c>
      <c r="BM529" s="2" t="s">
        <v>74</v>
      </c>
      <c r="BN529" s="2" t="s">
        <v>74</v>
      </c>
      <c r="BO529" s="2" t="s">
        <v>74</v>
      </c>
      <c r="BP529" s="2" t="s">
        <v>74</v>
      </c>
      <c r="BQ529" s="2" t="s">
        <v>74</v>
      </c>
      <c r="BR529" s="2" t="s">
        <v>74</v>
      </c>
      <c r="BS529" s="2" t="s">
        <v>2521</v>
      </c>
      <c r="BT529" s="2" t="str">
        <f>HYPERLINK("https%3A%2F%2Fwww.webofscience.com%2Fwos%2Fwoscc%2Ffull-record%2FWOS:A1993KP96900009","View Full Record in Web of Science")</f>
        <v>View Full Record in Web of Science</v>
      </c>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row>
    <row r="530" spans="1:314" s="2" customFormat="1" x14ac:dyDescent="0.4">
      <c r="A530" s="2" t="s">
        <v>72</v>
      </c>
      <c r="B530" s="2" t="s">
        <v>6371</v>
      </c>
      <c r="C530" s="2" t="s">
        <v>74</v>
      </c>
      <c r="D530" s="2" t="s">
        <v>74</v>
      </c>
      <c r="E530" s="2" t="s">
        <v>74</v>
      </c>
      <c r="F530" s="2" t="s">
        <v>6371</v>
      </c>
      <c r="G530" s="2" t="s">
        <v>74</v>
      </c>
      <c r="H530" s="2" t="s">
        <v>74</v>
      </c>
      <c r="I530" s="2" t="s">
        <v>6372</v>
      </c>
      <c r="J530" s="2" t="s">
        <v>6373</v>
      </c>
      <c r="K530" s="2" t="s">
        <v>74</v>
      </c>
      <c r="L530" s="2" t="s">
        <v>74</v>
      </c>
      <c r="M530" s="2" t="s">
        <v>74</v>
      </c>
      <c r="N530" s="2" t="s">
        <v>74</v>
      </c>
      <c r="O530" s="2" t="s">
        <v>6374</v>
      </c>
      <c r="P530" s="2" t="s">
        <v>6375</v>
      </c>
      <c r="Q530" s="2" t="s">
        <v>6376</v>
      </c>
      <c r="R530" s="2" t="s">
        <v>74</v>
      </c>
      <c r="S530" s="2" t="s">
        <v>74</v>
      </c>
      <c r="T530" s="2" t="s">
        <v>74</v>
      </c>
      <c r="U530" s="2" t="s">
        <v>74</v>
      </c>
      <c r="V530" s="5" t="s">
        <v>6377</v>
      </c>
      <c r="W530" s="2" t="s">
        <v>74</v>
      </c>
      <c r="X530" s="2" t="s">
        <v>74</v>
      </c>
      <c r="Y530" s="2" t="s">
        <v>74</v>
      </c>
      <c r="Z530" s="2" t="s">
        <v>74</v>
      </c>
      <c r="AA530" s="2" t="s">
        <v>74</v>
      </c>
      <c r="AB530" s="2" t="s">
        <v>74</v>
      </c>
      <c r="AC530" s="2" t="s">
        <v>74</v>
      </c>
      <c r="AD530" s="2" t="s">
        <v>74</v>
      </c>
      <c r="AE530" s="2" t="s">
        <v>74</v>
      </c>
      <c r="AF530" s="2" t="s">
        <v>74</v>
      </c>
      <c r="AG530" s="2" t="s">
        <v>74</v>
      </c>
      <c r="AH530" s="2" t="s">
        <v>74</v>
      </c>
      <c r="AI530" s="2" t="s">
        <v>74</v>
      </c>
      <c r="AJ530" s="2" t="s">
        <v>74</v>
      </c>
      <c r="AK530" s="2" t="s">
        <v>74</v>
      </c>
      <c r="AL530" s="2" t="s">
        <v>74</v>
      </c>
      <c r="AM530" s="2" t="s">
        <v>74</v>
      </c>
      <c r="AN530" s="2" t="s">
        <v>74</v>
      </c>
      <c r="AO530" s="2" t="s">
        <v>6378</v>
      </c>
      <c r="AP530" s="2" t="s">
        <v>74</v>
      </c>
      <c r="AQ530" s="2" t="s">
        <v>74</v>
      </c>
      <c r="AR530" s="2" t="s">
        <v>74</v>
      </c>
      <c r="AS530" s="2" t="s">
        <v>74</v>
      </c>
      <c r="AT530" s="2" t="s">
        <v>134</v>
      </c>
      <c r="AU530" s="2">
        <v>1997</v>
      </c>
      <c r="AV530" s="2">
        <v>25</v>
      </c>
      <c r="AW530" s="2">
        <v>3</v>
      </c>
      <c r="AX530" s="2" t="s">
        <v>74</v>
      </c>
      <c r="AY530" s="2" t="s">
        <v>74</v>
      </c>
      <c r="AZ530" s="2" t="s">
        <v>74</v>
      </c>
      <c r="BA530" s="2" t="s">
        <v>74</v>
      </c>
      <c r="BB530" s="2">
        <v>233</v>
      </c>
      <c r="BC530" s="2">
        <v>240</v>
      </c>
      <c r="BD530" s="2" t="s">
        <v>74</v>
      </c>
      <c r="BE530" s="2" t="s">
        <v>74</v>
      </c>
      <c r="BF530" s="2" t="s">
        <v>74</v>
      </c>
      <c r="BG530" s="2" t="s">
        <v>74</v>
      </c>
      <c r="BH530" s="2" t="s">
        <v>74</v>
      </c>
      <c r="BI530" s="2" t="s">
        <v>74</v>
      </c>
      <c r="BJ530" s="2" t="s">
        <v>74</v>
      </c>
      <c r="BK530" s="2" t="s">
        <v>74</v>
      </c>
      <c r="BL530" s="2" t="s">
        <v>74</v>
      </c>
      <c r="BM530" s="2" t="s">
        <v>74</v>
      </c>
      <c r="BN530" s="2">
        <v>9289882</v>
      </c>
      <c r="BO530" s="2" t="s">
        <v>74</v>
      </c>
      <c r="BP530" s="2" t="s">
        <v>74</v>
      </c>
      <c r="BQ530" s="2" t="s">
        <v>74</v>
      </c>
      <c r="BR530" s="2" t="s">
        <v>74</v>
      </c>
      <c r="BS530" s="2" t="s">
        <v>6379</v>
      </c>
      <c r="BT530" s="2" t="str">
        <f>HYPERLINK("https%3A%2F%2Fwww.webofscience.com%2Fwos%2Fwoscc%2Ffull-record%2FWOS:A1997XB94300007","View Full Record in Web of Science")</f>
        <v>View Full Record in Web of Science</v>
      </c>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row>
    <row r="531" spans="1:314" s="2" customFormat="1" x14ac:dyDescent="0.4">
      <c r="A531" s="2" t="s">
        <v>72</v>
      </c>
      <c r="B531" s="2" t="s">
        <v>2230</v>
      </c>
      <c r="C531" s="2" t="s">
        <v>74</v>
      </c>
      <c r="D531" s="2" t="s">
        <v>74</v>
      </c>
      <c r="E531" s="2" t="s">
        <v>74</v>
      </c>
      <c r="F531" s="2" t="s">
        <v>2230</v>
      </c>
      <c r="G531" s="2" t="s">
        <v>74</v>
      </c>
      <c r="H531" s="2" t="s">
        <v>74</v>
      </c>
      <c r="I531" s="2" t="s">
        <v>2231</v>
      </c>
      <c r="J531" s="2" t="s">
        <v>2232</v>
      </c>
      <c r="K531" s="2" t="s">
        <v>74</v>
      </c>
      <c r="L531" s="2" t="s">
        <v>74</v>
      </c>
      <c r="M531" s="2" t="s">
        <v>74</v>
      </c>
      <c r="N531" s="2" t="s">
        <v>74</v>
      </c>
      <c r="O531" s="2" t="s">
        <v>74</v>
      </c>
      <c r="P531" s="2" t="s">
        <v>74</v>
      </c>
      <c r="Q531" s="2" t="s">
        <v>74</v>
      </c>
      <c r="R531" s="2" t="s">
        <v>74</v>
      </c>
      <c r="S531" s="2" t="s">
        <v>74</v>
      </c>
      <c r="T531" s="2" t="s">
        <v>74</v>
      </c>
      <c r="U531" s="2" t="s">
        <v>74</v>
      </c>
      <c r="V531" s="5" t="s">
        <v>2233</v>
      </c>
      <c r="W531" s="2" t="s">
        <v>74</v>
      </c>
      <c r="X531" s="2" t="s">
        <v>74</v>
      </c>
      <c r="Y531" s="2" t="s">
        <v>74</v>
      </c>
      <c r="Z531" s="2" t="s">
        <v>74</v>
      </c>
      <c r="AA531" s="2" t="s">
        <v>2234</v>
      </c>
      <c r="AB531" s="2" t="s">
        <v>2235</v>
      </c>
      <c r="AC531" s="2" t="s">
        <v>74</v>
      </c>
      <c r="AD531" s="2" t="s">
        <v>74</v>
      </c>
      <c r="AE531" s="2" t="s">
        <v>74</v>
      </c>
      <c r="AF531" s="2" t="s">
        <v>74</v>
      </c>
      <c r="AG531" s="2" t="s">
        <v>74</v>
      </c>
      <c r="AH531" s="2" t="s">
        <v>74</v>
      </c>
      <c r="AI531" s="2" t="s">
        <v>74</v>
      </c>
      <c r="AJ531" s="2" t="s">
        <v>74</v>
      </c>
      <c r="AK531" s="2" t="s">
        <v>74</v>
      </c>
      <c r="AL531" s="2" t="s">
        <v>74</v>
      </c>
      <c r="AM531" s="2" t="s">
        <v>74</v>
      </c>
      <c r="AN531" s="2" t="s">
        <v>74</v>
      </c>
      <c r="AO531" s="2" t="s">
        <v>2236</v>
      </c>
      <c r="AP531" s="2" t="s">
        <v>2237</v>
      </c>
      <c r="AQ531" s="2" t="s">
        <v>74</v>
      </c>
      <c r="AR531" s="2" t="s">
        <v>74</v>
      </c>
      <c r="AS531" s="2" t="s">
        <v>74</v>
      </c>
      <c r="AT531" s="2" t="s">
        <v>175</v>
      </c>
      <c r="AU531" s="2">
        <v>2002</v>
      </c>
      <c r="AV531" s="2">
        <v>99</v>
      </c>
      <c r="AW531" s="2">
        <v>1</v>
      </c>
      <c r="AX531" s="2" t="s">
        <v>74</v>
      </c>
      <c r="AY531" s="2" t="s">
        <v>74</v>
      </c>
      <c r="AZ531" s="2" t="s">
        <v>74</v>
      </c>
      <c r="BA531" s="2" t="s">
        <v>74</v>
      </c>
      <c r="BB531" s="2">
        <v>184</v>
      </c>
      <c r="BC531" s="2">
        <v>188</v>
      </c>
      <c r="BD531" s="2" t="s">
        <v>74</v>
      </c>
      <c r="BE531" s="2" t="s">
        <v>2238</v>
      </c>
      <c r="BF531" s="2" t="str">
        <f>HYPERLINK("http://dx.doi.org/10.1034/j.1600-0706.2002.990119.x","http://dx.doi.org/10.1034/j.1600-0706.2002.990119.x")</f>
        <v>http://dx.doi.org/10.1034/j.1600-0706.2002.990119.x</v>
      </c>
      <c r="BG531" s="2" t="s">
        <v>74</v>
      </c>
      <c r="BH531" s="2" t="s">
        <v>74</v>
      </c>
      <c r="BI531" s="2" t="s">
        <v>74</v>
      </c>
      <c r="BJ531" s="2" t="s">
        <v>74</v>
      </c>
      <c r="BK531" s="2" t="s">
        <v>74</v>
      </c>
      <c r="BL531" s="2" t="s">
        <v>74</v>
      </c>
      <c r="BM531" s="2" t="s">
        <v>74</v>
      </c>
      <c r="BN531" s="2" t="s">
        <v>74</v>
      </c>
      <c r="BO531" s="2" t="s">
        <v>74</v>
      </c>
      <c r="BP531" s="2" t="s">
        <v>74</v>
      </c>
      <c r="BQ531" s="2" t="s">
        <v>74</v>
      </c>
      <c r="BR531" s="2" t="s">
        <v>74</v>
      </c>
      <c r="BS531" s="2" t="s">
        <v>2239</v>
      </c>
      <c r="BT531" s="2" t="str">
        <f>HYPERLINK("https%3A%2F%2Fwww.webofscience.com%2Fwos%2Fwoscc%2Ffull-record%2FWOS:000178883100019","View Full Record in Web of Science")</f>
        <v>View Full Record in Web of Science</v>
      </c>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row>
    <row r="532" spans="1:314" s="2" customFormat="1" x14ac:dyDescent="0.4">
      <c r="A532" s="2" t="s">
        <v>72</v>
      </c>
      <c r="B532" s="2" t="s">
        <v>6327</v>
      </c>
      <c r="C532" s="2" t="s">
        <v>74</v>
      </c>
      <c r="D532" s="2" t="s">
        <v>74</v>
      </c>
      <c r="E532" s="2" t="s">
        <v>74</v>
      </c>
      <c r="F532" s="2" t="s">
        <v>6328</v>
      </c>
      <c r="G532" s="2" t="s">
        <v>74</v>
      </c>
      <c r="H532" s="2" t="s">
        <v>74</v>
      </c>
      <c r="I532" s="2" t="s">
        <v>6329</v>
      </c>
      <c r="J532" s="2" t="s">
        <v>763</v>
      </c>
      <c r="K532" s="2" t="s">
        <v>74</v>
      </c>
      <c r="L532" s="2" t="s">
        <v>74</v>
      </c>
      <c r="M532" s="2" t="s">
        <v>74</v>
      </c>
      <c r="N532" s="2" t="s">
        <v>74</v>
      </c>
      <c r="O532" s="2" t="s">
        <v>74</v>
      </c>
      <c r="P532" s="2" t="s">
        <v>74</v>
      </c>
      <c r="Q532" s="2" t="s">
        <v>74</v>
      </c>
      <c r="R532" s="2" t="s">
        <v>74</v>
      </c>
      <c r="S532" s="2" t="s">
        <v>74</v>
      </c>
      <c r="T532" s="2" t="s">
        <v>74</v>
      </c>
      <c r="U532" s="2" t="s">
        <v>74</v>
      </c>
      <c r="V532" s="5" t="s">
        <v>6330</v>
      </c>
      <c r="W532" s="2" t="s">
        <v>74</v>
      </c>
      <c r="X532" s="2" t="s">
        <v>74</v>
      </c>
      <c r="Y532" s="2" t="s">
        <v>74</v>
      </c>
      <c r="Z532" s="2" t="s">
        <v>74</v>
      </c>
      <c r="AA532" s="2" t="s">
        <v>6331</v>
      </c>
      <c r="AB532" s="2" t="s">
        <v>74</v>
      </c>
      <c r="AC532" s="2" t="s">
        <v>74</v>
      </c>
      <c r="AD532" s="2" t="s">
        <v>74</v>
      </c>
      <c r="AE532" s="2" t="s">
        <v>74</v>
      </c>
      <c r="AF532" s="2" t="s">
        <v>74</v>
      </c>
      <c r="AG532" s="2" t="s">
        <v>74</v>
      </c>
      <c r="AH532" s="2" t="s">
        <v>74</v>
      </c>
      <c r="AI532" s="2" t="s">
        <v>74</v>
      </c>
      <c r="AJ532" s="2" t="s">
        <v>74</v>
      </c>
      <c r="AK532" s="2" t="s">
        <v>74</v>
      </c>
      <c r="AL532" s="2" t="s">
        <v>74</v>
      </c>
      <c r="AM532" s="2" t="s">
        <v>74</v>
      </c>
      <c r="AN532" s="2" t="s">
        <v>74</v>
      </c>
      <c r="AO532" s="2" t="s">
        <v>767</v>
      </c>
      <c r="AP532" s="2" t="s">
        <v>768</v>
      </c>
      <c r="AQ532" s="2" t="s">
        <v>74</v>
      </c>
      <c r="AR532" s="2" t="s">
        <v>74</v>
      </c>
      <c r="AS532" s="2" t="s">
        <v>74</v>
      </c>
      <c r="AT532" s="2" t="s">
        <v>1146</v>
      </c>
      <c r="AU532" s="2">
        <v>2008</v>
      </c>
      <c r="AV532" s="2">
        <v>211</v>
      </c>
      <c r="AW532" s="2">
        <v>15</v>
      </c>
      <c r="AX532" s="2" t="s">
        <v>74</v>
      </c>
      <c r="AY532" s="2" t="s">
        <v>74</v>
      </c>
      <c r="AZ532" s="2" t="s">
        <v>74</v>
      </c>
      <c r="BA532" s="2" t="s">
        <v>74</v>
      </c>
      <c r="BB532" s="2">
        <v>2519</v>
      </c>
      <c r="BC532" s="2">
        <v>2523</v>
      </c>
      <c r="BD532" s="2" t="s">
        <v>74</v>
      </c>
      <c r="BE532" s="2" t="s">
        <v>6332</v>
      </c>
      <c r="BF532" s="2" t="str">
        <f>HYPERLINK("http://dx.doi.org/10.1242/jeb.017327","http://dx.doi.org/10.1242/jeb.017327")</f>
        <v>http://dx.doi.org/10.1242/jeb.017327</v>
      </c>
      <c r="BG532" s="2" t="s">
        <v>74</v>
      </c>
      <c r="BH532" s="2" t="s">
        <v>74</v>
      </c>
      <c r="BI532" s="2" t="s">
        <v>74</v>
      </c>
      <c r="BJ532" s="2" t="s">
        <v>74</v>
      </c>
      <c r="BK532" s="2" t="s">
        <v>74</v>
      </c>
      <c r="BL532" s="2" t="s">
        <v>74</v>
      </c>
      <c r="BM532" s="2" t="s">
        <v>74</v>
      </c>
      <c r="BN532" s="2">
        <v>18626087</v>
      </c>
      <c r="BO532" s="2" t="s">
        <v>74</v>
      </c>
      <c r="BP532" s="2" t="s">
        <v>74</v>
      </c>
      <c r="BQ532" s="2" t="s">
        <v>74</v>
      </c>
      <c r="BR532" s="2" t="s">
        <v>74</v>
      </c>
      <c r="BS532" s="2" t="s">
        <v>6333</v>
      </c>
      <c r="BT532" s="2" t="str">
        <f>HYPERLINK("https%3A%2F%2Fwww.webofscience.com%2Fwos%2Fwoscc%2Ffull-record%2FWOS:000257620300027","View Full Record in Web of Science")</f>
        <v>View Full Record in Web of Science</v>
      </c>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row>
    <row r="533" spans="1:314" s="2" customFormat="1" x14ac:dyDescent="0.4">
      <c r="A533" s="2" t="s">
        <v>72</v>
      </c>
      <c r="B533" s="2" t="s">
        <v>1971</v>
      </c>
      <c r="C533" s="2" t="s">
        <v>74</v>
      </c>
      <c r="D533" s="2" t="s">
        <v>74</v>
      </c>
      <c r="E533" s="2" t="s">
        <v>74</v>
      </c>
      <c r="F533" s="2" t="s">
        <v>1972</v>
      </c>
      <c r="G533" s="2" t="s">
        <v>74</v>
      </c>
      <c r="H533" s="2" t="s">
        <v>74</v>
      </c>
      <c r="I533" s="2" t="s">
        <v>1973</v>
      </c>
      <c r="J533" s="2" t="s">
        <v>970</v>
      </c>
      <c r="K533" s="2" t="s">
        <v>74</v>
      </c>
      <c r="L533" s="2" t="s">
        <v>74</v>
      </c>
      <c r="M533" s="2" t="s">
        <v>74</v>
      </c>
      <c r="N533" s="2" t="s">
        <v>74</v>
      </c>
      <c r="O533" s="2" t="s">
        <v>74</v>
      </c>
      <c r="P533" s="2" t="s">
        <v>74</v>
      </c>
      <c r="Q533" s="2" t="s">
        <v>74</v>
      </c>
      <c r="R533" s="2" t="s">
        <v>74</v>
      </c>
      <c r="S533" s="2" t="s">
        <v>74</v>
      </c>
      <c r="T533" s="2" t="s">
        <v>74</v>
      </c>
      <c r="U533" s="2" t="s">
        <v>74</v>
      </c>
      <c r="V533" s="5" t="s">
        <v>1974</v>
      </c>
      <c r="W533" s="2" t="s">
        <v>74</v>
      </c>
      <c r="X533" s="2" t="s">
        <v>74</v>
      </c>
      <c r="Y533" s="2" t="s">
        <v>74</v>
      </c>
      <c r="Z533" s="2" t="s">
        <v>74</v>
      </c>
      <c r="AA533" s="2" t="s">
        <v>1975</v>
      </c>
      <c r="AB533" s="2" t="s">
        <v>1976</v>
      </c>
      <c r="AC533" s="2" t="s">
        <v>74</v>
      </c>
      <c r="AD533" s="2" t="s">
        <v>74</v>
      </c>
      <c r="AE533" s="2" t="s">
        <v>74</v>
      </c>
      <c r="AF533" s="2" t="s">
        <v>74</v>
      </c>
      <c r="AG533" s="2" t="s">
        <v>74</v>
      </c>
      <c r="AH533" s="2" t="s">
        <v>74</v>
      </c>
      <c r="AI533" s="2" t="s">
        <v>74</v>
      </c>
      <c r="AJ533" s="2" t="s">
        <v>74</v>
      </c>
      <c r="AK533" s="2" t="s">
        <v>74</v>
      </c>
      <c r="AL533" s="2" t="s">
        <v>74</v>
      </c>
      <c r="AM533" s="2" t="s">
        <v>74</v>
      </c>
      <c r="AN533" s="2" t="s">
        <v>74</v>
      </c>
      <c r="AO533" s="2" t="s">
        <v>974</v>
      </c>
      <c r="AP533" s="2" t="s">
        <v>975</v>
      </c>
      <c r="AQ533" s="2" t="s">
        <v>74</v>
      </c>
      <c r="AR533" s="2" t="s">
        <v>74</v>
      </c>
      <c r="AS533" s="2" t="s">
        <v>74</v>
      </c>
      <c r="AT533" s="2" t="s">
        <v>175</v>
      </c>
      <c r="AU533" s="2">
        <v>2006</v>
      </c>
      <c r="AV533" s="2">
        <v>147</v>
      </c>
      <c r="AW533" s="2">
        <v>4</v>
      </c>
      <c r="AX533" s="2" t="s">
        <v>74</v>
      </c>
      <c r="AY533" s="2" t="s">
        <v>74</v>
      </c>
      <c r="AZ533" s="2" t="s">
        <v>74</v>
      </c>
      <c r="BA533" s="2" t="s">
        <v>74</v>
      </c>
      <c r="BB533" s="2">
        <v>629</v>
      </c>
      <c r="BC533" s="2">
        <v>637</v>
      </c>
      <c r="BD533" s="2" t="s">
        <v>74</v>
      </c>
      <c r="BE533" s="2" t="s">
        <v>1977</v>
      </c>
      <c r="BF533" s="2" t="str">
        <f>HYPERLINK("http://dx.doi.org/10.1007/s10336-006-0088-y","http://dx.doi.org/10.1007/s10336-006-0088-y")</f>
        <v>http://dx.doi.org/10.1007/s10336-006-0088-y</v>
      </c>
      <c r="BG533" s="2" t="s">
        <v>74</v>
      </c>
      <c r="BH533" s="2" t="s">
        <v>74</v>
      </c>
      <c r="BI533" s="2" t="s">
        <v>74</v>
      </c>
      <c r="BJ533" s="2" t="s">
        <v>74</v>
      </c>
      <c r="BK533" s="2" t="s">
        <v>74</v>
      </c>
      <c r="BL533" s="2" t="s">
        <v>74</v>
      </c>
      <c r="BM533" s="2" t="s">
        <v>74</v>
      </c>
      <c r="BN533" s="2" t="s">
        <v>74</v>
      </c>
      <c r="BO533" s="2" t="s">
        <v>74</v>
      </c>
      <c r="BP533" s="2" t="s">
        <v>74</v>
      </c>
      <c r="BQ533" s="2" t="s">
        <v>74</v>
      </c>
      <c r="BR533" s="2" t="s">
        <v>74</v>
      </c>
      <c r="BS533" s="2" t="s">
        <v>1978</v>
      </c>
      <c r="BT533" s="2" t="str">
        <f>HYPERLINK("https%3A%2F%2Fwww.webofscience.com%2Fwos%2Fwoscc%2Ffull-record%2FWOS:000241113000015","View Full Record in Web of Science")</f>
        <v>View Full Record in Web of Science</v>
      </c>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row>
    <row r="534" spans="1:314" s="2" customFormat="1" x14ac:dyDescent="0.4">
      <c r="A534" s="2" t="s">
        <v>72</v>
      </c>
      <c r="B534" s="2" t="s">
        <v>3151</v>
      </c>
      <c r="C534" s="2" t="s">
        <v>74</v>
      </c>
      <c r="D534" s="2" t="s">
        <v>74</v>
      </c>
      <c r="E534" s="2" t="s">
        <v>74</v>
      </c>
      <c r="F534" s="2" t="s">
        <v>3152</v>
      </c>
      <c r="G534" s="2" t="s">
        <v>74</v>
      </c>
      <c r="H534" s="2" t="s">
        <v>74</v>
      </c>
      <c r="I534" s="2" t="s">
        <v>3153</v>
      </c>
      <c r="J534" s="2" t="s">
        <v>2232</v>
      </c>
      <c r="K534" s="2" t="s">
        <v>74</v>
      </c>
      <c r="L534" s="2" t="s">
        <v>74</v>
      </c>
      <c r="M534" s="2" t="s">
        <v>74</v>
      </c>
      <c r="N534" s="2" t="s">
        <v>74</v>
      </c>
      <c r="O534" s="2" t="s">
        <v>74</v>
      </c>
      <c r="P534" s="2" t="s">
        <v>74</v>
      </c>
      <c r="Q534" s="2" t="s">
        <v>74</v>
      </c>
      <c r="R534" s="2" t="s">
        <v>74</v>
      </c>
      <c r="S534" s="2" t="s">
        <v>74</v>
      </c>
      <c r="T534" s="2" t="s">
        <v>74</v>
      </c>
      <c r="U534" s="2" t="s">
        <v>74</v>
      </c>
      <c r="V534" s="5" t="s">
        <v>3154</v>
      </c>
      <c r="W534" s="2" t="s">
        <v>74</v>
      </c>
      <c r="X534" s="2" t="s">
        <v>74</v>
      </c>
      <c r="Y534" s="2" t="s">
        <v>74</v>
      </c>
      <c r="Z534" s="2" t="s">
        <v>74</v>
      </c>
      <c r="AA534" s="2" t="s">
        <v>3155</v>
      </c>
      <c r="AB534" s="2" t="s">
        <v>3156</v>
      </c>
      <c r="AC534" s="2" t="s">
        <v>74</v>
      </c>
      <c r="AD534" s="2" t="s">
        <v>74</v>
      </c>
      <c r="AE534" s="2" t="s">
        <v>74</v>
      </c>
      <c r="AF534" s="2" t="s">
        <v>74</v>
      </c>
      <c r="AG534" s="2" t="s">
        <v>74</v>
      </c>
      <c r="AH534" s="2" t="s">
        <v>74</v>
      </c>
      <c r="AI534" s="2" t="s">
        <v>74</v>
      </c>
      <c r="AJ534" s="2" t="s">
        <v>74</v>
      </c>
      <c r="AK534" s="2" t="s">
        <v>74</v>
      </c>
      <c r="AL534" s="2" t="s">
        <v>74</v>
      </c>
      <c r="AM534" s="2" t="s">
        <v>74</v>
      </c>
      <c r="AN534" s="2" t="s">
        <v>74</v>
      </c>
      <c r="AO534" s="2" t="s">
        <v>2236</v>
      </c>
      <c r="AP534" s="2" t="s">
        <v>74</v>
      </c>
      <c r="AQ534" s="2" t="s">
        <v>74</v>
      </c>
      <c r="AR534" s="2" t="s">
        <v>74</v>
      </c>
      <c r="AS534" s="2" t="s">
        <v>74</v>
      </c>
      <c r="AT534" s="2" t="s">
        <v>102</v>
      </c>
      <c r="AU534" s="2">
        <v>2011</v>
      </c>
      <c r="AV534" s="2">
        <v>120</v>
      </c>
      <c r="AW534" s="2">
        <v>6</v>
      </c>
      <c r="AX534" s="2" t="s">
        <v>74</v>
      </c>
      <c r="AY534" s="2" t="s">
        <v>74</v>
      </c>
      <c r="AZ534" s="2" t="s">
        <v>74</v>
      </c>
      <c r="BA534" s="2" t="s">
        <v>74</v>
      </c>
      <c r="BB534" s="2">
        <v>855</v>
      </c>
      <c r="BC534" s="2">
        <v>861</v>
      </c>
      <c r="BD534" s="2" t="s">
        <v>74</v>
      </c>
      <c r="BE534" s="2" t="s">
        <v>3157</v>
      </c>
      <c r="BF534" s="2" t="str">
        <f>HYPERLINK("http://dx.doi.org/10.1111/j.1600-0706.2010.19056.x","http://dx.doi.org/10.1111/j.1600-0706.2010.19056.x")</f>
        <v>http://dx.doi.org/10.1111/j.1600-0706.2010.19056.x</v>
      </c>
      <c r="BG534" s="2" t="s">
        <v>74</v>
      </c>
      <c r="BH534" s="2" t="s">
        <v>74</v>
      </c>
      <c r="BI534" s="2" t="s">
        <v>74</v>
      </c>
      <c r="BJ534" s="2" t="s">
        <v>74</v>
      </c>
      <c r="BK534" s="2" t="s">
        <v>74</v>
      </c>
      <c r="BL534" s="2" t="s">
        <v>74</v>
      </c>
      <c r="BM534" s="2" t="s">
        <v>74</v>
      </c>
      <c r="BN534" s="2" t="s">
        <v>74</v>
      </c>
      <c r="BO534" s="2" t="s">
        <v>74</v>
      </c>
      <c r="BP534" s="2" t="s">
        <v>74</v>
      </c>
      <c r="BQ534" s="2" t="s">
        <v>74</v>
      </c>
      <c r="BR534" s="2" t="s">
        <v>74</v>
      </c>
      <c r="BS534" s="2" t="s">
        <v>3158</v>
      </c>
      <c r="BT534" s="2" t="str">
        <f>HYPERLINK("https%3A%2F%2Fwww.webofscience.com%2Fwos%2Fwoscc%2Ffull-record%2FWOS:000290871400007","View Full Record in Web of Science")</f>
        <v>View Full Record in Web of Science</v>
      </c>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row>
    <row r="535" spans="1:314" s="2" customFormat="1" x14ac:dyDescent="0.4">
      <c r="A535" s="2" t="s">
        <v>72</v>
      </c>
      <c r="B535" s="2" t="s">
        <v>2608</v>
      </c>
      <c r="C535" s="2" t="s">
        <v>74</v>
      </c>
      <c r="D535" s="2" t="s">
        <v>74</v>
      </c>
      <c r="E535" s="2" t="s">
        <v>74</v>
      </c>
      <c r="F535" s="2" t="s">
        <v>2609</v>
      </c>
      <c r="G535" s="2" t="s">
        <v>74</v>
      </c>
      <c r="H535" s="2" t="s">
        <v>74</v>
      </c>
      <c r="I535" s="2" t="s">
        <v>2610</v>
      </c>
      <c r="J535" s="2" t="s">
        <v>1126</v>
      </c>
      <c r="K535" s="2" t="s">
        <v>74</v>
      </c>
      <c r="L535" s="2" t="s">
        <v>74</v>
      </c>
      <c r="M535" s="2" t="s">
        <v>74</v>
      </c>
      <c r="N535" s="2" t="s">
        <v>74</v>
      </c>
      <c r="O535" s="2" t="s">
        <v>74</v>
      </c>
      <c r="P535" s="2" t="s">
        <v>74</v>
      </c>
      <c r="Q535" s="2" t="s">
        <v>74</v>
      </c>
      <c r="R535" s="2" t="s">
        <v>74</v>
      </c>
      <c r="S535" s="2" t="s">
        <v>74</v>
      </c>
      <c r="T535" s="2" t="s">
        <v>74</v>
      </c>
      <c r="U535" s="2" t="s">
        <v>74</v>
      </c>
      <c r="V535" s="5" t="s">
        <v>2611</v>
      </c>
      <c r="W535" s="2" t="s">
        <v>74</v>
      </c>
      <c r="X535" s="2" t="s">
        <v>74</v>
      </c>
      <c r="Y535" s="2" t="s">
        <v>74</v>
      </c>
      <c r="Z535" s="2" t="s">
        <v>74</v>
      </c>
      <c r="AA535" s="2" t="s">
        <v>2612</v>
      </c>
      <c r="AB535" s="2" t="s">
        <v>74</v>
      </c>
      <c r="AC535" s="2" t="s">
        <v>74</v>
      </c>
      <c r="AD535" s="2" t="s">
        <v>74</v>
      </c>
      <c r="AE535" s="2" t="s">
        <v>74</v>
      </c>
      <c r="AF535" s="2" t="s">
        <v>74</v>
      </c>
      <c r="AG535" s="2" t="s">
        <v>74</v>
      </c>
      <c r="AH535" s="2" t="s">
        <v>74</v>
      </c>
      <c r="AI535" s="2" t="s">
        <v>74</v>
      </c>
      <c r="AJ535" s="2" t="s">
        <v>74</v>
      </c>
      <c r="AK535" s="2" t="s">
        <v>74</v>
      </c>
      <c r="AL535" s="2" t="s">
        <v>74</v>
      </c>
      <c r="AM535" s="2" t="s">
        <v>74</v>
      </c>
      <c r="AN535" s="2" t="s">
        <v>74</v>
      </c>
      <c r="AO535" s="2" t="s">
        <v>1128</v>
      </c>
      <c r="AP535" s="2" t="s">
        <v>1129</v>
      </c>
      <c r="AQ535" s="2" t="s">
        <v>74</v>
      </c>
      <c r="AR535" s="2" t="s">
        <v>74</v>
      </c>
      <c r="AS535" s="2" t="s">
        <v>74</v>
      </c>
      <c r="AT535" s="2" t="s">
        <v>1116</v>
      </c>
      <c r="AU535" s="2">
        <v>2010</v>
      </c>
      <c r="AV535" s="2" t="s">
        <v>74</v>
      </c>
      <c r="AW535" s="2">
        <v>2</v>
      </c>
      <c r="AX535" s="2" t="s">
        <v>74</v>
      </c>
      <c r="AY535" s="2" t="s">
        <v>74</v>
      </c>
      <c r="AZ535" s="2" t="s">
        <v>74</v>
      </c>
      <c r="BA535" s="2" t="s">
        <v>74</v>
      </c>
      <c r="BB535" s="2">
        <v>196</v>
      </c>
      <c r="BC535" s="2">
        <v>202</v>
      </c>
      <c r="BD535" s="2" t="s">
        <v>74</v>
      </c>
      <c r="BE535" s="2" t="s">
        <v>2613</v>
      </c>
      <c r="BF535" s="2" t="str">
        <f>HYPERLINK("http://dx.doi.org/10.1643/CG-09-044","http://dx.doi.org/10.1643/CG-09-044")</f>
        <v>http://dx.doi.org/10.1643/CG-09-044</v>
      </c>
      <c r="BG535" s="2" t="s">
        <v>74</v>
      </c>
      <c r="BH535" s="2" t="s">
        <v>74</v>
      </c>
      <c r="BI535" s="2" t="s">
        <v>74</v>
      </c>
      <c r="BJ535" s="2" t="s">
        <v>74</v>
      </c>
      <c r="BK535" s="2" t="s">
        <v>74</v>
      </c>
      <c r="BL535" s="2" t="s">
        <v>74</v>
      </c>
      <c r="BM535" s="2" t="s">
        <v>74</v>
      </c>
      <c r="BN535" s="2" t="s">
        <v>74</v>
      </c>
      <c r="BO535" s="2" t="s">
        <v>74</v>
      </c>
      <c r="BP535" s="2" t="s">
        <v>74</v>
      </c>
      <c r="BQ535" s="2" t="s">
        <v>74</v>
      </c>
      <c r="BR535" s="2" t="s">
        <v>74</v>
      </c>
      <c r="BS535" s="2" t="s">
        <v>2614</v>
      </c>
      <c r="BT535" s="2" t="str">
        <f>HYPERLINK("https%3A%2F%2Fwww.webofscience.com%2Fwos%2Fwoscc%2Ffull-record%2FWOS:000278428900002","View Full Record in Web of Science")</f>
        <v>View Full Record in Web of Science</v>
      </c>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row>
    <row r="536" spans="1:314" s="2" customFormat="1" x14ac:dyDescent="0.4">
      <c r="A536" s="2" t="s">
        <v>72</v>
      </c>
      <c r="B536" s="2" t="s">
        <v>3799</v>
      </c>
      <c r="C536" s="2" t="s">
        <v>74</v>
      </c>
      <c r="D536" s="2" t="s">
        <v>74</v>
      </c>
      <c r="E536" s="2" t="s">
        <v>74</v>
      </c>
      <c r="F536" s="2" t="s">
        <v>3800</v>
      </c>
      <c r="G536" s="2" t="s">
        <v>74</v>
      </c>
      <c r="H536" s="2" t="s">
        <v>74</v>
      </c>
      <c r="I536" s="2" t="s">
        <v>3801</v>
      </c>
      <c r="J536" s="2" t="s">
        <v>3026</v>
      </c>
      <c r="K536" s="2" t="s">
        <v>74</v>
      </c>
      <c r="L536" s="2" t="s">
        <v>74</v>
      </c>
      <c r="M536" s="2" t="s">
        <v>74</v>
      </c>
      <c r="N536" s="2" t="s">
        <v>74</v>
      </c>
      <c r="O536" s="2" t="s">
        <v>74</v>
      </c>
      <c r="P536" s="2" t="s">
        <v>74</v>
      </c>
      <c r="Q536" s="2" t="s">
        <v>74</v>
      </c>
      <c r="R536" s="2" t="s">
        <v>74</v>
      </c>
      <c r="S536" s="2" t="s">
        <v>74</v>
      </c>
      <c r="T536" s="2" t="s">
        <v>74</v>
      </c>
      <c r="U536" s="2" t="s">
        <v>74</v>
      </c>
      <c r="V536" s="5" t="s">
        <v>3802</v>
      </c>
      <c r="W536" s="2" t="s">
        <v>74</v>
      </c>
      <c r="X536" s="2" t="s">
        <v>74</v>
      </c>
      <c r="Y536" s="2" t="s">
        <v>74</v>
      </c>
      <c r="Z536" s="2" t="s">
        <v>74</v>
      </c>
      <c r="AA536" s="2" t="s">
        <v>74</v>
      </c>
      <c r="AB536" s="2" t="s">
        <v>74</v>
      </c>
      <c r="AC536" s="2" t="s">
        <v>74</v>
      </c>
      <c r="AD536" s="2" t="s">
        <v>74</v>
      </c>
      <c r="AE536" s="2" t="s">
        <v>74</v>
      </c>
      <c r="AF536" s="2" t="s">
        <v>74</v>
      </c>
      <c r="AG536" s="2" t="s">
        <v>74</v>
      </c>
      <c r="AH536" s="2" t="s">
        <v>74</v>
      </c>
      <c r="AI536" s="2" t="s">
        <v>74</v>
      </c>
      <c r="AJ536" s="2" t="s">
        <v>74</v>
      </c>
      <c r="AK536" s="2" t="s">
        <v>74</v>
      </c>
      <c r="AL536" s="2" t="s">
        <v>74</v>
      </c>
      <c r="AM536" s="2" t="s">
        <v>74</v>
      </c>
      <c r="AN536" s="2" t="s">
        <v>74</v>
      </c>
      <c r="AO536" s="2" t="s">
        <v>3030</v>
      </c>
      <c r="AP536" s="2" t="s">
        <v>74</v>
      </c>
      <c r="AQ536" s="2" t="s">
        <v>74</v>
      </c>
      <c r="AR536" s="2" t="s">
        <v>74</v>
      </c>
      <c r="AS536" s="2" t="s">
        <v>74</v>
      </c>
      <c r="AT536" s="2" t="s">
        <v>3803</v>
      </c>
      <c r="AU536" s="2">
        <v>2014</v>
      </c>
      <c r="AV536" s="2">
        <v>3</v>
      </c>
      <c r="AW536" s="2">
        <v>3</v>
      </c>
      <c r="AX536" s="2" t="s">
        <v>74</v>
      </c>
      <c r="AY536" s="2" t="s">
        <v>74</v>
      </c>
      <c r="AZ536" s="2" t="s">
        <v>74</v>
      </c>
      <c r="BA536" s="2" t="s">
        <v>74</v>
      </c>
      <c r="BB536" s="2">
        <v>221</v>
      </c>
      <c r="BC536" s="2">
        <v>230</v>
      </c>
      <c r="BD536" s="2" t="s">
        <v>74</v>
      </c>
      <c r="BE536" s="2" t="s">
        <v>3804</v>
      </c>
      <c r="BF536" s="2" t="str">
        <f>HYPERLINK("http://dx.doi.org/10.1242/bio.20146445","http://dx.doi.org/10.1242/bio.20146445")</f>
        <v>http://dx.doi.org/10.1242/bio.20146445</v>
      </c>
      <c r="BG536" s="2" t="s">
        <v>74</v>
      </c>
      <c r="BH536" s="2" t="s">
        <v>74</v>
      </c>
      <c r="BI536" s="2" t="s">
        <v>74</v>
      </c>
      <c r="BJ536" s="2" t="s">
        <v>74</v>
      </c>
      <c r="BK536" s="2" t="s">
        <v>74</v>
      </c>
      <c r="BL536" s="2" t="s">
        <v>74</v>
      </c>
      <c r="BM536" s="2" t="s">
        <v>74</v>
      </c>
      <c r="BN536" s="2">
        <v>24585774</v>
      </c>
      <c r="BO536" s="2" t="s">
        <v>74</v>
      </c>
      <c r="BP536" s="2" t="s">
        <v>74</v>
      </c>
      <c r="BQ536" s="2" t="s">
        <v>74</v>
      </c>
      <c r="BR536" s="2" t="s">
        <v>74</v>
      </c>
      <c r="BS536" s="2" t="s">
        <v>3805</v>
      </c>
      <c r="BT536" s="2" t="str">
        <f>HYPERLINK("https%3A%2F%2Fwww.webofscience.com%2Fwos%2Fwoscc%2Ffull-record%2FWOS:000348066100005","View Full Record in Web of Science")</f>
        <v>View Full Record in Web of Science</v>
      </c>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row>
    <row r="537" spans="1:314" s="2" customFormat="1" x14ac:dyDescent="0.4">
      <c r="A537" s="2" t="s">
        <v>72</v>
      </c>
      <c r="B537" s="2" t="s">
        <v>2272</v>
      </c>
      <c r="C537" s="2" t="s">
        <v>74</v>
      </c>
      <c r="D537" s="2" t="s">
        <v>74</v>
      </c>
      <c r="E537" s="2" t="s">
        <v>74</v>
      </c>
      <c r="F537" s="2" t="s">
        <v>2273</v>
      </c>
      <c r="G537" s="2" t="s">
        <v>74</v>
      </c>
      <c r="H537" s="2" t="s">
        <v>74</v>
      </c>
      <c r="I537" s="2" t="s">
        <v>2274</v>
      </c>
      <c r="J537" s="2" t="s">
        <v>2275</v>
      </c>
      <c r="K537" s="2" t="s">
        <v>74</v>
      </c>
      <c r="L537" s="2" t="s">
        <v>74</v>
      </c>
      <c r="M537" s="2" t="s">
        <v>74</v>
      </c>
      <c r="N537" s="2" t="s">
        <v>74</v>
      </c>
      <c r="O537" s="2" t="s">
        <v>74</v>
      </c>
      <c r="P537" s="2" t="s">
        <v>74</v>
      </c>
      <c r="Q537" s="2" t="s">
        <v>74</v>
      </c>
      <c r="R537" s="2" t="s">
        <v>74</v>
      </c>
      <c r="S537" s="2" t="s">
        <v>74</v>
      </c>
      <c r="T537" s="2" t="s">
        <v>74</v>
      </c>
      <c r="U537" s="2" t="s">
        <v>74</v>
      </c>
      <c r="V537" s="5" t="s">
        <v>2276</v>
      </c>
      <c r="W537" s="2" t="s">
        <v>74</v>
      </c>
      <c r="X537" s="2" t="s">
        <v>74</v>
      </c>
      <c r="Y537" s="2" t="s">
        <v>74</v>
      </c>
      <c r="Z537" s="2" t="s">
        <v>74</v>
      </c>
      <c r="AA537" s="2" t="s">
        <v>2277</v>
      </c>
      <c r="AB537" s="2" t="s">
        <v>2278</v>
      </c>
      <c r="AC537" s="2" t="s">
        <v>74</v>
      </c>
      <c r="AD537" s="2" t="s">
        <v>74</v>
      </c>
      <c r="AE537" s="2" t="s">
        <v>74</v>
      </c>
      <c r="AF537" s="2" t="s">
        <v>74</v>
      </c>
      <c r="AG537" s="2" t="s">
        <v>74</v>
      </c>
      <c r="AH537" s="2" t="s">
        <v>74</v>
      </c>
      <c r="AI537" s="2" t="s">
        <v>74</v>
      </c>
      <c r="AJ537" s="2" t="s">
        <v>74</v>
      </c>
      <c r="AK537" s="2" t="s">
        <v>74</v>
      </c>
      <c r="AL537" s="2" t="s">
        <v>74</v>
      </c>
      <c r="AM537" s="2" t="s">
        <v>74</v>
      </c>
      <c r="AN537" s="2" t="s">
        <v>74</v>
      </c>
      <c r="AO537" s="2" t="s">
        <v>2279</v>
      </c>
      <c r="AP537" s="2" t="s">
        <v>2280</v>
      </c>
      <c r="AQ537" s="2" t="s">
        <v>74</v>
      </c>
      <c r="AR537" s="2" t="s">
        <v>74</v>
      </c>
      <c r="AS537" s="2" t="s">
        <v>74</v>
      </c>
      <c r="AT537" s="2" t="s">
        <v>2281</v>
      </c>
      <c r="AU537" s="2">
        <v>2019</v>
      </c>
      <c r="AV537" s="2" t="s">
        <v>74</v>
      </c>
      <c r="AW537" s="2" t="s">
        <v>74</v>
      </c>
      <c r="AX537" s="2" t="s">
        <v>74</v>
      </c>
      <c r="AY537" s="2" t="s">
        <v>74</v>
      </c>
      <c r="AZ537" s="2" t="s">
        <v>74</v>
      </c>
      <c r="BA537" s="2" t="s">
        <v>74</v>
      </c>
      <c r="BB537" s="2" t="s">
        <v>74</v>
      </c>
      <c r="BC537" s="2" t="s">
        <v>74</v>
      </c>
      <c r="BD537" s="2" t="s">
        <v>74</v>
      </c>
      <c r="BE537" s="2" t="s">
        <v>2282</v>
      </c>
      <c r="BF537" s="2" t="str">
        <f>HYPERLINK("http://dx.doi.org/10.1080/14772000.2019.1687603","http://dx.doi.org/10.1080/14772000.2019.1687603")</f>
        <v>http://dx.doi.org/10.1080/14772000.2019.1687603</v>
      </c>
      <c r="BG537" s="2" t="s">
        <v>74</v>
      </c>
      <c r="BH537" s="2" t="s">
        <v>2283</v>
      </c>
      <c r="BI537" s="2" t="s">
        <v>74</v>
      </c>
      <c r="BJ537" s="2" t="s">
        <v>74</v>
      </c>
      <c r="BK537" s="2" t="s">
        <v>74</v>
      </c>
      <c r="BL537" s="2" t="s">
        <v>74</v>
      </c>
      <c r="BM537" s="2" t="s">
        <v>74</v>
      </c>
      <c r="BN537" s="2" t="s">
        <v>74</v>
      </c>
      <c r="BO537" s="2" t="s">
        <v>74</v>
      </c>
      <c r="BP537" s="2" t="s">
        <v>74</v>
      </c>
      <c r="BQ537" s="2" t="s">
        <v>74</v>
      </c>
      <c r="BR537" s="2" t="s">
        <v>74</v>
      </c>
      <c r="BS537" s="2" t="s">
        <v>2284</v>
      </c>
      <c r="BT537" s="2" t="str">
        <f>HYPERLINK("https%3A%2F%2Fwww.webofscience.com%2Fwos%2Fwoscc%2Ffull-record%2FWOS:000499312800001","View Full Record in Web of Science")</f>
        <v>View Full Record in Web of Science</v>
      </c>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row>
    <row r="538" spans="1:314" s="2" customFormat="1" x14ac:dyDescent="0.4">
      <c r="A538" s="2" t="s">
        <v>72</v>
      </c>
      <c r="B538" s="2" t="s">
        <v>3966</v>
      </c>
      <c r="C538" s="2" t="s">
        <v>74</v>
      </c>
      <c r="D538" s="2" t="s">
        <v>74</v>
      </c>
      <c r="E538" s="2" t="s">
        <v>74</v>
      </c>
      <c r="F538" s="2" t="s">
        <v>3966</v>
      </c>
      <c r="G538" s="2" t="s">
        <v>74</v>
      </c>
      <c r="H538" s="2" t="s">
        <v>74</v>
      </c>
      <c r="I538" s="2" t="s">
        <v>3967</v>
      </c>
      <c r="J538" s="2" t="s">
        <v>610</v>
      </c>
      <c r="K538" s="2" t="s">
        <v>74</v>
      </c>
      <c r="L538" s="2" t="s">
        <v>74</v>
      </c>
      <c r="M538" s="2" t="s">
        <v>74</v>
      </c>
      <c r="N538" s="2" t="s">
        <v>74</v>
      </c>
      <c r="O538" s="2" t="s">
        <v>74</v>
      </c>
      <c r="P538" s="2" t="s">
        <v>74</v>
      </c>
      <c r="Q538" s="2" t="s">
        <v>74</v>
      </c>
      <c r="R538" s="2" t="s">
        <v>74</v>
      </c>
      <c r="S538" s="2" t="s">
        <v>74</v>
      </c>
      <c r="T538" s="2" t="s">
        <v>74</v>
      </c>
      <c r="U538" s="2" t="s">
        <v>74</v>
      </c>
      <c r="V538" s="5" t="s">
        <v>3968</v>
      </c>
      <c r="W538" s="2" t="s">
        <v>74</v>
      </c>
      <c r="X538" s="2" t="s">
        <v>74</v>
      </c>
      <c r="Y538" s="2" t="s">
        <v>74</v>
      </c>
      <c r="Z538" s="2" t="s">
        <v>74</v>
      </c>
      <c r="AA538" s="2" t="s">
        <v>74</v>
      </c>
      <c r="AB538" s="2" t="s">
        <v>74</v>
      </c>
      <c r="AC538" s="2" t="s">
        <v>74</v>
      </c>
      <c r="AD538" s="2" t="s">
        <v>74</v>
      </c>
      <c r="AE538" s="2" t="s">
        <v>74</v>
      </c>
      <c r="AF538" s="2" t="s">
        <v>74</v>
      </c>
      <c r="AG538" s="2" t="s">
        <v>74</v>
      </c>
      <c r="AH538" s="2" t="s">
        <v>74</v>
      </c>
      <c r="AI538" s="2" t="s">
        <v>74</v>
      </c>
      <c r="AJ538" s="2" t="s">
        <v>74</v>
      </c>
      <c r="AK538" s="2" t="s">
        <v>74</v>
      </c>
      <c r="AL538" s="2" t="s">
        <v>74</v>
      </c>
      <c r="AM538" s="2" t="s">
        <v>74</v>
      </c>
      <c r="AN538" s="2" t="s">
        <v>74</v>
      </c>
      <c r="AO538" s="2" t="s">
        <v>614</v>
      </c>
      <c r="AP538" s="2" t="s">
        <v>74</v>
      </c>
      <c r="AQ538" s="2" t="s">
        <v>74</v>
      </c>
      <c r="AR538" s="2" t="s">
        <v>74</v>
      </c>
      <c r="AS538" s="2" t="s">
        <v>74</v>
      </c>
      <c r="AT538" s="2" t="s">
        <v>964</v>
      </c>
      <c r="AU538" s="2">
        <v>1994</v>
      </c>
      <c r="AV538" s="2">
        <v>96</v>
      </c>
      <c r="AW538" s="2">
        <v>2</v>
      </c>
      <c r="AX538" s="2" t="s">
        <v>74</v>
      </c>
      <c r="AY538" s="2" t="s">
        <v>74</v>
      </c>
      <c r="AZ538" s="2" t="s">
        <v>74</v>
      </c>
      <c r="BA538" s="2" t="s">
        <v>74</v>
      </c>
      <c r="BB538" s="2">
        <v>147</v>
      </c>
      <c r="BC538" s="2">
        <v>154</v>
      </c>
      <c r="BD538" s="2" t="s">
        <v>74</v>
      </c>
      <c r="BE538" s="2" t="s">
        <v>74</v>
      </c>
      <c r="BF538" s="2" t="s">
        <v>74</v>
      </c>
      <c r="BG538" s="2" t="s">
        <v>74</v>
      </c>
      <c r="BH538" s="2" t="s">
        <v>74</v>
      </c>
      <c r="BI538" s="2" t="s">
        <v>74</v>
      </c>
      <c r="BJ538" s="2" t="s">
        <v>74</v>
      </c>
      <c r="BK538" s="2" t="s">
        <v>74</v>
      </c>
      <c r="BL538" s="2" t="s">
        <v>74</v>
      </c>
      <c r="BM538" s="2" t="s">
        <v>74</v>
      </c>
      <c r="BN538" s="2" t="s">
        <v>74</v>
      </c>
      <c r="BO538" s="2" t="s">
        <v>74</v>
      </c>
      <c r="BP538" s="2" t="s">
        <v>74</v>
      </c>
      <c r="BQ538" s="2" t="s">
        <v>74</v>
      </c>
      <c r="BR538" s="2" t="s">
        <v>74</v>
      </c>
      <c r="BS538" s="2" t="s">
        <v>3969</v>
      </c>
      <c r="BT538" s="2" t="str">
        <f>HYPERLINK("https%3A%2F%2Fwww.webofscience.com%2Fwos%2Fwoscc%2Ffull-record%2FWOS:A1994NJ52600006","View Full Record in Web of Science")</f>
        <v>View Full Record in Web of Science</v>
      </c>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row>
    <row r="539" spans="1:314" s="2" customFormat="1" x14ac:dyDescent="0.4">
      <c r="A539" s="2" t="s">
        <v>72</v>
      </c>
      <c r="B539" s="2" t="s">
        <v>6224</v>
      </c>
      <c r="C539" s="2" t="s">
        <v>74</v>
      </c>
      <c r="D539" s="2" t="s">
        <v>74</v>
      </c>
      <c r="E539" s="2" t="s">
        <v>74</v>
      </c>
      <c r="F539" s="2" t="s">
        <v>6224</v>
      </c>
      <c r="G539" s="2" t="s">
        <v>74</v>
      </c>
      <c r="H539" s="2" t="s">
        <v>74</v>
      </c>
      <c r="I539" s="2" t="s">
        <v>6225</v>
      </c>
      <c r="J539" s="2" t="s">
        <v>6226</v>
      </c>
      <c r="K539" s="2" t="s">
        <v>74</v>
      </c>
      <c r="L539" s="2" t="s">
        <v>74</v>
      </c>
      <c r="M539" s="2" t="s">
        <v>74</v>
      </c>
      <c r="N539" s="2" t="s">
        <v>74</v>
      </c>
      <c r="O539" s="2" t="s">
        <v>74</v>
      </c>
      <c r="P539" s="2" t="s">
        <v>74</v>
      </c>
      <c r="Q539" s="2" t="s">
        <v>74</v>
      </c>
      <c r="R539" s="2" t="s">
        <v>74</v>
      </c>
      <c r="S539" s="2" t="s">
        <v>74</v>
      </c>
      <c r="T539" s="2" t="s">
        <v>74</v>
      </c>
      <c r="U539" s="2" t="s">
        <v>74</v>
      </c>
      <c r="V539" s="5" t="s">
        <v>6227</v>
      </c>
      <c r="W539" s="2" t="s">
        <v>74</v>
      </c>
      <c r="X539" s="2" t="s">
        <v>74</v>
      </c>
      <c r="Y539" s="2" t="s">
        <v>74</v>
      </c>
      <c r="Z539" s="2" t="s">
        <v>74</v>
      </c>
      <c r="AA539" s="2" t="s">
        <v>74</v>
      </c>
      <c r="AB539" s="2" t="s">
        <v>74</v>
      </c>
      <c r="AC539" s="2" t="s">
        <v>74</v>
      </c>
      <c r="AD539" s="2" t="s">
        <v>74</v>
      </c>
      <c r="AE539" s="2" t="s">
        <v>74</v>
      </c>
      <c r="AF539" s="2" t="s">
        <v>74</v>
      </c>
      <c r="AG539" s="2" t="s">
        <v>74</v>
      </c>
      <c r="AH539" s="2" t="s">
        <v>74</v>
      </c>
      <c r="AI539" s="2" t="s">
        <v>74</v>
      </c>
      <c r="AJ539" s="2" t="s">
        <v>74</v>
      </c>
      <c r="AK539" s="2" t="s">
        <v>74</v>
      </c>
      <c r="AL539" s="2" t="s">
        <v>74</v>
      </c>
      <c r="AM539" s="2" t="s">
        <v>74</v>
      </c>
      <c r="AN539" s="2" t="s">
        <v>74</v>
      </c>
      <c r="AO539" s="2" t="s">
        <v>6228</v>
      </c>
      <c r="AP539" s="2" t="s">
        <v>6229</v>
      </c>
      <c r="AQ539" s="2" t="s">
        <v>74</v>
      </c>
      <c r="AR539" s="2" t="s">
        <v>74</v>
      </c>
      <c r="AS539" s="2" t="s">
        <v>74</v>
      </c>
      <c r="AT539" s="2" t="s">
        <v>633</v>
      </c>
      <c r="AU539" s="2">
        <v>2005</v>
      </c>
      <c r="AV539" s="2">
        <v>44</v>
      </c>
      <c r="AW539" s="2">
        <v>2</v>
      </c>
      <c r="AX539" s="2" t="s">
        <v>74</v>
      </c>
      <c r="AY539" s="2" t="s">
        <v>74</v>
      </c>
      <c r="AZ539" s="2" t="s">
        <v>74</v>
      </c>
      <c r="BA539" s="2" t="s">
        <v>74</v>
      </c>
      <c r="BB539" s="2">
        <v>200</v>
      </c>
      <c r="BC539" s="2">
        <v>209</v>
      </c>
      <c r="BD539" s="2" t="s">
        <v>74</v>
      </c>
      <c r="BE539" s="2" t="s">
        <v>74</v>
      </c>
      <c r="BF539" s="2" t="s">
        <v>74</v>
      </c>
      <c r="BG539" s="2" t="s">
        <v>74</v>
      </c>
      <c r="BH539" s="2" t="s">
        <v>74</v>
      </c>
      <c r="BI539" s="2" t="s">
        <v>74</v>
      </c>
      <c r="BJ539" s="2" t="s">
        <v>74</v>
      </c>
      <c r="BK539" s="2" t="s">
        <v>74</v>
      </c>
      <c r="BL539" s="2" t="s">
        <v>74</v>
      </c>
      <c r="BM539" s="2" t="s">
        <v>74</v>
      </c>
      <c r="BN539" s="2" t="s">
        <v>74</v>
      </c>
      <c r="BO539" s="2" t="s">
        <v>74</v>
      </c>
      <c r="BP539" s="2" t="s">
        <v>74</v>
      </c>
      <c r="BQ539" s="2" t="s">
        <v>74</v>
      </c>
      <c r="BR539" s="2" t="s">
        <v>74</v>
      </c>
      <c r="BS539" s="2" t="s">
        <v>6230</v>
      </c>
      <c r="BT539" s="2" t="str">
        <f>HYPERLINK("https%3A%2F%2Fwww.webofscience.com%2Fwos%2Fwoscc%2Ffull-record%2FWOS:000229810000003","View Full Record in Web of Science")</f>
        <v>View Full Record in Web of Science</v>
      </c>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row>
    <row r="540" spans="1:314" s="2" customFormat="1" x14ac:dyDescent="0.4">
      <c r="A540" s="2" t="s">
        <v>72</v>
      </c>
      <c r="B540" s="2" t="s">
        <v>5843</v>
      </c>
      <c r="C540" s="2" t="s">
        <v>74</v>
      </c>
      <c r="D540" s="2" t="s">
        <v>74</v>
      </c>
      <c r="E540" s="2" t="s">
        <v>74</v>
      </c>
      <c r="F540" s="2" t="s">
        <v>5844</v>
      </c>
      <c r="G540" s="2" t="s">
        <v>74</v>
      </c>
      <c r="H540" s="2" t="s">
        <v>74</v>
      </c>
      <c r="I540" s="2" t="s">
        <v>5845</v>
      </c>
      <c r="J540" s="2" t="s">
        <v>814</v>
      </c>
      <c r="K540" s="2" t="s">
        <v>74</v>
      </c>
      <c r="L540" s="2" t="s">
        <v>74</v>
      </c>
      <c r="M540" s="2" t="s">
        <v>74</v>
      </c>
      <c r="N540" s="2" t="s">
        <v>74</v>
      </c>
      <c r="O540" s="2" t="s">
        <v>74</v>
      </c>
      <c r="P540" s="2" t="s">
        <v>74</v>
      </c>
      <c r="Q540" s="2" t="s">
        <v>74</v>
      </c>
      <c r="R540" s="2" t="s">
        <v>74</v>
      </c>
      <c r="S540" s="2" t="s">
        <v>74</v>
      </c>
      <c r="T540" s="2" t="s">
        <v>74</v>
      </c>
      <c r="U540" s="2" t="s">
        <v>74</v>
      </c>
      <c r="V540" s="5" t="s">
        <v>5846</v>
      </c>
      <c r="W540" s="2" t="s">
        <v>74</v>
      </c>
      <c r="X540" s="2" t="s">
        <v>74</v>
      </c>
      <c r="Y540" s="2" t="s">
        <v>74</v>
      </c>
      <c r="Z540" s="2" t="s">
        <v>74</v>
      </c>
      <c r="AA540" s="2" t="s">
        <v>74</v>
      </c>
      <c r="AB540" s="2" t="s">
        <v>74</v>
      </c>
      <c r="AC540" s="2" t="s">
        <v>74</v>
      </c>
      <c r="AD540" s="2" t="s">
        <v>74</v>
      </c>
      <c r="AE540" s="2" t="s">
        <v>74</v>
      </c>
      <c r="AF540" s="2" t="s">
        <v>74</v>
      </c>
      <c r="AG540" s="2" t="s">
        <v>74</v>
      </c>
      <c r="AH540" s="2" t="s">
        <v>74</v>
      </c>
      <c r="AI540" s="2" t="s">
        <v>74</v>
      </c>
      <c r="AJ540" s="2" t="s">
        <v>74</v>
      </c>
      <c r="AK540" s="2" t="s">
        <v>74</v>
      </c>
      <c r="AL540" s="2" t="s">
        <v>74</v>
      </c>
      <c r="AM540" s="2" t="s">
        <v>74</v>
      </c>
      <c r="AN540" s="2" t="s">
        <v>74</v>
      </c>
      <c r="AO540" s="2" t="s">
        <v>818</v>
      </c>
      <c r="AP540" s="2" t="s">
        <v>1505</v>
      </c>
      <c r="AQ540" s="2" t="s">
        <v>74</v>
      </c>
      <c r="AR540" s="2" t="s">
        <v>74</v>
      </c>
      <c r="AS540" s="2" t="s">
        <v>74</v>
      </c>
      <c r="AT540" s="2" t="s">
        <v>964</v>
      </c>
      <c r="AU540" s="2">
        <v>2021</v>
      </c>
      <c r="AV540" s="2">
        <v>144</v>
      </c>
      <c r="AW540" s="2" t="s">
        <v>74</v>
      </c>
      <c r="AX540" s="2" t="s">
        <v>74</v>
      </c>
      <c r="AY540" s="2" t="s">
        <v>74</v>
      </c>
      <c r="AZ540" s="2" t="s">
        <v>74</v>
      </c>
      <c r="BA540" s="2" t="s">
        <v>74</v>
      </c>
      <c r="BB540" s="2" t="s">
        <v>74</v>
      </c>
      <c r="BC540" s="2" t="s">
        <v>74</v>
      </c>
      <c r="BD540" s="2">
        <v>125874</v>
      </c>
      <c r="BE540" s="2" t="s">
        <v>5847</v>
      </c>
      <c r="BF540" s="2" t="str">
        <f>HYPERLINK("http://dx.doi.org/10.1016/j.zool.2020.125874","http://dx.doi.org/10.1016/j.zool.2020.125874")</f>
        <v>http://dx.doi.org/10.1016/j.zool.2020.125874</v>
      </c>
      <c r="BG540" s="2" t="s">
        <v>74</v>
      </c>
      <c r="BH540" s="2" t="s">
        <v>74</v>
      </c>
      <c r="BI540" s="2" t="s">
        <v>74</v>
      </c>
      <c r="BJ540" s="2" t="s">
        <v>74</v>
      </c>
      <c r="BK540" s="2" t="s">
        <v>74</v>
      </c>
      <c r="BL540" s="2" t="s">
        <v>74</v>
      </c>
      <c r="BM540" s="2" t="s">
        <v>74</v>
      </c>
      <c r="BN540" s="2">
        <v>33279867</v>
      </c>
      <c r="BO540" s="2" t="s">
        <v>74</v>
      </c>
      <c r="BP540" s="2" t="s">
        <v>74</v>
      </c>
      <c r="BQ540" s="2" t="s">
        <v>74</v>
      </c>
      <c r="BR540" s="2" t="s">
        <v>74</v>
      </c>
      <c r="BS540" s="2" t="s">
        <v>5848</v>
      </c>
      <c r="BT540" s="2" t="str">
        <f>HYPERLINK("https%3A%2F%2Fwww.webofscience.com%2Fwos%2Fwoscc%2Ffull-record%2FWOS:000618276500003","View Full Record in Web of Science")</f>
        <v>View Full Record in Web of Science</v>
      </c>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row>
    <row r="541" spans="1:314" s="2" customFormat="1" x14ac:dyDescent="0.4">
      <c r="A541" s="2" t="s">
        <v>72</v>
      </c>
      <c r="B541" s="2" t="s">
        <v>2641</v>
      </c>
      <c r="C541" s="2" t="s">
        <v>74</v>
      </c>
      <c r="D541" s="2" t="s">
        <v>74</v>
      </c>
      <c r="E541" s="2" t="s">
        <v>74</v>
      </c>
      <c r="F541" s="2" t="s">
        <v>2642</v>
      </c>
      <c r="G541" s="2" t="s">
        <v>74</v>
      </c>
      <c r="H541" s="2" t="s">
        <v>74</v>
      </c>
      <c r="I541" s="2" t="s">
        <v>2643</v>
      </c>
      <c r="J541" s="2" t="s">
        <v>192</v>
      </c>
      <c r="K541" s="2" t="s">
        <v>74</v>
      </c>
      <c r="L541" s="2" t="s">
        <v>74</v>
      </c>
      <c r="M541" s="2" t="s">
        <v>74</v>
      </c>
      <c r="N541" s="2" t="s">
        <v>74</v>
      </c>
      <c r="O541" s="2" t="s">
        <v>74</v>
      </c>
      <c r="P541" s="2" t="s">
        <v>74</v>
      </c>
      <c r="Q541" s="2" t="s">
        <v>74</v>
      </c>
      <c r="R541" s="2" t="s">
        <v>74</v>
      </c>
      <c r="S541" s="2" t="s">
        <v>74</v>
      </c>
      <c r="T541" s="2" t="s">
        <v>74</v>
      </c>
      <c r="U541" s="2" t="s">
        <v>74</v>
      </c>
      <c r="V541" s="5" t="s">
        <v>2644</v>
      </c>
      <c r="W541" s="2" t="s">
        <v>74</v>
      </c>
      <c r="X541" s="2" t="s">
        <v>74</v>
      </c>
      <c r="Y541" s="2" t="s">
        <v>74</v>
      </c>
      <c r="Z541" s="2" t="s">
        <v>74</v>
      </c>
      <c r="AA541" s="2" t="s">
        <v>2645</v>
      </c>
      <c r="AB541" s="2" t="s">
        <v>74</v>
      </c>
      <c r="AC541" s="2" t="s">
        <v>74</v>
      </c>
      <c r="AD541" s="2" t="s">
        <v>74</v>
      </c>
      <c r="AE541" s="2" t="s">
        <v>74</v>
      </c>
      <c r="AF541" s="2" t="s">
        <v>74</v>
      </c>
      <c r="AG541" s="2" t="s">
        <v>74</v>
      </c>
      <c r="AH541" s="2" t="s">
        <v>74</v>
      </c>
      <c r="AI541" s="2" t="s">
        <v>74</v>
      </c>
      <c r="AJ541" s="2" t="s">
        <v>74</v>
      </c>
      <c r="AK541" s="2" t="s">
        <v>74</v>
      </c>
      <c r="AL541" s="2" t="s">
        <v>74</v>
      </c>
      <c r="AM541" s="2" t="s">
        <v>74</v>
      </c>
      <c r="AN541" s="2" t="s">
        <v>74</v>
      </c>
      <c r="AO541" s="2" t="s">
        <v>195</v>
      </c>
      <c r="AP541" s="2" t="s">
        <v>196</v>
      </c>
      <c r="AQ541" s="2" t="s">
        <v>74</v>
      </c>
      <c r="AR541" s="2" t="s">
        <v>74</v>
      </c>
      <c r="AS541" s="2" t="s">
        <v>74</v>
      </c>
      <c r="AT541" s="2" t="s">
        <v>964</v>
      </c>
      <c r="AU541" s="2">
        <v>2008</v>
      </c>
      <c r="AV541" s="2">
        <v>598</v>
      </c>
      <c r="AW541" s="2" t="s">
        <v>74</v>
      </c>
      <c r="AX541" s="2" t="s">
        <v>74</v>
      </c>
      <c r="AY541" s="2" t="s">
        <v>74</v>
      </c>
      <c r="AZ541" s="2" t="s">
        <v>74</v>
      </c>
      <c r="BA541" s="2" t="s">
        <v>74</v>
      </c>
      <c r="BB541" s="2">
        <v>361</v>
      </c>
      <c r="BC541" s="2">
        <v>371</v>
      </c>
      <c r="BD541" s="2" t="s">
        <v>74</v>
      </c>
      <c r="BE541" s="2" t="s">
        <v>2646</v>
      </c>
      <c r="BF541" s="2" t="str">
        <f>HYPERLINK("http://dx.doi.org/10.1007/s10750-007-9169-z","http://dx.doi.org/10.1007/s10750-007-9169-z")</f>
        <v>http://dx.doi.org/10.1007/s10750-007-9169-z</v>
      </c>
      <c r="BG541" s="2" t="s">
        <v>74</v>
      </c>
      <c r="BH541" s="2" t="s">
        <v>74</v>
      </c>
      <c r="BI541" s="2" t="s">
        <v>74</v>
      </c>
      <c r="BJ541" s="2" t="s">
        <v>74</v>
      </c>
      <c r="BK541" s="2" t="s">
        <v>74</v>
      </c>
      <c r="BL541" s="2" t="s">
        <v>74</v>
      </c>
      <c r="BM541" s="2" t="s">
        <v>74</v>
      </c>
      <c r="BN541" s="2" t="s">
        <v>74</v>
      </c>
      <c r="BO541" s="2" t="s">
        <v>74</v>
      </c>
      <c r="BP541" s="2" t="s">
        <v>74</v>
      </c>
      <c r="BQ541" s="2" t="s">
        <v>74</v>
      </c>
      <c r="BR541" s="2" t="s">
        <v>74</v>
      </c>
      <c r="BS541" s="2" t="s">
        <v>2647</v>
      </c>
      <c r="BT541" s="2" t="str">
        <f>HYPERLINK("https%3A%2F%2Fwww.webofscience.com%2Fwos%2Fwoscc%2Ffull-record%2FWOS:000251874300028","View Full Record in Web of Science")</f>
        <v>View Full Record in Web of Science</v>
      </c>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row>
    <row r="542" spans="1:314" s="1" customFormat="1" x14ac:dyDescent="0.4">
      <c r="A542" s="2" t="s">
        <v>72</v>
      </c>
      <c r="B542" s="2" t="s">
        <v>2334</v>
      </c>
      <c r="C542" s="2" t="s">
        <v>74</v>
      </c>
      <c r="D542" s="2" t="s">
        <v>74</v>
      </c>
      <c r="E542" s="2" t="s">
        <v>74</v>
      </c>
      <c r="F542" s="2" t="s">
        <v>2335</v>
      </c>
      <c r="G542" s="2" t="s">
        <v>74</v>
      </c>
      <c r="H542" s="2" t="s">
        <v>74</v>
      </c>
      <c r="I542" s="2" t="s">
        <v>2336</v>
      </c>
      <c r="J542" s="2" t="s">
        <v>545</v>
      </c>
      <c r="K542" s="2" t="s">
        <v>74</v>
      </c>
      <c r="L542" s="2" t="s">
        <v>74</v>
      </c>
      <c r="M542" s="2" t="s">
        <v>74</v>
      </c>
      <c r="N542" s="2" t="s">
        <v>74</v>
      </c>
      <c r="O542" s="2" t="s">
        <v>74</v>
      </c>
      <c r="P542" s="2" t="s">
        <v>74</v>
      </c>
      <c r="Q542" s="2" t="s">
        <v>74</v>
      </c>
      <c r="R542" s="2" t="s">
        <v>74</v>
      </c>
      <c r="S542" s="2" t="s">
        <v>74</v>
      </c>
      <c r="T542" s="2" t="s">
        <v>74</v>
      </c>
      <c r="U542" s="2" t="s">
        <v>74</v>
      </c>
      <c r="V542" s="5" t="s">
        <v>2337</v>
      </c>
      <c r="W542" s="2" t="s">
        <v>74</v>
      </c>
      <c r="X542" s="2" t="s">
        <v>74</v>
      </c>
      <c r="Y542" s="2" t="s">
        <v>74</v>
      </c>
      <c r="Z542" s="2" t="s">
        <v>74</v>
      </c>
      <c r="AA542" s="2" t="s">
        <v>2338</v>
      </c>
      <c r="AB542" s="2" t="s">
        <v>2339</v>
      </c>
      <c r="AC542" s="2" t="s">
        <v>74</v>
      </c>
      <c r="AD542" s="2" t="s">
        <v>74</v>
      </c>
      <c r="AE542" s="2" t="s">
        <v>74</v>
      </c>
      <c r="AF542" s="2" t="s">
        <v>74</v>
      </c>
      <c r="AG542" s="2" t="s">
        <v>74</v>
      </c>
      <c r="AH542" s="2" t="s">
        <v>74</v>
      </c>
      <c r="AI542" s="2" t="s">
        <v>74</v>
      </c>
      <c r="AJ542" s="2" t="s">
        <v>74</v>
      </c>
      <c r="AK542" s="2" t="s">
        <v>74</v>
      </c>
      <c r="AL542" s="2" t="s">
        <v>74</v>
      </c>
      <c r="AM542" s="2" t="s">
        <v>74</v>
      </c>
      <c r="AN542" s="2" t="s">
        <v>74</v>
      </c>
      <c r="AO542" s="2" t="s">
        <v>547</v>
      </c>
      <c r="AP542" s="2" t="s">
        <v>74</v>
      </c>
      <c r="AQ542" s="2" t="s">
        <v>74</v>
      </c>
      <c r="AR542" s="2" t="s">
        <v>74</v>
      </c>
      <c r="AS542" s="2" t="s">
        <v>74</v>
      </c>
      <c r="AT542" s="2" t="s">
        <v>74</v>
      </c>
      <c r="AU542" s="2">
        <v>2013</v>
      </c>
      <c r="AV542" s="2">
        <v>252</v>
      </c>
      <c r="AW542" s="2">
        <v>4</v>
      </c>
      <c r="AX542" s="2" t="s">
        <v>74</v>
      </c>
      <c r="AY542" s="2" t="s">
        <v>74</v>
      </c>
      <c r="AZ542" s="2" t="s">
        <v>74</v>
      </c>
      <c r="BA542" s="2" t="s">
        <v>74</v>
      </c>
      <c r="BB542" s="2">
        <v>511</v>
      </c>
      <c r="BC542" s="2">
        <v>521</v>
      </c>
      <c r="BD542" s="2" t="s">
        <v>74</v>
      </c>
      <c r="BE542" s="2" t="s">
        <v>2340</v>
      </c>
      <c r="BF542" s="2" t="str">
        <f>HYPERLINK("http://dx.doi.org/10.1016/j.jcz.2012.12.001","http://dx.doi.org/10.1016/j.jcz.2012.12.001")</f>
        <v>http://dx.doi.org/10.1016/j.jcz.2012.12.001</v>
      </c>
      <c r="BG542" s="2" t="s">
        <v>74</v>
      </c>
      <c r="BH542" s="2" t="s">
        <v>74</v>
      </c>
      <c r="BI542" s="2" t="s">
        <v>74</v>
      </c>
      <c r="BJ542" s="2" t="s">
        <v>74</v>
      </c>
      <c r="BK542" s="2" t="s">
        <v>74</v>
      </c>
      <c r="BL542" s="2" t="s">
        <v>74</v>
      </c>
      <c r="BM542" s="2" t="s">
        <v>74</v>
      </c>
      <c r="BN542" s="2" t="s">
        <v>74</v>
      </c>
      <c r="BO542" s="2" t="s">
        <v>74</v>
      </c>
      <c r="BP542" s="2" t="s">
        <v>74</v>
      </c>
      <c r="BQ542" s="2" t="s">
        <v>74</v>
      </c>
      <c r="BR542" s="2" t="s">
        <v>74</v>
      </c>
      <c r="BS542" s="2" t="s">
        <v>2341</v>
      </c>
      <c r="BT542" s="2" t="str">
        <f>HYPERLINK("https%3A%2F%2Fwww.webofscience.com%2Fwos%2Fwoscc%2Ffull-record%2FWOS:000322803400009","View Full Record in Web of Science")</f>
        <v>View Full Record in Web of Science</v>
      </c>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row>
    <row r="543" spans="1:314" s="7" customFormat="1" x14ac:dyDescent="0.4">
      <c r="A543" s="2" t="s">
        <v>72</v>
      </c>
      <c r="B543" s="2" t="s">
        <v>1110</v>
      </c>
      <c r="C543" s="2" t="s">
        <v>74</v>
      </c>
      <c r="D543" s="2" t="s">
        <v>74</v>
      </c>
      <c r="E543" s="2" t="s">
        <v>74</v>
      </c>
      <c r="F543" s="2" t="s">
        <v>1110</v>
      </c>
      <c r="G543" s="2" t="s">
        <v>74</v>
      </c>
      <c r="H543" s="2" t="s">
        <v>74</v>
      </c>
      <c r="I543" s="2" t="s">
        <v>1111</v>
      </c>
      <c r="J543" s="2" t="s">
        <v>1112</v>
      </c>
      <c r="K543" s="2" t="s">
        <v>74</v>
      </c>
      <c r="L543" s="2" t="s">
        <v>74</v>
      </c>
      <c r="M543" s="2" t="s">
        <v>74</v>
      </c>
      <c r="N543" s="2" t="s">
        <v>74</v>
      </c>
      <c r="O543" s="2" t="s">
        <v>74</v>
      </c>
      <c r="P543" s="2" t="s">
        <v>74</v>
      </c>
      <c r="Q543" s="2" t="s">
        <v>74</v>
      </c>
      <c r="R543" s="2" t="s">
        <v>74</v>
      </c>
      <c r="S543" s="2" t="s">
        <v>74</v>
      </c>
      <c r="T543" s="2" t="s">
        <v>74</v>
      </c>
      <c r="U543" s="2" t="s">
        <v>74</v>
      </c>
      <c r="V543" s="5" t="s">
        <v>1113</v>
      </c>
      <c r="W543" s="2" t="s">
        <v>74</v>
      </c>
      <c r="X543" s="2" t="s">
        <v>74</v>
      </c>
      <c r="Y543" s="2" t="s">
        <v>74</v>
      </c>
      <c r="Z543" s="2" t="s">
        <v>74</v>
      </c>
      <c r="AA543" s="2" t="s">
        <v>74</v>
      </c>
      <c r="AB543" s="2" t="s">
        <v>74</v>
      </c>
      <c r="AC543" s="2" t="s">
        <v>74</v>
      </c>
      <c r="AD543" s="2" t="s">
        <v>74</v>
      </c>
      <c r="AE543" s="2" t="s">
        <v>74</v>
      </c>
      <c r="AF543" s="2" t="s">
        <v>74</v>
      </c>
      <c r="AG543" s="2" t="s">
        <v>74</v>
      </c>
      <c r="AH543" s="2" t="s">
        <v>74</v>
      </c>
      <c r="AI543" s="2" t="s">
        <v>74</v>
      </c>
      <c r="AJ543" s="2" t="s">
        <v>74</v>
      </c>
      <c r="AK543" s="2" t="s">
        <v>74</v>
      </c>
      <c r="AL543" s="2" t="s">
        <v>74</v>
      </c>
      <c r="AM543" s="2" t="s">
        <v>74</v>
      </c>
      <c r="AN543" s="2" t="s">
        <v>74</v>
      </c>
      <c r="AO543" s="2" t="s">
        <v>1114</v>
      </c>
      <c r="AP543" s="2" t="s">
        <v>1115</v>
      </c>
      <c r="AQ543" s="2" t="s">
        <v>74</v>
      </c>
      <c r="AR543" s="2" t="s">
        <v>74</v>
      </c>
      <c r="AS543" s="2" t="s">
        <v>74</v>
      </c>
      <c r="AT543" s="2" t="s">
        <v>1116</v>
      </c>
      <c r="AU543" s="2">
        <v>2004</v>
      </c>
      <c r="AV543" s="2">
        <v>86</v>
      </c>
      <c r="AW543" s="2" t="s">
        <v>548</v>
      </c>
      <c r="AX543" s="2" t="s">
        <v>74</v>
      </c>
      <c r="AY543" s="2" t="s">
        <v>74</v>
      </c>
      <c r="AZ543" s="2" t="s">
        <v>74</v>
      </c>
      <c r="BA543" s="2" t="s">
        <v>74</v>
      </c>
      <c r="BB543" s="2">
        <v>63</v>
      </c>
      <c r="BC543" s="2">
        <v>76</v>
      </c>
      <c r="BD543" s="2" t="s">
        <v>74</v>
      </c>
      <c r="BE543" s="2" t="s">
        <v>1117</v>
      </c>
      <c r="BF543" s="2" t="str">
        <f>HYPERLINK("http://dx.doi.org/10.1016/j.applanim.2003.12.003","http://dx.doi.org/10.1016/j.applanim.2003.12.003")</f>
        <v>http://dx.doi.org/10.1016/j.applanim.2003.12.003</v>
      </c>
      <c r="BG543" s="2" t="s">
        <v>74</v>
      </c>
      <c r="BH543" s="2" t="s">
        <v>74</v>
      </c>
      <c r="BI543" s="2" t="s">
        <v>74</v>
      </c>
      <c r="BJ543" s="2" t="s">
        <v>74</v>
      </c>
      <c r="BK543" s="2" t="s">
        <v>74</v>
      </c>
      <c r="BL543" s="2" t="s">
        <v>74</v>
      </c>
      <c r="BM543" s="2" t="s">
        <v>74</v>
      </c>
      <c r="BN543" s="2" t="s">
        <v>74</v>
      </c>
      <c r="BO543" s="2" t="s">
        <v>74</v>
      </c>
      <c r="BP543" s="2" t="s">
        <v>74</v>
      </c>
      <c r="BQ543" s="2" t="s">
        <v>74</v>
      </c>
      <c r="BR543" s="2" t="s">
        <v>74</v>
      </c>
      <c r="BS543" s="2" t="s">
        <v>1118</v>
      </c>
      <c r="BT543" s="2" t="str">
        <f>HYPERLINK("https%3A%2F%2Fwww.webofscience.com%2Fwos%2Fwoscc%2Ffull-record%2FWOS:000220316400006","View Full Record in Web of Science")</f>
        <v>View Full Record in Web of Science</v>
      </c>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row>
    <row r="544" spans="1:314" s="2" customFormat="1" x14ac:dyDescent="0.4">
      <c r="A544" s="2" t="s">
        <v>72</v>
      </c>
      <c r="B544" s="2" t="s">
        <v>7720</v>
      </c>
      <c r="C544" s="2" t="s">
        <v>74</v>
      </c>
      <c r="D544" s="2" t="s">
        <v>74</v>
      </c>
      <c r="E544" s="2" t="s">
        <v>74</v>
      </c>
      <c r="F544" s="2" t="s">
        <v>7721</v>
      </c>
      <c r="G544" s="2" t="s">
        <v>74</v>
      </c>
      <c r="H544" s="2" t="s">
        <v>74</v>
      </c>
      <c r="I544" s="2" t="s">
        <v>7722</v>
      </c>
      <c r="J544" s="2" t="s">
        <v>7723</v>
      </c>
      <c r="K544" s="2" t="s">
        <v>74</v>
      </c>
      <c r="L544" s="2" t="s">
        <v>74</v>
      </c>
      <c r="M544" s="2" t="s">
        <v>74</v>
      </c>
      <c r="N544" s="2" t="s">
        <v>74</v>
      </c>
      <c r="O544" s="2" t="s">
        <v>74</v>
      </c>
      <c r="P544" s="2" t="s">
        <v>74</v>
      </c>
      <c r="Q544" s="2" t="s">
        <v>74</v>
      </c>
      <c r="R544" s="2" t="s">
        <v>74</v>
      </c>
      <c r="S544" s="2" t="s">
        <v>74</v>
      </c>
      <c r="T544" s="2" t="s">
        <v>74</v>
      </c>
      <c r="U544" s="2" t="s">
        <v>74</v>
      </c>
      <c r="V544" s="5" t="s">
        <v>7724</v>
      </c>
      <c r="W544" s="2" t="s">
        <v>74</v>
      </c>
      <c r="X544" s="2" t="s">
        <v>74</v>
      </c>
      <c r="Y544" s="2" t="s">
        <v>74</v>
      </c>
      <c r="Z544" s="2" t="s">
        <v>74</v>
      </c>
      <c r="AA544" s="2" t="s">
        <v>74</v>
      </c>
      <c r="AB544" s="2" t="s">
        <v>7725</v>
      </c>
      <c r="AC544" s="2" t="s">
        <v>74</v>
      </c>
      <c r="AD544" s="2" t="s">
        <v>74</v>
      </c>
      <c r="AE544" s="2" t="s">
        <v>74</v>
      </c>
      <c r="AF544" s="2" t="s">
        <v>74</v>
      </c>
      <c r="AG544" s="2" t="s">
        <v>74</v>
      </c>
      <c r="AH544" s="2" t="s">
        <v>74</v>
      </c>
      <c r="AI544" s="2" t="s">
        <v>74</v>
      </c>
      <c r="AJ544" s="2" t="s">
        <v>74</v>
      </c>
      <c r="AK544" s="2" t="s">
        <v>74</v>
      </c>
      <c r="AL544" s="2" t="s">
        <v>74</v>
      </c>
      <c r="AM544" s="2" t="s">
        <v>74</v>
      </c>
      <c r="AN544" s="2" t="s">
        <v>74</v>
      </c>
      <c r="AO544" s="2" t="s">
        <v>7726</v>
      </c>
      <c r="AP544" s="2" t="s">
        <v>7727</v>
      </c>
      <c r="AQ544" s="2" t="s">
        <v>74</v>
      </c>
      <c r="AR544" s="2" t="s">
        <v>74</v>
      </c>
      <c r="AS544" s="2" t="s">
        <v>74</v>
      </c>
      <c r="AT544" s="2" t="s">
        <v>352</v>
      </c>
      <c r="AU544" s="2">
        <v>2014</v>
      </c>
      <c r="AV544" s="2">
        <v>105</v>
      </c>
      <c r="AW544" s="2" t="s">
        <v>74</v>
      </c>
      <c r="AX544" s="2" t="s">
        <v>74</v>
      </c>
      <c r="AY544" s="2">
        <v>1</v>
      </c>
      <c r="AZ544" s="2" t="s">
        <v>848</v>
      </c>
      <c r="BA544" s="2" t="s">
        <v>74</v>
      </c>
      <c r="BB544" s="2">
        <v>821</v>
      </c>
      <c r="BC544" s="2">
        <v>833</v>
      </c>
      <c r="BD544" s="2" t="s">
        <v>74</v>
      </c>
      <c r="BE544" s="2" t="s">
        <v>7728</v>
      </c>
      <c r="BF544" s="2" t="str">
        <f>HYPERLINK("http://dx.doi.org/10.1093/jhered/esu041","http://dx.doi.org/10.1093/jhered/esu041")</f>
        <v>http://dx.doi.org/10.1093/jhered/esu041</v>
      </c>
      <c r="BG544" s="2" t="s">
        <v>74</v>
      </c>
      <c r="BH544" s="2" t="s">
        <v>74</v>
      </c>
      <c r="BI544" s="2" t="s">
        <v>74</v>
      </c>
      <c r="BJ544" s="2" t="s">
        <v>74</v>
      </c>
      <c r="BK544" s="2" t="s">
        <v>74</v>
      </c>
      <c r="BL544" s="2" t="s">
        <v>74</v>
      </c>
      <c r="BM544" s="2" t="s">
        <v>74</v>
      </c>
      <c r="BN544" s="2">
        <v>25149257</v>
      </c>
      <c r="BO544" s="2" t="s">
        <v>74</v>
      </c>
      <c r="BP544" s="2" t="s">
        <v>74</v>
      </c>
      <c r="BQ544" s="2" t="s">
        <v>74</v>
      </c>
      <c r="BR544" s="2" t="s">
        <v>74</v>
      </c>
      <c r="BS544" s="2" t="s">
        <v>7729</v>
      </c>
      <c r="BT544" s="2" t="str">
        <f>HYPERLINK("https%3A%2F%2Fwww.webofscience.com%2Fwos%2Fwoscc%2Ffull-record%2FWOS:000342995100008","View Full Record in Web of Science")</f>
        <v>View Full Record in Web of Science</v>
      </c>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row>
    <row r="545" spans="1:314" s="2" customFormat="1" x14ac:dyDescent="0.4">
      <c r="A545" s="2" t="s">
        <v>72</v>
      </c>
      <c r="B545" s="2" t="s">
        <v>6594</v>
      </c>
      <c r="C545" s="2" t="s">
        <v>74</v>
      </c>
      <c r="D545" s="2" t="s">
        <v>74</v>
      </c>
      <c r="E545" s="2" t="s">
        <v>74</v>
      </c>
      <c r="F545" s="2" t="s">
        <v>6594</v>
      </c>
      <c r="G545" s="2" t="s">
        <v>74</v>
      </c>
      <c r="H545" s="2" t="s">
        <v>74</v>
      </c>
      <c r="I545" s="2" t="s">
        <v>6595</v>
      </c>
      <c r="J545" s="2" t="s">
        <v>140</v>
      </c>
      <c r="K545" s="2" t="s">
        <v>74</v>
      </c>
      <c r="L545" s="2" t="s">
        <v>74</v>
      </c>
      <c r="M545" s="2" t="s">
        <v>74</v>
      </c>
      <c r="N545" s="2" t="s">
        <v>74</v>
      </c>
      <c r="O545" s="2" t="s">
        <v>74</v>
      </c>
      <c r="P545" s="2" t="s">
        <v>74</v>
      </c>
      <c r="Q545" s="2" t="s">
        <v>74</v>
      </c>
      <c r="R545" s="2" t="s">
        <v>74</v>
      </c>
      <c r="S545" s="2" t="s">
        <v>74</v>
      </c>
      <c r="T545" s="2" t="s">
        <v>74</v>
      </c>
      <c r="U545" s="2" t="s">
        <v>74</v>
      </c>
      <c r="V545" s="5" t="s">
        <v>6596</v>
      </c>
      <c r="W545" s="2" t="s">
        <v>74</v>
      </c>
      <c r="X545" s="2" t="s">
        <v>74</v>
      </c>
      <c r="Y545" s="2" t="s">
        <v>74</v>
      </c>
      <c r="Z545" s="2" t="s">
        <v>74</v>
      </c>
      <c r="AA545" s="2" t="s">
        <v>6597</v>
      </c>
      <c r="AB545" s="2" t="s">
        <v>74</v>
      </c>
      <c r="AC545" s="2" t="s">
        <v>74</v>
      </c>
      <c r="AD545" s="2" t="s">
        <v>74</v>
      </c>
      <c r="AE545" s="2" t="s">
        <v>74</v>
      </c>
      <c r="AF545" s="2" t="s">
        <v>74</v>
      </c>
      <c r="AG545" s="2" t="s">
        <v>74</v>
      </c>
      <c r="AH545" s="2" t="s">
        <v>74</v>
      </c>
      <c r="AI545" s="2" t="s">
        <v>74</v>
      </c>
      <c r="AJ545" s="2" t="s">
        <v>74</v>
      </c>
      <c r="AK545" s="2" t="s">
        <v>74</v>
      </c>
      <c r="AL545" s="2" t="s">
        <v>74</v>
      </c>
      <c r="AM545" s="2" t="s">
        <v>74</v>
      </c>
      <c r="AN545" s="2" t="s">
        <v>74</v>
      </c>
      <c r="AO545" s="2" t="s">
        <v>143</v>
      </c>
      <c r="AP545" s="2" t="s">
        <v>144</v>
      </c>
      <c r="AQ545" s="2" t="s">
        <v>74</v>
      </c>
      <c r="AR545" s="2" t="s">
        <v>74</v>
      </c>
      <c r="AS545" s="2" t="s">
        <v>74</v>
      </c>
      <c r="AT545" s="2" t="s">
        <v>213</v>
      </c>
      <c r="AU545" s="2">
        <v>1997</v>
      </c>
      <c r="AV545" s="2">
        <v>54</v>
      </c>
      <c r="AW545" s="2" t="s">
        <v>74</v>
      </c>
      <c r="AX545" s="2">
        <v>5</v>
      </c>
      <c r="AY545" s="2" t="s">
        <v>74</v>
      </c>
      <c r="AZ545" s="2" t="s">
        <v>74</v>
      </c>
      <c r="BA545" s="2" t="s">
        <v>74</v>
      </c>
      <c r="BB545" s="2">
        <v>1309</v>
      </c>
      <c r="BC545" s="2">
        <v>1315</v>
      </c>
      <c r="BD545" s="2" t="s">
        <v>74</v>
      </c>
      <c r="BE545" s="2" t="s">
        <v>6598</v>
      </c>
      <c r="BF545" s="2" t="str">
        <f>HYPERLINK("http://dx.doi.org/10.1006/anbe.1997.0531","http://dx.doi.org/10.1006/anbe.1997.0531")</f>
        <v>http://dx.doi.org/10.1006/anbe.1997.0531</v>
      </c>
      <c r="BG545" s="2" t="s">
        <v>74</v>
      </c>
      <c r="BH545" s="2" t="s">
        <v>74</v>
      </c>
      <c r="BI545" s="2" t="s">
        <v>74</v>
      </c>
      <c r="BJ545" s="2" t="s">
        <v>74</v>
      </c>
      <c r="BK545" s="2" t="s">
        <v>74</v>
      </c>
      <c r="BL545" s="2" t="s">
        <v>74</v>
      </c>
      <c r="BM545" s="2" t="s">
        <v>74</v>
      </c>
      <c r="BN545" s="2">
        <v>9398384</v>
      </c>
      <c r="BO545" s="2" t="s">
        <v>74</v>
      </c>
      <c r="BP545" s="2" t="s">
        <v>74</v>
      </c>
      <c r="BQ545" s="2" t="s">
        <v>74</v>
      </c>
      <c r="BR545" s="2" t="s">
        <v>74</v>
      </c>
      <c r="BS545" s="2" t="s">
        <v>6599</v>
      </c>
      <c r="BT545" s="2" t="str">
        <f>HYPERLINK("https%3A%2F%2Fwww.webofscience.com%2Fwos%2Fwoscc%2Ffull-record%2FWOS:A1997YJ17400025","View Full Record in Web of Science")</f>
        <v>View Full Record in Web of Science</v>
      </c>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row>
    <row r="546" spans="1:314" s="2" customFormat="1" x14ac:dyDescent="0.4">
      <c r="A546" s="2" t="s">
        <v>72</v>
      </c>
      <c r="B546" s="2" t="s">
        <v>2173</v>
      </c>
      <c r="C546" s="2" t="s">
        <v>74</v>
      </c>
      <c r="D546" s="2" t="s">
        <v>74</v>
      </c>
      <c r="E546" s="2" t="s">
        <v>74</v>
      </c>
      <c r="F546" s="2" t="s">
        <v>2174</v>
      </c>
      <c r="G546" s="2" t="s">
        <v>74</v>
      </c>
      <c r="H546" s="2" t="s">
        <v>74</v>
      </c>
      <c r="I546" s="2" t="s">
        <v>2175</v>
      </c>
      <c r="J546" s="2" t="s">
        <v>420</v>
      </c>
      <c r="K546" s="2" t="s">
        <v>74</v>
      </c>
      <c r="L546" s="2" t="s">
        <v>74</v>
      </c>
      <c r="M546" s="2" t="s">
        <v>74</v>
      </c>
      <c r="N546" s="2" t="s">
        <v>74</v>
      </c>
      <c r="O546" s="2" t="s">
        <v>74</v>
      </c>
      <c r="P546" s="2" t="s">
        <v>74</v>
      </c>
      <c r="Q546" s="2" t="s">
        <v>74</v>
      </c>
      <c r="R546" s="2" t="s">
        <v>74</v>
      </c>
      <c r="S546" s="2" t="s">
        <v>74</v>
      </c>
      <c r="T546" s="2" t="s">
        <v>74</v>
      </c>
      <c r="U546" s="2" t="s">
        <v>74</v>
      </c>
      <c r="V546" s="5" t="s">
        <v>2176</v>
      </c>
      <c r="W546" s="2" t="s">
        <v>74</v>
      </c>
      <c r="X546" s="2" t="s">
        <v>74</v>
      </c>
      <c r="Y546" s="2" t="s">
        <v>74</v>
      </c>
      <c r="Z546" s="2" t="s">
        <v>74</v>
      </c>
      <c r="AA546" s="2" t="s">
        <v>74</v>
      </c>
      <c r="AB546" s="2" t="s">
        <v>322</v>
      </c>
      <c r="AC546" s="2" t="s">
        <v>74</v>
      </c>
      <c r="AD546" s="2" t="s">
        <v>74</v>
      </c>
      <c r="AE546" s="2" t="s">
        <v>74</v>
      </c>
      <c r="AF546" s="2" t="s">
        <v>74</v>
      </c>
      <c r="AG546" s="2" t="s">
        <v>74</v>
      </c>
      <c r="AH546" s="2" t="s">
        <v>74</v>
      </c>
      <c r="AI546" s="2" t="s">
        <v>74</v>
      </c>
      <c r="AJ546" s="2" t="s">
        <v>74</v>
      </c>
      <c r="AK546" s="2" t="s">
        <v>74</v>
      </c>
      <c r="AL546" s="2" t="s">
        <v>74</v>
      </c>
      <c r="AM546" s="2" t="s">
        <v>74</v>
      </c>
      <c r="AN546" s="2" t="s">
        <v>74</v>
      </c>
      <c r="AO546" s="2" t="s">
        <v>424</v>
      </c>
      <c r="AP546" s="2" t="s">
        <v>74</v>
      </c>
      <c r="AQ546" s="2" t="s">
        <v>74</v>
      </c>
      <c r="AR546" s="2" t="s">
        <v>74</v>
      </c>
      <c r="AS546" s="2" t="s">
        <v>74</v>
      </c>
      <c r="AT546" s="2" t="s">
        <v>2177</v>
      </c>
      <c r="AU546" s="2">
        <v>2010</v>
      </c>
      <c r="AV546" s="2">
        <v>10</v>
      </c>
      <c r="AW546" s="2" t="s">
        <v>74</v>
      </c>
      <c r="AX546" s="2" t="s">
        <v>74</v>
      </c>
      <c r="AY546" s="2" t="s">
        <v>74</v>
      </c>
      <c r="AZ546" s="2" t="s">
        <v>74</v>
      </c>
      <c r="BA546" s="2" t="s">
        <v>74</v>
      </c>
      <c r="BB546" s="2" t="s">
        <v>74</v>
      </c>
      <c r="BC546" s="2" t="s">
        <v>74</v>
      </c>
      <c r="BD546" s="2">
        <v>391</v>
      </c>
      <c r="BE546" s="2" t="s">
        <v>2178</v>
      </c>
      <c r="BF546" s="2" t="str">
        <f>HYPERLINK("http://dx.doi.org/10.1186/1471-2148-10-391","http://dx.doi.org/10.1186/1471-2148-10-391")</f>
        <v>http://dx.doi.org/10.1186/1471-2148-10-391</v>
      </c>
      <c r="BG546" s="2" t="s">
        <v>74</v>
      </c>
      <c r="BH546" s="2" t="s">
        <v>74</v>
      </c>
      <c r="BI546" s="2" t="s">
        <v>74</v>
      </c>
      <c r="BJ546" s="2" t="s">
        <v>74</v>
      </c>
      <c r="BK546" s="2" t="s">
        <v>74</v>
      </c>
      <c r="BL546" s="2" t="s">
        <v>74</v>
      </c>
      <c r="BM546" s="2" t="s">
        <v>74</v>
      </c>
      <c r="BN546" s="2">
        <v>21182755</v>
      </c>
      <c r="BO546" s="2" t="s">
        <v>74</v>
      </c>
      <c r="BP546" s="2" t="s">
        <v>74</v>
      </c>
      <c r="BQ546" s="2" t="s">
        <v>74</v>
      </c>
      <c r="BR546" s="2" t="s">
        <v>74</v>
      </c>
      <c r="BS546" s="2" t="s">
        <v>2179</v>
      </c>
      <c r="BT546" s="2" t="str">
        <f>HYPERLINK("https%3A%2F%2Fwww.webofscience.com%2Fwos%2Fwoscc%2Ffull-record%2FWOS:000287579200001","View Full Record in Web of Science")</f>
        <v>View Full Record in Web of Science</v>
      </c>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row>
    <row r="547" spans="1:314" s="2" customFormat="1" x14ac:dyDescent="0.4">
      <c r="A547" s="2" t="s">
        <v>72</v>
      </c>
      <c r="B547" s="2" t="s">
        <v>3970</v>
      </c>
      <c r="C547" s="2" t="s">
        <v>74</v>
      </c>
      <c r="D547" s="2" t="s">
        <v>74</v>
      </c>
      <c r="E547" s="2" t="s">
        <v>74</v>
      </c>
      <c r="F547" s="2" t="s">
        <v>3970</v>
      </c>
      <c r="G547" s="2" t="s">
        <v>74</v>
      </c>
      <c r="H547" s="2" t="s">
        <v>74</v>
      </c>
      <c r="I547" s="2" t="s">
        <v>3971</v>
      </c>
      <c r="J547" s="2" t="s">
        <v>1812</v>
      </c>
      <c r="K547" s="2" t="s">
        <v>74</v>
      </c>
      <c r="L547" s="2" t="s">
        <v>74</v>
      </c>
      <c r="M547" s="2" t="s">
        <v>74</v>
      </c>
      <c r="N547" s="2" t="s">
        <v>74</v>
      </c>
      <c r="O547" s="2" t="s">
        <v>74</v>
      </c>
      <c r="P547" s="2" t="s">
        <v>74</v>
      </c>
      <c r="Q547" s="2" t="s">
        <v>74</v>
      </c>
      <c r="R547" s="2" t="s">
        <v>74</v>
      </c>
      <c r="S547" s="2" t="s">
        <v>74</v>
      </c>
      <c r="T547" s="2" t="s">
        <v>74</v>
      </c>
      <c r="U547" s="2" t="s">
        <v>74</v>
      </c>
      <c r="V547" s="5" t="s">
        <v>3972</v>
      </c>
      <c r="W547" s="2" t="s">
        <v>74</v>
      </c>
      <c r="X547" s="2" t="s">
        <v>74</v>
      </c>
      <c r="Y547" s="2" t="s">
        <v>74</v>
      </c>
      <c r="Z547" s="2" t="s">
        <v>74</v>
      </c>
      <c r="AA547" s="2" t="s">
        <v>74</v>
      </c>
      <c r="AB547" s="2" t="s">
        <v>3973</v>
      </c>
      <c r="AC547" s="2" t="s">
        <v>74</v>
      </c>
      <c r="AD547" s="2" t="s">
        <v>74</v>
      </c>
      <c r="AE547" s="2" t="s">
        <v>74</v>
      </c>
      <c r="AF547" s="2" t="s">
        <v>74</v>
      </c>
      <c r="AG547" s="2" t="s">
        <v>74</v>
      </c>
      <c r="AH547" s="2" t="s">
        <v>74</v>
      </c>
      <c r="AI547" s="2" t="s">
        <v>74</v>
      </c>
      <c r="AJ547" s="2" t="s">
        <v>74</v>
      </c>
      <c r="AK547" s="2" t="s">
        <v>74</v>
      </c>
      <c r="AL547" s="2" t="s">
        <v>74</v>
      </c>
      <c r="AM547" s="2" t="s">
        <v>74</v>
      </c>
      <c r="AN547" s="2" t="s">
        <v>74</v>
      </c>
      <c r="AO547" s="2" t="s">
        <v>1814</v>
      </c>
      <c r="AP547" s="2" t="s">
        <v>1815</v>
      </c>
      <c r="AQ547" s="2" t="s">
        <v>74</v>
      </c>
      <c r="AR547" s="2" t="s">
        <v>74</v>
      </c>
      <c r="AS547" s="2" t="s">
        <v>74</v>
      </c>
      <c r="AT547" s="2" t="s">
        <v>123</v>
      </c>
      <c r="AU547" s="2">
        <v>2004</v>
      </c>
      <c r="AV547" s="2">
        <v>38</v>
      </c>
      <c r="AW547" s="2">
        <v>1</v>
      </c>
      <c r="AX547" s="2" t="s">
        <v>74</v>
      </c>
      <c r="AY547" s="2" t="s">
        <v>74</v>
      </c>
      <c r="AZ547" s="2" t="s">
        <v>74</v>
      </c>
      <c r="BA547" s="2" t="s">
        <v>74</v>
      </c>
      <c r="BB547" s="2">
        <v>156</v>
      </c>
      <c r="BC547" s="2">
        <v>160</v>
      </c>
      <c r="BD547" s="2" t="s">
        <v>74</v>
      </c>
      <c r="BE547" s="2" t="s">
        <v>3974</v>
      </c>
      <c r="BF547" s="2" t="str">
        <f>HYPERLINK("http://dx.doi.org/10.1670/138-03N","http://dx.doi.org/10.1670/138-03N")</f>
        <v>http://dx.doi.org/10.1670/138-03N</v>
      </c>
      <c r="BG547" s="2" t="s">
        <v>74</v>
      </c>
      <c r="BH547" s="2" t="s">
        <v>74</v>
      </c>
      <c r="BI547" s="2" t="s">
        <v>74</v>
      </c>
      <c r="BJ547" s="2" t="s">
        <v>74</v>
      </c>
      <c r="BK547" s="2" t="s">
        <v>74</v>
      </c>
      <c r="BL547" s="2" t="s">
        <v>74</v>
      </c>
      <c r="BM547" s="2" t="s">
        <v>74</v>
      </c>
      <c r="BN547" s="2" t="s">
        <v>74</v>
      </c>
      <c r="BO547" s="2" t="s">
        <v>74</v>
      </c>
      <c r="BP547" s="2" t="s">
        <v>74</v>
      </c>
      <c r="BQ547" s="2" t="s">
        <v>74</v>
      </c>
      <c r="BR547" s="2" t="s">
        <v>74</v>
      </c>
      <c r="BS547" s="2" t="s">
        <v>3975</v>
      </c>
      <c r="BT547" s="2" t="str">
        <f>HYPERLINK("https%3A%2F%2Fwww.webofscience.com%2Fwos%2Fwoscc%2Ffull-record%2FWOS:000220546800025","View Full Record in Web of Science")</f>
        <v>View Full Record in Web of Science</v>
      </c>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row>
    <row r="548" spans="1:314" s="2" customFormat="1" x14ac:dyDescent="0.4">
      <c r="A548" s="2" t="s">
        <v>72</v>
      </c>
      <c r="B548" s="2" t="s">
        <v>5911</v>
      </c>
      <c r="C548" s="2" t="s">
        <v>74</v>
      </c>
      <c r="D548" s="2" t="s">
        <v>74</v>
      </c>
      <c r="E548" s="2" t="s">
        <v>74</v>
      </c>
      <c r="F548" s="2" t="s">
        <v>5912</v>
      </c>
      <c r="G548" s="2" t="s">
        <v>74</v>
      </c>
      <c r="H548" s="2" t="s">
        <v>74</v>
      </c>
      <c r="I548" s="2" t="s">
        <v>5913</v>
      </c>
      <c r="J548" s="2" t="s">
        <v>1743</v>
      </c>
      <c r="K548" s="2" t="s">
        <v>74</v>
      </c>
      <c r="L548" s="2" t="s">
        <v>74</v>
      </c>
      <c r="M548" s="2" t="s">
        <v>74</v>
      </c>
      <c r="N548" s="2" t="s">
        <v>74</v>
      </c>
      <c r="O548" s="2" t="s">
        <v>74</v>
      </c>
      <c r="P548" s="2" t="s">
        <v>74</v>
      </c>
      <c r="Q548" s="2" t="s">
        <v>74</v>
      </c>
      <c r="R548" s="2" t="s">
        <v>74</v>
      </c>
      <c r="S548" s="2" t="s">
        <v>74</v>
      </c>
      <c r="T548" s="2" t="s">
        <v>74</v>
      </c>
      <c r="U548" s="2" t="s">
        <v>74</v>
      </c>
      <c r="V548" s="5" t="s">
        <v>5914</v>
      </c>
      <c r="W548" s="2" t="s">
        <v>74</v>
      </c>
      <c r="X548" s="2" t="s">
        <v>74</v>
      </c>
      <c r="Y548" s="2" t="s">
        <v>74</v>
      </c>
      <c r="Z548" s="2" t="s">
        <v>74</v>
      </c>
      <c r="AA548" s="2" t="s">
        <v>5915</v>
      </c>
      <c r="AB548" s="2" t="s">
        <v>5916</v>
      </c>
      <c r="AC548" s="2" t="s">
        <v>74</v>
      </c>
      <c r="AD548" s="2" t="s">
        <v>74</v>
      </c>
      <c r="AE548" s="2" t="s">
        <v>74</v>
      </c>
      <c r="AF548" s="2" t="s">
        <v>74</v>
      </c>
      <c r="AG548" s="2" t="s">
        <v>74</v>
      </c>
      <c r="AH548" s="2" t="s">
        <v>74</v>
      </c>
      <c r="AI548" s="2" t="s">
        <v>74</v>
      </c>
      <c r="AJ548" s="2" t="s">
        <v>74</v>
      </c>
      <c r="AK548" s="2" t="s">
        <v>74</v>
      </c>
      <c r="AL548" s="2" t="s">
        <v>74</v>
      </c>
      <c r="AM548" s="2" t="s">
        <v>74</v>
      </c>
      <c r="AN548" s="2" t="s">
        <v>74</v>
      </c>
      <c r="AO548" s="2" t="s">
        <v>1746</v>
      </c>
      <c r="AP548" s="2" t="s">
        <v>74</v>
      </c>
      <c r="AQ548" s="2" t="s">
        <v>74</v>
      </c>
      <c r="AR548" s="2" t="s">
        <v>74</v>
      </c>
      <c r="AS548" s="2" t="s">
        <v>74</v>
      </c>
      <c r="AT548" s="2" t="s">
        <v>633</v>
      </c>
      <c r="AU548" s="2">
        <v>2021</v>
      </c>
      <c r="AV548" s="2">
        <v>38</v>
      </c>
      <c r="AW548" s="2">
        <v>2</v>
      </c>
      <c r="AX548" s="2" t="s">
        <v>74</v>
      </c>
      <c r="AY548" s="2" t="s">
        <v>74</v>
      </c>
      <c r="AZ548" s="2" t="s">
        <v>74</v>
      </c>
      <c r="BA548" s="2" t="s">
        <v>74</v>
      </c>
      <c r="BB548" s="2">
        <v>193</v>
      </c>
      <c r="BC548" s="2">
        <v>202</v>
      </c>
      <c r="BD548" s="2" t="s">
        <v>74</v>
      </c>
      <c r="BE548" s="2" t="s">
        <v>5917</v>
      </c>
      <c r="BF548" s="2" t="str">
        <f>HYPERLINK("http://dx.doi.org/10.2108/zs200112","http://dx.doi.org/10.2108/zs200112")</f>
        <v>http://dx.doi.org/10.2108/zs200112</v>
      </c>
      <c r="BG548" s="2" t="s">
        <v>74</v>
      </c>
      <c r="BH548" s="2" t="s">
        <v>74</v>
      </c>
      <c r="BI548" s="2" t="s">
        <v>74</v>
      </c>
      <c r="BJ548" s="2" t="s">
        <v>74</v>
      </c>
      <c r="BK548" s="2" t="s">
        <v>74</v>
      </c>
      <c r="BL548" s="2" t="s">
        <v>74</v>
      </c>
      <c r="BM548" s="2" t="s">
        <v>74</v>
      </c>
      <c r="BN548" s="2">
        <v>33812359</v>
      </c>
      <c r="BO548" s="2" t="s">
        <v>74</v>
      </c>
      <c r="BP548" s="2" t="s">
        <v>74</v>
      </c>
      <c r="BQ548" s="2" t="s">
        <v>74</v>
      </c>
      <c r="BR548" s="2" t="s">
        <v>74</v>
      </c>
      <c r="BS548" s="2" t="s">
        <v>5918</v>
      </c>
      <c r="BT548" s="2" t="str">
        <f>HYPERLINK("https%3A%2F%2Fwww.webofscience.com%2Fwos%2Fwoscc%2Ffull-record%2FWOS:000635436200010","View Full Record in Web of Science")</f>
        <v>View Full Record in Web of Science</v>
      </c>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row>
    <row r="549" spans="1:314" s="2" customFormat="1" x14ac:dyDescent="0.4">
      <c r="A549" s="2" t="s">
        <v>72</v>
      </c>
      <c r="B549" s="2" t="s">
        <v>6906</v>
      </c>
      <c r="C549" s="2" t="s">
        <v>74</v>
      </c>
      <c r="D549" s="2" t="s">
        <v>74</v>
      </c>
      <c r="E549" s="2" t="s">
        <v>74</v>
      </c>
      <c r="F549" s="2" t="s">
        <v>6907</v>
      </c>
      <c r="G549" s="2" t="s">
        <v>74</v>
      </c>
      <c r="H549" s="2" t="s">
        <v>74</v>
      </c>
      <c r="I549" s="2" t="s">
        <v>6908</v>
      </c>
      <c r="J549" s="2" t="s">
        <v>171</v>
      </c>
      <c r="K549" s="2" t="s">
        <v>74</v>
      </c>
      <c r="L549" s="2" t="s">
        <v>74</v>
      </c>
      <c r="M549" s="2" t="s">
        <v>74</v>
      </c>
      <c r="N549" s="2" t="s">
        <v>74</v>
      </c>
      <c r="O549" s="2" t="s">
        <v>74</v>
      </c>
      <c r="P549" s="2" t="s">
        <v>74</v>
      </c>
      <c r="Q549" s="2" t="s">
        <v>74</v>
      </c>
      <c r="R549" s="2" t="s">
        <v>74</v>
      </c>
      <c r="S549" s="2" t="s">
        <v>74</v>
      </c>
      <c r="T549" s="2" t="s">
        <v>74</v>
      </c>
      <c r="U549" s="2" t="s">
        <v>74</v>
      </c>
      <c r="V549" s="5" t="s">
        <v>6909</v>
      </c>
      <c r="W549" s="2" t="s">
        <v>74</v>
      </c>
      <c r="X549" s="2" t="s">
        <v>74</v>
      </c>
      <c r="Y549" s="2" t="s">
        <v>74</v>
      </c>
      <c r="Z549" s="2" t="s">
        <v>74</v>
      </c>
      <c r="AA549" s="2" t="s">
        <v>6910</v>
      </c>
      <c r="AB549" s="2" t="s">
        <v>434</v>
      </c>
      <c r="AC549" s="2" t="s">
        <v>74</v>
      </c>
      <c r="AD549" s="2" t="s">
        <v>74</v>
      </c>
      <c r="AE549" s="2" t="s">
        <v>74</v>
      </c>
      <c r="AF549" s="2" t="s">
        <v>74</v>
      </c>
      <c r="AG549" s="2" t="s">
        <v>74</v>
      </c>
      <c r="AH549" s="2" t="s">
        <v>74</v>
      </c>
      <c r="AI549" s="2" t="s">
        <v>74</v>
      </c>
      <c r="AJ549" s="2" t="s">
        <v>74</v>
      </c>
      <c r="AK549" s="2" t="s">
        <v>74</v>
      </c>
      <c r="AL549" s="2" t="s">
        <v>74</v>
      </c>
      <c r="AM549" s="2" t="s">
        <v>74</v>
      </c>
      <c r="AN549" s="2" t="s">
        <v>74</v>
      </c>
      <c r="AO549" s="2" t="s">
        <v>173</v>
      </c>
      <c r="AP549" s="2" t="s">
        <v>174</v>
      </c>
      <c r="AQ549" s="2" t="s">
        <v>74</v>
      </c>
      <c r="AR549" s="2" t="s">
        <v>74</v>
      </c>
      <c r="AS549" s="2" t="s">
        <v>74</v>
      </c>
      <c r="AT549" s="2" t="s">
        <v>102</v>
      </c>
      <c r="AU549" s="2">
        <v>2010</v>
      </c>
      <c r="AV549" s="2">
        <v>64</v>
      </c>
      <c r="AW549" s="2">
        <v>6</v>
      </c>
      <c r="AX549" s="2" t="s">
        <v>74</v>
      </c>
      <c r="AY549" s="2" t="s">
        <v>74</v>
      </c>
      <c r="AZ549" s="2" t="s">
        <v>74</v>
      </c>
      <c r="BA549" s="2" t="s">
        <v>74</v>
      </c>
      <c r="BB549" s="2">
        <v>1634</v>
      </c>
      <c r="BC549" s="2">
        <v>1643</v>
      </c>
      <c r="BD549" s="2" t="s">
        <v>74</v>
      </c>
      <c r="BE549" s="2" t="s">
        <v>6911</v>
      </c>
      <c r="BF549" s="2" t="str">
        <f>HYPERLINK("http://dx.doi.org/10.1111/j.1558-5646.2009.00924.x","http://dx.doi.org/10.1111/j.1558-5646.2009.00924.x")</f>
        <v>http://dx.doi.org/10.1111/j.1558-5646.2009.00924.x</v>
      </c>
      <c r="BG549" s="2" t="s">
        <v>74</v>
      </c>
      <c r="BH549" s="2" t="s">
        <v>74</v>
      </c>
      <c r="BI549" s="2" t="s">
        <v>74</v>
      </c>
      <c r="BJ549" s="2" t="s">
        <v>74</v>
      </c>
      <c r="BK549" s="2" t="s">
        <v>74</v>
      </c>
      <c r="BL549" s="2" t="s">
        <v>74</v>
      </c>
      <c r="BM549" s="2" t="s">
        <v>74</v>
      </c>
      <c r="BN549" s="2">
        <v>20015235</v>
      </c>
      <c r="BO549" s="2" t="s">
        <v>74</v>
      </c>
      <c r="BP549" s="2" t="s">
        <v>74</v>
      </c>
      <c r="BQ549" s="2" t="s">
        <v>74</v>
      </c>
      <c r="BR549" s="2" t="s">
        <v>74</v>
      </c>
      <c r="BS549" s="2" t="s">
        <v>6912</v>
      </c>
      <c r="BT549" s="2" t="str">
        <f>HYPERLINK("https%3A%2F%2Fwww.webofscience.com%2Fwos%2Fwoscc%2Ffull-record%2FWOS:000278343200009","View Full Record in Web of Science")</f>
        <v>View Full Record in Web of Science</v>
      </c>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row>
    <row r="550" spans="1:314" s="2" customFormat="1" x14ac:dyDescent="0.4">
      <c r="A550" s="2" t="s">
        <v>72</v>
      </c>
      <c r="B550" s="2" t="s">
        <v>3187</v>
      </c>
      <c r="C550" s="2" t="s">
        <v>74</v>
      </c>
      <c r="D550" s="2" t="s">
        <v>74</v>
      </c>
      <c r="E550" s="2" t="s">
        <v>74</v>
      </c>
      <c r="F550" s="2" t="s">
        <v>3188</v>
      </c>
      <c r="G550" s="2" t="s">
        <v>74</v>
      </c>
      <c r="H550" s="2" t="s">
        <v>74</v>
      </c>
      <c r="I550" s="2" t="s">
        <v>3189</v>
      </c>
      <c r="J550" s="2" t="s">
        <v>3190</v>
      </c>
      <c r="K550" s="2" t="s">
        <v>74</v>
      </c>
      <c r="L550" s="2" t="s">
        <v>74</v>
      </c>
      <c r="M550" s="2" t="s">
        <v>74</v>
      </c>
      <c r="N550" s="2" t="s">
        <v>74</v>
      </c>
      <c r="O550" s="2" t="s">
        <v>74</v>
      </c>
      <c r="P550" s="2" t="s">
        <v>74</v>
      </c>
      <c r="Q550" s="2" t="s">
        <v>74</v>
      </c>
      <c r="R550" s="2" t="s">
        <v>74</v>
      </c>
      <c r="S550" s="2" t="s">
        <v>74</v>
      </c>
      <c r="T550" s="2" t="s">
        <v>74</v>
      </c>
      <c r="U550" s="2" t="s">
        <v>74</v>
      </c>
      <c r="V550" s="5" t="s">
        <v>3191</v>
      </c>
      <c r="W550" s="2" t="s">
        <v>74</v>
      </c>
      <c r="X550" s="2" t="s">
        <v>74</v>
      </c>
      <c r="Y550" s="2" t="s">
        <v>74</v>
      </c>
      <c r="Z550" s="2" t="s">
        <v>74</v>
      </c>
      <c r="AA550" s="2" t="s">
        <v>3192</v>
      </c>
      <c r="AB550" s="2" t="s">
        <v>74</v>
      </c>
      <c r="AC550" s="2" t="s">
        <v>74</v>
      </c>
      <c r="AD550" s="2" t="s">
        <v>74</v>
      </c>
      <c r="AE550" s="2" t="s">
        <v>74</v>
      </c>
      <c r="AF550" s="2" t="s">
        <v>74</v>
      </c>
      <c r="AG550" s="2" t="s">
        <v>74</v>
      </c>
      <c r="AH550" s="2" t="s">
        <v>74</v>
      </c>
      <c r="AI550" s="2" t="s">
        <v>74</v>
      </c>
      <c r="AJ550" s="2" t="s">
        <v>74</v>
      </c>
      <c r="AK550" s="2" t="s">
        <v>74</v>
      </c>
      <c r="AL550" s="2" t="s">
        <v>74</v>
      </c>
      <c r="AM550" s="2" t="s">
        <v>74</v>
      </c>
      <c r="AN550" s="2" t="s">
        <v>74</v>
      </c>
      <c r="AO550" s="2" t="s">
        <v>3193</v>
      </c>
      <c r="AP550" s="2" t="s">
        <v>3194</v>
      </c>
      <c r="AQ550" s="2" t="s">
        <v>74</v>
      </c>
      <c r="AR550" s="2" t="s">
        <v>74</v>
      </c>
      <c r="AS550" s="2" t="s">
        <v>74</v>
      </c>
      <c r="AT550" s="2" t="s">
        <v>255</v>
      </c>
      <c r="AU550" s="2">
        <v>2011</v>
      </c>
      <c r="AV550" s="2">
        <v>40</v>
      </c>
      <c r="AW550" s="2">
        <v>1</v>
      </c>
      <c r="AX550" s="2" t="s">
        <v>74</v>
      </c>
      <c r="AY550" s="2" t="s">
        <v>74</v>
      </c>
      <c r="AZ550" s="2" t="s">
        <v>74</v>
      </c>
      <c r="BA550" s="2" t="s">
        <v>74</v>
      </c>
      <c r="BB550" s="2">
        <v>21</v>
      </c>
      <c r="BC550" s="2">
        <v>25</v>
      </c>
      <c r="BD550" s="2" t="s">
        <v>74</v>
      </c>
      <c r="BE550" s="2" t="s">
        <v>3195</v>
      </c>
      <c r="BF550" s="2" t="str">
        <f>HYPERLINK("http://dx.doi.org/10.1016/j.asd.2010.07.006","http://dx.doi.org/10.1016/j.asd.2010.07.006")</f>
        <v>http://dx.doi.org/10.1016/j.asd.2010.07.006</v>
      </c>
      <c r="BG550" s="2" t="s">
        <v>74</v>
      </c>
      <c r="BH550" s="2" t="s">
        <v>74</v>
      </c>
      <c r="BI550" s="2" t="s">
        <v>74</v>
      </c>
      <c r="BJ550" s="2" t="s">
        <v>74</v>
      </c>
      <c r="BK550" s="2" t="s">
        <v>74</v>
      </c>
      <c r="BL550" s="2" t="s">
        <v>74</v>
      </c>
      <c r="BM550" s="2" t="s">
        <v>74</v>
      </c>
      <c r="BN550" s="2">
        <v>20696270</v>
      </c>
      <c r="BO550" s="2" t="s">
        <v>74</v>
      </c>
      <c r="BP550" s="2" t="s">
        <v>74</v>
      </c>
      <c r="BQ550" s="2" t="s">
        <v>74</v>
      </c>
      <c r="BR550" s="2" t="s">
        <v>74</v>
      </c>
      <c r="BS550" s="2" t="s">
        <v>3196</v>
      </c>
      <c r="BT550" s="2" t="str">
        <f>HYPERLINK("https%3A%2F%2Fwww.webofscience.com%2Fwos%2Fwoscc%2Ffull-record%2FWOS:000286405700003","View Full Record in Web of Science")</f>
        <v>View Full Record in Web of Science</v>
      </c>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row>
    <row r="551" spans="1:314" s="2" customFormat="1" x14ac:dyDescent="0.4">
      <c r="A551" s="2" t="s">
        <v>72</v>
      </c>
      <c r="B551" s="2" t="s">
        <v>3065</v>
      </c>
      <c r="C551" s="2" t="s">
        <v>74</v>
      </c>
      <c r="D551" s="2" t="s">
        <v>74</v>
      </c>
      <c r="E551" s="2" t="s">
        <v>74</v>
      </c>
      <c r="F551" s="2" t="s">
        <v>3066</v>
      </c>
      <c r="G551" s="2" t="s">
        <v>74</v>
      </c>
      <c r="H551" s="2" t="s">
        <v>74</v>
      </c>
      <c r="I551" s="2" t="s">
        <v>3067</v>
      </c>
      <c r="J551" s="2" t="s">
        <v>3068</v>
      </c>
      <c r="K551" s="2" t="s">
        <v>74</v>
      </c>
      <c r="L551" s="2" t="s">
        <v>74</v>
      </c>
      <c r="M551" s="2" t="s">
        <v>74</v>
      </c>
      <c r="N551" s="2" t="s">
        <v>74</v>
      </c>
      <c r="O551" s="2" t="s">
        <v>74</v>
      </c>
      <c r="P551" s="2" t="s">
        <v>74</v>
      </c>
      <c r="Q551" s="2" t="s">
        <v>74</v>
      </c>
      <c r="R551" s="2" t="s">
        <v>74</v>
      </c>
      <c r="S551" s="2" t="s">
        <v>74</v>
      </c>
      <c r="T551" s="2" t="s">
        <v>74</v>
      </c>
      <c r="U551" s="2" t="s">
        <v>74</v>
      </c>
      <c r="V551" s="5" t="s">
        <v>3069</v>
      </c>
      <c r="W551" s="2" t="s">
        <v>74</v>
      </c>
      <c r="X551" s="2" t="s">
        <v>74</v>
      </c>
      <c r="Y551" s="2" t="s">
        <v>74</v>
      </c>
      <c r="Z551" s="2" t="s">
        <v>74</v>
      </c>
      <c r="AA551" s="2" t="s">
        <v>3070</v>
      </c>
      <c r="AB551" s="2" t="s">
        <v>3071</v>
      </c>
      <c r="AC551" s="2" t="s">
        <v>74</v>
      </c>
      <c r="AD551" s="2" t="s">
        <v>74</v>
      </c>
      <c r="AE551" s="2" t="s">
        <v>74</v>
      </c>
      <c r="AF551" s="2" t="s">
        <v>74</v>
      </c>
      <c r="AG551" s="2" t="s">
        <v>74</v>
      </c>
      <c r="AH551" s="2" t="s">
        <v>74</v>
      </c>
      <c r="AI551" s="2" t="s">
        <v>74</v>
      </c>
      <c r="AJ551" s="2" t="s">
        <v>74</v>
      </c>
      <c r="AK551" s="2" t="s">
        <v>74</v>
      </c>
      <c r="AL551" s="2" t="s">
        <v>74</v>
      </c>
      <c r="AM551" s="2" t="s">
        <v>74</v>
      </c>
      <c r="AN551" s="2" t="s">
        <v>74</v>
      </c>
      <c r="AO551" s="2" t="s">
        <v>3072</v>
      </c>
      <c r="AP551" s="2" t="s">
        <v>3073</v>
      </c>
      <c r="AQ551" s="2" t="s">
        <v>74</v>
      </c>
      <c r="AR551" s="2" t="s">
        <v>74</v>
      </c>
      <c r="AS551" s="2" t="s">
        <v>74</v>
      </c>
      <c r="AT551" s="2" t="s">
        <v>102</v>
      </c>
      <c r="AU551" s="2">
        <v>2018</v>
      </c>
      <c r="AV551" s="2">
        <v>37</v>
      </c>
      <c r="AW551" s="2">
        <v>2</v>
      </c>
      <c r="AX551" s="2" t="s">
        <v>74</v>
      </c>
      <c r="AY551" s="2" t="s">
        <v>74</v>
      </c>
      <c r="AZ551" s="2" t="s">
        <v>74</v>
      </c>
      <c r="BA551" s="2" t="s">
        <v>74</v>
      </c>
      <c r="BB551" s="2">
        <v>423</v>
      </c>
      <c r="BC551" s="2">
        <v>430</v>
      </c>
      <c r="BD551" s="2" t="s">
        <v>74</v>
      </c>
      <c r="BE551" s="2" t="s">
        <v>3074</v>
      </c>
      <c r="BF551" s="2" t="str">
        <f>HYPERLINK("http://dx.doi.org/10.1007/s00338-018-1667-0","http://dx.doi.org/10.1007/s00338-018-1667-0")</f>
        <v>http://dx.doi.org/10.1007/s00338-018-1667-0</v>
      </c>
      <c r="BG551" s="2" t="s">
        <v>74</v>
      </c>
      <c r="BH551" s="2" t="s">
        <v>74</v>
      </c>
      <c r="BI551" s="2" t="s">
        <v>74</v>
      </c>
      <c r="BJ551" s="2" t="s">
        <v>74</v>
      </c>
      <c r="BK551" s="2" t="s">
        <v>74</v>
      </c>
      <c r="BL551" s="2" t="s">
        <v>74</v>
      </c>
      <c r="BM551" s="2" t="s">
        <v>74</v>
      </c>
      <c r="BN551" s="2" t="s">
        <v>74</v>
      </c>
      <c r="BO551" s="2" t="s">
        <v>74</v>
      </c>
      <c r="BP551" s="2" t="s">
        <v>74</v>
      </c>
      <c r="BQ551" s="2" t="s">
        <v>74</v>
      </c>
      <c r="BR551" s="2" t="s">
        <v>74</v>
      </c>
      <c r="BS551" s="2" t="s">
        <v>3075</v>
      </c>
      <c r="BT551" s="2" t="str">
        <f>HYPERLINK("https%3A%2F%2Fwww.webofscience.com%2Fwos%2Fwoscc%2Ffull-record%2FWOS:000432285500010","View Full Record in Web of Science")</f>
        <v>View Full Record in Web of Science</v>
      </c>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row>
    <row r="552" spans="1:314" s="2" customFormat="1" x14ac:dyDescent="0.4">
      <c r="A552" s="2" t="s">
        <v>72</v>
      </c>
      <c r="B552" s="2" t="s">
        <v>2648</v>
      </c>
      <c r="C552" s="2" t="s">
        <v>74</v>
      </c>
      <c r="D552" s="2" t="s">
        <v>74</v>
      </c>
      <c r="E552" s="2" t="s">
        <v>74</v>
      </c>
      <c r="F552" s="2" t="s">
        <v>2649</v>
      </c>
      <c r="G552" s="2" t="s">
        <v>74</v>
      </c>
      <c r="H552" s="2" t="s">
        <v>74</v>
      </c>
      <c r="I552" s="2" t="s">
        <v>2650</v>
      </c>
      <c r="J552" s="2" t="s">
        <v>2651</v>
      </c>
      <c r="K552" s="2" t="s">
        <v>74</v>
      </c>
      <c r="L552" s="2" t="s">
        <v>74</v>
      </c>
      <c r="M552" s="2" t="s">
        <v>74</v>
      </c>
      <c r="N552" s="2" t="s">
        <v>74</v>
      </c>
      <c r="O552" s="2" t="s">
        <v>74</v>
      </c>
      <c r="P552" s="2" t="s">
        <v>74</v>
      </c>
      <c r="Q552" s="2" t="s">
        <v>74</v>
      </c>
      <c r="R552" s="2" t="s">
        <v>74</v>
      </c>
      <c r="S552" s="2" t="s">
        <v>74</v>
      </c>
      <c r="T552" s="2" t="s">
        <v>74</v>
      </c>
      <c r="U552" s="2" t="s">
        <v>74</v>
      </c>
      <c r="V552" s="5" t="s">
        <v>2652</v>
      </c>
      <c r="W552" s="2" t="s">
        <v>74</v>
      </c>
      <c r="X552" s="2" t="s">
        <v>74</v>
      </c>
      <c r="Y552" s="2" t="s">
        <v>74</v>
      </c>
      <c r="Z552" s="2" t="s">
        <v>74</v>
      </c>
      <c r="AA552" s="2" t="s">
        <v>2653</v>
      </c>
      <c r="AB552" s="2" t="s">
        <v>2654</v>
      </c>
      <c r="AC552" s="2" t="s">
        <v>74</v>
      </c>
      <c r="AD552" s="2" t="s">
        <v>74</v>
      </c>
      <c r="AE552" s="2" t="s">
        <v>74</v>
      </c>
      <c r="AF552" s="2" t="s">
        <v>74</v>
      </c>
      <c r="AG552" s="2" t="s">
        <v>74</v>
      </c>
      <c r="AH552" s="2" t="s">
        <v>74</v>
      </c>
      <c r="AI552" s="2" t="s">
        <v>74</v>
      </c>
      <c r="AJ552" s="2" t="s">
        <v>74</v>
      </c>
      <c r="AK552" s="2" t="s">
        <v>74</v>
      </c>
      <c r="AL552" s="2" t="s">
        <v>74</v>
      </c>
      <c r="AM552" s="2" t="s">
        <v>74</v>
      </c>
      <c r="AN552" s="2" t="s">
        <v>74</v>
      </c>
      <c r="AO552" s="2" t="s">
        <v>2655</v>
      </c>
      <c r="AP552" s="2" t="s">
        <v>2656</v>
      </c>
      <c r="AQ552" s="2" t="s">
        <v>74</v>
      </c>
      <c r="AR552" s="2" t="s">
        <v>74</v>
      </c>
      <c r="AS552" s="2" t="s">
        <v>74</v>
      </c>
      <c r="AT552" s="2" t="s">
        <v>204</v>
      </c>
      <c r="AU552" s="2">
        <v>2007</v>
      </c>
      <c r="AV552" s="2">
        <v>28</v>
      </c>
      <c r="AW552" s="2">
        <v>4</v>
      </c>
      <c r="AX552" s="2" t="s">
        <v>74</v>
      </c>
      <c r="AY552" s="2" t="s">
        <v>74</v>
      </c>
      <c r="AZ552" s="2" t="s">
        <v>74</v>
      </c>
      <c r="BA552" s="2" t="s">
        <v>74</v>
      </c>
      <c r="BB552" s="2">
        <v>285</v>
      </c>
      <c r="BC552" s="2">
        <v>293</v>
      </c>
      <c r="BD552" s="2" t="s">
        <v>74</v>
      </c>
      <c r="BE552" s="2" t="s">
        <v>2657</v>
      </c>
      <c r="BF552" s="2" t="str">
        <f>HYPERLINK("http://dx.doi.org/10.1016/j.evolhumbehav.2007.03.001","http://dx.doi.org/10.1016/j.evolhumbehav.2007.03.001")</f>
        <v>http://dx.doi.org/10.1016/j.evolhumbehav.2007.03.001</v>
      </c>
      <c r="BG552" s="2" t="s">
        <v>74</v>
      </c>
      <c r="BH552" s="2" t="s">
        <v>74</v>
      </c>
      <c r="BI552" s="2" t="s">
        <v>74</v>
      </c>
      <c r="BJ552" s="2" t="s">
        <v>74</v>
      </c>
      <c r="BK552" s="2" t="s">
        <v>74</v>
      </c>
      <c r="BL552" s="2" t="s">
        <v>74</v>
      </c>
      <c r="BM552" s="2" t="s">
        <v>74</v>
      </c>
      <c r="BN552" s="2" t="s">
        <v>74</v>
      </c>
      <c r="BO552" s="2" t="s">
        <v>74</v>
      </c>
      <c r="BP552" s="2" t="s">
        <v>74</v>
      </c>
      <c r="BQ552" s="2" t="s">
        <v>74</v>
      </c>
      <c r="BR552" s="2" t="s">
        <v>74</v>
      </c>
      <c r="BS552" s="2" t="s">
        <v>2658</v>
      </c>
      <c r="BT552" s="2" t="str">
        <f>HYPERLINK("https%3A%2F%2Fwww.webofscience.com%2Fwos%2Fwoscc%2Ffull-record%2FWOS:000247824100010","View Full Record in Web of Science")</f>
        <v>View Full Record in Web of Science</v>
      </c>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row>
    <row r="553" spans="1:314" s="2" customFormat="1" x14ac:dyDescent="0.4">
      <c r="A553" s="2" t="s">
        <v>72</v>
      </c>
      <c r="B553" s="2" t="s">
        <v>4073</v>
      </c>
      <c r="C553" s="2" t="s">
        <v>74</v>
      </c>
      <c r="D553" s="2" t="s">
        <v>74</v>
      </c>
      <c r="E553" s="2" t="s">
        <v>74</v>
      </c>
      <c r="F553" s="2" t="s">
        <v>4073</v>
      </c>
      <c r="G553" s="2" t="s">
        <v>74</v>
      </c>
      <c r="H553" s="2" t="s">
        <v>74</v>
      </c>
      <c r="I553" s="2" t="s">
        <v>4074</v>
      </c>
      <c r="J553" s="2" t="s">
        <v>2847</v>
      </c>
      <c r="K553" s="2" t="s">
        <v>74</v>
      </c>
      <c r="L553" s="2" t="s">
        <v>74</v>
      </c>
      <c r="M553" s="2" t="s">
        <v>74</v>
      </c>
      <c r="N553" s="2" t="s">
        <v>74</v>
      </c>
      <c r="O553" s="2" t="s">
        <v>74</v>
      </c>
      <c r="P553" s="2" t="s">
        <v>74</v>
      </c>
      <c r="Q553" s="2" t="s">
        <v>74</v>
      </c>
      <c r="R553" s="2" t="s">
        <v>74</v>
      </c>
      <c r="S553" s="2" t="s">
        <v>74</v>
      </c>
      <c r="T553" s="2" t="s">
        <v>74</v>
      </c>
      <c r="U553" s="2" t="s">
        <v>74</v>
      </c>
      <c r="V553" s="5" t="s">
        <v>4075</v>
      </c>
      <c r="W553" s="2" t="s">
        <v>74</v>
      </c>
      <c r="X553" s="2" t="s">
        <v>74</v>
      </c>
      <c r="Y553" s="2" t="s">
        <v>74</v>
      </c>
      <c r="Z553" s="2" t="s">
        <v>74</v>
      </c>
      <c r="AA553" s="2" t="s">
        <v>74</v>
      </c>
      <c r="AB553" s="2" t="s">
        <v>74</v>
      </c>
      <c r="AC553" s="2" t="s">
        <v>74</v>
      </c>
      <c r="AD553" s="2" t="s">
        <v>74</v>
      </c>
      <c r="AE553" s="2" t="s">
        <v>74</v>
      </c>
      <c r="AF553" s="2" t="s">
        <v>74</v>
      </c>
      <c r="AG553" s="2" t="s">
        <v>74</v>
      </c>
      <c r="AH553" s="2" t="s">
        <v>74</v>
      </c>
      <c r="AI553" s="2" t="s">
        <v>74</v>
      </c>
      <c r="AJ553" s="2" t="s">
        <v>74</v>
      </c>
      <c r="AK553" s="2" t="s">
        <v>74</v>
      </c>
      <c r="AL553" s="2" t="s">
        <v>74</v>
      </c>
      <c r="AM553" s="2" t="s">
        <v>74</v>
      </c>
      <c r="AN553" s="2" t="s">
        <v>74</v>
      </c>
      <c r="AO553" s="2" t="s">
        <v>2849</v>
      </c>
      <c r="AP553" s="2" t="s">
        <v>74</v>
      </c>
      <c r="AQ553" s="2" t="s">
        <v>74</v>
      </c>
      <c r="AR553" s="2" t="s">
        <v>74</v>
      </c>
      <c r="AS553" s="2" t="s">
        <v>74</v>
      </c>
      <c r="AT553" s="2" t="s">
        <v>74</v>
      </c>
      <c r="AU553" s="2">
        <v>1991</v>
      </c>
      <c r="AV553" s="2">
        <v>153</v>
      </c>
      <c r="AW553" s="2">
        <v>1</v>
      </c>
      <c r="AX553" s="2" t="s">
        <v>74</v>
      </c>
      <c r="AY553" s="2" t="s">
        <v>74</v>
      </c>
      <c r="AZ553" s="2" t="s">
        <v>74</v>
      </c>
      <c r="BA553" s="2" t="s">
        <v>74</v>
      </c>
      <c r="BB553" s="2">
        <v>49</v>
      </c>
      <c r="BC553" s="2">
        <v>61</v>
      </c>
      <c r="BD553" s="2" t="s">
        <v>74</v>
      </c>
      <c r="BE553" s="2" t="s">
        <v>4076</v>
      </c>
      <c r="BF553" s="2" t="str">
        <f>HYPERLINK("http://dx.doi.org/10.1016/S0022-0981(05)80005-X","http://dx.doi.org/10.1016/S0022-0981(05)80005-X")</f>
        <v>http://dx.doi.org/10.1016/S0022-0981(05)80005-X</v>
      </c>
      <c r="BG553" s="2" t="s">
        <v>74</v>
      </c>
      <c r="BH553" s="2" t="s">
        <v>74</v>
      </c>
      <c r="BI553" s="2" t="s">
        <v>74</v>
      </c>
      <c r="BJ553" s="2" t="s">
        <v>74</v>
      </c>
      <c r="BK553" s="2" t="s">
        <v>74</v>
      </c>
      <c r="BL553" s="2" t="s">
        <v>74</v>
      </c>
      <c r="BM553" s="2" t="s">
        <v>74</v>
      </c>
      <c r="BN553" s="2" t="s">
        <v>74</v>
      </c>
      <c r="BO553" s="2" t="s">
        <v>74</v>
      </c>
      <c r="BP553" s="2" t="s">
        <v>74</v>
      </c>
      <c r="BQ553" s="2" t="s">
        <v>74</v>
      </c>
      <c r="BR553" s="2" t="s">
        <v>74</v>
      </c>
      <c r="BS553" s="2" t="s">
        <v>4077</v>
      </c>
      <c r="BT553" s="2" t="str">
        <f>HYPERLINK("https%3A%2F%2Fwww.webofscience.com%2Fwos%2Fwoscc%2Ffull-record%2FWOS:A1991GR91500004","View Full Record in Web of Science")</f>
        <v>View Full Record in Web of Science</v>
      </c>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row>
    <row r="554" spans="1:314" s="2" customFormat="1" x14ac:dyDescent="0.4">
      <c r="A554" s="2" t="s">
        <v>72</v>
      </c>
      <c r="B554" s="2" t="s">
        <v>7694</v>
      </c>
      <c r="C554" s="2" t="s">
        <v>74</v>
      </c>
      <c r="D554" s="2" t="s">
        <v>74</v>
      </c>
      <c r="E554" s="2" t="s">
        <v>74</v>
      </c>
      <c r="F554" s="2" t="s">
        <v>7695</v>
      </c>
      <c r="G554" s="2" t="s">
        <v>74</v>
      </c>
      <c r="H554" s="2" t="s">
        <v>74</v>
      </c>
      <c r="I554" s="2" t="s">
        <v>7696</v>
      </c>
      <c r="J554" s="2" t="s">
        <v>4145</v>
      </c>
      <c r="K554" s="2" t="s">
        <v>74</v>
      </c>
      <c r="L554" s="2" t="s">
        <v>74</v>
      </c>
      <c r="M554" s="2" t="s">
        <v>74</v>
      </c>
      <c r="N554" s="2" t="s">
        <v>74</v>
      </c>
      <c r="O554" s="2" t="s">
        <v>74</v>
      </c>
      <c r="P554" s="2" t="s">
        <v>74</v>
      </c>
      <c r="Q554" s="2" t="s">
        <v>74</v>
      </c>
      <c r="R554" s="2" t="s">
        <v>74</v>
      </c>
      <c r="S554" s="2" t="s">
        <v>74</v>
      </c>
      <c r="T554" s="2" t="s">
        <v>74</v>
      </c>
      <c r="U554" s="2" t="s">
        <v>74</v>
      </c>
      <c r="V554" s="5" t="s">
        <v>7697</v>
      </c>
      <c r="W554" s="2" t="s">
        <v>74</v>
      </c>
      <c r="X554" s="2" t="s">
        <v>74</v>
      </c>
      <c r="Y554" s="2" t="s">
        <v>74</v>
      </c>
      <c r="Z554" s="2" t="s">
        <v>74</v>
      </c>
      <c r="AA554" s="2" t="s">
        <v>875</v>
      </c>
      <c r="AB554" s="2" t="s">
        <v>7698</v>
      </c>
      <c r="AC554" s="2" t="s">
        <v>74</v>
      </c>
      <c r="AD554" s="2" t="s">
        <v>74</v>
      </c>
      <c r="AE554" s="2" t="s">
        <v>74</v>
      </c>
      <c r="AF554" s="2" t="s">
        <v>74</v>
      </c>
      <c r="AG554" s="2" t="s">
        <v>74</v>
      </c>
      <c r="AH554" s="2" t="s">
        <v>74</v>
      </c>
      <c r="AI554" s="2" t="s">
        <v>74</v>
      </c>
      <c r="AJ554" s="2" t="s">
        <v>74</v>
      </c>
      <c r="AK554" s="2" t="s">
        <v>74</v>
      </c>
      <c r="AL554" s="2" t="s">
        <v>74</v>
      </c>
      <c r="AM554" s="2" t="s">
        <v>74</v>
      </c>
      <c r="AN554" s="2" t="s">
        <v>74</v>
      </c>
      <c r="AO554" s="2" t="s">
        <v>4147</v>
      </c>
      <c r="AP554" s="2" t="s">
        <v>7534</v>
      </c>
      <c r="AQ554" s="2" t="s">
        <v>74</v>
      </c>
      <c r="AR554" s="2" t="s">
        <v>74</v>
      </c>
      <c r="AS554" s="2" t="s">
        <v>74</v>
      </c>
      <c r="AT554" s="2" t="s">
        <v>204</v>
      </c>
      <c r="AU554" s="2">
        <v>2009</v>
      </c>
      <c r="AV554" s="2">
        <v>195</v>
      </c>
      <c r="AW554" s="2">
        <v>7</v>
      </c>
      <c r="AX554" s="2" t="s">
        <v>74</v>
      </c>
      <c r="AY554" s="2" t="s">
        <v>74</v>
      </c>
      <c r="AZ554" s="2" t="s">
        <v>74</v>
      </c>
      <c r="BA554" s="2" t="s">
        <v>74</v>
      </c>
      <c r="BB554" s="2">
        <v>619</v>
      </c>
      <c r="BC554" s="2">
        <v>630</v>
      </c>
      <c r="BD554" s="2" t="s">
        <v>74</v>
      </c>
      <c r="BE554" s="2" t="s">
        <v>7699</v>
      </c>
      <c r="BF554" s="2" t="str">
        <f>HYPERLINK("http://dx.doi.org/10.1007/s00359-009-0437-4","http://dx.doi.org/10.1007/s00359-009-0437-4")</f>
        <v>http://dx.doi.org/10.1007/s00359-009-0437-4</v>
      </c>
      <c r="BG554" s="2" t="s">
        <v>74</v>
      </c>
      <c r="BH554" s="2" t="s">
        <v>74</v>
      </c>
      <c r="BI554" s="2" t="s">
        <v>74</v>
      </c>
      <c r="BJ554" s="2" t="s">
        <v>74</v>
      </c>
      <c r="BK554" s="2" t="s">
        <v>74</v>
      </c>
      <c r="BL554" s="2" t="s">
        <v>74</v>
      </c>
      <c r="BM554" s="2" t="s">
        <v>74</v>
      </c>
      <c r="BN554" s="2">
        <v>19363614</v>
      </c>
      <c r="BO554" s="2" t="s">
        <v>74</v>
      </c>
      <c r="BP554" s="2" t="s">
        <v>74</v>
      </c>
      <c r="BQ554" s="2" t="s">
        <v>74</v>
      </c>
      <c r="BR554" s="2" t="s">
        <v>74</v>
      </c>
      <c r="BS554" s="2" t="s">
        <v>7700</v>
      </c>
      <c r="BT554" s="2" t="str">
        <f>HYPERLINK("https%3A%2F%2Fwww.webofscience.com%2Fwos%2Fwoscc%2Ffull-record%2FWOS:000267541400001","View Full Record in Web of Science")</f>
        <v>View Full Record in Web of Science</v>
      </c>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row>
    <row r="555" spans="1:314" s="2" customFormat="1" x14ac:dyDescent="0.4">
      <c r="A555" s="2" t="s">
        <v>72</v>
      </c>
      <c r="B555" s="2" t="s">
        <v>8365</v>
      </c>
      <c r="C555" s="2" t="s">
        <v>74</v>
      </c>
      <c r="D555" s="2" t="s">
        <v>74</v>
      </c>
      <c r="E555" s="2" t="s">
        <v>74</v>
      </c>
      <c r="F555" s="2" t="s">
        <v>8366</v>
      </c>
      <c r="G555" s="2" t="s">
        <v>74</v>
      </c>
      <c r="H555" s="2" t="s">
        <v>74</v>
      </c>
      <c r="I555" s="2" t="s">
        <v>8367</v>
      </c>
      <c r="J555" s="2" t="s">
        <v>1635</v>
      </c>
      <c r="K555" s="2" t="s">
        <v>74</v>
      </c>
      <c r="L555" s="2" t="s">
        <v>74</v>
      </c>
      <c r="M555" s="2" t="s">
        <v>74</v>
      </c>
      <c r="N555" s="2" t="s">
        <v>74</v>
      </c>
      <c r="O555" s="2" t="s">
        <v>74</v>
      </c>
      <c r="P555" s="2" t="s">
        <v>74</v>
      </c>
      <c r="Q555" s="2" t="s">
        <v>74</v>
      </c>
      <c r="R555" s="2" t="s">
        <v>74</v>
      </c>
      <c r="S555" s="2" t="s">
        <v>74</v>
      </c>
      <c r="T555" s="2" t="s">
        <v>74</v>
      </c>
      <c r="U555" s="2" t="s">
        <v>74</v>
      </c>
      <c r="V555" s="5" t="s">
        <v>8368</v>
      </c>
      <c r="W555" s="2" t="s">
        <v>74</v>
      </c>
      <c r="X555" s="2" t="s">
        <v>74</v>
      </c>
      <c r="Y555" s="2" t="s">
        <v>74</v>
      </c>
      <c r="Z555" s="2" t="s">
        <v>74</v>
      </c>
      <c r="AA555" s="2" t="s">
        <v>74</v>
      </c>
      <c r="AB555" s="2" t="s">
        <v>8369</v>
      </c>
      <c r="AC555" s="2" t="s">
        <v>74</v>
      </c>
      <c r="AD555" s="2" t="s">
        <v>74</v>
      </c>
      <c r="AE555" s="2" t="s">
        <v>74</v>
      </c>
      <c r="AF555" s="2" t="s">
        <v>74</v>
      </c>
      <c r="AG555" s="2" t="s">
        <v>74</v>
      </c>
      <c r="AH555" s="2" t="s">
        <v>74</v>
      </c>
      <c r="AI555" s="2" t="s">
        <v>74</v>
      </c>
      <c r="AJ555" s="2" t="s">
        <v>74</v>
      </c>
      <c r="AK555" s="2" t="s">
        <v>74</v>
      </c>
      <c r="AL555" s="2" t="s">
        <v>74</v>
      </c>
      <c r="AM555" s="2" t="s">
        <v>74</v>
      </c>
      <c r="AN555" s="2" t="s">
        <v>74</v>
      </c>
      <c r="AO555" s="2" t="s">
        <v>1639</v>
      </c>
      <c r="AP555" s="2" t="s">
        <v>1640</v>
      </c>
      <c r="AQ555" s="2" t="s">
        <v>74</v>
      </c>
      <c r="AR555" s="2" t="s">
        <v>74</v>
      </c>
      <c r="AS555" s="2" t="s">
        <v>74</v>
      </c>
      <c r="AT555" s="2" t="s">
        <v>8370</v>
      </c>
      <c r="AU555" s="2">
        <v>2022</v>
      </c>
      <c r="AV555" s="2">
        <v>377</v>
      </c>
      <c r="AW555" s="2">
        <v>1858</v>
      </c>
      <c r="AX555" s="2" t="s">
        <v>74</v>
      </c>
      <c r="AY555" s="2" t="s">
        <v>74</v>
      </c>
      <c r="AZ555" s="2" t="s">
        <v>74</v>
      </c>
      <c r="BA555" s="2" t="s">
        <v>74</v>
      </c>
      <c r="BB555" s="2" t="s">
        <v>74</v>
      </c>
      <c r="BC555" s="2" t="s">
        <v>74</v>
      </c>
      <c r="BD555" s="2">
        <v>20210133</v>
      </c>
      <c r="BE555" s="2" t="s">
        <v>8371</v>
      </c>
      <c r="BF555" s="2" t="str">
        <f>HYPERLINK("http://dx.doi.org/10.1098/rstb.2021.0133","http://dx.doi.org/10.1098/rstb.2021.0133")</f>
        <v>http://dx.doi.org/10.1098/rstb.2021.0133</v>
      </c>
      <c r="BG555" s="2" t="s">
        <v>74</v>
      </c>
      <c r="BH555" s="2" t="s">
        <v>74</v>
      </c>
      <c r="BI555" s="2" t="s">
        <v>74</v>
      </c>
      <c r="BJ555" s="2" t="s">
        <v>74</v>
      </c>
      <c r="BK555" s="2" t="s">
        <v>74</v>
      </c>
      <c r="BL555" s="2" t="s">
        <v>74</v>
      </c>
      <c r="BM555" s="2" t="s">
        <v>74</v>
      </c>
      <c r="BN555" s="2">
        <v>35858095</v>
      </c>
      <c r="BO555" s="2" t="s">
        <v>74</v>
      </c>
      <c r="BP555" s="2" t="s">
        <v>74</v>
      </c>
      <c r="BQ555" s="2" t="s">
        <v>74</v>
      </c>
      <c r="BR555" s="2" t="s">
        <v>74</v>
      </c>
      <c r="BS555" s="2" t="s">
        <v>8372</v>
      </c>
      <c r="BT555" s="2" t="str">
        <f>HYPERLINK("https%3A%2F%2Fwww.webofscience.com%2Fwos%2Fwoscc%2Ffull-record%2FWOS:000823209300013","View Full Record in Web of Science")</f>
        <v>View Full Record in Web of Science</v>
      </c>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row>
    <row r="556" spans="1:314" s="2" customFormat="1" x14ac:dyDescent="0.4">
      <c r="A556" s="2" t="s">
        <v>72</v>
      </c>
      <c r="B556" s="2" t="s">
        <v>1053</v>
      </c>
      <c r="C556" s="2" t="s">
        <v>74</v>
      </c>
      <c r="D556" s="2" t="s">
        <v>74</v>
      </c>
      <c r="E556" s="2" t="s">
        <v>74</v>
      </c>
      <c r="F556" s="2" t="s">
        <v>1054</v>
      </c>
      <c r="G556" s="2" t="s">
        <v>74</v>
      </c>
      <c r="H556" s="2" t="s">
        <v>74</v>
      </c>
      <c r="I556" s="2" t="s">
        <v>1055</v>
      </c>
      <c r="J556" s="2" t="s">
        <v>218</v>
      </c>
      <c r="K556" s="2" t="s">
        <v>74</v>
      </c>
      <c r="L556" s="2" t="s">
        <v>74</v>
      </c>
      <c r="M556" s="2" t="s">
        <v>74</v>
      </c>
      <c r="N556" s="2" t="s">
        <v>74</v>
      </c>
      <c r="O556" s="2" t="s">
        <v>74</v>
      </c>
      <c r="P556" s="2" t="s">
        <v>74</v>
      </c>
      <c r="Q556" s="2" t="s">
        <v>74</v>
      </c>
      <c r="R556" s="2" t="s">
        <v>74</v>
      </c>
      <c r="S556" s="2" t="s">
        <v>74</v>
      </c>
      <c r="T556" s="2" t="s">
        <v>74</v>
      </c>
      <c r="U556" s="2" t="s">
        <v>74</v>
      </c>
      <c r="V556" s="5" t="s">
        <v>1056</v>
      </c>
      <c r="W556" s="2" t="s">
        <v>74</v>
      </c>
      <c r="X556" s="2" t="s">
        <v>74</v>
      </c>
      <c r="Y556" s="2" t="s">
        <v>74</v>
      </c>
      <c r="Z556" s="2" t="s">
        <v>74</v>
      </c>
      <c r="AA556" s="2" t="s">
        <v>74</v>
      </c>
      <c r="AB556" s="2" t="s">
        <v>74</v>
      </c>
      <c r="AC556" s="2" t="s">
        <v>74</v>
      </c>
      <c r="AD556" s="2" t="s">
        <v>74</v>
      </c>
      <c r="AE556" s="2" t="s">
        <v>74</v>
      </c>
      <c r="AF556" s="2" t="s">
        <v>74</v>
      </c>
      <c r="AG556" s="2" t="s">
        <v>74</v>
      </c>
      <c r="AH556" s="2" t="s">
        <v>74</v>
      </c>
      <c r="AI556" s="2" t="s">
        <v>74</v>
      </c>
      <c r="AJ556" s="2" t="s">
        <v>74</v>
      </c>
      <c r="AK556" s="2" t="s">
        <v>74</v>
      </c>
      <c r="AL556" s="2" t="s">
        <v>74</v>
      </c>
      <c r="AM556" s="2" t="s">
        <v>74</v>
      </c>
      <c r="AN556" s="2" t="s">
        <v>74</v>
      </c>
      <c r="AO556" s="2" t="s">
        <v>221</v>
      </c>
      <c r="AP556" s="2" t="s">
        <v>222</v>
      </c>
      <c r="AQ556" s="2" t="s">
        <v>74</v>
      </c>
      <c r="AR556" s="2" t="s">
        <v>74</v>
      </c>
      <c r="AS556" s="2" t="s">
        <v>74</v>
      </c>
      <c r="AT556" s="2" t="s">
        <v>145</v>
      </c>
      <c r="AU556" s="2">
        <v>2020</v>
      </c>
      <c r="AV556" s="2">
        <v>33</v>
      </c>
      <c r="AW556" s="2">
        <v>8</v>
      </c>
      <c r="AX556" s="2" t="s">
        <v>74</v>
      </c>
      <c r="AY556" s="2" t="s">
        <v>74</v>
      </c>
      <c r="AZ556" s="2" t="s">
        <v>74</v>
      </c>
      <c r="BA556" s="2" t="s">
        <v>74</v>
      </c>
      <c r="BB556" s="2">
        <v>1028</v>
      </c>
      <c r="BC556" s="2">
        <v>1038</v>
      </c>
      <c r="BD556" s="2" t="s">
        <v>74</v>
      </c>
      <c r="BE556" s="2" t="s">
        <v>1057</v>
      </c>
      <c r="BF556" s="2" t="str">
        <f>HYPERLINK("http://dx.doi.org/10.1111/jeb.13657","http://dx.doi.org/10.1111/jeb.13657")</f>
        <v>http://dx.doi.org/10.1111/jeb.13657</v>
      </c>
      <c r="BG556" s="2" t="s">
        <v>74</v>
      </c>
      <c r="BH556" s="2" t="s">
        <v>1058</v>
      </c>
      <c r="BI556" s="2" t="s">
        <v>74</v>
      </c>
      <c r="BJ556" s="2" t="s">
        <v>74</v>
      </c>
      <c r="BK556" s="2" t="s">
        <v>74</v>
      </c>
      <c r="BL556" s="2" t="s">
        <v>74</v>
      </c>
      <c r="BM556" s="2" t="s">
        <v>74</v>
      </c>
      <c r="BN556" s="2">
        <v>32500947</v>
      </c>
      <c r="BO556" s="2" t="s">
        <v>74</v>
      </c>
      <c r="BP556" s="2" t="s">
        <v>74</v>
      </c>
      <c r="BQ556" s="2" t="s">
        <v>74</v>
      </c>
      <c r="BR556" s="2" t="s">
        <v>74</v>
      </c>
      <c r="BS556" s="2" t="s">
        <v>1059</v>
      </c>
      <c r="BT556" s="2" t="str">
        <f>HYPERLINK("https%3A%2F%2Fwww.webofscience.com%2Fwos%2Fwoscc%2Ffull-record%2FWOS:000545247500001","View Full Record in Web of Science")</f>
        <v>View Full Record in Web of Science</v>
      </c>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row>
    <row r="557" spans="1:314" s="2" customFormat="1" x14ac:dyDescent="0.4">
      <c r="A557" s="2" t="s">
        <v>72</v>
      </c>
      <c r="B557" s="2" t="s">
        <v>6055</v>
      </c>
      <c r="C557" s="2" t="s">
        <v>74</v>
      </c>
      <c r="D557" s="2" t="s">
        <v>74</v>
      </c>
      <c r="E557" s="2" t="s">
        <v>74</v>
      </c>
      <c r="F557" s="2" t="s">
        <v>6056</v>
      </c>
      <c r="G557" s="2" t="s">
        <v>74</v>
      </c>
      <c r="H557" s="2" t="s">
        <v>74</v>
      </c>
      <c r="I557" s="2" t="s">
        <v>6057</v>
      </c>
      <c r="J557" s="2" t="s">
        <v>333</v>
      </c>
      <c r="K557" s="2" t="s">
        <v>74</v>
      </c>
      <c r="L557" s="2" t="s">
        <v>74</v>
      </c>
      <c r="M557" s="2" t="s">
        <v>74</v>
      </c>
      <c r="N557" s="2" t="s">
        <v>74</v>
      </c>
      <c r="O557" s="2" t="s">
        <v>74</v>
      </c>
      <c r="P557" s="2" t="s">
        <v>74</v>
      </c>
      <c r="Q557" s="2" t="s">
        <v>74</v>
      </c>
      <c r="R557" s="2" t="s">
        <v>74</v>
      </c>
      <c r="S557" s="2" t="s">
        <v>74</v>
      </c>
      <c r="T557" s="2" t="s">
        <v>74</v>
      </c>
      <c r="U557" s="2" t="s">
        <v>74</v>
      </c>
      <c r="V557" s="5" t="s">
        <v>6058</v>
      </c>
      <c r="W557" s="2" t="s">
        <v>74</v>
      </c>
      <c r="X557" s="2" t="s">
        <v>74</v>
      </c>
      <c r="Y557" s="2" t="s">
        <v>74</v>
      </c>
      <c r="Z557" s="2" t="s">
        <v>74</v>
      </c>
      <c r="AA557" s="2" t="s">
        <v>74</v>
      </c>
      <c r="AB557" s="2" t="s">
        <v>3514</v>
      </c>
      <c r="AC557" s="2" t="s">
        <v>74</v>
      </c>
      <c r="AD557" s="2" t="s">
        <v>74</v>
      </c>
      <c r="AE557" s="2" t="s">
        <v>74</v>
      </c>
      <c r="AF557" s="2" t="s">
        <v>74</v>
      </c>
      <c r="AG557" s="2" t="s">
        <v>74</v>
      </c>
      <c r="AH557" s="2" t="s">
        <v>74</v>
      </c>
      <c r="AI557" s="2" t="s">
        <v>74</v>
      </c>
      <c r="AJ557" s="2" t="s">
        <v>74</v>
      </c>
      <c r="AK557" s="2" t="s">
        <v>74</v>
      </c>
      <c r="AL557" s="2" t="s">
        <v>74</v>
      </c>
      <c r="AM557" s="2" t="s">
        <v>74</v>
      </c>
      <c r="AN557" s="2" t="s">
        <v>74</v>
      </c>
      <c r="AO557" s="2" t="s">
        <v>337</v>
      </c>
      <c r="AP557" s="2" t="s">
        <v>338</v>
      </c>
      <c r="AQ557" s="2" t="s">
        <v>74</v>
      </c>
      <c r="AR557" s="2" t="s">
        <v>74</v>
      </c>
      <c r="AS557" s="2" t="s">
        <v>74</v>
      </c>
      <c r="AT557" s="2" t="s">
        <v>1475</v>
      </c>
      <c r="AU557" s="2">
        <v>2015</v>
      </c>
      <c r="AV557" s="2">
        <v>26</v>
      </c>
      <c r="AW557" s="2">
        <v>1</v>
      </c>
      <c r="AX557" s="2" t="s">
        <v>74</v>
      </c>
      <c r="AY557" s="2" t="s">
        <v>74</v>
      </c>
      <c r="AZ557" s="2" t="s">
        <v>74</v>
      </c>
      <c r="BA557" s="2" t="s">
        <v>74</v>
      </c>
      <c r="BB557" s="2">
        <v>158</v>
      </c>
      <c r="BC557" s="2">
        <v>167</v>
      </c>
      <c r="BD557" s="2" t="s">
        <v>74</v>
      </c>
      <c r="BE557" s="2" t="s">
        <v>6059</v>
      </c>
      <c r="BF557" s="2" t="str">
        <f>HYPERLINK("http://dx.doi.org/10.1093/beheco/aru164","http://dx.doi.org/10.1093/beheco/aru164")</f>
        <v>http://dx.doi.org/10.1093/beheco/aru164</v>
      </c>
      <c r="BG557" s="2" t="s">
        <v>74</v>
      </c>
      <c r="BH557" s="2" t="s">
        <v>74</v>
      </c>
      <c r="BI557" s="2" t="s">
        <v>74</v>
      </c>
      <c r="BJ557" s="2" t="s">
        <v>74</v>
      </c>
      <c r="BK557" s="2" t="s">
        <v>74</v>
      </c>
      <c r="BL557" s="2" t="s">
        <v>74</v>
      </c>
      <c r="BM557" s="2" t="s">
        <v>74</v>
      </c>
      <c r="BN557" s="2" t="s">
        <v>74</v>
      </c>
      <c r="BO557" s="2" t="s">
        <v>74</v>
      </c>
      <c r="BP557" s="2" t="s">
        <v>74</v>
      </c>
      <c r="BQ557" s="2" t="s">
        <v>74</v>
      </c>
      <c r="BR557" s="2" t="s">
        <v>74</v>
      </c>
      <c r="BS557" s="2" t="s">
        <v>6060</v>
      </c>
      <c r="BT557" s="2" t="str">
        <f>HYPERLINK("https%3A%2F%2Fwww.webofscience.com%2Fwos%2Fwoscc%2Ffull-record%2FWOS:000351929300022","View Full Record in Web of Science")</f>
        <v>View Full Record in Web of Science</v>
      </c>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row>
    <row r="558" spans="1:314" s="1" customFormat="1" x14ac:dyDescent="0.4">
      <c r="A558" s="2" t="s">
        <v>72</v>
      </c>
      <c r="B558" s="2" t="s">
        <v>5411</v>
      </c>
      <c r="C558" s="2" t="s">
        <v>74</v>
      </c>
      <c r="D558" s="2" t="s">
        <v>74</v>
      </c>
      <c r="E558" s="2" t="s">
        <v>74</v>
      </c>
      <c r="F558" s="2" t="s">
        <v>5411</v>
      </c>
      <c r="G558" s="2" t="s">
        <v>74</v>
      </c>
      <c r="H558" s="2" t="s">
        <v>74</v>
      </c>
      <c r="I558" s="2" t="s">
        <v>5412</v>
      </c>
      <c r="J558" s="2" t="s">
        <v>171</v>
      </c>
      <c r="K558" s="2" t="s">
        <v>74</v>
      </c>
      <c r="L558" s="2" t="s">
        <v>74</v>
      </c>
      <c r="M558" s="2" t="s">
        <v>74</v>
      </c>
      <c r="N558" s="2" t="s">
        <v>74</v>
      </c>
      <c r="O558" s="2" t="s">
        <v>74</v>
      </c>
      <c r="P558" s="2" t="s">
        <v>74</v>
      </c>
      <c r="Q558" s="2" t="s">
        <v>74</v>
      </c>
      <c r="R558" s="2" t="s">
        <v>74</v>
      </c>
      <c r="S558" s="2" t="s">
        <v>74</v>
      </c>
      <c r="T558" s="2" t="s">
        <v>74</v>
      </c>
      <c r="U558" s="2" t="s">
        <v>74</v>
      </c>
      <c r="V558" s="5" t="s">
        <v>5413</v>
      </c>
      <c r="W558" s="2" t="s">
        <v>74</v>
      </c>
      <c r="X558" s="2" t="s">
        <v>74</v>
      </c>
      <c r="Y558" s="2" t="s">
        <v>74</v>
      </c>
      <c r="Z558" s="2" t="s">
        <v>74</v>
      </c>
      <c r="AA558" s="2" t="s">
        <v>74</v>
      </c>
      <c r="AB558" s="2" t="s">
        <v>74</v>
      </c>
      <c r="AC558" s="2" t="s">
        <v>74</v>
      </c>
      <c r="AD558" s="2" t="s">
        <v>74</v>
      </c>
      <c r="AE558" s="2" t="s">
        <v>74</v>
      </c>
      <c r="AF558" s="2" t="s">
        <v>74</v>
      </c>
      <c r="AG558" s="2" t="s">
        <v>74</v>
      </c>
      <c r="AH558" s="2" t="s">
        <v>74</v>
      </c>
      <c r="AI558" s="2" t="s">
        <v>74</v>
      </c>
      <c r="AJ558" s="2" t="s">
        <v>74</v>
      </c>
      <c r="AK558" s="2" t="s">
        <v>74</v>
      </c>
      <c r="AL558" s="2" t="s">
        <v>74</v>
      </c>
      <c r="AM558" s="2" t="s">
        <v>74</v>
      </c>
      <c r="AN558" s="2" t="s">
        <v>74</v>
      </c>
      <c r="AO558" s="2" t="s">
        <v>173</v>
      </c>
      <c r="AP558" s="2" t="s">
        <v>174</v>
      </c>
      <c r="AQ558" s="2" t="s">
        <v>74</v>
      </c>
      <c r="AR558" s="2" t="s">
        <v>74</v>
      </c>
      <c r="AS558" s="2" t="s">
        <v>74</v>
      </c>
      <c r="AT558" s="2" t="s">
        <v>74</v>
      </c>
      <c r="AU558" s="2">
        <v>1964</v>
      </c>
      <c r="AV558" s="2">
        <v>18</v>
      </c>
      <c r="AW558" s="2">
        <v>1</v>
      </c>
      <c r="AX558" s="2" t="s">
        <v>74</v>
      </c>
      <c r="AY558" s="2" t="s">
        <v>74</v>
      </c>
      <c r="AZ558" s="2" t="s">
        <v>74</v>
      </c>
      <c r="BA558" s="2" t="s">
        <v>74</v>
      </c>
      <c r="BB558" s="2">
        <v>89</v>
      </c>
      <c r="BC558" s="2" t="s">
        <v>726</v>
      </c>
      <c r="BD558" s="2" t="s">
        <v>74</v>
      </c>
      <c r="BE558" s="2" t="s">
        <v>5414</v>
      </c>
      <c r="BF558" s="2" t="str">
        <f>HYPERLINK("http://dx.doi.org/10.2307/2406422","http://dx.doi.org/10.2307/2406422")</f>
        <v>http://dx.doi.org/10.2307/2406422</v>
      </c>
      <c r="BG558" s="2" t="s">
        <v>74</v>
      </c>
      <c r="BH558" s="2" t="s">
        <v>74</v>
      </c>
      <c r="BI558" s="2" t="s">
        <v>74</v>
      </c>
      <c r="BJ558" s="2" t="s">
        <v>74</v>
      </c>
      <c r="BK558" s="2" t="s">
        <v>74</v>
      </c>
      <c r="BL558" s="2" t="s">
        <v>74</v>
      </c>
      <c r="BM558" s="2" t="s">
        <v>74</v>
      </c>
      <c r="BN558" s="2" t="s">
        <v>74</v>
      </c>
      <c r="BO558" s="2" t="s">
        <v>74</v>
      </c>
      <c r="BP558" s="2" t="s">
        <v>74</v>
      </c>
      <c r="BQ558" s="2" t="s">
        <v>74</v>
      </c>
      <c r="BR558" s="2" t="s">
        <v>74</v>
      </c>
      <c r="BS558" s="2" t="s">
        <v>5415</v>
      </c>
      <c r="BT558" s="2" t="str">
        <f>HYPERLINK("https%3A%2F%2Fwww.webofscience.com%2Fwos%2Fwoscc%2Ffull-record%2FWOS:A1964AV73200005","View Full Record in Web of Science")</f>
        <v>View Full Record in Web of Science</v>
      </c>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row>
    <row r="559" spans="1:314" s="2" customFormat="1" x14ac:dyDescent="0.4">
      <c r="A559" s="2" t="s">
        <v>72</v>
      </c>
      <c r="B559" s="2" t="s">
        <v>5778</v>
      </c>
      <c r="C559" s="2" t="s">
        <v>74</v>
      </c>
      <c r="D559" s="2" t="s">
        <v>74</v>
      </c>
      <c r="E559" s="2" t="s">
        <v>74</v>
      </c>
      <c r="F559" s="2" t="s">
        <v>5779</v>
      </c>
      <c r="G559" s="2" t="s">
        <v>74</v>
      </c>
      <c r="H559" s="2" t="s">
        <v>74</v>
      </c>
      <c r="I559" s="2" t="s">
        <v>5780</v>
      </c>
      <c r="J559" s="2" t="s">
        <v>1656</v>
      </c>
      <c r="K559" s="2" t="s">
        <v>74</v>
      </c>
      <c r="L559" s="2" t="s">
        <v>74</v>
      </c>
      <c r="M559" s="2" t="s">
        <v>74</v>
      </c>
      <c r="N559" s="2" t="s">
        <v>74</v>
      </c>
      <c r="O559" s="2" t="s">
        <v>74</v>
      </c>
      <c r="P559" s="2" t="s">
        <v>74</v>
      </c>
      <c r="Q559" s="2" t="s">
        <v>74</v>
      </c>
      <c r="R559" s="2" t="s">
        <v>74</v>
      </c>
      <c r="S559" s="2" t="s">
        <v>74</v>
      </c>
      <c r="T559" s="2" t="s">
        <v>74</v>
      </c>
      <c r="U559" s="2" t="s">
        <v>74</v>
      </c>
      <c r="V559" s="5" t="s">
        <v>5781</v>
      </c>
      <c r="W559" s="2" t="s">
        <v>74</v>
      </c>
      <c r="X559" s="2" t="s">
        <v>74</v>
      </c>
      <c r="Y559" s="2" t="s">
        <v>74</v>
      </c>
      <c r="Z559" s="2" t="s">
        <v>74</v>
      </c>
      <c r="AA559" s="2" t="s">
        <v>5782</v>
      </c>
      <c r="AB559" s="2" t="s">
        <v>5783</v>
      </c>
      <c r="AC559" s="2" t="s">
        <v>74</v>
      </c>
      <c r="AD559" s="2" t="s">
        <v>74</v>
      </c>
      <c r="AE559" s="2" t="s">
        <v>74</v>
      </c>
      <c r="AF559" s="2" t="s">
        <v>74</v>
      </c>
      <c r="AG559" s="2" t="s">
        <v>74</v>
      </c>
      <c r="AH559" s="2" t="s">
        <v>74</v>
      </c>
      <c r="AI559" s="2" t="s">
        <v>74</v>
      </c>
      <c r="AJ559" s="2" t="s">
        <v>74</v>
      </c>
      <c r="AK559" s="2" t="s">
        <v>74</v>
      </c>
      <c r="AL559" s="2" t="s">
        <v>74</v>
      </c>
      <c r="AM559" s="2" t="s">
        <v>74</v>
      </c>
      <c r="AN559" s="2" t="s">
        <v>74</v>
      </c>
      <c r="AO559" s="2" t="s">
        <v>1658</v>
      </c>
      <c r="AP559" s="2" t="s">
        <v>1659</v>
      </c>
      <c r="AQ559" s="2" t="s">
        <v>74</v>
      </c>
      <c r="AR559" s="2" t="s">
        <v>74</v>
      </c>
      <c r="AS559" s="2" t="s">
        <v>74</v>
      </c>
      <c r="AT559" s="2" t="s">
        <v>1146</v>
      </c>
      <c r="AU559" s="2">
        <v>2012</v>
      </c>
      <c r="AV559" s="2" t="s">
        <v>74</v>
      </c>
      <c r="AW559" s="2">
        <v>3406</v>
      </c>
      <c r="AX559" s="2" t="s">
        <v>74</v>
      </c>
      <c r="AY559" s="2" t="s">
        <v>74</v>
      </c>
      <c r="AZ559" s="2" t="s">
        <v>74</v>
      </c>
      <c r="BA559" s="2" t="s">
        <v>74</v>
      </c>
      <c r="BB559" s="2">
        <v>39</v>
      </c>
      <c r="BC559" s="2">
        <v>58</v>
      </c>
      <c r="BD559" s="2" t="s">
        <v>74</v>
      </c>
      <c r="BE559" s="2" t="s">
        <v>74</v>
      </c>
      <c r="BF559" s="2" t="s">
        <v>74</v>
      </c>
      <c r="BG559" s="2" t="s">
        <v>74</v>
      </c>
      <c r="BH559" s="2" t="s">
        <v>74</v>
      </c>
      <c r="BI559" s="2" t="s">
        <v>74</v>
      </c>
      <c r="BJ559" s="2" t="s">
        <v>74</v>
      </c>
      <c r="BK559" s="2" t="s">
        <v>74</v>
      </c>
      <c r="BL559" s="2" t="s">
        <v>74</v>
      </c>
      <c r="BM559" s="2" t="s">
        <v>74</v>
      </c>
      <c r="BN559" s="2" t="s">
        <v>74</v>
      </c>
      <c r="BO559" s="2" t="s">
        <v>74</v>
      </c>
      <c r="BP559" s="2" t="s">
        <v>74</v>
      </c>
      <c r="BQ559" s="2" t="s">
        <v>74</v>
      </c>
      <c r="BR559" s="2" t="s">
        <v>74</v>
      </c>
      <c r="BS559" s="2" t="s">
        <v>5784</v>
      </c>
      <c r="BT559" s="2" t="str">
        <f>HYPERLINK("https%3A%2F%2Fwww.webofscience.com%2Fwos%2Fwoscc%2Ffull-record%2FWOS:000306952500003","View Full Record in Web of Science")</f>
        <v>View Full Record in Web of Science</v>
      </c>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row>
    <row r="560" spans="1:314" s="2" customFormat="1" x14ac:dyDescent="0.4">
      <c r="A560" s="2" t="s">
        <v>72</v>
      </c>
      <c r="B560" s="2" t="s">
        <v>5461</v>
      </c>
      <c r="C560" s="2" t="s">
        <v>74</v>
      </c>
      <c r="D560" s="2" t="s">
        <v>74</v>
      </c>
      <c r="E560" s="2" t="s">
        <v>74</v>
      </c>
      <c r="F560" s="2" t="s">
        <v>5461</v>
      </c>
      <c r="G560" s="2" t="s">
        <v>74</v>
      </c>
      <c r="H560" s="2" t="s">
        <v>74</v>
      </c>
      <c r="I560" s="2" t="s">
        <v>5462</v>
      </c>
      <c r="J560" s="2" t="s">
        <v>3068</v>
      </c>
      <c r="K560" s="2" t="s">
        <v>74</v>
      </c>
      <c r="L560" s="2" t="s">
        <v>74</v>
      </c>
      <c r="M560" s="2" t="s">
        <v>74</v>
      </c>
      <c r="N560" s="2" t="s">
        <v>74</v>
      </c>
      <c r="O560" s="2" t="s">
        <v>74</v>
      </c>
      <c r="P560" s="2" t="s">
        <v>74</v>
      </c>
      <c r="Q560" s="2" t="s">
        <v>74</v>
      </c>
      <c r="R560" s="2" t="s">
        <v>74</v>
      </c>
      <c r="S560" s="2" t="s">
        <v>74</v>
      </c>
      <c r="T560" s="2" t="s">
        <v>74</v>
      </c>
      <c r="U560" s="2" t="s">
        <v>74</v>
      </c>
      <c r="V560" s="5" t="s">
        <v>5463</v>
      </c>
      <c r="W560" s="2" t="s">
        <v>74</v>
      </c>
      <c r="X560" s="2" t="s">
        <v>74</v>
      </c>
      <c r="Y560" s="2" t="s">
        <v>74</v>
      </c>
      <c r="Z560" s="2" t="s">
        <v>74</v>
      </c>
      <c r="AA560" s="2" t="s">
        <v>5464</v>
      </c>
      <c r="AB560" s="2" t="s">
        <v>74</v>
      </c>
      <c r="AC560" s="2" t="s">
        <v>74</v>
      </c>
      <c r="AD560" s="2" t="s">
        <v>74</v>
      </c>
      <c r="AE560" s="2" t="s">
        <v>74</v>
      </c>
      <c r="AF560" s="2" t="s">
        <v>74</v>
      </c>
      <c r="AG560" s="2" t="s">
        <v>74</v>
      </c>
      <c r="AH560" s="2" t="s">
        <v>74</v>
      </c>
      <c r="AI560" s="2" t="s">
        <v>74</v>
      </c>
      <c r="AJ560" s="2" t="s">
        <v>74</v>
      </c>
      <c r="AK560" s="2" t="s">
        <v>74</v>
      </c>
      <c r="AL560" s="2" t="s">
        <v>74</v>
      </c>
      <c r="AM560" s="2" t="s">
        <v>74</v>
      </c>
      <c r="AN560" s="2" t="s">
        <v>74</v>
      </c>
      <c r="AO560" s="2" t="s">
        <v>3072</v>
      </c>
      <c r="AP560" s="2" t="s">
        <v>74</v>
      </c>
      <c r="AQ560" s="2" t="s">
        <v>74</v>
      </c>
      <c r="AR560" s="2" t="s">
        <v>74</v>
      </c>
      <c r="AS560" s="2" t="s">
        <v>74</v>
      </c>
      <c r="AT560" s="2" t="s">
        <v>134</v>
      </c>
      <c r="AU560" s="2">
        <v>1995</v>
      </c>
      <c r="AV560" s="2">
        <v>14</v>
      </c>
      <c r="AW560" s="2">
        <v>2</v>
      </c>
      <c r="AX560" s="2" t="s">
        <v>74</v>
      </c>
      <c r="AY560" s="2" t="s">
        <v>74</v>
      </c>
      <c r="AZ560" s="2" t="s">
        <v>74</v>
      </c>
      <c r="BA560" s="2" t="s">
        <v>74</v>
      </c>
      <c r="BB560" s="2">
        <v>71</v>
      </c>
      <c r="BC560" s="2">
        <v>78</v>
      </c>
      <c r="BD560" s="2" t="s">
        <v>74</v>
      </c>
      <c r="BE560" s="2" t="s">
        <v>5465</v>
      </c>
      <c r="BF560" s="2" t="str">
        <f>HYPERLINK("http://dx.doi.org/10.1007/BF00303426","http://dx.doi.org/10.1007/BF00303426")</f>
        <v>http://dx.doi.org/10.1007/BF00303426</v>
      </c>
      <c r="BG560" s="2" t="s">
        <v>74</v>
      </c>
      <c r="BH560" s="2" t="s">
        <v>74</v>
      </c>
      <c r="BI560" s="2" t="s">
        <v>74</v>
      </c>
      <c r="BJ560" s="2" t="s">
        <v>74</v>
      </c>
      <c r="BK560" s="2" t="s">
        <v>74</v>
      </c>
      <c r="BL560" s="2" t="s">
        <v>74</v>
      </c>
      <c r="BM560" s="2" t="s">
        <v>74</v>
      </c>
      <c r="BN560" s="2" t="s">
        <v>74</v>
      </c>
      <c r="BO560" s="2" t="s">
        <v>74</v>
      </c>
      <c r="BP560" s="2" t="s">
        <v>74</v>
      </c>
      <c r="BQ560" s="2" t="s">
        <v>74</v>
      </c>
      <c r="BR560" s="2" t="s">
        <v>74</v>
      </c>
      <c r="BS560" s="2" t="s">
        <v>5466</v>
      </c>
      <c r="BT560" s="2" t="str">
        <f>HYPERLINK("https%3A%2F%2Fwww.webofscience.com%2Fwos%2Fwoscc%2Ffull-record%2FWOS:A1995RD44200003","View Full Record in Web of Science")</f>
        <v>View Full Record in Web of Science</v>
      </c>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row>
    <row r="561" spans="1:314" s="1" customFormat="1" x14ac:dyDescent="0.4">
      <c r="A561" s="2" t="s">
        <v>72</v>
      </c>
      <c r="B561" s="2" t="s">
        <v>7401</v>
      </c>
      <c r="C561" s="2" t="s">
        <v>74</v>
      </c>
      <c r="D561" s="2" t="s">
        <v>74</v>
      </c>
      <c r="E561" s="2" t="s">
        <v>74</v>
      </c>
      <c r="F561" s="2" t="s">
        <v>7401</v>
      </c>
      <c r="G561" s="2" t="s">
        <v>74</v>
      </c>
      <c r="H561" s="2" t="s">
        <v>74</v>
      </c>
      <c r="I561" s="2" t="s">
        <v>7402</v>
      </c>
      <c r="J561" s="2" t="s">
        <v>4522</v>
      </c>
      <c r="K561" s="2" t="s">
        <v>74</v>
      </c>
      <c r="L561" s="2" t="s">
        <v>74</v>
      </c>
      <c r="M561" s="2" t="s">
        <v>74</v>
      </c>
      <c r="N561" s="2" t="s">
        <v>74</v>
      </c>
      <c r="O561" s="2" t="s">
        <v>74</v>
      </c>
      <c r="P561" s="2" t="s">
        <v>74</v>
      </c>
      <c r="Q561" s="2" t="s">
        <v>74</v>
      </c>
      <c r="R561" s="2" t="s">
        <v>74</v>
      </c>
      <c r="S561" s="2" t="s">
        <v>74</v>
      </c>
      <c r="T561" s="2" t="s">
        <v>74</v>
      </c>
      <c r="U561" s="2" t="s">
        <v>74</v>
      </c>
      <c r="V561" s="5" t="s">
        <v>7403</v>
      </c>
      <c r="W561" s="2" t="s">
        <v>74</v>
      </c>
      <c r="X561" s="2" t="s">
        <v>74</v>
      </c>
      <c r="Y561" s="2" t="s">
        <v>74</v>
      </c>
      <c r="Z561" s="2" t="s">
        <v>74</v>
      </c>
      <c r="AA561" s="2" t="s">
        <v>7404</v>
      </c>
      <c r="AB561" s="2" t="s">
        <v>7405</v>
      </c>
      <c r="AC561" s="2" t="s">
        <v>74</v>
      </c>
      <c r="AD561" s="2" t="s">
        <v>74</v>
      </c>
      <c r="AE561" s="2" t="s">
        <v>74</v>
      </c>
      <c r="AF561" s="2" t="s">
        <v>74</v>
      </c>
      <c r="AG561" s="2" t="s">
        <v>74</v>
      </c>
      <c r="AH561" s="2" t="s">
        <v>74</v>
      </c>
      <c r="AI561" s="2" t="s">
        <v>74</v>
      </c>
      <c r="AJ561" s="2" t="s">
        <v>74</v>
      </c>
      <c r="AK561" s="2" t="s">
        <v>74</v>
      </c>
      <c r="AL561" s="2" t="s">
        <v>74</v>
      </c>
      <c r="AM561" s="2" t="s">
        <v>74</v>
      </c>
      <c r="AN561" s="2" t="s">
        <v>74</v>
      </c>
      <c r="AO561" s="2" t="s">
        <v>4526</v>
      </c>
      <c r="AP561" s="2" t="s">
        <v>74</v>
      </c>
      <c r="AQ561" s="2" t="s">
        <v>74</v>
      </c>
      <c r="AR561" s="2" t="s">
        <v>74</v>
      </c>
      <c r="AS561" s="2" t="s">
        <v>74</v>
      </c>
      <c r="AT561" s="2" t="s">
        <v>352</v>
      </c>
      <c r="AU561" s="2">
        <v>2001</v>
      </c>
      <c r="AV561" s="2">
        <v>35</v>
      </c>
      <c r="AW561" s="2">
        <v>9</v>
      </c>
      <c r="AX561" s="2" t="s">
        <v>74</v>
      </c>
      <c r="AY561" s="2" t="s">
        <v>74</v>
      </c>
      <c r="AZ561" s="2" t="s">
        <v>74</v>
      </c>
      <c r="BA561" s="2" t="s">
        <v>74</v>
      </c>
      <c r="BB561" s="2">
        <v>1371</v>
      </c>
      <c r="BC561" s="2">
        <v>1398</v>
      </c>
      <c r="BD561" s="2" t="s">
        <v>74</v>
      </c>
      <c r="BE561" s="2" t="s">
        <v>7406</v>
      </c>
      <c r="BF561" s="2" t="str">
        <f>HYPERLINK("http://dx.doi.org/10.1080/002229301750384310","http://dx.doi.org/10.1080/002229301750384310")</f>
        <v>http://dx.doi.org/10.1080/002229301750384310</v>
      </c>
      <c r="BG561" s="2" t="s">
        <v>74</v>
      </c>
      <c r="BH561" s="2" t="s">
        <v>74</v>
      </c>
      <c r="BI561" s="2" t="s">
        <v>74</v>
      </c>
      <c r="BJ561" s="2" t="s">
        <v>74</v>
      </c>
      <c r="BK561" s="2" t="s">
        <v>74</v>
      </c>
      <c r="BL561" s="2" t="s">
        <v>74</v>
      </c>
      <c r="BM561" s="2" t="s">
        <v>74</v>
      </c>
      <c r="BN561" s="2" t="s">
        <v>74</v>
      </c>
      <c r="BO561" s="2" t="s">
        <v>74</v>
      </c>
      <c r="BP561" s="2" t="s">
        <v>74</v>
      </c>
      <c r="BQ561" s="2" t="s">
        <v>74</v>
      </c>
      <c r="BR561" s="2" t="s">
        <v>74</v>
      </c>
      <c r="BS561" s="2" t="s">
        <v>7407</v>
      </c>
      <c r="BT561" s="2" t="str">
        <f>HYPERLINK("https%3A%2F%2Fwww.webofscience.com%2Fwos%2Fwoscc%2Ffull-record%2FWOS:000170467200003","View Full Record in Web of Science")</f>
        <v>View Full Record in Web of Science</v>
      </c>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row>
    <row r="562" spans="1:314" s="2" customFormat="1" x14ac:dyDescent="0.4">
      <c r="A562" s="2" t="s">
        <v>72</v>
      </c>
      <c r="B562" s="2" t="s">
        <v>7953</v>
      </c>
      <c r="C562" s="2" t="s">
        <v>74</v>
      </c>
      <c r="D562" s="2" t="s">
        <v>74</v>
      </c>
      <c r="E562" s="2" t="s">
        <v>74</v>
      </c>
      <c r="F562" s="2" t="s">
        <v>7953</v>
      </c>
      <c r="G562" s="2" t="s">
        <v>74</v>
      </c>
      <c r="H562" s="2" t="s">
        <v>74</v>
      </c>
      <c r="I562" s="2" t="s">
        <v>7954</v>
      </c>
      <c r="J562" s="2" t="s">
        <v>7955</v>
      </c>
      <c r="K562" s="2" t="s">
        <v>74</v>
      </c>
      <c r="L562" s="2" t="s">
        <v>74</v>
      </c>
      <c r="M562" s="2" t="s">
        <v>74</v>
      </c>
      <c r="N562" s="2" t="s">
        <v>74</v>
      </c>
      <c r="O562" s="2" t="s">
        <v>74</v>
      </c>
      <c r="P562" s="2" t="s">
        <v>74</v>
      </c>
      <c r="Q562" s="2" t="s">
        <v>74</v>
      </c>
      <c r="R562" s="2" t="s">
        <v>74</v>
      </c>
      <c r="S562" s="2" t="s">
        <v>74</v>
      </c>
      <c r="T562" s="2" t="s">
        <v>74</v>
      </c>
      <c r="U562" s="2" t="s">
        <v>74</v>
      </c>
      <c r="V562" s="5" t="s">
        <v>7956</v>
      </c>
      <c r="W562" s="2" t="s">
        <v>74</v>
      </c>
      <c r="X562" s="2" t="s">
        <v>74</v>
      </c>
      <c r="Y562" s="2" t="s">
        <v>74</v>
      </c>
      <c r="Z562" s="2" t="s">
        <v>74</v>
      </c>
      <c r="AA562" s="2" t="s">
        <v>74</v>
      </c>
      <c r="AB562" s="2" t="s">
        <v>7957</v>
      </c>
      <c r="AC562" s="2" t="s">
        <v>74</v>
      </c>
      <c r="AD562" s="2" t="s">
        <v>74</v>
      </c>
      <c r="AE562" s="2" t="s">
        <v>74</v>
      </c>
      <c r="AF562" s="2" t="s">
        <v>74</v>
      </c>
      <c r="AG562" s="2" t="s">
        <v>74</v>
      </c>
      <c r="AH562" s="2" t="s">
        <v>74</v>
      </c>
      <c r="AI562" s="2" t="s">
        <v>74</v>
      </c>
      <c r="AJ562" s="2" t="s">
        <v>74</v>
      </c>
      <c r="AK562" s="2" t="s">
        <v>74</v>
      </c>
      <c r="AL562" s="2" t="s">
        <v>74</v>
      </c>
      <c r="AM562" s="2" t="s">
        <v>74</v>
      </c>
      <c r="AN562" s="2" t="s">
        <v>74</v>
      </c>
      <c r="AO562" s="2" t="s">
        <v>7958</v>
      </c>
      <c r="AP562" s="2" t="s">
        <v>74</v>
      </c>
      <c r="AQ562" s="2" t="s">
        <v>74</v>
      </c>
      <c r="AR562" s="2" t="s">
        <v>74</v>
      </c>
      <c r="AS562" s="2" t="s">
        <v>74</v>
      </c>
      <c r="AT562" s="2" t="s">
        <v>74</v>
      </c>
      <c r="AU562" s="2">
        <v>2003</v>
      </c>
      <c r="AV562" s="2">
        <v>44</v>
      </c>
      <c r="AW562" s="2">
        <v>4</v>
      </c>
      <c r="AX562" s="2" t="s">
        <v>74</v>
      </c>
      <c r="AY562" s="2" t="s">
        <v>74</v>
      </c>
      <c r="AZ562" s="2" t="s">
        <v>74</v>
      </c>
      <c r="BA562" s="2" t="s">
        <v>74</v>
      </c>
      <c r="BB562" s="2">
        <v>319</v>
      </c>
      <c r="BC562" s="2">
        <v>327</v>
      </c>
      <c r="BD562" s="2" t="s">
        <v>74</v>
      </c>
      <c r="BE562" s="2" t="s">
        <v>74</v>
      </c>
      <c r="BF562" s="2" t="s">
        <v>74</v>
      </c>
      <c r="BG562" s="2" t="s">
        <v>74</v>
      </c>
      <c r="BH562" s="2" t="s">
        <v>74</v>
      </c>
      <c r="BI562" s="2" t="s">
        <v>74</v>
      </c>
      <c r="BJ562" s="2" t="s">
        <v>74</v>
      </c>
      <c r="BK562" s="2" t="s">
        <v>74</v>
      </c>
      <c r="BL562" s="2" t="s">
        <v>74</v>
      </c>
      <c r="BM562" s="2" t="s">
        <v>74</v>
      </c>
      <c r="BN562" s="2" t="s">
        <v>74</v>
      </c>
      <c r="BO562" s="2" t="s">
        <v>74</v>
      </c>
      <c r="BP562" s="2" t="s">
        <v>74</v>
      </c>
      <c r="BQ562" s="2" t="s">
        <v>74</v>
      </c>
      <c r="BR562" s="2" t="s">
        <v>74</v>
      </c>
      <c r="BS562" s="2" t="s">
        <v>7959</v>
      </c>
      <c r="BT562" s="2" t="str">
        <f>HYPERLINK("https%3A%2F%2Fwww.webofscience.com%2Fwos%2Fwoscc%2Ffull-record%2FWOS:000188352000002","View Full Record in Web of Science")</f>
        <v>View Full Record in Web of Science</v>
      </c>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row>
    <row r="563" spans="1:314" s="2" customFormat="1" x14ac:dyDescent="0.4">
      <c r="A563" s="2" t="s">
        <v>72</v>
      </c>
      <c r="B563" s="2" t="s">
        <v>4204</v>
      </c>
      <c r="C563" s="2" t="s">
        <v>74</v>
      </c>
      <c r="D563" s="2" t="s">
        <v>74</v>
      </c>
      <c r="E563" s="2" t="s">
        <v>74</v>
      </c>
      <c r="F563" s="2" t="s">
        <v>4205</v>
      </c>
      <c r="G563" s="2" t="s">
        <v>74</v>
      </c>
      <c r="H563" s="2" t="s">
        <v>74</v>
      </c>
      <c r="I563" s="2" t="s">
        <v>4206</v>
      </c>
      <c r="J563" s="2" t="s">
        <v>2550</v>
      </c>
      <c r="K563" s="2" t="s">
        <v>74</v>
      </c>
      <c r="L563" s="2" t="s">
        <v>74</v>
      </c>
      <c r="M563" s="2" t="s">
        <v>74</v>
      </c>
      <c r="N563" s="2" t="s">
        <v>74</v>
      </c>
      <c r="O563" s="2" t="s">
        <v>74</v>
      </c>
      <c r="P563" s="2" t="s">
        <v>74</v>
      </c>
      <c r="Q563" s="2" t="s">
        <v>74</v>
      </c>
      <c r="R563" s="2" t="s">
        <v>74</v>
      </c>
      <c r="S563" s="2" t="s">
        <v>74</v>
      </c>
      <c r="T563" s="2" t="s">
        <v>74</v>
      </c>
      <c r="U563" s="2" t="s">
        <v>74</v>
      </c>
      <c r="V563" s="5" t="s">
        <v>4207</v>
      </c>
      <c r="W563" s="2" t="s">
        <v>74</v>
      </c>
      <c r="X563" s="2" t="s">
        <v>74</v>
      </c>
      <c r="Y563" s="2" t="s">
        <v>74</v>
      </c>
      <c r="Z563" s="2" t="s">
        <v>74</v>
      </c>
      <c r="AA563" s="2" t="s">
        <v>74</v>
      </c>
      <c r="AB563" s="2" t="s">
        <v>4208</v>
      </c>
      <c r="AC563" s="2" t="s">
        <v>74</v>
      </c>
      <c r="AD563" s="2" t="s">
        <v>74</v>
      </c>
      <c r="AE563" s="2" t="s">
        <v>74</v>
      </c>
      <c r="AF563" s="2" t="s">
        <v>74</v>
      </c>
      <c r="AG563" s="2" t="s">
        <v>74</v>
      </c>
      <c r="AH563" s="2" t="s">
        <v>74</v>
      </c>
      <c r="AI563" s="2" t="s">
        <v>74</v>
      </c>
      <c r="AJ563" s="2" t="s">
        <v>74</v>
      </c>
      <c r="AK563" s="2" t="s">
        <v>74</v>
      </c>
      <c r="AL563" s="2" t="s">
        <v>74</v>
      </c>
      <c r="AM563" s="2" t="s">
        <v>74</v>
      </c>
      <c r="AN563" s="2" t="s">
        <v>74</v>
      </c>
      <c r="AO563" s="2" t="s">
        <v>2554</v>
      </c>
      <c r="AP563" s="2" t="s">
        <v>4209</v>
      </c>
      <c r="AQ563" s="2" t="s">
        <v>74</v>
      </c>
      <c r="AR563" s="2" t="s">
        <v>74</v>
      </c>
      <c r="AS563" s="2" t="s">
        <v>74</v>
      </c>
      <c r="AT563" s="2" t="s">
        <v>102</v>
      </c>
      <c r="AU563" s="2">
        <v>2019</v>
      </c>
      <c r="AV563" s="2">
        <v>42</v>
      </c>
      <c r="AW563" s="2">
        <v>6</v>
      </c>
      <c r="AX563" s="2" t="s">
        <v>74</v>
      </c>
      <c r="AY563" s="2" t="s">
        <v>74</v>
      </c>
      <c r="AZ563" s="2" t="s">
        <v>74</v>
      </c>
      <c r="BA563" s="2" t="s">
        <v>74</v>
      </c>
      <c r="BB563" s="2">
        <v>1217</v>
      </c>
      <c r="BC563" s="2">
        <v>1220</v>
      </c>
      <c r="BD563" s="2" t="s">
        <v>74</v>
      </c>
      <c r="BE563" s="2" t="s">
        <v>4210</v>
      </c>
      <c r="BF563" s="2" t="str">
        <f>HYPERLINK("http://dx.doi.org/10.1007/s00300-019-02506-3","http://dx.doi.org/10.1007/s00300-019-02506-3")</f>
        <v>http://dx.doi.org/10.1007/s00300-019-02506-3</v>
      </c>
      <c r="BG563" s="2" t="s">
        <v>74</v>
      </c>
      <c r="BH563" s="2" t="s">
        <v>74</v>
      </c>
      <c r="BI563" s="2" t="s">
        <v>74</v>
      </c>
      <c r="BJ563" s="2" t="s">
        <v>74</v>
      </c>
      <c r="BK563" s="2" t="s">
        <v>74</v>
      </c>
      <c r="BL563" s="2" t="s">
        <v>74</v>
      </c>
      <c r="BM563" s="2" t="s">
        <v>74</v>
      </c>
      <c r="BN563" s="2" t="s">
        <v>74</v>
      </c>
      <c r="BO563" s="2" t="s">
        <v>74</v>
      </c>
      <c r="BP563" s="2" t="s">
        <v>74</v>
      </c>
      <c r="BQ563" s="2" t="s">
        <v>74</v>
      </c>
      <c r="BR563" s="2" t="s">
        <v>74</v>
      </c>
      <c r="BS563" s="2" t="s">
        <v>4211</v>
      </c>
      <c r="BT563" s="2" t="str">
        <f>HYPERLINK("https%3A%2F%2Fwww.webofscience.com%2Fwos%2Fwoscc%2Ffull-record%2FWOS:000470694200016","View Full Record in Web of Science")</f>
        <v>View Full Record in Web of Science</v>
      </c>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row>
    <row r="564" spans="1:314" s="2" customFormat="1" x14ac:dyDescent="0.4">
      <c r="A564" s="2" t="s">
        <v>72</v>
      </c>
      <c r="B564" s="2" t="s">
        <v>1213</v>
      </c>
      <c r="C564" s="2" t="s">
        <v>74</v>
      </c>
      <c r="D564" s="2" t="s">
        <v>74</v>
      </c>
      <c r="E564" s="2" t="s">
        <v>74</v>
      </c>
      <c r="F564" s="2" t="s">
        <v>1214</v>
      </c>
      <c r="G564" s="2" t="s">
        <v>74</v>
      </c>
      <c r="H564" s="2" t="s">
        <v>74</v>
      </c>
      <c r="I564" s="2" t="s">
        <v>1215</v>
      </c>
      <c r="J564" s="2" t="s">
        <v>99</v>
      </c>
      <c r="K564" s="2" t="s">
        <v>74</v>
      </c>
      <c r="L564" s="2" t="s">
        <v>74</v>
      </c>
      <c r="M564" s="2" t="s">
        <v>74</v>
      </c>
      <c r="N564" s="2" t="s">
        <v>74</v>
      </c>
      <c r="O564" s="2" t="s">
        <v>74</v>
      </c>
      <c r="P564" s="2" t="s">
        <v>74</v>
      </c>
      <c r="Q564" s="2" t="s">
        <v>74</v>
      </c>
      <c r="R564" s="2" t="s">
        <v>74</v>
      </c>
      <c r="S564" s="2" t="s">
        <v>74</v>
      </c>
      <c r="T564" s="2" t="s">
        <v>74</v>
      </c>
      <c r="U564" s="2" t="s">
        <v>74</v>
      </c>
      <c r="V564" s="5" t="s">
        <v>1216</v>
      </c>
      <c r="W564" s="2" t="s">
        <v>74</v>
      </c>
      <c r="X564" s="2" t="s">
        <v>74</v>
      </c>
      <c r="Y564" s="2" t="s">
        <v>74</v>
      </c>
      <c r="Z564" s="2" t="s">
        <v>74</v>
      </c>
      <c r="AA564" s="2" t="s">
        <v>74</v>
      </c>
      <c r="AB564" s="2" t="s">
        <v>1217</v>
      </c>
      <c r="AC564" s="2" t="s">
        <v>74</v>
      </c>
      <c r="AD564" s="2" t="s">
        <v>74</v>
      </c>
      <c r="AE564" s="2" t="s">
        <v>74</v>
      </c>
      <c r="AF564" s="2" t="s">
        <v>74</v>
      </c>
      <c r="AG564" s="2" t="s">
        <v>74</v>
      </c>
      <c r="AH564" s="2" t="s">
        <v>74</v>
      </c>
      <c r="AI564" s="2" t="s">
        <v>74</v>
      </c>
      <c r="AJ564" s="2" t="s">
        <v>74</v>
      </c>
      <c r="AK564" s="2" t="s">
        <v>74</v>
      </c>
      <c r="AL564" s="2" t="s">
        <v>74</v>
      </c>
      <c r="AM564" s="2" t="s">
        <v>74</v>
      </c>
      <c r="AN564" s="2" t="s">
        <v>74</v>
      </c>
      <c r="AO564" s="2" t="s">
        <v>101</v>
      </c>
      <c r="AP564" s="2" t="s">
        <v>1218</v>
      </c>
      <c r="AQ564" s="2" t="s">
        <v>74</v>
      </c>
      <c r="AR564" s="2" t="s">
        <v>74</v>
      </c>
      <c r="AS564" s="2" t="s">
        <v>74</v>
      </c>
      <c r="AT564" s="2" t="s">
        <v>305</v>
      </c>
      <c r="AU564" s="2">
        <v>2014</v>
      </c>
      <c r="AV564" s="2">
        <v>126</v>
      </c>
      <c r="AW564" s="2">
        <v>4</v>
      </c>
      <c r="AX564" s="2" t="s">
        <v>74</v>
      </c>
      <c r="AY564" s="2" t="s">
        <v>74</v>
      </c>
      <c r="AZ564" s="2" t="s">
        <v>74</v>
      </c>
      <c r="BA564" s="2" t="s">
        <v>74</v>
      </c>
      <c r="BB564" s="2">
        <v>708</v>
      </c>
      <c r="BC564" s="2">
        <v>716</v>
      </c>
      <c r="BD564" s="2" t="s">
        <v>74</v>
      </c>
      <c r="BE564" s="2" t="s">
        <v>1219</v>
      </c>
      <c r="BF564" s="2" t="str">
        <f>HYPERLINK("http://dx.doi.org/10.1676/14-028.1","http://dx.doi.org/10.1676/14-028.1")</f>
        <v>http://dx.doi.org/10.1676/14-028.1</v>
      </c>
      <c r="BG564" s="2" t="s">
        <v>74</v>
      </c>
      <c r="BH564" s="2" t="s">
        <v>74</v>
      </c>
      <c r="BI564" s="2" t="s">
        <v>74</v>
      </c>
      <c r="BJ564" s="2" t="s">
        <v>74</v>
      </c>
      <c r="BK564" s="2" t="s">
        <v>74</v>
      </c>
      <c r="BL564" s="2" t="s">
        <v>74</v>
      </c>
      <c r="BM564" s="2" t="s">
        <v>74</v>
      </c>
      <c r="BN564" s="2" t="s">
        <v>74</v>
      </c>
      <c r="BO564" s="2" t="s">
        <v>74</v>
      </c>
      <c r="BP564" s="2" t="s">
        <v>74</v>
      </c>
      <c r="BQ564" s="2" t="s">
        <v>74</v>
      </c>
      <c r="BR564" s="2" t="s">
        <v>74</v>
      </c>
      <c r="BS564" s="2" t="s">
        <v>1220</v>
      </c>
      <c r="BT564" s="2" t="str">
        <f>HYPERLINK("https%3A%2F%2Fwww.webofscience.com%2Fwos%2Fwoscc%2Ffull-record%2FWOS:000346425400008","View Full Record in Web of Science")</f>
        <v>View Full Record in Web of Science</v>
      </c>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row>
    <row r="565" spans="1:314" s="2" customFormat="1" x14ac:dyDescent="0.4">
      <c r="A565" s="2" t="s">
        <v>72</v>
      </c>
      <c r="B565" s="2" t="s">
        <v>1686</v>
      </c>
      <c r="C565" s="2" t="s">
        <v>74</v>
      </c>
      <c r="D565" s="2" t="s">
        <v>74</v>
      </c>
      <c r="E565" s="2" t="s">
        <v>74</v>
      </c>
      <c r="F565" s="2" t="s">
        <v>1687</v>
      </c>
      <c r="G565" s="2" t="s">
        <v>74</v>
      </c>
      <c r="H565" s="2" t="s">
        <v>74</v>
      </c>
      <c r="I565" s="2" t="s">
        <v>1688</v>
      </c>
      <c r="J565" s="2" t="s">
        <v>129</v>
      </c>
      <c r="K565" s="2" t="s">
        <v>74</v>
      </c>
      <c r="L565" s="2" t="s">
        <v>74</v>
      </c>
      <c r="M565" s="2" t="s">
        <v>74</v>
      </c>
      <c r="N565" s="2" t="s">
        <v>74</v>
      </c>
      <c r="O565" s="2" t="s">
        <v>74</v>
      </c>
      <c r="P565" s="2" t="s">
        <v>74</v>
      </c>
      <c r="Q565" s="2" t="s">
        <v>74</v>
      </c>
      <c r="R565" s="2" t="s">
        <v>74</v>
      </c>
      <c r="S565" s="2" t="s">
        <v>74</v>
      </c>
      <c r="T565" s="2" t="s">
        <v>74</v>
      </c>
      <c r="U565" s="2" t="s">
        <v>74</v>
      </c>
      <c r="V565" s="5" t="s">
        <v>1689</v>
      </c>
      <c r="W565" s="2" t="s">
        <v>74</v>
      </c>
      <c r="X565" s="2" t="s">
        <v>74</v>
      </c>
      <c r="Y565" s="2" t="s">
        <v>74</v>
      </c>
      <c r="Z565" s="2" t="s">
        <v>74</v>
      </c>
      <c r="AA565" s="2" t="s">
        <v>1690</v>
      </c>
      <c r="AB565" s="2" t="s">
        <v>1691</v>
      </c>
      <c r="AC565" s="2" t="s">
        <v>74</v>
      </c>
      <c r="AD565" s="2" t="s">
        <v>74</v>
      </c>
      <c r="AE565" s="2" t="s">
        <v>74</v>
      </c>
      <c r="AF565" s="2" t="s">
        <v>74</v>
      </c>
      <c r="AG565" s="2" t="s">
        <v>74</v>
      </c>
      <c r="AH565" s="2" t="s">
        <v>74</v>
      </c>
      <c r="AI565" s="2" t="s">
        <v>74</v>
      </c>
      <c r="AJ565" s="2" t="s">
        <v>74</v>
      </c>
      <c r="AK565" s="2" t="s">
        <v>74</v>
      </c>
      <c r="AL565" s="2" t="s">
        <v>74</v>
      </c>
      <c r="AM565" s="2" t="s">
        <v>74</v>
      </c>
      <c r="AN565" s="2" t="s">
        <v>74</v>
      </c>
      <c r="AO565" s="2" t="s">
        <v>132</v>
      </c>
      <c r="AP565" s="2" t="s">
        <v>133</v>
      </c>
      <c r="AQ565" s="2" t="s">
        <v>74</v>
      </c>
      <c r="AR565" s="2" t="s">
        <v>74</v>
      </c>
      <c r="AS565" s="2" t="s">
        <v>74</v>
      </c>
      <c r="AT565" s="2" t="s">
        <v>633</v>
      </c>
      <c r="AU565" s="2">
        <v>2022</v>
      </c>
      <c r="AV565" s="2">
        <v>76</v>
      </c>
      <c r="AW565" s="2">
        <v>4</v>
      </c>
      <c r="AX565" s="2" t="s">
        <v>74</v>
      </c>
      <c r="AY565" s="2" t="s">
        <v>74</v>
      </c>
      <c r="AZ565" s="2" t="s">
        <v>74</v>
      </c>
      <c r="BA565" s="2" t="s">
        <v>74</v>
      </c>
      <c r="BB565" s="2" t="s">
        <v>74</v>
      </c>
      <c r="BC565" s="2" t="s">
        <v>74</v>
      </c>
      <c r="BD565" s="2">
        <v>57</v>
      </c>
      <c r="BE565" s="2" t="s">
        <v>1692</v>
      </c>
      <c r="BF565" s="2" t="str">
        <f>HYPERLINK("http://dx.doi.org/10.1007/s00265-022-03165-x","http://dx.doi.org/10.1007/s00265-022-03165-x")</f>
        <v>http://dx.doi.org/10.1007/s00265-022-03165-x</v>
      </c>
      <c r="BG565" s="2" t="s">
        <v>74</v>
      </c>
      <c r="BH565" s="2" t="s">
        <v>74</v>
      </c>
      <c r="BI565" s="2" t="s">
        <v>74</v>
      </c>
      <c r="BJ565" s="2" t="s">
        <v>74</v>
      </c>
      <c r="BK565" s="2" t="s">
        <v>74</v>
      </c>
      <c r="BL565" s="2" t="s">
        <v>74</v>
      </c>
      <c r="BM565" s="2" t="s">
        <v>74</v>
      </c>
      <c r="BN565" s="2" t="s">
        <v>74</v>
      </c>
      <c r="BO565" s="2" t="s">
        <v>74</v>
      </c>
      <c r="BP565" s="2" t="s">
        <v>74</v>
      </c>
      <c r="BQ565" s="2" t="s">
        <v>74</v>
      </c>
      <c r="BR565" s="2" t="s">
        <v>74</v>
      </c>
      <c r="BS565" s="2" t="s">
        <v>1693</v>
      </c>
      <c r="BT565" s="2" t="str">
        <f>HYPERLINK("https%3A%2F%2Fwww.webofscience.com%2Fwos%2Fwoscc%2Ffull-record%2FWOS:000779357300001","View Full Record in Web of Science")</f>
        <v>View Full Record in Web of Science</v>
      </c>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row>
    <row r="566" spans="1:314" s="2" customFormat="1" x14ac:dyDescent="0.4">
      <c r="A566" s="2" t="s">
        <v>72</v>
      </c>
      <c r="B566" s="2" t="s">
        <v>2594</v>
      </c>
      <c r="C566" s="2" t="s">
        <v>74</v>
      </c>
      <c r="D566" s="2" t="s">
        <v>74</v>
      </c>
      <c r="E566" s="2" t="s">
        <v>74</v>
      </c>
      <c r="F566" s="2" t="s">
        <v>2595</v>
      </c>
      <c r="G566" s="2" t="s">
        <v>74</v>
      </c>
      <c r="H566" s="2" t="s">
        <v>74</v>
      </c>
      <c r="I566" s="2" t="s">
        <v>2596</v>
      </c>
      <c r="J566" s="2" t="s">
        <v>140</v>
      </c>
      <c r="K566" s="2" t="s">
        <v>74</v>
      </c>
      <c r="L566" s="2" t="s">
        <v>74</v>
      </c>
      <c r="M566" s="2" t="s">
        <v>74</v>
      </c>
      <c r="N566" s="2" t="s">
        <v>74</v>
      </c>
      <c r="O566" s="2" t="s">
        <v>74</v>
      </c>
      <c r="P566" s="2" t="s">
        <v>74</v>
      </c>
      <c r="Q566" s="2" t="s">
        <v>74</v>
      </c>
      <c r="R566" s="2" t="s">
        <v>74</v>
      </c>
      <c r="S566" s="2" t="s">
        <v>74</v>
      </c>
      <c r="T566" s="2" t="s">
        <v>74</v>
      </c>
      <c r="U566" s="2" t="s">
        <v>74</v>
      </c>
      <c r="V566" s="5" t="s">
        <v>2597</v>
      </c>
      <c r="W566" s="2" t="s">
        <v>74</v>
      </c>
      <c r="X566" s="2" t="s">
        <v>74</v>
      </c>
      <c r="Y566" s="2" t="s">
        <v>74</v>
      </c>
      <c r="Z566" s="2" t="s">
        <v>74</v>
      </c>
      <c r="AA566" s="2" t="s">
        <v>946</v>
      </c>
      <c r="AB566" s="2" t="s">
        <v>2598</v>
      </c>
      <c r="AC566" s="2" t="s">
        <v>74</v>
      </c>
      <c r="AD566" s="2" t="s">
        <v>74</v>
      </c>
      <c r="AE566" s="2" t="s">
        <v>74</v>
      </c>
      <c r="AF566" s="2" t="s">
        <v>74</v>
      </c>
      <c r="AG566" s="2" t="s">
        <v>74</v>
      </c>
      <c r="AH566" s="2" t="s">
        <v>74</v>
      </c>
      <c r="AI566" s="2" t="s">
        <v>74</v>
      </c>
      <c r="AJ566" s="2" t="s">
        <v>74</v>
      </c>
      <c r="AK566" s="2" t="s">
        <v>74</v>
      </c>
      <c r="AL566" s="2" t="s">
        <v>74</v>
      </c>
      <c r="AM566" s="2" t="s">
        <v>74</v>
      </c>
      <c r="AN566" s="2" t="s">
        <v>74</v>
      </c>
      <c r="AO566" s="2" t="s">
        <v>143</v>
      </c>
      <c r="AP566" s="2" t="s">
        <v>144</v>
      </c>
      <c r="AQ566" s="2" t="s">
        <v>74</v>
      </c>
      <c r="AR566" s="2" t="s">
        <v>74</v>
      </c>
      <c r="AS566" s="2" t="s">
        <v>74</v>
      </c>
      <c r="AT566" s="2" t="s">
        <v>123</v>
      </c>
      <c r="AU566" s="2">
        <v>2015</v>
      </c>
      <c r="AV566" s="2">
        <v>101</v>
      </c>
      <c r="AW566" s="2" t="s">
        <v>74</v>
      </c>
      <c r="AX566" s="2" t="s">
        <v>74</v>
      </c>
      <c r="AY566" s="2" t="s">
        <v>74</v>
      </c>
      <c r="AZ566" s="2" t="s">
        <v>74</v>
      </c>
      <c r="BA566" s="2" t="s">
        <v>74</v>
      </c>
      <c r="BB566" s="2">
        <v>11</v>
      </c>
      <c r="BC566" s="2">
        <v>18</v>
      </c>
      <c r="BD566" s="2" t="s">
        <v>74</v>
      </c>
      <c r="BE566" s="2" t="s">
        <v>2599</v>
      </c>
      <c r="BF566" s="2" t="str">
        <f>HYPERLINK("http://dx.doi.org/10.1016/j.anbehav.2014.12.016","http://dx.doi.org/10.1016/j.anbehav.2014.12.016")</f>
        <v>http://dx.doi.org/10.1016/j.anbehav.2014.12.016</v>
      </c>
      <c r="BG566" s="2" t="s">
        <v>74</v>
      </c>
      <c r="BH566" s="2" t="s">
        <v>74</v>
      </c>
      <c r="BI566" s="2" t="s">
        <v>74</v>
      </c>
      <c r="BJ566" s="2" t="s">
        <v>74</v>
      </c>
      <c r="BK566" s="2" t="s">
        <v>74</v>
      </c>
      <c r="BL566" s="2" t="s">
        <v>74</v>
      </c>
      <c r="BM566" s="2" t="s">
        <v>74</v>
      </c>
      <c r="BN566" s="2" t="s">
        <v>74</v>
      </c>
      <c r="BO566" s="2" t="s">
        <v>74</v>
      </c>
      <c r="BP566" s="2" t="s">
        <v>74</v>
      </c>
      <c r="BQ566" s="2" t="s">
        <v>74</v>
      </c>
      <c r="BR566" s="2" t="s">
        <v>74</v>
      </c>
      <c r="BS566" s="2" t="s">
        <v>2600</v>
      </c>
      <c r="BT566" s="2" t="str">
        <f>HYPERLINK("https%3A%2F%2Fwww.webofscience.com%2Fwos%2Fwoscc%2Ffull-record%2FWOS:000351020200004","View Full Record in Web of Science")</f>
        <v>View Full Record in Web of Science</v>
      </c>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row>
    <row r="567" spans="1:314" s="2" customFormat="1" x14ac:dyDescent="0.4">
      <c r="A567" s="2" t="s">
        <v>72</v>
      </c>
      <c r="B567" s="2" t="s">
        <v>6144</v>
      </c>
      <c r="C567" s="2" t="s">
        <v>74</v>
      </c>
      <c r="D567" s="2" t="s">
        <v>74</v>
      </c>
      <c r="E567" s="2" t="s">
        <v>74</v>
      </c>
      <c r="F567" s="2" t="s">
        <v>6145</v>
      </c>
      <c r="G567" s="2" t="s">
        <v>74</v>
      </c>
      <c r="H567" s="2" t="s">
        <v>74</v>
      </c>
      <c r="I567" s="2" t="s">
        <v>6146</v>
      </c>
      <c r="J567" s="2" t="s">
        <v>99</v>
      </c>
      <c r="K567" s="2" t="s">
        <v>74</v>
      </c>
      <c r="L567" s="2" t="s">
        <v>74</v>
      </c>
      <c r="M567" s="2" t="s">
        <v>74</v>
      </c>
      <c r="N567" s="2" t="s">
        <v>74</v>
      </c>
      <c r="O567" s="2" t="s">
        <v>74</v>
      </c>
      <c r="P567" s="2" t="s">
        <v>74</v>
      </c>
      <c r="Q567" s="2" t="s">
        <v>74</v>
      </c>
      <c r="R567" s="2" t="s">
        <v>74</v>
      </c>
      <c r="S567" s="2" t="s">
        <v>74</v>
      </c>
      <c r="T567" s="2" t="s">
        <v>74</v>
      </c>
      <c r="U567" s="2" t="s">
        <v>74</v>
      </c>
      <c r="V567" s="5" t="s">
        <v>6147</v>
      </c>
      <c r="W567" s="2" t="s">
        <v>74</v>
      </c>
      <c r="X567" s="2" t="s">
        <v>74</v>
      </c>
      <c r="Y567" s="2" t="s">
        <v>74</v>
      </c>
      <c r="Z567" s="2" t="s">
        <v>74</v>
      </c>
      <c r="AA567" s="2" t="s">
        <v>74</v>
      </c>
      <c r="AB567" s="2" t="s">
        <v>74</v>
      </c>
      <c r="AC567" s="2" t="s">
        <v>74</v>
      </c>
      <c r="AD567" s="2" t="s">
        <v>74</v>
      </c>
      <c r="AE567" s="2" t="s">
        <v>74</v>
      </c>
      <c r="AF567" s="2" t="s">
        <v>74</v>
      </c>
      <c r="AG567" s="2" t="s">
        <v>74</v>
      </c>
      <c r="AH567" s="2" t="s">
        <v>74</v>
      </c>
      <c r="AI567" s="2" t="s">
        <v>74</v>
      </c>
      <c r="AJ567" s="2" t="s">
        <v>74</v>
      </c>
      <c r="AK567" s="2" t="s">
        <v>74</v>
      </c>
      <c r="AL567" s="2" t="s">
        <v>74</v>
      </c>
      <c r="AM567" s="2" t="s">
        <v>74</v>
      </c>
      <c r="AN567" s="2" t="s">
        <v>74</v>
      </c>
      <c r="AO567" s="2" t="s">
        <v>101</v>
      </c>
      <c r="AP567" s="2" t="s">
        <v>1218</v>
      </c>
      <c r="AQ567" s="2" t="s">
        <v>74</v>
      </c>
      <c r="AR567" s="2" t="s">
        <v>74</v>
      </c>
      <c r="AS567" s="2" t="s">
        <v>74</v>
      </c>
      <c r="AT567" s="2" t="s">
        <v>123</v>
      </c>
      <c r="AU567" s="2">
        <v>2007</v>
      </c>
      <c r="AV567" s="2">
        <v>119</v>
      </c>
      <c r="AW567" s="2">
        <v>1</v>
      </c>
      <c r="AX567" s="2" t="s">
        <v>74</v>
      </c>
      <c r="AY567" s="2" t="s">
        <v>74</v>
      </c>
      <c r="AZ567" s="2" t="s">
        <v>74</v>
      </c>
      <c r="BA567" s="2" t="s">
        <v>74</v>
      </c>
      <c r="BB567" s="2">
        <v>89</v>
      </c>
      <c r="BC567" s="2">
        <v>94</v>
      </c>
      <c r="BD567" s="2" t="s">
        <v>74</v>
      </c>
      <c r="BE567" s="2" t="s">
        <v>6148</v>
      </c>
      <c r="BF567" s="2" t="str">
        <f>HYPERLINK("http://dx.doi.org/10.1676/05-158.1","http://dx.doi.org/10.1676/05-158.1")</f>
        <v>http://dx.doi.org/10.1676/05-158.1</v>
      </c>
      <c r="BG567" s="2" t="s">
        <v>74</v>
      </c>
      <c r="BH567" s="2" t="s">
        <v>74</v>
      </c>
      <c r="BI567" s="2" t="s">
        <v>74</v>
      </c>
      <c r="BJ567" s="2" t="s">
        <v>74</v>
      </c>
      <c r="BK567" s="2" t="s">
        <v>74</v>
      </c>
      <c r="BL567" s="2" t="s">
        <v>74</v>
      </c>
      <c r="BM567" s="2" t="s">
        <v>74</v>
      </c>
      <c r="BN567" s="2" t="s">
        <v>74</v>
      </c>
      <c r="BO567" s="2" t="s">
        <v>74</v>
      </c>
      <c r="BP567" s="2" t="s">
        <v>74</v>
      </c>
      <c r="BQ567" s="2" t="s">
        <v>74</v>
      </c>
      <c r="BR567" s="2" t="s">
        <v>74</v>
      </c>
      <c r="BS567" s="2" t="s">
        <v>6149</v>
      </c>
      <c r="BT567" s="2" t="str">
        <f>HYPERLINK("https%3A%2F%2Fwww.webofscience.com%2Fwos%2Fwoscc%2Ffull-record%2FWOS:000245113700010","View Full Record in Web of Science")</f>
        <v>View Full Record in Web of Science</v>
      </c>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row>
    <row r="568" spans="1:314" s="2" customFormat="1" x14ac:dyDescent="0.4">
      <c r="A568" s="2" t="s">
        <v>72</v>
      </c>
      <c r="B568" s="2" t="s">
        <v>4825</v>
      </c>
      <c r="C568" s="2" t="s">
        <v>74</v>
      </c>
      <c r="D568" s="2" t="s">
        <v>74</v>
      </c>
      <c r="E568" s="2" t="s">
        <v>74</v>
      </c>
      <c r="F568" s="2" t="s">
        <v>4825</v>
      </c>
      <c r="G568" s="2" t="s">
        <v>74</v>
      </c>
      <c r="H568" s="2" t="s">
        <v>74</v>
      </c>
      <c r="I568" s="2" t="s">
        <v>4826</v>
      </c>
      <c r="J568" s="2" t="s">
        <v>1126</v>
      </c>
      <c r="K568" s="2" t="s">
        <v>74</v>
      </c>
      <c r="L568" s="2" t="s">
        <v>74</v>
      </c>
      <c r="M568" s="2" t="s">
        <v>74</v>
      </c>
      <c r="N568" s="2" t="s">
        <v>74</v>
      </c>
      <c r="O568" s="2" t="s">
        <v>74</v>
      </c>
      <c r="P568" s="2" t="s">
        <v>74</v>
      </c>
      <c r="Q568" s="2" t="s">
        <v>74</v>
      </c>
      <c r="R568" s="2" t="s">
        <v>74</v>
      </c>
      <c r="S568" s="2" t="s">
        <v>74</v>
      </c>
      <c r="T568" s="2" t="s">
        <v>74</v>
      </c>
      <c r="U568" s="2" t="s">
        <v>74</v>
      </c>
      <c r="V568" s="5" t="s">
        <v>4827</v>
      </c>
      <c r="W568" s="2" t="s">
        <v>74</v>
      </c>
      <c r="X568" s="2" t="s">
        <v>74</v>
      </c>
      <c r="Y568" s="2" t="s">
        <v>74</v>
      </c>
      <c r="Z568" s="2" t="s">
        <v>74</v>
      </c>
      <c r="AA568" s="2" t="s">
        <v>4828</v>
      </c>
      <c r="AB568" s="2" t="s">
        <v>4829</v>
      </c>
      <c r="AC568" s="2" t="s">
        <v>74</v>
      </c>
      <c r="AD568" s="2" t="s">
        <v>74</v>
      </c>
      <c r="AE568" s="2" t="s">
        <v>74</v>
      </c>
      <c r="AF568" s="2" t="s">
        <v>74</v>
      </c>
      <c r="AG568" s="2" t="s">
        <v>74</v>
      </c>
      <c r="AH568" s="2" t="s">
        <v>74</v>
      </c>
      <c r="AI568" s="2" t="s">
        <v>74</v>
      </c>
      <c r="AJ568" s="2" t="s">
        <v>74</v>
      </c>
      <c r="AK568" s="2" t="s">
        <v>74</v>
      </c>
      <c r="AL568" s="2" t="s">
        <v>74</v>
      </c>
      <c r="AM568" s="2" t="s">
        <v>74</v>
      </c>
      <c r="AN568" s="2" t="s">
        <v>74</v>
      </c>
      <c r="AO568" s="2" t="s">
        <v>1128</v>
      </c>
      <c r="AP568" s="2" t="s">
        <v>1129</v>
      </c>
      <c r="AQ568" s="2" t="s">
        <v>74</v>
      </c>
      <c r="AR568" s="2" t="s">
        <v>74</v>
      </c>
      <c r="AS568" s="2" t="s">
        <v>74</v>
      </c>
      <c r="AT568" s="2" t="s">
        <v>4830</v>
      </c>
      <c r="AU568" s="2">
        <v>2003</v>
      </c>
      <c r="AV568" s="2" t="s">
        <v>74</v>
      </c>
      <c r="AW568" s="2">
        <v>1</v>
      </c>
      <c r="AX568" s="2" t="s">
        <v>74</v>
      </c>
      <c r="AY568" s="2" t="s">
        <v>74</v>
      </c>
      <c r="AZ568" s="2" t="s">
        <v>74</v>
      </c>
      <c r="BA568" s="2" t="s">
        <v>74</v>
      </c>
      <c r="BB568" s="2">
        <v>181</v>
      </c>
      <c r="BC568" s="2">
        <v>186</v>
      </c>
      <c r="BD568" s="2" t="s">
        <v>74</v>
      </c>
      <c r="BE568" s="2" t="s">
        <v>4831</v>
      </c>
      <c r="BF568" s="2" t="str">
        <f>HYPERLINK("http://dx.doi.org/10.1643/0045-8511(2003)003[0181:EOFMCC]2.0.CO;2","http://dx.doi.org/10.1643/0045-8511(2003)003[0181:EOFMCC]2.0.CO;2")</f>
        <v>http://dx.doi.org/10.1643/0045-8511(2003)003[0181:EOFMCC]2.0.CO;2</v>
      </c>
      <c r="BG568" s="2" t="s">
        <v>74</v>
      </c>
      <c r="BH568" s="2" t="s">
        <v>74</v>
      </c>
      <c r="BI568" s="2" t="s">
        <v>74</v>
      </c>
      <c r="BJ568" s="2" t="s">
        <v>74</v>
      </c>
      <c r="BK568" s="2" t="s">
        <v>74</v>
      </c>
      <c r="BL568" s="2" t="s">
        <v>74</v>
      </c>
      <c r="BM568" s="2" t="s">
        <v>74</v>
      </c>
      <c r="BN568" s="2" t="s">
        <v>74</v>
      </c>
      <c r="BO568" s="2" t="s">
        <v>74</v>
      </c>
      <c r="BP568" s="2" t="s">
        <v>74</v>
      </c>
      <c r="BQ568" s="2" t="s">
        <v>74</v>
      </c>
      <c r="BR568" s="2" t="s">
        <v>74</v>
      </c>
      <c r="BS568" s="2" t="s">
        <v>4832</v>
      </c>
      <c r="BT568" s="2" t="str">
        <f>HYPERLINK("https%3A%2F%2Fwww.webofscience.com%2Fwos%2Fwoscc%2Ffull-record%2FWOS:000181477800020","View Full Record in Web of Science")</f>
        <v>View Full Record in Web of Science</v>
      </c>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row>
    <row r="569" spans="1:314" s="2" customFormat="1" x14ac:dyDescent="0.4">
      <c r="A569" s="2" t="s">
        <v>72</v>
      </c>
      <c r="B569" s="2" t="s">
        <v>8598</v>
      </c>
      <c r="C569" s="2" t="s">
        <v>74</v>
      </c>
      <c r="D569" s="2" t="s">
        <v>74</v>
      </c>
      <c r="E569" s="2" t="s">
        <v>74</v>
      </c>
      <c r="F569" s="2" t="s">
        <v>8599</v>
      </c>
      <c r="G569" s="2" t="s">
        <v>74</v>
      </c>
      <c r="H569" s="2" t="s">
        <v>74</v>
      </c>
      <c r="I569" s="2" t="s">
        <v>8600</v>
      </c>
      <c r="J569" s="2" t="s">
        <v>3100</v>
      </c>
      <c r="K569" s="2" t="s">
        <v>74</v>
      </c>
      <c r="L569" s="2" t="s">
        <v>74</v>
      </c>
      <c r="M569" s="2" t="s">
        <v>74</v>
      </c>
      <c r="N569" s="2" t="s">
        <v>74</v>
      </c>
      <c r="O569" s="2" t="s">
        <v>74</v>
      </c>
      <c r="P569" s="2" t="s">
        <v>74</v>
      </c>
      <c r="Q569" s="2" t="s">
        <v>74</v>
      </c>
      <c r="R569" s="2" t="s">
        <v>74</v>
      </c>
      <c r="S569" s="2" t="s">
        <v>74</v>
      </c>
      <c r="T569" s="2" t="s">
        <v>74</v>
      </c>
      <c r="U569" s="2" t="s">
        <v>74</v>
      </c>
      <c r="V569" s="5" t="s">
        <v>8601</v>
      </c>
      <c r="W569" s="2" t="s">
        <v>74</v>
      </c>
      <c r="X569" s="2" t="s">
        <v>74</v>
      </c>
      <c r="Y569" s="2" t="s">
        <v>74</v>
      </c>
      <c r="Z569" s="2" t="s">
        <v>74</v>
      </c>
      <c r="AA569" s="2" t="s">
        <v>8602</v>
      </c>
      <c r="AB569" s="2" t="s">
        <v>8603</v>
      </c>
      <c r="AC569" s="2" t="s">
        <v>74</v>
      </c>
      <c r="AD569" s="2" t="s">
        <v>74</v>
      </c>
      <c r="AE569" s="2" t="s">
        <v>74</v>
      </c>
      <c r="AF569" s="2" t="s">
        <v>74</v>
      </c>
      <c r="AG569" s="2" t="s">
        <v>74</v>
      </c>
      <c r="AH569" s="2" t="s">
        <v>74</v>
      </c>
      <c r="AI569" s="2" t="s">
        <v>74</v>
      </c>
      <c r="AJ569" s="2" t="s">
        <v>74</v>
      </c>
      <c r="AK569" s="2" t="s">
        <v>74</v>
      </c>
      <c r="AL569" s="2" t="s">
        <v>74</v>
      </c>
      <c r="AM569" s="2" t="s">
        <v>74</v>
      </c>
      <c r="AN569" s="2" t="s">
        <v>74</v>
      </c>
      <c r="AO569" s="2" t="s">
        <v>74</v>
      </c>
      <c r="AP569" s="2" t="s">
        <v>3104</v>
      </c>
      <c r="AQ569" s="2" t="s">
        <v>74</v>
      </c>
      <c r="AR569" s="2" t="s">
        <v>74</v>
      </c>
      <c r="AS569" s="2" t="s">
        <v>74</v>
      </c>
      <c r="AT569" s="2" t="s">
        <v>1247</v>
      </c>
      <c r="AU569" s="2">
        <v>2023</v>
      </c>
      <c r="AV569" s="2">
        <v>10</v>
      </c>
      <c r="AW569" s="2" t="s">
        <v>74</v>
      </c>
      <c r="AX569" s="2" t="s">
        <v>74</v>
      </c>
      <c r="AY569" s="2" t="s">
        <v>74</v>
      </c>
      <c r="AZ569" s="2" t="s">
        <v>74</v>
      </c>
      <c r="BA569" s="2" t="s">
        <v>74</v>
      </c>
      <c r="BB569" s="2" t="s">
        <v>74</v>
      </c>
      <c r="BC569" s="2" t="s">
        <v>74</v>
      </c>
      <c r="BD569" s="2">
        <v>1166632</v>
      </c>
      <c r="BE569" s="2" t="s">
        <v>8604</v>
      </c>
      <c r="BF569" s="2" t="str">
        <f>HYPERLINK("http://dx.doi.org/10.3389/fvets.2023.1166632","http://dx.doi.org/10.3389/fvets.2023.1166632")</f>
        <v>http://dx.doi.org/10.3389/fvets.2023.1166632</v>
      </c>
      <c r="BG569" s="2" t="s">
        <v>74</v>
      </c>
      <c r="BH569" s="2" t="s">
        <v>74</v>
      </c>
      <c r="BI569" s="2" t="s">
        <v>74</v>
      </c>
      <c r="BJ569" s="2" t="s">
        <v>74</v>
      </c>
      <c r="BK569" s="2" t="s">
        <v>74</v>
      </c>
      <c r="BL569" s="2" t="s">
        <v>74</v>
      </c>
      <c r="BM569" s="2" t="s">
        <v>74</v>
      </c>
      <c r="BN569" s="2">
        <v>37323835</v>
      </c>
      <c r="BO569" s="2" t="s">
        <v>74</v>
      </c>
      <c r="BP569" s="2" t="s">
        <v>74</v>
      </c>
      <c r="BQ569" s="2" t="s">
        <v>74</v>
      </c>
      <c r="BR569" s="2" t="s">
        <v>74</v>
      </c>
      <c r="BS569" s="2" t="s">
        <v>8605</v>
      </c>
      <c r="BT569" s="2" t="str">
        <f>HYPERLINK("https%3A%2F%2Fwww.webofscience.com%2Fwos%2Fwoscc%2Ffull-record%2FWOS:001007647700001","View Full Record in Web of Science")</f>
        <v>View Full Record in Web of Science</v>
      </c>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row>
    <row r="570" spans="1:314" s="2" customFormat="1" x14ac:dyDescent="0.4">
      <c r="A570" s="2" t="s">
        <v>72</v>
      </c>
      <c r="B570" s="2" t="s">
        <v>5646</v>
      </c>
      <c r="C570" s="2" t="s">
        <v>74</v>
      </c>
      <c r="D570" s="2" t="s">
        <v>74</v>
      </c>
      <c r="E570" s="2" t="s">
        <v>74</v>
      </c>
      <c r="F570" s="2" t="s">
        <v>5646</v>
      </c>
      <c r="G570" s="2" t="s">
        <v>74</v>
      </c>
      <c r="H570" s="2" t="s">
        <v>74</v>
      </c>
      <c r="I570" s="2" t="s">
        <v>5647</v>
      </c>
      <c r="J570" s="2" t="s">
        <v>731</v>
      </c>
      <c r="K570" s="2" t="s">
        <v>74</v>
      </c>
      <c r="L570" s="2" t="s">
        <v>74</v>
      </c>
      <c r="M570" s="2" t="s">
        <v>74</v>
      </c>
      <c r="N570" s="2" t="s">
        <v>74</v>
      </c>
      <c r="O570" s="2" t="s">
        <v>74</v>
      </c>
      <c r="P570" s="2" t="s">
        <v>74</v>
      </c>
      <c r="Q570" s="2" t="s">
        <v>74</v>
      </c>
      <c r="R570" s="2" t="s">
        <v>74</v>
      </c>
      <c r="S570" s="2" t="s">
        <v>74</v>
      </c>
      <c r="T570" s="2" t="s">
        <v>74</v>
      </c>
      <c r="U570" s="2" t="s">
        <v>74</v>
      </c>
      <c r="V570" s="5" t="s">
        <v>5648</v>
      </c>
      <c r="W570" s="2" t="s">
        <v>74</v>
      </c>
      <c r="X570" s="2" t="s">
        <v>74</v>
      </c>
      <c r="Y570" s="2" t="s">
        <v>74</v>
      </c>
      <c r="Z570" s="2" t="s">
        <v>74</v>
      </c>
      <c r="AA570" s="2" t="s">
        <v>74</v>
      </c>
      <c r="AB570" s="2" t="s">
        <v>5649</v>
      </c>
      <c r="AC570" s="2" t="s">
        <v>74</v>
      </c>
      <c r="AD570" s="2" t="s">
        <v>74</v>
      </c>
      <c r="AE570" s="2" t="s">
        <v>74</v>
      </c>
      <c r="AF570" s="2" t="s">
        <v>74</v>
      </c>
      <c r="AG570" s="2" t="s">
        <v>74</v>
      </c>
      <c r="AH570" s="2" t="s">
        <v>74</v>
      </c>
      <c r="AI570" s="2" t="s">
        <v>74</v>
      </c>
      <c r="AJ570" s="2" t="s">
        <v>74</v>
      </c>
      <c r="AK570" s="2" t="s">
        <v>74</v>
      </c>
      <c r="AL570" s="2" t="s">
        <v>74</v>
      </c>
      <c r="AM570" s="2" t="s">
        <v>74</v>
      </c>
      <c r="AN570" s="2" t="s">
        <v>74</v>
      </c>
      <c r="AO570" s="2" t="s">
        <v>733</v>
      </c>
      <c r="AP570" s="2" t="s">
        <v>734</v>
      </c>
      <c r="AQ570" s="2" t="s">
        <v>74</v>
      </c>
      <c r="AR570" s="2" t="s">
        <v>74</v>
      </c>
      <c r="AS570" s="2" t="s">
        <v>74</v>
      </c>
      <c r="AT570" s="2" t="s">
        <v>2022</v>
      </c>
      <c r="AU570" s="2">
        <v>2005</v>
      </c>
      <c r="AV570" s="2">
        <v>159</v>
      </c>
      <c r="AW570" s="2">
        <v>1</v>
      </c>
      <c r="AX570" s="2" t="s">
        <v>74</v>
      </c>
      <c r="AY570" s="2" t="s">
        <v>74</v>
      </c>
      <c r="AZ570" s="2" t="s">
        <v>74</v>
      </c>
      <c r="BA570" s="2" t="s">
        <v>74</v>
      </c>
      <c r="BB570" s="2">
        <v>37</v>
      </c>
      <c r="BC570" s="2">
        <v>41</v>
      </c>
      <c r="BD570" s="2" t="s">
        <v>74</v>
      </c>
      <c r="BE570" s="2" t="s">
        <v>5650</v>
      </c>
      <c r="BF570" s="2" t="str">
        <f>HYPERLINK("http://dx.doi.org/10.1016/j.bbr.2004.09.024","http://dx.doi.org/10.1016/j.bbr.2004.09.024")</f>
        <v>http://dx.doi.org/10.1016/j.bbr.2004.09.024</v>
      </c>
      <c r="BG570" s="2" t="s">
        <v>74</v>
      </c>
      <c r="BH570" s="2" t="s">
        <v>74</v>
      </c>
      <c r="BI570" s="2" t="s">
        <v>74</v>
      </c>
      <c r="BJ570" s="2" t="s">
        <v>74</v>
      </c>
      <c r="BK570" s="2" t="s">
        <v>74</v>
      </c>
      <c r="BL570" s="2" t="s">
        <v>74</v>
      </c>
      <c r="BM570" s="2" t="s">
        <v>74</v>
      </c>
      <c r="BN570" s="2">
        <v>15794995</v>
      </c>
      <c r="BO570" s="2" t="s">
        <v>74</v>
      </c>
      <c r="BP570" s="2" t="s">
        <v>74</v>
      </c>
      <c r="BQ570" s="2" t="s">
        <v>74</v>
      </c>
      <c r="BR570" s="2" t="s">
        <v>74</v>
      </c>
      <c r="BS570" s="2" t="s">
        <v>5651</v>
      </c>
      <c r="BT570" s="2" t="str">
        <f>HYPERLINK("https%3A%2F%2Fwww.webofscience.com%2Fwos%2Fwoscc%2Ffull-record%2FWOS:000228509700005","View Full Record in Web of Science")</f>
        <v>View Full Record in Web of Science</v>
      </c>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row>
    <row r="571" spans="1:314" s="2" customFormat="1" x14ac:dyDescent="0.4">
      <c r="A571" s="2" t="s">
        <v>72</v>
      </c>
      <c r="B571" s="2" t="s">
        <v>5141</v>
      </c>
      <c r="C571" s="2" t="s">
        <v>74</v>
      </c>
      <c r="D571" s="2" t="s">
        <v>74</v>
      </c>
      <c r="E571" s="2" t="s">
        <v>74</v>
      </c>
      <c r="F571" s="2" t="s">
        <v>5142</v>
      </c>
      <c r="G571" s="2" t="s">
        <v>74</v>
      </c>
      <c r="H571" s="2" t="s">
        <v>74</v>
      </c>
      <c r="I571" s="2" t="s">
        <v>5143</v>
      </c>
      <c r="J571" s="2" t="s">
        <v>5144</v>
      </c>
      <c r="K571" s="2" t="s">
        <v>74</v>
      </c>
      <c r="L571" s="2" t="s">
        <v>74</v>
      </c>
      <c r="M571" s="2" t="s">
        <v>74</v>
      </c>
      <c r="N571" s="2" t="s">
        <v>74</v>
      </c>
      <c r="O571" s="2" t="s">
        <v>74</v>
      </c>
      <c r="P571" s="2" t="s">
        <v>74</v>
      </c>
      <c r="Q571" s="2" t="s">
        <v>74</v>
      </c>
      <c r="R571" s="2" t="s">
        <v>74</v>
      </c>
      <c r="S571" s="2" t="s">
        <v>74</v>
      </c>
      <c r="T571" s="2" t="s">
        <v>74</v>
      </c>
      <c r="U571" s="2" t="s">
        <v>74</v>
      </c>
      <c r="V571" s="5" t="s">
        <v>5145</v>
      </c>
      <c r="W571" s="2" t="s">
        <v>74</v>
      </c>
      <c r="X571" s="2" t="s">
        <v>74</v>
      </c>
      <c r="Y571" s="2" t="s">
        <v>74</v>
      </c>
      <c r="Z571" s="2" t="s">
        <v>74</v>
      </c>
      <c r="AA571" s="2" t="s">
        <v>74</v>
      </c>
      <c r="AB571" s="2" t="s">
        <v>5146</v>
      </c>
      <c r="AC571" s="2" t="s">
        <v>74</v>
      </c>
      <c r="AD571" s="2" t="s">
        <v>74</v>
      </c>
      <c r="AE571" s="2" t="s">
        <v>74</v>
      </c>
      <c r="AF571" s="2" t="s">
        <v>74</v>
      </c>
      <c r="AG571" s="2" t="s">
        <v>74</v>
      </c>
      <c r="AH571" s="2" t="s">
        <v>74</v>
      </c>
      <c r="AI571" s="2" t="s">
        <v>74</v>
      </c>
      <c r="AJ571" s="2" t="s">
        <v>74</v>
      </c>
      <c r="AK571" s="2" t="s">
        <v>74</v>
      </c>
      <c r="AL571" s="2" t="s">
        <v>74</v>
      </c>
      <c r="AM571" s="2" t="s">
        <v>74</v>
      </c>
      <c r="AN571" s="2" t="s">
        <v>74</v>
      </c>
      <c r="AO571" s="2" t="s">
        <v>74</v>
      </c>
      <c r="AP571" s="2" t="s">
        <v>5147</v>
      </c>
      <c r="AQ571" s="2" t="s">
        <v>74</v>
      </c>
      <c r="AR571" s="2" t="s">
        <v>74</v>
      </c>
      <c r="AS571" s="2" t="s">
        <v>74</v>
      </c>
      <c r="AT571" s="2" t="s">
        <v>74</v>
      </c>
      <c r="AU571" s="2">
        <v>2020</v>
      </c>
      <c r="AV571" s="2">
        <v>2</v>
      </c>
      <c r="AW571" s="2">
        <v>1</v>
      </c>
      <c r="AX571" s="2" t="s">
        <v>74</v>
      </c>
      <c r="AY571" s="2" t="s">
        <v>74</v>
      </c>
      <c r="AZ571" s="2" t="s">
        <v>74</v>
      </c>
      <c r="BA571" s="2" t="s">
        <v>74</v>
      </c>
      <c r="BB571" s="2" t="s">
        <v>74</v>
      </c>
      <c r="BC571" s="2" t="s">
        <v>74</v>
      </c>
      <c r="BD571" s="2" t="s">
        <v>5148</v>
      </c>
      <c r="BE571" s="2" t="s">
        <v>5149</v>
      </c>
      <c r="BF571" s="2" t="str">
        <f>HYPERLINK("http://dx.doi.org/10.1093/iob/obaa027","http://dx.doi.org/10.1093/iob/obaa027")</f>
        <v>http://dx.doi.org/10.1093/iob/obaa027</v>
      </c>
      <c r="BG571" s="2" t="s">
        <v>74</v>
      </c>
      <c r="BH571" s="2" t="s">
        <v>74</v>
      </c>
      <c r="BI571" s="2" t="s">
        <v>74</v>
      </c>
      <c r="BJ571" s="2" t="s">
        <v>74</v>
      </c>
      <c r="BK571" s="2" t="s">
        <v>74</v>
      </c>
      <c r="BL571" s="2" t="s">
        <v>74</v>
      </c>
      <c r="BM571" s="2" t="s">
        <v>74</v>
      </c>
      <c r="BN571" s="2">
        <v>33791567</v>
      </c>
      <c r="BO571" s="2" t="s">
        <v>74</v>
      </c>
      <c r="BP571" s="2" t="s">
        <v>74</v>
      </c>
      <c r="BQ571" s="2" t="s">
        <v>74</v>
      </c>
      <c r="BR571" s="2" t="s">
        <v>74</v>
      </c>
      <c r="BS571" s="2" t="s">
        <v>5150</v>
      </c>
      <c r="BT571" s="2" t="str">
        <f>HYPERLINK("https%3A%2F%2Fwww.webofscience.com%2Fwos%2Fwoscc%2Ffull-record%2FWOS:000613108900027","View Full Record in Web of Science")</f>
        <v>View Full Record in Web of Science</v>
      </c>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row>
    <row r="572" spans="1:314" s="2" customFormat="1" x14ac:dyDescent="0.4">
      <c r="A572" s="2" t="s">
        <v>72</v>
      </c>
      <c r="B572" s="2" t="s">
        <v>5389</v>
      </c>
      <c r="C572" s="2" t="s">
        <v>74</v>
      </c>
      <c r="D572" s="2" t="s">
        <v>74</v>
      </c>
      <c r="E572" s="2" t="s">
        <v>74</v>
      </c>
      <c r="F572" s="2" t="s">
        <v>5390</v>
      </c>
      <c r="G572" s="2" t="s">
        <v>74</v>
      </c>
      <c r="H572" s="2" t="s">
        <v>74</v>
      </c>
      <c r="I572" s="2" t="s">
        <v>5391</v>
      </c>
      <c r="J572" s="2" t="s">
        <v>140</v>
      </c>
      <c r="K572" s="2" t="s">
        <v>74</v>
      </c>
      <c r="L572" s="2" t="s">
        <v>74</v>
      </c>
      <c r="M572" s="2" t="s">
        <v>74</v>
      </c>
      <c r="N572" s="2" t="s">
        <v>74</v>
      </c>
      <c r="O572" s="2" t="s">
        <v>74</v>
      </c>
      <c r="P572" s="2" t="s">
        <v>74</v>
      </c>
      <c r="Q572" s="2" t="s">
        <v>74</v>
      </c>
      <c r="R572" s="2" t="s">
        <v>74</v>
      </c>
      <c r="S572" s="2" t="s">
        <v>74</v>
      </c>
      <c r="T572" s="2" t="s">
        <v>74</v>
      </c>
      <c r="U572" s="2" t="s">
        <v>74</v>
      </c>
      <c r="V572" s="5" t="s">
        <v>5392</v>
      </c>
      <c r="W572" s="2" t="s">
        <v>74</v>
      </c>
      <c r="X572" s="2" t="s">
        <v>74</v>
      </c>
      <c r="Y572" s="2" t="s">
        <v>74</v>
      </c>
      <c r="Z572" s="2" t="s">
        <v>74</v>
      </c>
      <c r="AA572" s="2" t="s">
        <v>74</v>
      </c>
      <c r="AB572" s="2" t="s">
        <v>5146</v>
      </c>
      <c r="AC572" s="2" t="s">
        <v>74</v>
      </c>
      <c r="AD572" s="2" t="s">
        <v>74</v>
      </c>
      <c r="AE572" s="2" t="s">
        <v>74</v>
      </c>
      <c r="AF572" s="2" t="s">
        <v>74</v>
      </c>
      <c r="AG572" s="2" t="s">
        <v>74</v>
      </c>
      <c r="AH572" s="2" t="s">
        <v>74</v>
      </c>
      <c r="AI572" s="2" t="s">
        <v>74</v>
      </c>
      <c r="AJ572" s="2" t="s">
        <v>74</v>
      </c>
      <c r="AK572" s="2" t="s">
        <v>74</v>
      </c>
      <c r="AL572" s="2" t="s">
        <v>74</v>
      </c>
      <c r="AM572" s="2" t="s">
        <v>74</v>
      </c>
      <c r="AN572" s="2" t="s">
        <v>74</v>
      </c>
      <c r="AO572" s="2" t="s">
        <v>143</v>
      </c>
      <c r="AP572" s="2" t="s">
        <v>144</v>
      </c>
      <c r="AQ572" s="2" t="s">
        <v>74</v>
      </c>
      <c r="AR572" s="2" t="s">
        <v>74</v>
      </c>
      <c r="AS572" s="2" t="s">
        <v>74</v>
      </c>
      <c r="AT572" s="2" t="s">
        <v>255</v>
      </c>
      <c r="AU572" s="2">
        <v>2019</v>
      </c>
      <c r="AV572" s="2">
        <v>147</v>
      </c>
      <c r="AW572" s="2" t="s">
        <v>74</v>
      </c>
      <c r="AX572" s="2" t="s">
        <v>74</v>
      </c>
      <c r="AY572" s="2" t="s">
        <v>74</v>
      </c>
      <c r="AZ572" s="2" t="s">
        <v>74</v>
      </c>
      <c r="BA572" s="2" t="s">
        <v>74</v>
      </c>
      <c r="BB572" s="2">
        <v>115</v>
      </c>
      <c r="BC572" s="2">
        <v>123</v>
      </c>
      <c r="BD572" s="2" t="s">
        <v>74</v>
      </c>
      <c r="BE572" s="2" t="s">
        <v>5393</v>
      </c>
      <c r="BF572" s="2" t="str">
        <f>HYPERLINK("http://dx.doi.org/10.1016/j.anbehav.2018.11.011","http://dx.doi.org/10.1016/j.anbehav.2018.11.011")</f>
        <v>http://dx.doi.org/10.1016/j.anbehav.2018.11.011</v>
      </c>
      <c r="BG572" s="2" t="s">
        <v>74</v>
      </c>
      <c r="BH572" s="2" t="s">
        <v>74</v>
      </c>
      <c r="BI572" s="2" t="s">
        <v>74</v>
      </c>
      <c r="BJ572" s="2" t="s">
        <v>74</v>
      </c>
      <c r="BK572" s="2" t="s">
        <v>74</v>
      </c>
      <c r="BL572" s="2" t="s">
        <v>74</v>
      </c>
      <c r="BM572" s="2" t="s">
        <v>74</v>
      </c>
      <c r="BN572" s="2" t="s">
        <v>74</v>
      </c>
      <c r="BO572" s="2" t="s">
        <v>74</v>
      </c>
      <c r="BP572" s="2" t="s">
        <v>74</v>
      </c>
      <c r="BQ572" s="2" t="s">
        <v>74</v>
      </c>
      <c r="BR572" s="2" t="s">
        <v>74</v>
      </c>
      <c r="BS572" s="2" t="s">
        <v>5394</v>
      </c>
      <c r="BT572" s="2" t="str">
        <f>HYPERLINK("https%3A%2F%2Fwww.webofscience.com%2Fwos%2Fwoscc%2Ffull-record%2FWOS:000455323900014","View Full Record in Web of Science")</f>
        <v>View Full Record in Web of Science</v>
      </c>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row>
    <row r="573" spans="1:314" s="2" customFormat="1" x14ac:dyDescent="0.4">
      <c r="A573" s="2" t="s">
        <v>72</v>
      </c>
      <c r="B573" s="2" t="s">
        <v>4617</v>
      </c>
      <c r="C573" s="2" t="s">
        <v>74</v>
      </c>
      <c r="D573" s="2" t="s">
        <v>74</v>
      </c>
      <c r="E573" s="2" t="s">
        <v>74</v>
      </c>
      <c r="F573" s="2" t="s">
        <v>4618</v>
      </c>
      <c r="G573" s="2" t="s">
        <v>74</v>
      </c>
      <c r="H573" s="2" t="s">
        <v>74</v>
      </c>
      <c r="I573" s="2" t="s">
        <v>4619</v>
      </c>
      <c r="J573" s="2" t="s">
        <v>4620</v>
      </c>
      <c r="K573" s="2" t="s">
        <v>74</v>
      </c>
      <c r="L573" s="2" t="s">
        <v>74</v>
      </c>
      <c r="M573" s="2" t="s">
        <v>74</v>
      </c>
      <c r="N573" s="2" t="s">
        <v>74</v>
      </c>
      <c r="O573" s="2" t="s">
        <v>74</v>
      </c>
      <c r="P573" s="2" t="s">
        <v>74</v>
      </c>
      <c r="Q573" s="2" t="s">
        <v>74</v>
      </c>
      <c r="R573" s="2" t="s">
        <v>74</v>
      </c>
      <c r="S573" s="2" t="s">
        <v>74</v>
      </c>
      <c r="T573" s="2" t="s">
        <v>74</v>
      </c>
      <c r="U573" s="2" t="s">
        <v>74</v>
      </c>
      <c r="V573" s="5" t="s">
        <v>4621</v>
      </c>
      <c r="W573" s="2" t="s">
        <v>74</v>
      </c>
      <c r="X573" s="2" t="s">
        <v>74</v>
      </c>
      <c r="Y573" s="2" t="s">
        <v>74</v>
      </c>
      <c r="Z573" s="2" t="s">
        <v>74</v>
      </c>
      <c r="AA573" s="2" t="s">
        <v>4622</v>
      </c>
      <c r="AB573" s="2" t="s">
        <v>74</v>
      </c>
      <c r="AC573" s="2" t="s">
        <v>74</v>
      </c>
      <c r="AD573" s="2" t="s">
        <v>74</v>
      </c>
      <c r="AE573" s="2" t="s">
        <v>74</v>
      </c>
      <c r="AF573" s="2" t="s">
        <v>74</v>
      </c>
      <c r="AG573" s="2" t="s">
        <v>74</v>
      </c>
      <c r="AH573" s="2" t="s">
        <v>74</v>
      </c>
      <c r="AI573" s="2" t="s">
        <v>74</v>
      </c>
      <c r="AJ573" s="2" t="s">
        <v>74</v>
      </c>
      <c r="AK573" s="2" t="s">
        <v>74</v>
      </c>
      <c r="AL573" s="2" t="s">
        <v>74</v>
      </c>
      <c r="AM573" s="2" t="s">
        <v>74</v>
      </c>
      <c r="AN573" s="2" t="s">
        <v>74</v>
      </c>
      <c r="AO573" s="2" t="s">
        <v>4623</v>
      </c>
      <c r="AP573" s="2" t="s">
        <v>74</v>
      </c>
      <c r="AQ573" s="2" t="s">
        <v>74</v>
      </c>
      <c r="AR573" s="2" t="s">
        <v>74</v>
      </c>
      <c r="AS573" s="2" t="s">
        <v>74</v>
      </c>
      <c r="AT573" s="2" t="s">
        <v>74</v>
      </c>
      <c r="AU573" s="2">
        <v>2009</v>
      </c>
      <c r="AV573" s="2">
        <v>48</v>
      </c>
      <c r="AW573" s="2">
        <v>3</v>
      </c>
      <c r="AX573" s="2" t="s">
        <v>74</v>
      </c>
      <c r="AY573" s="2" t="s">
        <v>74</v>
      </c>
      <c r="AZ573" s="2" t="s">
        <v>74</v>
      </c>
      <c r="BA573" s="2" t="s">
        <v>74</v>
      </c>
      <c r="BB573" s="2">
        <v>209</v>
      </c>
      <c r="BC573" s="2">
        <v>214</v>
      </c>
      <c r="BD573" s="2" t="s">
        <v>74</v>
      </c>
      <c r="BE573" s="2" t="s">
        <v>4624</v>
      </c>
      <c r="BF573" s="2" t="str">
        <f>HYPERLINK("http://dx.doi.org/10.3896/IBRA.1.48.3.10","http://dx.doi.org/10.3896/IBRA.1.48.3.10")</f>
        <v>http://dx.doi.org/10.3896/IBRA.1.48.3.10</v>
      </c>
      <c r="BG573" s="2" t="s">
        <v>74</v>
      </c>
      <c r="BH573" s="2" t="s">
        <v>74</v>
      </c>
      <c r="BI573" s="2" t="s">
        <v>74</v>
      </c>
      <c r="BJ573" s="2" t="s">
        <v>74</v>
      </c>
      <c r="BK573" s="2" t="s">
        <v>74</v>
      </c>
      <c r="BL573" s="2" t="s">
        <v>74</v>
      </c>
      <c r="BM573" s="2" t="s">
        <v>74</v>
      </c>
      <c r="BN573" s="2" t="s">
        <v>74</v>
      </c>
      <c r="BO573" s="2" t="s">
        <v>74</v>
      </c>
      <c r="BP573" s="2" t="s">
        <v>74</v>
      </c>
      <c r="BQ573" s="2" t="s">
        <v>74</v>
      </c>
      <c r="BR573" s="2" t="s">
        <v>74</v>
      </c>
      <c r="BS573" s="2" t="s">
        <v>4625</v>
      </c>
      <c r="BT573" s="2" t="str">
        <f>HYPERLINK("https%3A%2F%2Fwww.webofscience.com%2Fwos%2Fwoscc%2Ffull-record%2FWOS:000267851900010","View Full Record in Web of Science")</f>
        <v>View Full Record in Web of Science</v>
      </c>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row>
    <row r="574" spans="1:314" s="2" customFormat="1" x14ac:dyDescent="0.4">
      <c r="A574" s="2" t="s">
        <v>72</v>
      </c>
      <c r="B574" s="2" t="s">
        <v>1419</v>
      </c>
      <c r="C574" s="2" t="s">
        <v>74</v>
      </c>
      <c r="D574" s="2" t="s">
        <v>74</v>
      </c>
      <c r="E574" s="2" t="s">
        <v>74</v>
      </c>
      <c r="F574" s="2" t="s">
        <v>1420</v>
      </c>
      <c r="G574" s="2" t="s">
        <v>74</v>
      </c>
      <c r="H574" s="2" t="s">
        <v>74</v>
      </c>
      <c r="I574" s="2" t="s">
        <v>1421</v>
      </c>
      <c r="J574" s="2" t="s">
        <v>119</v>
      </c>
      <c r="K574" s="2" t="s">
        <v>74</v>
      </c>
      <c r="L574" s="2" t="s">
        <v>74</v>
      </c>
      <c r="M574" s="2" t="s">
        <v>74</v>
      </c>
      <c r="N574" s="2" t="s">
        <v>74</v>
      </c>
      <c r="O574" s="2" t="s">
        <v>74</v>
      </c>
      <c r="P574" s="2" t="s">
        <v>74</v>
      </c>
      <c r="Q574" s="2" t="s">
        <v>74</v>
      </c>
      <c r="R574" s="2" t="s">
        <v>74</v>
      </c>
      <c r="S574" s="2" t="s">
        <v>74</v>
      </c>
      <c r="T574" s="2" t="s">
        <v>74</v>
      </c>
      <c r="U574" s="2" t="s">
        <v>74</v>
      </c>
      <c r="V574" s="5" t="s">
        <v>1422</v>
      </c>
      <c r="W574" s="2" t="s">
        <v>74</v>
      </c>
      <c r="X574" s="2" t="s">
        <v>74</v>
      </c>
      <c r="Y574" s="2" t="s">
        <v>74</v>
      </c>
      <c r="Z574" s="2" t="s">
        <v>74</v>
      </c>
      <c r="AA574" s="2" t="s">
        <v>1423</v>
      </c>
      <c r="AB574" s="2" t="s">
        <v>1424</v>
      </c>
      <c r="AC574" s="2" t="s">
        <v>74</v>
      </c>
      <c r="AD574" s="2" t="s">
        <v>74</v>
      </c>
      <c r="AE574" s="2" t="s">
        <v>74</v>
      </c>
      <c r="AF574" s="2" t="s">
        <v>74</v>
      </c>
      <c r="AG574" s="2" t="s">
        <v>74</v>
      </c>
      <c r="AH574" s="2" t="s">
        <v>74</v>
      </c>
      <c r="AI574" s="2" t="s">
        <v>74</v>
      </c>
      <c r="AJ574" s="2" t="s">
        <v>74</v>
      </c>
      <c r="AK574" s="2" t="s">
        <v>74</v>
      </c>
      <c r="AL574" s="2" t="s">
        <v>74</v>
      </c>
      <c r="AM574" s="2" t="s">
        <v>74</v>
      </c>
      <c r="AN574" s="2" t="s">
        <v>74</v>
      </c>
      <c r="AO574" s="2" t="s">
        <v>121</v>
      </c>
      <c r="AP574" s="2" t="s">
        <v>122</v>
      </c>
      <c r="AQ574" s="2" t="s">
        <v>74</v>
      </c>
      <c r="AR574" s="2" t="s">
        <v>74</v>
      </c>
      <c r="AS574" s="2" t="s">
        <v>74</v>
      </c>
      <c r="AT574" s="2" t="s">
        <v>134</v>
      </c>
      <c r="AU574" s="2">
        <v>2018</v>
      </c>
      <c r="AV574" s="2">
        <v>150</v>
      </c>
      <c r="AW574" s="2" t="s">
        <v>74</v>
      </c>
      <c r="AX574" s="2" t="s">
        <v>74</v>
      </c>
      <c r="AY574" s="2" t="s">
        <v>74</v>
      </c>
      <c r="AZ574" s="2" t="s">
        <v>74</v>
      </c>
      <c r="BA574" s="2" t="s">
        <v>74</v>
      </c>
      <c r="BB574" s="2">
        <v>25</v>
      </c>
      <c r="BC574" s="2">
        <v>28</v>
      </c>
      <c r="BD574" s="2" t="s">
        <v>74</v>
      </c>
      <c r="BE574" s="2" t="s">
        <v>1425</v>
      </c>
      <c r="BF574" s="2" t="str">
        <f>HYPERLINK("http://dx.doi.org/10.1016/j.beproc.2018.02.006","http://dx.doi.org/10.1016/j.beproc.2018.02.006")</f>
        <v>http://dx.doi.org/10.1016/j.beproc.2018.02.006</v>
      </c>
      <c r="BG574" s="2" t="s">
        <v>74</v>
      </c>
      <c r="BH574" s="2" t="s">
        <v>74</v>
      </c>
      <c r="BI574" s="2" t="s">
        <v>74</v>
      </c>
      <c r="BJ574" s="2" t="s">
        <v>74</v>
      </c>
      <c r="BK574" s="2" t="s">
        <v>74</v>
      </c>
      <c r="BL574" s="2" t="s">
        <v>74</v>
      </c>
      <c r="BM574" s="2" t="s">
        <v>74</v>
      </c>
      <c r="BN574" s="2">
        <v>29447852</v>
      </c>
      <c r="BO574" s="2" t="s">
        <v>74</v>
      </c>
      <c r="BP574" s="2" t="s">
        <v>74</v>
      </c>
      <c r="BQ574" s="2" t="s">
        <v>74</v>
      </c>
      <c r="BR574" s="2" t="s">
        <v>74</v>
      </c>
      <c r="BS574" s="2" t="s">
        <v>1426</v>
      </c>
      <c r="BT574" s="2" t="str">
        <f>HYPERLINK("https%3A%2F%2Fwww.webofscience.com%2Fwos%2Fwoscc%2Ffull-record%2FWOS:000430765900004","View Full Record in Web of Science")</f>
        <v>View Full Record in Web of Science</v>
      </c>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row>
    <row r="575" spans="1:314" s="2" customFormat="1" x14ac:dyDescent="0.4">
      <c r="A575" s="2" t="s">
        <v>72</v>
      </c>
      <c r="B575" s="2" t="s">
        <v>839</v>
      </c>
      <c r="C575" s="2" t="s">
        <v>74</v>
      </c>
      <c r="D575" s="2" t="s">
        <v>74</v>
      </c>
      <c r="E575" s="2" t="s">
        <v>74</v>
      </c>
      <c r="F575" s="2" t="s">
        <v>840</v>
      </c>
      <c r="G575" s="2" t="s">
        <v>74</v>
      </c>
      <c r="H575" s="2" t="s">
        <v>74</v>
      </c>
      <c r="I575" s="2" t="s">
        <v>841</v>
      </c>
      <c r="J575" s="2" t="s">
        <v>842</v>
      </c>
      <c r="K575" s="2" t="s">
        <v>74</v>
      </c>
      <c r="L575" s="2" t="s">
        <v>74</v>
      </c>
      <c r="M575" s="2" t="s">
        <v>74</v>
      </c>
      <c r="N575" s="2" t="s">
        <v>74</v>
      </c>
      <c r="O575" s="2" t="s">
        <v>74</v>
      </c>
      <c r="P575" s="2" t="s">
        <v>74</v>
      </c>
      <c r="Q575" s="2" t="s">
        <v>74</v>
      </c>
      <c r="R575" s="2" t="s">
        <v>74</v>
      </c>
      <c r="S575" s="2" t="s">
        <v>74</v>
      </c>
      <c r="T575" s="2" t="s">
        <v>74</v>
      </c>
      <c r="U575" s="2" t="s">
        <v>74</v>
      </c>
      <c r="V575" s="5" t="s">
        <v>843</v>
      </c>
      <c r="W575" s="2" t="s">
        <v>74</v>
      </c>
      <c r="X575" s="2" t="s">
        <v>74</v>
      </c>
      <c r="Y575" s="2" t="s">
        <v>74</v>
      </c>
      <c r="Z575" s="2" t="s">
        <v>74</v>
      </c>
      <c r="AA575" s="2" t="s">
        <v>844</v>
      </c>
      <c r="AB575" s="2" t="s">
        <v>845</v>
      </c>
      <c r="AC575" s="2" t="s">
        <v>74</v>
      </c>
      <c r="AD575" s="2" t="s">
        <v>74</v>
      </c>
      <c r="AE575" s="2" t="s">
        <v>74</v>
      </c>
      <c r="AF575" s="2" t="s">
        <v>74</v>
      </c>
      <c r="AG575" s="2" t="s">
        <v>74</v>
      </c>
      <c r="AH575" s="2" t="s">
        <v>74</v>
      </c>
      <c r="AI575" s="2" t="s">
        <v>74</v>
      </c>
      <c r="AJ575" s="2" t="s">
        <v>74</v>
      </c>
      <c r="AK575" s="2" t="s">
        <v>74</v>
      </c>
      <c r="AL575" s="2" t="s">
        <v>74</v>
      </c>
      <c r="AM575" s="2" t="s">
        <v>74</v>
      </c>
      <c r="AN575" s="2" t="s">
        <v>74</v>
      </c>
      <c r="AO575" s="2" t="s">
        <v>846</v>
      </c>
      <c r="AP575" s="2" t="s">
        <v>847</v>
      </c>
      <c r="AQ575" s="2" t="s">
        <v>74</v>
      </c>
      <c r="AR575" s="2" t="s">
        <v>74</v>
      </c>
      <c r="AS575" s="2" t="s">
        <v>74</v>
      </c>
      <c r="AT575" s="2" t="s">
        <v>204</v>
      </c>
      <c r="AU575" s="2">
        <v>2013</v>
      </c>
      <c r="AV575" s="2">
        <v>75</v>
      </c>
      <c r="AW575" s="2">
        <v>7</v>
      </c>
      <c r="AX575" s="2" t="s">
        <v>74</v>
      </c>
      <c r="AY575" s="2" t="s">
        <v>74</v>
      </c>
      <c r="AZ575" s="2" t="s">
        <v>848</v>
      </c>
      <c r="BA575" s="2" t="s">
        <v>74</v>
      </c>
      <c r="BB575" s="2">
        <v>740</v>
      </c>
      <c r="BC575" s="2">
        <v>751</v>
      </c>
      <c r="BD575" s="2" t="s">
        <v>74</v>
      </c>
      <c r="BE575" s="2" t="s">
        <v>849</v>
      </c>
      <c r="BF575" s="2" t="str">
        <f>HYPERLINK("http://dx.doi.org/10.1002/ajp.22099","http://dx.doi.org/10.1002/ajp.22099")</f>
        <v>http://dx.doi.org/10.1002/ajp.22099</v>
      </c>
      <c r="BG575" s="2" t="s">
        <v>74</v>
      </c>
      <c r="BH575" s="2" t="s">
        <v>74</v>
      </c>
      <c r="BI575" s="2" t="s">
        <v>74</v>
      </c>
      <c r="BJ575" s="2" t="s">
        <v>74</v>
      </c>
      <c r="BK575" s="2" t="s">
        <v>74</v>
      </c>
      <c r="BL575" s="2" t="s">
        <v>74</v>
      </c>
      <c r="BM575" s="2" t="s">
        <v>74</v>
      </c>
      <c r="BN575" s="2">
        <v>23192604</v>
      </c>
      <c r="BO575" s="2" t="s">
        <v>74</v>
      </c>
      <c r="BP575" s="2" t="s">
        <v>74</v>
      </c>
      <c r="BQ575" s="2" t="s">
        <v>74</v>
      </c>
      <c r="BR575" s="2" t="s">
        <v>74</v>
      </c>
      <c r="BS575" s="2" t="s">
        <v>850</v>
      </c>
      <c r="BT575" s="2" t="str">
        <f>HYPERLINK("https%3A%2F%2Fwww.webofscience.com%2Fwos%2Fwoscc%2Ffull-record%2FWOS:000319001000009","View Full Record in Web of Science")</f>
        <v>View Full Record in Web of Science</v>
      </c>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row>
    <row r="576" spans="1:314" s="2" customFormat="1" x14ac:dyDescent="0.4">
      <c r="A576" s="2" t="s">
        <v>72</v>
      </c>
      <c r="B576" s="2" t="s">
        <v>5681</v>
      </c>
      <c r="C576" s="2" t="s">
        <v>74</v>
      </c>
      <c r="D576" s="2" t="s">
        <v>74</v>
      </c>
      <c r="E576" s="2" t="s">
        <v>74</v>
      </c>
      <c r="F576" s="2" t="s">
        <v>5682</v>
      </c>
      <c r="G576" s="2" t="s">
        <v>74</v>
      </c>
      <c r="H576" s="2" t="s">
        <v>74</v>
      </c>
      <c r="I576" s="2" t="s">
        <v>5683</v>
      </c>
      <c r="J576" s="2" t="s">
        <v>5684</v>
      </c>
      <c r="K576" s="2" t="s">
        <v>74</v>
      </c>
      <c r="L576" s="2" t="s">
        <v>74</v>
      </c>
      <c r="M576" s="2" t="s">
        <v>74</v>
      </c>
      <c r="N576" s="2" t="s">
        <v>74</v>
      </c>
      <c r="O576" s="2" t="s">
        <v>74</v>
      </c>
      <c r="P576" s="2" t="s">
        <v>74</v>
      </c>
      <c r="Q576" s="2" t="s">
        <v>74</v>
      </c>
      <c r="R576" s="2" t="s">
        <v>74</v>
      </c>
      <c r="S576" s="2" t="s">
        <v>74</v>
      </c>
      <c r="T576" s="2" t="s">
        <v>74</v>
      </c>
      <c r="U576" s="2" t="s">
        <v>74</v>
      </c>
      <c r="V576" s="5" t="s">
        <v>5685</v>
      </c>
      <c r="W576" s="2" t="s">
        <v>74</v>
      </c>
      <c r="X576" s="2" t="s">
        <v>74</v>
      </c>
      <c r="Y576" s="2" t="s">
        <v>74</v>
      </c>
      <c r="Z576" s="2" t="s">
        <v>74</v>
      </c>
      <c r="AA576" s="2" t="s">
        <v>5686</v>
      </c>
      <c r="AB576" s="2" t="s">
        <v>5687</v>
      </c>
      <c r="AC576" s="2" t="s">
        <v>74</v>
      </c>
      <c r="AD576" s="2" t="s">
        <v>74</v>
      </c>
      <c r="AE576" s="2" t="s">
        <v>74</v>
      </c>
      <c r="AF576" s="2" t="s">
        <v>74</v>
      </c>
      <c r="AG576" s="2" t="s">
        <v>74</v>
      </c>
      <c r="AH576" s="2" t="s">
        <v>74</v>
      </c>
      <c r="AI576" s="2" t="s">
        <v>74</v>
      </c>
      <c r="AJ576" s="2" t="s">
        <v>74</v>
      </c>
      <c r="AK576" s="2" t="s">
        <v>74</v>
      </c>
      <c r="AL576" s="2" t="s">
        <v>74</v>
      </c>
      <c r="AM576" s="2" t="s">
        <v>74</v>
      </c>
      <c r="AN576" s="2" t="s">
        <v>74</v>
      </c>
      <c r="AO576" s="2" t="s">
        <v>5688</v>
      </c>
      <c r="AP576" s="2" t="s">
        <v>5689</v>
      </c>
      <c r="AQ576" s="2" t="s">
        <v>74</v>
      </c>
      <c r="AR576" s="2" t="s">
        <v>74</v>
      </c>
      <c r="AS576" s="2" t="s">
        <v>74</v>
      </c>
      <c r="AT576" s="2" t="s">
        <v>102</v>
      </c>
      <c r="AU576" s="2">
        <v>2018</v>
      </c>
      <c r="AV576" s="2">
        <v>74</v>
      </c>
      <c r="AW576" s="2">
        <v>6</v>
      </c>
      <c r="AX576" s="2" t="s">
        <v>74</v>
      </c>
      <c r="AY576" s="2" t="s">
        <v>74</v>
      </c>
      <c r="AZ576" s="2" t="s">
        <v>74</v>
      </c>
      <c r="BA576" s="2" t="s">
        <v>74</v>
      </c>
      <c r="BB576" s="2">
        <v>1404</v>
      </c>
      <c r="BC576" s="2">
        <v>1415</v>
      </c>
      <c r="BD576" s="2" t="s">
        <v>74</v>
      </c>
      <c r="BE576" s="2" t="s">
        <v>5690</v>
      </c>
      <c r="BF576" s="2" t="str">
        <f>HYPERLINK("http://dx.doi.org/10.1002/ps.4820","http://dx.doi.org/10.1002/ps.4820")</f>
        <v>http://dx.doi.org/10.1002/ps.4820</v>
      </c>
      <c r="BG576" s="2" t="s">
        <v>74</v>
      </c>
      <c r="BH576" s="2" t="s">
        <v>74</v>
      </c>
      <c r="BI576" s="2" t="s">
        <v>74</v>
      </c>
      <c r="BJ576" s="2" t="s">
        <v>74</v>
      </c>
      <c r="BK576" s="2" t="s">
        <v>74</v>
      </c>
      <c r="BL576" s="2" t="s">
        <v>74</v>
      </c>
      <c r="BM576" s="2" t="s">
        <v>74</v>
      </c>
      <c r="BN576" s="2">
        <v>29205860</v>
      </c>
      <c r="BO576" s="2" t="s">
        <v>74</v>
      </c>
      <c r="BP576" s="2" t="s">
        <v>74</v>
      </c>
      <c r="BQ576" s="2" t="s">
        <v>74</v>
      </c>
      <c r="BR576" s="2" t="s">
        <v>74</v>
      </c>
      <c r="BS576" s="2" t="s">
        <v>5691</v>
      </c>
      <c r="BT576" s="2" t="str">
        <f>HYPERLINK("https%3A%2F%2Fwww.webofscience.com%2Fwos%2Fwoscc%2Ffull-record%2FWOS:000431670200022","View Full Record in Web of Science")</f>
        <v>View Full Record in Web of Science</v>
      </c>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row>
    <row r="577" spans="1:314" s="2" customFormat="1" x14ac:dyDescent="0.4">
      <c r="A577" s="2" t="s">
        <v>72</v>
      </c>
      <c r="B577" s="2" t="s">
        <v>7108</v>
      </c>
      <c r="C577" s="2" t="s">
        <v>74</v>
      </c>
      <c r="D577" s="2" t="s">
        <v>74</v>
      </c>
      <c r="E577" s="2" t="s">
        <v>74</v>
      </c>
      <c r="F577" s="2" t="s">
        <v>7109</v>
      </c>
      <c r="G577" s="2" t="s">
        <v>74</v>
      </c>
      <c r="H577" s="2" t="s">
        <v>74</v>
      </c>
      <c r="I577" s="2" t="s">
        <v>7110</v>
      </c>
      <c r="J577" s="2" t="s">
        <v>3411</v>
      </c>
      <c r="K577" s="2" t="s">
        <v>74</v>
      </c>
      <c r="L577" s="2" t="s">
        <v>74</v>
      </c>
      <c r="M577" s="2" t="s">
        <v>74</v>
      </c>
      <c r="N577" s="2" t="s">
        <v>74</v>
      </c>
      <c r="O577" s="2" t="s">
        <v>74</v>
      </c>
      <c r="P577" s="2" t="s">
        <v>74</v>
      </c>
      <c r="Q577" s="2" t="s">
        <v>74</v>
      </c>
      <c r="R577" s="2" t="s">
        <v>74</v>
      </c>
      <c r="S577" s="2" t="s">
        <v>74</v>
      </c>
      <c r="T577" s="2" t="s">
        <v>74</v>
      </c>
      <c r="U577" s="2" t="s">
        <v>74</v>
      </c>
      <c r="V577" s="5" t="s">
        <v>7111</v>
      </c>
      <c r="W577" s="2" t="s">
        <v>74</v>
      </c>
      <c r="X577" s="2" t="s">
        <v>74</v>
      </c>
      <c r="Y577" s="2" t="s">
        <v>74</v>
      </c>
      <c r="Z577" s="2" t="s">
        <v>74</v>
      </c>
      <c r="AA577" s="2" t="s">
        <v>7112</v>
      </c>
      <c r="AB577" s="2" t="s">
        <v>7113</v>
      </c>
      <c r="AC577" s="2" t="s">
        <v>74</v>
      </c>
      <c r="AD577" s="2" t="s">
        <v>74</v>
      </c>
      <c r="AE577" s="2" t="s">
        <v>74</v>
      </c>
      <c r="AF577" s="2" t="s">
        <v>74</v>
      </c>
      <c r="AG577" s="2" t="s">
        <v>74</v>
      </c>
      <c r="AH577" s="2" t="s">
        <v>74</v>
      </c>
      <c r="AI577" s="2" t="s">
        <v>74</v>
      </c>
      <c r="AJ577" s="2" t="s">
        <v>74</v>
      </c>
      <c r="AK577" s="2" t="s">
        <v>74</v>
      </c>
      <c r="AL577" s="2" t="s">
        <v>74</v>
      </c>
      <c r="AM577" s="2" t="s">
        <v>74</v>
      </c>
      <c r="AN577" s="2" t="s">
        <v>74</v>
      </c>
      <c r="AO577" s="2" t="s">
        <v>3415</v>
      </c>
      <c r="AP577" s="2" t="s">
        <v>3416</v>
      </c>
      <c r="AQ577" s="2" t="s">
        <v>74</v>
      </c>
      <c r="AR577" s="2" t="s">
        <v>74</v>
      </c>
      <c r="AS577" s="2" t="s">
        <v>74</v>
      </c>
      <c r="AT577" s="2" t="s">
        <v>74</v>
      </c>
      <c r="AU577" s="2">
        <v>2010</v>
      </c>
      <c r="AV577" s="2">
        <v>110</v>
      </c>
      <c r="AW577" s="2">
        <v>2</v>
      </c>
      <c r="AX577" s="2" t="s">
        <v>74</v>
      </c>
      <c r="AY577" s="2" t="s">
        <v>74</v>
      </c>
      <c r="AZ577" s="2" t="s">
        <v>74</v>
      </c>
      <c r="BA577" s="2" t="s">
        <v>74</v>
      </c>
      <c r="BB577" s="2">
        <v>142</v>
      </c>
      <c r="BC577" s="2">
        <v>145</v>
      </c>
      <c r="BD577" s="2" t="s">
        <v>74</v>
      </c>
      <c r="BE577" s="2" t="s">
        <v>7114</v>
      </c>
      <c r="BF577" s="2" t="str">
        <f>HYPERLINK("http://dx.doi.org/10.1071/MU09016","http://dx.doi.org/10.1071/MU09016")</f>
        <v>http://dx.doi.org/10.1071/MU09016</v>
      </c>
      <c r="BG577" s="2" t="s">
        <v>74</v>
      </c>
      <c r="BH577" s="2" t="s">
        <v>74</v>
      </c>
      <c r="BI577" s="2" t="s">
        <v>74</v>
      </c>
      <c r="BJ577" s="2" t="s">
        <v>74</v>
      </c>
      <c r="BK577" s="2" t="s">
        <v>74</v>
      </c>
      <c r="BL577" s="2" t="s">
        <v>74</v>
      </c>
      <c r="BM577" s="2" t="s">
        <v>74</v>
      </c>
      <c r="BN577" s="2" t="s">
        <v>74</v>
      </c>
      <c r="BO577" s="2" t="s">
        <v>74</v>
      </c>
      <c r="BP577" s="2" t="s">
        <v>74</v>
      </c>
      <c r="BQ577" s="2" t="s">
        <v>74</v>
      </c>
      <c r="BR577" s="2" t="s">
        <v>74</v>
      </c>
      <c r="BS577" s="2" t="s">
        <v>7115</v>
      </c>
      <c r="BT577" s="2" t="str">
        <f>HYPERLINK("https%3A%2F%2Fwww.webofscience.com%2Fwos%2Fwoscc%2Ffull-record%2FWOS:000278020200006","View Full Record in Web of Science")</f>
        <v>View Full Record in Web of Science</v>
      </c>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row>
    <row r="578" spans="1:314" s="2" customFormat="1" x14ac:dyDescent="0.4">
      <c r="A578" s="2" t="s">
        <v>72</v>
      </c>
      <c r="B578" s="2" t="s">
        <v>5016</v>
      </c>
      <c r="C578" s="2" t="s">
        <v>74</v>
      </c>
      <c r="D578" s="2" t="s">
        <v>74</v>
      </c>
      <c r="E578" s="2" t="s">
        <v>74</v>
      </c>
      <c r="F578" s="2" t="s">
        <v>5017</v>
      </c>
      <c r="G578" s="2" t="s">
        <v>74</v>
      </c>
      <c r="H578" s="2" t="s">
        <v>74</v>
      </c>
      <c r="I578" s="2" t="s">
        <v>5018</v>
      </c>
      <c r="J578" s="2" t="s">
        <v>2651</v>
      </c>
      <c r="K578" s="2" t="s">
        <v>74</v>
      </c>
      <c r="L578" s="2" t="s">
        <v>74</v>
      </c>
      <c r="M578" s="2" t="s">
        <v>74</v>
      </c>
      <c r="N578" s="2" t="s">
        <v>74</v>
      </c>
      <c r="O578" s="2" t="s">
        <v>74</v>
      </c>
      <c r="P578" s="2" t="s">
        <v>74</v>
      </c>
      <c r="Q578" s="2" t="s">
        <v>74</v>
      </c>
      <c r="R578" s="2" t="s">
        <v>74</v>
      </c>
      <c r="S578" s="2" t="s">
        <v>74</v>
      </c>
      <c r="T578" s="2" t="s">
        <v>74</v>
      </c>
      <c r="U578" s="2" t="s">
        <v>74</v>
      </c>
      <c r="V578" s="5" t="s">
        <v>5019</v>
      </c>
      <c r="W578" s="2" t="s">
        <v>74</v>
      </c>
      <c r="X578" s="2" t="s">
        <v>74</v>
      </c>
      <c r="Y578" s="2" t="s">
        <v>74</v>
      </c>
      <c r="Z578" s="2" t="s">
        <v>74</v>
      </c>
      <c r="AA578" s="2" t="s">
        <v>5020</v>
      </c>
      <c r="AB578" s="2" t="s">
        <v>5021</v>
      </c>
      <c r="AC578" s="2" t="s">
        <v>74</v>
      </c>
      <c r="AD578" s="2" t="s">
        <v>74</v>
      </c>
      <c r="AE578" s="2" t="s">
        <v>74</v>
      </c>
      <c r="AF578" s="2" t="s">
        <v>74</v>
      </c>
      <c r="AG578" s="2" t="s">
        <v>74</v>
      </c>
      <c r="AH578" s="2" t="s">
        <v>74</v>
      </c>
      <c r="AI578" s="2" t="s">
        <v>74</v>
      </c>
      <c r="AJ578" s="2" t="s">
        <v>74</v>
      </c>
      <c r="AK578" s="2" t="s">
        <v>74</v>
      </c>
      <c r="AL578" s="2" t="s">
        <v>74</v>
      </c>
      <c r="AM578" s="2" t="s">
        <v>74</v>
      </c>
      <c r="AN578" s="2" t="s">
        <v>74</v>
      </c>
      <c r="AO578" s="2" t="s">
        <v>2655</v>
      </c>
      <c r="AP578" s="2" t="s">
        <v>2656</v>
      </c>
      <c r="AQ578" s="2" t="s">
        <v>74</v>
      </c>
      <c r="AR578" s="2" t="s">
        <v>74</v>
      </c>
      <c r="AS578" s="2" t="s">
        <v>74</v>
      </c>
      <c r="AT578" s="2" t="s">
        <v>134</v>
      </c>
      <c r="AU578" s="2">
        <v>2022</v>
      </c>
      <c r="AV578" s="2">
        <v>43</v>
      </c>
      <c r="AW578" s="2">
        <v>3</v>
      </c>
      <c r="AX578" s="2" t="s">
        <v>74</v>
      </c>
      <c r="AY578" s="2" t="s">
        <v>74</v>
      </c>
      <c r="AZ578" s="2" t="s">
        <v>74</v>
      </c>
      <c r="BA578" s="2" t="s">
        <v>74</v>
      </c>
      <c r="BB578" s="2">
        <v>169</v>
      </c>
      <c r="BC578" s="2">
        <v>180</v>
      </c>
      <c r="BD578" s="2" t="s">
        <v>74</v>
      </c>
      <c r="BE578" s="2" t="s">
        <v>5022</v>
      </c>
      <c r="BF578" s="2" t="str">
        <f>HYPERLINK("http://dx.doi.org/10.1016/j.evolhumbehav.2021.12.004","http://dx.doi.org/10.1016/j.evolhumbehav.2021.12.004")</f>
        <v>http://dx.doi.org/10.1016/j.evolhumbehav.2021.12.004</v>
      </c>
      <c r="BG578" s="2" t="s">
        <v>74</v>
      </c>
      <c r="BH578" s="2" t="s">
        <v>2006</v>
      </c>
      <c r="BI578" s="2" t="s">
        <v>74</v>
      </c>
      <c r="BJ578" s="2" t="s">
        <v>74</v>
      </c>
      <c r="BK578" s="2" t="s">
        <v>74</v>
      </c>
      <c r="BL578" s="2" t="s">
        <v>74</v>
      </c>
      <c r="BM578" s="2" t="s">
        <v>74</v>
      </c>
      <c r="BN578" s="2" t="s">
        <v>74</v>
      </c>
      <c r="BO578" s="2" t="s">
        <v>74</v>
      </c>
      <c r="BP578" s="2" t="s">
        <v>74</v>
      </c>
      <c r="BQ578" s="2" t="s">
        <v>74</v>
      </c>
      <c r="BR578" s="2" t="s">
        <v>74</v>
      </c>
      <c r="BS578" s="2" t="s">
        <v>5023</v>
      </c>
      <c r="BT578" s="2" t="str">
        <f>HYPERLINK("https%3A%2F%2Fwww.webofscience.com%2Fwos%2Fwoscc%2Ffull-record%2FWOS:000797243400001","View Full Record in Web of Science")</f>
        <v>View Full Record in Web of Science</v>
      </c>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row>
    <row r="579" spans="1:314" s="2" customFormat="1" x14ac:dyDescent="0.4">
      <c r="A579" s="2" t="s">
        <v>72</v>
      </c>
      <c r="B579" s="2" t="s">
        <v>278</v>
      </c>
      <c r="C579" s="2" t="s">
        <v>74</v>
      </c>
      <c r="D579" s="2" t="s">
        <v>74</v>
      </c>
      <c r="E579" s="2" t="s">
        <v>74</v>
      </c>
      <c r="F579" s="2" t="s">
        <v>279</v>
      </c>
      <c r="G579" s="2" t="s">
        <v>74</v>
      </c>
      <c r="H579" s="2" t="s">
        <v>74</v>
      </c>
      <c r="I579" s="2" t="s">
        <v>280</v>
      </c>
      <c r="J579" s="2" t="s">
        <v>281</v>
      </c>
      <c r="K579" s="2" t="s">
        <v>74</v>
      </c>
      <c r="L579" s="2" t="s">
        <v>74</v>
      </c>
      <c r="M579" s="2" t="s">
        <v>74</v>
      </c>
      <c r="N579" s="2" t="s">
        <v>74</v>
      </c>
      <c r="O579" s="2" t="s">
        <v>74</v>
      </c>
      <c r="P579" s="2" t="s">
        <v>74</v>
      </c>
      <c r="Q579" s="2" t="s">
        <v>74</v>
      </c>
      <c r="R579" s="2" t="s">
        <v>74</v>
      </c>
      <c r="S579" s="2" t="s">
        <v>74</v>
      </c>
      <c r="T579" s="2" t="s">
        <v>74</v>
      </c>
      <c r="U579" s="2" t="s">
        <v>74</v>
      </c>
      <c r="V579" s="5" t="s">
        <v>282</v>
      </c>
      <c r="W579" s="2" t="s">
        <v>74</v>
      </c>
      <c r="X579" s="2" t="s">
        <v>74</v>
      </c>
      <c r="Y579" s="2" t="s">
        <v>74</v>
      </c>
      <c r="Z579" s="2" t="s">
        <v>74</v>
      </c>
      <c r="AA579" s="2" t="s">
        <v>283</v>
      </c>
      <c r="AB579" s="2" t="s">
        <v>284</v>
      </c>
      <c r="AC579" s="2" t="s">
        <v>74</v>
      </c>
      <c r="AD579" s="2" t="s">
        <v>74</v>
      </c>
      <c r="AE579" s="2" t="s">
        <v>74</v>
      </c>
      <c r="AF579" s="2" t="s">
        <v>74</v>
      </c>
      <c r="AG579" s="2" t="s">
        <v>74</v>
      </c>
      <c r="AH579" s="2" t="s">
        <v>74</v>
      </c>
      <c r="AI579" s="2" t="s">
        <v>74</v>
      </c>
      <c r="AJ579" s="2" t="s">
        <v>74</v>
      </c>
      <c r="AK579" s="2" t="s">
        <v>74</v>
      </c>
      <c r="AL579" s="2" t="s">
        <v>74</v>
      </c>
      <c r="AM579" s="2" t="s">
        <v>74</v>
      </c>
      <c r="AN579" s="2" t="s">
        <v>74</v>
      </c>
      <c r="AO579" s="2" t="s">
        <v>285</v>
      </c>
      <c r="AP579" s="2" t="s">
        <v>286</v>
      </c>
      <c r="AQ579" s="2" t="s">
        <v>74</v>
      </c>
      <c r="AR579" s="2" t="s">
        <v>74</v>
      </c>
      <c r="AS579" s="2" t="s">
        <v>74</v>
      </c>
      <c r="AT579" s="2" t="s">
        <v>123</v>
      </c>
      <c r="AU579" s="2">
        <v>2013</v>
      </c>
      <c r="AV579" s="2">
        <v>16</v>
      </c>
      <c r="AW579" s="2">
        <v>2</v>
      </c>
      <c r="AX579" s="2" t="s">
        <v>74</v>
      </c>
      <c r="AY579" s="2" t="s">
        <v>74</v>
      </c>
      <c r="AZ579" s="2" t="s">
        <v>74</v>
      </c>
      <c r="BA579" s="2" t="s">
        <v>74</v>
      </c>
      <c r="BB579" s="2">
        <v>287</v>
      </c>
      <c r="BC579" s="2">
        <v>300</v>
      </c>
      <c r="BD579" s="2" t="s">
        <v>74</v>
      </c>
      <c r="BE579" s="2" t="s">
        <v>287</v>
      </c>
      <c r="BF579" s="2" t="str">
        <f>HYPERLINK("http://dx.doi.org/10.1007/s10071-012-0572-0","http://dx.doi.org/10.1007/s10071-012-0572-0")</f>
        <v>http://dx.doi.org/10.1007/s10071-012-0572-0</v>
      </c>
      <c r="BG579" s="2" t="s">
        <v>74</v>
      </c>
      <c r="BH579" s="2" t="s">
        <v>74</v>
      </c>
      <c r="BI579" s="2" t="s">
        <v>74</v>
      </c>
      <c r="BJ579" s="2" t="s">
        <v>74</v>
      </c>
      <c r="BK579" s="2" t="s">
        <v>74</v>
      </c>
      <c r="BL579" s="2" t="s">
        <v>74</v>
      </c>
      <c r="BM579" s="2" t="s">
        <v>74</v>
      </c>
      <c r="BN579" s="2">
        <v>23111900</v>
      </c>
      <c r="BO579" s="2" t="s">
        <v>74</v>
      </c>
      <c r="BP579" s="2" t="s">
        <v>74</v>
      </c>
      <c r="BQ579" s="2" t="s">
        <v>74</v>
      </c>
      <c r="BR579" s="2" t="s">
        <v>74</v>
      </c>
      <c r="BS579" s="2" t="s">
        <v>288</v>
      </c>
      <c r="BT579" s="2" t="str">
        <f>HYPERLINK("https%3A%2F%2Fwww.webofscience.com%2Fwos%2Fwoscc%2Ffull-record%2FWOS:000315035100012","View Full Record in Web of Science")</f>
        <v>View Full Record in Web of Science</v>
      </c>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row>
    <row r="580" spans="1:314" s="2" customFormat="1" x14ac:dyDescent="0.4">
      <c r="A580" s="2" t="s">
        <v>72</v>
      </c>
      <c r="B580" s="2" t="s">
        <v>3057</v>
      </c>
      <c r="C580" s="2" t="s">
        <v>74</v>
      </c>
      <c r="D580" s="2" t="s">
        <v>74</v>
      </c>
      <c r="E580" s="2" t="s">
        <v>74</v>
      </c>
      <c r="F580" s="2" t="s">
        <v>3058</v>
      </c>
      <c r="G580" s="2" t="s">
        <v>74</v>
      </c>
      <c r="H580" s="2" t="s">
        <v>74</v>
      </c>
      <c r="I580" s="2" t="s">
        <v>3059</v>
      </c>
      <c r="J580" s="2" t="s">
        <v>333</v>
      </c>
      <c r="K580" s="2" t="s">
        <v>74</v>
      </c>
      <c r="L580" s="2" t="s">
        <v>74</v>
      </c>
      <c r="M580" s="2" t="s">
        <v>74</v>
      </c>
      <c r="N580" s="2" t="s">
        <v>74</v>
      </c>
      <c r="O580" s="2" t="s">
        <v>74</v>
      </c>
      <c r="P580" s="2" t="s">
        <v>74</v>
      </c>
      <c r="Q580" s="2" t="s">
        <v>74</v>
      </c>
      <c r="R580" s="2" t="s">
        <v>74</v>
      </c>
      <c r="S580" s="2" t="s">
        <v>74</v>
      </c>
      <c r="T580" s="2" t="s">
        <v>74</v>
      </c>
      <c r="U580" s="2" t="s">
        <v>74</v>
      </c>
      <c r="V580" s="5" t="s">
        <v>3060</v>
      </c>
      <c r="W580" s="2" t="s">
        <v>74</v>
      </c>
      <c r="X580" s="2" t="s">
        <v>74</v>
      </c>
      <c r="Y580" s="2" t="s">
        <v>74</v>
      </c>
      <c r="Z580" s="2" t="s">
        <v>74</v>
      </c>
      <c r="AA580" s="2" t="s">
        <v>3061</v>
      </c>
      <c r="AB580" s="2" t="s">
        <v>3062</v>
      </c>
      <c r="AC580" s="2" t="s">
        <v>74</v>
      </c>
      <c r="AD580" s="2" t="s">
        <v>74</v>
      </c>
      <c r="AE580" s="2" t="s">
        <v>74</v>
      </c>
      <c r="AF580" s="2" t="s">
        <v>74</v>
      </c>
      <c r="AG580" s="2" t="s">
        <v>74</v>
      </c>
      <c r="AH580" s="2" t="s">
        <v>74</v>
      </c>
      <c r="AI580" s="2" t="s">
        <v>74</v>
      </c>
      <c r="AJ580" s="2" t="s">
        <v>74</v>
      </c>
      <c r="AK580" s="2" t="s">
        <v>74</v>
      </c>
      <c r="AL580" s="2" t="s">
        <v>74</v>
      </c>
      <c r="AM580" s="2" t="s">
        <v>74</v>
      </c>
      <c r="AN580" s="2" t="s">
        <v>74</v>
      </c>
      <c r="AO580" s="2" t="s">
        <v>337</v>
      </c>
      <c r="AP580" s="2" t="s">
        <v>74</v>
      </c>
      <c r="AQ580" s="2" t="s">
        <v>74</v>
      </c>
      <c r="AR580" s="2" t="s">
        <v>74</v>
      </c>
      <c r="AS580" s="2" t="s">
        <v>74</v>
      </c>
      <c r="AT580" s="2" t="s">
        <v>808</v>
      </c>
      <c r="AU580" s="2">
        <v>2008</v>
      </c>
      <c r="AV580" s="2">
        <v>19</v>
      </c>
      <c r="AW580" s="2">
        <v>3</v>
      </c>
      <c r="AX580" s="2" t="s">
        <v>74</v>
      </c>
      <c r="AY580" s="2" t="s">
        <v>74</v>
      </c>
      <c r="AZ580" s="2" t="s">
        <v>74</v>
      </c>
      <c r="BA580" s="2" t="s">
        <v>74</v>
      </c>
      <c r="BB580" s="2">
        <v>508</v>
      </c>
      <c r="BC580" s="2">
        <v>516</v>
      </c>
      <c r="BD580" s="2" t="s">
        <v>74</v>
      </c>
      <c r="BE580" s="2" t="s">
        <v>3063</v>
      </c>
      <c r="BF580" s="2" t="str">
        <f>HYPERLINK("http://dx.doi.org/10.1093/beheco/arm159","http://dx.doi.org/10.1093/beheco/arm159")</f>
        <v>http://dx.doi.org/10.1093/beheco/arm159</v>
      </c>
      <c r="BG580" s="2" t="s">
        <v>74</v>
      </c>
      <c r="BH580" s="2" t="s">
        <v>74</v>
      </c>
      <c r="BI580" s="2" t="s">
        <v>74</v>
      </c>
      <c r="BJ580" s="2" t="s">
        <v>74</v>
      </c>
      <c r="BK580" s="2" t="s">
        <v>74</v>
      </c>
      <c r="BL580" s="2" t="s">
        <v>74</v>
      </c>
      <c r="BM580" s="2" t="s">
        <v>74</v>
      </c>
      <c r="BN580" s="2" t="s">
        <v>74</v>
      </c>
      <c r="BO580" s="2" t="s">
        <v>74</v>
      </c>
      <c r="BP580" s="2" t="s">
        <v>74</v>
      </c>
      <c r="BQ580" s="2" t="s">
        <v>74</v>
      </c>
      <c r="BR580" s="2" t="s">
        <v>74</v>
      </c>
      <c r="BS580" s="2" t="s">
        <v>3064</v>
      </c>
      <c r="BT580" s="2" t="str">
        <f>HYPERLINK("https%3A%2F%2Fwww.webofscience.com%2Fwos%2Fwoscc%2Ffull-record%2FWOS:000255987600006","View Full Record in Web of Science")</f>
        <v>View Full Record in Web of Science</v>
      </c>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row>
    <row r="581" spans="1:314" s="2" customFormat="1" x14ac:dyDescent="0.4">
      <c r="A581" s="2" t="s">
        <v>72</v>
      </c>
      <c r="B581" s="2" t="s">
        <v>8606</v>
      </c>
      <c r="C581" s="2" t="s">
        <v>74</v>
      </c>
      <c r="D581" s="2" t="s">
        <v>74</v>
      </c>
      <c r="E581" s="2" t="s">
        <v>74</v>
      </c>
      <c r="F581" s="2" t="s">
        <v>8607</v>
      </c>
      <c r="G581" s="2" t="s">
        <v>74</v>
      </c>
      <c r="H581" s="2" t="s">
        <v>74</v>
      </c>
      <c r="I581" s="2" t="s">
        <v>8608</v>
      </c>
      <c r="J581" s="2" t="s">
        <v>2207</v>
      </c>
      <c r="K581" s="2" t="s">
        <v>74</v>
      </c>
      <c r="L581" s="2" t="s">
        <v>74</v>
      </c>
      <c r="M581" s="2" t="s">
        <v>74</v>
      </c>
      <c r="N581" s="2" t="s">
        <v>74</v>
      </c>
      <c r="O581" s="2" t="s">
        <v>74</v>
      </c>
      <c r="P581" s="2" t="s">
        <v>74</v>
      </c>
      <c r="Q581" s="2" t="s">
        <v>74</v>
      </c>
      <c r="R581" s="2" t="s">
        <v>74</v>
      </c>
      <c r="S581" s="2" t="s">
        <v>74</v>
      </c>
      <c r="T581" s="2" t="s">
        <v>74</v>
      </c>
      <c r="U581" s="2" t="s">
        <v>74</v>
      </c>
      <c r="V581" s="5" t="s">
        <v>8609</v>
      </c>
      <c r="W581" s="2" t="s">
        <v>74</v>
      </c>
      <c r="X581" s="2" t="s">
        <v>74</v>
      </c>
      <c r="Y581" s="2" t="s">
        <v>74</v>
      </c>
      <c r="Z581" s="2" t="s">
        <v>74</v>
      </c>
      <c r="AA581" s="2" t="s">
        <v>8610</v>
      </c>
      <c r="AB581" s="2" t="s">
        <v>8611</v>
      </c>
      <c r="AC581" s="2" t="s">
        <v>74</v>
      </c>
      <c r="AD581" s="2" t="s">
        <v>74</v>
      </c>
      <c r="AE581" s="2" t="s">
        <v>74</v>
      </c>
      <c r="AF581" s="2" t="s">
        <v>74</v>
      </c>
      <c r="AG581" s="2" t="s">
        <v>74</v>
      </c>
      <c r="AH581" s="2" t="s">
        <v>74</v>
      </c>
      <c r="AI581" s="2" t="s">
        <v>74</v>
      </c>
      <c r="AJ581" s="2" t="s">
        <v>74</v>
      </c>
      <c r="AK581" s="2" t="s">
        <v>74</v>
      </c>
      <c r="AL581" s="2" t="s">
        <v>74</v>
      </c>
      <c r="AM581" s="2" t="s">
        <v>74</v>
      </c>
      <c r="AN581" s="2" t="s">
        <v>74</v>
      </c>
      <c r="AO581" s="2" t="s">
        <v>2211</v>
      </c>
      <c r="AP581" s="2" t="s">
        <v>2461</v>
      </c>
      <c r="AQ581" s="2" t="s">
        <v>74</v>
      </c>
      <c r="AR581" s="2" t="s">
        <v>74</v>
      </c>
      <c r="AS581" s="2" t="s">
        <v>74</v>
      </c>
      <c r="AT581" s="2" t="s">
        <v>352</v>
      </c>
      <c r="AU581" s="2">
        <v>2009</v>
      </c>
      <c r="AV581" s="2">
        <v>40</v>
      </c>
      <c r="AW581" s="2">
        <v>5</v>
      </c>
      <c r="AX581" s="2" t="s">
        <v>74</v>
      </c>
      <c r="AY581" s="2" t="s">
        <v>74</v>
      </c>
      <c r="AZ581" s="2" t="s">
        <v>74</v>
      </c>
      <c r="BA581" s="2" t="s">
        <v>74</v>
      </c>
      <c r="BB581" s="2">
        <v>559</v>
      </c>
      <c r="BC581" s="2">
        <v>568</v>
      </c>
      <c r="BD581" s="2" t="s">
        <v>74</v>
      </c>
      <c r="BE581" s="2" t="s">
        <v>8612</v>
      </c>
      <c r="BF581" s="2" t="str">
        <f>HYPERLINK("http://dx.doi.org/10.1111/j.1600-048X.2009.04572.x","http://dx.doi.org/10.1111/j.1600-048X.2009.04572.x")</f>
        <v>http://dx.doi.org/10.1111/j.1600-048X.2009.04572.x</v>
      </c>
      <c r="BG581" s="2" t="s">
        <v>74</v>
      </c>
      <c r="BH581" s="2" t="s">
        <v>74</v>
      </c>
      <c r="BI581" s="2" t="s">
        <v>74</v>
      </c>
      <c r="BJ581" s="2" t="s">
        <v>74</v>
      </c>
      <c r="BK581" s="2" t="s">
        <v>74</v>
      </c>
      <c r="BL581" s="2" t="s">
        <v>74</v>
      </c>
      <c r="BM581" s="2" t="s">
        <v>74</v>
      </c>
      <c r="BN581" s="2" t="s">
        <v>74</v>
      </c>
      <c r="BO581" s="2" t="s">
        <v>74</v>
      </c>
      <c r="BP581" s="2" t="s">
        <v>74</v>
      </c>
      <c r="BQ581" s="2" t="s">
        <v>74</v>
      </c>
      <c r="BR581" s="2" t="s">
        <v>74</v>
      </c>
      <c r="BS581" s="2" t="s">
        <v>8613</v>
      </c>
      <c r="BT581" s="2" t="str">
        <f>HYPERLINK("https%3A%2F%2Fwww.webofscience.com%2Fwos%2Fwoscc%2Ffull-record%2FWOS:000270179100011","View Full Record in Web of Science")</f>
        <v>View Full Record in Web of Science</v>
      </c>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row>
    <row r="582" spans="1:314" s="2" customFormat="1" x14ac:dyDescent="0.4">
      <c r="A582" s="2" t="s">
        <v>72</v>
      </c>
      <c r="B582" s="2" t="s">
        <v>6965</v>
      </c>
      <c r="C582" s="2" t="s">
        <v>74</v>
      </c>
      <c r="D582" s="2" t="s">
        <v>74</v>
      </c>
      <c r="E582" s="2" t="s">
        <v>74</v>
      </c>
      <c r="F582" s="2" t="s">
        <v>6966</v>
      </c>
      <c r="G582" s="2" t="s">
        <v>74</v>
      </c>
      <c r="H582" s="2" t="s">
        <v>74</v>
      </c>
      <c r="I582" s="2" t="s">
        <v>6967</v>
      </c>
      <c r="J582" s="2" t="s">
        <v>6968</v>
      </c>
      <c r="K582" s="2" t="s">
        <v>74</v>
      </c>
      <c r="L582" s="2" t="s">
        <v>74</v>
      </c>
      <c r="M582" s="2" t="s">
        <v>74</v>
      </c>
      <c r="N582" s="2" t="s">
        <v>74</v>
      </c>
      <c r="O582" s="2" t="s">
        <v>74</v>
      </c>
      <c r="P582" s="2" t="s">
        <v>74</v>
      </c>
      <c r="Q582" s="2" t="s">
        <v>74</v>
      </c>
      <c r="R582" s="2" t="s">
        <v>74</v>
      </c>
      <c r="S582" s="2" t="s">
        <v>74</v>
      </c>
      <c r="T582" s="2" t="s">
        <v>74</v>
      </c>
      <c r="U582" s="2" t="s">
        <v>74</v>
      </c>
      <c r="V582" s="5" t="s">
        <v>6969</v>
      </c>
      <c r="W582" s="2" t="s">
        <v>74</v>
      </c>
      <c r="X582" s="2" t="s">
        <v>74</v>
      </c>
      <c r="Y582" s="2" t="s">
        <v>74</v>
      </c>
      <c r="Z582" s="2" t="s">
        <v>74</v>
      </c>
      <c r="AA582" s="2" t="s">
        <v>74</v>
      </c>
      <c r="AB582" s="2" t="s">
        <v>74</v>
      </c>
      <c r="AC582" s="2" t="s">
        <v>74</v>
      </c>
      <c r="AD582" s="2" t="s">
        <v>74</v>
      </c>
      <c r="AE582" s="2" t="s">
        <v>74</v>
      </c>
      <c r="AF582" s="2" t="s">
        <v>74</v>
      </c>
      <c r="AG582" s="2" t="s">
        <v>74</v>
      </c>
      <c r="AH582" s="2" t="s">
        <v>74</v>
      </c>
      <c r="AI582" s="2" t="s">
        <v>74</v>
      </c>
      <c r="AJ582" s="2" t="s">
        <v>74</v>
      </c>
      <c r="AK582" s="2" t="s">
        <v>74</v>
      </c>
      <c r="AL582" s="2" t="s">
        <v>74</v>
      </c>
      <c r="AM582" s="2" t="s">
        <v>74</v>
      </c>
      <c r="AN582" s="2" t="s">
        <v>74</v>
      </c>
      <c r="AO582" s="2" t="s">
        <v>6970</v>
      </c>
      <c r="AP582" s="2" t="s">
        <v>6971</v>
      </c>
      <c r="AQ582" s="2" t="s">
        <v>74</v>
      </c>
      <c r="AR582" s="2" t="s">
        <v>74</v>
      </c>
      <c r="AS582" s="2" t="s">
        <v>74</v>
      </c>
      <c r="AT582" s="2" t="s">
        <v>305</v>
      </c>
      <c r="AU582" s="2">
        <v>2021</v>
      </c>
      <c r="AV582" s="2">
        <v>21</v>
      </c>
      <c r="AW582" s="2">
        <v>4</v>
      </c>
      <c r="AX582" s="2" t="s">
        <v>74</v>
      </c>
      <c r="AY582" s="2" t="s">
        <v>74</v>
      </c>
      <c r="AZ582" s="2" t="s">
        <v>74</v>
      </c>
      <c r="BA582" s="2" t="s">
        <v>74</v>
      </c>
      <c r="BB582" s="2">
        <v>719</v>
      </c>
      <c r="BC582" s="2">
        <v>735</v>
      </c>
      <c r="BD582" s="2" t="s">
        <v>74</v>
      </c>
      <c r="BE582" s="2" t="s">
        <v>6972</v>
      </c>
      <c r="BF582" s="2" t="str">
        <f>HYPERLINK("http://dx.doi.org/10.1007/s13127-021-00510-2","http://dx.doi.org/10.1007/s13127-021-00510-2")</f>
        <v>http://dx.doi.org/10.1007/s13127-021-00510-2</v>
      </c>
      <c r="BG582" s="2" t="s">
        <v>74</v>
      </c>
      <c r="BH582" s="2" t="s">
        <v>675</v>
      </c>
      <c r="BI582" s="2" t="s">
        <v>74</v>
      </c>
      <c r="BJ582" s="2" t="s">
        <v>74</v>
      </c>
      <c r="BK582" s="2" t="s">
        <v>74</v>
      </c>
      <c r="BL582" s="2" t="s">
        <v>74</v>
      </c>
      <c r="BM582" s="2" t="s">
        <v>74</v>
      </c>
      <c r="BN582" s="2" t="s">
        <v>74</v>
      </c>
      <c r="BO582" s="2" t="s">
        <v>74</v>
      </c>
      <c r="BP582" s="2" t="s">
        <v>74</v>
      </c>
      <c r="BQ582" s="2" t="s">
        <v>74</v>
      </c>
      <c r="BR582" s="2" t="s">
        <v>74</v>
      </c>
      <c r="BS582" s="2" t="s">
        <v>6973</v>
      </c>
      <c r="BT582" s="2" t="str">
        <f>HYPERLINK("https%3A%2F%2Fwww.webofscience.com%2Fwos%2Fwoscc%2Ffull-record%2FWOS:000702265500001","View Full Record in Web of Science")</f>
        <v>View Full Record in Web of Science</v>
      </c>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row>
    <row r="583" spans="1:314" s="2" customFormat="1" x14ac:dyDescent="0.4">
      <c r="A583" s="2" t="s">
        <v>72</v>
      </c>
      <c r="B583" s="2" t="s">
        <v>1427</v>
      </c>
      <c r="C583" s="2" t="s">
        <v>74</v>
      </c>
      <c r="D583" s="2" t="s">
        <v>74</v>
      </c>
      <c r="E583" s="2" t="s">
        <v>74</v>
      </c>
      <c r="F583" s="2" t="s">
        <v>1428</v>
      </c>
      <c r="G583" s="2" t="s">
        <v>74</v>
      </c>
      <c r="H583" s="2" t="s">
        <v>74</v>
      </c>
      <c r="I583" s="2" t="s">
        <v>1429</v>
      </c>
      <c r="J583" s="2" t="s">
        <v>140</v>
      </c>
      <c r="K583" s="2" t="s">
        <v>74</v>
      </c>
      <c r="L583" s="2" t="s">
        <v>74</v>
      </c>
      <c r="M583" s="2" t="s">
        <v>74</v>
      </c>
      <c r="N583" s="2" t="s">
        <v>74</v>
      </c>
      <c r="O583" s="2" t="s">
        <v>74</v>
      </c>
      <c r="P583" s="2" t="s">
        <v>74</v>
      </c>
      <c r="Q583" s="2" t="s">
        <v>74</v>
      </c>
      <c r="R583" s="2" t="s">
        <v>74</v>
      </c>
      <c r="S583" s="2" t="s">
        <v>74</v>
      </c>
      <c r="T583" s="2" t="s">
        <v>74</v>
      </c>
      <c r="U583" s="2" t="s">
        <v>74</v>
      </c>
      <c r="V583" s="5" t="s">
        <v>1430</v>
      </c>
      <c r="W583" s="2" t="s">
        <v>74</v>
      </c>
      <c r="X583" s="2" t="s">
        <v>74</v>
      </c>
      <c r="Y583" s="2" t="s">
        <v>74</v>
      </c>
      <c r="Z583" s="2" t="s">
        <v>74</v>
      </c>
      <c r="AA583" s="2" t="s">
        <v>1431</v>
      </c>
      <c r="AB583" s="2" t="s">
        <v>1432</v>
      </c>
      <c r="AC583" s="2" t="s">
        <v>74</v>
      </c>
      <c r="AD583" s="2" t="s">
        <v>74</v>
      </c>
      <c r="AE583" s="2" t="s">
        <v>74</v>
      </c>
      <c r="AF583" s="2" t="s">
        <v>74</v>
      </c>
      <c r="AG583" s="2" t="s">
        <v>74</v>
      </c>
      <c r="AH583" s="2" t="s">
        <v>74</v>
      </c>
      <c r="AI583" s="2" t="s">
        <v>74</v>
      </c>
      <c r="AJ583" s="2" t="s">
        <v>74</v>
      </c>
      <c r="AK583" s="2" t="s">
        <v>74</v>
      </c>
      <c r="AL583" s="2" t="s">
        <v>74</v>
      </c>
      <c r="AM583" s="2" t="s">
        <v>74</v>
      </c>
      <c r="AN583" s="2" t="s">
        <v>74</v>
      </c>
      <c r="AO583" s="2" t="s">
        <v>143</v>
      </c>
      <c r="AP583" s="2" t="s">
        <v>74</v>
      </c>
      <c r="AQ583" s="2" t="s">
        <v>74</v>
      </c>
      <c r="AR583" s="2" t="s">
        <v>74</v>
      </c>
      <c r="AS583" s="2" t="s">
        <v>74</v>
      </c>
      <c r="AT583" s="2" t="s">
        <v>123</v>
      </c>
      <c r="AU583" s="2">
        <v>2010</v>
      </c>
      <c r="AV583" s="2">
        <v>79</v>
      </c>
      <c r="AW583" s="2">
        <v>3</v>
      </c>
      <c r="AX583" s="2" t="s">
        <v>74</v>
      </c>
      <c r="AY583" s="2" t="s">
        <v>74</v>
      </c>
      <c r="AZ583" s="2" t="s">
        <v>74</v>
      </c>
      <c r="BA583" s="2" t="s">
        <v>74</v>
      </c>
      <c r="BB583" s="2">
        <v>709</v>
      </c>
      <c r="BC583" s="2">
        <v>715</v>
      </c>
      <c r="BD583" s="2" t="s">
        <v>74</v>
      </c>
      <c r="BE583" s="2" t="s">
        <v>1433</v>
      </c>
      <c r="BF583" s="2" t="str">
        <f>HYPERLINK("http://dx.doi.org/10.1016/j.anbehav.2009.12.025","http://dx.doi.org/10.1016/j.anbehav.2009.12.025")</f>
        <v>http://dx.doi.org/10.1016/j.anbehav.2009.12.025</v>
      </c>
      <c r="BG583" s="2" t="s">
        <v>74</v>
      </c>
      <c r="BH583" s="2" t="s">
        <v>74</v>
      </c>
      <c r="BI583" s="2" t="s">
        <v>74</v>
      </c>
      <c r="BJ583" s="2" t="s">
        <v>74</v>
      </c>
      <c r="BK583" s="2" t="s">
        <v>74</v>
      </c>
      <c r="BL583" s="2" t="s">
        <v>74</v>
      </c>
      <c r="BM583" s="2" t="s">
        <v>74</v>
      </c>
      <c r="BN583" s="2" t="s">
        <v>74</v>
      </c>
      <c r="BO583" s="2" t="s">
        <v>74</v>
      </c>
      <c r="BP583" s="2" t="s">
        <v>74</v>
      </c>
      <c r="BQ583" s="2" t="s">
        <v>74</v>
      </c>
      <c r="BR583" s="2" t="s">
        <v>74</v>
      </c>
      <c r="BS583" s="2" t="s">
        <v>1434</v>
      </c>
      <c r="BT583" s="2" t="str">
        <f>HYPERLINK("https%3A%2F%2Fwww.webofscience.com%2Fwos%2Fwoscc%2Ffull-record%2FWOS:000274587400025","View Full Record in Web of Science")</f>
        <v>View Full Record in Web of Science</v>
      </c>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row>
    <row r="584" spans="1:314" s="2" customFormat="1" x14ac:dyDescent="0.4">
      <c r="A584" s="2" t="s">
        <v>72</v>
      </c>
      <c r="B584" s="2" t="s">
        <v>6442</v>
      </c>
      <c r="C584" s="2" t="s">
        <v>74</v>
      </c>
      <c r="D584" s="2" t="s">
        <v>74</v>
      </c>
      <c r="E584" s="2" t="s">
        <v>74</v>
      </c>
      <c r="F584" s="2" t="s">
        <v>6443</v>
      </c>
      <c r="G584" s="2" t="s">
        <v>74</v>
      </c>
      <c r="H584" s="2" t="s">
        <v>74</v>
      </c>
      <c r="I584" s="2" t="s">
        <v>6444</v>
      </c>
      <c r="J584" s="2" t="s">
        <v>6445</v>
      </c>
      <c r="K584" s="2" t="s">
        <v>74</v>
      </c>
      <c r="L584" s="2" t="s">
        <v>74</v>
      </c>
      <c r="M584" s="2" t="s">
        <v>74</v>
      </c>
      <c r="N584" s="2" t="s">
        <v>74</v>
      </c>
      <c r="O584" s="2" t="s">
        <v>74</v>
      </c>
      <c r="P584" s="2" t="s">
        <v>74</v>
      </c>
      <c r="Q584" s="2" t="s">
        <v>74</v>
      </c>
      <c r="R584" s="2" t="s">
        <v>74</v>
      </c>
      <c r="S584" s="2" t="s">
        <v>74</v>
      </c>
      <c r="T584" s="2" t="s">
        <v>74</v>
      </c>
      <c r="U584" s="2" t="s">
        <v>74</v>
      </c>
      <c r="V584" s="5" t="s">
        <v>6446</v>
      </c>
      <c r="W584" s="2" t="s">
        <v>74</v>
      </c>
      <c r="X584" s="2" t="s">
        <v>74</v>
      </c>
      <c r="Y584" s="2" t="s">
        <v>74</v>
      </c>
      <c r="Z584" s="2" t="s">
        <v>74</v>
      </c>
      <c r="AA584" s="2" t="s">
        <v>74</v>
      </c>
      <c r="AB584" s="2" t="s">
        <v>74</v>
      </c>
      <c r="AC584" s="2" t="s">
        <v>74</v>
      </c>
      <c r="AD584" s="2" t="s">
        <v>74</v>
      </c>
      <c r="AE584" s="2" t="s">
        <v>74</v>
      </c>
      <c r="AF584" s="2" t="s">
        <v>74</v>
      </c>
      <c r="AG584" s="2" t="s">
        <v>74</v>
      </c>
      <c r="AH584" s="2" t="s">
        <v>74</v>
      </c>
      <c r="AI584" s="2" t="s">
        <v>74</v>
      </c>
      <c r="AJ584" s="2" t="s">
        <v>74</v>
      </c>
      <c r="AK584" s="2" t="s">
        <v>74</v>
      </c>
      <c r="AL584" s="2" t="s">
        <v>74</v>
      </c>
      <c r="AM584" s="2" t="s">
        <v>74</v>
      </c>
      <c r="AN584" s="2" t="s">
        <v>74</v>
      </c>
      <c r="AO584" s="2" t="s">
        <v>6447</v>
      </c>
      <c r="AP584" s="2" t="s">
        <v>6448</v>
      </c>
      <c r="AQ584" s="2" t="s">
        <v>74</v>
      </c>
      <c r="AR584" s="2" t="s">
        <v>74</v>
      </c>
      <c r="AS584" s="2" t="s">
        <v>74</v>
      </c>
      <c r="AT584" s="2" t="s">
        <v>305</v>
      </c>
      <c r="AU584" s="2">
        <v>2023</v>
      </c>
      <c r="AV584" s="2">
        <v>63</v>
      </c>
      <c r="AW584" s="2">
        <v>7</v>
      </c>
      <c r="AX584" s="2" t="s">
        <v>74</v>
      </c>
      <c r="AY584" s="2" t="s">
        <v>74</v>
      </c>
      <c r="AZ584" s="2" t="s">
        <v>848</v>
      </c>
      <c r="BA584" s="2" t="s">
        <v>74</v>
      </c>
      <c r="BB584" s="2">
        <v>1279</v>
      </c>
      <c r="BC584" s="2">
        <v>1296</v>
      </c>
      <c r="BD584" s="2" t="s">
        <v>74</v>
      </c>
      <c r="BE584" s="2" t="s">
        <v>6449</v>
      </c>
      <c r="BF584" s="2" t="str">
        <f>HYPERLINK("http://dx.doi.org/10.1134/S0032945223070081","http://dx.doi.org/10.1134/S0032945223070081")</f>
        <v>http://dx.doi.org/10.1134/S0032945223070081</v>
      </c>
      <c r="BG584" s="2" t="s">
        <v>74</v>
      </c>
      <c r="BH584" s="2" t="s">
        <v>74</v>
      </c>
      <c r="BI584" s="2" t="s">
        <v>74</v>
      </c>
      <c r="BJ584" s="2" t="s">
        <v>74</v>
      </c>
      <c r="BK584" s="2" t="s">
        <v>74</v>
      </c>
      <c r="BL584" s="2" t="s">
        <v>74</v>
      </c>
      <c r="BM584" s="2" t="s">
        <v>74</v>
      </c>
      <c r="BN584" s="2" t="s">
        <v>74</v>
      </c>
      <c r="BO584" s="2" t="s">
        <v>74</v>
      </c>
      <c r="BP584" s="2" t="s">
        <v>74</v>
      </c>
      <c r="BQ584" s="2" t="s">
        <v>74</v>
      </c>
      <c r="BR584" s="2" t="s">
        <v>74</v>
      </c>
      <c r="BS584" s="2" t="s">
        <v>6450</v>
      </c>
      <c r="BT584" s="2" t="str">
        <f>HYPERLINK("https%3A%2F%2Fwww.webofscience.com%2Fwos%2Fwoscc%2Ffull-record%2FWOS:001125556700003","View Full Record in Web of Science")</f>
        <v>View Full Record in Web of Science</v>
      </c>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row>
    <row r="585" spans="1:314" s="2" customFormat="1" x14ac:dyDescent="0.4">
      <c r="A585" s="2" t="s">
        <v>72</v>
      </c>
      <c r="B585" s="2" t="s">
        <v>5448</v>
      </c>
      <c r="C585" s="2" t="s">
        <v>74</v>
      </c>
      <c r="D585" s="2" t="s">
        <v>74</v>
      </c>
      <c r="E585" s="2" t="s">
        <v>74</v>
      </c>
      <c r="F585" s="2" t="s">
        <v>5448</v>
      </c>
      <c r="G585" s="2" t="s">
        <v>74</v>
      </c>
      <c r="H585" s="2" t="s">
        <v>74</v>
      </c>
      <c r="I585" s="2" t="s">
        <v>5449</v>
      </c>
      <c r="J585" s="2" t="s">
        <v>2966</v>
      </c>
      <c r="K585" s="2" t="s">
        <v>74</v>
      </c>
      <c r="L585" s="2" t="s">
        <v>74</v>
      </c>
      <c r="M585" s="2" t="s">
        <v>74</v>
      </c>
      <c r="N585" s="2" t="s">
        <v>74</v>
      </c>
      <c r="O585" s="2" t="s">
        <v>74</v>
      </c>
      <c r="P585" s="2" t="s">
        <v>74</v>
      </c>
      <c r="Q585" s="2" t="s">
        <v>74</v>
      </c>
      <c r="R585" s="2" t="s">
        <v>74</v>
      </c>
      <c r="S585" s="2" t="s">
        <v>74</v>
      </c>
      <c r="T585" s="2" t="s">
        <v>74</v>
      </c>
      <c r="U585" s="2" t="s">
        <v>74</v>
      </c>
      <c r="V585" s="5" t="s">
        <v>5450</v>
      </c>
      <c r="W585" s="2" t="s">
        <v>74</v>
      </c>
      <c r="X585" s="2" t="s">
        <v>74</v>
      </c>
      <c r="Y585" s="2" t="s">
        <v>74</v>
      </c>
      <c r="Z585" s="2" t="s">
        <v>74</v>
      </c>
      <c r="AA585" s="2" t="s">
        <v>74</v>
      </c>
      <c r="AB585" s="2" t="s">
        <v>74</v>
      </c>
      <c r="AC585" s="2" t="s">
        <v>74</v>
      </c>
      <c r="AD585" s="2" t="s">
        <v>74</v>
      </c>
      <c r="AE585" s="2" t="s">
        <v>74</v>
      </c>
      <c r="AF585" s="2" t="s">
        <v>74</v>
      </c>
      <c r="AG585" s="2" t="s">
        <v>74</v>
      </c>
      <c r="AH585" s="2" t="s">
        <v>74</v>
      </c>
      <c r="AI585" s="2" t="s">
        <v>74</v>
      </c>
      <c r="AJ585" s="2" t="s">
        <v>74</v>
      </c>
      <c r="AK585" s="2" t="s">
        <v>74</v>
      </c>
      <c r="AL585" s="2" t="s">
        <v>74</v>
      </c>
      <c r="AM585" s="2" t="s">
        <v>74</v>
      </c>
      <c r="AN585" s="2" t="s">
        <v>74</v>
      </c>
      <c r="AO585" s="2" t="s">
        <v>2968</v>
      </c>
      <c r="AP585" s="2" t="s">
        <v>74</v>
      </c>
      <c r="AQ585" s="2" t="s">
        <v>74</v>
      </c>
      <c r="AR585" s="2" t="s">
        <v>74</v>
      </c>
      <c r="AS585" s="2" t="s">
        <v>74</v>
      </c>
      <c r="AT585" s="2" t="s">
        <v>2492</v>
      </c>
      <c r="AU585" s="2">
        <v>1990</v>
      </c>
      <c r="AV585" s="2">
        <v>37</v>
      </c>
      <c r="AW585" s="2">
        <v>3</v>
      </c>
      <c r="AX585" s="2" t="s">
        <v>74</v>
      </c>
      <c r="AY585" s="2" t="s">
        <v>74</v>
      </c>
      <c r="AZ585" s="2" t="s">
        <v>74</v>
      </c>
      <c r="BA585" s="2" t="s">
        <v>74</v>
      </c>
      <c r="BB585" s="2">
        <v>246</v>
      </c>
      <c r="BC585" s="2">
        <v>255</v>
      </c>
      <c r="BD585" s="2" t="s">
        <v>74</v>
      </c>
      <c r="BE585" s="2" t="s">
        <v>74</v>
      </c>
      <c r="BF585" s="2" t="s">
        <v>74</v>
      </c>
      <c r="BG585" s="2" t="s">
        <v>74</v>
      </c>
      <c r="BH585" s="2" t="s">
        <v>74</v>
      </c>
      <c r="BI585" s="2" t="s">
        <v>74</v>
      </c>
      <c r="BJ585" s="2" t="s">
        <v>74</v>
      </c>
      <c r="BK585" s="2" t="s">
        <v>74</v>
      </c>
      <c r="BL585" s="2" t="s">
        <v>74</v>
      </c>
      <c r="BM585" s="2" t="s">
        <v>74</v>
      </c>
      <c r="BN585" s="2" t="s">
        <v>74</v>
      </c>
      <c r="BO585" s="2" t="s">
        <v>74</v>
      </c>
      <c r="BP585" s="2" t="s">
        <v>74</v>
      </c>
      <c r="BQ585" s="2" t="s">
        <v>74</v>
      </c>
      <c r="BR585" s="2" t="s">
        <v>74</v>
      </c>
      <c r="BS585" s="2" t="s">
        <v>5451</v>
      </c>
      <c r="BT585" s="2" t="str">
        <f>HYPERLINK("https%3A%2F%2Fwww.webofscience.com%2Fwos%2Fwoscc%2Ffull-record%2FWOS:A1990EP23300007","View Full Record in Web of Science")</f>
        <v>View Full Record in Web of Science</v>
      </c>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row>
    <row r="586" spans="1:314" s="2" customFormat="1" x14ac:dyDescent="0.4">
      <c r="A586" s="2" t="s">
        <v>72</v>
      </c>
      <c r="B586" s="2" t="s">
        <v>1321</v>
      </c>
      <c r="C586" s="2" t="s">
        <v>74</v>
      </c>
      <c r="D586" s="2" t="s">
        <v>74</v>
      </c>
      <c r="E586" s="2" t="s">
        <v>74</v>
      </c>
      <c r="F586" s="2" t="s">
        <v>1322</v>
      </c>
      <c r="G586" s="2" t="s">
        <v>74</v>
      </c>
      <c r="H586" s="2" t="s">
        <v>74</v>
      </c>
      <c r="I586" s="2" t="s">
        <v>1323</v>
      </c>
      <c r="J586" s="2" t="s">
        <v>1324</v>
      </c>
      <c r="K586" s="2" t="s">
        <v>74</v>
      </c>
      <c r="L586" s="2" t="s">
        <v>74</v>
      </c>
      <c r="M586" s="2" t="s">
        <v>74</v>
      </c>
      <c r="N586" s="2" t="s">
        <v>74</v>
      </c>
      <c r="O586" s="2" t="s">
        <v>74</v>
      </c>
      <c r="P586" s="2" t="s">
        <v>74</v>
      </c>
      <c r="Q586" s="2" t="s">
        <v>74</v>
      </c>
      <c r="R586" s="2" t="s">
        <v>74</v>
      </c>
      <c r="S586" s="2" t="s">
        <v>74</v>
      </c>
      <c r="T586" s="2" t="s">
        <v>74</v>
      </c>
      <c r="U586" s="2" t="s">
        <v>74</v>
      </c>
      <c r="V586" s="5" t="s">
        <v>1325</v>
      </c>
      <c r="W586" s="2" t="s">
        <v>74</v>
      </c>
      <c r="X586" s="2" t="s">
        <v>74</v>
      </c>
      <c r="Y586" s="2" t="s">
        <v>74</v>
      </c>
      <c r="Z586" s="2" t="s">
        <v>74</v>
      </c>
      <c r="AA586" s="2" t="s">
        <v>1326</v>
      </c>
      <c r="AB586" s="2" t="s">
        <v>1327</v>
      </c>
      <c r="AC586" s="2" t="s">
        <v>74</v>
      </c>
      <c r="AD586" s="2" t="s">
        <v>74</v>
      </c>
      <c r="AE586" s="2" t="s">
        <v>74</v>
      </c>
      <c r="AF586" s="2" t="s">
        <v>74</v>
      </c>
      <c r="AG586" s="2" t="s">
        <v>74</v>
      </c>
      <c r="AH586" s="2" t="s">
        <v>74</v>
      </c>
      <c r="AI586" s="2" t="s">
        <v>74</v>
      </c>
      <c r="AJ586" s="2" t="s">
        <v>74</v>
      </c>
      <c r="AK586" s="2" t="s">
        <v>74</v>
      </c>
      <c r="AL586" s="2" t="s">
        <v>74</v>
      </c>
      <c r="AM586" s="2" t="s">
        <v>74</v>
      </c>
      <c r="AN586" s="2" t="s">
        <v>74</v>
      </c>
      <c r="AO586" s="2" t="s">
        <v>1328</v>
      </c>
      <c r="AP586" s="2" t="s">
        <v>1329</v>
      </c>
      <c r="AQ586" s="2" t="s">
        <v>74</v>
      </c>
      <c r="AR586" s="2" t="s">
        <v>74</v>
      </c>
      <c r="AS586" s="2" t="s">
        <v>74</v>
      </c>
      <c r="AT586" s="2" t="s">
        <v>123</v>
      </c>
      <c r="AU586" s="2">
        <v>2017</v>
      </c>
      <c r="AV586" s="2">
        <v>83</v>
      </c>
      <c r="AW586" s="2">
        <v>2</v>
      </c>
      <c r="AX586" s="2" t="s">
        <v>74</v>
      </c>
      <c r="AY586" s="2" t="s">
        <v>74</v>
      </c>
      <c r="AZ586" s="2" t="s">
        <v>74</v>
      </c>
      <c r="BA586" s="2" t="s">
        <v>74</v>
      </c>
      <c r="BB586" s="2">
        <v>259</v>
      </c>
      <c r="BC586" s="2">
        <v>264</v>
      </c>
      <c r="BD586" s="2" t="s">
        <v>74</v>
      </c>
      <c r="BE586" s="2" t="s">
        <v>1330</v>
      </c>
      <c r="BF586" s="2" t="str">
        <f>HYPERLINK("http://dx.doi.org/10.1007/s12562-017-1062-8","http://dx.doi.org/10.1007/s12562-017-1062-8")</f>
        <v>http://dx.doi.org/10.1007/s12562-017-1062-8</v>
      </c>
      <c r="BG586" s="2" t="s">
        <v>74</v>
      </c>
      <c r="BH586" s="2" t="s">
        <v>74</v>
      </c>
      <c r="BI586" s="2" t="s">
        <v>74</v>
      </c>
      <c r="BJ586" s="2" t="s">
        <v>74</v>
      </c>
      <c r="BK586" s="2" t="s">
        <v>74</v>
      </c>
      <c r="BL586" s="2" t="s">
        <v>74</v>
      </c>
      <c r="BM586" s="2" t="s">
        <v>74</v>
      </c>
      <c r="BN586" s="2" t="s">
        <v>74</v>
      </c>
      <c r="BO586" s="2" t="s">
        <v>74</v>
      </c>
      <c r="BP586" s="2" t="s">
        <v>74</v>
      </c>
      <c r="BQ586" s="2" t="s">
        <v>74</v>
      </c>
      <c r="BR586" s="2" t="s">
        <v>74</v>
      </c>
      <c r="BS586" s="2" t="s">
        <v>1331</v>
      </c>
      <c r="BT586" s="2" t="str">
        <f>HYPERLINK("https%3A%2F%2Fwww.webofscience.com%2Fwos%2Fwoscc%2Ffull-record%2FWOS:000399657400013","View Full Record in Web of Science")</f>
        <v>View Full Record in Web of Science</v>
      </c>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row>
    <row r="587" spans="1:314" s="2" customFormat="1" x14ac:dyDescent="0.4">
      <c r="A587" s="2" t="s">
        <v>72</v>
      </c>
      <c r="B587" s="2" t="s">
        <v>2771</v>
      </c>
      <c r="C587" s="2" t="s">
        <v>74</v>
      </c>
      <c r="D587" s="2" t="s">
        <v>74</v>
      </c>
      <c r="E587" s="2" t="s">
        <v>74</v>
      </c>
      <c r="F587" s="2" t="s">
        <v>2772</v>
      </c>
      <c r="G587" s="2" t="s">
        <v>74</v>
      </c>
      <c r="H587" s="2" t="s">
        <v>74</v>
      </c>
      <c r="I587" s="2" t="s">
        <v>2773</v>
      </c>
      <c r="J587" s="2" t="s">
        <v>88</v>
      </c>
      <c r="K587" s="2" t="s">
        <v>74</v>
      </c>
      <c r="L587" s="2" t="s">
        <v>74</v>
      </c>
      <c r="M587" s="2" t="s">
        <v>74</v>
      </c>
      <c r="N587" s="2" t="s">
        <v>74</v>
      </c>
      <c r="O587" s="2" t="s">
        <v>74</v>
      </c>
      <c r="P587" s="2" t="s">
        <v>74</v>
      </c>
      <c r="Q587" s="2" t="s">
        <v>74</v>
      </c>
      <c r="R587" s="2" t="s">
        <v>74</v>
      </c>
      <c r="S587" s="2" t="s">
        <v>74</v>
      </c>
      <c r="T587" s="2" t="s">
        <v>74</v>
      </c>
      <c r="U587" s="2" t="s">
        <v>74</v>
      </c>
      <c r="V587" s="5" t="s">
        <v>2774</v>
      </c>
      <c r="W587" s="2" t="s">
        <v>74</v>
      </c>
      <c r="X587" s="2" t="s">
        <v>74</v>
      </c>
      <c r="Y587" s="2" t="s">
        <v>74</v>
      </c>
      <c r="Z587" s="2" t="s">
        <v>74</v>
      </c>
      <c r="AA587" s="2" t="s">
        <v>2775</v>
      </c>
      <c r="AB587" s="2" t="s">
        <v>2776</v>
      </c>
      <c r="AC587" s="2" t="s">
        <v>74</v>
      </c>
      <c r="AD587" s="2" t="s">
        <v>74</v>
      </c>
      <c r="AE587" s="2" t="s">
        <v>74</v>
      </c>
      <c r="AF587" s="2" t="s">
        <v>74</v>
      </c>
      <c r="AG587" s="2" t="s">
        <v>74</v>
      </c>
      <c r="AH587" s="2" t="s">
        <v>74</v>
      </c>
      <c r="AI587" s="2" t="s">
        <v>74</v>
      </c>
      <c r="AJ587" s="2" t="s">
        <v>74</v>
      </c>
      <c r="AK587" s="2" t="s">
        <v>74</v>
      </c>
      <c r="AL587" s="2" t="s">
        <v>74</v>
      </c>
      <c r="AM587" s="2" t="s">
        <v>74</v>
      </c>
      <c r="AN587" s="2" t="s">
        <v>74</v>
      </c>
      <c r="AO587" s="2" t="s">
        <v>91</v>
      </c>
      <c r="AP587" s="2" t="s">
        <v>92</v>
      </c>
      <c r="AQ587" s="2" t="s">
        <v>74</v>
      </c>
      <c r="AR587" s="2" t="s">
        <v>74</v>
      </c>
      <c r="AS587" s="2" t="s">
        <v>74</v>
      </c>
      <c r="AT587" s="2" t="s">
        <v>204</v>
      </c>
      <c r="AU587" s="2">
        <v>2017</v>
      </c>
      <c r="AV587" s="2">
        <v>13</v>
      </c>
      <c r="AW587" s="2">
        <v>7</v>
      </c>
      <c r="AX587" s="2" t="s">
        <v>74</v>
      </c>
      <c r="AY587" s="2" t="s">
        <v>74</v>
      </c>
      <c r="AZ587" s="2" t="s">
        <v>74</v>
      </c>
      <c r="BA587" s="2" t="s">
        <v>74</v>
      </c>
      <c r="BB587" s="2" t="s">
        <v>74</v>
      </c>
      <c r="BC587" s="2" t="s">
        <v>74</v>
      </c>
      <c r="BD587" s="2">
        <v>20170242</v>
      </c>
      <c r="BE587" s="2" t="s">
        <v>2777</v>
      </c>
      <c r="BF587" s="2" t="str">
        <f>HYPERLINK("http://dx.doi.org/10.1098/rsbl.2017.0242","http://dx.doi.org/10.1098/rsbl.2017.0242")</f>
        <v>http://dx.doi.org/10.1098/rsbl.2017.0242</v>
      </c>
      <c r="BG587" s="2" t="s">
        <v>74</v>
      </c>
      <c r="BH587" s="2" t="s">
        <v>74</v>
      </c>
      <c r="BI587" s="2" t="s">
        <v>74</v>
      </c>
      <c r="BJ587" s="2" t="s">
        <v>74</v>
      </c>
      <c r="BK587" s="2" t="s">
        <v>74</v>
      </c>
      <c r="BL587" s="2" t="s">
        <v>74</v>
      </c>
      <c r="BM587" s="2" t="s">
        <v>74</v>
      </c>
      <c r="BN587" s="2">
        <v>28724689</v>
      </c>
      <c r="BO587" s="2" t="s">
        <v>74</v>
      </c>
      <c r="BP587" s="2" t="s">
        <v>74</v>
      </c>
      <c r="BQ587" s="2" t="s">
        <v>74</v>
      </c>
      <c r="BR587" s="2" t="s">
        <v>74</v>
      </c>
      <c r="BS587" s="2" t="s">
        <v>2778</v>
      </c>
      <c r="BT587" s="2" t="str">
        <f>HYPERLINK("https%3A%2F%2Fwww.webofscience.com%2Fwos%2Fwoscc%2Ffull-record%2FWOS:000409400700003","View Full Record in Web of Science")</f>
        <v>View Full Record in Web of Science</v>
      </c>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row>
    <row r="588" spans="1:314" s="2" customFormat="1" x14ac:dyDescent="0.4">
      <c r="A588" s="2" t="s">
        <v>72</v>
      </c>
      <c r="B588" s="2" t="s">
        <v>7451</v>
      </c>
      <c r="C588" s="2" t="s">
        <v>74</v>
      </c>
      <c r="D588" s="2" t="s">
        <v>74</v>
      </c>
      <c r="E588" s="2" t="s">
        <v>74</v>
      </c>
      <c r="F588" s="2" t="s">
        <v>7451</v>
      </c>
      <c r="G588" s="2" t="s">
        <v>74</v>
      </c>
      <c r="H588" s="2" t="s">
        <v>74</v>
      </c>
      <c r="I588" s="2" t="s">
        <v>7452</v>
      </c>
      <c r="J588" s="2" t="s">
        <v>129</v>
      </c>
      <c r="K588" s="2" t="s">
        <v>74</v>
      </c>
      <c r="L588" s="2" t="s">
        <v>74</v>
      </c>
      <c r="M588" s="2" t="s">
        <v>74</v>
      </c>
      <c r="N588" s="2" t="s">
        <v>74</v>
      </c>
      <c r="O588" s="2" t="s">
        <v>74</v>
      </c>
      <c r="P588" s="2" t="s">
        <v>74</v>
      </c>
      <c r="Q588" s="2" t="s">
        <v>74</v>
      </c>
      <c r="R588" s="2" t="s">
        <v>74</v>
      </c>
      <c r="S588" s="2" t="s">
        <v>74</v>
      </c>
      <c r="T588" s="2" t="s">
        <v>74</v>
      </c>
      <c r="U588" s="2" t="s">
        <v>74</v>
      </c>
      <c r="V588" s="5" t="s">
        <v>7453</v>
      </c>
      <c r="W588" s="2" t="s">
        <v>74</v>
      </c>
      <c r="X588" s="2" t="s">
        <v>74</v>
      </c>
      <c r="Y588" s="2" t="s">
        <v>74</v>
      </c>
      <c r="Z588" s="2" t="s">
        <v>74</v>
      </c>
      <c r="AA588" s="2" t="s">
        <v>4828</v>
      </c>
      <c r="AB588" s="2" t="s">
        <v>4829</v>
      </c>
      <c r="AC588" s="2" t="s">
        <v>74</v>
      </c>
      <c r="AD588" s="2" t="s">
        <v>74</v>
      </c>
      <c r="AE588" s="2" t="s">
        <v>74</v>
      </c>
      <c r="AF588" s="2" t="s">
        <v>74</v>
      </c>
      <c r="AG588" s="2" t="s">
        <v>74</v>
      </c>
      <c r="AH588" s="2" t="s">
        <v>74</v>
      </c>
      <c r="AI588" s="2" t="s">
        <v>74</v>
      </c>
      <c r="AJ588" s="2" t="s">
        <v>74</v>
      </c>
      <c r="AK588" s="2" t="s">
        <v>74</v>
      </c>
      <c r="AL588" s="2" t="s">
        <v>74</v>
      </c>
      <c r="AM588" s="2" t="s">
        <v>74</v>
      </c>
      <c r="AN588" s="2" t="s">
        <v>74</v>
      </c>
      <c r="AO588" s="2" t="s">
        <v>132</v>
      </c>
      <c r="AP588" s="2" t="s">
        <v>133</v>
      </c>
      <c r="AQ588" s="2" t="s">
        <v>74</v>
      </c>
      <c r="AR588" s="2" t="s">
        <v>74</v>
      </c>
      <c r="AS588" s="2" t="s">
        <v>74</v>
      </c>
      <c r="AT588" s="2" t="s">
        <v>964</v>
      </c>
      <c r="AU588" s="2">
        <v>2000</v>
      </c>
      <c r="AV588" s="2">
        <v>47</v>
      </c>
      <c r="AW588" s="2">
        <v>3</v>
      </c>
      <c r="AX588" s="2" t="s">
        <v>74</v>
      </c>
      <c r="AY588" s="2" t="s">
        <v>74</v>
      </c>
      <c r="AZ588" s="2" t="s">
        <v>74</v>
      </c>
      <c r="BA588" s="2" t="s">
        <v>74</v>
      </c>
      <c r="BB588" s="2">
        <v>164</v>
      </c>
      <c r="BC588" s="2">
        <v>170</v>
      </c>
      <c r="BD588" s="2" t="s">
        <v>74</v>
      </c>
      <c r="BE588" s="2" t="s">
        <v>7454</v>
      </c>
      <c r="BF588" s="2" t="str">
        <f>HYPERLINK("http://dx.doi.org/10.1007/s002650050007","http://dx.doi.org/10.1007/s002650050007")</f>
        <v>http://dx.doi.org/10.1007/s002650050007</v>
      </c>
      <c r="BG588" s="2" t="s">
        <v>74</v>
      </c>
      <c r="BH588" s="2" t="s">
        <v>74</v>
      </c>
      <c r="BI588" s="2" t="s">
        <v>74</v>
      </c>
      <c r="BJ588" s="2" t="s">
        <v>74</v>
      </c>
      <c r="BK588" s="2" t="s">
        <v>74</v>
      </c>
      <c r="BL588" s="2" t="s">
        <v>74</v>
      </c>
      <c r="BM588" s="2" t="s">
        <v>74</v>
      </c>
      <c r="BN588" s="2" t="s">
        <v>74</v>
      </c>
      <c r="BO588" s="2" t="s">
        <v>74</v>
      </c>
      <c r="BP588" s="2" t="s">
        <v>74</v>
      </c>
      <c r="BQ588" s="2" t="s">
        <v>74</v>
      </c>
      <c r="BR588" s="2" t="s">
        <v>74</v>
      </c>
      <c r="BS588" s="2" t="s">
        <v>7455</v>
      </c>
      <c r="BT588" s="2" t="str">
        <f>HYPERLINK("https%3A%2F%2Fwww.webofscience.com%2Fwos%2Fwoscc%2Ffull-record%2FWOS:000085378400007","View Full Record in Web of Science")</f>
        <v>View Full Record in Web of Science</v>
      </c>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row>
    <row r="589" spans="1:314" s="2" customFormat="1" x14ac:dyDescent="0.4">
      <c r="A589" s="2" t="s">
        <v>72</v>
      </c>
      <c r="B589" s="2" t="s">
        <v>1580</v>
      </c>
      <c r="C589" s="2" t="s">
        <v>74</v>
      </c>
      <c r="D589" s="2" t="s">
        <v>74</v>
      </c>
      <c r="E589" s="2" t="s">
        <v>74</v>
      </c>
      <c r="F589" s="2" t="s">
        <v>1580</v>
      </c>
      <c r="G589" s="2" t="s">
        <v>74</v>
      </c>
      <c r="H589" s="2" t="s">
        <v>74</v>
      </c>
      <c r="I589" s="2" t="s">
        <v>1581</v>
      </c>
      <c r="J589" s="2" t="s">
        <v>229</v>
      </c>
      <c r="K589" s="2" t="s">
        <v>74</v>
      </c>
      <c r="L589" s="2" t="s">
        <v>74</v>
      </c>
      <c r="M589" s="2" t="s">
        <v>74</v>
      </c>
      <c r="N589" s="2" t="s">
        <v>74</v>
      </c>
      <c r="O589" s="2" t="s">
        <v>74</v>
      </c>
      <c r="P589" s="2" t="s">
        <v>74</v>
      </c>
      <c r="Q589" s="2" t="s">
        <v>74</v>
      </c>
      <c r="R589" s="2" t="s">
        <v>74</v>
      </c>
      <c r="S589" s="2" t="s">
        <v>74</v>
      </c>
      <c r="T589" s="2" t="s">
        <v>74</v>
      </c>
      <c r="U589" s="2" t="s">
        <v>74</v>
      </c>
      <c r="V589" s="5" t="s">
        <v>1582</v>
      </c>
      <c r="W589" s="2" t="s">
        <v>74</v>
      </c>
      <c r="X589" s="2" t="s">
        <v>74</v>
      </c>
      <c r="Y589" s="2" t="s">
        <v>74</v>
      </c>
      <c r="Z589" s="2" t="s">
        <v>74</v>
      </c>
      <c r="AA589" s="2" t="s">
        <v>74</v>
      </c>
      <c r="AB589" s="2" t="s">
        <v>74</v>
      </c>
      <c r="AC589" s="2" t="s">
        <v>74</v>
      </c>
      <c r="AD589" s="2" t="s">
        <v>74</v>
      </c>
      <c r="AE589" s="2" t="s">
        <v>74</v>
      </c>
      <c r="AF589" s="2" t="s">
        <v>74</v>
      </c>
      <c r="AG589" s="2" t="s">
        <v>74</v>
      </c>
      <c r="AH589" s="2" t="s">
        <v>74</v>
      </c>
      <c r="AI589" s="2" t="s">
        <v>74</v>
      </c>
      <c r="AJ589" s="2" t="s">
        <v>74</v>
      </c>
      <c r="AK589" s="2" t="s">
        <v>74</v>
      </c>
      <c r="AL589" s="2" t="s">
        <v>74</v>
      </c>
      <c r="AM589" s="2" t="s">
        <v>74</v>
      </c>
      <c r="AN589" s="2" t="s">
        <v>74</v>
      </c>
      <c r="AO589" s="2" t="s">
        <v>233</v>
      </c>
      <c r="AP589" s="2" t="s">
        <v>234</v>
      </c>
      <c r="AQ589" s="2" t="s">
        <v>74</v>
      </c>
      <c r="AR589" s="2" t="s">
        <v>74</v>
      </c>
      <c r="AS589" s="2" t="s">
        <v>74</v>
      </c>
      <c r="AT589" s="2" t="s">
        <v>74</v>
      </c>
      <c r="AU589" s="2">
        <v>1988</v>
      </c>
      <c r="AV589" s="2">
        <v>14</v>
      </c>
      <c r="AW589" s="2">
        <v>4</v>
      </c>
      <c r="AX589" s="2" t="s">
        <v>74</v>
      </c>
      <c r="AY589" s="2" t="s">
        <v>74</v>
      </c>
      <c r="AZ589" s="2" t="s">
        <v>74</v>
      </c>
      <c r="BA589" s="2" t="s">
        <v>74</v>
      </c>
      <c r="BB589" s="2">
        <v>245</v>
      </c>
      <c r="BC589" s="2">
        <v>254</v>
      </c>
      <c r="BD589" s="2" t="s">
        <v>74</v>
      </c>
      <c r="BE589" s="2" t="s">
        <v>1583</v>
      </c>
      <c r="BF589" s="2" t="str">
        <f>HYPERLINK("http://dx.doi.org/10.1002/1098-2337(1988)14:4&lt;245::AID-AB2480140403&gt;3.0.CO;2-I","http://dx.doi.org/10.1002/1098-2337(1988)14:4&lt;245::AID-AB2480140403&gt;3.0.CO;2-I")</f>
        <v>http://dx.doi.org/10.1002/1098-2337(1988)14:4&lt;245::AID-AB2480140403&gt;3.0.CO;2-I</v>
      </c>
      <c r="BG589" s="2" t="s">
        <v>74</v>
      </c>
      <c r="BH589" s="2" t="s">
        <v>74</v>
      </c>
      <c r="BI589" s="2" t="s">
        <v>74</v>
      </c>
      <c r="BJ589" s="2" t="s">
        <v>74</v>
      </c>
      <c r="BK589" s="2" t="s">
        <v>74</v>
      </c>
      <c r="BL589" s="2" t="s">
        <v>74</v>
      </c>
      <c r="BM589" s="2" t="s">
        <v>74</v>
      </c>
      <c r="BN589" s="2" t="s">
        <v>74</v>
      </c>
      <c r="BO589" s="2" t="s">
        <v>74</v>
      </c>
      <c r="BP589" s="2" t="s">
        <v>74</v>
      </c>
      <c r="BQ589" s="2" t="s">
        <v>74</v>
      </c>
      <c r="BR589" s="2" t="s">
        <v>74</v>
      </c>
      <c r="BS589" s="2" t="s">
        <v>1584</v>
      </c>
      <c r="BT589" s="2" t="str">
        <f>HYPERLINK("https%3A%2F%2Fwww.webofscience.com%2Fwos%2Fwoscc%2Ffull-record%2FWOS:A1988P800800002","View Full Record in Web of Science")</f>
        <v>View Full Record in Web of Science</v>
      </c>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row>
    <row r="590" spans="1:314" s="2" customFormat="1" x14ac:dyDescent="0.4">
      <c r="A590" s="2" t="s">
        <v>72</v>
      </c>
      <c r="B590" s="2" t="s">
        <v>4251</v>
      </c>
      <c r="C590" s="2" t="s">
        <v>74</v>
      </c>
      <c r="D590" s="2" t="s">
        <v>74</v>
      </c>
      <c r="E590" s="2" t="s">
        <v>74</v>
      </c>
      <c r="F590" s="2" t="s">
        <v>4252</v>
      </c>
      <c r="G590" s="2" t="s">
        <v>74</v>
      </c>
      <c r="H590" s="2" t="s">
        <v>74</v>
      </c>
      <c r="I590" s="2" t="s">
        <v>4253</v>
      </c>
      <c r="J590" s="2" t="s">
        <v>108</v>
      </c>
      <c r="K590" s="2" t="s">
        <v>74</v>
      </c>
      <c r="L590" s="2" t="s">
        <v>74</v>
      </c>
      <c r="M590" s="2" t="s">
        <v>74</v>
      </c>
      <c r="N590" s="2" t="s">
        <v>74</v>
      </c>
      <c r="O590" s="2" t="s">
        <v>74</v>
      </c>
      <c r="P590" s="2" t="s">
        <v>74</v>
      </c>
      <c r="Q590" s="2" t="s">
        <v>74</v>
      </c>
      <c r="R590" s="2" t="s">
        <v>74</v>
      </c>
      <c r="S590" s="2" t="s">
        <v>74</v>
      </c>
      <c r="T590" s="2" t="s">
        <v>74</v>
      </c>
      <c r="U590" s="2" t="s">
        <v>74</v>
      </c>
      <c r="V590" s="5" t="s">
        <v>4254</v>
      </c>
      <c r="W590" s="2" t="s">
        <v>74</v>
      </c>
      <c r="X590" s="2" t="s">
        <v>74</v>
      </c>
      <c r="Y590" s="2" t="s">
        <v>74</v>
      </c>
      <c r="Z590" s="2" t="s">
        <v>74</v>
      </c>
      <c r="AA590" s="2" t="s">
        <v>2184</v>
      </c>
      <c r="AB590" s="2" t="s">
        <v>2806</v>
      </c>
      <c r="AC590" s="2" t="s">
        <v>74</v>
      </c>
      <c r="AD590" s="2" t="s">
        <v>74</v>
      </c>
      <c r="AE590" s="2" t="s">
        <v>74</v>
      </c>
      <c r="AF590" s="2" t="s">
        <v>74</v>
      </c>
      <c r="AG590" s="2" t="s">
        <v>74</v>
      </c>
      <c r="AH590" s="2" t="s">
        <v>74</v>
      </c>
      <c r="AI590" s="2" t="s">
        <v>74</v>
      </c>
      <c r="AJ590" s="2" t="s">
        <v>74</v>
      </c>
      <c r="AK590" s="2" t="s">
        <v>74</v>
      </c>
      <c r="AL590" s="2" t="s">
        <v>74</v>
      </c>
      <c r="AM590" s="2" t="s">
        <v>74</v>
      </c>
      <c r="AN590" s="2" t="s">
        <v>74</v>
      </c>
      <c r="AO590" s="2" t="s">
        <v>111</v>
      </c>
      <c r="AP590" s="2" t="s">
        <v>74</v>
      </c>
      <c r="AQ590" s="2" t="s">
        <v>74</v>
      </c>
      <c r="AR590" s="2" t="s">
        <v>74</v>
      </c>
      <c r="AS590" s="2" t="s">
        <v>74</v>
      </c>
      <c r="AT590" s="2" t="s">
        <v>275</v>
      </c>
      <c r="AU590" s="2">
        <v>2007</v>
      </c>
      <c r="AV590" s="2">
        <v>274</v>
      </c>
      <c r="AW590" s="2">
        <v>1613</v>
      </c>
      <c r="AX590" s="2" t="s">
        <v>74</v>
      </c>
      <c r="AY590" s="2" t="s">
        <v>74</v>
      </c>
      <c r="AZ590" s="2" t="s">
        <v>74</v>
      </c>
      <c r="BA590" s="2" t="s">
        <v>74</v>
      </c>
      <c r="BB590" s="2">
        <v>1043</v>
      </c>
      <c r="BC590" s="2">
        <v>1047</v>
      </c>
      <c r="BD590" s="2" t="s">
        <v>74</v>
      </c>
      <c r="BE590" s="2" t="s">
        <v>4255</v>
      </c>
      <c r="BF590" s="2" t="str">
        <f>HYPERLINK("http://dx.doi.org/10.1098/rspb.2006.0043","http://dx.doi.org/10.1098/rspb.2006.0043")</f>
        <v>http://dx.doi.org/10.1098/rspb.2006.0043</v>
      </c>
      <c r="BG590" s="2" t="s">
        <v>74</v>
      </c>
      <c r="BH590" s="2" t="s">
        <v>74</v>
      </c>
      <c r="BI590" s="2" t="s">
        <v>74</v>
      </c>
      <c r="BJ590" s="2" t="s">
        <v>74</v>
      </c>
      <c r="BK590" s="2" t="s">
        <v>74</v>
      </c>
      <c r="BL590" s="2" t="s">
        <v>74</v>
      </c>
      <c r="BM590" s="2" t="s">
        <v>74</v>
      </c>
      <c r="BN590" s="2">
        <v>17284412</v>
      </c>
      <c r="BO590" s="2" t="s">
        <v>74</v>
      </c>
      <c r="BP590" s="2" t="s">
        <v>74</v>
      </c>
      <c r="BQ590" s="2" t="s">
        <v>74</v>
      </c>
      <c r="BR590" s="2" t="s">
        <v>74</v>
      </c>
      <c r="BS590" s="2" t="s">
        <v>4256</v>
      </c>
      <c r="BT590" s="2" t="str">
        <f>HYPERLINK("https%3A%2F%2Fwww.webofscience.com%2Fwos%2Fwoscc%2Ffull-record%2FWOS:000245472200005","View Full Record in Web of Science")</f>
        <v>View Full Record in Web of Science</v>
      </c>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row>
    <row r="591" spans="1:314" s="2" customFormat="1" x14ac:dyDescent="0.4">
      <c r="A591" s="2" t="s">
        <v>72</v>
      </c>
      <c r="B591" s="2" t="s">
        <v>2803</v>
      </c>
      <c r="C591" s="2" t="s">
        <v>74</v>
      </c>
      <c r="D591" s="2" t="s">
        <v>74</v>
      </c>
      <c r="E591" s="2" t="s">
        <v>74</v>
      </c>
      <c r="F591" s="2" t="s">
        <v>2803</v>
      </c>
      <c r="G591" s="2" t="s">
        <v>74</v>
      </c>
      <c r="H591" s="2" t="s">
        <v>74</v>
      </c>
      <c r="I591" s="2" t="s">
        <v>2804</v>
      </c>
      <c r="J591" s="2" t="s">
        <v>499</v>
      </c>
      <c r="K591" s="2" t="s">
        <v>74</v>
      </c>
      <c r="L591" s="2" t="s">
        <v>74</v>
      </c>
      <c r="M591" s="2" t="s">
        <v>74</v>
      </c>
      <c r="N591" s="2" t="s">
        <v>74</v>
      </c>
      <c r="O591" s="2" t="s">
        <v>74</v>
      </c>
      <c r="P591" s="2" t="s">
        <v>74</v>
      </c>
      <c r="Q591" s="2" t="s">
        <v>74</v>
      </c>
      <c r="R591" s="2" t="s">
        <v>74</v>
      </c>
      <c r="S591" s="2" t="s">
        <v>74</v>
      </c>
      <c r="T591" s="2" t="s">
        <v>74</v>
      </c>
      <c r="U591" s="2" t="s">
        <v>74</v>
      </c>
      <c r="V591" s="5" t="s">
        <v>2805</v>
      </c>
      <c r="W591" s="2" t="s">
        <v>74</v>
      </c>
      <c r="X591" s="2" t="s">
        <v>74</v>
      </c>
      <c r="Y591" s="2" t="s">
        <v>74</v>
      </c>
      <c r="Z591" s="2" t="s">
        <v>74</v>
      </c>
      <c r="AA591" s="2" t="s">
        <v>2184</v>
      </c>
      <c r="AB591" s="2" t="s">
        <v>2806</v>
      </c>
      <c r="AC591" s="2" t="s">
        <v>74</v>
      </c>
      <c r="AD591" s="2" t="s">
        <v>74</v>
      </c>
      <c r="AE591" s="2" t="s">
        <v>74</v>
      </c>
      <c r="AF591" s="2" t="s">
        <v>74</v>
      </c>
      <c r="AG591" s="2" t="s">
        <v>74</v>
      </c>
      <c r="AH591" s="2" t="s">
        <v>74</v>
      </c>
      <c r="AI591" s="2" t="s">
        <v>74</v>
      </c>
      <c r="AJ591" s="2" t="s">
        <v>74</v>
      </c>
      <c r="AK591" s="2" t="s">
        <v>74</v>
      </c>
      <c r="AL591" s="2" t="s">
        <v>74</v>
      </c>
      <c r="AM591" s="2" t="s">
        <v>74</v>
      </c>
      <c r="AN591" s="2" t="s">
        <v>74</v>
      </c>
      <c r="AO591" s="2" t="s">
        <v>503</v>
      </c>
      <c r="AP591" s="2" t="s">
        <v>504</v>
      </c>
      <c r="AQ591" s="2" t="s">
        <v>74</v>
      </c>
      <c r="AR591" s="2" t="s">
        <v>74</v>
      </c>
      <c r="AS591" s="2" t="s">
        <v>74</v>
      </c>
      <c r="AT591" s="2" t="s">
        <v>255</v>
      </c>
      <c r="AU591" s="2">
        <v>2005</v>
      </c>
      <c r="AV591" s="2">
        <v>7</v>
      </c>
      <c r="AW591" s="2">
        <v>1</v>
      </c>
      <c r="AX591" s="2" t="s">
        <v>74</v>
      </c>
      <c r="AY591" s="2" t="s">
        <v>74</v>
      </c>
      <c r="AZ591" s="2" t="s">
        <v>74</v>
      </c>
      <c r="BA591" s="2" t="s">
        <v>74</v>
      </c>
      <c r="BB591" s="2">
        <v>133</v>
      </c>
      <c r="BC591" s="2">
        <v>141</v>
      </c>
      <c r="BD591" s="2" t="s">
        <v>74</v>
      </c>
      <c r="BE591" s="2" t="s">
        <v>74</v>
      </c>
      <c r="BF591" s="2" t="s">
        <v>74</v>
      </c>
      <c r="BG591" s="2" t="s">
        <v>74</v>
      </c>
      <c r="BH591" s="2" t="s">
        <v>74</v>
      </c>
      <c r="BI591" s="2" t="s">
        <v>74</v>
      </c>
      <c r="BJ591" s="2" t="s">
        <v>74</v>
      </c>
      <c r="BK591" s="2" t="s">
        <v>74</v>
      </c>
      <c r="BL591" s="2" t="s">
        <v>74</v>
      </c>
      <c r="BM591" s="2" t="s">
        <v>74</v>
      </c>
      <c r="BN591" s="2" t="s">
        <v>74</v>
      </c>
      <c r="BO591" s="2" t="s">
        <v>74</v>
      </c>
      <c r="BP591" s="2" t="s">
        <v>74</v>
      </c>
      <c r="BQ591" s="2" t="s">
        <v>74</v>
      </c>
      <c r="BR591" s="2" t="s">
        <v>74</v>
      </c>
      <c r="BS591" s="2" t="s">
        <v>2807</v>
      </c>
      <c r="BT591" s="2" t="str">
        <f>HYPERLINK("https%3A%2F%2Fwww.webofscience.com%2Fwos%2Fwoscc%2Ffull-record%2FWOS:000227450800009","View Full Record in Web of Science")</f>
        <v>View Full Record in Web of Science</v>
      </c>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row>
    <row r="592" spans="1:314" s="2" customFormat="1" x14ac:dyDescent="0.4">
      <c r="A592" s="2" t="s">
        <v>72</v>
      </c>
      <c r="B592" s="2" t="s">
        <v>215</v>
      </c>
      <c r="C592" s="2" t="s">
        <v>74</v>
      </c>
      <c r="D592" s="2" t="s">
        <v>74</v>
      </c>
      <c r="E592" s="2" t="s">
        <v>74</v>
      </c>
      <c r="F592" s="2" t="s">
        <v>216</v>
      </c>
      <c r="G592" s="2" t="s">
        <v>74</v>
      </c>
      <c r="H592" s="2" t="s">
        <v>74</v>
      </c>
      <c r="I592" s="2" t="s">
        <v>217</v>
      </c>
      <c r="J592" s="2" t="s">
        <v>218</v>
      </c>
      <c r="K592" s="2" t="s">
        <v>74</v>
      </c>
      <c r="L592" s="2" t="s">
        <v>74</v>
      </c>
      <c r="M592" s="2" t="s">
        <v>74</v>
      </c>
      <c r="N592" s="2" t="s">
        <v>74</v>
      </c>
      <c r="O592" s="2" t="s">
        <v>74</v>
      </c>
      <c r="P592" s="2" t="s">
        <v>74</v>
      </c>
      <c r="Q592" s="2" t="s">
        <v>74</v>
      </c>
      <c r="R592" s="2" t="s">
        <v>74</v>
      </c>
      <c r="S592" s="2" t="s">
        <v>74</v>
      </c>
      <c r="T592" s="2" t="s">
        <v>74</v>
      </c>
      <c r="U592" s="2" t="s">
        <v>74</v>
      </c>
      <c r="V592" s="5" t="s">
        <v>219</v>
      </c>
      <c r="W592" s="2" t="s">
        <v>74</v>
      </c>
      <c r="X592" s="2" t="s">
        <v>74</v>
      </c>
      <c r="Y592" s="2" t="s">
        <v>74</v>
      </c>
      <c r="Z592" s="2" t="s">
        <v>74</v>
      </c>
      <c r="AA592" s="2" t="s">
        <v>74</v>
      </c>
      <c r="AB592" s="2" t="s">
        <v>220</v>
      </c>
      <c r="AC592" s="2" t="s">
        <v>74</v>
      </c>
      <c r="AD592" s="2" t="s">
        <v>74</v>
      </c>
      <c r="AE592" s="2" t="s">
        <v>74</v>
      </c>
      <c r="AF592" s="2" t="s">
        <v>74</v>
      </c>
      <c r="AG592" s="2" t="s">
        <v>74</v>
      </c>
      <c r="AH592" s="2" t="s">
        <v>74</v>
      </c>
      <c r="AI592" s="2" t="s">
        <v>74</v>
      </c>
      <c r="AJ592" s="2" t="s">
        <v>74</v>
      </c>
      <c r="AK592" s="2" t="s">
        <v>74</v>
      </c>
      <c r="AL592" s="2" t="s">
        <v>74</v>
      </c>
      <c r="AM592" s="2" t="s">
        <v>74</v>
      </c>
      <c r="AN592" s="2" t="s">
        <v>74</v>
      </c>
      <c r="AO592" s="2" t="s">
        <v>221</v>
      </c>
      <c r="AP592" s="2" t="s">
        <v>222</v>
      </c>
      <c r="AQ592" s="2" t="s">
        <v>74</v>
      </c>
      <c r="AR592" s="2" t="s">
        <v>74</v>
      </c>
      <c r="AS592" s="2" t="s">
        <v>74</v>
      </c>
      <c r="AT592" s="2" t="s">
        <v>204</v>
      </c>
      <c r="AU592" s="2">
        <v>2021</v>
      </c>
      <c r="AV592" s="2">
        <v>34</v>
      </c>
      <c r="AW592" s="2">
        <v>7</v>
      </c>
      <c r="AX592" s="2" t="s">
        <v>74</v>
      </c>
      <c r="AY592" s="2" t="s">
        <v>74</v>
      </c>
      <c r="AZ592" s="2" t="s">
        <v>74</v>
      </c>
      <c r="BA592" s="2" t="s">
        <v>74</v>
      </c>
      <c r="BB592" s="2">
        <v>1110</v>
      </c>
      <c r="BC592" s="2">
        <v>1124</v>
      </c>
      <c r="BD592" s="2" t="s">
        <v>74</v>
      </c>
      <c r="BE592" s="2" t="s">
        <v>223</v>
      </c>
      <c r="BF592" s="2" t="str">
        <f>HYPERLINK("http://dx.doi.org/10.1111/jeb.13798","http://dx.doi.org/10.1111/jeb.13798")</f>
        <v>http://dx.doi.org/10.1111/jeb.13798</v>
      </c>
      <c r="BG592" s="2" t="s">
        <v>74</v>
      </c>
      <c r="BH592" s="2" t="s">
        <v>224</v>
      </c>
      <c r="BI592" s="2" t="s">
        <v>74</v>
      </c>
      <c r="BJ592" s="2" t="s">
        <v>74</v>
      </c>
      <c r="BK592" s="2" t="s">
        <v>74</v>
      </c>
      <c r="BL592" s="2" t="s">
        <v>74</v>
      </c>
      <c r="BM592" s="2" t="s">
        <v>74</v>
      </c>
      <c r="BN592" s="2">
        <v>33949033</v>
      </c>
      <c r="BO592" s="2" t="s">
        <v>74</v>
      </c>
      <c r="BP592" s="2" t="s">
        <v>74</v>
      </c>
      <c r="BQ592" s="2" t="s">
        <v>74</v>
      </c>
      <c r="BR592" s="2" t="s">
        <v>74</v>
      </c>
      <c r="BS592" s="2" t="s">
        <v>225</v>
      </c>
      <c r="BT592" s="2" t="str">
        <f>HYPERLINK("https%3A%2F%2Fwww.webofscience.com%2Fwos%2Fwoscc%2Ffull-record%2FWOS:000668020400001","View Full Record in Web of Science")</f>
        <v>View Full Record in Web of Science</v>
      </c>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row>
    <row r="593" spans="1:314" s="2" customFormat="1" x14ac:dyDescent="0.4">
      <c r="A593" s="2" t="s">
        <v>72</v>
      </c>
      <c r="B593" s="2" t="s">
        <v>215</v>
      </c>
      <c r="C593" s="2" t="s">
        <v>74</v>
      </c>
      <c r="D593" s="2" t="s">
        <v>74</v>
      </c>
      <c r="E593" s="2" t="s">
        <v>74</v>
      </c>
      <c r="F593" s="2" t="s">
        <v>216</v>
      </c>
      <c r="G593" s="2" t="s">
        <v>74</v>
      </c>
      <c r="H593" s="2" t="s">
        <v>74</v>
      </c>
      <c r="I593" s="2" t="s">
        <v>898</v>
      </c>
      <c r="J593" s="2" t="s">
        <v>312</v>
      </c>
      <c r="K593" s="2" t="s">
        <v>74</v>
      </c>
      <c r="L593" s="2" t="s">
        <v>74</v>
      </c>
      <c r="M593" s="2" t="s">
        <v>74</v>
      </c>
      <c r="N593" s="2" t="s">
        <v>74</v>
      </c>
      <c r="O593" s="2" t="s">
        <v>74</v>
      </c>
      <c r="P593" s="2" t="s">
        <v>74</v>
      </c>
      <c r="Q593" s="2" t="s">
        <v>74</v>
      </c>
      <c r="R593" s="2" t="s">
        <v>74</v>
      </c>
      <c r="S593" s="2" t="s">
        <v>74</v>
      </c>
      <c r="T593" s="2" t="s">
        <v>74</v>
      </c>
      <c r="U593" s="2" t="s">
        <v>74</v>
      </c>
      <c r="V593" s="5" t="s">
        <v>899</v>
      </c>
      <c r="W593" s="2" t="s">
        <v>74</v>
      </c>
      <c r="X593" s="2" t="s">
        <v>74</v>
      </c>
      <c r="Y593" s="2" t="s">
        <v>74</v>
      </c>
      <c r="Z593" s="2" t="s">
        <v>74</v>
      </c>
      <c r="AA593" s="2" t="s">
        <v>74</v>
      </c>
      <c r="AB593" s="2" t="s">
        <v>74</v>
      </c>
      <c r="AC593" s="2" t="s">
        <v>74</v>
      </c>
      <c r="AD593" s="2" t="s">
        <v>74</v>
      </c>
      <c r="AE593" s="2" t="s">
        <v>74</v>
      </c>
      <c r="AF593" s="2" t="s">
        <v>74</v>
      </c>
      <c r="AG593" s="2" t="s">
        <v>74</v>
      </c>
      <c r="AH593" s="2" t="s">
        <v>74</v>
      </c>
      <c r="AI593" s="2" t="s">
        <v>74</v>
      </c>
      <c r="AJ593" s="2" t="s">
        <v>74</v>
      </c>
      <c r="AK593" s="2" t="s">
        <v>74</v>
      </c>
      <c r="AL593" s="2" t="s">
        <v>74</v>
      </c>
      <c r="AM593" s="2" t="s">
        <v>74</v>
      </c>
      <c r="AN593" s="2" t="s">
        <v>74</v>
      </c>
      <c r="AO593" s="2" t="s">
        <v>314</v>
      </c>
      <c r="AP593" s="2" t="s">
        <v>315</v>
      </c>
      <c r="AQ593" s="2" t="s">
        <v>74</v>
      </c>
      <c r="AR593" s="2" t="s">
        <v>74</v>
      </c>
      <c r="AS593" s="2" t="s">
        <v>74</v>
      </c>
      <c r="AT593" s="2" t="s">
        <v>900</v>
      </c>
      <c r="AU593" s="2">
        <v>2023</v>
      </c>
      <c r="AV593" s="2" t="s">
        <v>74</v>
      </c>
      <c r="AW593" s="2" t="s">
        <v>74</v>
      </c>
      <c r="AX593" s="2" t="s">
        <v>74</v>
      </c>
      <c r="AY593" s="2" t="s">
        <v>74</v>
      </c>
      <c r="AZ593" s="2" t="s">
        <v>74</v>
      </c>
      <c r="BA593" s="2" t="s">
        <v>74</v>
      </c>
      <c r="BB593" s="2" t="s">
        <v>74</v>
      </c>
      <c r="BC593" s="2" t="s">
        <v>74</v>
      </c>
      <c r="BD593" s="2" t="s">
        <v>74</v>
      </c>
      <c r="BE593" s="2" t="s">
        <v>901</v>
      </c>
      <c r="BF593" s="2" t="str">
        <f>HYPERLINK("http://dx.doi.org/10.1086/725916","http://dx.doi.org/10.1086/725916")</f>
        <v>http://dx.doi.org/10.1086/725916</v>
      </c>
      <c r="BG593" s="2" t="s">
        <v>74</v>
      </c>
      <c r="BH593" s="2" t="s">
        <v>902</v>
      </c>
      <c r="BI593" s="2" t="s">
        <v>74</v>
      </c>
      <c r="BJ593" s="2" t="s">
        <v>74</v>
      </c>
      <c r="BK593" s="2" t="s">
        <v>74</v>
      </c>
      <c r="BL593" s="2" t="s">
        <v>74</v>
      </c>
      <c r="BM593" s="2" t="s">
        <v>74</v>
      </c>
      <c r="BN593" s="2">
        <v>37792917</v>
      </c>
      <c r="BO593" s="2" t="s">
        <v>74</v>
      </c>
      <c r="BP593" s="2" t="s">
        <v>74</v>
      </c>
      <c r="BQ593" s="2" t="s">
        <v>74</v>
      </c>
      <c r="BR593" s="2" t="s">
        <v>74</v>
      </c>
      <c r="BS593" s="2" t="s">
        <v>903</v>
      </c>
      <c r="BT593" s="2" t="str">
        <f>HYPERLINK("https%3A%2F%2Fwww.webofscience.com%2Fwos%2Fwoscc%2Ffull-record%2FWOS:001168568800001","View Full Record in Web of Science")</f>
        <v>View Full Record in Web of Science</v>
      </c>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row>
    <row r="594" spans="1:314" s="2" customFormat="1" x14ac:dyDescent="0.4">
      <c r="A594" s="2" t="s">
        <v>72</v>
      </c>
      <c r="B594" s="2" t="s">
        <v>564</v>
      </c>
      <c r="C594" s="2" t="s">
        <v>74</v>
      </c>
      <c r="D594" s="2" t="s">
        <v>74</v>
      </c>
      <c r="E594" s="2" t="s">
        <v>74</v>
      </c>
      <c r="F594" s="2" t="s">
        <v>565</v>
      </c>
      <c r="G594" s="2" t="s">
        <v>74</v>
      </c>
      <c r="H594" s="2" t="s">
        <v>74</v>
      </c>
      <c r="I594" s="2" t="s">
        <v>566</v>
      </c>
      <c r="J594" s="2" t="s">
        <v>140</v>
      </c>
      <c r="K594" s="2" t="s">
        <v>74</v>
      </c>
      <c r="L594" s="2" t="s">
        <v>74</v>
      </c>
      <c r="M594" s="2" t="s">
        <v>74</v>
      </c>
      <c r="N594" s="2" t="s">
        <v>74</v>
      </c>
      <c r="O594" s="2" t="s">
        <v>74</v>
      </c>
      <c r="P594" s="2" t="s">
        <v>74</v>
      </c>
      <c r="Q594" s="2" t="s">
        <v>74</v>
      </c>
      <c r="R594" s="2" t="s">
        <v>74</v>
      </c>
      <c r="S594" s="2" t="s">
        <v>74</v>
      </c>
      <c r="T594" s="2" t="s">
        <v>74</v>
      </c>
      <c r="U594" s="2" t="s">
        <v>74</v>
      </c>
      <c r="V594" s="5" t="s">
        <v>567</v>
      </c>
      <c r="W594" s="2" t="s">
        <v>74</v>
      </c>
      <c r="X594" s="2" t="s">
        <v>74</v>
      </c>
      <c r="Y594" s="2" t="s">
        <v>74</v>
      </c>
      <c r="Z594" s="2" t="s">
        <v>74</v>
      </c>
      <c r="AA594" s="2" t="s">
        <v>568</v>
      </c>
      <c r="AB594" s="2" t="s">
        <v>569</v>
      </c>
      <c r="AC594" s="2" t="s">
        <v>74</v>
      </c>
      <c r="AD594" s="2" t="s">
        <v>74</v>
      </c>
      <c r="AE594" s="2" t="s">
        <v>74</v>
      </c>
      <c r="AF594" s="2" t="s">
        <v>74</v>
      </c>
      <c r="AG594" s="2" t="s">
        <v>74</v>
      </c>
      <c r="AH594" s="2" t="s">
        <v>74</v>
      </c>
      <c r="AI594" s="2" t="s">
        <v>74</v>
      </c>
      <c r="AJ594" s="2" t="s">
        <v>74</v>
      </c>
      <c r="AK594" s="2" t="s">
        <v>74</v>
      </c>
      <c r="AL594" s="2" t="s">
        <v>74</v>
      </c>
      <c r="AM594" s="2" t="s">
        <v>74</v>
      </c>
      <c r="AN594" s="2" t="s">
        <v>74</v>
      </c>
      <c r="AO594" s="2" t="s">
        <v>143</v>
      </c>
      <c r="AP594" s="2" t="s">
        <v>144</v>
      </c>
      <c r="AQ594" s="2" t="s">
        <v>74</v>
      </c>
      <c r="AR594" s="2" t="s">
        <v>74</v>
      </c>
      <c r="AS594" s="2" t="s">
        <v>74</v>
      </c>
      <c r="AT594" s="2" t="s">
        <v>102</v>
      </c>
      <c r="AU594" s="2">
        <v>2021</v>
      </c>
      <c r="AV594" s="2">
        <v>176</v>
      </c>
      <c r="AW594" s="2" t="s">
        <v>74</v>
      </c>
      <c r="AX594" s="2" t="s">
        <v>74</v>
      </c>
      <c r="AY594" s="2" t="s">
        <v>74</v>
      </c>
      <c r="AZ594" s="2" t="s">
        <v>74</v>
      </c>
      <c r="BA594" s="2" t="s">
        <v>74</v>
      </c>
      <c r="BB594" s="2">
        <v>157</v>
      </c>
      <c r="BC594" s="2">
        <v>166</v>
      </c>
      <c r="BD594" s="2" t="s">
        <v>74</v>
      </c>
      <c r="BE594" s="2" t="s">
        <v>570</v>
      </c>
      <c r="BF594" s="2" t="str">
        <f>HYPERLINK("http://dx.doi.org/10.1016/j.anbehav.2021.04.006","http://dx.doi.org/10.1016/j.anbehav.2021.04.006")</f>
        <v>http://dx.doi.org/10.1016/j.anbehav.2021.04.006</v>
      </c>
      <c r="BG594" s="2" t="s">
        <v>74</v>
      </c>
      <c r="BH594" s="2" t="s">
        <v>571</v>
      </c>
      <c r="BI594" s="2" t="s">
        <v>74</v>
      </c>
      <c r="BJ594" s="2" t="s">
        <v>74</v>
      </c>
      <c r="BK594" s="2" t="s">
        <v>74</v>
      </c>
      <c r="BL594" s="2" t="s">
        <v>74</v>
      </c>
      <c r="BM594" s="2" t="s">
        <v>74</v>
      </c>
      <c r="BN594" s="2" t="s">
        <v>74</v>
      </c>
      <c r="BO594" s="2" t="s">
        <v>74</v>
      </c>
      <c r="BP594" s="2" t="s">
        <v>74</v>
      </c>
      <c r="BQ594" s="2" t="s">
        <v>74</v>
      </c>
      <c r="BR594" s="2" t="s">
        <v>74</v>
      </c>
      <c r="BS594" s="2" t="s">
        <v>572</v>
      </c>
      <c r="BT594" s="2" t="str">
        <f>HYPERLINK("https%3A%2F%2Fwww.webofscience.com%2Fwos%2Fwoscc%2Ffull-record%2FWOS:000655320000013","View Full Record in Web of Science")</f>
        <v>View Full Record in Web of Science</v>
      </c>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row>
    <row r="595" spans="1:314" s="2" customFormat="1" x14ac:dyDescent="0.4">
      <c r="A595" s="2" t="s">
        <v>72</v>
      </c>
      <c r="B595" s="2" t="s">
        <v>564</v>
      </c>
      <c r="C595" s="2" t="s">
        <v>74</v>
      </c>
      <c r="D595" s="2" t="s">
        <v>74</v>
      </c>
      <c r="E595" s="2" t="s">
        <v>74</v>
      </c>
      <c r="F595" s="2" t="s">
        <v>565</v>
      </c>
      <c r="G595" s="2" t="s">
        <v>74</v>
      </c>
      <c r="H595" s="2" t="s">
        <v>74</v>
      </c>
      <c r="I595" s="2" t="s">
        <v>2557</v>
      </c>
      <c r="J595" s="2" t="s">
        <v>576</v>
      </c>
      <c r="K595" s="2" t="s">
        <v>74</v>
      </c>
      <c r="L595" s="2" t="s">
        <v>74</v>
      </c>
      <c r="M595" s="2" t="s">
        <v>74</v>
      </c>
      <c r="N595" s="2" t="s">
        <v>74</v>
      </c>
      <c r="O595" s="2" t="s">
        <v>74</v>
      </c>
      <c r="P595" s="2" t="s">
        <v>74</v>
      </c>
      <c r="Q595" s="2" t="s">
        <v>74</v>
      </c>
      <c r="R595" s="2" t="s">
        <v>74</v>
      </c>
      <c r="S595" s="2" t="s">
        <v>74</v>
      </c>
      <c r="T595" s="2" t="s">
        <v>74</v>
      </c>
      <c r="U595" s="2" t="s">
        <v>74</v>
      </c>
      <c r="V595" s="5" t="s">
        <v>2558</v>
      </c>
      <c r="W595" s="2" t="s">
        <v>74</v>
      </c>
      <c r="X595" s="2" t="s">
        <v>74</v>
      </c>
      <c r="Y595" s="2" t="s">
        <v>74</v>
      </c>
      <c r="Z595" s="2" t="s">
        <v>74</v>
      </c>
      <c r="AA595" s="2" t="s">
        <v>568</v>
      </c>
      <c r="AB595" s="2" t="s">
        <v>569</v>
      </c>
      <c r="AC595" s="2" t="s">
        <v>74</v>
      </c>
      <c r="AD595" s="2" t="s">
        <v>74</v>
      </c>
      <c r="AE595" s="2" t="s">
        <v>74</v>
      </c>
      <c r="AF595" s="2" t="s">
        <v>74</v>
      </c>
      <c r="AG595" s="2" t="s">
        <v>74</v>
      </c>
      <c r="AH595" s="2" t="s">
        <v>74</v>
      </c>
      <c r="AI595" s="2" t="s">
        <v>74</v>
      </c>
      <c r="AJ595" s="2" t="s">
        <v>74</v>
      </c>
      <c r="AK595" s="2" t="s">
        <v>74</v>
      </c>
      <c r="AL595" s="2" t="s">
        <v>74</v>
      </c>
      <c r="AM595" s="2" t="s">
        <v>74</v>
      </c>
      <c r="AN595" s="2" t="s">
        <v>74</v>
      </c>
      <c r="AO595" s="2" t="s">
        <v>579</v>
      </c>
      <c r="AP595" s="2" t="s">
        <v>580</v>
      </c>
      <c r="AQ595" s="2" t="s">
        <v>74</v>
      </c>
      <c r="AR595" s="2" t="s">
        <v>74</v>
      </c>
      <c r="AS595" s="2" t="s">
        <v>74</v>
      </c>
      <c r="AT595" s="2" t="s">
        <v>175</v>
      </c>
      <c r="AU595" s="2">
        <v>2020</v>
      </c>
      <c r="AV595" s="2">
        <v>34</v>
      </c>
      <c r="AW595" s="2">
        <v>5</v>
      </c>
      <c r="AX595" s="2" t="s">
        <v>74</v>
      </c>
      <c r="AY595" s="2" t="s">
        <v>74</v>
      </c>
      <c r="AZ595" s="2" t="s">
        <v>74</v>
      </c>
      <c r="BA595" s="2" t="s">
        <v>74</v>
      </c>
      <c r="BB595" s="2">
        <v>735</v>
      </c>
      <c r="BC595" s="2">
        <v>743</v>
      </c>
      <c r="BD595" s="2" t="s">
        <v>74</v>
      </c>
      <c r="BE595" s="2" t="s">
        <v>2559</v>
      </c>
      <c r="BF595" s="2" t="str">
        <f>HYPERLINK("http://dx.doi.org/10.1007/s10682-020-10064-y","http://dx.doi.org/10.1007/s10682-020-10064-y")</f>
        <v>http://dx.doi.org/10.1007/s10682-020-10064-y</v>
      </c>
      <c r="BG595" s="2" t="s">
        <v>74</v>
      </c>
      <c r="BH595" s="2" t="s">
        <v>2560</v>
      </c>
      <c r="BI595" s="2" t="s">
        <v>74</v>
      </c>
      <c r="BJ595" s="2" t="s">
        <v>74</v>
      </c>
      <c r="BK595" s="2" t="s">
        <v>74</v>
      </c>
      <c r="BL595" s="2" t="s">
        <v>74</v>
      </c>
      <c r="BM595" s="2" t="s">
        <v>74</v>
      </c>
      <c r="BN595" s="2" t="s">
        <v>74</v>
      </c>
      <c r="BO595" s="2" t="s">
        <v>74</v>
      </c>
      <c r="BP595" s="2" t="s">
        <v>74</v>
      </c>
      <c r="BQ595" s="2" t="s">
        <v>74</v>
      </c>
      <c r="BR595" s="2" t="s">
        <v>74</v>
      </c>
      <c r="BS595" s="2" t="s">
        <v>2561</v>
      </c>
      <c r="BT595" s="2" t="str">
        <f>HYPERLINK("https%3A%2F%2Fwww.webofscience.com%2Fwos%2Fwoscc%2Ffull-record%2FWOS:000555728700001","View Full Record in Web of Science")</f>
        <v>View Full Record in Web of Science</v>
      </c>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row>
    <row r="596" spans="1:314" s="2" customFormat="1" x14ac:dyDescent="0.4">
      <c r="A596" s="2" t="s">
        <v>72</v>
      </c>
      <c r="B596" s="2" t="s">
        <v>5700</v>
      </c>
      <c r="C596" s="2" t="s">
        <v>74</v>
      </c>
      <c r="D596" s="2" t="s">
        <v>74</v>
      </c>
      <c r="E596" s="2" t="s">
        <v>74</v>
      </c>
      <c r="F596" s="2" t="s">
        <v>5700</v>
      </c>
      <c r="G596" s="2" t="s">
        <v>74</v>
      </c>
      <c r="H596" s="2" t="s">
        <v>74</v>
      </c>
      <c r="I596" s="2" t="s">
        <v>5701</v>
      </c>
      <c r="J596" s="2" t="s">
        <v>201</v>
      </c>
      <c r="K596" s="2" t="s">
        <v>74</v>
      </c>
      <c r="L596" s="2" t="s">
        <v>74</v>
      </c>
      <c r="M596" s="2" t="s">
        <v>74</v>
      </c>
      <c r="N596" s="2" t="s">
        <v>74</v>
      </c>
      <c r="O596" s="2" t="s">
        <v>74</v>
      </c>
      <c r="P596" s="2" t="s">
        <v>74</v>
      </c>
      <c r="Q596" s="2" t="s">
        <v>74</v>
      </c>
      <c r="R596" s="2" t="s">
        <v>74</v>
      </c>
      <c r="S596" s="2" t="s">
        <v>74</v>
      </c>
      <c r="T596" s="2" t="s">
        <v>74</v>
      </c>
      <c r="U596" s="2" t="s">
        <v>74</v>
      </c>
      <c r="V596" s="5" t="s">
        <v>5702</v>
      </c>
      <c r="W596" s="2" t="s">
        <v>74</v>
      </c>
      <c r="X596" s="2" t="s">
        <v>74</v>
      </c>
      <c r="Y596" s="2" t="s">
        <v>74</v>
      </c>
      <c r="Z596" s="2" t="s">
        <v>74</v>
      </c>
      <c r="AA596" s="2" t="s">
        <v>5703</v>
      </c>
      <c r="AB596" s="2" t="s">
        <v>5704</v>
      </c>
      <c r="AC596" s="2" t="s">
        <v>74</v>
      </c>
      <c r="AD596" s="2" t="s">
        <v>74</v>
      </c>
      <c r="AE596" s="2" t="s">
        <v>74</v>
      </c>
      <c r="AF596" s="2" t="s">
        <v>74</v>
      </c>
      <c r="AG596" s="2" t="s">
        <v>74</v>
      </c>
      <c r="AH596" s="2" t="s">
        <v>74</v>
      </c>
      <c r="AI596" s="2" t="s">
        <v>74</v>
      </c>
      <c r="AJ596" s="2" t="s">
        <v>74</v>
      </c>
      <c r="AK596" s="2" t="s">
        <v>74</v>
      </c>
      <c r="AL596" s="2" t="s">
        <v>74</v>
      </c>
      <c r="AM596" s="2" t="s">
        <v>74</v>
      </c>
      <c r="AN596" s="2" t="s">
        <v>74</v>
      </c>
      <c r="AO596" s="2" t="s">
        <v>203</v>
      </c>
      <c r="AP596" s="2" t="s">
        <v>1192</v>
      </c>
      <c r="AQ596" s="2" t="s">
        <v>74</v>
      </c>
      <c r="AR596" s="2" t="s">
        <v>74</v>
      </c>
      <c r="AS596" s="2" t="s">
        <v>74</v>
      </c>
      <c r="AT596" s="2" t="s">
        <v>964</v>
      </c>
      <c r="AU596" s="2">
        <v>2006</v>
      </c>
      <c r="AV596" s="2">
        <v>68</v>
      </c>
      <c r="AW596" s="2">
        <v>2</v>
      </c>
      <c r="AX596" s="2" t="s">
        <v>74</v>
      </c>
      <c r="AY596" s="2" t="s">
        <v>74</v>
      </c>
      <c r="AZ596" s="2" t="s">
        <v>74</v>
      </c>
      <c r="BA596" s="2" t="s">
        <v>74</v>
      </c>
      <c r="BB596" s="2">
        <v>373</v>
      </c>
      <c r="BC596" s="2">
        <v>384</v>
      </c>
      <c r="BD596" s="2" t="s">
        <v>74</v>
      </c>
      <c r="BE596" s="2" t="s">
        <v>5705</v>
      </c>
      <c r="BF596" s="2" t="str">
        <f>HYPERLINK("http://dx.doi.org/10.1111/j.0022-1112.2006.00896.x","http://dx.doi.org/10.1111/j.0022-1112.2006.00896.x")</f>
        <v>http://dx.doi.org/10.1111/j.0022-1112.2006.00896.x</v>
      </c>
      <c r="BG596" s="2" t="s">
        <v>74</v>
      </c>
      <c r="BH596" s="2" t="s">
        <v>74</v>
      </c>
      <c r="BI596" s="2" t="s">
        <v>74</v>
      </c>
      <c r="BJ596" s="2" t="s">
        <v>74</v>
      </c>
      <c r="BK596" s="2" t="s">
        <v>74</v>
      </c>
      <c r="BL596" s="2" t="s">
        <v>74</v>
      </c>
      <c r="BM596" s="2" t="s">
        <v>74</v>
      </c>
      <c r="BN596" s="2" t="s">
        <v>74</v>
      </c>
      <c r="BO596" s="2" t="s">
        <v>74</v>
      </c>
      <c r="BP596" s="2" t="s">
        <v>74</v>
      </c>
      <c r="BQ596" s="2" t="s">
        <v>74</v>
      </c>
      <c r="BR596" s="2" t="s">
        <v>74</v>
      </c>
      <c r="BS596" s="2" t="s">
        <v>5706</v>
      </c>
      <c r="BT596" s="2" t="str">
        <f>HYPERLINK("https%3A%2F%2Fwww.webofscience.com%2Fwos%2Fwoscc%2Ffull-record%2FWOS:000235469400003","View Full Record in Web of Science")</f>
        <v>View Full Record in Web of Science</v>
      </c>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row>
    <row r="597" spans="1:314" s="2" customFormat="1" x14ac:dyDescent="0.4">
      <c r="A597" s="2" t="s">
        <v>72</v>
      </c>
      <c r="B597" s="2" t="s">
        <v>8748</v>
      </c>
      <c r="C597" s="2" t="s">
        <v>74</v>
      </c>
      <c r="D597" s="2" t="s">
        <v>74</v>
      </c>
      <c r="E597" s="2" t="s">
        <v>74</v>
      </c>
      <c r="F597" s="2" t="s">
        <v>8749</v>
      </c>
      <c r="G597" s="2" t="s">
        <v>74</v>
      </c>
      <c r="H597" s="2" t="s">
        <v>74</v>
      </c>
      <c r="I597" s="2" t="s">
        <v>8750</v>
      </c>
      <c r="J597" s="2" t="s">
        <v>970</v>
      </c>
      <c r="K597" s="2" t="s">
        <v>74</v>
      </c>
      <c r="L597" s="2" t="s">
        <v>74</v>
      </c>
      <c r="M597" s="2" t="s">
        <v>74</v>
      </c>
      <c r="N597" s="2" t="s">
        <v>74</v>
      </c>
      <c r="O597" s="2" t="s">
        <v>74</v>
      </c>
      <c r="P597" s="2" t="s">
        <v>74</v>
      </c>
      <c r="Q597" s="2" t="s">
        <v>74</v>
      </c>
      <c r="R597" s="2" t="s">
        <v>74</v>
      </c>
      <c r="S597" s="2" t="s">
        <v>74</v>
      </c>
      <c r="T597" s="2" t="s">
        <v>74</v>
      </c>
      <c r="U597" s="2" t="s">
        <v>74</v>
      </c>
      <c r="V597" s="5" t="s">
        <v>8751</v>
      </c>
      <c r="W597" s="2" t="s">
        <v>74</v>
      </c>
      <c r="X597" s="2" t="s">
        <v>74</v>
      </c>
      <c r="Y597" s="2" t="s">
        <v>74</v>
      </c>
      <c r="Z597" s="2" t="s">
        <v>74</v>
      </c>
      <c r="AA597" s="2" t="s">
        <v>8752</v>
      </c>
      <c r="AB597" s="2" t="s">
        <v>8753</v>
      </c>
      <c r="AC597" s="2" t="s">
        <v>74</v>
      </c>
      <c r="AD597" s="2" t="s">
        <v>74</v>
      </c>
      <c r="AE597" s="2" t="s">
        <v>74</v>
      </c>
      <c r="AF597" s="2" t="s">
        <v>74</v>
      </c>
      <c r="AG597" s="2" t="s">
        <v>74</v>
      </c>
      <c r="AH597" s="2" t="s">
        <v>74</v>
      </c>
      <c r="AI597" s="2" t="s">
        <v>74</v>
      </c>
      <c r="AJ597" s="2" t="s">
        <v>74</v>
      </c>
      <c r="AK597" s="2" t="s">
        <v>74</v>
      </c>
      <c r="AL597" s="2" t="s">
        <v>74</v>
      </c>
      <c r="AM597" s="2" t="s">
        <v>74</v>
      </c>
      <c r="AN597" s="2" t="s">
        <v>74</v>
      </c>
      <c r="AO597" s="2" t="s">
        <v>8754</v>
      </c>
      <c r="AP597" s="2" t="s">
        <v>8755</v>
      </c>
      <c r="AQ597" s="2" t="s">
        <v>74</v>
      </c>
      <c r="AR597" s="2" t="s">
        <v>74</v>
      </c>
      <c r="AS597" s="2" t="s">
        <v>74</v>
      </c>
      <c r="AT597" s="2" t="s">
        <v>305</v>
      </c>
      <c r="AU597" s="2">
        <v>2007</v>
      </c>
      <c r="AV597" s="2">
        <v>148</v>
      </c>
      <c r="AW597" s="2" t="s">
        <v>74</v>
      </c>
      <c r="AX597" s="2" t="s">
        <v>74</v>
      </c>
      <c r="AY597" s="2">
        <v>2</v>
      </c>
      <c r="AZ597" s="2" t="s">
        <v>74</v>
      </c>
      <c r="BA597" s="2" t="s">
        <v>74</v>
      </c>
      <c r="BB597" s="2" t="s">
        <v>8756</v>
      </c>
      <c r="BC597" s="2" t="s">
        <v>8757</v>
      </c>
      <c r="BD597" s="2" t="s">
        <v>74</v>
      </c>
      <c r="BE597" s="2" t="s">
        <v>8758</v>
      </c>
      <c r="BF597" s="2" t="str">
        <f>HYPERLINK("http://dx.doi.org/10.1007/s10336-007-0224-3","http://dx.doi.org/10.1007/s10336-007-0224-3")</f>
        <v>http://dx.doi.org/10.1007/s10336-007-0224-3</v>
      </c>
      <c r="BG597" s="2" t="s">
        <v>74</v>
      </c>
      <c r="BH597" s="2" t="s">
        <v>74</v>
      </c>
      <c r="BI597" s="2" t="s">
        <v>74</v>
      </c>
      <c r="BJ597" s="2" t="s">
        <v>74</v>
      </c>
      <c r="BK597" s="2" t="s">
        <v>74</v>
      </c>
      <c r="BL597" s="2" t="s">
        <v>74</v>
      </c>
      <c r="BM597" s="2" t="s">
        <v>74</v>
      </c>
      <c r="BN597" s="2" t="s">
        <v>74</v>
      </c>
      <c r="BO597" s="2" t="s">
        <v>74</v>
      </c>
      <c r="BP597" s="2" t="s">
        <v>74</v>
      </c>
      <c r="BQ597" s="2" t="s">
        <v>74</v>
      </c>
      <c r="BR597" s="2" t="s">
        <v>74</v>
      </c>
      <c r="BS597" s="2" t="s">
        <v>8759</v>
      </c>
      <c r="BT597" s="2" t="str">
        <f>HYPERLINK("https%3A%2F%2Fwww.webofscience.com%2Fwos%2Fwoscc%2Ffull-record%2FWOS:000255199000012","View Full Record in Web of Science")</f>
        <v>View Full Record in Web of Science</v>
      </c>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row>
    <row r="598" spans="1:314" s="7" customFormat="1" x14ac:dyDescent="0.4">
      <c r="A598" s="2" t="s">
        <v>72</v>
      </c>
      <c r="B598" s="2" t="s">
        <v>4693</v>
      </c>
      <c r="C598" s="2" t="s">
        <v>74</v>
      </c>
      <c r="D598" s="2" t="s">
        <v>74</v>
      </c>
      <c r="E598" s="2" t="s">
        <v>74</v>
      </c>
      <c r="F598" s="2" t="s">
        <v>4694</v>
      </c>
      <c r="G598" s="2" t="s">
        <v>74</v>
      </c>
      <c r="H598" s="2" t="s">
        <v>74</v>
      </c>
      <c r="I598" s="2" t="s">
        <v>4695</v>
      </c>
      <c r="J598" s="2" t="s">
        <v>610</v>
      </c>
      <c r="K598" s="2" t="s">
        <v>74</v>
      </c>
      <c r="L598" s="2" t="s">
        <v>74</v>
      </c>
      <c r="M598" s="2" t="s">
        <v>74</v>
      </c>
      <c r="N598" s="2" t="s">
        <v>74</v>
      </c>
      <c r="O598" s="2" t="s">
        <v>74</v>
      </c>
      <c r="P598" s="2" t="s">
        <v>74</v>
      </c>
      <c r="Q598" s="2" t="s">
        <v>74</v>
      </c>
      <c r="R598" s="2" t="s">
        <v>74</v>
      </c>
      <c r="S598" s="2" t="s">
        <v>74</v>
      </c>
      <c r="T598" s="2" t="s">
        <v>74</v>
      </c>
      <c r="U598" s="2" t="s">
        <v>74</v>
      </c>
      <c r="V598" s="5" t="s">
        <v>4696</v>
      </c>
      <c r="W598" s="2" t="s">
        <v>74</v>
      </c>
      <c r="X598" s="2" t="s">
        <v>74</v>
      </c>
      <c r="Y598" s="2" t="s">
        <v>74</v>
      </c>
      <c r="Z598" s="2" t="s">
        <v>74</v>
      </c>
      <c r="AA598" s="2" t="s">
        <v>4697</v>
      </c>
      <c r="AB598" s="2" t="s">
        <v>4698</v>
      </c>
      <c r="AC598" s="2" t="s">
        <v>74</v>
      </c>
      <c r="AD598" s="2" t="s">
        <v>74</v>
      </c>
      <c r="AE598" s="2" t="s">
        <v>74</v>
      </c>
      <c r="AF598" s="2" t="s">
        <v>74</v>
      </c>
      <c r="AG598" s="2" t="s">
        <v>74</v>
      </c>
      <c r="AH598" s="2" t="s">
        <v>74</v>
      </c>
      <c r="AI598" s="2" t="s">
        <v>74</v>
      </c>
      <c r="AJ598" s="2" t="s">
        <v>74</v>
      </c>
      <c r="AK598" s="2" t="s">
        <v>74</v>
      </c>
      <c r="AL598" s="2" t="s">
        <v>74</v>
      </c>
      <c r="AM598" s="2" t="s">
        <v>74</v>
      </c>
      <c r="AN598" s="2" t="s">
        <v>74</v>
      </c>
      <c r="AO598" s="2" t="s">
        <v>614</v>
      </c>
      <c r="AP598" s="2" t="s">
        <v>615</v>
      </c>
      <c r="AQ598" s="2" t="s">
        <v>74</v>
      </c>
      <c r="AR598" s="2" t="s">
        <v>74</v>
      </c>
      <c r="AS598" s="2" t="s">
        <v>74</v>
      </c>
      <c r="AT598" s="2" t="s">
        <v>134</v>
      </c>
      <c r="AU598" s="2">
        <v>2014</v>
      </c>
      <c r="AV598" s="2">
        <v>120</v>
      </c>
      <c r="AW598" s="2">
        <v>5</v>
      </c>
      <c r="AX598" s="2" t="s">
        <v>74</v>
      </c>
      <c r="AY598" s="2" t="s">
        <v>74</v>
      </c>
      <c r="AZ598" s="2" t="s">
        <v>74</v>
      </c>
      <c r="BA598" s="2" t="s">
        <v>74</v>
      </c>
      <c r="BB598" s="2">
        <v>502</v>
      </c>
      <c r="BC598" s="2">
        <v>510</v>
      </c>
      <c r="BD598" s="2" t="s">
        <v>74</v>
      </c>
      <c r="BE598" s="2" t="s">
        <v>4699</v>
      </c>
      <c r="BF598" s="2" t="str">
        <f>HYPERLINK("http://dx.doi.org/10.1111/eth.12224","http://dx.doi.org/10.1111/eth.12224")</f>
        <v>http://dx.doi.org/10.1111/eth.12224</v>
      </c>
      <c r="BG598" s="2" t="s">
        <v>74</v>
      </c>
      <c r="BH598" s="2" t="s">
        <v>74</v>
      </c>
      <c r="BI598" s="2" t="s">
        <v>74</v>
      </c>
      <c r="BJ598" s="2" t="s">
        <v>74</v>
      </c>
      <c r="BK598" s="2" t="s">
        <v>74</v>
      </c>
      <c r="BL598" s="2" t="s">
        <v>74</v>
      </c>
      <c r="BM598" s="2" t="s">
        <v>74</v>
      </c>
      <c r="BN598" s="2" t="s">
        <v>74</v>
      </c>
      <c r="BO598" s="2" t="s">
        <v>74</v>
      </c>
      <c r="BP598" s="2" t="s">
        <v>74</v>
      </c>
      <c r="BQ598" s="2" t="s">
        <v>74</v>
      </c>
      <c r="BR598" s="2" t="s">
        <v>74</v>
      </c>
      <c r="BS598" s="2" t="s">
        <v>4700</v>
      </c>
      <c r="BT598" s="2" t="str">
        <f>HYPERLINK("https%3A%2F%2Fwww.webofscience.com%2Fwos%2Fwoscc%2Ffull-record%2FWOS:000333696100008","View Full Record in Web of Science")</f>
        <v>View Full Record in Web of Science</v>
      </c>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row>
    <row r="599" spans="1:314" s="2" customFormat="1" x14ac:dyDescent="0.4">
      <c r="A599" s="2" t="s">
        <v>72</v>
      </c>
      <c r="B599" s="2" t="s">
        <v>7919</v>
      </c>
      <c r="C599" s="2" t="s">
        <v>74</v>
      </c>
      <c r="D599" s="2" t="s">
        <v>74</v>
      </c>
      <c r="E599" s="2" t="s">
        <v>74</v>
      </c>
      <c r="F599" s="2" t="s">
        <v>7920</v>
      </c>
      <c r="G599" s="2" t="s">
        <v>74</v>
      </c>
      <c r="H599" s="2" t="s">
        <v>74</v>
      </c>
      <c r="I599" s="2" t="s">
        <v>7921</v>
      </c>
      <c r="J599" s="2" t="s">
        <v>7922</v>
      </c>
      <c r="K599" s="2" t="s">
        <v>74</v>
      </c>
      <c r="L599" s="2" t="s">
        <v>74</v>
      </c>
      <c r="M599" s="2" t="s">
        <v>74</v>
      </c>
      <c r="N599" s="2" t="s">
        <v>74</v>
      </c>
      <c r="O599" s="2" t="s">
        <v>74</v>
      </c>
      <c r="P599" s="2" t="s">
        <v>74</v>
      </c>
      <c r="Q599" s="2" t="s">
        <v>74</v>
      </c>
      <c r="R599" s="2" t="s">
        <v>74</v>
      </c>
      <c r="S599" s="2" t="s">
        <v>74</v>
      </c>
      <c r="T599" s="2" t="s">
        <v>74</v>
      </c>
      <c r="U599" s="2" t="s">
        <v>74</v>
      </c>
      <c r="V599" s="5" t="s">
        <v>7923</v>
      </c>
      <c r="W599" s="2" t="s">
        <v>74</v>
      </c>
      <c r="X599" s="2" t="s">
        <v>74</v>
      </c>
      <c r="Y599" s="2" t="s">
        <v>74</v>
      </c>
      <c r="Z599" s="2" t="s">
        <v>74</v>
      </c>
      <c r="AA599" s="2" t="s">
        <v>7924</v>
      </c>
      <c r="AB599" s="2" t="s">
        <v>7925</v>
      </c>
      <c r="AC599" s="2" t="s">
        <v>74</v>
      </c>
      <c r="AD599" s="2" t="s">
        <v>74</v>
      </c>
      <c r="AE599" s="2" t="s">
        <v>74</v>
      </c>
      <c r="AF599" s="2" t="s">
        <v>74</v>
      </c>
      <c r="AG599" s="2" t="s">
        <v>74</v>
      </c>
      <c r="AH599" s="2" t="s">
        <v>74</v>
      </c>
      <c r="AI599" s="2" t="s">
        <v>74</v>
      </c>
      <c r="AJ599" s="2" t="s">
        <v>74</v>
      </c>
      <c r="AK599" s="2" t="s">
        <v>74</v>
      </c>
      <c r="AL599" s="2" t="s">
        <v>74</v>
      </c>
      <c r="AM599" s="2" t="s">
        <v>74</v>
      </c>
      <c r="AN599" s="2" t="s">
        <v>74</v>
      </c>
      <c r="AO599" s="2" t="s">
        <v>7926</v>
      </c>
      <c r="AP599" s="2" t="s">
        <v>7927</v>
      </c>
      <c r="AQ599" s="2" t="s">
        <v>74</v>
      </c>
      <c r="AR599" s="2" t="s">
        <v>74</v>
      </c>
      <c r="AS599" s="2" t="s">
        <v>74</v>
      </c>
      <c r="AT599" s="2" t="s">
        <v>633</v>
      </c>
      <c r="AU599" s="2">
        <v>2022</v>
      </c>
      <c r="AV599" s="2">
        <v>15</v>
      </c>
      <c r="AW599" s="2">
        <v>4</v>
      </c>
      <c r="AX599" s="2" t="s">
        <v>74</v>
      </c>
      <c r="AY599" s="2" t="s">
        <v>74</v>
      </c>
      <c r="AZ599" s="2" t="s">
        <v>74</v>
      </c>
      <c r="BA599" s="2" t="s">
        <v>74</v>
      </c>
      <c r="BB599" s="2">
        <v>751</v>
      </c>
      <c r="BC599" s="2">
        <v>760</v>
      </c>
      <c r="BD599" s="2" t="s">
        <v>74</v>
      </c>
      <c r="BE599" s="2" t="s">
        <v>7928</v>
      </c>
      <c r="BF599" s="2" t="str">
        <f>HYPERLINK("http://dx.doi.org/10.1002/aur.2670","http://dx.doi.org/10.1002/aur.2670")</f>
        <v>http://dx.doi.org/10.1002/aur.2670</v>
      </c>
      <c r="BG599" s="2" t="s">
        <v>74</v>
      </c>
      <c r="BH599" s="2" t="s">
        <v>5497</v>
      </c>
      <c r="BI599" s="2" t="s">
        <v>74</v>
      </c>
      <c r="BJ599" s="2" t="s">
        <v>74</v>
      </c>
      <c r="BK599" s="2" t="s">
        <v>74</v>
      </c>
      <c r="BL599" s="2" t="s">
        <v>74</v>
      </c>
      <c r="BM599" s="2" t="s">
        <v>74</v>
      </c>
      <c r="BN599" s="2">
        <v>35040592</v>
      </c>
      <c r="BO599" s="2" t="s">
        <v>74</v>
      </c>
      <c r="BP599" s="2" t="s">
        <v>74</v>
      </c>
      <c r="BQ599" s="2" t="s">
        <v>74</v>
      </c>
      <c r="BR599" s="2" t="s">
        <v>74</v>
      </c>
      <c r="BS599" s="2" t="s">
        <v>7929</v>
      </c>
      <c r="BT599" s="2" t="str">
        <f>HYPERLINK("https%3A%2F%2Fwww.webofscience.com%2Fwos%2Fwoscc%2Ffull-record%2FWOS:000743515200001","View Full Record in Web of Science")</f>
        <v>View Full Record in Web of Science</v>
      </c>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row>
    <row r="600" spans="1:314" s="2" customFormat="1" x14ac:dyDescent="0.4">
      <c r="A600" s="2" t="s">
        <v>72</v>
      </c>
      <c r="B600" s="2" t="s">
        <v>2720</v>
      </c>
      <c r="C600" s="2" t="s">
        <v>74</v>
      </c>
      <c r="D600" s="2" t="s">
        <v>74</v>
      </c>
      <c r="E600" s="2" t="s">
        <v>74</v>
      </c>
      <c r="F600" s="2" t="s">
        <v>2721</v>
      </c>
      <c r="G600" s="2" t="s">
        <v>74</v>
      </c>
      <c r="H600" s="2" t="s">
        <v>74</v>
      </c>
      <c r="I600" s="2" t="s">
        <v>2722</v>
      </c>
      <c r="J600" s="2" t="s">
        <v>610</v>
      </c>
      <c r="K600" s="2" t="s">
        <v>74</v>
      </c>
      <c r="L600" s="2" t="s">
        <v>74</v>
      </c>
      <c r="M600" s="2" t="s">
        <v>74</v>
      </c>
      <c r="N600" s="2" t="s">
        <v>74</v>
      </c>
      <c r="O600" s="2" t="s">
        <v>74</v>
      </c>
      <c r="P600" s="2" t="s">
        <v>74</v>
      </c>
      <c r="Q600" s="2" t="s">
        <v>74</v>
      </c>
      <c r="R600" s="2" t="s">
        <v>74</v>
      </c>
      <c r="S600" s="2" t="s">
        <v>74</v>
      </c>
      <c r="T600" s="2" t="s">
        <v>74</v>
      </c>
      <c r="U600" s="2" t="s">
        <v>74</v>
      </c>
      <c r="V600" s="5" t="s">
        <v>2723</v>
      </c>
      <c r="W600" s="2" t="s">
        <v>74</v>
      </c>
      <c r="X600" s="2" t="s">
        <v>74</v>
      </c>
      <c r="Y600" s="2" t="s">
        <v>74</v>
      </c>
      <c r="Z600" s="2" t="s">
        <v>74</v>
      </c>
      <c r="AA600" s="2" t="s">
        <v>74</v>
      </c>
      <c r="AB600" s="2" t="s">
        <v>2724</v>
      </c>
      <c r="AC600" s="2" t="s">
        <v>74</v>
      </c>
      <c r="AD600" s="2" t="s">
        <v>74</v>
      </c>
      <c r="AE600" s="2" t="s">
        <v>74</v>
      </c>
      <c r="AF600" s="2" t="s">
        <v>74</v>
      </c>
      <c r="AG600" s="2" t="s">
        <v>74</v>
      </c>
      <c r="AH600" s="2" t="s">
        <v>74</v>
      </c>
      <c r="AI600" s="2" t="s">
        <v>74</v>
      </c>
      <c r="AJ600" s="2" t="s">
        <v>74</v>
      </c>
      <c r="AK600" s="2" t="s">
        <v>74</v>
      </c>
      <c r="AL600" s="2" t="s">
        <v>74</v>
      </c>
      <c r="AM600" s="2" t="s">
        <v>74</v>
      </c>
      <c r="AN600" s="2" t="s">
        <v>74</v>
      </c>
      <c r="AO600" s="2" t="s">
        <v>614</v>
      </c>
      <c r="AP600" s="2" t="s">
        <v>615</v>
      </c>
      <c r="AQ600" s="2" t="s">
        <v>74</v>
      </c>
      <c r="AR600" s="2" t="s">
        <v>74</v>
      </c>
      <c r="AS600" s="2" t="s">
        <v>74</v>
      </c>
      <c r="AT600" s="2" t="s">
        <v>213</v>
      </c>
      <c r="AU600" s="2">
        <v>2023</v>
      </c>
      <c r="AV600" s="2">
        <v>129</v>
      </c>
      <c r="AW600" s="2">
        <v>11</v>
      </c>
      <c r="AX600" s="2" t="s">
        <v>74</v>
      </c>
      <c r="AY600" s="2" t="s">
        <v>74</v>
      </c>
      <c r="AZ600" s="2" t="s">
        <v>74</v>
      </c>
      <c r="BA600" s="2" t="s">
        <v>74</v>
      </c>
      <c r="BB600" s="2">
        <v>612</v>
      </c>
      <c r="BC600" s="2">
        <v>621</v>
      </c>
      <c r="BD600" s="2" t="s">
        <v>74</v>
      </c>
      <c r="BE600" s="2" t="s">
        <v>2725</v>
      </c>
      <c r="BF600" s="2" t="str">
        <f>HYPERLINK("http://dx.doi.org/10.1111/eth.13397","http://dx.doi.org/10.1111/eth.13397")</f>
        <v>http://dx.doi.org/10.1111/eth.13397</v>
      </c>
      <c r="BG600" s="2" t="s">
        <v>74</v>
      </c>
      <c r="BH600" s="2" t="s">
        <v>2726</v>
      </c>
      <c r="BI600" s="2" t="s">
        <v>74</v>
      </c>
      <c r="BJ600" s="2" t="s">
        <v>74</v>
      </c>
      <c r="BK600" s="2" t="s">
        <v>74</v>
      </c>
      <c r="BL600" s="2" t="s">
        <v>74</v>
      </c>
      <c r="BM600" s="2" t="s">
        <v>74</v>
      </c>
      <c r="BN600" s="2" t="s">
        <v>74</v>
      </c>
      <c r="BO600" s="2" t="s">
        <v>74</v>
      </c>
      <c r="BP600" s="2" t="s">
        <v>74</v>
      </c>
      <c r="BQ600" s="2" t="s">
        <v>74</v>
      </c>
      <c r="BR600" s="2" t="s">
        <v>74</v>
      </c>
      <c r="BS600" s="2" t="s">
        <v>2727</v>
      </c>
      <c r="BT600" s="2" t="str">
        <f>HYPERLINK("https%3A%2F%2Fwww.webofscience.com%2Fwos%2Fwoscc%2Ffull-record%2FWOS:001033519800001","View Full Record in Web of Science")</f>
        <v>View Full Record in Web of Science</v>
      </c>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row>
    <row r="601" spans="1:314" s="2" customFormat="1" x14ac:dyDescent="0.4">
      <c r="A601" s="2" t="s">
        <v>72</v>
      </c>
      <c r="B601" s="2" t="s">
        <v>3665</v>
      </c>
      <c r="C601" s="2" t="s">
        <v>74</v>
      </c>
      <c r="D601" s="2" t="s">
        <v>74</v>
      </c>
      <c r="E601" s="2" t="s">
        <v>74</v>
      </c>
      <c r="F601" s="2" t="s">
        <v>3666</v>
      </c>
      <c r="G601" s="2" t="s">
        <v>74</v>
      </c>
      <c r="H601" s="2" t="s">
        <v>74</v>
      </c>
      <c r="I601" s="2" t="s">
        <v>3667</v>
      </c>
      <c r="J601" s="2" t="s">
        <v>475</v>
      </c>
      <c r="K601" s="2" t="s">
        <v>74</v>
      </c>
      <c r="L601" s="2" t="s">
        <v>74</v>
      </c>
      <c r="M601" s="2" t="s">
        <v>74</v>
      </c>
      <c r="N601" s="2" t="s">
        <v>74</v>
      </c>
      <c r="O601" s="2" t="s">
        <v>74</v>
      </c>
      <c r="P601" s="2" t="s">
        <v>74</v>
      </c>
      <c r="Q601" s="2" t="s">
        <v>74</v>
      </c>
      <c r="R601" s="2" t="s">
        <v>74</v>
      </c>
      <c r="S601" s="2" t="s">
        <v>74</v>
      </c>
      <c r="T601" s="2" t="s">
        <v>74</v>
      </c>
      <c r="U601" s="2" t="s">
        <v>74</v>
      </c>
      <c r="V601" s="5" t="s">
        <v>3668</v>
      </c>
      <c r="W601" s="2" t="s">
        <v>74</v>
      </c>
      <c r="X601" s="2" t="s">
        <v>74</v>
      </c>
      <c r="Y601" s="2" t="s">
        <v>74</v>
      </c>
      <c r="Z601" s="2" t="s">
        <v>74</v>
      </c>
      <c r="AA601" s="2" t="s">
        <v>3669</v>
      </c>
      <c r="AB601" s="2" t="s">
        <v>3670</v>
      </c>
      <c r="AC601" s="2" t="s">
        <v>74</v>
      </c>
      <c r="AD601" s="2" t="s">
        <v>74</v>
      </c>
      <c r="AE601" s="2" t="s">
        <v>74</v>
      </c>
      <c r="AF601" s="2" t="s">
        <v>74</v>
      </c>
      <c r="AG601" s="2" t="s">
        <v>74</v>
      </c>
      <c r="AH601" s="2" t="s">
        <v>74</v>
      </c>
      <c r="AI601" s="2" t="s">
        <v>74</v>
      </c>
      <c r="AJ601" s="2" t="s">
        <v>74</v>
      </c>
      <c r="AK601" s="2" t="s">
        <v>74</v>
      </c>
      <c r="AL601" s="2" t="s">
        <v>74</v>
      </c>
      <c r="AM601" s="2" t="s">
        <v>74</v>
      </c>
      <c r="AN601" s="2" t="s">
        <v>74</v>
      </c>
      <c r="AO601" s="2" t="s">
        <v>477</v>
      </c>
      <c r="AP601" s="2" t="s">
        <v>74</v>
      </c>
      <c r="AQ601" s="2" t="s">
        <v>74</v>
      </c>
      <c r="AR601" s="2" t="s">
        <v>74</v>
      </c>
      <c r="AS601" s="2" t="s">
        <v>74</v>
      </c>
      <c r="AT601" s="2" t="s">
        <v>3671</v>
      </c>
      <c r="AU601" s="2">
        <v>2012</v>
      </c>
      <c r="AV601" s="2">
        <v>175</v>
      </c>
      <c r="AW601" s="2">
        <v>2</v>
      </c>
      <c r="AX601" s="2" t="s">
        <v>74</v>
      </c>
      <c r="AY601" s="2" t="s">
        <v>74</v>
      </c>
      <c r="AZ601" s="2" t="s">
        <v>74</v>
      </c>
      <c r="BA601" s="2" t="s">
        <v>74</v>
      </c>
      <c r="BB601" s="2">
        <v>290</v>
      </c>
      <c r="BC601" s="2">
        <v>296</v>
      </c>
      <c r="BD601" s="2" t="s">
        <v>74</v>
      </c>
      <c r="BE601" s="2" t="s">
        <v>3672</v>
      </c>
      <c r="BF601" s="2" t="str">
        <f>HYPERLINK("http://dx.doi.org/10.1016/j.ygcen.2011.11.022","http://dx.doi.org/10.1016/j.ygcen.2011.11.022")</f>
        <v>http://dx.doi.org/10.1016/j.ygcen.2011.11.022</v>
      </c>
      <c r="BG601" s="2" t="s">
        <v>74</v>
      </c>
      <c r="BH601" s="2" t="s">
        <v>74</v>
      </c>
      <c r="BI601" s="2" t="s">
        <v>74</v>
      </c>
      <c r="BJ601" s="2" t="s">
        <v>74</v>
      </c>
      <c r="BK601" s="2" t="s">
        <v>74</v>
      </c>
      <c r="BL601" s="2" t="s">
        <v>74</v>
      </c>
      <c r="BM601" s="2" t="s">
        <v>74</v>
      </c>
      <c r="BN601" s="2">
        <v>22137910</v>
      </c>
      <c r="BO601" s="2" t="s">
        <v>74</v>
      </c>
      <c r="BP601" s="2" t="s">
        <v>74</v>
      </c>
      <c r="BQ601" s="2" t="s">
        <v>74</v>
      </c>
      <c r="BR601" s="2" t="s">
        <v>74</v>
      </c>
      <c r="BS601" s="2" t="s">
        <v>3673</v>
      </c>
      <c r="BT601" s="2" t="str">
        <f>HYPERLINK("https%3A%2F%2Fwww.webofscience.com%2Fwos%2Fwoscc%2Ffull-record%2FWOS:000299137900009","View Full Record in Web of Science")</f>
        <v>View Full Record in Web of Science</v>
      </c>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row>
    <row r="602" spans="1:314" s="1" customFormat="1" x14ac:dyDescent="0.4">
      <c r="A602" s="2" t="s">
        <v>72</v>
      </c>
      <c r="B602" s="2" t="s">
        <v>4573</v>
      </c>
      <c r="C602" s="2" t="s">
        <v>74</v>
      </c>
      <c r="D602" s="2" t="s">
        <v>74</v>
      </c>
      <c r="E602" s="2" t="s">
        <v>74</v>
      </c>
      <c r="F602" s="2" t="s">
        <v>4573</v>
      </c>
      <c r="G602" s="2" t="s">
        <v>74</v>
      </c>
      <c r="H602" s="2" t="s">
        <v>74</v>
      </c>
      <c r="I602" s="2" t="s">
        <v>4574</v>
      </c>
      <c r="J602" s="2" t="s">
        <v>140</v>
      </c>
      <c r="K602" s="2" t="s">
        <v>74</v>
      </c>
      <c r="L602" s="2" t="s">
        <v>74</v>
      </c>
      <c r="M602" s="2" t="s">
        <v>74</v>
      </c>
      <c r="N602" s="2" t="s">
        <v>74</v>
      </c>
      <c r="O602" s="2" t="s">
        <v>74</v>
      </c>
      <c r="P602" s="2" t="s">
        <v>74</v>
      </c>
      <c r="Q602" s="2" t="s">
        <v>74</v>
      </c>
      <c r="R602" s="2" t="s">
        <v>74</v>
      </c>
      <c r="S602" s="2" t="s">
        <v>74</v>
      </c>
      <c r="T602" s="2" t="s">
        <v>74</v>
      </c>
      <c r="U602" s="2" t="s">
        <v>74</v>
      </c>
      <c r="V602" s="5" t="s">
        <v>4575</v>
      </c>
      <c r="W602" s="2" t="s">
        <v>74</v>
      </c>
      <c r="X602" s="2" t="s">
        <v>74</v>
      </c>
      <c r="Y602" s="2" t="s">
        <v>74</v>
      </c>
      <c r="Z602" s="2" t="s">
        <v>74</v>
      </c>
      <c r="AA602" s="2" t="s">
        <v>74</v>
      </c>
      <c r="AB602" s="2" t="s">
        <v>74</v>
      </c>
      <c r="AC602" s="2" t="s">
        <v>74</v>
      </c>
      <c r="AD602" s="2" t="s">
        <v>74</v>
      </c>
      <c r="AE602" s="2" t="s">
        <v>74</v>
      </c>
      <c r="AF602" s="2" t="s">
        <v>74</v>
      </c>
      <c r="AG602" s="2" t="s">
        <v>74</v>
      </c>
      <c r="AH602" s="2" t="s">
        <v>74</v>
      </c>
      <c r="AI602" s="2" t="s">
        <v>74</v>
      </c>
      <c r="AJ602" s="2" t="s">
        <v>74</v>
      </c>
      <c r="AK602" s="2" t="s">
        <v>74</v>
      </c>
      <c r="AL602" s="2" t="s">
        <v>74</v>
      </c>
      <c r="AM602" s="2" t="s">
        <v>74</v>
      </c>
      <c r="AN602" s="2" t="s">
        <v>74</v>
      </c>
      <c r="AO602" s="2" t="s">
        <v>143</v>
      </c>
      <c r="AP602" s="2" t="s">
        <v>144</v>
      </c>
      <c r="AQ602" s="2" t="s">
        <v>74</v>
      </c>
      <c r="AR602" s="2" t="s">
        <v>74</v>
      </c>
      <c r="AS602" s="2" t="s">
        <v>74</v>
      </c>
      <c r="AT602" s="2" t="s">
        <v>74</v>
      </c>
      <c r="AU602" s="2">
        <v>1980</v>
      </c>
      <c r="AV602" s="2">
        <v>28</v>
      </c>
      <c r="AW602" s="2" t="s">
        <v>213</v>
      </c>
      <c r="AX602" s="2" t="s">
        <v>74</v>
      </c>
      <c r="AY602" s="2" t="s">
        <v>74</v>
      </c>
      <c r="AZ602" s="2" t="s">
        <v>74</v>
      </c>
      <c r="BA602" s="2" t="s">
        <v>74</v>
      </c>
      <c r="BB602" s="2">
        <v>1230</v>
      </c>
      <c r="BC602" s="2">
        <v>1238</v>
      </c>
      <c r="BD602" s="2" t="s">
        <v>74</v>
      </c>
      <c r="BE602" s="2" t="s">
        <v>4576</v>
      </c>
      <c r="BF602" s="2" t="str">
        <f>HYPERLINK("http://dx.doi.org/10.1016/S0003-3472(80)80111-4","http://dx.doi.org/10.1016/S0003-3472(80)80111-4")</f>
        <v>http://dx.doi.org/10.1016/S0003-3472(80)80111-4</v>
      </c>
      <c r="BG602" s="2" t="s">
        <v>74</v>
      </c>
      <c r="BH602" s="2" t="s">
        <v>74</v>
      </c>
      <c r="BI602" s="2" t="s">
        <v>74</v>
      </c>
      <c r="BJ602" s="2" t="s">
        <v>74</v>
      </c>
      <c r="BK602" s="2" t="s">
        <v>74</v>
      </c>
      <c r="BL602" s="2" t="s">
        <v>74</v>
      </c>
      <c r="BM602" s="2" t="s">
        <v>74</v>
      </c>
      <c r="BN602" s="2" t="s">
        <v>74</v>
      </c>
      <c r="BO602" s="2" t="s">
        <v>74</v>
      </c>
      <c r="BP602" s="2" t="s">
        <v>74</v>
      </c>
      <c r="BQ602" s="2" t="s">
        <v>74</v>
      </c>
      <c r="BR602" s="2" t="s">
        <v>74</v>
      </c>
      <c r="BS602" s="2" t="s">
        <v>4577</v>
      </c>
      <c r="BT602" s="2" t="str">
        <f>HYPERLINK("https%3A%2F%2Fwww.webofscience.com%2Fwos%2Fwoscc%2Ffull-record%2FWOS:A1980KT55300026","View Full Record in Web of Science")</f>
        <v>View Full Record in Web of Science</v>
      </c>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row>
    <row r="603" spans="1:314" s="1" customFormat="1" x14ac:dyDescent="0.4">
      <c r="A603" s="2" t="s">
        <v>72</v>
      </c>
      <c r="B603" s="2" t="s">
        <v>2757</v>
      </c>
      <c r="C603" s="2" t="s">
        <v>74</v>
      </c>
      <c r="D603" s="2" t="s">
        <v>74</v>
      </c>
      <c r="E603" s="2" t="s">
        <v>74</v>
      </c>
      <c r="F603" s="2" t="s">
        <v>2758</v>
      </c>
      <c r="G603" s="2" t="s">
        <v>74</v>
      </c>
      <c r="H603" s="2" t="s">
        <v>74</v>
      </c>
      <c r="I603" s="2" t="s">
        <v>2759</v>
      </c>
      <c r="J603" s="2" t="s">
        <v>333</v>
      </c>
      <c r="K603" s="2" t="s">
        <v>74</v>
      </c>
      <c r="L603" s="2" t="s">
        <v>74</v>
      </c>
      <c r="M603" s="2" t="s">
        <v>74</v>
      </c>
      <c r="N603" s="2" t="s">
        <v>74</v>
      </c>
      <c r="O603" s="2" t="s">
        <v>74</v>
      </c>
      <c r="P603" s="2" t="s">
        <v>74</v>
      </c>
      <c r="Q603" s="2" t="s">
        <v>74</v>
      </c>
      <c r="R603" s="2" t="s">
        <v>74</v>
      </c>
      <c r="S603" s="2" t="s">
        <v>74</v>
      </c>
      <c r="T603" s="2" t="s">
        <v>74</v>
      </c>
      <c r="U603" s="2" t="s">
        <v>74</v>
      </c>
      <c r="V603" s="5" t="s">
        <v>2760</v>
      </c>
      <c r="W603" s="2" t="s">
        <v>74</v>
      </c>
      <c r="X603" s="2" t="s">
        <v>74</v>
      </c>
      <c r="Y603" s="2" t="s">
        <v>74</v>
      </c>
      <c r="Z603" s="2" t="s">
        <v>74</v>
      </c>
      <c r="AA603" s="2" t="s">
        <v>2761</v>
      </c>
      <c r="AB603" s="2" t="s">
        <v>2762</v>
      </c>
      <c r="AC603" s="2" t="s">
        <v>74</v>
      </c>
      <c r="AD603" s="2" t="s">
        <v>74</v>
      </c>
      <c r="AE603" s="2" t="s">
        <v>74</v>
      </c>
      <c r="AF603" s="2" t="s">
        <v>74</v>
      </c>
      <c r="AG603" s="2" t="s">
        <v>74</v>
      </c>
      <c r="AH603" s="2" t="s">
        <v>74</v>
      </c>
      <c r="AI603" s="2" t="s">
        <v>74</v>
      </c>
      <c r="AJ603" s="2" t="s">
        <v>74</v>
      </c>
      <c r="AK603" s="2" t="s">
        <v>74</v>
      </c>
      <c r="AL603" s="2" t="s">
        <v>74</v>
      </c>
      <c r="AM603" s="2" t="s">
        <v>74</v>
      </c>
      <c r="AN603" s="2" t="s">
        <v>74</v>
      </c>
      <c r="AO603" s="2" t="s">
        <v>337</v>
      </c>
      <c r="AP603" s="2" t="s">
        <v>338</v>
      </c>
      <c r="AQ603" s="2" t="s">
        <v>74</v>
      </c>
      <c r="AR603" s="2" t="s">
        <v>74</v>
      </c>
      <c r="AS603" s="2" t="s">
        <v>74</v>
      </c>
      <c r="AT603" s="2" t="s">
        <v>1038</v>
      </c>
      <c r="AU603" s="2">
        <v>2017</v>
      </c>
      <c r="AV603" s="2">
        <v>28</v>
      </c>
      <c r="AW603" s="2">
        <v>2</v>
      </c>
      <c r="AX603" s="2" t="s">
        <v>74</v>
      </c>
      <c r="AY603" s="2" t="s">
        <v>74</v>
      </c>
      <c r="AZ603" s="2" t="s">
        <v>74</v>
      </c>
      <c r="BA603" s="2" t="s">
        <v>74</v>
      </c>
      <c r="BB603" s="2">
        <v>597</v>
      </c>
      <c r="BC603" s="2">
        <v>606</v>
      </c>
      <c r="BD603" s="2" t="s">
        <v>74</v>
      </c>
      <c r="BE603" s="2" t="s">
        <v>2763</v>
      </c>
      <c r="BF603" s="2" t="str">
        <f>HYPERLINK("http://dx.doi.org/10.1093/beheco/arw186","http://dx.doi.org/10.1093/beheco/arw186")</f>
        <v>http://dx.doi.org/10.1093/beheco/arw186</v>
      </c>
      <c r="BG603" s="2" t="s">
        <v>74</v>
      </c>
      <c r="BH603" s="2" t="s">
        <v>74</v>
      </c>
      <c r="BI603" s="2" t="s">
        <v>74</v>
      </c>
      <c r="BJ603" s="2" t="s">
        <v>74</v>
      </c>
      <c r="BK603" s="2" t="s">
        <v>74</v>
      </c>
      <c r="BL603" s="2" t="s">
        <v>74</v>
      </c>
      <c r="BM603" s="2" t="s">
        <v>74</v>
      </c>
      <c r="BN603" s="2" t="s">
        <v>74</v>
      </c>
      <c r="BO603" s="2" t="s">
        <v>74</v>
      </c>
      <c r="BP603" s="2" t="s">
        <v>74</v>
      </c>
      <c r="BQ603" s="2" t="s">
        <v>74</v>
      </c>
      <c r="BR603" s="2" t="s">
        <v>74</v>
      </c>
      <c r="BS603" s="2" t="s">
        <v>2764</v>
      </c>
      <c r="BT603" s="2" t="str">
        <f>HYPERLINK("https%3A%2F%2Fwww.webofscience.com%2Fwos%2Fwoscc%2Ffull-record%2FWOS:000401769000036","View Full Record in Web of Science")</f>
        <v>View Full Record in Web of Science</v>
      </c>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row>
    <row r="604" spans="1:314" s="2" customFormat="1" x14ac:dyDescent="0.4">
      <c r="A604" s="2" t="s">
        <v>72</v>
      </c>
      <c r="B604" s="2" t="s">
        <v>4886</v>
      </c>
      <c r="C604" s="2" t="s">
        <v>74</v>
      </c>
      <c r="D604" s="2" t="s">
        <v>74</v>
      </c>
      <c r="E604" s="2" t="s">
        <v>74</v>
      </c>
      <c r="F604" s="2" t="s">
        <v>4886</v>
      </c>
      <c r="G604" s="2" t="s">
        <v>74</v>
      </c>
      <c r="H604" s="2" t="s">
        <v>74</v>
      </c>
      <c r="I604" s="2" t="s">
        <v>4887</v>
      </c>
      <c r="J604" s="2" t="s">
        <v>509</v>
      </c>
      <c r="K604" s="2" t="s">
        <v>74</v>
      </c>
      <c r="L604" s="2" t="s">
        <v>74</v>
      </c>
      <c r="M604" s="2" t="s">
        <v>74</v>
      </c>
      <c r="N604" s="2" t="s">
        <v>74</v>
      </c>
      <c r="O604" s="2" t="s">
        <v>74</v>
      </c>
      <c r="P604" s="2" t="s">
        <v>74</v>
      </c>
      <c r="Q604" s="2" t="s">
        <v>74</v>
      </c>
      <c r="R604" s="2" t="s">
        <v>74</v>
      </c>
      <c r="S604" s="2" t="s">
        <v>74</v>
      </c>
      <c r="T604" s="2" t="s">
        <v>74</v>
      </c>
      <c r="U604" s="2" t="s">
        <v>74</v>
      </c>
      <c r="V604" s="5" t="s">
        <v>4888</v>
      </c>
      <c r="W604" s="2" t="s">
        <v>74</v>
      </c>
      <c r="X604" s="2" t="s">
        <v>74</v>
      </c>
      <c r="Y604" s="2" t="s">
        <v>74</v>
      </c>
      <c r="Z604" s="2" t="s">
        <v>74</v>
      </c>
      <c r="AA604" s="2" t="s">
        <v>74</v>
      </c>
      <c r="AB604" s="2" t="s">
        <v>4889</v>
      </c>
      <c r="AC604" s="2" t="s">
        <v>74</v>
      </c>
      <c r="AD604" s="2" t="s">
        <v>74</v>
      </c>
      <c r="AE604" s="2" t="s">
        <v>74</v>
      </c>
      <c r="AF604" s="2" t="s">
        <v>74</v>
      </c>
      <c r="AG604" s="2" t="s">
        <v>74</v>
      </c>
      <c r="AH604" s="2" t="s">
        <v>74</v>
      </c>
      <c r="AI604" s="2" t="s">
        <v>74</v>
      </c>
      <c r="AJ604" s="2" t="s">
        <v>74</v>
      </c>
      <c r="AK604" s="2" t="s">
        <v>74</v>
      </c>
      <c r="AL604" s="2" t="s">
        <v>74</v>
      </c>
      <c r="AM604" s="2" t="s">
        <v>74</v>
      </c>
      <c r="AN604" s="2" t="s">
        <v>74</v>
      </c>
      <c r="AO604" s="2" t="s">
        <v>511</v>
      </c>
      <c r="AP604" s="2" t="s">
        <v>74</v>
      </c>
      <c r="AQ604" s="2" t="s">
        <v>74</v>
      </c>
      <c r="AR604" s="2" t="s">
        <v>74</v>
      </c>
      <c r="AS604" s="2" t="s">
        <v>74</v>
      </c>
      <c r="AT604" s="2" t="s">
        <v>123</v>
      </c>
      <c r="AU604" s="2">
        <v>1995</v>
      </c>
      <c r="AV604" s="2">
        <v>29</v>
      </c>
      <c r="AW604" s="2">
        <v>1</v>
      </c>
      <c r="AX604" s="2" t="s">
        <v>74</v>
      </c>
      <c r="AY604" s="2" t="s">
        <v>74</v>
      </c>
      <c r="AZ604" s="2" t="s">
        <v>74</v>
      </c>
      <c r="BA604" s="2" t="s">
        <v>74</v>
      </c>
      <c r="BB604" s="2">
        <v>85</v>
      </c>
      <c r="BC604" s="2">
        <v>105</v>
      </c>
      <c r="BD604" s="2" t="s">
        <v>74</v>
      </c>
      <c r="BE604" s="2" t="s">
        <v>4890</v>
      </c>
      <c r="BF604" s="2" t="str">
        <f>HYPERLINK("http://dx.doi.org/10.1006/hbeh.1995.1007","http://dx.doi.org/10.1006/hbeh.1995.1007")</f>
        <v>http://dx.doi.org/10.1006/hbeh.1995.1007</v>
      </c>
      <c r="BG604" s="2" t="s">
        <v>74</v>
      </c>
      <c r="BH604" s="2" t="s">
        <v>74</v>
      </c>
      <c r="BI604" s="2" t="s">
        <v>74</v>
      </c>
      <c r="BJ604" s="2" t="s">
        <v>74</v>
      </c>
      <c r="BK604" s="2" t="s">
        <v>74</v>
      </c>
      <c r="BL604" s="2" t="s">
        <v>74</v>
      </c>
      <c r="BM604" s="2" t="s">
        <v>74</v>
      </c>
      <c r="BN604" s="2">
        <v>7782065</v>
      </c>
      <c r="BO604" s="2" t="s">
        <v>74</v>
      </c>
      <c r="BP604" s="2" t="s">
        <v>74</v>
      </c>
      <c r="BQ604" s="2" t="s">
        <v>74</v>
      </c>
      <c r="BR604" s="2" t="s">
        <v>74</v>
      </c>
      <c r="BS604" s="2" t="s">
        <v>4891</v>
      </c>
      <c r="BT604" s="2" t="str">
        <f>HYPERLINK("https%3A%2F%2Fwww.webofscience.com%2Fwos%2Fwoscc%2Ffull-record%2FWOS:A1995QN96000007","View Full Record in Web of Science")</f>
        <v>View Full Record in Web of Science</v>
      </c>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row>
    <row r="605" spans="1:314" s="2" customFormat="1" x14ac:dyDescent="0.4">
      <c r="A605" s="2" t="s">
        <v>72</v>
      </c>
      <c r="B605" s="2" t="s">
        <v>4585</v>
      </c>
      <c r="C605" s="2" t="s">
        <v>74</v>
      </c>
      <c r="D605" s="2" t="s">
        <v>74</v>
      </c>
      <c r="E605" s="2" t="s">
        <v>74</v>
      </c>
      <c r="F605" s="2" t="s">
        <v>4586</v>
      </c>
      <c r="G605" s="2" t="s">
        <v>74</v>
      </c>
      <c r="H605" s="2" t="s">
        <v>74</v>
      </c>
      <c r="I605" s="2" t="s">
        <v>4587</v>
      </c>
      <c r="J605" s="2" t="s">
        <v>218</v>
      </c>
      <c r="K605" s="2" t="s">
        <v>74</v>
      </c>
      <c r="L605" s="2" t="s">
        <v>74</v>
      </c>
      <c r="M605" s="2" t="s">
        <v>74</v>
      </c>
      <c r="N605" s="2" t="s">
        <v>74</v>
      </c>
      <c r="O605" s="2" t="s">
        <v>74</v>
      </c>
      <c r="P605" s="2" t="s">
        <v>74</v>
      </c>
      <c r="Q605" s="2" t="s">
        <v>74</v>
      </c>
      <c r="R605" s="2" t="s">
        <v>74</v>
      </c>
      <c r="S605" s="2" t="s">
        <v>74</v>
      </c>
      <c r="T605" s="2" t="s">
        <v>74</v>
      </c>
      <c r="U605" s="2" t="s">
        <v>74</v>
      </c>
      <c r="V605" s="5" t="s">
        <v>4588</v>
      </c>
      <c r="W605" s="2" t="s">
        <v>74</v>
      </c>
      <c r="X605" s="2" t="s">
        <v>74</v>
      </c>
      <c r="Y605" s="2" t="s">
        <v>74</v>
      </c>
      <c r="Z605" s="2" t="s">
        <v>74</v>
      </c>
      <c r="AA605" s="2" t="s">
        <v>4589</v>
      </c>
      <c r="AB605" s="2" t="s">
        <v>4590</v>
      </c>
      <c r="AC605" s="2" t="s">
        <v>74</v>
      </c>
      <c r="AD605" s="2" t="s">
        <v>74</v>
      </c>
      <c r="AE605" s="2" t="s">
        <v>74</v>
      </c>
      <c r="AF605" s="2" t="s">
        <v>74</v>
      </c>
      <c r="AG605" s="2" t="s">
        <v>74</v>
      </c>
      <c r="AH605" s="2" t="s">
        <v>74</v>
      </c>
      <c r="AI605" s="2" t="s">
        <v>74</v>
      </c>
      <c r="AJ605" s="2" t="s">
        <v>74</v>
      </c>
      <c r="AK605" s="2" t="s">
        <v>74</v>
      </c>
      <c r="AL605" s="2" t="s">
        <v>74</v>
      </c>
      <c r="AM605" s="2" t="s">
        <v>74</v>
      </c>
      <c r="AN605" s="2" t="s">
        <v>74</v>
      </c>
      <c r="AO605" s="2" t="s">
        <v>221</v>
      </c>
      <c r="AP605" s="2" t="s">
        <v>222</v>
      </c>
      <c r="AQ605" s="2" t="s">
        <v>74</v>
      </c>
      <c r="AR605" s="2" t="s">
        <v>74</v>
      </c>
      <c r="AS605" s="2" t="s">
        <v>74</v>
      </c>
      <c r="AT605" s="2" t="s">
        <v>134</v>
      </c>
      <c r="AU605" s="2">
        <v>2020</v>
      </c>
      <c r="AV605" s="2">
        <v>33</v>
      </c>
      <c r="AW605" s="2">
        <v>5</v>
      </c>
      <c r="AX605" s="2" t="s">
        <v>74</v>
      </c>
      <c r="AY605" s="2" t="s">
        <v>74</v>
      </c>
      <c r="AZ605" s="2" t="s">
        <v>74</v>
      </c>
      <c r="BA605" s="2" t="s">
        <v>74</v>
      </c>
      <c r="BB605" s="2">
        <v>727</v>
      </c>
      <c r="BC605" s="2">
        <v>733</v>
      </c>
      <c r="BD605" s="2" t="s">
        <v>74</v>
      </c>
      <c r="BE605" s="2" t="s">
        <v>4591</v>
      </c>
      <c r="BF605" s="2" t="str">
        <f>HYPERLINK("http://dx.doi.org/10.1111/jeb.13607","http://dx.doi.org/10.1111/jeb.13607")</f>
        <v>http://dx.doi.org/10.1111/jeb.13607</v>
      </c>
      <c r="BG605" s="2" t="s">
        <v>74</v>
      </c>
      <c r="BH605" s="2" t="s">
        <v>74</v>
      </c>
      <c r="BI605" s="2" t="s">
        <v>74</v>
      </c>
      <c r="BJ605" s="2" t="s">
        <v>74</v>
      </c>
      <c r="BK605" s="2" t="s">
        <v>74</v>
      </c>
      <c r="BL605" s="2" t="s">
        <v>74</v>
      </c>
      <c r="BM605" s="2" t="s">
        <v>74</v>
      </c>
      <c r="BN605" s="2">
        <v>32069366</v>
      </c>
      <c r="BO605" s="2" t="s">
        <v>74</v>
      </c>
      <c r="BP605" s="2" t="s">
        <v>74</v>
      </c>
      <c r="BQ605" s="2" t="s">
        <v>74</v>
      </c>
      <c r="BR605" s="2" t="s">
        <v>74</v>
      </c>
      <c r="BS605" s="2" t="s">
        <v>4592</v>
      </c>
      <c r="BT605" s="2" t="str">
        <f>HYPERLINK("https%3A%2F%2Fwww.webofscience.com%2Fwos%2Fwoscc%2Ffull-record%2FWOS:000531419500014","View Full Record in Web of Science")</f>
        <v>View Full Record in Web of Science</v>
      </c>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row>
    <row r="606" spans="1:314" s="2" customFormat="1" x14ac:dyDescent="0.4">
      <c r="A606" s="2" t="s">
        <v>72</v>
      </c>
      <c r="B606" s="2" t="s">
        <v>6238</v>
      </c>
      <c r="C606" s="2" t="s">
        <v>74</v>
      </c>
      <c r="D606" s="2" t="s">
        <v>74</v>
      </c>
      <c r="E606" s="2" t="s">
        <v>74</v>
      </c>
      <c r="F606" s="2" t="s">
        <v>6238</v>
      </c>
      <c r="G606" s="2" t="s">
        <v>74</v>
      </c>
      <c r="H606" s="2" t="s">
        <v>74</v>
      </c>
      <c r="I606" s="2" t="s">
        <v>6239</v>
      </c>
      <c r="J606" s="2" t="s">
        <v>6240</v>
      </c>
      <c r="K606" s="2" t="s">
        <v>74</v>
      </c>
      <c r="L606" s="2" t="s">
        <v>74</v>
      </c>
      <c r="M606" s="2" t="s">
        <v>74</v>
      </c>
      <c r="N606" s="2" t="s">
        <v>74</v>
      </c>
      <c r="O606" s="2" t="s">
        <v>74</v>
      </c>
      <c r="P606" s="2" t="s">
        <v>74</v>
      </c>
      <c r="Q606" s="2" t="s">
        <v>74</v>
      </c>
      <c r="R606" s="2" t="s">
        <v>74</v>
      </c>
      <c r="S606" s="2" t="s">
        <v>74</v>
      </c>
      <c r="T606" s="2" t="s">
        <v>74</v>
      </c>
      <c r="U606" s="2" t="s">
        <v>74</v>
      </c>
      <c r="V606" s="5" t="s">
        <v>6241</v>
      </c>
      <c r="W606" s="2" t="s">
        <v>74</v>
      </c>
      <c r="X606" s="2" t="s">
        <v>74</v>
      </c>
      <c r="Y606" s="2" t="s">
        <v>74</v>
      </c>
      <c r="Z606" s="2" t="s">
        <v>74</v>
      </c>
      <c r="AA606" s="2" t="s">
        <v>74</v>
      </c>
      <c r="AB606" s="2" t="s">
        <v>74</v>
      </c>
      <c r="AC606" s="2" t="s">
        <v>74</v>
      </c>
      <c r="AD606" s="2" t="s">
        <v>74</v>
      </c>
      <c r="AE606" s="2" t="s">
        <v>74</v>
      </c>
      <c r="AF606" s="2" t="s">
        <v>74</v>
      </c>
      <c r="AG606" s="2" t="s">
        <v>74</v>
      </c>
      <c r="AH606" s="2" t="s">
        <v>74</v>
      </c>
      <c r="AI606" s="2" t="s">
        <v>74</v>
      </c>
      <c r="AJ606" s="2" t="s">
        <v>74</v>
      </c>
      <c r="AK606" s="2" t="s">
        <v>74</v>
      </c>
      <c r="AL606" s="2" t="s">
        <v>74</v>
      </c>
      <c r="AM606" s="2" t="s">
        <v>74</v>
      </c>
      <c r="AN606" s="2" t="s">
        <v>74</v>
      </c>
      <c r="AO606" s="2" t="s">
        <v>6242</v>
      </c>
      <c r="AP606" s="2" t="s">
        <v>6243</v>
      </c>
      <c r="AQ606" s="2" t="s">
        <v>74</v>
      </c>
      <c r="AR606" s="2" t="s">
        <v>74</v>
      </c>
      <c r="AS606" s="2" t="s">
        <v>74</v>
      </c>
      <c r="AT606" s="2" t="s">
        <v>74</v>
      </c>
      <c r="AU606" s="2">
        <v>1983</v>
      </c>
      <c r="AV606" s="2">
        <v>33</v>
      </c>
      <c r="AW606" s="2">
        <v>2</v>
      </c>
      <c r="AX606" s="2" t="s">
        <v>74</v>
      </c>
      <c r="AY606" s="2" t="s">
        <v>74</v>
      </c>
      <c r="AZ606" s="2" t="s">
        <v>74</v>
      </c>
      <c r="BA606" s="2" t="s">
        <v>74</v>
      </c>
      <c r="BB606" s="2">
        <v>353</v>
      </c>
      <c r="BC606" s="2">
        <v>362</v>
      </c>
      <c r="BD606" s="2" t="s">
        <v>74</v>
      </c>
      <c r="BE606" s="2" t="s">
        <v>74</v>
      </c>
      <c r="BF606" s="2" t="s">
        <v>74</v>
      </c>
      <c r="BG606" s="2" t="s">
        <v>74</v>
      </c>
      <c r="BH606" s="2" t="s">
        <v>74</v>
      </c>
      <c r="BI606" s="2" t="s">
        <v>74</v>
      </c>
      <c r="BJ606" s="2" t="s">
        <v>74</v>
      </c>
      <c r="BK606" s="2" t="s">
        <v>74</v>
      </c>
      <c r="BL606" s="2" t="s">
        <v>74</v>
      </c>
      <c r="BM606" s="2" t="s">
        <v>74</v>
      </c>
      <c r="BN606" s="2" t="s">
        <v>74</v>
      </c>
      <c r="BO606" s="2" t="s">
        <v>74</v>
      </c>
      <c r="BP606" s="2" t="s">
        <v>74</v>
      </c>
      <c r="BQ606" s="2" t="s">
        <v>74</v>
      </c>
      <c r="BR606" s="2" t="s">
        <v>74</v>
      </c>
      <c r="BS606" s="2" t="s">
        <v>6244</v>
      </c>
      <c r="BT606" s="2" t="str">
        <f>HYPERLINK("https%3A%2F%2Fwww.webofscience.com%2Fwos%2Fwoscc%2Ffull-record%2FWOS:A1983QR68900012","View Full Record in Web of Science")</f>
        <v>View Full Record in Web of Science</v>
      </c>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row>
    <row r="607" spans="1:314" s="2" customFormat="1" x14ac:dyDescent="0.4">
      <c r="A607" s="2" t="s">
        <v>72</v>
      </c>
      <c r="B607" s="2" t="s">
        <v>2031</v>
      </c>
      <c r="C607" s="2" t="s">
        <v>74</v>
      </c>
      <c r="D607" s="2" t="s">
        <v>74</v>
      </c>
      <c r="E607" s="2" t="s">
        <v>74</v>
      </c>
      <c r="F607" s="2" t="s">
        <v>2032</v>
      </c>
      <c r="G607" s="2" t="s">
        <v>74</v>
      </c>
      <c r="H607" s="2" t="s">
        <v>74</v>
      </c>
      <c r="I607" s="2" t="s">
        <v>2033</v>
      </c>
      <c r="J607" s="2" t="s">
        <v>218</v>
      </c>
      <c r="K607" s="2" t="s">
        <v>74</v>
      </c>
      <c r="L607" s="2" t="s">
        <v>74</v>
      </c>
      <c r="M607" s="2" t="s">
        <v>74</v>
      </c>
      <c r="N607" s="2" t="s">
        <v>74</v>
      </c>
      <c r="O607" s="2" t="s">
        <v>74</v>
      </c>
      <c r="P607" s="2" t="s">
        <v>74</v>
      </c>
      <c r="Q607" s="2" t="s">
        <v>74</v>
      </c>
      <c r="R607" s="2" t="s">
        <v>74</v>
      </c>
      <c r="S607" s="2" t="s">
        <v>74</v>
      </c>
      <c r="T607" s="2" t="s">
        <v>74</v>
      </c>
      <c r="U607" s="2" t="s">
        <v>74</v>
      </c>
      <c r="V607" s="5" t="s">
        <v>2034</v>
      </c>
      <c r="W607" s="2" t="s">
        <v>74</v>
      </c>
      <c r="X607" s="2" t="s">
        <v>74</v>
      </c>
      <c r="Y607" s="2" t="s">
        <v>74</v>
      </c>
      <c r="Z607" s="2" t="s">
        <v>74</v>
      </c>
      <c r="AA607" s="2" t="s">
        <v>74</v>
      </c>
      <c r="AB607" s="2" t="s">
        <v>2035</v>
      </c>
      <c r="AC607" s="2" t="s">
        <v>74</v>
      </c>
      <c r="AD607" s="2" t="s">
        <v>74</v>
      </c>
      <c r="AE607" s="2" t="s">
        <v>74</v>
      </c>
      <c r="AF607" s="2" t="s">
        <v>74</v>
      </c>
      <c r="AG607" s="2" t="s">
        <v>74</v>
      </c>
      <c r="AH607" s="2" t="s">
        <v>74</v>
      </c>
      <c r="AI607" s="2" t="s">
        <v>74</v>
      </c>
      <c r="AJ607" s="2" t="s">
        <v>74</v>
      </c>
      <c r="AK607" s="2" t="s">
        <v>74</v>
      </c>
      <c r="AL607" s="2" t="s">
        <v>74</v>
      </c>
      <c r="AM607" s="2" t="s">
        <v>74</v>
      </c>
      <c r="AN607" s="2" t="s">
        <v>74</v>
      </c>
      <c r="AO607" s="2" t="s">
        <v>221</v>
      </c>
      <c r="AP607" s="2" t="s">
        <v>222</v>
      </c>
      <c r="AQ607" s="2" t="s">
        <v>74</v>
      </c>
      <c r="AR607" s="2" t="s">
        <v>74</v>
      </c>
      <c r="AS607" s="2" t="s">
        <v>74</v>
      </c>
      <c r="AT607" s="2" t="s">
        <v>2036</v>
      </c>
      <c r="AU607" s="2">
        <v>2024</v>
      </c>
      <c r="AV607" s="2" t="s">
        <v>74</v>
      </c>
      <c r="AW607" s="2" t="s">
        <v>74</v>
      </c>
      <c r="AX607" s="2" t="s">
        <v>74</v>
      </c>
      <c r="AY607" s="2" t="s">
        <v>74</v>
      </c>
      <c r="AZ607" s="2" t="s">
        <v>74</v>
      </c>
      <c r="BA607" s="2" t="s">
        <v>74</v>
      </c>
      <c r="BB607" s="2" t="s">
        <v>74</v>
      </c>
      <c r="BC607" s="2" t="s">
        <v>74</v>
      </c>
      <c r="BD607" s="2" t="s">
        <v>74</v>
      </c>
      <c r="BE607" s="2" t="s">
        <v>2037</v>
      </c>
      <c r="BF607" s="2" t="str">
        <f>HYPERLINK("http://dx.doi.org/10.1093/jeb/voae085","http://dx.doi.org/10.1093/jeb/voae085")</f>
        <v>http://dx.doi.org/10.1093/jeb/voae085</v>
      </c>
      <c r="BG607" s="2" t="s">
        <v>74</v>
      </c>
      <c r="BH607" s="2" t="s">
        <v>869</v>
      </c>
      <c r="BI607" s="2" t="s">
        <v>74</v>
      </c>
      <c r="BJ607" s="2" t="s">
        <v>74</v>
      </c>
      <c r="BK607" s="2" t="s">
        <v>74</v>
      </c>
      <c r="BL607" s="2" t="s">
        <v>74</v>
      </c>
      <c r="BM607" s="2" t="s">
        <v>74</v>
      </c>
      <c r="BN607" s="2">
        <v>38989853</v>
      </c>
      <c r="BO607" s="2" t="s">
        <v>74</v>
      </c>
      <c r="BP607" s="2" t="s">
        <v>74</v>
      </c>
      <c r="BQ607" s="2" t="s">
        <v>74</v>
      </c>
      <c r="BR607" s="2" t="s">
        <v>74</v>
      </c>
      <c r="BS607" s="2" t="s">
        <v>2038</v>
      </c>
      <c r="BT607" s="2" t="str">
        <f>HYPERLINK("https%3A%2F%2Fwww.webofscience.com%2Fwos%2Fwoscc%2Ffull-record%2FWOS:001274409500001","View Full Record in Web of Science")</f>
        <v>View Full Record in Web of Science</v>
      </c>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row>
    <row r="608" spans="1:314" s="2" customFormat="1" x14ac:dyDescent="0.4">
      <c r="A608" s="2" t="s">
        <v>72</v>
      </c>
      <c r="B608" s="2" t="s">
        <v>6769</v>
      </c>
      <c r="C608" s="2" t="s">
        <v>74</v>
      </c>
      <c r="D608" s="2" t="s">
        <v>74</v>
      </c>
      <c r="E608" s="2" t="s">
        <v>74</v>
      </c>
      <c r="F608" s="2" t="s">
        <v>6770</v>
      </c>
      <c r="G608" s="2" t="s">
        <v>74</v>
      </c>
      <c r="H608" s="2" t="s">
        <v>74</v>
      </c>
      <c r="I608" s="2" t="s">
        <v>6771</v>
      </c>
      <c r="J608" s="2" t="s">
        <v>6772</v>
      </c>
      <c r="K608" s="2" t="s">
        <v>74</v>
      </c>
      <c r="L608" s="2" t="s">
        <v>74</v>
      </c>
      <c r="M608" s="2" t="s">
        <v>74</v>
      </c>
      <c r="N608" s="2" t="s">
        <v>74</v>
      </c>
      <c r="O608" s="2" t="s">
        <v>74</v>
      </c>
      <c r="P608" s="2" t="s">
        <v>74</v>
      </c>
      <c r="Q608" s="2" t="s">
        <v>74</v>
      </c>
      <c r="R608" s="2" t="s">
        <v>74</v>
      </c>
      <c r="S608" s="2" t="s">
        <v>74</v>
      </c>
      <c r="T608" s="2" t="s">
        <v>74</v>
      </c>
      <c r="U608" s="2" t="s">
        <v>74</v>
      </c>
      <c r="V608" s="5" t="s">
        <v>6773</v>
      </c>
      <c r="W608" s="2" t="s">
        <v>74</v>
      </c>
      <c r="X608" s="2" t="s">
        <v>74</v>
      </c>
      <c r="Y608" s="2" t="s">
        <v>74</v>
      </c>
      <c r="Z608" s="2" t="s">
        <v>74</v>
      </c>
      <c r="AA608" s="2" t="s">
        <v>6774</v>
      </c>
      <c r="AB608" s="2" t="s">
        <v>6775</v>
      </c>
      <c r="AC608" s="2" t="s">
        <v>74</v>
      </c>
      <c r="AD608" s="2" t="s">
        <v>74</v>
      </c>
      <c r="AE608" s="2" t="s">
        <v>74</v>
      </c>
      <c r="AF608" s="2" t="s">
        <v>74</v>
      </c>
      <c r="AG608" s="2" t="s">
        <v>74</v>
      </c>
      <c r="AH608" s="2" t="s">
        <v>74</v>
      </c>
      <c r="AI608" s="2" t="s">
        <v>74</v>
      </c>
      <c r="AJ608" s="2" t="s">
        <v>74</v>
      </c>
      <c r="AK608" s="2" t="s">
        <v>74</v>
      </c>
      <c r="AL608" s="2" t="s">
        <v>74</v>
      </c>
      <c r="AM608" s="2" t="s">
        <v>74</v>
      </c>
      <c r="AN608" s="2" t="s">
        <v>74</v>
      </c>
      <c r="AO608" s="2" t="s">
        <v>6776</v>
      </c>
      <c r="AP608" s="2" t="s">
        <v>6777</v>
      </c>
      <c r="AQ608" s="2" t="s">
        <v>74</v>
      </c>
      <c r="AR608" s="2" t="s">
        <v>74</v>
      </c>
      <c r="AS608" s="2" t="s">
        <v>74</v>
      </c>
      <c r="AT608" s="2" t="s">
        <v>964</v>
      </c>
      <c r="AU608" s="2">
        <v>2022</v>
      </c>
      <c r="AV608" s="2">
        <v>20</v>
      </c>
      <c r="AW608" s="2">
        <v>2</v>
      </c>
      <c r="AX608" s="2" t="s">
        <v>74</v>
      </c>
      <c r="AY608" s="2" t="s">
        <v>74</v>
      </c>
      <c r="AZ608" s="2" t="s">
        <v>74</v>
      </c>
      <c r="BA608" s="2" t="s">
        <v>74</v>
      </c>
      <c r="BB608" s="2" t="s">
        <v>74</v>
      </c>
      <c r="BC608" s="2" t="s">
        <v>74</v>
      </c>
      <c r="BD608" s="2" t="s">
        <v>6778</v>
      </c>
      <c r="BE608" s="2" t="s">
        <v>6779</v>
      </c>
      <c r="BF608" s="2" t="str">
        <f>HYPERLINK("http://dx.doi.org/10.1371/journal.pbio.3001529","http://dx.doi.org/10.1371/journal.pbio.3001529")</f>
        <v>http://dx.doi.org/10.1371/journal.pbio.3001529</v>
      </c>
      <c r="BG608" s="2" t="s">
        <v>74</v>
      </c>
      <c r="BH608" s="2" t="s">
        <v>74</v>
      </c>
      <c r="BI608" s="2" t="s">
        <v>74</v>
      </c>
      <c r="BJ608" s="2" t="s">
        <v>74</v>
      </c>
      <c r="BK608" s="2" t="s">
        <v>74</v>
      </c>
      <c r="BL608" s="2" t="s">
        <v>74</v>
      </c>
      <c r="BM608" s="2" t="s">
        <v>74</v>
      </c>
      <c r="BN608" s="2">
        <v>35176032</v>
      </c>
      <c r="BO608" s="2" t="s">
        <v>74</v>
      </c>
      <c r="BP608" s="2" t="s">
        <v>74</v>
      </c>
      <c r="BQ608" s="2" t="s">
        <v>74</v>
      </c>
      <c r="BR608" s="2" t="s">
        <v>74</v>
      </c>
      <c r="BS608" s="2" t="s">
        <v>6780</v>
      </c>
      <c r="BT608" s="2" t="str">
        <f>HYPERLINK("https%3A%2F%2Fwww.webofscience.com%2Fwos%2Fwoscc%2Ffull-record%2FWOS:000759890300001","View Full Record in Web of Science")</f>
        <v>View Full Record in Web of Science</v>
      </c>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row>
    <row r="609" spans="1:314" s="2" customFormat="1" x14ac:dyDescent="0.4">
      <c r="A609" s="2" t="s">
        <v>72</v>
      </c>
      <c r="B609" s="2" t="s">
        <v>3920</v>
      </c>
      <c r="C609" s="2" t="s">
        <v>74</v>
      </c>
      <c r="D609" s="2" t="s">
        <v>74</v>
      </c>
      <c r="E609" s="2" t="s">
        <v>74</v>
      </c>
      <c r="F609" s="2" t="s">
        <v>3921</v>
      </c>
      <c r="G609" s="2" t="s">
        <v>74</v>
      </c>
      <c r="H609" s="2" t="s">
        <v>74</v>
      </c>
      <c r="I609" s="2" t="s">
        <v>3922</v>
      </c>
      <c r="J609" s="2" t="s">
        <v>108</v>
      </c>
      <c r="K609" s="2" t="s">
        <v>74</v>
      </c>
      <c r="L609" s="2" t="s">
        <v>74</v>
      </c>
      <c r="M609" s="2" t="s">
        <v>74</v>
      </c>
      <c r="N609" s="2" t="s">
        <v>74</v>
      </c>
      <c r="O609" s="2" t="s">
        <v>74</v>
      </c>
      <c r="P609" s="2" t="s">
        <v>74</v>
      </c>
      <c r="Q609" s="2" t="s">
        <v>74</v>
      </c>
      <c r="R609" s="2" t="s">
        <v>74</v>
      </c>
      <c r="S609" s="2" t="s">
        <v>74</v>
      </c>
      <c r="T609" s="2" t="s">
        <v>74</v>
      </c>
      <c r="U609" s="2" t="s">
        <v>74</v>
      </c>
      <c r="V609" s="5" t="s">
        <v>3923</v>
      </c>
      <c r="W609" s="2" t="s">
        <v>74</v>
      </c>
      <c r="X609" s="2" t="s">
        <v>74</v>
      </c>
      <c r="Y609" s="2" t="s">
        <v>74</v>
      </c>
      <c r="Z609" s="2" t="s">
        <v>74</v>
      </c>
      <c r="AA609" s="2" t="s">
        <v>3924</v>
      </c>
      <c r="AB609" s="2" t="s">
        <v>3925</v>
      </c>
      <c r="AC609" s="2" t="s">
        <v>74</v>
      </c>
      <c r="AD609" s="2" t="s">
        <v>74</v>
      </c>
      <c r="AE609" s="2" t="s">
        <v>74</v>
      </c>
      <c r="AF609" s="2" t="s">
        <v>74</v>
      </c>
      <c r="AG609" s="2" t="s">
        <v>74</v>
      </c>
      <c r="AH609" s="2" t="s">
        <v>74</v>
      </c>
      <c r="AI609" s="2" t="s">
        <v>74</v>
      </c>
      <c r="AJ609" s="2" t="s">
        <v>74</v>
      </c>
      <c r="AK609" s="2" t="s">
        <v>74</v>
      </c>
      <c r="AL609" s="2" t="s">
        <v>74</v>
      </c>
      <c r="AM609" s="2" t="s">
        <v>74</v>
      </c>
      <c r="AN609" s="2" t="s">
        <v>74</v>
      </c>
      <c r="AO609" s="2" t="s">
        <v>111</v>
      </c>
      <c r="AP609" s="2" t="s">
        <v>112</v>
      </c>
      <c r="AQ609" s="2" t="s">
        <v>74</v>
      </c>
      <c r="AR609" s="2" t="s">
        <v>74</v>
      </c>
      <c r="AS609" s="2" t="s">
        <v>74</v>
      </c>
      <c r="AT609" s="2" t="s">
        <v>3926</v>
      </c>
      <c r="AU609" s="2">
        <v>2014</v>
      </c>
      <c r="AV609" s="2">
        <v>281</v>
      </c>
      <c r="AW609" s="2">
        <v>1793</v>
      </c>
      <c r="AX609" s="2" t="s">
        <v>74</v>
      </c>
      <c r="AY609" s="2" t="s">
        <v>74</v>
      </c>
      <c r="AZ609" s="2" t="s">
        <v>74</v>
      </c>
      <c r="BA609" s="2" t="s">
        <v>74</v>
      </c>
      <c r="BB609" s="2" t="s">
        <v>74</v>
      </c>
      <c r="BC609" s="2" t="s">
        <v>74</v>
      </c>
      <c r="BD609" s="2">
        <v>20141794</v>
      </c>
      <c r="BE609" s="2" t="s">
        <v>3927</v>
      </c>
      <c r="BF609" s="2" t="str">
        <f>HYPERLINK("http://dx.doi.org/10.1098/rspb.2014.1794","http://dx.doi.org/10.1098/rspb.2014.1794")</f>
        <v>http://dx.doi.org/10.1098/rspb.2014.1794</v>
      </c>
      <c r="BG609" s="2" t="s">
        <v>74</v>
      </c>
      <c r="BH609" s="2" t="s">
        <v>74</v>
      </c>
      <c r="BI609" s="2" t="s">
        <v>74</v>
      </c>
      <c r="BJ609" s="2" t="s">
        <v>74</v>
      </c>
      <c r="BK609" s="2" t="s">
        <v>74</v>
      </c>
      <c r="BL609" s="2" t="s">
        <v>74</v>
      </c>
      <c r="BM609" s="2" t="s">
        <v>74</v>
      </c>
      <c r="BN609" s="2">
        <v>25209943</v>
      </c>
      <c r="BO609" s="2" t="s">
        <v>74</v>
      </c>
      <c r="BP609" s="2" t="s">
        <v>74</v>
      </c>
      <c r="BQ609" s="2" t="s">
        <v>74</v>
      </c>
      <c r="BR609" s="2" t="s">
        <v>74</v>
      </c>
      <c r="BS609" s="2" t="s">
        <v>3928</v>
      </c>
      <c r="BT609" s="2" t="str">
        <f>HYPERLINK("https%3A%2F%2Fwww.webofscience.com%2Fwos%2Fwoscc%2Ffull-record%2FWOS:000341560300025","View Full Record in Web of Science")</f>
        <v>View Full Record in Web of Science</v>
      </c>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row>
    <row r="610" spans="1:314" s="2" customFormat="1" x14ac:dyDescent="0.4">
      <c r="A610" s="2" t="s">
        <v>72</v>
      </c>
      <c r="B610" s="2" t="s">
        <v>737</v>
      </c>
      <c r="C610" s="2" t="s">
        <v>74</v>
      </c>
      <c r="D610" s="2" t="s">
        <v>74</v>
      </c>
      <c r="E610" s="2" t="s">
        <v>74</v>
      </c>
      <c r="F610" s="2" t="s">
        <v>738</v>
      </c>
      <c r="G610" s="2" t="s">
        <v>74</v>
      </c>
      <c r="H610" s="2" t="s">
        <v>74</v>
      </c>
      <c r="I610" s="2" t="s">
        <v>739</v>
      </c>
      <c r="J610" s="2" t="s">
        <v>408</v>
      </c>
      <c r="K610" s="2" t="s">
        <v>74</v>
      </c>
      <c r="L610" s="2" t="s">
        <v>74</v>
      </c>
      <c r="M610" s="2" t="s">
        <v>74</v>
      </c>
      <c r="N610" s="2" t="s">
        <v>74</v>
      </c>
      <c r="O610" s="2" t="s">
        <v>74</v>
      </c>
      <c r="P610" s="2" t="s">
        <v>74</v>
      </c>
      <c r="Q610" s="2" t="s">
        <v>74</v>
      </c>
      <c r="R610" s="2" t="s">
        <v>74</v>
      </c>
      <c r="S610" s="2" t="s">
        <v>74</v>
      </c>
      <c r="T610" s="2" t="s">
        <v>74</v>
      </c>
      <c r="U610" s="2" t="s">
        <v>74</v>
      </c>
      <c r="V610" s="5" t="s">
        <v>740</v>
      </c>
      <c r="W610" s="2" t="s">
        <v>74</v>
      </c>
      <c r="X610" s="2" t="s">
        <v>74</v>
      </c>
      <c r="Y610" s="2" t="s">
        <v>74</v>
      </c>
      <c r="Z610" s="2" t="s">
        <v>74</v>
      </c>
      <c r="AA610" s="2" t="s">
        <v>74</v>
      </c>
      <c r="AB610" s="2" t="s">
        <v>74</v>
      </c>
      <c r="AC610" s="2" t="s">
        <v>74</v>
      </c>
      <c r="AD610" s="2" t="s">
        <v>74</v>
      </c>
      <c r="AE610" s="2" t="s">
        <v>74</v>
      </c>
      <c r="AF610" s="2" t="s">
        <v>74</v>
      </c>
      <c r="AG610" s="2" t="s">
        <v>74</v>
      </c>
      <c r="AH610" s="2" t="s">
        <v>74</v>
      </c>
      <c r="AI610" s="2" t="s">
        <v>74</v>
      </c>
      <c r="AJ610" s="2" t="s">
        <v>74</v>
      </c>
      <c r="AK610" s="2" t="s">
        <v>74</v>
      </c>
      <c r="AL610" s="2" t="s">
        <v>74</v>
      </c>
      <c r="AM610" s="2" t="s">
        <v>74</v>
      </c>
      <c r="AN610" s="2" t="s">
        <v>74</v>
      </c>
      <c r="AO610" s="2" t="s">
        <v>412</v>
      </c>
      <c r="AP610" s="2" t="s">
        <v>413</v>
      </c>
      <c r="AQ610" s="2" t="s">
        <v>74</v>
      </c>
      <c r="AR610" s="2" t="s">
        <v>74</v>
      </c>
      <c r="AS610" s="2" t="s">
        <v>74</v>
      </c>
      <c r="AT610" s="2" t="s">
        <v>741</v>
      </c>
      <c r="AU610" s="2">
        <v>2024</v>
      </c>
      <c r="AV610" s="2" t="s">
        <v>74</v>
      </c>
      <c r="AW610" s="2" t="s">
        <v>74</v>
      </c>
      <c r="AX610" s="2" t="s">
        <v>74</v>
      </c>
      <c r="AY610" s="2" t="s">
        <v>74</v>
      </c>
      <c r="AZ610" s="2" t="s">
        <v>74</v>
      </c>
      <c r="BA610" s="2" t="s">
        <v>74</v>
      </c>
      <c r="BB610" s="2" t="s">
        <v>74</v>
      </c>
      <c r="BC610" s="2" t="s">
        <v>74</v>
      </c>
      <c r="BD610" s="2" t="s">
        <v>74</v>
      </c>
      <c r="BE610" s="2" t="s">
        <v>742</v>
      </c>
      <c r="BF610" s="2" t="str">
        <f>HYPERLINK("http://dx.doi.org/10.1093/biolinnean/blae006","http://dx.doi.org/10.1093/biolinnean/blae006")</f>
        <v>http://dx.doi.org/10.1093/biolinnean/blae006</v>
      </c>
      <c r="BG610" s="2" t="s">
        <v>74</v>
      </c>
      <c r="BH610" s="2" t="s">
        <v>743</v>
      </c>
      <c r="BI610" s="2" t="s">
        <v>74</v>
      </c>
      <c r="BJ610" s="2" t="s">
        <v>74</v>
      </c>
      <c r="BK610" s="2" t="s">
        <v>74</v>
      </c>
      <c r="BL610" s="2" t="s">
        <v>74</v>
      </c>
      <c r="BM610" s="2" t="s">
        <v>74</v>
      </c>
      <c r="BN610" s="2" t="s">
        <v>74</v>
      </c>
      <c r="BO610" s="2" t="s">
        <v>74</v>
      </c>
      <c r="BP610" s="2" t="s">
        <v>74</v>
      </c>
      <c r="BQ610" s="2" t="s">
        <v>74</v>
      </c>
      <c r="BR610" s="2" t="s">
        <v>74</v>
      </c>
      <c r="BS610" s="2" t="s">
        <v>744</v>
      </c>
      <c r="BT610" s="2" t="str">
        <f>HYPERLINK("https%3A%2F%2Fwww.webofscience.com%2Fwos%2Fwoscc%2Ffull-record%2FWOS:001178186000001","View Full Record in Web of Science")</f>
        <v>View Full Record in Web of Science</v>
      </c>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row>
    <row r="611" spans="1:314" s="2" customFormat="1" x14ac:dyDescent="0.4">
      <c r="A611" s="2" t="s">
        <v>72</v>
      </c>
      <c r="B611" s="2" t="s">
        <v>4190</v>
      </c>
      <c r="C611" s="2" t="s">
        <v>74</v>
      </c>
      <c r="D611" s="2" t="s">
        <v>74</v>
      </c>
      <c r="E611" s="2" t="s">
        <v>74</v>
      </c>
      <c r="F611" s="2" t="s">
        <v>4191</v>
      </c>
      <c r="G611" s="2" t="s">
        <v>74</v>
      </c>
      <c r="H611" s="2" t="s">
        <v>74</v>
      </c>
      <c r="I611" s="2" t="s">
        <v>4192</v>
      </c>
      <c r="J611" s="2" t="s">
        <v>862</v>
      </c>
      <c r="K611" s="2" t="s">
        <v>74</v>
      </c>
      <c r="L611" s="2" t="s">
        <v>74</v>
      </c>
      <c r="M611" s="2" t="s">
        <v>74</v>
      </c>
      <c r="N611" s="2" t="s">
        <v>74</v>
      </c>
      <c r="O611" s="2" t="s">
        <v>74</v>
      </c>
      <c r="P611" s="2" t="s">
        <v>74</v>
      </c>
      <c r="Q611" s="2" t="s">
        <v>74</v>
      </c>
      <c r="R611" s="2" t="s">
        <v>74</v>
      </c>
      <c r="S611" s="2" t="s">
        <v>74</v>
      </c>
      <c r="T611" s="2" t="s">
        <v>74</v>
      </c>
      <c r="U611" s="2" t="s">
        <v>74</v>
      </c>
      <c r="V611" s="5" t="s">
        <v>4193</v>
      </c>
      <c r="W611" s="2" t="s">
        <v>74</v>
      </c>
      <c r="X611" s="2" t="s">
        <v>74</v>
      </c>
      <c r="Y611" s="2" t="s">
        <v>74</v>
      </c>
      <c r="Z611" s="2" t="s">
        <v>74</v>
      </c>
      <c r="AA611" s="2" t="s">
        <v>74</v>
      </c>
      <c r="AB611" s="2" t="s">
        <v>74</v>
      </c>
      <c r="AC611" s="2" t="s">
        <v>74</v>
      </c>
      <c r="AD611" s="2" t="s">
        <v>74</v>
      </c>
      <c r="AE611" s="2" t="s">
        <v>74</v>
      </c>
      <c r="AF611" s="2" t="s">
        <v>74</v>
      </c>
      <c r="AG611" s="2" t="s">
        <v>74</v>
      </c>
      <c r="AH611" s="2" t="s">
        <v>74</v>
      </c>
      <c r="AI611" s="2" t="s">
        <v>74</v>
      </c>
      <c r="AJ611" s="2" t="s">
        <v>74</v>
      </c>
      <c r="AK611" s="2" t="s">
        <v>74</v>
      </c>
      <c r="AL611" s="2" t="s">
        <v>74</v>
      </c>
      <c r="AM611" s="2" t="s">
        <v>74</v>
      </c>
      <c r="AN611" s="2" t="s">
        <v>74</v>
      </c>
      <c r="AO611" s="2" t="s">
        <v>865</v>
      </c>
      <c r="AP611" s="2" t="s">
        <v>866</v>
      </c>
      <c r="AQ611" s="2" t="s">
        <v>74</v>
      </c>
      <c r="AR611" s="2" t="s">
        <v>74</v>
      </c>
      <c r="AS611" s="2" t="s">
        <v>74</v>
      </c>
      <c r="AT611" s="2" t="s">
        <v>123</v>
      </c>
      <c r="AU611" s="2">
        <v>2014</v>
      </c>
      <c r="AV611" s="2">
        <v>17</v>
      </c>
      <c r="AW611" s="2">
        <v>1</v>
      </c>
      <c r="AX611" s="2" t="s">
        <v>74</v>
      </c>
      <c r="AY611" s="2" t="s">
        <v>74</v>
      </c>
      <c r="AZ611" s="2" t="s">
        <v>74</v>
      </c>
      <c r="BA611" s="2" t="s">
        <v>74</v>
      </c>
      <c r="BB611" s="2">
        <v>37</v>
      </c>
      <c r="BC611" s="2">
        <v>45</v>
      </c>
      <c r="BD611" s="2" t="s">
        <v>74</v>
      </c>
      <c r="BE611" s="2" t="s">
        <v>4194</v>
      </c>
      <c r="BF611" s="2" t="str">
        <f>HYPERLINK("http://dx.doi.org/10.1007/s10211-013-0156-2","http://dx.doi.org/10.1007/s10211-013-0156-2")</f>
        <v>http://dx.doi.org/10.1007/s10211-013-0156-2</v>
      </c>
      <c r="BG611" s="2" t="s">
        <v>74</v>
      </c>
      <c r="BH611" s="2" t="s">
        <v>74</v>
      </c>
      <c r="BI611" s="2" t="s">
        <v>74</v>
      </c>
      <c r="BJ611" s="2" t="s">
        <v>74</v>
      </c>
      <c r="BK611" s="2" t="s">
        <v>74</v>
      </c>
      <c r="BL611" s="2" t="s">
        <v>74</v>
      </c>
      <c r="BM611" s="2" t="s">
        <v>74</v>
      </c>
      <c r="BN611" s="2" t="s">
        <v>74</v>
      </c>
      <c r="BO611" s="2" t="s">
        <v>74</v>
      </c>
      <c r="BP611" s="2" t="s">
        <v>74</v>
      </c>
      <c r="BQ611" s="2" t="s">
        <v>74</v>
      </c>
      <c r="BR611" s="2" t="s">
        <v>74</v>
      </c>
      <c r="BS611" s="2" t="s">
        <v>4195</v>
      </c>
      <c r="BT611" s="2" t="str">
        <f>HYPERLINK("https%3A%2F%2Fwww.webofscience.com%2Fwos%2Fwoscc%2Ffull-record%2FWOS:000331631900006","View Full Record in Web of Science")</f>
        <v>View Full Record in Web of Science</v>
      </c>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row>
    <row r="612" spans="1:314" s="2" customFormat="1" x14ac:dyDescent="0.4">
      <c r="A612" s="2" t="s">
        <v>72</v>
      </c>
      <c r="B612" s="2" t="s">
        <v>890</v>
      </c>
      <c r="C612" s="2" t="s">
        <v>74</v>
      </c>
      <c r="D612" s="2" t="s">
        <v>74</v>
      </c>
      <c r="E612" s="2" t="s">
        <v>74</v>
      </c>
      <c r="F612" s="2" t="s">
        <v>891</v>
      </c>
      <c r="G612" s="2" t="s">
        <v>74</v>
      </c>
      <c r="H612" s="2" t="s">
        <v>74</v>
      </c>
      <c r="I612" s="2" t="s">
        <v>892</v>
      </c>
      <c r="J612" s="2" t="s">
        <v>88</v>
      </c>
      <c r="K612" s="2" t="s">
        <v>74</v>
      </c>
      <c r="L612" s="2" t="s">
        <v>74</v>
      </c>
      <c r="M612" s="2" t="s">
        <v>74</v>
      </c>
      <c r="N612" s="2" t="s">
        <v>74</v>
      </c>
      <c r="O612" s="2" t="s">
        <v>74</v>
      </c>
      <c r="P612" s="2" t="s">
        <v>74</v>
      </c>
      <c r="Q612" s="2" t="s">
        <v>74</v>
      </c>
      <c r="R612" s="2" t="s">
        <v>74</v>
      </c>
      <c r="S612" s="2" t="s">
        <v>74</v>
      </c>
      <c r="T612" s="2" t="s">
        <v>74</v>
      </c>
      <c r="U612" s="2" t="s">
        <v>74</v>
      </c>
      <c r="V612" s="5" t="s">
        <v>893</v>
      </c>
      <c r="W612" s="2" t="s">
        <v>74</v>
      </c>
      <c r="X612" s="2" t="s">
        <v>74</v>
      </c>
      <c r="Y612" s="2" t="s">
        <v>74</v>
      </c>
      <c r="Z612" s="2" t="s">
        <v>74</v>
      </c>
      <c r="AA612" s="2" t="s">
        <v>74</v>
      </c>
      <c r="AB612" s="2" t="s">
        <v>894</v>
      </c>
      <c r="AC612" s="2" t="s">
        <v>74</v>
      </c>
      <c r="AD612" s="2" t="s">
        <v>74</v>
      </c>
      <c r="AE612" s="2" t="s">
        <v>74</v>
      </c>
      <c r="AF612" s="2" t="s">
        <v>74</v>
      </c>
      <c r="AG612" s="2" t="s">
        <v>74</v>
      </c>
      <c r="AH612" s="2" t="s">
        <v>74</v>
      </c>
      <c r="AI612" s="2" t="s">
        <v>74</v>
      </c>
      <c r="AJ612" s="2" t="s">
        <v>74</v>
      </c>
      <c r="AK612" s="2" t="s">
        <v>74</v>
      </c>
      <c r="AL612" s="2" t="s">
        <v>74</v>
      </c>
      <c r="AM612" s="2" t="s">
        <v>74</v>
      </c>
      <c r="AN612" s="2" t="s">
        <v>74</v>
      </c>
      <c r="AO612" s="2" t="s">
        <v>91</v>
      </c>
      <c r="AP612" s="2" t="s">
        <v>74</v>
      </c>
      <c r="AQ612" s="2" t="s">
        <v>74</v>
      </c>
      <c r="AR612" s="2" t="s">
        <v>74</v>
      </c>
      <c r="AS612" s="2" t="s">
        <v>74</v>
      </c>
      <c r="AT612" s="2" t="s">
        <v>895</v>
      </c>
      <c r="AU612" s="2">
        <v>2011</v>
      </c>
      <c r="AV612" s="2">
        <v>7</v>
      </c>
      <c r="AW612" s="2">
        <v>5</v>
      </c>
      <c r="AX612" s="2" t="s">
        <v>74</v>
      </c>
      <c r="AY612" s="2" t="s">
        <v>74</v>
      </c>
      <c r="AZ612" s="2" t="s">
        <v>74</v>
      </c>
      <c r="BA612" s="2" t="s">
        <v>74</v>
      </c>
      <c r="BB612" s="2">
        <v>658</v>
      </c>
      <c r="BC612" s="2">
        <v>660</v>
      </c>
      <c r="BD612" s="2" t="s">
        <v>74</v>
      </c>
      <c r="BE612" s="2" t="s">
        <v>896</v>
      </c>
      <c r="BF612" s="2" t="str">
        <f>HYPERLINK("http://dx.doi.org/10.1098/rsbl.2011.0087","http://dx.doi.org/10.1098/rsbl.2011.0087")</f>
        <v>http://dx.doi.org/10.1098/rsbl.2011.0087</v>
      </c>
      <c r="BG612" s="2" t="s">
        <v>74</v>
      </c>
      <c r="BH612" s="2" t="s">
        <v>74</v>
      </c>
      <c r="BI612" s="2" t="s">
        <v>74</v>
      </c>
      <c r="BJ612" s="2" t="s">
        <v>74</v>
      </c>
      <c r="BK612" s="2" t="s">
        <v>74</v>
      </c>
      <c r="BL612" s="2" t="s">
        <v>74</v>
      </c>
      <c r="BM612" s="2" t="s">
        <v>74</v>
      </c>
      <c r="BN612" s="2">
        <v>21450727</v>
      </c>
      <c r="BO612" s="2" t="s">
        <v>74</v>
      </c>
      <c r="BP612" s="2" t="s">
        <v>74</v>
      </c>
      <c r="BQ612" s="2" t="s">
        <v>74</v>
      </c>
      <c r="BR612" s="2" t="s">
        <v>74</v>
      </c>
      <c r="BS612" s="2" t="s">
        <v>897</v>
      </c>
      <c r="BT612" s="2" t="str">
        <f>HYPERLINK("https%3A%2F%2Fwww.webofscience.com%2Fwos%2Fwoscc%2Ffull-record%2FWOS:000294768400007","View Full Record in Web of Science")</f>
        <v>View Full Record in Web of Science</v>
      </c>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row>
    <row r="613" spans="1:314" s="2" customFormat="1" x14ac:dyDescent="0.4">
      <c r="A613" s="2" t="s">
        <v>72</v>
      </c>
      <c r="B613" s="2" t="s">
        <v>1034</v>
      </c>
      <c r="C613" s="2" t="s">
        <v>74</v>
      </c>
      <c r="D613" s="2" t="s">
        <v>74</v>
      </c>
      <c r="E613" s="2" t="s">
        <v>74</v>
      </c>
      <c r="F613" s="2" t="s">
        <v>1035</v>
      </c>
      <c r="G613" s="2" t="s">
        <v>74</v>
      </c>
      <c r="H613" s="2" t="s">
        <v>74</v>
      </c>
      <c r="I613" s="2" t="s">
        <v>1036</v>
      </c>
      <c r="J613" s="2" t="s">
        <v>333</v>
      </c>
      <c r="K613" s="2" t="s">
        <v>74</v>
      </c>
      <c r="L613" s="2" t="s">
        <v>74</v>
      </c>
      <c r="M613" s="2" t="s">
        <v>74</v>
      </c>
      <c r="N613" s="2" t="s">
        <v>74</v>
      </c>
      <c r="O613" s="2" t="s">
        <v>74</v>
      </c>
      <c r="P613" s="2" t="s">
        <v>74</v>
      </c>
      <c r="Q613" s="2" t="s">
        <v>74</v>
      </c>
      <c r="R613" s="2" t="s">
        <v>74</v>
      </c>
      <c r="S613" s="2" t="s">
        <v>74</v>
      </c>
      <c r="T613" s="2" t="s">
        <v>74</v>
      </c>
      <c r="U613" s="2" t="s">
        <v>74</v>
      </c>
      <c r="V613" s="5" t="s">
        <v>1037</v>
      </c>
      <c r="W613" s="2" t="s">
        <v>74</v>
      </c>
      <c r="X613" s="2" t="s">
        <v>74</v>
      </c>
      <c r="Y613" s="2" t="s">
        <v>74</v>
      </c>
      <c r="Z613" s="2" t="s">
        <v>74</v>
      </c>
      <c r="AA613" s="2" t="s">
        <v>74</v>
      </c>
      <c r="AB613" s="2" t="s">
        <v>74</v>
      </c>
      <c r="AC613" s="2" t="s">
        <v>74</v>
      </c>
      <c r="AD613" s="2" t="s">
        <v>74</v>
      </c>
      <c r="AE613" s="2" t="s">
        <v>74</v>
      </c>
      <c r="AF613" s="2" t="s">
        <v>74</v>
      </c>
      <c r="AG613" s="2" t="s">
        <v>74</v>
      </c>
      <c r="AH613" s="2" t="s">
        <v>74</v>
      </c>
      <c r="AI613" s="2" t="s">
        <v>74</v>
      </c>
      <c r="AJ613" s="2" t="s">
        <v>74</v>
      </c>
      <c r="AK613" s="2" t="s">
        <v>74</v>
      </c>
      <c r="AL613" s="2" t="s">
        <v>74</v>
      </c>
      <c r="AM613" s="2" t="s">
        <v>74</v>
      </c>
      <c r="AN613" s="2" t="s">
        <v>74</v>
      </c>
      <c r="AO613" s="2" t="s">
        <v>337</v>
      </c>
      <c r="AP613" s="2" t="s">
        <v>74</v>
      </c>
      <c r="AQ613" s="2" t="s">
        <v>74</v>
      </c>
      <c r="AR613" s="2" t="s">
        <v>74</v>
      </c>
      <c r="AS613" s="2" t="s">
        <v>74</v>
      </c>
      <c r="AT613" s="2" t="s">
        <v>1038</v>
      </c>
      <c r="AU613" s="2">
        <v>2007</v>
      </c>
      <c r="AV613" s="2">
        <v>18</v>
      </c>
      <c r="AW613" s="2">
        <v>2</v>
      </c>
      <c r="AX613" s="2" t="s">
        <v>74</v>
      </c>
      <c r="AY613" s="2" t="s">
        <v>74</v>
      </c>
      <c r="AZ613" s="2" t="s">
        <v>74</v>
      </c>
      <c r="BA613" s="2" t="s">
        <v>74</v>
      </c>
      <c r="BB613" s="2">
        <v>318</v>
      </c>
      <c r="BC613" s="2">
        <v>323</v>
      </c>
      <c r="BD613" s="2" t="s">
        <v>74</v>
      </c>
      <c r="BE613" s="2" t="s">
        <v>1039</v>
      </c>
      <c r="BF613" s="2" t="str">
        <f>HYPERLINK("http://dx.doi.org/10.1093/beheco/arl093","http://dx.doi.org/10.1093/beheco/arl093")</f>
        <v>http://dx.doi.org/10.1093/beheco/arl093</v>
      </c>
      <c r="BG613" s="2" t="s">
        <v>74</v>
      </c>
      <c r="BH613" s="2" t="s">
        <v>74</v>
      </c>
      <c r="BI613" s="2" t="s">
        <v>74</v>
      </c>
      <c r="BJ613" s="2" t="s">
        <v>74</v>
      </c>
      <c r="BK613" s="2" t="s">
        <v>74</v>
      </c>
      <c r="BL613" s="2" t="s">
        <v>74</v>
      </c>
      <c r="BM613" s="2" t="s">
        <v>74</v>
      </c>
      <c r="BN613" s="2" t="s">
        <v>74</v>
      </c>
      <c r="BO613" s="2" t="s">
        <v>74</v>
      </c>
      <c r="BP613" s="2" t="s">
        <v>74</v>
      </c>
      <c r="BQ613" s="2" t="s">
        <v>74</v>
      </c>
      <c r="BR613" s="2" t="s">
        <v>74</v>
      </c>
      <c r="BS613" s="2" t="s">
        <v>1040</v>
      </c>
      <c r="BT613" s="2" t="str">
        <f>HYPERLINK("https%3A%2F%2Fwww.webofscience.com%2Fwos%2Fwoscc%2Ffull-record%2FWOS:000244658100007","View Full Record in Web of Science")</f>
        <v>View Full Record in Web of Science</v>
      </c>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row>
    <row r="614" spans="1:314" s="2" customFormat="1" x14ac:dyDescent="0.4">
      <c r="A614" s="2" t="s">
        <v>72</v>
      </c>
      <c r="B614" s="2" t="s">
        <v>2697</v>
      </c>
      <c r="C614" s="2" t="s">
        <v>74</v>
      </c>
      <c r="D614" s="2" t="s">
        <v>74</v>
      </c>
      <c r="E614" s="2" t="s">
        <v>74</v>
      </c>
      <c r="F614" s="2" t="s">
        <v>2698</v>
      </c>
      <c r="G614" s="2" t="s">
        <v>74</v>
      </c>
      <c r="H614" s="2" t="s">
        <v>74</v>
      </c>
      <c r="I614" s="2" t="s">
        <v>2699</v>
      </c>
      <c r="J614" s="2" t="s">
        <v>731</v>
      </c>
      <c r="K614" s="2" t="s">
        <v>74</v>
      </c>
      <c r="L614" s="2" t="s">
        <v>74</v>
      </c>
      <c r="M614" s="2" t="s">
        <v>74</v>
      </c>
      <c r="N614" s="2" t="s">
        <v>74</v>
      </c>
      <c r="O614" s="2" t="s">
        <v>74</v>
      </c>
      <c r="P614" s="2" t="s">
        <v>74</v>
      </c>
      <c r="Q614" s="2" t="s">
        <v>74</v>
      </c>
      <c r="R614" s="2" t="s">
        <v>74</v>
      </c>
      <c r="S614" s="2" t="s">
        <v>74</v>
      </c>
      <c r="T614" s="2" t="s">
        <v>74</v>
      </c>
      <c r="U614" s="2" t="s">
        <v>74</v>
      </c>
      <c r="V614" s="5" t="s">
        <v>2700</v>
      </c>
      <c r="W614" s="2" t="s">
        <v>74</v>
      </c>
      <c r="X614" s="2" t="s">
        <v>74</v>
      </c>
      <c r="Y614" s="2" t="s">
        <v>74</v>
      </c>
      <c r="Z614" s="2" t="s">
        <v>74</v>
      </c>
      <c r="AA614" s="2" t="s">
        <v>74</v>
      </c>
      <c r="AB614" s="2" t="s">
        <v>2701</v>
      </c>
      <c r="AC614" s="2" t="s">
        <v>74</v>
      </c>
      <c r="AD614" s="2" t="s">
        <v>74</v>
      </c>
      <c r="AE614" s="2" t="s">
        <v>74</v>
      </c>
      <c r="AF614" s="2" t="s">
        <v>74</v>
      </c>
      <c r="AG614" s="2" t="s">
        <v>74</v>
      </c>
      <c r="AH614" s="2" t="s">
        <v>74</v>
      </c>
      <c r="AI614" s="2" t="s">
        <v>74</v>
      </c>
      <c r="AJ614" s="2" t="s">
        <v>74</v>
      </c>
      <c r="AK614" s="2" t="s">
        <v>74</v>
      </c>
      <c r="AL614" s="2" t="s">
        <v>74</v>
      </c>
      <c r="AM614" s="2" t="s">
        <v>74</v>
      </c>
      <c r="AN614" s="2" t="s">
        <v>74</v>
      </c>
      <c r="AO614" s="2" t="s">
        <v>733</v>
      </c>
      <c r="AP614" s="2" t="s">
        <v>734</v>
      </c>
      <c r="AQ614" s="2" t="s">
        <v>74</v>
      </c>
      <c r="AR614" s="2" t="s">
        <v>74</v>
      </c>
      <c r="AS614" s="2" t="s">
        <v>74</v>
      </c>
      <c r="AT614" s="2" t="s">
        <v>2702</v>
      </c>
      <c r="AU614" s="2">
        <v>2007</v>
      </c>
      <c r="AV614" s="2">
        <v>183</v>
      </c>
      <c r="AW614" s="2">
        <v>1</v>
      </c>
      <c r="AX614" s="2" t="s">
        <v>74</v>
      </c>
      <c r="AY614" s="2" t="s">
        <v>74</v>
      </c>
      <c r="AZ614" s="2" t="s">
        <v>74</v>
      </c>
      <c r="BA614" s="2" t="s">
        <v>74</v>
      </c>
      <c r="BB614" s="2">
        <v>31</v>
      </c>
      <c r="BC614" s="2">
        <v>42</v>
      </c>
      <c r="BD614" s="2" t="s">
        <v>74</v>
      </c>
      <c r="BE614" s="2" t="s">
        <v>2703</v>
      </c>
      <c r="BF614" s="2" t="str">
        <f>HYPERLINK("http://dx.doi.org/10.1016/j.bbr.2007.05.021","http://dx.doi.org/10.1016/j.bbr.2007.05.021")</f>
        <v>http://dx.doi.org/10.1016/j.bbr.2007.05.021</v>
      </c>
      <c r="BG614" s="2" t="s">
        <v>74</v>
      </c>
      <c r="BH614" s="2" t="s">
        <v>74</v>
      </c>
      <c r="BI614" s="2" t="s">
        <v>74</v>
      </c>
      <c r="BJ614" s="2" t="s">
        <v>74</v>
      </c>
      <c r="BK614" s="2" t="s">
        <v>74</v>
      </c>
      <c r="BL614" s="2" t="s">
        <v>74</v>
      </c>
      <c r="BM614" s="2" t="s">
        <v>74</v>
      </c>
      <c r="BN614" s="2">
        <v>17602761</v>
      </c>
      <c r="BO614" s="2" t="s">
        <v>74</v>
      </c>
      <c r="BP614" s="2" t="s">
        <v>74</v>
      </c>
      <c r="BQ614" s="2" t="s">
        <v>74</v>
      </c>
      <c r="BR614" s="2" t="s">
        <v>74</v>
      </c>
      <c r="BS614" s="2" t="s">
        <v>2704</v>
      </c>
      <c r="BT614" s="2" t="str">
        <f>HYPERLINK("https%3A%2F%2Fwww.webofscience.com%2Fwos%2Fwoscc%2Ffull-record%2FWOS:000249511100005","View Full Record in Web of Science")</f>
        <v>View Full Record in Web of Science</v>
      </c>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row>
    <row r="615" spans="1:314" s="2" customFormat="1" x14ac:dyDescent="0.4">
      <c r="A615" s="2" t="s">
        <v>72</v>
      </c>
      <c r="B615" s="2" t="s">
        <v>4755</v>
      </c>
      <c r="C615" s="2" t="s">
        <v>74</v>
      </c>
      <c r="D615" s="2" t="s">
        <v>74</v>
      </c>
      <c r="E615" s="2" t="s">
        <v>74</v>
      </c>
      <c r="F615" s="2" t="s">
        <v>4756</v>
      </c>
      <c r="G615" s="2" t="s">
        <v>74</v>
      </c>
      <c r="H615" s="2" t="s">
        <v>74</v>
      </c>
      <c r="I615" s="2" t="s">
        <v>4757</v>
      </c>
      <c r="J615" s="2" t="s">
        <v>119</v>
      </c>
      <c r="K615" s="2" t="s">
        <v>74</v>
      </c>
      <c r="L615" s="2" t="s">
        <v>74</v>
      </c>
      <c r="M615" s="2" t="s">
        <v>74</v>
      </c>
      <c r="N615" s="2" t="s">
        <v>74</v>
      </c>
      <c r="O615" s="2" t="s">
        <v>74</v>
      </c>
      <c r="P615" s="2" t="s">
        <v>74</v>
      </c>
      <c r="Q615" s="2" t="s">
        <v>74</v>
      </c>
      <c r="R615" s="2" t="s">
        <v>74</v>
      </c>
      <c r="S615" s="2" t="s">
        <v>74</v>
      </c>
      <c r="T615" s="2" t="s">
        <v>74</v>
      </c>
      <c r="U615" s="2" t="s">
        <v>74</v>
      </c>
      <c r="V615" s="5" t="s">
        <v>4758</v>
      </c>
      <c r="W615" s="2" t="s">
        <v>74</v>
      </c>
      <c r="X615" s="2" t="s">
        <v>74</v>
      </c>
      <c r="Y615" s="2" t="s">
        <v>74</v>
      </c>
      <c r="Z615" s="2" t="s">
        <v>74</v>
      </c>
      <c r="AA615" s="2" t="s">
        <v>74</v>
      </c>
      <c r="AB615" s="2" t="s">
        <v>74</v>
      </c>
      <c r="AC615" s="2" t="s">
        <v>74</v>
      </c>
      <c r="AD615" s="2" t="s">
        <v>74</v>
      </c>
      <c r="AE615" s="2" t="s">
        <v>74</v>
      </c>
      <c r="AF615" s="2" t="s">
        <v>74</v>
      </c>
      <c r="AG615" s="2" t="s">
        <v>74</v>
      </c>
      <c r="AH615" s="2" t="s">
        <v>74</v>
      </c>
      <c r="AI615" s="2" t="s">
        <v>74</v>
      </c>
      <c r="AJ615" s="2" t="s">
        <v>74</v>
      </c>
      <c r="AK615" s="2" t="s">
        <v>74</v>
      </c>
      <c r="AL615" s="2" t="s">
        <v>74</v>
      </c>
      <c r="AM615" s="2" t="s">
        <v>74</v>
      </c>
      <c r="AN615" s="2" t="s">
        <v>74</v>
      </c>
      <c r="AO615" s="2" t="s">
        <v>121</v>
      </c>
      <c r="AP615" s="2" t="s">
        <v>122</v>
      </c>
      <c r="AQ615" s="2" t="s">
        <v>74</v>
      </c>
      <c r="AR615" s="2" t="s">
        <v>74</v>
      </c>
      <c r="AS615" s="2" t="s">
        <v>74</v>
      </c>
      <c r="AT615" s="2" t="s">
        <v>255</v>
      </c>
      <c r="AU615" s="2">
        <v>2021</v>
      </c>
      <c r="AV615" s="2">
        <v>182</v>
      </c>
      <c r="AW615" s="2" t="s">
        <v>74</v>
      </c>
      <c r="AX615" s="2" t="s">
        <v>74</v>
      </c>
      <c r="AY615" s="2" t="s">
        <v>74</v>
      </c>
      <c r="AZ615" s="2" t="s">
        <v>74</v>
      </c>
      <c r="BA615" s="2" t="s">
        <v>74</v>
      </c>
      <c r="BB615" s="2" t="s">
        <v>74</v>
      </c>
      <c r="BC615" s="2" t="s">
        <v>74</v>
      </c>
      <c r="BD615" s="2">
        <v>104294</v>
      </c>
      <c r="BE615" s="2" t="s">
        <v>4759</v>
      </c>
      <c r="BF615" s="2" t="str">
        <f>HYPERLINK("http://dx.doi.org/10.1016/j.beproc.2020.104294","http://dx.doi.org/10.1016/j.beproc.2020.104294")</f>
        <v>http://dx.doi.org/10.1016/j.beproc.2020.104294</v>
      </c>
      <c r="BG615" s="2" t="s">
        <v>74</v>
      </c>
      <c r="BH615" s="2" t="s">
        <v>74</v>
      </c>
      <c r="BI615" s="2" t="s">
        <v>74</v>
      </c>
      <c r="BJ615" s="2" t="s">
        <v>74</v>
      </c>
      <c r="BK615" s="2" t="s">
        <v>74</v>
      </c>
      <c r="BL615" s="2" t="s">
        <v>74</v>
      </c>
      <c r="BM615" s="2" t="s">
        <v>74</v>
      </c>
      <c r="BN615" s="2">
        <v>33290833</v>
      </c>
      <c r="BO615" s="2" t="s">
        <v>74</v>
      </c>
      <c r="BP615" s="2" t="s">
        <v>74</v>
      </c>
      <c r="BQ615" s="2" t="s">
        <v>74</v>
      </c>
      <c r="BR615" s="2" t="s">
        <v>74</v>
      </c>
      <c r="BS615" s="2" t="s">
        <v>4760</v>
      </c>
      <c r="BT615" s="2" t="str">
        <f>HYPERLINK("https%3A%2F%2Fwww.webofscience.com%2Fwos%2Fwoscc%2Ffull-record%2FWOS:000608124600001","View Full Record in Web of Science")</f>
        <v>View Full Record in Web of Science</v>
      </c>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row>
    <row r="616" spans="1:314" s="2" customFormat="1" x14ac:dyDescent="0.4">
      <c r="A616" s="2" t="s">
        <v>72</v>
      </c>
      <c r="B616" s="2" t="s">
        <v>4755</v>
      </c>
      <c r="C616" s="2" t="s">
        <v>74</v>
      </c>
      <c r="D616" s="2" t="s">
        <v>74</v>
      </c>
      <c r="E616" s="2" t="s">
        <v>74</v>
      </c>
      <c r="F616" s="2" t="s">
        <v>4755</v>
      </c>
      <c r="G616" s="2" t="s">
        <v>74</v>
      </c>
      <c r="H616" s="2" t="s">
        <v>74</v>
      </c>
      <c r="I616" s="2" t="s">
        <v>6068</v>
      </c>
      <c r="J616" s="2" t="s">
        <v>475</v>
      </c>
      <c r="K616" s="2" t="s">
        <v>74</v>
      </c>
      <c r="L616" s="2" t="s">
        <v>74</v>
      </c>
      <c r="M616" s="2" t="s">
        <v>74</v>
      </c>
      <c r="N616" s="2" t="s">
        <v>74</v>
      </c>
      <c r="O616" s="2" t="s">
        <v>74</v>
      </c>
      <c r="P616" s="2" t="s">
        <v>74</v>
      </c>
      <c r="Q616" s="2" t="s">
        <v>74</v>
      </c>
      <c r="R616" s="2" t="s">
        <v>74</v>
      </c>
      <c r="S616" s="2" t="s">
        <v>74</v>
      </c>
      <c r="T616" s="2" t="s">
        <v>74</v>
      </c>
      <c r="U616" s="2" t="s">
        <v>74</v>
      </c>
      <c r="V616" s="5" t="s">
        <v>6069</v>
      </c>
      <c r="W616" s="2" t="s">
        <v>74</v>
      </c>
      <c r="X616" s="2" t="s">
        <v>74</v>
      </c>
      <c r="Y616" s="2" t="s">
        <v>74</v>
      </c>
      <c r="Z616" s="2" t="s">
        <v>74</v>
      </c>
      <c r="AA616" s="2" t="s">
        <v>74</v>
      </c>
      <c r="AB616" s="2" t="s">
        <v>74</v>
      </c>
      <c r="AC616" s="2" t="s">
        <v>74</v>
      </c>
      <c r="AD616" s="2" t="s">
        <v>74</v>
      </c>
      <c r="AE616" s="2" t="s">
        <v>74</v>
      </c>
      <c r="AF616" s="2" t="s">
        <v>74</v>
      </c>
      <c r="AG616" s="2" t="s">
        <v>74</v>
      </c>
      <c r="AH616" s="2" t="s">
        <v>74</v>
      </c>
      <c r="AI616" s="2" t="s">
        <v>74</v>
      </c>
      <c r="AJ616" s="2" t="s">
        <v>74</v>
      </c>
      <c r="AK616" s="2" t="s">
        <v>74</v>
      </c>
      <c r="AL616" s="2" t="s">
        <v>74</v>
      </c>
      <c r="AM616" s="2" t="s">
        <v>74</v>
      </c>
      <c r="AN616" s="2" t="s">
        <v>74</v>
      </c>
      <c r="AO616" s="2" t="s">
        <v>477</v>
      </c>
      <c r="AP616" s="2" t="s">
        <v>74</v>
      </c>
      <c r="AQ616" s="2" t="s">
        <v>74</v>
      </c>
      <c r="AR616" s="2" t="s">
        <v>74</v>
      </c>
      <c r="AS616" s="2" t="s">
        <v>74</v>
      </c>
      <c r="AT616" s="2" t="s">
        <v>352</v>
      </c>
      <c r="AU616" s="2">
        <v>2002</v>
      </c>
      <c r="AV616" s="2">
        <v>128</v>
      </c>
      <c r="AW616" s="2">
        <v>2</v>
      </c>
      <c r="AX616" s="2" t="s">
        <v>74</v>
      </c>
      <c r="AY616" s="2" t="s">
        <v>74</v>
      </c>
      <c r="AZ616" s="2" t="s">
        <v>74</v>
      </c>
      <c r="BA616" s="2" t="s">
        <v>74</v>
      </c>
      <c r="BB616" s="2">
        <v>153</v>
      </c>
      <c r="BC616" s="2">
        <v>161</v>
      </c>
      <c r="BD616" s="2" t="s">
        <v>6070</v>
      </c>
      <c r="BE616" s="2" t="s">
        <v>6071</v>
      </c>
      <c r="BF616" s="2" t="str">
        <f>HYPERLINK("http://dx.doi.org/10.1016/S0016-6480(02)00077-1","http://dx.doi.org/10.1016/S0016-6480(02)00077-1")</f>
        <v>http://dx.doi.org/10.1016/S0016-6480(02)00077-1</v>
      </c>
      <c r="BG616" s="2" t="s">
        <v>74</v>
      </c>
      <c r="BH616" s="2" t="s">
        <v>74</v>
      </c>
      <c r="BI616" s="2" t="s">
        <v>74</v>
      </c>
      <c r="BJ616" s="2" t="s">
        <v>74</v>
      </c>
      <c r="BK616" s="2" t="s">
        <v>74</v>
      </c>
      <c r="BL616" s="2" t="s">
        <v>74</v>
      </c>
      <c r="BM616" s="2" t="s">
        <v>74</v>
      </c>
      <c r="BN616" s="2">
        <v>12392689</v>
      </c>
      <c r="BO616" s="2" t="s">
        <v>74</v>
      </c>
      <c r="BP616" s="2" t="s">
        <v>74</v>
      </c>
      <c r="BQ616" s="2" t="s">
        <v>74</v>
      </c>
      <c r="BR616" s="2" t="s">
        <v>74</v>
      </c>
      <c r="BS616" s="2" t="s">
        <v>6072</v>
      </c>
      <c r="BT616" s="2" t="str">
        <f>HYPERLINK("https%3A%2F%2Fwww.webofscience.com%2Fwos%2Fwoscc%2Ffull-record%2FWOS:000178785900008","View Full Record in Web of Science")</f>
        <v>View Full Record in Web of Science</v>
      </c>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row>
    <row r="617" spans="1:314" s="2" customFormat="1" x14ac:dyDescent="0.4">
      <c r="A617" s="2" t="s">
        <v>72</v>
      </c>
      <c r="B617" s="2" t="s">
        <v>8638</v>
      </c>
      <c r="C617" s="2" t="s">
        <v>74</v>
      </c>
      <c r="D617" s="2" t="s">
        <v>74</v>
      </c>
      <c r="E617" s="2" t="s">
        <v>74</v>
      </c>
      <c r="F617" s="2" t="s">
        <v>8638</v>
      </c>
      <c r="G617" s="2" t="s">
        <v>74</v>
      </c>
      <c r="H617" s="2" t="s">
        <v>74</v>
      </c>
      <c r="I617" s="2" t="s">
        <v>8639</v>
      </c>
      <c r="J617" s="2" t="s">
        <v>5814</v>
      </c>
      <c r="K617" s="2" t="s">
        <v>74</v>
      </c>
      <c r="L617" s="2" t="s">
        <v>74</v>
      </c>
      <c r="M617" s="2" t="s">
        <v>74</v>
      </c>
      <c r="N617" s="2" t="s">
        <v>74</v>
      </c>
      <c r="O617" s="2" t="s">
        <v>74</v>
      </c>
      <c r="P617" s="2" t="s">
        <v>74</v>
      </c>
      <c r="Q617" s="2" t="s">
        <v>74</v>
      </c>
      <c r="R617" s="2" t="s">
        <v>74</v>
      </c>
      <c r="S617" s="2" t="s">
        <v>74</v>
      </c>
      <c r="T617" s="2" t="s">
        <v>74</v>
      </c>
      <c r="U617" s="2" t="s">
        <v>74</v>
      </c>
      <c r="V617" s="5" t="s">
        <v>8640</v>
      </c>
      <c r="W617" s="2" t="s">
        <v>74</v>
      </c>
      <c r="X617" s="2" t="s">
        <v>74</v>
      </c>
      <c r="Y617" s="2" t="s">
        <v>74</v>
      </c>
      <c r="Z617" s="2" t="s">
        <v>74</v>
      </c>
      <c r="AA617" s="2" t="s">
        <v>8641</v>
      </c>
      <c r="AB617" s="2" t="s">
        <v>8642</v>
      </c>
      <c r="AC617" s="2" t="s">
        <v>74</v>
      </c>
      <c r="AD617" s="2" t="s">
        <v>74</v>
      </c>
      <c r="AE617" s="2" t="s">
        <v>74</v>
      </c>
      <c r="AF617" s="2" t="s">
        <v>74</v>
      </c>
      <c r="AG617" s="2" t="s">
        <v>74</v>
      </c>
      <c r="AH617" s="2" t="s">
        <v>74</v>
      </c>
      <c r="AI617" s="2" t="s">
        <v>74</v>
      </c>
      <c r="AJ617" s="2" t="s">
        <v>74</v>
      </c>
      <c r="AK617" s="2" t="s">
        <v>74</v>
      </c>
      <c r="AL617" s="2" t="s">
        <v>74</v>
      </c>
      <c r="AM617" s="2" t="s">
        <v>74</v>
      </c>
      <c r="AN617" s="2" t="s">
        <v>74</v>
      </c>
      <c r="AO617" s="2" t="s">
        <v>8643</v>
      </c>
      <c r="AP617" s="2" t="s">
        <v>74</v>
      </c>
      <c r="AQ617" s="2" t="s">
        <v>74</v>
      </c>
      <c r="AR617" s="2" t="s">
        <v>74</v>
      </c>
      <c r="AS617" s="2" t="s">
        <v>74</v>
      </c>
      <c r="AT617" s="2" t="s">
        <v>74</v>
      </c>
      <c r="AU617" s="2">
        <v>2000</v>
      </c>
      <c r="AV617" s="2">
        <v>97</v>
      </c>
      <c r="AW617" s="2">
        <v>1</v>
      </c>
      <c r="AX617" s="2" t="s">
        <v>74</v>
      </c>
      <c r="AY617" s="2" t="s">
        <v>74</v>
      </c>
      <c r="AZ617" s="2" t="s">
        <v>74</v>
      </c>
      <c r="BA617" s="2" t="s">
        <v>74</v>
      </c>
      <c r="BB617" s="2">
        <v>33</v>
      </c>
      <c r="BC617" s="2">
        <v>40</v>
      </c>
      <c r="BD617" s="2" t="s">
        <v>74</v>
      </c>
      <c r="BE617" s="2" t="s">
        <v>8644</v>
      </c>
      <c r="BF617" s="2" t="str">
        <f>HYPERLINK("http://dx.doi.org/10.14411/eje.2000.009","http://dx.doi.org/10.14411/eje.2000.009")</f>
        <v>http://dx.doi.org/10.14411/eje.2000.009</v>
      </c>
      <c r="BG617" s="2" t="s">
        <v>74</v>
      </c>
      <c r="BH617" s="2" t="s">
        <v>74</v>
      </c>
      <c r="BI617" s="2" t="s">
        <v>74</v>
      </c>
      <c r="BJ617" s="2" t="s">
        <v>74</v>
      </c>
      <c r="BK617" s="2" t="s">
        <v>74</v>
      </c>
      <c r="BL617" s="2" t="s">
        <v>74</v>
      </c>
      <c r="BM617" s="2" t="s">
        <v>74</v>
      </c>
      <c r="BN617" s="2" t="s">
        <v>74</v>
      </c>
      <c r="BO617" s="2" t="s">
        <v>74</v>
      </c>
      <c r="BP617" s="2" t="s">
        <v>74</v>
      </c>
      <c r="BQ617" s="2" t="s">
        <v>74</v>
      </c>
      <c r="BR617" s="2" t="s">
        <v>74</v>
      </c>
      <c r="BS617" s="2" t="s">
        <v>8645</v>
      </c>
      <c r="BT617" s="2" t="str">
        <f>HYPERLINK("https%3A%2F%2Fwww.webofscience.com%2Fwos%2Fwoscc%2Ffull-record%2FWOS:000087497200006","View Full Record in Web of Science")</f>
        <v>View Full Record in Web of Science</v>
      </c>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row>
    <row r="618" spans="1:314" s="2" customFormat="1" x14ac:dyDescent="0.4">
      <c r="A618" s="2" t="s">
        <v>72</v>
      </c>
      <c r="B618" s="2" t="s">
        <v>6312</v>
      </c>
      <c r="C618" s="2" t="s">
        <v>74</v>
      </c>
      <c r="D618" s="2" t="s">
        <v>74</v>
      </c>
      <c r="E618" s="2" t="s">
        <v>74</v>
      </c>
      <c r="F618" s="2" t="s">
        <v>6313</v>
      </c>
      <c r="G618" s="2" t="s">
        <v>74</v>
      </c>
      <c r="H618" s="2" t="s">
        <v>74</v>
      </c>
      <c r="I618" s="2" t="s">
        <v>6314</v>
      </c>
      <c r="J618" s="2" t="s">
        <v>333</v>
      </c>
      <c r="K618" s="2" t="s">
        <v>74</v>
      </c>
      <c r="L618" s="2" t="s">
        <v>74</v>
      </c>
      <c r="M618" s="2" t="s">
        <v>74</v>
      </c>
      <c r="N618" s="2" t="s">
        <v>74</v>
      </c>
      <c r="O618" s="2" t="s">
        <v>74</v>
      </c>
      <c r="P618" s="2" t="s">
        <v>74</v>
      </c>
      <c r="Q618" s="2" t="s">
        <v>74</v>
      </c>
      <c r="R618" s="2" t="s">
        <v>74</v>
      </c>
      <c r="S618" s="2" t="s">
        <v>74</v>
      </c>
      <c r="T618" s="2" t="s">
        <v>74</v>
      </c>
      <c r="U618" s="2" t="s">
        <v>74</v>
      </c>
      <c r="V618" s="5" t="s">
        <v>6315</v>
      </c>
      <c r="W618" s="2" t="s">
        <v>74</v>
      </c>
      <c r="X618" s="2" t="s">
        <v>74</v>
      </c>
      <c r="Y618" s="2" t="s">
        <v>74</v>
      </c>
      <c r="Z618" s="2" t="s">
        <v>74</v>
      </c>
      <c r="AA618" s="2" t="s">
        <v>74</v>
      </c>
      <c r="AB618" s="2" t="s">
        <v>74</v>
      </c>
      <c r="AC618" s="2" t="s">
        <v>74</v>
      </c>
      <c r="AD618" s="2" t="s">
        <v>74</v>
      </c>
      <c r="AE618" s="2" t="s">
        <v>74</v>
      </c>
      <c r="AF618" s="2" t="s">
        <v>74</v>
      </c>
      <c r="AG618" s="2" t="s">
        <v>74</v>
      </c>
      <c r="AH618" s="2" t="s">
        <v>74</v>
      </c>
      <c r="AI618" s="2" t="s">
        <v>74</v>
      </c>
      <c r="AJ618" s="2" t="s">
        <v>74</v>
      </c>
      <c r="AK618" s="2" t="s">
        <v>74</v>
      </c>
      <c r="AL618" s="2" t="s">
        <v>74</v>
      </c>
      <c r="AM618" s="2" t="s">
        <v>74</v>
      </c>
      <c r="AN618" s="2" t="s">
        <v>74</v>
      </c>
      <c r="AO618" s="2" t="s">
        <v>337</v>
      </c>
      <c r="AP618" s="2" t="s">
        <v>338</v>
      </c>
      <c r="AQ618" s="2" t="s">
        <v>74</v>
      </c>
      <c r="AR618" s="2" t="s">
        <v>74</v>
      </c>
      <c r="AS618" s="2" t="s">
        <v>74</v>
      </c>
      <c r="AT618" s="2" t="s">
        <v>1038</v>
      </c>
      <c r="AU618" s="2">
        <v>2018</v>
      </c>
      <c r="AV618" s="2">
        <v>29</v>
      </c>
      <c r="AW618" s="2">
        <v>2</v>
      </c>
      <c r="AX618" s="2" t="s">
        <v>74</v>
      </c>
      <c r="AY618" s="2" t="s">
        <v>74</v>
      </c>
      <c r="AZ618" s="2" t="s">
        <v>74</v>
      </c>
      <c r="BA618" s="2" t="s">
        <v>74</v>
      </c>
      <c r="BB618" s="2">
        <v>289</v>
      </c>
      <c r="BC618" s="2">
        <v>300</v>
      </c>
      <c r="BD618" s="2" t="s">
        <v>74</v>
      </c>
      <c r="BE618" s="2" t="s">
        <v>6316</v>
      </c>
      <c r="BF618" s="2" t="str">
        <f>HYPERLINK("http://dx.doi.org/10.1093/beheco/arx180","http://dx.doi.org/10.1093/beheco/arx180")</f>
        <v>http://dx.doi.org/10.1093/beheco/arx180</v>
      </c>
      <c r="BG618" s="2" t="s">
        <v>74</v>
      </c>
      <c r="BH618" s="2" t="s">
        <v>74</v>
      </c>
      <c r="BI618" s="2" t="s">
        <v>74</v>
      </c>
      <c r="BJ618" s="2" t="s">
        <v>74</v>
      </c>
      <c r="BK618" s="2" t="s">
        <v>74</v>
      </c>
      <c r="BL618" s="2" t="s">
        <v>74</v>
      </c>
      <c r="BM618" s="2" t="s">
        <v>74</v>
      </c>
      <c r="BN618" s="2" t="s">
        <v>74</v>
      </c>
      <c r="BO618" s="2" t="s">
        <v>74</v>
      </c>
      <c r="BP618" s="2" t="s">
        <v>74</v>
      </c>
      <c r="BQ618" s="2" t="s">
        <v>74</v>
      </c>
      <c r="BR618" s="2" t="s">
        <v>74</v>
      </c>
      <c r="BS618" s="2" t="s">
        <v>6317</v>
      </c>
      <c r="BT618" s="2" t="str">
        <f>HYPERLINK("https%3A%2F%2Fwww.webofscience.com%2Fwos%2Fwoscc%2Ffull-record%2FWOS:000427885600008","View Full Record in Web of Science")</f>
        <v>View Full Record in Web of Science</v>
      </c>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row>
    <row r="619" spans="1:314" s="2" customFormat="1" x14ac:dyDescent="0.4">
      <c r="A619" s="2" t="s">
        <v>72</v>
      </c>
      <c r="B619" s="2" t="s">
        <v>1133</v>
      </c>
      <c r="C619" s="2" t="s">
        <v>74</v>
      </c>
      <c r="D619" s="2" t="s">
        <v>74</v>
      </c>
      <c r="E619" s="2" t="s">
        <v>74</v>
      </c>
      <c r="F619" s="2" t="s">
        <v>1133</v>
      </c>
      <c r="G619" s="2" t="s">
        <v>74</v>
      </c>
      <c r="H619" s="2" t="s">
        <v>74</v>
      </c>
      <c r="I619" s="2" t="s">
        <v>1134</v>
      </c>
      <c r="J619" s="2" t="s">
        <v>1135</v>
      </c>
      <c r="K619" s="2" t="s">
        <v>74</v>
      </c>
      <c r="L619" s="2" t="s">
        <v>74</v>
      </c>
      <c r="M619" s="2" t="s">
        <v>74</v>
      </c>
      <c r="N619" s="2" t="s">
        <v>74</v>
      </c>
      <c r="O619" s="2" t="s">
        <v>74</v>
      </c>
      <c r="P619" s="2" t="s">
        <v>74</v>
      </c>
      <c r="Q619" s="2" t="s">
        <v>74</v>
      </c>
      <c r="R619" s="2" t="s">
        <v>74</v>
      </c>
      <c r="S619" s="2" t="s">
        <v>74</v>
      </c>
      <c r="T619" s="2" t="s">
        <v>74</v>
      </c>
      <c r="U619" s="2" t="s">
        <v>74</v>
      </c>
      <c r="V619" s="5" t="s">
        <v>1136</v>
      </c>
      <c r="W619" s="2" t="s">
        <v>74</v>
      </c>
      <c r="X619" s="2" t="s">
        <v>74</v>
      </c>
      <c r="Y619" s="2" t="s">
        <v>74</v>
      </c>
      <c r="Z619" s="2" t="s">
        <v>74</v>
      </c>
      <c r="AA619" s="2" t="s">
        <v>74</v>
      </c>
      <c r="AB619" s="2" t="s">
        <v>74</v>
      </c>
      <c r="AC619" s="2" t="s">
        <v>74</v>
      </c>
      <c r="AD619" s="2" t="s">
        <v>74</v>
      </c>
      <c r="AE619" s="2" t="s">
        <v>74</v>
      </c>
      <c r="AF619" s="2" t="s">
        <v>74</v>
      </c>
      <c r="AG619" s="2" t="s">
        <v>74</v>
      </c>
      <c r="AH619" s="2" t="s">
        <v>74</v>
      </c>
      <c r="AI619" s="2" t="s">
        <v>74</v>
      </c>
      <c r="AJ619" s="2" t="s">
        <v>74</v>
      </c>
      <c r="AK619" s="2" t="s">
        <v>74</v>
      </c>
      <c r="AL619" s="2" t="s">
        <v>74</v>
      </c>
      <c r="AM619" s="2" t="s">
        <v>74</v>
      </c>
      <c r="AN619" s="2" t="s">
        <v>74</v>
      </c>
      <c r="AO619" s="2" t="s">
        <v>1137</v>
      </c>
      <c r="AP619" s="2" t="s">
        <v>74</v>
      </c>
      <c r="AQ619" s="2" t="s">
        <v>74</v>
      </c>
      <c r="AR619" s="2" t="s">
        <v>74</v>
      </c>
      <c r="AS619" s="2" t="s">
        <v>74</v>
      </c>
      <c r="AT619" s="2" t="s">
        <v>305</v>
      </c>
      <c r="AU619" s="2">
        <v>1988</v>
      </c>
      <c r="AV619" s="2">
        <v>19</v>
      </c>
      <c r="AW619" s="2">
        <v>4</v>
      </c>
      <c r="AX619" s="2" t="s">
        <v>74</v>
      </c>
      <c r="AY619" s="2" t="s">
        <v>74</v>
      </c>
      <c r="AZ619" s="2" t="s">
        <v>74</v>
      </c>
      <c r="BA619" s="2" t="s">
        <v>74</v>
      </c>
      <c r="BB619" s="2">
        <v>287</v>
      </c>
      <c r="BC619" s="2">
        <v>289</v>
      </c>
      <c r="BD619" s="2" t="s">
        <v>74</v>
      </c>
      <c r="BE619" s="2" t="s">
        <v>1138</v>
      </c>
      <c r="BF619" s="2" t="str">
        <f>HYPERLINK("http://dx.doi.org/10.2307/3676723","http://dx.doi.org/10.2307/3676723")</f>
        <v>http://dx.doi.org/10.2307/3676723</v>
      </c>
      <c r="BG619" s="2" t="s">
        <v>74</v>
      </c>
      <c r="BH619" s="2" t="s">
        <v>74</v>
      </c>
      <c r="BI619" s="2" t="s">
        <v>74</v>
      </c>
      <c r="BJ619" s="2" t="s">
        <v>74</v>
      </c>
      <c r="BK619" s="2" t="s">
        <v>74</v>
      </c>
      <c r="BL619" s="2" t="s">
        <v>74</v>
      </c>
      <c r="BM619" s="2" t="s">
        <v>74</v>
      </c>
      <c r="BN619" s="2" t="s">
        <v>74</v>
      </c>
      <c r="BO619" s="2" t="s">
        <v>74</v>
      </c>
      <c r="BP619" s="2" t="s">
        <v>74</v>
      </c>
      <c r="BQ619" s="2" t="s">
        <v>74</v>
      </c>
      <c r="BR619" s="2" t="s">
        <v>74</v>
      </c>
      <c r="BS619" s="2" t="s">
        <v>1139</v>
      </c>
      <c r="BT619" s="2" t="str">
        <f>HYPERLINK("https%3A%2F%2Fwww.webofscience.com%2Fwos%2Fwoscc%2Ffull-record%2FWOS:A1988R388700006","View Full Record in Web of Science")</f>
        <v>View Full Record in Web of Science</v>
      </c>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row>
    <row r="620" spans="1:314" s="2" customFormat="1" x14ac:dyDescent="0.4">
      <c r="A620" s="2" t="s">
        <v>72</v>
      </c>
      <c r="B620" s="2" t="s">
        <v>7034</v>
      </c>
      <c r="C620" s="2" t="s">
        <v>74</v>
      </c>
      <c r="D620" s="2" t="s">
        <v>74</v>
      </c>
      <c r="E620" s="2" t="s">
        <v>74</v>
      </c>
      <c r="F620" s="2" t="s">
        <v>7034</v>
      </c>
      <c r="G620" s="2" t="s">
        <v>74</v>
      </c>
      <c r="H620" s="2" t="s">
        <v>74</v>
      </c>
      <c r="I620" s="2" t="s">
        <v>7035</v>
      </c>
      <c r="J620" s="2" t="s">
        <v>333</v>
      </c>
      <c r="K620" s="2" t="s">
        <v>74</v>
      </c>
      <c r="L620" s="2" t="s">
        <v>74</v>
      </c>
      <c r="M620" s="2" t="s">
        <v>74</v>
      </c>
      <c r="N620" s="2" t="s">
        <v>74</v>
      </c>
      <c r="O620" s="2" t="s">
        <v>74</v>
      </c>
      <c r="P620" s="2" t="s">
        <v>74</v>
      </c>
      <c r="Q620" s="2" t="s">
        <v>74</v>
      </c>
      <c r="R620" s="2" t="s">
        <v>74</v>
      </c>
      <c r="S620" s="2" t="s">
        <v>74</v>
      </c>
      <c r="T620" s="2" t="s">
        <v>74</v>
      </c>
      <c r="U620" s="2" t="s">
        <v>74</v>
      </c>
      <c r="V620" s="5" t="s">
        <v>7036</v>
      </c>
      <c r="W620" s="2" t="s">
        <v>74</v>
      </c>
      <c r="X620" s="2" t="s">
        <v>74</v>
      </c>
      <c r="Y620" s="2" t="s">
        <v>74</v>
      </c>
      <c r="Z620" s="2" t="s">
        <v>74</v>
      </c>
      <c r="AA620" s="2" t="s">
        <v>74</v>
      </c>
      <c r="AB620" s="2" t="s">
        <v>74</v>
      </c>
      <c r="AC620" s="2" t="s">
        <v>74</v>
      </c>
      <c r="AD620" s="2" t="s">
        <v>74</v>
      </c>
      <c r="AE620" s="2" t="s">
        <v>74</v>
      </c>
      <c r="AF620" s="2" t="s">
        <v>74</v>
      </c>
      <c r="AG620" s="2" t="s">
        <v>74</v>
      </c>
      <c r="AH620" s="2" t="s">
        <v>74</v>
      </c>
      <c r="AI620" s="2" t="s">
        <v>74</v>
      </c>
      <c r="AJ620" s="2" t="s">
        <v>74</v>
      </c>
      <c r="AK620" s="2" t="s">
        <v>74</v>
      </c>
      <c r="AL620" s="2" t="s">
        <v>74</v>
      </c>
      <c r="AM620" s="2" t="s">
        <v>74</v>
      </c>
      <c r="AN620" s="2" t="s">
        <v>74</v>
      </c>
      <c r="AO620" s="2" t="s">
        <v>337</v>
      </c>
      <c r="AP620" s="2" t="s">
        <v>338</v>
      </c>
      <c r="AQ620" s="2" t="s">
        <v>74</v>
      </c>
      <c r="AR620" s="2" t="s">
        <v>74</v>
      </c>
      <c r="AS620" s="2" t="s">
        <v>74</v>
      </c>
      <c r="AT620" s="2" t="s">
        <v>213</v>
      </c>
      <c r="AU620" s="2">
        <v>2004</v>
      </c>
      <c r="AV620" s="2">
        <v>15</v>
      </c>
      <c r="AW620" s="2">
        <v>6</v>
      </c>
      <c r="AX620" s="2" t="s">
        <v>74</v>
      </c>
      <c r="AY620" s="2" t="s">
        <v>74</v>
      </c>
      <c r="AZ620" s="2" t="s">
        <v>74</v>
      </c>
      <c r="BA620" s="2" t="s">
        <v>74</v>
      </c>
      <c r="BB620" s="2">
        <v>946</v>
      </c>
      <c r="BC620" s="2">
        <v>951</v>
      </c>
      <c r="BD620" s="2" t="s">
        <v>74</v>
      </c>
      <c r="BE620" s="2" t="s">
        <v>7037</v>
      </c>
      <c r="BF620" s="2" t="str">
        <f>HYPERLINK("http://dx.doi.org/10.1093/beheco/arh078","http://dx.doi.org/10.1093/beheco/arh078")</f>
        <v>http://dx.doi.org/10.1093/beheco/arh078</v>
      </c>
      <c r="BG620" s="2" t="s">
        <v>74</v>
      </c>
      <c r="BH620" s="2" t="s">
        <v>74</v>
      </c>
      <c r="BI620" s="2" t="s">
        <v>74</v>
      </c>
      <c r="BJ620" s="2" t="s">
        <v>74</v>
      </c>
      <c r="BK620" s="2" t="s">
        <v>74</v>
      </c>
      <c r="BL620" s="2" t="s">
        <v>74</v>
      </c>
      <c r="BM620" s="2" t="s">
        <v>74</v>
      </c>
      <c r="BN620" s="2" t="s">
        <v>74</v>
      </c>
      <c r="BO620" s="2" t="s">
        <v>74</v>
      </c>
      <c r="BP620" s="2" t="s">
        <v>74</v>
      </c>
      <c r="BQ620" s="2" t="s">
        <v>74</v>
      </c>
      <c r="BR620" s="2" t="s">
        <v>74</v>
      </c>
      <c r="BS620" s="2" t="s">
        <v>7038</v>
      </c>
      <c r="BT620" s="2" t="str">
        <f>HYPERLINK("https%3A%2F%2Fwww.webofscience.com%2Fwos%2Fwoscc%2Ffull-record%2FWOS:000224482000008","View Full Record in Web of Science")</f>
        <v>View Full Record in Web of Science</v>
      </c>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row>
    <row r="621" spans="1:314" s="2" customFormat="1" x14ac:dyDescent="0.4">
      <c r="A621" s="2" t="s">
        <v>72</v>
      </c>
      <c r="B621" s="2" t="s">
        <v>6269</v>
      </c>
      <c r="C621" s="2" t="s">
        <v>74</v>
      </c>
      <c r="D621" s="2" t="s">
        <v>74</v>
      </c>
      <c r="E621" s="2" t="s">
        <v>74</v>
      </c>
      <c r="F621" s="2" t="s">
        <v>6270</v>
      </c>
      <c r="G621" s="2" t="s">
        <v>74</v>
      </c>
      <c r="H621" s="2" t="s">
        <v>74</v>
      </c>
      <c r="I621" s="2" t="s">
        <v>6271</v>
      </c>
      <c r="J621" s="2" t="s">
        <v>654</v>
      </c>
      <c r="K621" s="2" t="s">
        <v>74</v>
      </c>
      <c r="L621" s="2" t="s">
        <v>74</v>
      </c>
      <c r="M621" s="2" t="s">
        <v>74</v>
      </c>
      <c r="N621" s="2" t="s">
        <v>74</v>
      </c>
      <c r="O621" s="2" t="s">
        <v>74</v>
      </c>
      <c r="P621" s="2" t="s">
        <v>74</v>
      </c>
      <c r="Q621" s="2" t="s">
        <v>74</v>
      </c>
      <c r="R621" s="2" t="s">
        <v>74</v>
      </c>
      <c r="S621" s="2" t="s">
        <v>74</v>
      </c>
      <c r="T621" s="2" t="s">
        <v>74</v>
      </c>
      <c r="U621" s="2" t="s">
        <v>74</v>
      </c>
      <c r="V621" s="5" t="s">
        <v>6272</v>
      </c>
      <c r="W621" s="2" t="s">
        <v>74</v>
      </c>
      <c r="X621" s="2" t="s">
        <v>74</v>
      </c>
      <c r="Y621" s="2" t="s">
        <v>74</v>
      </c>
      <c r="Z621" s="2" t="s">
        <v>74</v>
      </c>
      <c r="AA621" s="2" t="s">
        <v>74</v>
      </c>
      <c r="AB621" s="2" t="s">
        <v>6273</v>
      </c>
      <c r="AC621" s="2" t="s">
        <v>74</v>
      </c>
      <c r="AD621" s="2" t="s">
        <v>74</v>
      </c>
      <c r="AE621" s="2" t="s">
        <v>74</v>
      </c>
      <c r="AF621" s="2" t="s">
        <v>74</v>
      </c>
      <c r="AG621" s="2" t="s">
        <v>74</v>
      </c>
      <c r="AH621" s="2" t="s">
        <v>74</v>
      </c>
      <c r="AI621" s="2" t="s">
        <v>74</v>
      </c>
      <c r="AJ621" s="2" t="s">
        <v>74</v>
      </c>
      <c r="AK621" s="2" t="s">
        <v>74</v>
      </c>
      <c r="AL621" s="2" t="s">
        <v>74</v>
      </c>
      <c r="AM621" s="2" t="s">
        <v>74</v>
      </c>
      <c r="AN621" s="2" t="s">
        <v>74</v>
      </c>
      <c r="AO621" s="2" t="s">
        <v>658</v>
      </c>
      <c r="AP621" s="2" t="s">
        <v>74</v>
      </c>
      <c r="AQ621" s="2" t="s">
        <v>74</v>
      </c>
      <c r="AR621" s="2" t="s">
        <v>74</v>
      </c>
      <c r="AS621" s="2" t="s">
        <v>74</v>
      </c>
      <c r="AT621" s="2" t="s">
        <v>145</v>
      </c>
      <c r="AU621" s="2">
        <v>2021</v>
      </c>
      <c r="AV621" s="2">
        <v>11</v>
      </c>
      <c r="AW621" s="2">
        <v>16</v>
      </c>
      <c r="AX621" s="2" t="s">
        <v>74</v>
      </c>
      <c r="AY621" s="2" t="s">
        <v>74</v>
      </c>
      <c r="AZ621" s="2" t="s">
        <v>74</v>
      </c>
      <c r="BA621" s="2" t="s">
        <v>74</v>
      </c>
      <c r="BB621" s="2">
        <v>11038</v>
      </c>
      <c r="BC621" s="2">
        <v>11050</v>
      </c>
      <c r="BD621" s="2" t="s">
        <v>74</v>
      </c>
      <c r="BE621" s="2" t="s">
        <v>6274</v>
      </c>
      <c r="BF621" s="2" t="str">
        <f>HYPERLINK("http://dx.doi.org/10.1002/ece3.7892","http://dx.doi.org/10.1002/ece3.7892")</f>
        <v>http://dx.doi.org/10.1002/ece3.7892</v>
      </c>
      <c r="BG621" s="2" t="s">
        <v>74</v>
      </c>
      <c r="BH621" s="2" t="s">
        <v>3826</v>
      </c>
      <c r="BI621" s="2" t="s">
        <v>74</v>
      </c>
      <c r="BJ621" s="2" t="s">
        <v>74</v>
      </c>
      <c r="BK621" s="2" t="s">
        <v>74</v>
      </c>
      <c r="BL621" s="2" t="s">
        <v>74</v>
      </c>
      <c r="BM621" s="2" t="s">
        <v>74</v>
      </c>
      <c r="BN621" s="2">
        <v>34429901</v>
      </c>
      <c r="BO621" s="2" t="s">
        <v>74</v>
      </c>
      <c r="BP621" s="2" t="s">
        <v>74</v>
      </c>
      <c r="BQ621" s="2" t="s">
        <v>74</v>
      </c>
      <c r="BR621" s="2" t="s">
        <v>74</v>
      </c>
      <c r="BS621" s="2" t="s">
        <v>6275</v>
      </c>
      <c r="BT621" s="2" t="str">
        <f>HYPERLINK("https%3A%2F%2Fwww.webofscience.com%2Fwos%2Fwoscc%2Ffull-record%2FWOS:000670837800001","View Full Record in Web of Science")</f>
        <v>View Full Record in Web of Science</v>
      </c>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row>
    <row r="622" spans="1:314" s="2" customFormat="1" x14ac:dyDescent="0.4">
      <c r="A622" s="2" t="s">
        <v>72</v>
      </c>
      <c r="B622" s="2" t="s">
        <v>8184</v>
      </c>
      <c r="C622" s="2" t="s">
        <v>74</v>
      </c>
      <c r="D622" s="2" t="s">
        <v>74</v>
      </c>
      <c r="E622" s="2" t="s">
        <v>74</v>
      </c>
      <c r="F622" s="2" t="s">
        <v>8184</v>
      </c>
      <c r="G622" s="2" t="s">
        <v>74</v>
      </c>
      <c r="H622" s="2" t="s">
        <v>74</v>
      </c>
      <c r="I622" s="2" t="s">
        <v>8185</v>
      </c>
      <c r="J622" s="2" t="s">
        <v>8186</v>
      </c>
      <c r="K622" s="2" t="s">
        <v>74</v>
      </c>
      <c r="L622" s="2" t="s">
        <v>74</v>
      </c>
      <c r="M622" s="2" t="s">
        <v>74</v>
      </c>
      <c r="N622" s="2" t="s">
        <v>74</v>
      </c>
      <c r="O622" s="2" t="s">
        <v>74</v>
      </c>
      <c r="P622" s="2" t="s">
        <v>74</v>
      </c>
      <c r="Q622" s="2" t="s">
        <v>74</v>
      </c>
      <c r="R622" s="2" t="s">
        <v>74</v>
      </c>
      <c r="S622" s="2" t="s">
        <v>74</v>
      </c>
      <c r="T622" s="2" t="s">
        <v>74</v>
      </c>
      <c r="U622" s="2" t="s">
        <v>74</v>
      </c>
      <c r="V622" s="5" t="s">
        <v>8187</v>
      </c>
      <c r="W622" s="2" t="s">
        <v>74</v>
      </c>
      <c r="X622" s="2" t="s">
        <v>74</v>
      </c>
      <c r="Y622" s="2" t="s">
        <v>74</v>
      </c>
      <c r="Z622" s="2" t="s">
        <v>74</v>
      </c>
      <c r="AA622" s="2" t="s">
        <v>8188</v>
      </c>
      <c r="AB622" s="2" t="s">
        <v>8189</v>
      </c>
      <c r="AC622" s="2" t="s">
        <v>74</v>
      </c>
      <c r="AD622" s="2" t="s">
        <v>74</v>
      </c>
      <c r="AE622" s="2" t="s">
        <v>74</v>
      </c>
      <c r="AF622" s="2" t="s">
        <v>74</v>
      </c>
      <c r="AG622" s="2" t="s">
        <v>74</v>
      </c>
      <c r="AH622" s="2" t="s">
        <v>74</v>
      </c>
      <c r="AI622" s="2" t="s">
        <v>74</v>
      </c>
      <c r="AJ622" s="2" t="s">
        <v>74</v>
      </c>
      <c r="AK622" s="2" t="s">
        <v>74</v>
      </c>
      <c r="AL622" s="2" t="s">
        <v>74</v>
      </c>
      <c r="AM622" s="2" t="s">
        <v>74</v>
      </c>
      <c r="AN622" s="2" t="s">
        <v>74</v>
      </c>
      <c r="AO622" s="2" t="s">
        <v>8190</v>
      </c>
      <c r="AP622" s="2" t="s">
        <v>8191</v>
      </c>
      <c r="AQ622" s="2" t="s">
        <v>74</v>
      </c>
      <c r="AR622" s="2" t="s">
        <v>74</v>
      </c>
      <c r="AS622" s="2" t="s">
        <v>74</v>
      </c>
      <c r="AT622" s="2" t="s">
        <v>352</v>
      </c>
      <c r="AU622" s="2">
        <v>2004</v>
      </c>
      <c r="AV622" s="2">
        <v>82</v>
      </c>
      <c r="AW622" s="2">
        <v>2</v>
      </c>
      <c r="AX622" s="2" t="s">
        <v>74</v>
      </c>
      <c r="AY622" s="2" t="s">
        <v>74</v>
      </c>
      <c r="AZ622" s="2" t="s">
        <v>74</v>
      </c>
      <c r="BA622" s="2" t="s">
        <v>74</v>
      </c>
      <c r="BB622" s="2">
        <v>99</v>
      </c>
      <c r="BC622" s="2">
        <v>108</v>
      </c>
      <c r="BD622" s="2" t="s">
        <v>74</v>
      </c>
      <c r="BE622" s="2" t="s">
        <v>8192</v>
      </c>
      <c r="BF622" s="2" t="str">
        <f>HYPERLINK("http://dx.doi.org/10.1016/j.nlm.2004.05.001","http://dx.doi.org/10.1016/j.nlm.2004.05.001")</f>
        <v>http://dx.doi.org/10.1016/j.nlm.2004.05.001</v>
      </c>
      <c r="BG622" s="2" t="s">
        <v>74</v>
      </c>
      <c r="BH622" s="2" t="s">
        <v>74</v>
      </c>
      <c r="BI622" s="2" t="s">
        <v>74</v>
      </c>
      <c r="BJ622" s="2" t="s">
        <v>74</v>
      </c>
      <c r="BK622" s="2" t="s">
        <v>74</v>
      </c>
      <c r="BL622" s="2" t="s">
        <v>74</v>
      </c>
      <c r="BM622" s="2" t="s">
        <v>74</v>
      </c>
      <c r="BN622" s="2">
        <v>15341795</v>
      </c>
      <c r="BO622" s="2" t="s">
        <v>74</v>
      </c>
      <c r="BP622" s="2" t="s">
        <v>74</v>
      </c>
      <c r="BQ622" s="2" t="s">
        <v>74</v>
      </c>
      <c r="BR622" s="2" t="s">
        <v>74</v>
      </c>
      <c r="BS622" s="2" t="s">
        <v>8193</v>
      </c>
      <c r="BT622" s="2" t="str">
        <f>HYPERLINK("https%3A%2F%2Fwww.webofscience.com%2Fwos%2Fwoscc%2Ffull-record%2FWOS:000223495300006","View Full Record in Web of Science")</f>
        <v>View Full Record in Web of Science</v>
      </c>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row>
    <row r="623" spans="1:314" s="2" customFormat="1" x14ac:dyDescent="0.4">
      <c r="A623" s="2" t="s">
        <v>72</v>
      </c>
      <c r="B623" s="2" t="s">
        <v>3236</v>
      </c>
      <c r="C623" s="2" t="s">
        <v>74</v>
      </c>
      <c r="D623" s="2" t="s">
        <v>74</v>
      </c>
      <c r="E623" s="2" t="s">
        <v>74</v>
      </c>
      <c r="F623" s="2" t="s">
        <v>3236</v>
      </c>
      <c r="G623" s="2" t="s">
        <v>74</v>
      </c>
      <c r="H623" s="2" t="s">
        <v>74</v>
      </c>
      <c r="I623" s="2" t="s">
        <v>3237</v>
      </c>
      <c r="J623" s="2" t="s">
        <v>3238</v>
      </c>
      <c r="K623" s="2" t="s">
        <v>74</v>
      </c>
      <c r="L623" s="2" t="s">
        <v>74</v>
      </c>
      <c r="M623" s="2" t="s">
        <v>74</v>
      </c>
      <c r="N623" s="2" t="s">
        <v>74</v>
      </c>
      <c r="O623" s="2" t="s">
        <v>74</v>
      </c>
      <c r="P623" s="2" t="s">
        <v>74</v>
      </c>
      <c r="Q623" s="2" t="s">
        <v>74</v>
      </c>
      <c r="R623" s="2" t="s">
        <v>74</v>
      </c>
      <c r="S623" s="2" t="s">
        <v>74</v>
      </c>
      <c r="T623" s="2" t="s">
        <v>74</v>
      </c>
      <c r="U623" s="2" t="s">
        <v>74</v>
      </c>
      <c r="V623" s="5" t="s">
        <v>3239</v>
      </c>
      <c r="W623" s="2" t="s">
        <v>74</v>
      </c>
      <c r="X623" s="2" t="s">
        <v>74</v>
      </c>
      <c r="Y623" s="2" t="s">
        <v>74</v>
      </c>
      <c r="Z623" s="2" t="s">
        <v>74</v>
      </c>
      <c r="AA623" s="2" t="s">
        <v>74</v>
      </c>
      <c r="AB623" s="2" t="s">
        <v>74</v>
      </c>
      <c r="AC623" s="2" t="s">
        <v>74</v>
      </c>
      <c r="AD623" s="2" t="s">
        <v>74</v>
      </c>
      <c r="AE623" s="2" t="s">
        <v>74</v>
      </c>
      <c r="AF623" s="2" t="s">
        <v>74</v>
      </c>
      <c r="AG623" s="2" t="s">
        <v>74</v>
      </c>
      <c r="AH623" s="2" t="s">
        <v>74</v>
      </c>
      <c r="AI623" s="2" t="s">
        <v>74</v>
      </c>
      <c r="AJ623" s="2" t="s">
        <v>74</v>
      </c>
      <c r="AK623" s="2" t="s">
        <v>74</v>
      </c>
      <c r="AL623" s="2" t="s">
        <v>74</v>
      </c>
      <c r="AM623" s="2" t="s">
        <v>74</v>
      </c>
      <c r="AN623" s="2" t="s">
        <v>74</v>
      </c>
      <c r="AO623" s="2" t="s">
        <v>3240</v>
      </c>
      <c r="AP623" s="2" t="s">
        <v>3241</v>
      </c>
      <c r="AQ623" s="2" t="s">
        <v>74</v>
      </c>
      <c r="AR623" s="2" t="s">
        <v>74</v>
      </c>
      <c r="AS623" s="2" t="s">
        <v>74</v>
      </c>
      <c r="AT623" s="2" t="s">
        <v>74</v>
      </c>
      <c r="AU623" s="2">
        <v>1983</v>
      </c>
      <c r="AV623" s="2">
        <v>76</v>
      </c>
      <c r="AW623" s="2">
        <v>2</v>
      </c>
      <c r="AX623" s="2" t="s">
        <v>74</v>
      </c>
      <c r="AY623" s="2" t="s">
        <v>74</v>
      </c>
      <c r="AZ623" s="2" t="s">
        <v>74</v>
      </c>
      <c r="BA623" s="2" t="s">
        <v>74</v>
      </c>
      <c r="BB623" s="2">
        <v>197</v>
      </c>
      <c r="BC623" s="2">
        <v>204</v>
      </c>
      <c r="BD623" s="2" t="s">
        <v>74</v>
      </c>
      <c r="BE623" s="2" t="s">
        <v>3242</v>
      </c>
      <c r="BF623" s="2" t="str">
        <f>HYPERLINK("http://dx.doi.org/10.1093/aesa/76.2.197","http://dx.doi.org/10.1093/aesa/76.2.197")</f>
        <v>http://dx.doi.org/10.1093/aesa/76.2.197</v>
      </c>
      <c r="BG623" s="2" t="s">
        <v>74</v>
      </c>
      <c r="BH623" s="2" t="s">
        <v>74</v>
      </c>
      <c r="BI623" s="2" t="s">
        <v>74</v>
      </c>
      <c r="BJ623" s="2" t="s">
        <v>74</v>
      </c>
      <c r="BK623" s="2" t="s">
        <v>74</v>
      </c>
      <c r="BL623" s="2" t="s">
        <v>74</v>
      </c>
      <c r="BM623" s="2" t="s">
        <v>74</v>
      </c>
      <c r="BN623" s="2" t="s">
        <v>74</v>
      </c>
      <c r="BO623" s="2" t="s">
        <v>74</v>
      </c>
      <c r="BP623" s="2" t="s">
        <v>74</v>
      </c>
      <c r="BQ623" s="2" t="s">
        <v>74</v>
      </c>
      <c r="BR623" s="2" t="s">
        <v>74</v>
      </c>
      <c r="BS623" s="2" t="s">
        <v>3243</v>
      </c>
      <c r="BT623" s="2" t="str">
        <f>HYPERLINK("https%3A%2F%2Fwww.webofscience.com%2Fwos%2Fwoscc%2Ffull-record%2FWOS:A1983QE09100008","View Full Record in Web of Science")</f>
        <v>View Full Record in Web of Science</v>
      </c>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row>
    <row r="624" spans="1:314" s="2" customFormat="1" x14ac:dyDescent="0.4">
      <c r="A624" s="2" t="s">
        <v>72</v>
      </c>
      <c r="B624" s="2" t="s">
        <v>394</v>
      </c>
      <c r="C624" s="2" t="s">
        <v>74</v>
      </c>
      <c r="D624" s="2" t="s">
        <v>74</v>
      </c>
      <c r="E624" s="2" t="s">
        <v>74</v>
      </c>
      <c r="F624" s="2" t="s">
        <v>395</v>
      </c>
      <c r="G624" s="2" t="s">
        <v>74</v>
      </c>
      <c r="H624" s="2" t="s">
        <v>74</v>
      </c>
      <c r="I624" s="2" t="s">
        <v>396</v>
      </c>
      <c r="J624" s="2" t="s">
        <v>397</v>
      </c>
      <c r="K624" s="2" t="s">
        <v>74</v>
      </c>
      <c r="L624" s="2" t="s">
        <v>74</v>
      </c>
      <c r="M624" s="2" t="s">
        <v>74</v>
      </c>
      <c r="N624" s="2" t="s">
        <v>74</v>
      </c>
      <c r="O624" s="2" t="s">
        <v>74</v>
      </c>
      <c r="P624" s="2" t="s">
        <v>74</v>
      </c>
      <c r="Q624" s="2" t="s">
        <v>74</v>
      </c>
      <c r="R624" s="2" t="s">
        <v>74</v>
      </c>
      <c r="S624" s="2" t="s">
        <v>74</v>
      </c>
      <c r="T624" s="2" t="s">
        <v>74</v>
      </c>
      <c r="U624" s="2" t="s">
        <v>74</v>
      </c>
      <c r="V624" s="5" t="s">
        <v>398</v>
      </c>
      <c r="W624" s="2" t="s">
        <v>74</v>
      </c>
      <c r="X624" s="2" t="s">
        <v>74</v>
      </c>
      <c r="Y624" s="2" t="s">
        <v>74</v>
      </c>
      <c r="Z624" s="2" t="s">
        <v>74</v>
      </c>
      <c r="AA624" s="2" t="s">
        <v>399</v>
      </c>
      <c r="AB624" s="2" t="s">
        <v>400</v>
      </c>
      <c r="AC624" s="2" t="s">
        <v>74</v>
      </c>
      <c r="AD624" s="2" t="s">
        <v>74</v>
      </c>
      <c r="AE624" s="2" t="s">
        <v>74</v>
      </c>
      <c r="AF624" s="2" t="s">
        <v>74</v>
      </c>
      <c r="AG624" s="2" t="s">
        <v>74</v>
      </c>
      <c r="AH624" s="2" t="s">
        <v>74</v>
      </c>
      <c r="AI624" s="2" t="s">
        <v>74</v>
      </c>
      <c r="AJ624" s="2" t="s">
        <v>74</v>
      </c>
      <c r="AK624" s="2" t="s">
        <v>74</v>
      </c>
      <c r="AL624" s="2" t="s">
        <v>74</v>
      </c>
      <c r="AM624" s="2" t="s">
        <v>74</v>
      </c>
      <c r="AN624" s="2" t="s">
        <v>74</v>
      </c>
      <c r="AO624" s="2" t="s">
        <v>401</v>
      </c>
      <c r="AP624" s="2" t="s">
        <v>402</v>
      </c>
      <c r="AQ624" s="2" t="s">
        <v>74</v>
      </c>
      <c r="AR624" s="2" t="s">
        <v>74</v>
      </c>
      <c r="AS624" s="2" t="s">
        <v>74</v>
      </c>
      <c r="AT624" s="2" t="s">
        <v>213</v>
      </c>
      <c r="AU624" s="2">
        <v>2016</v>
      </c>
      <c r="AV624" s="2">
        <v>15</v>
      </c>
      <c r="AW624" s="2">
        <v>8</v>
      </c>
      <c r="AX624" s="2" t="s">
        <v>74</v>
      </c>
      <c r="AY624" s="2" t="s">
        <v>74</v>
      </c>
      <c r="AZ624" s="2" t="s">
        <v>74</v>
      </c>
      <c r="BA624" s="2" t="s">
        <v>74</v>
      </c>
      <c r="BB624" s="2">
        <v>733</v>
      </c>
      <c r="BC624" s="2">
        <v>740</v>
      </c>
      <c r="BD624" s="2" t="s">
        <v>74</v>
      </c>
      <c r="BE624" s="2" t="s">
        <v>403</v>
      </c>
      <c r="BF624" s="2" t="str">
        <f>HYPERLINK("http://dx.doi.org/10.1111/gbb.12313","http://dx.doi.org/10.1111/gbb.12313")</f>
        <v>http://dx.doi.org/10.1111/gbb.12313</v>
      </c>
      <c r="BG624" s="2" t="s">
        <v>74</v>
      </c>
      <c r="BH624" s="2" t="s">
        <v>74</v>
      </c>
      <c r="BI624" s="2" t="s">
        <v>74</v>
      </c>
      <c r="BJ624" s="2" t="s">
        <v>74</v>
      </c>
      <c r="BK624" s="2" t="s">
        <v>74</v>
      </c>
      <c r="BL624" s="2" t="s">
        <v>74</v>
      </c>
      <c r="BM624" s="2" t="s">
        <v>74</v>
      </c>
      <c r="BN624" s="2">
        <v>27489198</v>
      </c>
      <c r="BO624" s="2" t="s">
        <v>74</v>
      </c>
      <c r="BP624" s="2" t="s">
        <v>74</v>
      </c>
      <c r="BQ624" s="2" t="s">
        <v>74</v>
      </c>
      <c r="BR624" s="2" t="s">
        <v>74</v>
      </c>
      <c r="BS624" s="2" t="s">
        <v>404</v>
      </c>
      <c r="BT624" s="2" t="str">
        <f>HYPERLINK("https%3A%2F%2Fwww.webofscience.com%2Fwos%2Fwoscc%2Ffull-record%2FWOS:000393079000005","View Full Record in Web of Science")</f>
        <v>View Full Record in Web of Science</v>
      </c>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row>
    <row r="625" spans="1:314" s="2" customFormat="1" x14ac:dyDescent="0.4">
      <c r="A625" s="2" t="s">
        <v>72</v>
      </c>
      <c r="B625" s="2" t="s">
        <v>4096</v>
      </c>
      <c r="C625" s="2" t="s">
        <v>74</v>
      </c>
      <c r="D625" s="2" t="s">
        <v>74</v>
      </c>
      <c r="E625" s="2" t="s">
        <v>74</v>
      </c>
      <c r="F625" s="2" t="s">
        <v>4097</v>
      </c>
      <c r="G625" s="2" t="s">
        <v>74</v>
      </c>
      <c r="H625" s="2" t="s">
        <v>74</v>
      </c>
      <c r="I625" s="2" t="s">
        <v>4098</v>
      </c>
      <c r="J625" s="2" t="s">
        <v>218</v>
      </c>
      <c r="K625" s="2" t="s">
        <v>74</v>
      </c>
      <c r="L625" s="2" t="s">
        <v>74</v>
      </c>
      <c r="M625" s="2" t="s">
        <v>74</v>
      </c>
      <c r="N625" s="2" t="s">
        <v>74</v>
      </c>
      <c r="O625" s="2" t="s">
        <v>74</v>
      </c>
      <c r="P625" s="2" t="s">
        <v>74</v>
      </c>
      <c r="Q625" s="2" t="s">
        <v>74</v>
      </c>
      <c r="R625" s="2" t="s">
        <v>74</v>
      </c>
      <c r="S625" s="2" t="s">
        <v>74</v>
      </c>
      <c r="T625" s="2" t="s">
        <v>74</v>
      </c>
      <c r="U625" s="2" t="s">
        <v>74</v>
      </c>
      <c r="V625" s="5" t="s">
        <v>4099</v>
      </c>
      <c r="W625" s="2" t="s">
        <v>74</v>
      </c>
      <c r="X625" s="2" t="s">
        <v>74</v>
      </c>
      <c r="Y625" s="2" t="s">
        <v>74</v>
      </c>
      <c r="Z625" s="2" t="s">
        <v>74</v>
      </c>
      <c r="AA625" s="2" t="s">
        <v>74</v>
      </c>
      <c r="AB625" s="2" t="s">
        <v>4100</v>
      </c>
      <c r="AC625" s="2" t="s">
        <v>74</v>
      </c>
      <c r="AD625" s="2" t="s">
        <v>74</v>
      </c>
      <c r="AE625" s="2" t="s">
        <v>74</v>
      </c>
      <c r="AF625" s="2" t="s">
        <v>74</v>
      </c>
      <c r="AG625" s="2" t="s">
        <v>74</v>
      </c>
      <c r="AH625" s="2" t="s">
        <v>74</v>
      </c>
      <c r="AI625" s="2" t="s">
        <v>74</v>
      </c>
      <c r="AJ625" s="2" t="s">
        <v>74</v>
      </c>
      <c r="AK625" s="2" t="s">
        <v>74</v>
      </c>
      <c r="AL625" s="2" t="s">
        <v>74</v>
      </c>
      <c r="AM625" s="2" t="s">
        <v>74</v>
      </c>
      <c r="AN625" s="2" t="s">
        <v>74</v>
      </c>
      <c r="AO625" s="2" t="s">
        <v>221</v>
      </c>
      <c r="AP625" s="2" t="s">
        <v>222</v>
      </c>
      <c r="AQ625" s="2" t="s">
        <v>74</v>
      </c>
      <c r="AR625" s="2" t="s">
        <v>74</v>
      </c>
      <c r="AS625" s="2" t="s">
        <v>74</v>
      </c>
      <c r="AT625" s="2" t="s">
        <v>3302</v>
      </c>
      <c r="AU625" s="2">
        <v>2024</v>
      </c>
      <c r="AV625" s="2">
        <v>37</v>
      </c>
      <c r="AW625" s="2">
        <v>3</v>
      </c>
      <c r="AX625" s="2" t="s">
        <v>74</v>
      </c>
      <c r="AY625" s="2" t="s">
        <v>74</v>
      </c>
      <c r="AZ625" s="2" t="s">
        <v>74</v>
      </c>
      <c r="BA625" s="2" t="s">
        <v>74</v>
      </c>
      <c r="BB625" s="2">
        <v>267</v>
      </c>
      <c r="BC625" s="2">
        <v>273</v>
      </c>
      <c r="BD625" s="2" t="s">
        <v>74</v>
      </c>
      <c r="BE625" s="2" t="s">
        <v>4101</v>
      </c>
      <c r="BF625" s="2" t="str">
        <f>HYPERLINK("http://dx.doi.org/10.1093/jeb/voae010","http://dx.doi.org/10.1093/jeb/voae010")</f>
        <v>http://dx.doi.org/10.1093/jeb/voae010</v>
      </c>
      <c r="BG625" s="2" t="s">
        <v>74</v>
      </c>
      <c r="BH625" s="2" t="s">
        <v>583</v>
      </c>
      <c r="BI625" s="2" t="s">
        <v>74</v>
      </c>
      <c r="BJ625" s="2" t="s">
        <v>74</v>
      </c>
      <c r="BK625" s="2" t="s">
        <v>74</v>
      </c>
      <c r="BL625" s="2" t="s">
        <v>74</v>
      </c>
      <c r="BM625" s="2" t="s">
        <v>74</v>
      </c>
      <c r="BN625" s="2">
        <v>38306464</v>
      </c>
      <c r="BO625" s="2" t="s">
        <v>74</v>
      </c>
      <c r="BP625" s="2" t="s">
        <v>74</v>
      </c>
      <c r="BQ625" s="2" t="s">
        <v>74</v>
      </c>
      <c r="BR625" s="2" t="s">
        <v>74</v>
      </c>
      <c r="BS625" s="2" t="s">
        <v>4102</v>
      </c>
      <c r="BT625" s="2" t="str">
        <f>HYPERLINK("https%3A%2F%2Fwww.webofscience.com%2Fwos%2Fwoscc%2Ffull-record%2FWOS:001155391900001","View Full Record in Web of Science")</f>
        <v>View Full Record in Web of Science</v>
      </c>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row>
    <row r="626" spans="1:314" s="2" customFormat="1" x14ac:dyDescent="0.4">
      <c r="A626" s="2" t="s">
        <v>72</v>
      </c>
      <c r="B626" s="2" t="s">
        <v>178</v>
      </c>
      <c r="C626" s="2" t="s">
        <v>74</v>
      </c>
      <c r="D626" s="2" t="s">
        <v>74</v>
      </c>
      <c r="E626" s="2" t="s">
        <v>74</v>
      </c>
      <c r="F626" s="2" t="s">
        <v>179</v>
      </c>
      <c r="G626" s="2" t="s">
        <v>74</v>
      </c>
      <c r="H626" s="2" t="s">
        <v>74</v>
      </c>
      <c r="I626" s="2" t="s">
        <v>180</v>
      </c>
      <c r="J626" s="2" t="s">
        <v>181</v>
      </c>
      <c r="K626" s="2" t="s">
        <v>74</v>
      </c>
      <c r="L626" s="2" t="s">
        <v>74</v>
      </c>
      <c r="M626" s="2" t="s">
        <v>74</v>
      </c>
      <c r="N626" s="2" t="s">
        <v>74</v>
      </c>
      <c r="O626" s="2" t="s">
        <v>74</v>
      </c>
      <c r="P626" s="2" t="s">
        <v>74</v>
      </c>
      <c r="Q626" s="2" t="s">
        <v>74</v>
      </c>
      <c r="R626" s="2" t="s">
        <v>74</v>
      </c>
      <c r="S626" s="2" t="s">
        <v>74</v>
      </c>
      <c r="T626" s="2" t="s">
        <v>74</v>
      </c>
      <c r="U626" s="2" t="s">
        <v>74</v>
      </c>
      <c r="V626" s="5" t="s">
        <v>182</v>
      </c>
      <c r="W626" s="2" t="s">
        <v>74</v>
      </c>
      <c r="X626" s="2" t="s">
        <v>74</v>
      </c>
      <c r="Y626" s="2" t="s">
        <v>74</v>
      </c>
      <c r="Z626" s="2" t="s">
        <v>74</v>
      </c>
      <c r="AA626" s="2" t="s">
        <v>183</v>
      </c>
      <c r="AB626" s="2" t="s">
        <v>184</v>
      </c>
      <c r="AC626" s="2" t="s">
        <v>74</v>
      </c>
      <c r="AD626" s="2" t="s">
        <v>74</v>
      </c>
      <c r="AE626" s="2" t="s">
        <v>74</v>
      </c>
      <c r="AF626" s="2" t="s">
        <v>74</v>
      </c>
      <c r="AG626" s="2" t="s">
        <v>74</v>
      </c>
      <c r="AH626" s="2" t="s">
        <v>74</v>
      </c>
      <c r="AI626" s="2" t="s">
        <v>74</v>
      </c>
      <c r="AJ626" s="2" t="s">
        <v>74</v>
      </c>
      <c r="AK626" s="2" t="s">
        <v>74</v>
      </c>
      <c r="AL626" s="2" t="s">
        <v>74</v>
      </c>
      <c r="AM626" s="2" t="s">
        <v>74</v>
      </c>
      <c r="AN626" s="2" t="s">
        <v>74</v>
      </c>
      <c r="AO626" s="2" t="s">
        <v>185</v>
      </c>
      <c r="AP626" s="2" t="s">
        <v>74</v>
      </c>
      <c r="AQ626" s="2" t="s">
        <v>74</v>
      </c>
      <c r="AR626" s="2" t="s">
        <v>74</v>
      </c>
      <c r="AS626" s="2" t="s">
        <v>74</v>
      </c>
      <c r="AT626" s="2" t="s">
        <v>186</v>
      </c>
      <c r="AU626" s="2">
        <v>2015</v>
      </c>
      <c r="AV626" s="2">
        <v>13</v>
      </c>
      <c r="AW626" s="2" t="s">
        <v>74</v>
      </c>
      <c r="AX626" s="2" t="s">
        <v>74</v>
      </c>
      <c r="AY626" s="2" t="s">
        <v>74</v>
      </c>
      <c r="AZ626" s="2" t="s">
        <v>74</v>
      </c>
      <c r="BA626" s="2" t="s">
        <v>74</v>
      </c>
      <c r="BB626" s="2" t="s">
        <v>74</v>
      </c>
      <c r="BC626" s="2" t="s">
        <v>74</v>
      </c>
      <c r="BD626" s="2">
        <v>82</v>
      </c>
      <c r="BE626" s="2" t="s">
        <v>187</v>
      </c>
      <c r="BF626" s="2" t="str">
        <f>HYPERLINK("http://dx.doi.org/10.1186/s12915-015-0192-7","http://dx.doi.org/10.1186/s12915-015-0192-7")</f>
        <v>http://dx.doi.org/10.1186/s12915-015-0192-7</v>
      </c>
      <c r="BG626" s="2" t="s">
        <v>74</v>
      </c>
      <c r="BH626" s="2" t="s">
        <v>74</v>
      </c>
      <c r="BI626" s="2" t="s">
        <v>74</v>
      </c>
      <c r="BJ626" s="2" t="s">
        <v>74</v>
      </c>
      <c r="BK626" s="2" t="s">
        <v>74</v>
      </c>
      <c r="BL626" s="2" t="s">
        <v>74</v>
      </c>
      <c r="BM626" s="2" t="s">
        <v>74</v>
      </c>
      <c r="BN626" s="2">
        <v>26437665</v>
      </c>
      <c r="BO626" s="2" t="s">
        <v>74</v>
      </c>
      <c r="BP626" s="2" t="s">
        <v>74</v>
      </c>
      <c r="BQ626" s="2" t="s">
        <v>74</v>
      </c>
      <c r="BR626" s="2" t="s">
        <v>74</v>
      </c>
      <c r="BS626" s="2" t="s">
        <v>188</v>
      </c>
      <c r="BT626" s="2" t="str">
        <f>HYPERLINK("https%3A%2F%2Fwww.webofscience.com%2Fwos%2Fwoscc%2Ffull-record%2FWOS:000362280500001","View Full Record in Web of Science")</f>
        <v>View Full Record in Web of Science</v>
      </c>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row>
    <row r="627" spans="1:314" s="2" customFormat="1" x14ac:dyDescent="0.4">
      <c r="A627" s="2" t="s">
        <v>72</v>
      </c>
      <c r="B627" s="2" t="s">
        <v>6589</v>
      </c>
      <c r="C627" s="2" t="s">
        <v>74</v>
      </c>
      <c r="D627" s="2" t="s">
        <v>74</v>
      </c>
      <c r="E627" s="2" t="s">
        <v>74</v>
      </c>
      <c r="F627" s="2" t="s">
        <v>6589</v>
      </c>
      <c r="G627" s="2" t="s">
        <v>74</v>
      </c>
      <c r="H627" s="2" t="s">
        <v>74</v>
      </c>
      <c r="I627" s="2" t="s">
        <v>6590</v>
      </c>
      <c r="J627" s="2" t="s">
        <v>77</v>
      </c>
      <c r="K627" s="2" t="s">
        <v>74</v>
      </c>
      <c r="L627" s="2" t="s">
        <v>74</v>
      </c>
      <c r="M627" s="2" t="s">
        <v>74</v>
      </c>
      <c r="N627" s="2" t="s">
        <v>74</v>
      </c>
      <c r="O627" s="2" t="s">
        <v>74</v>
      </c>
      <c r="P627" s="2" t="s">
        <v>74</v>
      </c>
      <c r="Q627" s="2" t="s">
        <v>74</v>
      </c>
      <c r="R627" s="2" t="s">
        <v>74</v>
      </c>
      <c r="S627" s="2" t="s">
        <v>74</v>
      </c>
      <c r="T627" s="2" t="s">
        <v>74</v>
      </c>
      <c r="U627" s="2" t="s">
        <v>74</v>
      </c>
      <c r="V627" s="5" t="s">
        <v>6591</v>
      </c>
      <c r="W627" s="2" t="s">
        <v>74</v>
      </c>
      <c r="X627" s="2" t="s">
        <v>74</v>
      </c>
      <c r="Y627" s="2" t="s">
        <v>74</v>
      </c>
      <c r="Z627" s="2" t="s">
        <v>74</v>
      </c>
      <c r="AA627" s="2" t="s">
        <v>74</v>
      </c>
      <c r="AB627" s="2" t="s">
        <v>74</v>
      </c>
      <c r="AC627" s="2" t="s">
        <v>74</v>
      </c>
      <c r="AD627" s="2" t="s">
        <v>74</v>
      </c>
      <c r="AE627" s="2" t="s">
        <v>74</v>
      </c>
      <c r="AF627" s="2" t="s">
        <v>74</v>
      </c>
      <c r="AG627" s="2" t="s">
        <v>74</v>
      </c>
      <c r="AH627" s="2" t="s">
        <v>74</v>
      </c>
      <c r="AI627" s="2" t="s">
        <v>74</v>
      </c>
      <c r="AJ627" s="2" t="s">
        <v>74</v>
      </c>
      <c r="AK627" s="2" t="s">
        <v>74</v>
      </c>
      <c r="AL627" s="2" t="s">
        <v>74</v>
      </c>
      <c r="AM627" s="2" t="s">
        <v>74</v>
      </c>
      <c r="AN627" s="2" t="s">
        <v>74</v>
      </c>
      <c r="AO627" s="2" t="s">
        <v>81</v>
      </c>
      <c r="AP627" s="2" t="s">
        <v>82</v>
      </c>
      <c r="AQ627" s="2" t="s">
        <v>74</v>
      </c>
      <c r="AR627" s="2" t="s">
        <v>74</v>
      </c>
      <c r="AS627" s="2" t="s">
        <v>74</v>
      </c>
      <c r="AT627" s="2" t="s">
        <v>74</v>
      </c>
      <c r="AU627" s="2">
        <v>1978</v>
      </c>
      <c r="AV627" s="2">
        <v>67</v>
      </c>
      <c r="AW627" s="2" t="s">
        <v>74</v>
      </c>
      <c r="AX627" s="2" t="s">
        <v>1276</v>
      </c>
      <c r="AY627" s="2" t="s">
        <v>74</v>
      </c>
      <c r="AZ627" s="2" t="s">
        <v>74</v>
      </c>
      <c r="BA627" s="2" t="s">
        <v>74</v>
      </c>
      <c r="BB627" s="2">
        <v>178</v>
      </c>
      <c r="BC627" s="2">
        <v>207</v>
      </c>
      <c r="BD627" s="2" t="s">
        <v>74</v>
      </c>
      <c r="BE627" s="2" t="s">
        <v>6592</v>
      </c>
      <c r="BF627" s="2" t="str">
        <f>HYPERLINK("http://dx.doi.org/10.1163/156853978X00323","http://dx.doi.org/10.1163/156853978X00323")</f>
        <v>http://dx.doi.org/10.1163/156853978X00323</v>
      </c>
      <c r="BG627" s="2" t="s">
        <v>74</v>
      </c>
      <c r="BH627" s="2" t="s">
        <v>74</v>
      </c>
      <c r="BI627" s="2" t="s">
        <v>74</v>
      </c>
      <c r="BJ627" s="2" t="s">
        <v>74</v>
      </c>
      <c r="BK627" s="2" t="s">
        <v>74</v>
      </c>
      <c r="BL627" s="2" t="s">
        <v>74</v>
      </c>
      <c r="BM627" s="2" t="s">
        <v>74</v>
      </c>
      <c r="BN627" s="2" t="s">
        <v>74</v>
      </c>
      <c r="BO627" s="2" t="s">
        <v>74</v>
      </c>
      <c r="BP627" s="2" t="s">
        <v>74</v>
      </c>
      <c r="BQ627" s="2" t="s">
        <v>74</v>
      </c>
      <c r="BR627" s="2" t="s">
        <v>74</v>
      </c>
      <c r="BS627" s="2" t="s">
        <v>6593</v>
      </c>
      <c r="BT627" s="2" t="str">
        <f>HYPERLINK("https%3A%2F%2Fwww.webofscience.com%2Fwos%2Fwoscc%2Ffull-record%2FWOS:A1978GF13900003","View Full Record in Web of Science")</f>
        <v>View Full Record in Web of Science</v>
      </c>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row>
    <row r="628" spans="1:314" s="2" customFormat="1" x14ac:dyDescent="0.4">
      <c r="A628" s="2" t="s">
        <v>72</v>
      </c>
      <c r="B628" s="2" t="s">
        <v>4983</v>
      </c>
      <c r="C628" s="2" t="s">
        <v>74</v>
      </c>
      <c r="D628" s="2" t="s">
        <v>74</v>
      </c>
      <c r="E628" s="2" t="s">
        <v>74</v>
      </c>
      <c r="F628" s="2" t="s">
        <v>4984</v>
      </c>
      <c r="G628" s="2" t="s">
        <v>74</v>
      </c>
      <c r="H628" s="2" t="s">
        <v>74</v>
      </c>
      <c r="I628" s="2" t="s">
        <v>4985</v>
      </c>
      <c r="J628" s="2" t="s">
        <v>408</v>
      </c>
      <c r="K628" s="2" t="s">
        <v>74</v>
      </c>
      <c r="L628" s="2" t="s">
        <v>74</v>
      </c>
      <c r="M628" s="2" t="s">
        <v>74</v>
      </c>
      <c r="N628" s="2" t="s">
        <v>74</v>
      </c>
      <c r="O628" s="2" t="s">
        <v>74</v>
      </c>
      <c r="P628" s="2" t="s">
        <v>74</v>
      </c>
      <c r="Q628" s="2" t="s">
        <v>74</v>
      </c>
      <c r="R628" s="2" t="s">
        <v>74</v>
      </c>
      <c r="S628" s="2" t="s">
        <v>74</v>
      </c>
      <c r="T628" s="2" t="s">
        <v>74</v>
      </c>
      <c r="U628" s="2" t="s">
        <v>74</v>
      </c>
      <c r="V628" s="5" t="s">
        <v>4986</v>
      </c>
      <c r="W628" s="2" t="s">
        <v>74</v>
      </c>
      <c r="X628" s="2" t="s">
        <v>74</v>
      </c>
      <c r="Y628" s="2" t="s">
        <v>74</v>
      </c>
      <c r="Z628" s="2" t="s">
        <v>74</v>
      </c>
      <c r="AA628" s="2" t="s">
        <v>4987</v>
      </c>
      <c r="AB628" s="2" t="s">
        <v>4988</v>
      </c>
      <c r="AC628" s="2" t="s">
        <v>74</v>
      </c>
      <c r="AD628" s="2" t="s">
        <v>74</v>
      </c>
      <c r="AE628" s="2" t="s">
        <v>74</v>
      </c>
      <c r="AF628" s="2" t="s">
        <v>74</v>
      </c>
      <c r="AG628" s="2" t="s">
        <v>74</v>
      </c>
      <c r="AH628" s="2" t="s">
        <v>74</v>
      </c>
      <c r="AI628" s="2" t="s">
        <v>74</v>
      </c>
      <c r="AJ628" s="2" t="s">
        <v>74</v>
      </c>
      <c r="AK628" s="2" t="s">
        <v>74</v>
      </c>
      <c r="AL628" s="2" t="s">
        <v>74</v>
      </c>
      <c r="AM628" s="2" t="s">
        <v>74</v>
      </c>
      <c r="AN628" s="2" t="s">
        <v>74</v>
      </c>
      <c r="AO628" s="2" t="s">
        <v>412</v>
      </c>
      <c r="AP628" s="2" t="s">
        <v>413</v>
      </c>
      <c r="AQ628" s="2" t="s">
        <v>74</v>
      </c>
      <c r="AR628" s="2" t="s">
        <v>74</v>
      </c>
      <c r="AS628" s="2" t="s">
        <v>74</v>
      </c>
      <c r="AT628" s="2" t="s">
        <v>213</v>
      </c>
      <c r="AU628" s="2">
        <v>2021</v>
      </c>
      <c r="AV628" s="2">
        <v>134</v>
      </c>
      <c r="AW628" s="2">
        <v>3</v>
      </c>
      <c r="AX628" s="2" t="s">
        <v>74</v>
      </c>
      <c r="AY628" s="2" t="s">
        <v>74</v>
      </c>
      <c r="AZ628" s="2" t="s">
        <v>74</v>
      </c>
      <c r="BA628" s="2" t="s">
        <v>74</v>
      </c>
      <c r="BB628" s="2">
        <v>685</v>
      </c>
      <c r="BC628" s="2">
        <v>696</v>
      </c>
      <c r="BD628" s="2" t="s">
        <v>74</v>
      </c>
      <c r="BE628" s="2" t="s">
        <v>4989</v>
      </c>
      <c r="BF628" s="2" t="str">
        <f>HYPERLINK("http://dx.doi.org/10.1093/biolinnean/blab102","http://dx.doi.org/10.1093/biolinnean/blab102")</f>
        <v>http://dx.doi.org/10.1093/biolinnean/blab102</v>
      </c>
      <c r="BG628" s="2" t="s">
        <v>74</v>
      </c>
      <c r="BH628" s="2" t="s">
        <v>4990</v>
      </c>
      <c r="BI628" s="2" t="s">
        <v>74</v>
      </c>
      <c r="BJ628" s="2" t="s">
        <v>74</v>
      </c>
      <c r="BK628" s="2" t="s">
        <v>74</v>
      </c>
      <c r="BL628" s="2" t="s">
        <v>74</v>
      </c>
      <c r="BM628" s="2" t="s">
        <v>74</v>
      </c>
      <c r="BN628" s="2" t="s">
        <v>74</v>
      </c>
      <c r="BO628" s="2" t="s">
        <v>74</v>
      </c>
      <c r="BP628" s="2" t="s">
        <v>74</v>
      </c>
      <c r="BQ628" s="2" t="s">
        <v>74</v>
      </c>
      <c r="BR628" s="2" t="s">
        <v>74</v>
      </c>
      <c r="BS628" s="2" t="s">
        <v>4991</v>
      </c>
      <c r="BT628" s="2" t="str">
        <f>HYPERLINK("https%3A%2F%2Fwww.webofscience.com%2Fwos%2Fwoscc%2Ffull-record%2FWOS:000715341100013","View Full Record in Web of Science")</f>
        <v>View Full Record in Web of Science</v>
      </c>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row>
    <row r="629" spans="1:314" s="2" customFormat="1" x14ac:dyDescent="0.4">
      <c r="A629" s="2" t="s">
        <v>72</v>
      </c>
      <c r="B629" s="2" t="s">
        <v>7122</v>
      </c>
      <c r="C629" s="2" t="s">
        <v>74</v>
      </c>
      <c r="D629" s="2" t="s">
        <v>74</v>
      </c>
      <c r="E629" s="2" t="s">
        <v>74</v>
      </c>
      <c r="F629" s="2" t="s">
        <v>7123</v>
      </c>
      <c r="G629" s="2" t="s">
        <v>74</v>
      </c>
      <c r="H629" s="2" t="s">
        <v>74</v>
      </c>
      <c r="I629" s="2" t="s">
        <v>7124</v>
      </c>
      <c r="J629" s="2" t="s">
        <v>1656</v>
      </c>
      <c r="K629" s="2" t="s">
        <v>74</v>
      </c>
      <c r="L629" s="2" t="s">
        <v>74</v>
      </c>
      <c r="M629" s="2" t="s">
        <v>74</v>
      </c>
      <c r="N629" s="2" t="s">
        <v>74</v>
      </c>
      <c r="O629" s="2" t="s">
        <v>74</v>
      </c>
      <c r="P629" s="2" t="s">
        <v>74</v>
      </c>
      <c r="Q629" s="2" t="s">
        <v>74</v>
      </c>
      <c r="R629" s="2" t="s">
        <v>74</v>
      </c>
      <c r="S629" s="2" t="s">
        <v>74</v>
      </c>
      <c r="T629" s="2" t="s">
        <v>74</v>
      </c>
      <c r="U629" s="2" t="s">
        <v>74</v>
      </c>
      <c r="V629" s="5" t="s">
        <v>7125</v>
      </c>
      <c r="W629" s="2" t="s">
        <v>74</v>
      </c>
      <c r="X629" s="2" t="s">
        <v>74</v>
      </c>
      <c r="Y629" s="2" t="s">
        <v>74</v>
      </c>
      <c r="Z629" s="2" t="s">
        <v>74</v>
      </c>
      <c r="AA629" s="2" t="s">
        <v>7126</v>
      </c>
      <c r="AB629" s="2" t="s">
        <v>7127</v>
      </c>
      <c r="AC629" s="2" t="s">
        <v>74</v>
      </c>
      <c r="AD629" s="2" t="s">
        <v>74</v>
      </c>
      <c r="AE629" s="2" t="s">
        <v>74</v>
      </c>
      <c r="AF629" s="2" t="s">
        <v>74</v>
      </c>
      <c r="AG629" s="2" t="s">
        <v>74</v>
      </c>
      <c r="AH629" s="2" t="s">
        <v>74</v>
      </c>
      <c r="AI629" s="2" t="s">
        <v>74</v>
      </c>
      <c r="AJ629" s="2" t="s">
        <v>74</v>
      </c>
      <c r="AK629" s="2" t="s">
        <v>74</v>
      </c>
      <c r="AL629" s="2" t="s">
        <v>74</v>
      </c>
      <c r="AM629" s="2" t="s">
        <v>74</v>
      </c>
      <c r="AN629" s="2" t="s">
        <v>74</v>
      </c>
      <c r="AO629" s="2" t="s">
        <v>1658</v>
      </c>
      <c r="AP629" s="2" t="s">
        <v>1659</v>
      </c>
      <c r="AQ629" s="2" t="s">
        <v>74</v>
      </c>
      <c r="AR629" s="2" t="s">
        <v>74</v>
      </c>
      <c r="AS629" s="2" t="s">
        <v>74</v>
      </c>
      <c r="AT629" s="2" t="s">
        <v>7128</v>
      </c>
      <c r="AU629" s="2">
        <v>2022</v>
      </c>
      <c r="AV629" s="2">
        <v>5155</v>
      </c>
      <c r="AW629" s="2">
        <v>4</v>
      </c>
      <c r="AX629" s="2" t="s">
        <v>74</v>
      </c>
      <c r="AY629" s="2" t="s">
        <v>74</v>
      </c>
      <c r="AZ629" s="2" t="s">
        <v>74</v>
      </c>
      <c r="BA629" s="2" t="s">
        <v>74</v>
      </c>
      <c r="BB629" s="2">
        <v>564</v>
      </c>
      <c r="BC629" s="2">
        <v>580</v>
      </c>
      <c r="BD629" s="2" t="s">
        <v>74</v>
      </c>
      <c r="BE629" s="2" t="s">
        <v>7129</v>
      </c>
      <c r="BF629" s="2" t="str">
        <f>HYPERLINK("http://dx.doi.org/10.11646/zootaxa.5155.4.6","http://dx.doi.org/10.11646/zootaxa.5155.4.6")</f>
        <v>http://dx.doi.org/10.11646/zootaxa.5155.4.6</v>
      </c>
      <c r="BG629" s="2" t="s">
        <v>74</v>
      </c>
      <c r="BH629" s="2" t="s">
        <v>74</v>
      </c>
      <c r="BI629" s="2" t="s">
        <v>74</v>
      </c>
      <c r="BJ629" s="2" t="s">
        <v>74</v>
      </c>
      <c r="BK629" s="2" t="s">
        <v>74</v>
      </c>
      <c r="BL629" s="2" t="s">
        <v>74</v>
      </c>
      <c r="BM629" s="2" t="s">
        <v>74</v>
      </c>
      <c r="BN629" s="2">
        <v>36095567</v>
      </c>
      <c r="BO629" s="2" t="s">
        <v>74</v>
      </c>
      <c r="BP629" s="2" t="s">
        <v>74</v>
      </c>
      <c r="BQ629" s="2" t="s">
        <v>74</v>
      </c>
      <c r="BR629" s="2" t="s">
        <v>74</v>
      </c>
      <c r="BS629" s="2" t="s">
        <v>7130</v>
      </c>
      <c r="BT629" s="2" t="str">
        <f>HYPERLINK("https%3A%2F%2Fwww.webofscience.com%2Fwos%2Fwoscc%2Ffull-record%2FWOS:000821618900003","View Full Record in Web of Science")</f>
        <v>View Full Record in Web of Science</v>
      </c>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row>
    <row r="630" spans="1:314" s="2" customFormat="1" x14ac:dyDescent="0.4">
      <c r="A630" s="2" t="s">
        <v>72</v>
      </c>
      <c r="B630" s="2" t="s">
        <v>7470</v>
      </c>
      <c r="C630" s="2" t="s">
        <v>74</v>
      </c>
      <c r="D630" s="2" t="s">
        <v>74</v>
      </c>
      <c r="E630" s="2" t="s">
        <v>74</v>
      </c>
      <c r="F630" s="2" t="s">
        <v>7470</v>
      </c>
      <c r="G630" s="2" t="s">
        <v>74</v>
      </c>
      <c r="H630" s="2" t="s">
        <v>74</v>
      </c>
      <c r="I630" s="2" t="s">
        <v>7471</v>
      </c>
      <c r="J630" s="2" t="s">
        <v>140</v>
      </c>
      <c r="K630" s="2" t="s">
        <v>74</v>
      </c>
      <c r="L630" s="2" t="s">
        <v>74</v>
      </c>
      <c r="M630" s="2" t="s">
        <v>74</v>
      </c>
      <c r="N630" s="2" t="s">
        <v>74</v>
      </c>
      <c r="O630" s="2" t="s">
        <v>74</v>
      </c>
      <c r="P630" s="2" t="s">
        <v>74</v>
      </c>
      <c r="Q630" s="2" t="s">
        <v>74</v>
      </c>
      <c r="R630" s="2" t="s">
        <v>74</v>
      </c>
      <c r="S630" s="2" t="s">
        <v>74</v>
      </c>
      <c r="T630" s="2" t="s">
        <v>74</v>
      </c>
      <c r="U630" s="2" t="s">
        <v>74</v>
      </c>
      <c r="V630" s="5" t="s">
        <v>7472</v>
      </c>
      <c r="W630" s="2" t="s">
        <v>74</v>
      </c>
      <c r="X630" s="2" t="s">
        <v>74</v>
      </c>
      <c r="Y630" s="2" t="s">
        <v>74</v>
      </c>
      <c r="Z630" s="2" t="s">
        <v>74</v>
      </c>
      <c r="AA630" s="2" t="s">
        <v>7473</v>
      </c>
      <c r="AB630" s="2" t="s">
        <v>7474</v>
      </c>
      <c r="AC630" s="2" t="s">
        <v>74</v>
      </c>
      <c r="AD630" s="2" t="s">
        <v>74</v>
      </c>
      <c r="AE630" s="2" t="s">
        <v>74</v>
      </c>
      <c r="AF630" s="2" t="s">
        <v>74</v>
      </c>
      <c r="AG630" s="2" t="s">
        <v>74</v>
      </c>
      <c r="AH630" s="2" t="s">
        <v>74</v>
      </c>
      <c r="AI630" s="2" t="s">
        <v>74</v>
      </c>
      <c r="AJ630" s="2" t="s">
        <v>74</v>
      </c>
      <c r="AK630" s="2" t="s">
        <v>74</v>
      </c>
      <c r="AL630" s="2" t="s">
        <v>74</v>
      </c>
      <c r="AM630" s="2" t="s">
        <v>74</v>
      </c>
      <c r="AN630" s="2" t="s">
        <v>74</v>
      </c>
      <c r="AO630" s="2" t="s">
        <v>143</v>
      </c>
      <c r="AP630" s="2" t="s">
        <v>74</v>
      </c>
      <c r="AQ630" s="2" t="s">
        <v>74</v>
      </c>
      <c r="AR630" s="2" t="s">
        <v>74</v>
      </c>
      <c r="AS630" s="2" t="s">
        <v>74</v>
      </c>
      <c r="AT630" s="2" t="s">
        <v>204</v>
      </c>
      <c r="AU630" s="2">
        <v>1998</v>
      </c>
      <c r="AV630" s="2">
        <v>56</v>
      </c>
      <c r="AW630" s="2" t="s">
        <v>74</v>
      </c>
      <c r="AX630" s="2">
        <v>1</v>
      </c>
      <c r="AY630" s="2" t="s">
        <v>74</v>
      </c>
      <c r="AZ630" s="2" t="s">
        <v>74</v>
      </c>
      <c r="BA630" s="2" t="s">
        <v>74</v>
      </c>
      <c r="BB630" s="2">
        <v>181</v>
      </c>
      <c r="BC630" s="2">
        <v>190</v>
      </c>
      <c r="BD630" s="2" t="s">
        <v>74</v>
      </c>
      <c r="BE630" s="2" t="s">
        <v>7475</v>
      </c>
      <c r="BF630" s="2" t="str">
        <f>HYPERLINK("http://dx.doi.org/10.1006/anbe.1998.0760","http://dx.doi.org/10.1006/anbe.1998.0760")</f>
        <v>http://dx.doi.org/10.1006/anbe.1998.0760</v>
      </c>
      <c r="BG630" s="2" t="s">
        <v>74</v>
      </c>
      <c r="BH630" s="2" t="s">
        <v>74</v>
      </c>
      <c r="BI630" s="2" t="s">
        <v>74</v>
      </c>
      <c r="BJ630" s="2" t="s">
        <v>74</v>
      </c>
      <c r="BK630" s="2" t="s">
        <v>74</v>
      </c>
      <c r="BL630" s="2" t="s">
        <v>74</v>
      </c>
      <c r="BM630" s="2" t="s">
        <v>74</v>
      </c>
      <c r="BN630" s="2">
        <v>9710476</v>
      </c>
      <c r="BO630" s="2" t="s">
        <v>74</v>
      </c>
      <c r="BP630" s="2" t="s">
        <v>74</v>
      </c>
      <c r="BQ630" s="2" t="s">
        <v>74</v>
      </c>
      <c r="BR630" s="2" t="s">
        <v>74</v>
      </c>
      <c r="BS630" s="2" t="s">
        <v>7476</v>
      </c>
      <c r="BT630" s="2" t="str">
        <f>HYPERLINK("https%3A%2F%2Fwww.webofscience.com%2Fwos%2Fwoscc%2Ffull-record%2FWOS:000075228700021","View Full Record in Web of Science")</f>
        <v>View Full Record in Web of Science</v>
      </c>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row>
    <row r="631" spans="1:314" s="2" customFormat="1" x14ac:dyDescent="0.4">
      <c r="A631" s="2" t="s">
        <v>72</v>
      </c>
      <c r="B631" s="2" t="s">
        <v>2733</v>
      </c>
      <c r="C631" s="2" t="s">
        <v>74</v>
      </c>
      <c r="D631" s="2" t="s">
        <v>74</v>
      </c>
      <c r="E631" s="2" t="s">
        <v>74</v>
      </c>
      <c r="F631" s="2" t="s">
        <v>2734</v>
      </c>
      <c r="G631" s="2" t="s">
        <v>74</v>
      </c>
      <c r="H631" s="2" t="s">
        <v>74</v>
      </c>
      <c r="I631" s="2" t="s">
        <v>2735</v>
      </c>
      <c r="J631" s="2" t="s">
        <v>218</v>
      </c>
      <c r="K631" s="2" t="s">
        <v>74</v>
      </c>
      <c r="L631" s="2" t="s">
        <v>74</v>
      </c>
      <c r="M631" s="2" t="s">
        <v>74</v>
      </c>
      <c r="N631" s="2" t="s">
        <v>74</v>
      </c>
      <c r="O631" s="2" t="s">
        <v>74</v>
      </c>
      <c r="P631" s="2" t="s">
        <v>74</v>
      </c>
      <c r="Q631" s="2" t="s">
        <v>74</v>
      </c>
      <c r="R631" s="2" t="s">
        <v>74</v>
      </c>
      <c r="S631" s="2" t="s">
        <v>74</v>
      </c>
      <c r="T631" s="2" t="s">
        <v>74</v>
      </c>
      <c r="U631" s="2" t="s">
        <v>74</v>
      </c>
      <c r="V631" s="5" t="s">
        <v>2736</v>
      </c>
      <c r="W631" s="2" t="s">
        <v>74</v>
      </c>
      <c r="X631" s="2" t="s">
        <v>74</v>
      </c>
      <c r="Y631" s="2" t="s">
        <v>74</v>
      </c>
      <c r="Z631" s="2" t="s">
        <v>74</v>
      </c>
      <c r="AA631" s="2" t="s">
        <v>74</v>
      </c>
      <c r="AB631" s="2" t="s">
        <v>2737</v>
      </c>
      <c r="AC631" s="2" t="s">
        <v>74</v>
      </c>
      <c r="AD631" s="2" t="s">
        <v>74</v>
      </c>
      <c r="AE631" s="2" t="s">
        <v>74</v>
      </c>
      <c r="AF631" s="2" t="s">
        <v>74</v>
      </c>
      <c r="AG631" s="2" t="s">
        <v>74</v>
      </c>
      <c r="AH631" s="2" t="s">
        <v>74</v>
      </c>
      <c r="AI631" s="2" t="s">
        <v>74</v>
      </c>
      <c r="AJ631" s="2" t="s">
        <v>74</v>
      </c>
      <c r="AK631" s="2" t="s">
        <v>74</v>
      </c>
      <c r="AL631" s="2" t="s">
        <v>74</v>
      </c>
      <c r="AM631" s="2" t="s">
        <v>74</v>
      </c>
      <c r="AN631" s="2" t="s">
        <v>74</v>
      </c>
      <c r="AO631" s="2" t="s">
        <v>221</v>
      </c>
      <c r="AP631" s="2" t="s">
        <v>222</v>
      </c>
      <c r="AQ631" s="2" t="s">
        <v>74</v>
      </c>
      <c r="AR631" s="2" t="s">
        <v>74</v>
      </c>
      <c r="AS631" s="2" t="s">
        <v>74</v>
      </c>
      <c r="AT631" s="2" t="s">
        <v>145</v>
      </c>
      <c r="AU631" s="2">
        <v>2013</v>
      </c>
      <c r="AV631" s="2">
        <v>26</v>
      </c>
      <c r="AW631" s="2">
        <v>8</v>
      </c>
      <c r="AX631" s="2" t="s">
        <v>74</v>
      </c>
      <c r="AY631" s="2" t="s">
        <v>74</v>
      </c>
      <c r="AZ631" s="2" t="s">
        <v>74</v>
      </c>
      <c r="BA631" s="2" t="s">
        <v>74</v>
      </c>
      <c r="BB631" s="2">
        <v>1611</v>
      </c>
      <c r="BC631" s="2">
        <v>1624</v>
      </c>
      <c r="BD631" s="2" t="s">
        <v>74</v>
      </c>
      <c r="BE631" s="2" t="s">
        <v>2738</v>
      </c>
      <c r="BF631" s="2" t="str">
        <f>HYPERLINK("http://dx.doi.org/10.1111/jeb.12173","http://dx.doi.org/10.1111/jeb.12173")</f>
        <v>http://dx.doi.org/10.1111/jeb.12173</v>
      </c>
      <c r="BG631" s="2" t="s">
        <v>74</v>
      </c>
      <c r="BH631" s="2" t="s">
        <v>74</v>
      </c>
      <c r="BI631" s="2" t="s">
        <v>74</v>
      </c>
      <c r="BJ631" s="2" t="s">
        <v>74</v>
      </c>
      <c r="BK631" s="2" t="s">
        <v>74</v>
      </c>
      <c r="BL631" s="2" t="s">
        <v>74</v>
      </c>
      <c r="BM631" s="2" t="s">
        <v>74</v>
      </c>
      <c r="BN631" s="2">
        <v>23859471</v>
      </c>
      <c r="BO631" s="2" t="s">
        <v>74</v>
      </c>
      <c r="BP631" s="2" t="s">
        <v>74</v>
      </c>
      <c r="BQ631" s="2" t="s">
        <v>74</v>
      </c>
      <c r="BR631" s="2" t="s">
        <v>74</v>
      </c>
      <c r="BS631" s="2" t="s">
        <v>2739</v>
      </c>
      <c r="BT631" s="2" t="str">
        <f>HYPERLINK("https%3A%2F%2Fwww.webofscience.com%2Fwos%2Fwoscc%2Ffull-record%2FWOS:000323101800001","View Full Record in Web of Science")</f>
        <v>View Full Record in Web of Science</v>
      </c>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row>
    <row r="632" spans="1:314" s="2" customFormat="1" x14ac:dyDescent="0.4">
      <c r="A632" s="2" t="s">
        <v>72</v>
      </c>
      <c r="B632" s="2" t="s">
        <v>4701</v>
      </c>
      <c r="C632" s="2" t="s">
        <v>74</v>
      </c>
      <c r="D632" s="2" t="s">
        <v>74</v>
      </c>
      <c r="E632" s="2" t="s">
        <v>74</v>
      </c>
      <c r="F632" s="2" t="s">
        <v>4702</v>
      </c>
      <c r="G632" s="2" t="s">
        <v>74</v>
      </c>
      <c r="H632" s="2" t="s">
        <v>74</v>
      </c>
      <c r="I632" s="2" t="s">
        <v>4703</v>
      </c>
      <c r="J632" s="2" t="s">
        <v>1656</v>
      </c>
      <c r="K632" s="2" t="s">
        <v>74</v>
      </c>
      <c r="L632" s="2" t="s">
        <v>74</v>
      </c>
      <c r="M632" s="2" t="s">
        <v>74</v>
      </c>
      <c r="N632" s="2" t="s">
        <v>74</v>
      </c>
      <c r="O632" s="2" t="s">
        <v>74</v>
      </c>
      <c r="P632" s="2" t="s">
        <v>74</v>
      </c>
      <c r="Q632" s="2" t="s">
        <v>74</v>
      </c>
      <c r="R632" s="2" t="s">
        <v>74</v>
      </c>
      <c r="S632" s="2" t="s">
        <v>74</v>
      </c>
      <c r="T632" s="2" t="s">
        <v>74</v>
      </c>
      <c r="U632" s="2" t="s">
        <v>74</v>
      </c>
      <c r="V632" s="5" t="s">
        <v>4704</v>
      </c>
      <c r="W632" s="2" t="s">
        <v>74</v>
      </c>
      <c r="X632" s="2" t="s">
        <v>74</v>
      </c>
      <c r="Y632" s="2" t="s">
        <v>74</v>
      </c>
      <c r="Z632" s="2" t="s">
        <v>74</v>
      </c>
      <c r="AA632" s="2" t="s">
        <v>4705</v>
      </c>
      <c r="AB632" s="2" t="s">
        <v>4706</v>
      </c>
      <c r="AC632" s="2" t="s">
        <v>74</v>
      </c>
      <c r="AD632" s="2" t="s">
        <v>74</v>
      </c>
      <c r="AE632" s="2" t="s">
        <v>74</v>
      </c>
      <c r="AF632" s="2" t="s">
        <v>74</v>
      </c>
      <c r="AG632" s="2" t="s">
        <v>74</v>
      </c>
      <c r="AH632" s="2" t="s">
        <v>74</v>
      </c>
      <c r="AI632" s="2" t="s">
        <v>74</v>
      </c>
      <c r="AJ632" s="2" t="s">
        <v>74</v>
      </c>
      <c r="AK632" s="2" t="s">
        <v>74</v>
      </c>
      <c r="AL632" s="2" t="s">
        <v>74</v>
      </c>
      <c r="AM632" s="2" t="s">
        <v>74</v>
      </c>
      <c r="AN632" s="2" t="s">
        <v>74</v>
      </c>
      <c r="AO632" s="2" t="s">
        <v>1658</v>
      </c>
      <c r="AP632" s="2" t="s">
        <v>1659</v>
      </c>
      <c r="AQ632" s="2" t="s">
        <v>74</v>
      </c>
      <c r="AR632" s="2" t="s">
        <v>74</v>
      </c>
      <c r="AS632" s="2" t="s">
        <v>74</v>
      </c>
      <c r="AT632" s="2" t="s">
        <v>4707</v>
      </c>
      <c r="AU632" s="2">
        <v>2023</v>
      </c>
      <c r="AV632" s="2">
        <v>5230</v>
      </c>
      <c r="AW632" s="2">
        <v>1</v>
      </c>
      <c r="AX632" s="2" t="s">
        <v>74</v>
      </c>
      <c r="AY632" s="2" t="s">
        <v>74</v>
      </c>
      <c r="AZ632" s="2" t="s">
        <v>74</v>
      </c>
      <c r="BA632" s="2" t="s">
        <v>74</v>
      </c>
      <c r="BB632" s="2">
        <v>48</v>
      </c>
      <c r="BC632" s="2">
        <v>66</v>
      </c>
      <c r="BD632" s="2" t="s">
        <v>74</v>
      </c>
      <c r="BE632" s="2" t="s">
        <v>4708</v>
      </c>
      <c r="BF632" s="2" t="str">
        <f>HYPERLINK("http://dx.doi.org/10.11646/zootaxa.5230.1.3","http://dx.doi.org/10.11646/zootaxa.5230.1.3")</f>
        <v>http://dx.doi.org/10.11646/zootaxa.5230.1.3</v>
      </c>
      <c r="BG632" s="2" t="s">
        <v>74</v>
      </c>
      <c r="BH632" s="2" t="s">
        <v>74</v>
      </c>
      <c r="BI632" s="2" t="s">
        <v>74</v>
      </c>
      <c r="BJ632" s="2" t="s">
        <v>74</v>
      </c>
      <c r="BK632" s="2" t="s">
        <v>74</v>
      </c>
      <c r="BL632" s="2" t="s">
        <v>74</v>
      </c>
      <c r="BM632" s="2" t="s">
        <v>74</v>
      </c>
      <c r="BN632" s="2">
        <v>37044858</v>
      </c>
      <c r="BO632" s="2" t="s">
        <v>74</v>
      </c>
      <c r="BP632" s="2" t="s">
        <v>74</v>
      </c>
      <c r="BQ632" s="2" t="s">
        <v>74</v>
      </c>
      <c r="BR632" s="2" t="s">
        <v>74</v>
      </c>
      <c r="BS632" s="2" t="s">
        <v>4709</v>
      </c>
      <c r="BT632" s="2" t="str">
        <f>HYPERLINK("https%3A%2F%2Fwww.webofscience.com%2Fwos%2Fwoscc%2Ffull-record%2FWOS:000927998600003","View Full Record in Web of Science")</f>
        <v>View Full Record in Web of Science</v>
      </c>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row>
    <row r="633" spans="1:314" s="2" customFormat="1" x14ac:dyDescent="0.4">
      <c r="A633" s="2" t="s">
        <v>72</v>
      </c>
      <c r="B633" s="2" t="s">
        <v>7047</v>
      </c>
      <c r="C633" s="2" t="s">
        <v>74</v>
      </c>
      <c r="D633" s="2" t="s">
        <v>74</v>
      </c>
      <c r="E633" s="2" t="s">
        <v>74</v>
      </c>
      <c r="F633" s="2" t="s">
        <v>7048</v>
      </c>
      <c r="G633" s="2" t="s">
        <v>74</v>
      </c>
      <c r="H633" s="2" t="s">
        <v>74</v>
      </c>
      <c r="I633" s="2" t="s">
        <v>7049</v>
      </c>
      <c r="J633" s="2" t="s">
        <v>2017</v>
      </c>
      <c r="K633" s="2" t="s">
        <v>74</v>
      </c>
      <c r="L633" s="2" t="s">
        <v>74</v>
      </c>
      <c r="M633" s="2" t="s">
        <v>74</v>
      </c>
      <c r="N633" s="2" t="s">
        <v>74</v>
      </c>
      <c r="O633" s="2" t="s">
        <v>74</v>
      </c>
      <c r="P633" s="2" t="s">
        <v>74</v>
      </c>
      <c r="Q633" s="2" t="s">
        <v>74</v>
      </c>
      <c r="R633" s="2" t="s">
        <v>74</v>
      </c>
      <c r="S633" s="2" t="s">
        <v>74</v>
      </c>
      <c r="T633" s="2" t="s">
        <v>74</v>
      </c>
      <c r="U633" s="2" t="s">
        <v>74</v>
      </c>
      <c r="V633" s="5" t="s">
        <v>7050</v>
      </c>
      <c r="W633" s="2" t="s">
        <v>74</v>
      </c>
      <c r="X633" s="2" t="s">
        <v>74</v>
      </c>
      <c r="Y633" s="2" t="s">
        <v>74</v>
      </c>
      <c r="Z633" s="2" t="s">
        <v>74</v>
      </c>
      <c r="AA633" s="2" t="s">
        <v>74</v>
      </c>
      <c r="AB633" s="2" t="s">
        <v>74</v>
      </c>
      <c r="AC633" s="2" t="s">
        <v>74</v>
      </c>
      <c r="AD633" s="2" t="s">
        <v>74</v>
      </c>
      <c r="AE633" s="2" t="s">
        <v>74</v>
      </c>
      <c r="AF633" s="2" t="s">
        <v>74</v>
      </c>
      <c r="AG633" s="2" t="s">
        <v>74</v>
      </c>
      <c r="AH633" s="2" t="s">
        <v>74</v>
      </c>
      <c r="AI633" s="2" t="s">
        <v>74</v>
      </c>
      <c r="AJ633" s="2" t="s">
        <v>74</v>
      </c>
      <c r="AK633" s="2" t="s">
        <v>74</v>
      </c>
      <c r="AL633" s="2" t="s">
        <v>74</v>
      </c>
      <c r="AM633" s="2" t="s">
        <v>74</v>
      </c>
      <c r="AN633" s="2" t="s">
        <v>74</v>
      </c>
      <c r="AO633" s="2" t="s">
        <v>2021</v>
      </c>
      <c r="AP633" s="2" t="s">
        <v>74</v>
      </c>
      <c r="AQ633" s="2" t="s">
        <v>74</v>
      </c>
      <c r="AR633" s="2" t="s">
        <v>74</v>
      </c>
      <c r="AS633" s="2" t="s">
        <v>74</v>
      </c>
      <c r="AT633" s="2" t="s">
        <v>7051</v>
      </c>
      <c r="AU633" s="2">
        <v>2021</v>
      </c>
      <c r="AV633" s="2">
        <v>9</v>
      </c>
      <c r="AW633" s="2" t="s">
        <v>74</v>
      </c>
      <c r="AX633" s="2" t="s">
        <v>74</v>
      </c>
      <c r="AY633" s="2" t="s">
        <v>74</v>
      </c>
      <c r="AZ633" s="2" t="s">
        <v>74</v>
      </c>
      <c r="BA633" s="2" t="s">
        <v>74</v>
      </c>
      <c r="BB633" s="2" t="s">
        <v>74</v>
      </c>
      <c r="BC633" s="2" t="s">
        <v>74</v>
      </c>
      <c r="BD633" s="2">
        <v>734126</v>
      </c>
      <c r="BE633" s="2" t="s">
        <v>7052</v>
      </c>
      <c r="BF633" s="2" t="str">
        <f>HYPERLINK("http://dx.doi.org/10.3389/fevo.2021.734126","http://dx.doi.org/10.3389/fevo.2021.734126")</f>
        <v>http://dx.doi.org/10.3389/fevo.2021.734126</v>
      </c>
      <c r="BG633" s="2" t="s">
        <v>74</v>
      </c>
      <c r="BH633" s="2" t="s">
        <v>74</v>
      </c>
      <c r="BI633" s="2" t="s">
        <v>74</v>
      </c>
      <c r="BJ633" s="2" t="s">
        <v>74</v>
      </c>
      <c r="BK633" s="2" t="s">
        <v>74</v>
      </c>
      <c r="BL633" s="2" t="s">
        <v>74</v>
      </c>
      <c r="BM633" s="2" t="s">
        <v>74</v>
      </c>
      <c r="BN633" s="2" t="s">
        <v>74</v>
      </c>
      <c r="BO633" s="2" t="s">
        <v>74</v>
      </c>
      <c r="BP633" s="2" t="s">
        <v>74</v>
      </c>
      <c r="BQ633" s="2" t="s">
        <v>74</v>
      </c>
      <c r="BR633" s="2" t="s">
        <v>74</v>
      </c>
      <c r="BS633" s="2" t="s">
        <v>7053</v>
      </c>
      <c r="BT633" s="2" t="str">
        <f>HYPERLINK("https%3A%2F%2Fwww.webofscience.com%2Fwos%2Fwoscc%2Ffull-record%2FWOS:000712776000001","View Full Record in Web of Science")</f>
        <v>View Full Record in Web of Science</v>
      </c>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row>
    <row r="634" spans="1:314" s="2" customFormat="1" x14ac:dyDescent="0.4">
      <c r="A634" s="2" t="s">
        <v>72</v>
      </c>
      <c r="B634" s="2" t="s">
        <v>7047</v>
      </c>
      <c r="C634" s="2" t="s">
        <v>74</v>
      </c>
      <c r="D634" s="2" t="s">
        <v>74</v>
      </c>
      <c r="E634" s="2" t="s">
        <v>74</v>
      </c>
      <c r="F634" s="2" t="s">
        <v>7047</v>
      </c>
      <c r="G634" s="2" t="s">
        <v>74</v>
      </c>
      <c r="H634" s="2" t="s">
        <v>74</v>
      </c>
      <c r="I634" s="2" t="s">
        <v>7249</v>
      </c>
      <c r="J634" s="2" t="s">
        <v>171</v>
      </c>
      <c r="K634" s="2" t="s">
        <v>74</v>
      </c>
      <c r="L634" s="2" t="s">
        <v>74</v>
      </c>
      <c r="M634" s="2" t="s">
        <v>74</v>
      </c>
      <c r="N634" s="2" t="s">
        <v>74</v>
      </c>
      <c r="O634" s="2" t="s">
        <v>74</v>
      </c>
      <c r="P634" s="2" t="s">
        <v>74</v>
      </c>
      <c r="Q634" s="2" t="s">
        <v>74</v>
      </c>
      <c r="R634" s="2" t="s">
        <v>74</v>
      </c>
      <c r="S634" s="2" t="s">
        <v>74</v>
      </c>
      <c r="T634" s="2" t="s">
        <v>74</v>
      </c>
      <c r="U634" s="2" t="s">
        <v>74</v>
      </c>
      <c r="V634" s="5" t="s">
        <v>7250</v>
      </c>
      <c r="W634" s="2" t="s">
        <v>74</v>
      </c>
      <c r="X634" s="2" t="s">
        <v>74</v>
      </c>
      <c r="Y634" s="2" t="s">
        <v>74</v>
      </c>
      <c r="Z634" s="2" t="s">
        <v>74</v>
      </c>
      <c r="AA634" s="2" t="s">
        <v>74</v>
      </c>
      <c r="AB634" s="2" t="s">
        <v>74</v>
      </c>
      <c r="AC634" s="2" t="s">
        <v>74</v>
      </c>
      <c r="AD634" s="2" t="s">
        <v>74</v>
      </c>
      <c r="AE634" s="2" t="s">
        <v>74</v>
      </c>
      <c r="AF634" s="2" t="s">
        <v>74</v>
      </c>
      <c r="AG634" s="2" t="s">
        <v>74</v>
      </c>
      <c r="AH634" s="2" t="s">
        <v>74</v>
      </c>
      <c r="AI634" s="2" t="s">
        <v>74</v>
      </c>
      <c r="AJ634" s="2" t="s">
        <v>74</v>
      </c>
      <c r="AK634" s="2" t="s">
        <v>74</v>
      </c>
      <c r="AL634" s="2" t="s">
        <v>74</v>
      </c>
      <c r="AM634" s="2" t="s">
        <v>74</v>
      </c>
      <c r="AN634" s="2" t="s">
        <v>74</v>
      </c>
      <c r="AO634" s="2" t="s">
        <v>173</v>
      </c>
      <c r="AP634" s="2" t="s">
        <v>174</v>
      </c>
      <c r="AQ634" s="2" t="s">
        <v>74</v>
      </c>
      <c r="AR634" s="2" t="s">
        <v>74</v>
      </c>
      <c r="AS634" s="2" t="s">
        <v>74</v>
      </c>
      <c r="AT634" s="2" t="s">
        <v>255</v>
      </c>
      <c r="AU634" s="2">
        <v>2006</v>
      </c>
      <c r="AV634" s="2">
        <v>60</v>
      </c>
      <c r="AW634" s="2">
        <v>1</v>
      </c>
      <c r="AX634" s="2" t="s">
        <v>74</v>
      </c>
      <c r="AY634" s="2" t="s">
        <v>74</v>
      </c>
      <c r="AZ634" s="2" t="s">
        <v>74</v>
      </c>
      <c r="BA634" s="2" t="s">
        <v>74</v>
      </c>
      <c r="BB634" s="2">
        <v>157</v>
      </c>
      <c r="BC634" s="2">
        <v>168</v>
      </c>
      <c r="BD634" s="2" t="s">
        <v>74</v>
      </c>
      <c r="BE634" s="2" t="s">
        <v>74</v>
      </c>
      <c r="BF634" s="2" t="s">
        <v>74</v>
      </c>
      <c r="BG634" s="2" t="s">
        <v>74</v>
      </c>
      <c r="BH634" s="2" t="s">
        <v>74</v>
      </c>
      <c r="BI634" s="2" t="s">
        <v>74</v>
      </c>
      <c r="BJ634" s="2" t="s">
        <v>74</v>
      </c>
      <c r="BK634" s="2" t="s">
        <v>74</v>
      </c>
      <c r="BL634" s="2" t="s">
        <v>74</v>
      </c>
      <c r="BM634" s="2" t="s">
        <v>74</v>
      </c>
      <c r="BN634" s="2">
        <v>16568640</v>
      </c>
      <c r="BO634" s="2" t="s">
        <v>74</v>
      </c>
      <c r="BP634" s="2" t="s">
        <v>74</v>
      </c>
      <c r="BQ634" s="2" t="s">
        <v>74</v>
      </c>
      <c r="BR634" s="2" t="s">
        <v>74</v>
      </c>
      <c r="BS634" s="2" t="s">
        <v>7251</v>
      </c>
      <c r="BT634" s="2" t="str">
        <f>HYPERLINK("https%3A%2F%2Fwww.webofscience.com%2Fwos%2Fwoscc%2Ffull-record%2FWOS:000235477400015","View Full Record in Web of Science")</f>
        <v>View Full Record in Web of Science</v>
      </c>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row>
    <row r="635" spans="1:314" s="2" customFormat="1" x14ac:dyDescent="0.4">
      <c r="A635" s="2" t="s">
        <v>72</v>
      </c>
      <c r="B635" s="2" t="s">
        <v>8434</v>
      </c>
      <c r="C635" s="2" t="s">
        <v>74</v>
      </c>
      <c r="D635" s="2" t="s">
        <v>74</v>
      </c>
      <c r="E635" s="2" t="s">
        <v>74</v>
      </c>
      <c r="F635" s="2" t="s">
        <v>8434</v>
      </c>
      <c r="G635" s="2" t="s">
        <v>74</v>
      </c>
      <c r="H635" s="2" t="s">
        <v>74</v>
      </c>
      <c r="I635" s="2" t="s">
        <v>8435</v>
      </c>
      <c r="J635" s="2" t="s">
        <v>140</v>
      </c>
      <c r="K635" s="2" t="s">
        <v>74</v>
      </c>
      <c r="L635" s="2" t="s">
        <v>74</v>
      </c>
      <c r="M635" s="2" t="s">
        <v>74</v>
      </c>
      <c r="N635" s="2" t="s">
        <v>74</v>
      </c>
      <c r="O635" s="2" t="s">
        <v>74</v>
      </c>
      <c r="P635" s="2" t="s">
        <v>74</v>
      </c>
      <c r="Q635" s="2" t="s">
        <v>74</v>
      </c>
      <c r="R635" s="2" t="s">
        <v>74</v>
      </c>
      <c r="S635" s="2" t="s">
        <v>74</v>
      </c>
      <c r="T635" s="2" t="s">
        <v>74</v>
      </c>
      <c r="U635" s="2" t="s">
        <v>74</v>
      </c>
      <c r="V635" s="5" t="s">
        <v>8436</v>
      </c>
      <c r="W635" s="2" t="s">
        <v>74</v>
      </c>
      <c r="X635" s="2" t="s">
        <v>74</v>
      </c>
      <c r="Y635" s="2" t="s">
        <v>74</v>
      </c>
      <c r="Z635" s="2" t="s">
        <v>74</v>
      </c>
      <c r="AA635" s="2" t="s">
        <v>74</v>
      </c>
      <c r="AB635" s="2" t="s">
        <v>74</v>
      </c>
      <c r="AC635" s="2" t="s">
        <v>74</v>
      </c>
      <c r="AD635" s="2" t="s">
        <v>74</v>
      </c>
      <c r="AE635" s="2" t="s">
        <v>74</v>
      </c>
      <c r="AF635" s="2" t="s">
        <v>74</v>
      </c>
      <c r="AG635" s="2" t="s">
        <v>74</v>
      </c>
      <c r="AH635" s="2" t="s">
        <v>74</v>
      </c>
      <c r="AI635" s="2" t="s">
        <v>74</v>
      </c>
      <c r="AJ635" s="2" t="s">
        <v>74</v>
      </c>
      <c r="AK635" s="2" t="s">
        <v>74</v>
      </c>
      <c r="AL635" s="2" t="s">
        <v>74</v>
      </c>
      <c r="AM635" s="2" t="s">
        <v>74</v>
      </c>
      <c r="AN635" s="2" t="s">
        <v>74</v>
      </c>
      <c r="AO635" s="2" t="s">
        <v>143</v>
      </c>
      <c r="AP635" s="2" t="s">
        <v>144</v>
      </c>
      <c r="AQ635" s="2" t="s">
        <v>74</v>
      </c>
      <c r="AR635" s="2" t="s">
        <v>74</v>
      </c>
      <c r="AS635" s="2" t="s">
        <v>74</v>
      </c>
      <c r="AT635" s="2" t="s">
        <v>102</v>
      </c>
      <c r="AU635" s="2">
        <v>2002</v>
      </c>
      <c r="AV635" s="2">
        <v>63</v>
      </c>
      <c r="AW635" s="2" t="s">
        <v>74</v>
      </c>
      <c r="AX635" s="2">
        <v>6</v>
      </c>
      <c r="AY635" s="2" t="s">
        <v>74</v>
      </c>
      <c r="AZ635" s="2" t="s">
        <v>74</v>
      </c>
      <c r="BA635" s="2" t="s">
        <v>74</v>
      </c>
      <c r="BB635" s="2">
        <v>1135</v>
      </c>
      <c r="BC635" s="2">
        <v>1142</v>
      </c>
      <c r="BD635" s="2" t="s">
        <v>74</v>
      </c>
      <c r="BE635" s="2" t="s">
        <v>8437</v>
      </c>
      <c r="BF635" s="2" t="str">
        <f>HYPERLINK("http://dx.doi.org/10.1006/anbe.2002.3009","http://dx.doi.org/10.1006/anbe.2002.3009")</f>
        <v>http://dx.doi.org/10.1006/anbe.2002.3009</v>
      </c>
      <c r="BG635" s="2" t="s">
        <v>74</v>
      </c>
      <c r="BH635" s="2" t="s">
        <v>74</v>
      </c>
      <c r="BI635" s="2" t="s">
        <v>74</v>
      </c>
      <c r="BJ635" s="2" t="s">
        <v>74</v>
      </c>
      <c r="BK635" s="2" t="s">
        <v>74</v>
      </c>
      <c r="BL635" s="2" t="s">
        <v>74</v>
      </c>
      <c r="BM635" s="2" t="s">
        <v>74</v>
      </c>
      <c r="BN635" s="2" t="s">
        <v>74</v>
      </c>
      <c r="BO635" s="2" t="s">
        <v>74</v>
      </c>
      <c r="BP635" s="2" t="s">
        <v>74</v>
      </c>
      <c r="BQ635" s="2" t="s">
        <v>74</v>
      </c>
      <c r="BR635" s="2" t="s">
        <v>74</v>
      </c>
      <c r="BS635" s="2" t="s">
        <v>8438</v>
      </c>
      <c r="BT635" s="2" t="str">
        <f>HYPERLINK("https%3A%2F%2Fwww.webofscience.com%2Fwos%2Fwoscc%2Ffull-record%2FWOS:000177715700012","View Full Record in Web of Science")</f>
        <v>View Full Record in Web of Science</v>
      </c>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row>
    <row r="636" spans="1:314" s="2" customFormat="1" x14ac:dyDescent="0.4">
      <c r="A636" s="2" t="s">
        <v>72</v>
      </c>
      <c r="B636" s="2" t="s">
        <v>453</v>
      </c>
      <c r="C636" s="2" t="s">
        <v>74</v>
      </c>
      <c r="D636" s="2" t="s">
        <v>74</v>
      </c>
      <c r="E636" s="2" t="s">
        <v>74</v>
      </c>
      <c r="F636" s="2" t="s">
        <v>454</v>
      </c>
      <c r="G636" s="2" t="s">
        <v>74</v>
      </c>
      <c r="H636" s="2" t="s">
        <v>74</v>
      </c>
      <c r="I636" s="2" t="s">
        <v>455</v>
      </c>
      <c r="J636" s="2" t="s">
        <v>456</v>
      </c>
      <c r="K636" s="2" t="s">
        <v>74</v>
      </c>
      <c r="L636" s="2" t="s">
        <v>74</v>
      </c>
      <c r="M636" s="2" t="s">
        <v>74</v>
      </c>
      <c r="N636" s="2" t="s">
        <v>74</v>
      </c>
      <c r="O636" s="2" t="s">
        <v>74</v>
      </c>
      <c r="P636" s="2" t="s">
        <v>74</v>
      </c>
      <c r="Q636" s="2" t="s">
        <v>74</v>
      </c>
      <c r="R636" s="2" t="s">
        <v>74</v>
      </c>
      <c r="S636" s="2" t="s">
        <v>74</v>
      </c>
      <c r="T636" s="2" t="s">
        <v>74</v>
      </c>
      <c r="U636" s="2" t="s">
        <v>74</v>
      </c>
      <c r="V636" s="5" t="s">
        <v>457</v>
      </c>
      <c r="W636" s="2" t="s">
        <v>74</v>
      </c>
      <c r="X636" s="2" t="s">
        <v>74</v>
      </c>
      <c r="Y636" s="2" t="s">
        <v>74</v>
      </c>
      <c r="Z636" s="2" t="s">
        <v>74</v>
      </c>
      <c r="AA636" s="2" t="s">
        <v>458</v>
      </c>
      <c r="AB636" s="2" t="s">
        <v>459</v>
      </c>
      <c r="AC636" s="2" t="s">
        <v>74</v>
      </c>
      <c r="AD636" s="2" t="s">
        <v>74</v>
      </c>
      <c r="AE636" s="2" t="s">
        <v>74</v>
      </c>
      <c r="AF636" s="2" t="s">
        <v>74</v>
      </c>
      <c r="AG636" s="2" t="s">
        <v>74</v>
      </c>
      <c r="AH636" s="2" t="s">
        <v>74</v>
      </c>
      <c r="AI636" s="2" t="s">
        <v>74</v>
      </c>
      <c r="AJ636" s="2" t="s">
        <v>74</v>
      </c>
      <c r="AK636" s="2" t="s">
        <v>74</v>
      </c>
      <c r="AL636" s="2" t="s">
        <v>74</v>
      </c>
      <c r="AM636" s="2" t="s">
        <v>74</v>
      </c>
      <c r="AN636" s="2" t="s">
        <v>74</v>
      </c>
      <c r="AO636" s="2" t="s">
        <v>460</v>
      </c>
      <c r="AP636" s="2" t="s">
        <v>461</v>
      </c>
      <c r="AQ636" s="2" t="s">
        <v>74</v>
      </c>
      <c r="AR636" s="2" t="s">
        <v>74</v>
      </c>
      <c r="AS636" s="2" t="s">
        <v>74</v>
      </c>
      <c r="AT636" s="2" t="s">
        <v>213</v>
      </c>
      <c r="AU636" s="2">
        <v>2012</v>
      </c>
      <c r="AV636" s="2">
        <v>288</v>
      </c>
      <c r="AW636" s="2">
        <v>3</v>
      </c>
      <c r="AX636" s="2" t="s">
        <v>74</v>
      </c>
      <c r="AY636" s="2" t="s">
        <v>74</v>
      </c>
      <c r="AZ636" s="2" t="s">
        <v>74</v>
      </c>
      <c r="BA636" s="2" t="s">
        <v>74</v>
      </c>
      <c r="BB636" s="2">
        <v>207</v>
      </c>
      <c r="BC636" s="2">
        <v>213</v>
      </c>
      <c r="BD636" s="2" t="s">
        <v>74</v>
      </c>
      <c r="BE636" s="2" t="s">
        <v>462</v>
      </c>
      <c r="BF636" s="2" t="str">
        <f>HYPERLINK("http://dx.doi.org/10.1111/j.1469-7998.2012.00943.x","http://dx.doi.org/10.1111/j.1469-7998.2012.00943.x")</f>
        <v>http://dx.doi.org/10.1111/j.1469-7998.2012.00943.x</v>
      </c>
      <c r="BG636" s="2" t="s">
        <v>74</v>
      </c>
      <c r="BH636" s="2" t="s">
        <v>74</v>
      </c>
      <c r="BI636" s="2" t="s">
        <v>74</v>
      </c>
      <c r="BJ636" s="2" t="s">
        <v>74</v>
      </c>
      <c r="BK636" s="2" t="s">
        <v>74</v>
      </c>
      <c r="BL636" s="2" t="s">
        <v>74</v>
      </c>
      <c r="BM636" s="2" t="s">
        <v>74</v>
      </c>
      <c r="BN636" s="2" t="s">
        <v>74</v>
      </c>
      <c r="BO636" s="2" t="s">
        <v>74</v>
      </c>
      <c r="BP636" s="2" t="s">
        <v>74</v>
      </c>
      <c r="BQ636" s="2" t="s">
        <v>74</v>
      </c>
      <c r="BR636" s="2" t="s">
        <v>74</v>
      </c>
      <c r="BS636" s="2" t="s">
        <v>463</v>
      </c>
      <c r="BT636" s="2" t="str">
        <f>HYPERLINK("https%3A%2F%2Fwww.webofscience.com%2Fwos%2Fwoscc%2Ffull-record%2FWOS:000310330900007","View Full Record in Web of Science")</f>
        <v>View Full Record in Web of Science</v>
      </c>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row>
    <row r="637" spans="1:314" s="2" customFormat="1" x14ac:dyDescent="0.4">
      <c r="A637" s="2" t="s">
        <v>72</v>
      </c>
      <c r="B637" s="2" t="s">
        <v>5987</v>
      </c>
      <c r="C637" s="2" t="s">
        <v>74</v>
      </c>
      <c r="D637" s="2" t="s">
        <v>74</v>
      </c>
      <c r="E637" s="2" t="s">
        <v>74</v>
      </c>
      <c r="F637" s="2" t="s">
        <v>5987</v>
      </c>
      <c r="G637" s="2" t="s">
        <v>74</v>
      </c>
      <c r="H637" s="2" t="s">
        <v>74</v>
      </c>
      <c r="I637" s="2" t="s">
        <v>5988</v>
      </c>
      <c r="J637" s="2" t="s">
        <v>610</v>
      </c>
      <c r="K637" s="2" t="s">
        <v>74</v>
      </c>
      <c r="L637" s="2" t="s">
        <v>74</v>
      </c>
      <c r="M637" s="2" t="s">
        <v>74</v>
      </c>
      <c r="N637" s="2" t="s">
        <v>74</v>
      </c>
      <c r="O637" s="2" t="s">
        <v>74</v>
      </c>
      <c r="P637" s="2" t="s">
        <v>74</v>
      </c>
      <c r="Q637" s="2" t="s">
        <v>74</v>
      </c>
      <c r="R637" s="2" t="s">
        <v>74</v>
      </c>
      <c r="S637" s="2" t="s">
        <v>74</v>
      </c>
      <c r="T637" s="2" t="s">
        <v>74</v>
      </c>
      <c r="U637" s="2" t="s">
        <v>74</v>
      </c>
      <c r="V637" s="5" t="s">
        <v>5989</v>
      </c>
      <c r="W637" s="2" t="s">
        <v>74</v>
      </c>
      <c r="X637" s="2" t="s">
        <v>74</v>
      </c>
      <c r="Y637" s="2" t="s">
        <v>74</v>
      </c>
      <c r="Z637" s="2" t="s">
        <v>74</v>
      </c>
      <c r="AA637" s="2" t="s">
        <v>74</v>
      </c>
      <c r="AB637" s="2" t="s">
        <v>74</v>
      </c>
      <c r="AC637" s="2" t="s">
        <v>74</v>
      </c>
      <c r="AD637" s="2" t="s">
        <v>74</v>
      </c>
      <c r="AE637" s="2" t="s">
        <v>74</v>
      </c>
      <c r="AF637" s="2" t="s">
        <v>74</v>
      </c>
      <c r="AG637" s="2" t="s">
        <v>74</v>
      </c>
      <c r="AH637" s="2" t="s">
        <v>74</v>
      </c>
      <c r="AI637" s="2" t="s">
        <v>74</v>
      </c>
      <c r="AJ637" s="2" t="s">
        <v>74</v>
      </c>
      <c r="AK637" s="2" t="s">
        <v>74</v>
      </c>
      <c r="AL637" s="2" t="s">
        <v>74</v>
      </c>
      <c r="AM637" s="2" t="s">
        <v>74</v>
      </c>
      <c r="AN637" s="2" t="s">
        <v>74</v>
      </c>
      <c r="AO637" s="2" t="s">
        <v>614</v>
      </c>
      <c r="AP637" s="2" t="s">
        <v>74</v>
      </c>
      <c r="AQ637" s="2" t="s">
        <v>74</v>
      </c>
      <c r="AR637" s="2" t="s">
        <v>74</v>
      </c>
      <c r="AS637" s="2" t="s">
        <v>74</v>
      </c>
      <c r="AT637" s="2" t="s">
        <v>175</v>
      </c>
      <c r="AU637" s="2">
        <v>1995</v>
      </c>
      <c r="AV637" s="2">
        <v>101</v>
      </c>
      <c r="AW637" s="2">
        <v>2</v>
      </c>
      <c r="AX637" s="2" t="s">
        <v>74</v>
      </c>
      <c r="AY637" s="2" t="s">
        <v>74</v>
      </c>
      <c r="AZ637" s="2" t="s">
        <v>74</v>
      </c>
      <c r="BA637" s="2" t="s">
        <v>74</v>
      </c>
      <c r="BB637" s="2">
        <v>121</v>
      </c>
      <c r="BC637" s="2">
        <v>129</v>
      </c>
      <c r="BD637" s="2" t="s">
        <v>74</v>
      </c>
      <c r="BE637" s="2" t="s">
        <v>74</v>
      </c>
      <c r="BF637" s="2" t="s">
        <v>74</v>
      </c>
      <c r="BG637" s="2" t="s">
        <v>74</v>
      </c>
      <c r="BH637" s="2" t="s">
        <v>74</v>
      </c>
      <c r="BI637" s="2" t="s">
        <v>74</v>
      </c>
      <c r="BJ637" s="2" t="s">
        <v>74</v>
      </c>
      <c r="BK637" s="2" t="s">
        <v>74</v>
      </c>
      <c r="BL637" s="2" t="s">
        <v>74</v>
      </c>
      <c r="BM637" s="2" t="s">
        <v>74</v>
      </c>
      <c r="BN637" s="2" t="s">
        <v>74</v>
      </c>
      <c r="BO637" s="2" t="s">
        <v>74</v>
      </c>
      <c r="BP637" s="2" t="s">
        <v>74</v>
      </c>
      <c r="BQ637" s="2" t="s">
        <v>74</v>
      </c>
      <c r="BR637" s="2" t="s">
        <v>74</v>
      </c>
      <c r="BS637" s="2" t="s">
        <v>5990</v>
      </c>
      <c r="BT637" s="2" t="str">
        <f>HYPERLINK("https%3A%2F%2Fwww.webofscience.com%2Fwos%2Fwoscc%2Ffull-record%2FWOS:A1995RW16700004","View Full Record in Web of Science")</f>
        <v>View Full Record in Web of Science</v>
      </c>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row>
    <row r="638" spans="1:314" s="2" customFormat="1" x14ac:dyDescent="0.4">
      <c r="A638" s="2" t="s">
        <v>72</v>
      </c>
      <c r="B638" s="2" t="s">
        <v>6723</v>
      </c>
      <c r="C638" s="2" t="s">
        <v>74</v>
      </c>
      <c r="D638" s="2" t="s">
        <v>74</v>
      </c>
      <c r="E638" s="2" t="s">
        <v>74</v>
      </c>
      <c r="F638" s="2" t="s">
        <v>6724</v>
      </c>
      <c r="G638" s="2" t="s">
        <v>74</v>
      </c>
      <c r="H638" s="2" t="s">
        <v>74</v>
      </c>
      <c r="I638" s="2" t="s">
        <v>6725</v>
      </c>
      <c r="J638" s="2" t="s">
        <v>77</v>
      </c>
      <c r="K638" s="2" t="s">
        <v>74</v>
      </c>
      <c r="L638" s="2" t="s">
        <v>74</v>
      </c>
      <c r="M638" s="2" t="s">
        <v>74</v>
      </c>
      <c r="N638" s="2" t="s">
        <v>74</v>
      </c>
      <c r="O638" s="2" t="s">
        <v>74</v>
      </c>
      <c r="P638" s="2" t="s">
        <v>74</v>
      </c>
      <c r="Q638" s="2" t="s">
        <v>74</v>
      </c>
      <c r="R638" s="2" t="s">
        <v>74</v>
      </c>
      <c r="S638" s="2" t="s">
        <v>74</v>
      </c>
      <c r="T638" s="2" t="s">
        <v>74</v>
      </c>
      <c r="U638" s="2" t="s">
        <v>74</v>
      </c>
      <c r="V638" s="5" t="s">
        <v>6726</v>
      </c>
      <c r="W638" s="2" t="s">
        <v>74</v>
      </c>
      <c r="X638" s="2" t="s">
        <v>74</v>
      </c>
      <c r="Y638" s="2" t="s">
        <v>74</v>
      </c>
      <c r="Z638" s="2" t="s">
        <v>74</v>
      </c>
      <c r="AA638" s="2" t="s">
        <v>6727</v>
      </c>
      <c r="AB638" s="2" t="s">
        <v>6728</v>
      </c>
      <c r="AC638" s="2" t="s">
        <v>74</v>
      </c>
      <c r="AD638" s="2" t="s">
        <v>74</v>
      </c>
      <c r="AE638" s="2" t="s">
        <v>74</v>
      </c>
      <c r="AF638" s="2" t="s">
        <v>74</v>
      </c>
      <c r="AG638" s="2" t="s">
        <v>74</v>
      </c>
      <c r="AH638" s="2" t="s">
        <v>74</v>
      </c>
      <c r="AI638" s="2" t="s">
        <v>74</v>
      </c>
      <c r="AJ638" s="2" t="s">
        <v>74</v>
      </c>
      <c r="AK638" s="2" t="s">
        <v>74</v>
      </c>
      <c r="AL638" s="2" t="s">
        <v>74</v>
      </c>
      <c r="AM638" s="2" t="s">
        <v>74</v>
      </c>
      <c r="AN638" s="2" t="s">
        <v>74</v>
      </c>
      <c r="AO638" s="2" t="s">
        <v>81</v>
      </c>
      <c r="AP638" s="2" t="s">
        <v>82</v>
      </c>
      <c r="AQ638" s="2" t="s">
        <v>74</v>
      </c>
      <c r="AR638" s="2" t="s">
        <v>74</v>
      </c>
      <c r="AS638" s="2" t="s">
        <v>74</v>
      </c>
      <c r="AT638" s="2" t="s">
        <v>74</v>
      </c>
      <c r="AU638" s="2">
        <v>2010</v>
      </c>
      <c r="AV638" s="2">
        <v>147</v>
      </c>
      <c r="AW638" s="2">
        <v>1</v>
      </c>
      <c r="AX638" s="2" t="s">
        <v>74</v>
      </c>
      <c r="AY638" s="2" t="s">
        <v>74</v>
      </c>
      <c r="AZ638" s="2" t="s">
        <v>74</v>
      </c>
      <c r="BA638" s="2" t="s">
        <v>74</v>
      </c>
      <c r="BB638" s="2">
        <v>19</v>
      </c>
      <c r="BC638" s="2">
        <v>36</v>
      </c>
      <c r="BD638" s="2" t="s">
        <v>74</v>
      </c>
      <c r="BE638" s="2" t="s">
        <v>6729</v>
      </c>
      <c r="BF638" s="2" t="str">
        <f>HYPERLINK("http://dx.doi.org/10.1163/000579509X12483520922043","http://dx.doi.org/10.1163/000579509X12483520922043")</f>
        <v>http://dx.doi.org/10.1163/000579509X12483520922043</v>
      </c>
      <c r="BG638" s="2" t="s">
        <v>74</v>
      </c>
      <c r="BH638" s="2" t="s">
        <v>74</v>
      </c>
      <c r="BI638" s="2" t="s">
        <v>74</v>
      </c>
      <c r="BJ638" s="2" t="s">
        <v>74</v>
      </c>
      <c r="BK638" s="2" t="s">
        <v>74</v>
      </c>
      <c r="BL638" s="2" t="s">
        <v>74</v>
      </c>
      <c r="BM638" s="2" t="s">
        <v>74</v>
      </c>
      <c r="BN638" s="2" t="s">
        <v>74</v>
      </c>
      <c r="BO638" s="2" t="s">
        <v>74</v>
      </c>
      <c r="BP638" s="2" t="s">
        <v>74</v>
      </c>
      <c r="BQ638" s="2" t="s">
        <v>74</v>
      </c>
      <c r="BR638" s="2" t="s">
        <v>74</v>
      </c>
      <c r="BS638" s="2" t="s">
        <v>6730</v>
      </c>
      <c r="BT638" s="2" t="str">
        <f>HYPERLINK("https%3A%2F%2Fwww.webofscience.com%2Fwos%2Fwoscc%2Ffull-record%2FWOS:000275078900002","View Full Record in Web of Science")</f>
        <v>View Full Record in Web of Science</v>
      </c>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row>
    <row r="639" spans="1:314" s="2" customFormat="1" x14ac:dyDescent="0.4">
      <c r="A639" s="2" t="s">
        <v>72</v>
      </c>
      <c r="B639" s="2" t="s">
        <v>4493</v>
      </c>
      <c r="C639" s="2" t="s">
        <v>74</v>
      </c>
      <c r="D639" s="2" t="s">
        <v>74</v>
      </c>
      <c r="E639" s="2" t="s">
        <v>74</v>
      </c>
      <c r="F639" s="2" t="s">
        <v>4493</v>
      </c>
      <c r="G639" s="2" t="s">
        <v>74</v>
      </c>
      <c r="H639" s="2" t="s">
        <v>74</v>
      </c>
      <c r="I639" s="2" t="s">
        <v>4494</v>
      </c>
      <c r="J639" s="2" t="s">
        <v>2847</v>
      </c>
      <c r="K639" s="2" t="s">
        <v>74</v>
      </c>
      <c r="L639" s="2" t="s">
        <v>74</v>
      </c>
      <c r="M639" s="2" t="s">
        <v>74</v>
      </c>
      <c r="N639" s="2" t="s">
        <v>74</v>
      </c>
      <c r="O639" s="2" t="s">
        <v>74</v>
      </c>
      <c r="P639" s="2" t="s">
        <v>74</v>
      </c>
      <c r="Q639" s="2" t="s">
        <v>74</v>
      </c>
      <c r="R639" s="2" t="s">
        <v>74</v>
      </c>
      <c r="S639" s="2" t="s">
        <v>74</v>
      </c>
      <c r="T639" s="2" t="s">
        <v>74</v>
      </c>
      <c r="U639" s="2" t="s">
        <v>74</v>
      </c>
      <c r="V639" s="5" t="s">
        <v>4495</v>
      </c>
      <c r="W639" s="2" t="s">
        <v>74</v>
      </c>
      <c r="X639" s="2" t="s">
        <v>74</v>
      </c>
      <c r="Y639" s="2" t="s">
        <v>74</v>
      </c>
      <c r="Z639" s="2" t="s">
        <v>74</v>
      </c>
      <c r="AA639" s="2" t="s">
        <v>74</v>
      </c>
      <c r="AB639" s="2" t="s">
        <v>74</v>
      </c>
      <c r="AC639" s="2" t="s">
        <v>74</v>
      </c>
      <c r="AD639" s="2" t="s">
        <v>74</v>
      </c>
      <c r="AE639" s="2" t="s">
        <v>74</v>
      </c>
      <c r="AF639" s="2" t="s">
        <v>74</v>
      </c>
      <c r="AG639" s="2" t="s">
        <v>74</v>
      </c>
      <c r="AH639" s="2" t="s">
        <v>74</v>
      </c>
      <c r="AI639" s="2" t="s">
        <v>74</v>
      </c>
      <c r="AJ639" s="2" t="s">
        <v>74</v>
      </c>
      <c r="AK639" s="2" t="s">
        <v>74</v>
      </c>
      <c r="AL639" s="2" t="s">
        <v>74</v>
      </c>
      <c r="AM639" s="2" t="s">
        <v>74</v>
      </c>
      <c r="AN639" s="2" t="s">
        <v>74</v>
      </c>
      <c r="AO639" s="2" t="s">
        <v>2849</v>
      </c>
      <c r="AP639" s="2" t="s">
        <v>74</v>
      </c>
      <c r="AQ639" s="2" t="s">
        <v>74</v>
      </c>
      <c r="AR639" s="2" t="s">
        <v>74</v>
      </c>
      <c r="AS639" s="2" t="s">
        <v>74</v>
      </c>
      <c r="AT639" s="2" t="s">
        <v>4496</v>
      </c>
      <c r="AU639" s="2">
        <v>1995</v>
      </c>
      <c r="AV639" s="2">
        <v>186</v>
      </c>
      <c r="AW639" s="2">
        <v>1</v>
      </c>
      <c r="AX639" s="2" t="s">
        <v>74</v>
      </c>
      <c r="AY639" s="2" t="s">
        <v>74</v>
      </c>
      <c r="AZ639" s="2" t="s">
        <v>74</v>
      </c>
      <c r="BA639" s="2" t="s">
        <v>74</v>
      </c>
      <c r="BB639" s="2">
        <v>17</v>
      </c>
      <c r="BC639" s="2">
        <v>31</v>
      </c>
      <c r="BD639" s="2" t="s">
        <v>74</v>
      </c>
      <c r="BE639" s="2" t="s">
        <v>4497</v>
      </c>
      <c r="BF639" s="2" t="str">
        <f>HYPERLINK("http://dx.doi.org/10.1016/0022-0981(94)00147-6","http://dx.doi.org/10.1016/0022-0981(94)00147-6")</f>
        <v>http://dx.doi.org/10.1016/0022-0981(94)00147-6</v>
      </c>
      <c r="BG639" s="2" t="s">
        <v>74</v>
      </c>
      <c r="BH639" s="2" t="s">
        <v>74</v>
      </c>
      <c r="BI639" s="2" t="s">
        <v>74</v>
      </c>
      <c r="BJ639" s="2" t="s">
        <v>74</v>
      </c>
      <c r="BK639" s="2" t="s">
        <v>74</v>
      </c>
      <c r="BL639" s="2" t="s">
        <v>74</v>
      </c>
      <c r="BM639" s="2" t="s">
        <v>74</v>
      </c>
      <c r="BN639" s="2" t="s">
        <v>74</v>
      </c>
      <c r="BO639" s="2" t="s">
        <v>74</v>
      </c>
      <c r="BP639" s="2" t="s">
        <v>74</v>
      </c>
      <c r="BQ639" s="2" t="s">
        <v>74</v>
      </c>
      <c r="BR639" s="2" t="s">
        <v>74</v>
      </c>
      <c r="BS639" s="2" t="s">
        <v>4498</v>
      </c>
      <c r="BT639" s="2" t="str">
        <f>HYPERLINK("https%3A%2F%2Fwww.webofscience.com%2Fwos%2Fwoscc%2Ffull-record%2FWOS:A1995QN80300003","View Full Record in Web of Science")</f>
        <v>View Full Record in Web of Science</v>
      </c>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row>
    <row r="640" spans="1:314" s="2" customFormat="1" x14ac:dyDescent="0.4">
      <c r="A640" s="2" t="s">
        <v>72</v>
      </c>
      <c r="B640" s="2" t="s">
        <v>3674</v>
      </c>
      <c r="C640" s="2" t="s">
        <v>74</v>
      </c>
      <c r="D640" s="2" t="s">
        <v>74</v>
      </c>
      <c r="E640" s="2" t="s">
        <v>74</v>
      </c>
      <c r="F640" s="2" t="s">
        <v>3675</v>
      </c>
      <c r="G640" s="2" t="s">
        <v>74</v>
      </c>
      <c r="H640" s="2" t="s">
        <v>74</v>
      </c>
      <c r="I640" s="2" t="s">
        <v>3676</v>
      </c>
      <c r="J640" s="2" t="s">
        <v>1812</v>
      </c>
      <c r="K640" s="2" t="s">
        <v>74</v>
      </c>
      <c r="L640" s="2" t="s">
        <v>74</v>
      </c>
      <c r="M640" s="2" t="s">
        <v>74</v>
      </c>
      <c r="N640" s="2" t="s">
        <v>74</v>
      </c>
      <c r="O640" s="2" t="s">
        <v>74</v>
      </c>
      <c r="P640" s="2" t="s">
        <v>74</v>
      </c>
      <c r="Q640" s="2" t="s">
        <v>74</v>
      </c>
      <c r="R640" s="2" t="s">
        <v>74</v>
      </c>
      <c r="S640" s="2" t="s">
        <v>74</v>
      </c>
      <c r="T640" s="2" t="s">
        <v>74</v>
      </c>
      <c r="U640" s="2" t="s">
        <v>74</v>
      </c>
      <c r="V640" s="5" t="s">
        <v>3677</v>
      </c>
      <c r="W640" s="2" t="s">
        <v>74</v>
      </c>
      <c r="X640" s="2" t="s">
        <v>74</v>
      </c>
      <c r="Y640" s="2" t="s">
        <v>74</v>
      </c>
      <c r="Z640" s="2" t="s">
        <v>74</v>
      </c>
      <c r="AA640" s="2" t="s">
        <v>3678</v>
      </c>
      <c r="AB640" s="2" t="s">
        <v>3679</v>
      </c>
      <c r="AC640" s="2" t="s">
        <v>74</v>
      </c>
      <c r="AD640" s="2" t="s">
        <v>74</v>
      </c>
      <c r="AE640" s="2" t="s">
        <v>74</v>
      </c>
      <c r="AF640" s="2" t="s">
        <v>74</v>
      </c>
      <c r="AG640" s="2" t="s">
        <v>74</v>
      </c>
      <c r="AH640" s="2" t="s">
        <v>74</v>
      </c>
      <c r="AI640" s="2" t="s">
        <v>74</v>
      </c>
      <c r="AJ640" s="2" t="s">
        <v>74</v>
      </c>
      <c r="AK640" s="2" t="s">
        <v>74</v>
      </c>
      <c r="AL640" s="2" t="s">
        <v>74</v>
      </c>
      <c r="AM640" s="2" t="s">
        <v>74</v>
      </c>
      <c r="AN640" s="2" t="s">
        <v>74</v>
      </c>
      <c r="AO640" s="2" t="s">
        <v>1814</v>
      </c>
      <c r="AP640" s="2" t="s">
        <v>1815</v>
      </c>
      <c r="AQ640" s="2" t="s">
        <v>74</v>
      </c>
      <c r="AR640" s="2" t="s">
        <v>74</v>
      </c>
      <c r="AS640" s="2" t="s">
        <v>74</v>
      </c>
      <c r="AT640" s="2" t="s">
        <v>102</v>
      </c>
      <c r="AU640" s="2">
        <v>2010</v>
      </c>
      <c r="AV640" s="2">
        <v>44</v>
      </c>
      <c r="AW640" s="2">
        <v>2</v>
      </c>
      <c r="AX640" s="2" t="s">
        <v>74</v>
      </c>
      <c r="AY640" s="2" t="s">
        <v>74</v>
      </c>
      <c r="AZ640" s="2" t="s">
        <v>74</v>
      </c>
      <c r="BA640" s="2" t="s">
        <v>74</v>
      </c>
      <c r="BB640" s="2">
        <v>261</v>
      </c>
      <c r="BC640" s="2">
        <v>271</v>
      </c>
      <c r="BD640" s="2" t="s">
        <v>74</v>
      </c>
      <c r="BE640" s="2" t="s">
        <v>3680</v>
      </c>
      <c r="BF640" s="2" t="str">
        <f>HYPERLINK("http://dx.doi.org/10.1670/08-275.1","http://dx.doi.org/10.1670/08-275.1")</f>
        <v>http://dx.doi.org/10.1670/08-275.1</v>
      </c>
      <c r="BG640" s="2" t="s">
        <v>74</v>
      </c>
      <c r="BH640" s="2" t="s">
        <v>74</v>
      </c>
      <c r="BI640" s="2" t="s">
        <v>74</v>
      </c>
      <c r="BJ640" s="2" t="s">
        <v>74</v>
      </c>
      <c r="BK640" s="2" t="s">
        <v>74</v>
      </c>
      <c r="BL640" s="2" t="s">
        <v>74</v>
      </c>
      <c r="BM640" s="2" t="s">
        <v>74</v>
      </c>
      <c r="BN640" s="2" t="s">
        <v>74</v>
      </c>
      <c r="BO640" s="2" t="s">
        <v>74</v>
      </c>
      <c r="BP640" s="2" t="s">
        <v>74</v>
      </c>
      <c r="BQ640" s="2" t="s">
        <v>74</v>
      </c>
      <c r="BR640" s="2" t="s">
        <v>74</v>
      </c>
      <c r="BS640" s="2" t="s">
        <v>3681</v>
      </c>
      <c r="BT640" s="2" t="str">
        <f>HYPERLINK("https%3A%2F%2Fwww.webofscience.com%2Fwos%2Fwoscc%2Ffull-record%2FWOS:000278297700010","View Full Record in Web of Science")</f>
        <v>View Full Record in Web of Science</v>
      </c>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row>
    <row r="641" spans="1:314" s="2" customFormat="1" x14ac:dyDescent="0.4">
      <c r="A641" s="2" t="s">
        <v>72</v>
      </c>
      <c r="B641" s="2" t="s">
        <v>1886</v>
      </c>
      <c r="C641" s="2" t="s">
        <v>74</v>
      </c>
      <c r="D641" s="2" t="s">
        <v>74</v>
      </c>
      <c r="E641" s="2" t="s">
        <v>74</v>
      </c>
      <c r="F641" s="2" t="s">
        <v>1887</v>
      </c>
      <c r="G641" s="2" t="s">
        <v>74</v>
      </c>
      <c r="H641" s="2" t="s">
        <v>74</v>
      </c>
      <c r="I641" s="2" t="s">
        <v>1888</v>
      </c>
      <c r="J641" s="2" t="s">
        <v>129</v>
      </c>
      <c r="K641" s="2" t="s">
        <v>74</v>
      </c>
      <c r="L641" s="2" t="s">
        <v>74</v>
      </c>
      <c r="M641" s="2" t="s">
        <v>74</v>
      </c>
      <c r="N641" s="2" t="s">
        <v>74</v>
      </c>
      <c r="O641" s="2" t="s">
        <v>74</v>
      </c>
      <c r="P641" s="2" t="s">
        <v>74</v>
      </c>
      <c r="Q641" s="2" t="s">
        <v>74</v>
      </c>
      <c r="R641" s="2" t="s">
        <v>74</v>
      </c>
      <c r="S641" s="2" t="s">
        <v>74</v>
      </c>
      <c r="T641" s="2" t="s">
        <v>74</v>
      </c>
      <c r="U641" s="2" t="s">
        <v>74</v>
      </c>
      <c r="V641" s="5" t="s">
        <v>1889</v>
      </c>
      <c r="W641" s="2" t="s">
        <v>74</v>
      </c>
      <c r="X641" s="2" t="s">
        <v>74</v>
      </c>
      <c r="Y641" s="2" t="s">
        <v>74</v>
      </c>
      <c r="Z641" s="2" t="s">
        <v>74</v>
      </c>
      <c r="AA641" s="2" t="s">
        <v>74</v>
      </c>
      <c r="AB641" s="2" t="s">
        <v>74</v>
      </c>
      <c r="AC641" s="2" t="s">
        <v>74</v>
      </c>
      <c r="AD641" s="2" t="s">
        <v>74</v>
      </c>
      <c r="AE641" s="2" t="s">
        <v>74</v>
      </c>
      <c r="AF641" s="2" t="s">
        <v>74</v>
      </c>
      <c r="AG641" s="2" t="s">
        <v>74</v>
      </c>
      <c r="AH641" s="2" t="s">
        <v>74</v>
      </c>
      <c r="AI641" s="2" t="s">
        <v>74</v>
      </c>
      <c r="AJ641" s="2" t="s">
        <v>74</v>
      </c>
      <c r="AK641" s="2" t="s">
        <v>74</v>
      </c>
      <c r="AL641" s="2" t="s">
        <v>74</v>
      </c>
      <c r="AM641" s="2" t="s">
        <v>74</v>
      </c>
      <c r="AN641" s="2" t="s">
        <v>74</v>
      </c>
      <c r="AO641" s="2" t="s">
        <v>132</v>
      </c>
      <c r="AP641" s="2" t="s">
        <v>133</v>
      </c>
      <c r="AQ641" s="2" t="s">
        <v>74</v>
      </c>
      <c r="AR641" s="2" t="s">
        <v>74</v>
      </c>
      <c r="AS641" s="2" t="s">
        <v>74</v>
      </c>
      <c r="AT641" s="2" t="s">
        <v>964</v>
      </c>
      <c r="AU641" s="2">
        <v>2021</v>
      </c>
      <c r="AV641" s="2">
        <v>75</v>
      </c>
      <c r="AW641" s="2">
        <v>2</v>
      </c>
      <c r="AX641" s="2" t="s">
        <v>74</v>
      </c>
      <c r="AY641" s="2" t="s">
        <v>74</v>
      </c>
      <c r="AZ641" s="2" t="s">
        <v>74</v>
      </c>
      <c r="BA641" s="2" t="s">
        <v>74</v>
      </c>
      <c r="BB641" s="2" t="s">
        <v>74</v>
      </c>
      <c r="BC641" s="2" t="s">
        <v>74</v>
      </c>
      <c r="BD641" s="2">
        <v>40</v>
      </c>
      <c r="BE641" s="2" t="s">
        <v>1890</v>
      </c>
      <c r="BF641" s="2" t="str">
        <f>HYPERLINK("http://dx.doi.org/10.1007/s00265-021-02980-y","http://dx.doi.org/10.1007/s00265-021-02980-y")</f>
        <v>http://dx.doi.org/10.1007/s00265-021-02980-y</v>
      </c>
      <c r="BG641" s="2" t="s">
        <v>74</v>
      </c>
      <c r="BH641" s="2" t="s">
        <v>74</v>
      </c>
      <c r="BI641" s="2" t="s">
        <v>74</v>
      </c>
      <c r="BJ641" s="2" t="s">
        <v>74</v>
      </c>
      <c r="BK641" s="2" t="s">
        <v>74</v>
      </c>
      <c r="BL641" s="2" t="s">
        <v>74</v>
      </c>
      <c r="BM641" s="2" t="s">
        <v>74</v>
      </c>
      <c r="BN641" s="2" t="s">
        <v>74</v>
      </c>
      <c r="BO641" s="2" t="s">
        <v>74</v>
      </c>
      <c r="BP641" s="2" t="s">
        <v>74</v>
      </c>
      <c r="BQ641" s="2" t="s">
        <v>74</v>
      </c>
      <c r="BR641" s="2" t="s">
        <v>74</v>
      </c>
      <c r="BS641" s="2" t="s">
        <v>1891</v>
      </c>
      <c r="BT641" s="2" t="str">
        <f>HYPERLINK("https%3A%2F%2Fwww.webofscience.com%2Fwos%2Fwoscc%2Ffull-record%2FWOS:000613234900001","View Full Record in Web of Science")</f>
        <v>View Full Record in Web of Science</v>
      </c>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row>
    <row r="642" spans="1:314" s="2" customFormat="1" x14ac:dyDescent="0.4">
      <c r="A642" s="2" t="s">
        <v>72</v>
      </c>
      <c r="B642" s="2" t="s">
        <v>3016</v>
      </c>
      <c r="C642" s="2" t="s">
        <v>74</v>
      </c>
      <c r="D642" s="2" t="s">
        <v>74</v>
      </c>
      <c r="E642" s="2" t="s">
        <v>74</v>
      </c>
      <c r="F642" s="2" t="s">
        <v>3017</v>
      </c>
      <c r="G642" s="2" t="s">
        <v>74</v>
      </c>
      <c r="H642" s="2" t="s">
        <v>74</v>
      </c>
      <c r="I642" s="2" t="s">
        <v>3018</v>
      </c>
      <c r="J642" s="2" t="s">
        <v>201</v>
      </c>
      <c r="K642" s="2" t="s">
        <v>74</v>
      </c>
      <c r="L642" s="2" t="s">
        <v>74</v>
      </c>
      <c r="M642" s="2" t="s">
        <v>74</v>
      </c>
      <c r="N642" s="2" t="s">
        <v>74</v>
      </c>
      <c r="O642" s="2" t="s">
        <v>74</v>
      </c>
      <c r="P642" s="2" t="s">
        <v>74</v>
      </c>
      <c r="Q642" s="2" t="s">
        <v>74</v>
      </c>
      <c r="R642" s="2" t="s">
        <v>74</v>
      </c>
      <c r="S642" s="2" t="s">
        <v>74</v>
      </c>
      <c r="T642" s="2" t="s">
        <v>74</v>
      </c>
      <c r="U642" s="2" t="s">
        <v>74</v>
      </c>
      <c r="V642" s="5" t="s">
        <v>3019</v>
      </c>
      <c r="W642" s="2" t="s">
        <v>74</v>
      </c>
      <c r="X642" s="2" t="s">
        <v>74</v>
      </c>
      <c r="Y642" s="2" t="s">
        <v>74</v>
      </c>
      <c r="Z642" s="2" t="s">
        <v>74</v>
      </c>
      <c r="AA642" s="2" t="s">
        <v>74</v>
      </c>
      <c r="AB642" s="2" t="s">
        <v>74</v>
      </c>
      <c r="AC642" s="2" t="s">
        <v>74</v>
      </c>
      <c r="AD642" s="2" t="s">
        <v>74</v>
      </c>
      <c r="AE642" s="2" t="s">
        <v>74</v>
      </c>
      <c r="AF642" s="2" t="s">
        <v>74</v>
      </c>
      <c r="AG642" s="2" t="s">
        <v>74</v>
      </c>
      <c r="AH642" s="2" t="s">
        <v>74</v>
      </c>
      <c r="AI642" s="2" t="s">
        <v>74</v>
      </c>
      <c r="AJ642" s="2" t="s">
        <v>74</v>
      </c>
      <c r="AK642" s="2" t="s">
        <v>74</v>
      </c>
      <c r="AL642" s="2" t="s">
        <v>74</v>
      </c>
      <c r="AM642" s="2" t="s">
        <v>74</v>
      </c>
      <c r="AN642" s="2" t="s">
        <v>74</v>
      </c>
      <c r="AO642" s="2" t="s">
        <v>203</v>
      </c>
      <c r="AP642" s="2" t="s">
        <v>1192</v>
      </c>
      <c r="AQ642" s="2" t="s">
        <v>74</v>
      </c>
      <c r="AR642" s="2" t="s">
        <v>74</v>
      </c>
      <c r="AS642" s="2" t="s">
        <v>74</v>
      </c>
      <c r="AT642" s="2" t="s">
        <v>123</v>
      </c>
      <c r="AU642" s="2">
        <v>2020</v>
      </c>
      <c r="AV642" s="2">
        <v>96</v>
      </c>
      <c r="AW642" s="2">
        <v>3</v>
      </c>
      <c r="AX642" s="2" t="s">
        <v>74</v>
      </c>
      <c r="AY642" s="2" t="s">
        <v>74</v>
      </c>
      <c r="AZ642" s="2" t="s">
        <v>74</v>
      </c>
      <c r="BA642" s="2" t="s">
        <v>74</v>
      </c>
      <c r="BB642" s="2">
        <v>663</v>
      </c>
      <c r="BC642" s="2">
        <v>668</v>
      </c>
      <c r="BD642" s="2" t="s">
        <v>74</v>
      </c>
      <c r="BE642" s="2" t="s">
        <v>3020</v>
      </c>
      <c r="BF642" s="2" t="str">
        <f>HYPERLINK("http://dx.doi.org/10.1111/jfb.14257","http://dx.doi.org/10.1111/jfb.14257")</f>
        <v>http://dx.doi.org/10.1111/jfb.14257</v>
      </c>
      <c r="BG642" s="2" t="s">
        <v>74</v>
      </c>
      <c r="BH642" s="2" t="s">
        <v>3021</v>
      </c>
      <c r="BI642" s="2" t="s">
        <v>74</v>
      </c>
      <c r="BJ642" s="2" t="s">
        <v>74</v>
      </c>
      <c r="BK642" s="2" t="s">
        <v>74</v>
      </c>
      <c r="BL642" s="2" t="s">
        <v>74</v>
      </c>
      <c r="BM642" s="2" t="s">
        <v>74</v>
      </c>
      <c r="BN642" s="2">
        <v>31944298</v>
      </c>
      <c r="BO642" s="2" t="s">
        <v>74</v>
      </c>
      <c r="BP642" s="2" t="s">
        <v>74</v>
      </c>
      <c r="BQ642" s="2" t="s">
        <v>74</v>
      </c>
      <c r="BR642" s="2" t="s">
        <v>74</v>
      </c>
      <c r="BS642" s="2" t="s">
        <v>3022</v>
      </c>
      <c r="BT642" s="2" t="str">
        <f>HYPERLINK("https%3A%2F%2Fwww.webofscience.com%2Fwos%2Fwoscc%2Ffull-record%2FWOS:000509418500001","View Full Record in Web of Science")</f>
        <v>View Full Record in Web of Science</v>
      </c>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row>
    <row r="643" spans="1:314" s="2" customFormat="1" x14ac:dyDescent="0.4">
      <c r="A643" s="2" t="s">
        <v>72</v>
      </c>
      <c r="B643" s="2" t="s">
        <v>5660</v>
      </c>
      <c r="C643" s="2" t="s">
        <v>74</v>
      </c>
      <c r="D643" s="2" t="s">
        <v>74</v>
      </c>
      <c r="E643" s="2" t="s">
        <v>74</v>
      </c>
      <c r="F643" s="2" t="s">
        <v>5660</v>
      </c>
      <c r="G643" s="2" t="s">
        <v>74</v>
      </c>
      <c r="H643" s="2" t="s">
        <v>74</v>
      </c>
      <c r="I643" s="2" t="s">
        <v>5661</v>
      </c>
      <c r="J643" s="2" t="s">
        <v>530</v>
      </c>
      <c r="K643" s="2" t="s">
        <v>74</v>
      </c>
      <c r="L643" s="2" t="s">
        <v>74</v>
      </c>
      <c r="M643" s="2" t="s">
        <v>74</v>
      </c>
      <c r="N643" s="2" t="s">
        <v>74</v>
      </c>
      <c r="O643" s="2" t="s">
        <v>74</v>
      </c>
      <c r="P643" s="2" t="s">
        <v>74</v>
      </c>
      <c r="Q643" s="2" t="s">
        <v>74</v>
      </c>
      <c r="R643" s="2" t="s">
        <v>74</v>
      </c>
      <c r="S643" s="2" t="s">
        <v>74</v>
      </c>
      <c r="T643" s="2" t="s">
        <v>74</v>
      </c>
      <c r="U643" s="2" t="s">
        <v>74</v>
      </c>
      <c r="V643" s="5" t="s">
        <v>5662</v>
      </c>
      <c r="W643" s="2" t="s">
        <v>74</v>
      </c>
      <c r="X643" s="2" t="s">
        <v>74</v>
      </c>
      <c r="Y643" s="2" t="s">
        <v>74</v>
      </c>
      <c r="Z643" s="2" t="s">
        <v>74</v>
      </c>
      <c r="AA643" s="2" t="s">
        <v>5663</v>
      </c>
      <c r="AB643" s="2" t="s">
        <v>5664</v>
      </c>
      <c r="AC643" s="2" t="s">
        <v>74</v>
      </c>
      <c r="AD643" s="2" t="s">
        <v>74</v>
      </c>
      <c r="AE643" s="2" t="s">
        <v>74</v>
      </c>
      <c r="AF643" s="2" t="s">
        <v>74</v>
      </c>
      <c r="AG643" s="2" t="s">
        <v>74</v>
      </c>
      <c r="AH643" s="2" t="s">
        <v>74</v>
      </c>
      <c r="AI643" s="2" t="s">
        <v>74</v>
      </c>
      <c r="AJ643" s="2" t="s">
        <v>74</v>
      </c>
      <c r="AK643" s="2" t="s">
        <v>74</v>
      </c>
      <c r="AL643" s="2" t="s">
        <v>74</v>
      </c>
      <c r="AM643" s="2" t="s">
        <v>74</v>
      </c>
      <c r="AN643" s="2" t="s">
        <v>74</v>
      </c>
      <c r="AO643" s="2" t="s">
        <v>532</v>
      </c>
      <c r="AP643" s="2" t="s">
        <v>533</v>
      </c>
      <c r="AQ643" s="2" t="s">
        <v>74</v>
      </c>
      <c r="AR643" s="2" t="s">
        <v>74</v>
      </c>
      <c r="AS643" s="2" t="s">
        <v>74</v>
      </c>
      <c r="AT643" s="2" t="s">
        <v>305</v>
      </c>
      <c r="AU643" s="2">
        <v>2001</v>
      </c>
      <c r="AV643" s="2">
        <v>139</v>
      </c>
      <c r="AW643" s="2">
        <v>6</v>
      </c>
      <c r="AX643" s="2" t="s">
        <v>74</v>
      </c>
      <c r="AY643" s="2" t="s">
        <v>74</v>
      </c>
      <c r="AZ643" s="2" t="s">
        <v>74</v>
      </c>
      <c r="BA643" s="2" t="s">
        <v>74</v>
      </c>
      <c r="BB643" s="2">
        <v>1147</v>
      </c>
      <c r="BC643" s="2">
        <v>1154</v>
      </c>
      <c r="BD643" s="2" t="s">
        <v>74</v>
      </c>
      <c r="BE643" s="2" t="s">
        <v>74</v>
      </c>
      <c r="BF643" s="2" t="s">
        <v>74</v>
      </c>
      <c r="BG643" s="2" t="s">
        <v>74</v>
      </c>
      <c r="BH643" s="2" t="s">
        <v>74</v>
      </c>
      <c r="BI643" s="2" t="s">
        <v>74</v>
      </c>
      <c r="BJ643" s="2" t="s">
        <v>74</v>
      </c>
      <c r="BK643" s="2" t="s">
        <v>74</v>
      </c>
      <c r="BL643" s="2" t="s">
        <v>74</v>
      </c>
      <c r="BM643" s="2" t="s">
        <v>74</v>
      </c>
      <c r="BN643" s="2" t="s">
        <v>74</v>
      </c>
      <c r="BO643" s="2" t="s">
        <v>74</v>
      </c>
      <c r="BP643" s="2" t="s">
        <v>74</v>
      </c>
      <c r="BQ643" s="2" t="s">
        <v>74</v>
      </c>
      <c r="BR643" s="2" t="s">
        <v>74</v>
      </c>
      <c r="BS643" s="2" t="s">
        <v>5665</v>
      </c>
      <c r="BT643" s="2" t="str">
        <f>HYPERLINK("https%3A%2F%2Fwww.webofscience.com%2Fwos%2Fwoscc%2Ffull-record%2FWOS:000173168700014","View Full Record in Web of Science")</f>
        <v>View Full Record in Web of Science</v>
      </c>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row>
    <row r="644" spans="1:314" s="2" customFormat="1" x14ac:dyDescent="0.4">
      <c r="A644" s="2" t="s">
        <v>72</v>
      </c>
      <c r="B644" s="2" t="s">
        <v>2586</v>
      </c>
      <c r="C644" s="2" t="s">
        <v>74</v>
      </c>
      <c r="D644" s="2" t="s">
        <v>74</v>
      </c>
      <c r="E644" s="2" t="s">
        <v>74</v>
      </c>
      <c r="F644" s="2" t="s">
        <v>2587</v>
      </c>
      <c r="G644" s="2" t="s">
        <v>74</v>
      </c>
      <c r="H644" s="2" t="s">
        <v>74</v>
      </c>
      <c r="I644" s="2" t="s">
        <v>2588</v>
      </c>
      <c r="J644" s="2" t="s">
        <v>824</v>
      </c>
      <c r="K644" s="2" t="s">
        <v>74</v>
      </c>
      <c r="L644" s="2" t="s">
        <v>74</v>
      </c>
      <c r="M644" s="2" t="s">
        <v>74</v>
      </c>
      <c r="N644" s="2" t="s">
        <v>74</v>
      </c>
      <c r="O644" s="2" t="s">
        <v>74</v>
      </c>
      <c r="P644" s="2" t="s">
        <v>74</v>
      </c>
      <c r="Q644" s="2" t="s">
        <v>74</v>
      </c>
      <c r="R644" s="2" t="s">
        <v>74</v>
      </c>
      <c r="S644" s="2" t="s">
        <v>74</v>
      </c>
      <c r="T644" s="2" t="s">
        <v>74</v>
      </c>
      <c r="U644" s="2" t="s">
        <v>74</v>
      </c>
      <c r="V644" s="5" t="s">
        <v>2589</v>
      </c>
      <c r="W644" s="2" t="s">
        <v>74</v>
      </c>
      <c r="X644" s="2" t="s">
        <v>74</v>
      </c>
      <c r="Y644" s="2" t="s">
        <v>74</v>
      </c>
      <c r="Z644" s="2" t="s">
        <v>74</v>
      </c>
      <c r="AA644" s="2" t="s">
        <v>2590</v>
      </c>
      <c r="AB644" s="2" t="s">
        <v>2591</v>
      </c>
      <c r="AC644" s="2" t="s">
        <v>74</v>
      </c>
      <c r="AD644" s="2" t="s">
        <v>74</v>
      </c>
      <c r="AE644" s="2" t="s">
        <v>74</v>
      </c>
      <c r="AF644" s="2" t="s">
        <v>74</v>
      </c>
      <c r="AG644" s="2" t="s">
        <v>74</v>
      </c>
      <c r="AH644" s="2" t="s">
        <v>74</v>
      </c>
      <c r="AI644" s="2" t="s">
        <v>74</v>
      </c>
      <c r="AJ644" s="2" t="s">
        <v>74</v>
      </c>
      <c r="AK644" s="2" t="s">
        <v>74</v>
      </c>
      <c r="AL644" s="2" t="s">
        <v>74</v>
      </c>
      <c r="AM644" s="2" t="s">
        <v>74</v>
      </c>
      <c r="AN644" s="2" t="s">
        <v>74</v>
      </c>
      <c r="AO644" s="2" t="s">
        <v>828</v>
      </c>
      <c r="AP644" s="2" t="s">
        <v>829</v>
      </c>
      <c r="AQ644" s="2" t="s">
        <v>74</v>
      </c>
      <c r="AR644" s="2" t="s">
        <v>74</v>
      </c>
      <c r="AS644" s="2" t="s">
        <v>74</v>
      </c>
      <c r="AT644" s="2" t="s">
        <v>213</v>
      </c>
      <c r="AU644" s="2">
        <v>2014</v>
      </c>
      <c r="AV644" s="2">
        <v>83</v>
      </c>
      <c r="AW644" s="2">
        <v>6</v>
      </c>
      <c r="AX644" s="2" t="s">
        <v>74</v>
      </c>
      <c r="AY644" s="2" t="s">
        <v>74</v>
      </c>
      <c r="AZ644" s="2" t="s">
        <v>74</v>
      </c>
      <c r="BA644" s="2" t="s">
        <v>74</v>
      </c>
      <c r="BB644" s="2">
        <v>1490</v>
      </c>
      <c r="BC644" s="2">
        <v>1500</v>
      </c>
      <c r="BD644" s="2" t="s">
        <v>74</v>
      </c>
      <c r="BE644" s="2" t="s">
        <v>2592</v>
      </c>
      <c r="BF644" s="2" t="str">
        <f>HYPERLINK("http://dx.doi.org/10.1111/1365-2656.12252","http://dx.doi.org/10.1111/1365-2656.12252")</f>
        <v>http://dx.doi.org/10.1111/1365-2656.12252</v>
      </c>
      <c r="BG644" s="2" t="s">
        <v>74</v>
      </c>
      <c r="BH644" s="2" t="s">
        <v>74</v>
      </c>
      <c r="BI644" s="2" t="s">
        <v>74</v>
      </c>
      <c r="BJ644" s="2" t="s">
        <v>74</v>
      </c>
      <c r="BK644" s="2" t="s">
        <v>74</v>
      </c>
      <c r="BL644" s="2" t="s">
        <v>74</v>
      </c>
      <c r="BM644" s="2" t="s">
        <v>74</v>
      </c>
      <c r="BN644" s="2">
        <v>24889087</v>
      </c>
      <c r="BO644" s="2" t="s">
        <v>74</v>
      </c>
      <c r="BP644" s="2" t="s">
        <v>74</v>
      </c>
      <c r="BQ644" s="2" t="s">
        <v>74</v>
      </c>
      <c r="BR644" s="2" t="s">
        <v>74</v>
      </c>
      <c r="BS644" s="2" t="s">
        <v>2593</v>
      </c>
      <c r="BT644" s="2" t="str">
        <f>HYPERLINK("https%3A%2F%2Fwww.webofscience.com%2Fwos%2Fwoscc%2Ffull-record%2FWOS:000344339500025","View Full Record in Web of Science")</f>
        <v>View Full Record in Web of Science</v>
      </c>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row>
    <row r="645" spans="1:314" s="2" customFormat="1" x14ac:dyDescent="0.4">
      <c r="A645" s="2" t="s">
        <v>72</v>
      </c>
      <c r="B645" s="2" t="s">
        <v>5958</v>
      </c>
      <c r="C645" s="2" t="s">
        <v>74</v>
      </c>
      <c r="D645" s="2" t="s">
        <v>74</v>
      </c>
      <c r="E645" s="2" t="s">
        <v>74</v>
      </c>
      <c r="F645" s="2" t="s">
        <v>5959</v>
      </c>
      <c r="G645" s="2" t="s">
        <v>74</v>
      </c>
      <c r="H645" s="2" t="s">
        <v>74</v>
      </c>
      <c r="I645" s="2" t="s">
        <v>5960</v>
      </c>
      <c r="J645" s="2" t="s">
        <v>5961</v>
      </c>
      <c r="K645" s="2" t="s">
        <v>74</v>
      </c>
      <c r="L645" s="2" t="s">
        <v>74</v>
      </c>
      <c r="M645" s="2" t="s">
        <v>74</v>
      </c>
      <c r="N645" s="2" t="s">
        <v>74</v>
      </c>
      <c r="O645" s="2" t="s">
        <v>74</v>
      </c>
      <c r="P645" s="2" t="s">
        <v>74</v>
      </c>
      <c r="Q645" s="2" t="s">
        <v>74</v>
      </c>
      <c r="R645" s="2" t="s">
        <v>74</v>
      </c>
      <c r="S645" s="2" t="s">
        <v>74</v>
      </c>
      <c r="T645" s="2" t="s">
        <v>74</v>
      </c>
      <c r="U645" s="2" t="s">
        <v>74</v>
      </c>
      <c r="V645" s="5" t="s">
        <v>5962</v>
      </c>
      <c r="W645" s="2" t="s">
        <v>74</v>
      </c>
      <c r="X645" s="2" t="s">
        <v>74</v>
      </c>
      <c r="Y645" s="2" t="s">
        <v>74</v>
      </c>
      <c r="Z645" s="2" t="s">
        <v>74</v>
      </c>
      <c r="AA645" s="2" t="s">
        <v>5963</v>
      </c>
      <c r="AB645" s="2" t="s">
        <v>5964</v>
      </c>
      <c r="AC645" s="2" t="s">
        <v>74</v>
      </c>
      <c r="AD645" s="2" t="s">
        <v>74</v>
      </c>
      <c r="AE645" s="2" t="s">
        <v>74</v>
      </c>
      <c r="AF645" s="2" t="s">
        <v>74</v>
      </c>
      <c r="AG645" s="2" t="s">
        <v>74</v>
      </c>
      <c r="AH645" s="2" t="s">
        <v>74</v>
      </c>
      <c r="AI645" s="2" t="s">
        <v>74</v>
      </c>
      <c r="AJ645" s="2" t="s">
        <v>74</v>
      </c>
      <c r="AK645" s="2" t="s">
        <v>74</v>
      </c>
      <c r="AL645" s="2" t="s">
        <v>74</v>
      </c>
      <c r="AM645" s="2" t="s">
        <v>74</v>
      </c>
      <c r="AN645" s="2" t="s">
        <v>74</v>
      </c>
      <c r="AO645" s="2" t="s">
        <v>5965</v>
      </c>
      <c r="AP645" s="2" t="s">
        <v>5966</v>
      </c>
      <c r="AQ645" s="2" t="s">
        <v>74</v>
      </c>
      <c r="AR645" s="2" t="s">
        <v>74</v>
      </c>
      <c r="AS645" s="2" t="s">
        <v>74</v>
      </c>
      <c r="AT645" s="2" t="s">
        <v>175</v>
      </c>
      <c r="AU645" s="2">
        <v>2015</v>
      </c>
      <c r="AV645" s="2">
        <v>40</v>
      </c>
      <c r="AW645" s="2">
        <v>4</v>
      </c>
      <c r="AX645" s="2" t="s">
        <v>74</v>
      </c>
      <c r="AY645" s="2" t="s">
        <v>74</v>
      </c>
      <c r="AZ645" s="2" t="s">
        <v>74</v>
      </c>
      <c r="BA645" s="2" t="s">
        <v>74</v>
      </c>
      <c r="BB645" s="2">
        <v>881</v>
      </c>
      <c r="BC645" s="2">
        <v>890</v>
      </c>
      <c r="BD645" s="2" t="s">
        <v>74</v>
      </c>
      <c r="BE645" s="2" t="s">
        <v>5967</v>
      </c>
      <c r="BF645" s="2" t="str">
        <f>HYPERLINK("http://dx.doi.org/10.1111/syen.12137","http://dx.doi.org/10.1111/syen.12137")</f>
        <v>http://dx.doi.org/10.1111/syen.12137</v>
      </c>
      <c r="BG645" s="2" t="s">
        <v>74</v>
      </c>
      <c r="BH645" s="2" t="s">
        <v>74</v>
      </c>
      <c r="BI645" s="2" t="s">
        <v>74</v>
      </c>
      <c r="BJ645" s="2" t="s">
        <v>74</v>
      </c>
      <c r="BK645" s="2" t="s">
        <v>74</v>
      </c>
      <c r="BL645" s="2" t="s">
        <v>74</v>
      </c>
      <c r="BM645" s="2" t="s">
        <v>74</v>
      </c>
      <c r="BN645" s="2" t="s">
        <v>74</v>
      </c>
      <c r="BO645" s="2" t="s">
        <v>74</v>
      </c>
      <c r="BP645" s="2" t="s">
        <v>74</v>
      </c>
      <c r="BQ645" s="2" t="s">
        <v>74</v>
      </c>
      <c r="BR645" s="2" t="s">
        <v>74</v>
      </c>
      <c r="BS645" s="2" t="s">
        <v>5968</v>
      </c>
      <c r="BT645" s="2" t="str">
        <f>HYPERLINK("https%3A%2F%2Fwww.webofscience.com%2Fwos%2Fwoscc%2Ffull-record%2FWOS:000360760000010","View Full Record in Web of Science")</f>
        <v>View Full Record in Web of Science</v>
      </c>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row>
    <row r="646" spans="1:314" s="2" customFormat="1" x14ac:dyDescent="0.4">
      <c r="A646" s="2" t="s">
        <v>72</v>
      </c>
      <c r="B646" s="2" t="s">
        <v>6433</v>
      </c>
      <c r="C646" s="2" t="s">
        <v>74</v>
      </c>
      <c r="D646" s="2" t="s">
        <v>74</v>
      </c>
      <c r="E646" s="2" t="s">
        <v>74</v>
      </c>
      <c r="F646" s="2" t="s">
        <v>6434</v>
      </c>
      <c r="G646" s="2" t="s">
        <v>74</v>
      </c>
      <c r="H646" s="2" t="s">
        <v>74</v>
      </c>
      <c r="I646" s="2" t="s">
        <v>6435</v>
      </c>
      <c r="J646" s="2" t="s">
        <v>6436</v>
      </c>
      <c r="K646" s="2" t="s">
        <v>74</v>
      </c>
      <c r="L646" s="2" t="s">
        <v>74</v>
      </c>
      <c r="M646" s="2" t="s">
        <v>74</v>
      </c>
      <c r="N646" s="2" t="s">
        <v>74</v>
      </c>
      <c r="O646" s="2" t="s">
        <v>74</v>
      </c>
      <c r="P646" s="2" t="s">
        <v>74</v>
      </c>
      <c r="Q646" s="2" t="s">
        <v>74</v>
      </c>
      <c r="R646" s="2" t="s">
        <v>74</v>
      </c>
      <c r="S646" s="2" t="s">
        <v>74</v>
      </c>
      <c r="T646" s="2" t="s">
        <v>74</v>
      </c>
      <c r="U646" s="2" t="s">
        <v>74</v>
      </c>
      <c r="V646" s="5" t="s">
        <v>6437</v>
      </c>
      <c r="W646" s="2" t="s">
        <v>74</v>
      </c>
      <c r="X646" s="2" t="s">
        <v>74</v>
      </c>
      <c r="Y646" s="2" t="s">
        <v>74</v>
      </c>
      <c r="Z646" s="2" t="s">
        <v>74</v>
      </c>
      <c r="AA646" s="2" t="s">
        <v>6438</v>
      </c>
      <c r="AB646" s="2" t="s">
        <v>74</v>
      </c>
      <c r="AC646" s="2" t="s">
        <v>74</v>
      </c>
      <c r="AD646" s="2" t="s">
        <v>74</v>
      </c>
      <c r="AE646" s="2" t="s">
        <v>74</v>
      </c>
      <c r="AF646" s="2" t="s">
        <v>74</v>
      </c>
      <c r="AG646" s="2" t="s">
        <v>74</v>
      </c>
      <c r="AH646" s="2" t="s">
        <v>74</v>
      </c>
      <c r="AI646" s="2" t="s">
        <v>74</v>
      </c>
      <c r="AJ646" s="2" t="s">
        <v>74</v>
      </c>
      <c r="AK646" s="2" t="s">
        <v>74</v>
      </c>
      <c r="AL646" s="2" t="s">
        <v>74</v>
      </c>
      <c r="AM646" s="2" t="s">
        <v>74</v>
      </c>
      <c r="AN646" s="2" t="s">
        <v>74</v>
      </c>
      <c r="AO646" s="2" t="s">
        <v>6439</v>
      </c>
      <c r="AP646" s="2" t="s">
        <v>74</v>
      </c>
      <c r="AQ646" s="2" t="s">
        <v>74</v>
      </c>
      <c r="AR646" s="2" t="s">
        <v>74</v>
      </c>
      <c r="AS646" s="2" t="s">
        <v>74</v>
      </c>
      <c r="AT646" s="2" t="s">
        <v>4830</v>
      </c>
      <c r="AU646" s="2">
        <v>2007</v>
      </c>
      <c r="AV646" s="2">
        <v>20</v>
      </c>
      <c r="AW646" s="2">
        <v>1</v>
      </c>
      <c r="AX646" s="2" t="s">
        <v>74</v>
      </c>
      <c r="AY646" s="2" t="s">
        <v>74</v>
      </c>
      <c r="AZ646" s="2" t="s">
        <v>74</v>
      </c>
      <c r="BA646" s="2" t="s">
        <v>74</v>
      </c>
      <c r="BB646" s="2">
        <v>72</v>
      </c>
      <c r="BC646" s="2">
        <v>81</v>
      </c>
      <c r="BD646" s="2" t="s">
        <v>74</v>
      </c>
      <c r="BE646" s="2" t="s">
        <v>6440</v>
      </c>
      <c r="BF646" s="2" t="str">
        <f>HYPERLINK("http://dx.doi.org/10.1071/SB06010","http://dx.doi.org/10.1071/SB06010")</f>
        <v>http://dx.doi.org/10.1071/SB06010</v>
      </c>
      <c r="BG646" s="2" t="s">
        <v>74</v>
      </c>
      <c r="BH646" s="2" t="s">
        <v>74</v>
      </c>
      <c r="BI646" s="2" t="s">
        <v>74</v>
      </c>
      <c r="BJ646" s="2" t="s">
        <v>74</v>
      </c>
      <c r="BK646" s="2" t="s">
        <v>74</v>
      </c>
      <c r="BL646" s="2" t="s">
        <v>74</v>
      </c>
      <c r="BM646" s="2" t="s">
        <v>74</v>
      </c>
      <c r="BN646" s="2" t="s">
        <v>74</v>
      </c>
      <c r="BO646" s="2" t="s">
        <v>74</v>
      </c>
      <c r="BP646" s="2" t="s">
        <v>74</v>
      </c>
      <c r="BQ646" s="2" t="s">
        <v>74</v>
      </c>
      <c r="BR646" s="2" t="s">
        <v>74</v>
      </c>
      <c r="BS646" s="2" t="s">
        <v>6441</v>
      </c>
      <c r="BT646" s="2" t="str">
        <f>HYPERLINK("https%3A%2F%2Fwww.webofscience.com%2Fwos%2Fwoscc%2Ffull-record%2FWOS:000244420200005","View Full Record in Web of Science")</f>
        <v>View Full Record in Web of Science</v>
      </c>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row>
    <row r="647" spans="1:314" s="2" customFormat="1" x14ac:dyDescent="0.4">
      <c r="A647" s="2" t="s">
        <v>72</v>
      </c>
      <c r="B647" s="2" t="s">
        <v>6134</v>
      </c>
      <c r="C647" s="2" t="s">
        <v>74</v>
      </c>
      <c r="D647" s="2" t="s">
        <v>74</v>
      </c>
      <c r="E647" s="2" t="s">
        <v>74</v>
      </c>
      <c r="F647" s="2" t="s">
        <v>6135</v>
      </c>
      <c r="G647" s="2" t="s">
        <v>74</v>
      </c>
      <c r="H647" s="2" t="s">
        <v>74</v>
      </c>
      <c r="I647" s="2" t="s">
        <v>6136</v>
      </c>
      <c r="J647" s="2" t="s">
        <v>6137</v>
      </c>
      <c r="K647" s="2" t="s">
        <v>74</v>
      </c>
      <c r="L647" s="2" t="s">
        <v>74</v>
      </c>
      <c r="M647" s="2" t="s">
        <v>74</v>
      </c>
      <c r="N647" s="2" t="s">
        <v>74</v>
      </c>
      <c r="O647" s="2" t="s">
        <v>74</v>
      </c>
      <c r="P647" s="2" t="s">
        <v>74</v>
      </c>
      <c r="Q647" s="2" t="s">
        <v>74</v>
      </c>
      <c r="R647" s="2" t="s">
        <v>74</v>
      </c>
      <c r="S647" s="2" t="s">
        <v>74</v>
      </c>
      <c r="T647" s="2" t="s">
        <v>74</v>
      </c>
      <c r="U647" s="2" t="s">
        <v>74</v>
      </c>
      <c r="V647" s="5" t="s">
        <v>6138</v>
      </c>
      <c r="W647" s="2" t="s">
        <v>74</v>
      </c>
      <c r="X647" s="2" t="s">
        <v>74</v>
      </c>
      <c r="Y647" s="2" t="s">
        <v>74</v>
      </c>
      <c r="Z647" s="2" t="s">
        <v>74</v>
      </c>
      <c r="AA647" s="2" t="s">
        <v>6139</v>
      </c>
      <c r="AB647" s="2" t="s">
        <v>74</v>
      </c>
      <c r="AC647" s="2" t="s">
        <v>74</v>
      </c>
      <c r="AD647" s="2" t="s">
        <v>74</v>
      </c>
      <c r="AE647" s="2" t="s">
        <v>74</v>
      </c>
      <c r="AF647" s="2" t="s">
        <v>74</v>
      </c>
      <c r="AG647" s="2" t="s">
        <v>74</v>
      </c>
      <c r="AH647" s="2" t="s">
        <v>74</v>
      </c>
      <c r="AI647" s="2" t="s">
        <v>74</v>
      </c>
      <c r="AJ647" s="2" t="s">
        <v>74</v>
      </c>
      <c r="AK647" s="2" t="s">
        <v>74</v>
      </c>
      <c r="AL647" s="2" t="s">
        <v>74</v>
      </c>
      <c r="AM647" s="2" t="s">
        <v>74</v>
      </c>
      <c r="AN647" s="2" t="s">
        <v>74</v>
      </c>
      <c r="AO647" s="2" t="s">
        <v>6140</v>
      </c>
      <c r="AP647" s="2" t="s">
        <v>6141</v>
      </c>
      <c r="AQ647" s="2" t="s">
        <v>74</v>
      </c>
      <c r="AR647" s="2" t="s">
        <v>74</v>
      </c>
      <c r="AS647" s="2" t="s">
        <v>74</v>
      </c>
      <c r="AT647" s="2" t="s">
        <v>6142</v>
      </c>
      <c r="AU647" s="2">
        <v>2015</v>
      </c>
      <c r="AV647" s="2" t="s">
        <v>74</v>
      </c>
      <c r="AW647" s="2" t="s">
        <v>74</v>
      </c>
      <c r="AX647" s="2" t="s">
        <v>74</v>
      </c>
      <c r="AY647" s="2">
        <v>31</v>
      </c>
      <c r="AZ647" s="2" t="s">
        <v>74</v>
      </c>
      <c r="BA647" s="2" t="s">
        <v>74</v>
      </c>
      <c r="BB647" s="2">
        <v>75</v>
      </c>
      <c r="BC647" s="2">
        <v>95</v>
      </c>
      <c r="BD647" s="2" t="s">
        <v>74</v>
      </c>
      <c r="BE647" s="2" t="s">
        <v>74</v>
      </c>
      <c r="BF647" s="2" t="s">
        <v>74</v>
      </c>
      <c r="BG647" s="2" t="s">
        <v>74</v>
      </c>
      <c r="BH647" s="2" t="s">
        <v>74</v>
      </c>
      <c r="BI647" s="2" t="s">
        <v>74</v>
      </c>
      <c r="BJ647" s="2" t="s">
        <v>74</v>
      </c>
      <c r="BK647" s="2" t="s">
        <v>74</v>
      </c>
      <c r="BL647" s="2" t="s">
        <v>74</v>
      </c>
      <c r="BM647" s="2" t="s">
        <v>74</v>
      </c>
      <c r="BN647" s="2" t="s">
        <v>74</v>
      </c>
      <c r="BO647" s="2" t="s">
        <v>74</v>
      </c>
      <c r="BP647" s="2" t="s">
        <v>74</v>
      </c>
      <c r="BQ647" s="2" t="s">
        <v>74</v>
      </c>
      <c r="BR647" s="2" t="s">
        <v>74</v>
      </c>
      <c r="BS647" s="2" t="s">
        <v>6143</v>
      </c>
      <c r="BT647" s="2" t="str">
        <f>HYPERLINK("https%3A%2F%2Fwww.webofscience.com%2Fwos%2Fwoscc%2Ffull-record%2FWOS:000360400000009","View Full Record in Web of Science")</f>
        <v>View Full Record in Web of Science</v>
      </c>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row>
    <row r="648" spans="1:314" s="2" customFormat="1" x14ac:dyDescent="0.4">
      <c r="A648" s="2" t="s">
        <v>72</v>
      </c>
      <c r="B648" s="2" t="s">
        <v>238</v>
      </c>
      <c r="C648" s="2" t="s">
        <v>74</v>
      </c>
      <c r="D648" s="2" t="s">
        <v>74</v>
      </c>
      <c r="E648" s="2" t="s">
        <v>74</v>
      </c>
      <c r="F648" s="2" t="s">
        <v>239</v>
      </c>
      <c r="G648" s="2" t="s">
        <v>74</v>
      </c>
      <c r="H648" s="2" t="s">
        <v>74</v>
      </c>
      <c r="I648" s="2" t="s">
        <v>240</v>
      </c>
      <c r="J648" s="2" t="s">
        <v>241</v>
      </c>
      <c r="K648" s="2" t="s">
        <v>74</v>
      </c>
      <c r="L648" s="2" t="s">
        <v>74</v>
      </c>
      <c r="M648" s="2" t="s">
        <v>74</v>
      </c>
      <c r="N648" s="2" t="s">
        <v>74</v>
      </c>
      <c r="O648" s="2" t="s">
        <v>74</v>
      </c>
      <c r="P648" s="2" t="s">
        <v>74</v>
      </c>
      <c r="Q648" s="2" t="s">
        <v>74</v>
      </c>
      <c r="R648" s="2" t="s">
        <v>74</v>
      </c>
      <c r="S648" s="2" t="s">
        <v>74</v>
      </c>
      <c r="T648" s="2" t="s">
        <v>74</v>
      </c>
      <c r="U648" s="2" t="s">
        <v>74</v>
      </c>
      <c r="V648" s="5" t="s">
        <v>242</v>
      </c>
      <c r="W648" s="2" t="s">
        <v>74</v>
      </c>
      <c r="X648" s="2" t="s">
        <v>74</v>
      </c>
      <c r="Y648" s="2" t="s">
        <v>74</v>
      </c>
      <c r="Z648" s="2" t="s">
        <v>74</v>
      </c>
      <c r="AA648" s="2" t="s">
        <v>243</v>
      </c>
      <c r="AB648" s="2" t="s">
        <v>244</v>
      </c>
      <c r="AC648" s="2" t="s">
        <v>74</v>
      </c>
      <c r="AD648" s="2" t="s">
        <v>74</v>
      </c>
      <c r="AE648" s="2" t="s">
        <v>74</v>
      </c>
      <c r="AF648" s="2" t="s">
        <v>74</v>
      </c>
      <c r="AG648" s="2" t="s">
        <v>74</v>
      </c>
      <c r="AH648" s="2" t="s">
        <v>74</v>
      </c>
      <c r="AI648" s="2" t="s">
        <v>74</v>
      </c>
      <c r="AJ648" s="2" t="s">
        <v>74</v>
      </c>
      <c r="AK648" s="2" t="s">
        <v>74</v>
      </c>
      <c r="AL648" s="2" t="s">
        <v>74</v>
      </c>
      <c r="AM648" s="2" t="s">
        <v>74</v>
      </c>
      <c r="AN648" s="2" t="s">
        <v>74</v>
      </c>
      <c r="AO648" s="2" t="s">
        <v>245</v>
      </c>
      <c r="AP648" s="2" t="s">
        <v>246</v>
      </c>
      <c r="AQ648" s="2" t="s">
        <v>74</v>
      </c>
      <c r="AR648" s="2" t="s">
        <v>74</v>
      </c>
      <c r="AS648" s="2" t="s">
        <v>74</v>
      </c>
      <c r="AT648" s="2" t="s">
        <v>134</v>
      </c>
      <c r="AU648" s="2">
        <v>2014</v>
      </c>
      <c r="AV648" s="2">
        <v>175</v>
      </c>
      <c r="AW648" s="2">
        <v>1</v>
      </c>
      <c r="AX648" s="2" t="s">
        <v>74</v>
      </c>
      <c r="AY648" s="2" t="s">
        <v>74</v>
      </c>
      <c r="AZ648" s="2" t="s">
        <v>74</v>
      </c>
      <c r="BA648" s="2" t="s">
        <v>74</v>
      </c>
      <c r="BB648" s="2">
        <v>85</v>
      </c>
      <c r="BC648" s="2">
        <v>93</v>
      </c>
      <c r="BD648" s="2" t="s">
        <v>74</v>
      </c>
      <c r="BE648" s="2" t="s">
        <v>247</v>
      </c>
      <c r="BF648" s="2" t="str">
        <f>HYPERLINK("http://dx.doi.org/10.1007/s00442-013-2879-1","http://dx.doi.org/10.1007/s00442-013-2879-1")</f>
        <v>http://dx.doi.org/10.1007/s00442-013-2879-1</v>
      </c>
      <c r="BG648" s="2" t="s">
        <v>74</v>
      </c>
      <c r="BH648" s="2" t="s">
        <v>74</v>
      </c>
      <c r="BI648" s="2" t="s">
        <v>74</v>
      </c>
      <c r="BJ648" s="2" t="s">
        <v>74</v>
      </c>
      <c r="BK648" s="2" t="s">
        <v>74</v>
      </c>
      <c r="BL648" s="2" t="s">
        <v>74</v>
      </c>
      <c r="BM648" s="2" t="s">
        <v>74</v>
      </c>
      <c r="BN648" s="2">
        <v>24414236</v>
      </c>
      <c r="BO648" s="2" t="s">
        <v>74</v>
      </c>
      <c r="BP648" s="2" t="s">
        <v>74</v>
      </c>
      <c r="BQ648" s="2" t="s">
        <v>74</v>
      </c>
      <c r="BR648" s="2" t="s">
        <v>74</v>
      </c>
      <c r="BS648" s="2" t="s">
        <v>248</v>
      </c>
      <c r="BT648" s="2" t="str">
        <f>HYPERLINK("https%3A%2F%2Fwww.webofscience.com%2Fwos%2Fwoscc%2Ffull-record%2FWOS:000334691600008","View Full Record in Web of Science")</f>
        <v>View Full Record in Web of Science</v>
      </c>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row>
    <row r="649" spans="1:314" s="2" customFormat="1" x14ac:dyDescent="0.4">
      <c r="A649" s="2" t="s">
        <v>72</v>
      </c>
      <c r="B649" s="2" t="s">
        <v>238</v>
      </c>
      <c r="C649" s="2" t="s">
        <v>74</v>
      </c>
      <c r="D649" s="2" t="s">
        <v>74</v>
      </c>
      <c r="E649" s="2" t="s">
        <v>74</v>
      </c>
      <c r="F649" s="2" t="s">
        <v>239</v>
      </c>
      <c r="G649" s="2" t="s">
        <v>74</v>
      </c>
      <c r="H649" s="2" t="s">
        <v>74</v>
      </c>
      <c r="I649" s="2" t="s">
        <v>1149</v>
      </c>
      <c r="J649" s="2" t="s">
        <v>333</v>
      </c>
      <c r="K649" s="2" t="s">
        <v>74</v>
      </c>
      <c r="L649" s="2" t="s">
        <v>74</v>
      </c>
      <c r="M649" s="2" t="s">
        <v>74</v>
      </c>
      <c r="N649" s="2" t="s">
        <v>74</v>
      </c>
      <c r="O649" s="2" t="s">
        <v>74</v>
      </c>
      <c r="P649" s="2" t="s">
        <v>74</v>
      </c>
      <c r="Q649" s="2" t="s">
        <v>74</v>
      </c>
      <c r="R649" s="2" t="s">
        <v>74</v>
      </c>
      <c r="S649" s="2" t="s">
        <v>74</v>
      </c>
      <c r="T649" s="2" t="s">
        <v>74</v>
      </c>
      <c r="U649" s="2" t="s">
        <v>74</v>
      </c>
      <c r="V649" s="5" t="s">
        <v>1150</v>
      </c>
      <c r="W649" s="2" t="s">
        <v>74</v>
      </c>
      <c r="X649" s="2" t="s">
        <v>74</v>
      </c>
      <c r="Y649" s="2" t="s">
        <v>74</v>
      </c>
      <c r="Z649" s="2" t="s">
        <v>74</v>
      </c>
      <c r="AA649" s="2" t="s">
        <v>243</v>
      </c>
      <c r="AB649" s="2" t="s">
        <v>244</v>
      </c>
      <c r="AC649" s="2" t="s">
        <v>74</v>
      </c>
      <c r="AD649" s="2" t="s">
        <v>74</v>
      </c>
      <c r="AE649" s="2" t="s">
        <v>74</v>
      </c>
      <c r="AF649" s="2" t="s">
        <v>74</v>
      </c>
      <c r="AG649" s="2" t="s">
        <v>74</v>
      </c>
      <c r="AH649" s="2" t="s">
        <v>74</v>
      </c>
      <c r="AI649" s="2" t="s">
        <v>74</v>
      </c>
      <c r="AJ649" s="2" t="s">
        <v>74</v>
      </c>
      <c r="AK649" s="2" t="s">
        <v>74</v>
      </c>
      <c r="AL649" s="2" t="s">
        <v>74</v>
      </c>
      <c r="AM649" s="2" t="s">
        <v>74</v>
      </c>
      <c r="AN649" s="2" t="s">
        <v>74</v>
      </c>
      <c r="AO649" s="2" t="s">
        <v>337</v>
      </c>
      <c r="AP649" s="2" t="s">
        <v>338</v>
      </c>
      <c r="AQ649" s="2" t="s">
        <v>74</v>
      </c>
      <c r="AR649" s="2" t="s">
        <v>74</v>
      </c>
      <c r="AS649" s="2" t="s">
        <v>74</v>
      </c>
      <c r="AT649" s="2" t="s">
        <v>808</v>
      </c>
      <c r="AU649" s="2">
        <v>2017</v>
      </c>
      <c r="AV649" s="2">
        <v>28</v>
      </c>
      <c r="AW649" s="2">
        <v>3</v>
      </c>
      <c r="AX649" s="2" t="s">
        <v>74</v>
      </c>
      <c r="AY649" s="2" t="s">
        <v>74</v>
      </c>
      <c r="AZ649" s="2" t="s">
        <v>74</v>
      </c>
      <c r="BA649" s="2" t="s">
        <v>74</v>
      </c>
      <c r="BB649" s="2">
        <v>925</v>
      </c>
      <c r="BC649" s="2">
        <v>933</v>
      </c>
      <c r="BD649" s="2" t="s">
        <v>74</v>
      </c>
      <c r="BE649" s="2" t="s">
        <v>1151</v>
      </c>
      <c r="BF649" s="2" t="str">
        <f>HYPERLINK("http://dx.doi.org/10.1093/beheco/arx052","http://dx.doi.org/10.1093/beheco/arx052")</f>
        <v>http://dx.doi.org/10.1093/beheco/arx052</v>
      </c>
      <c r="BG649" s="2" t="s">
        <v>74</v>
      </c>
      <c r="BH649" s="2" t="s">
        <v>74</v>
      </c>
      <c r="BI649" s="2" t="s">
        <v>74</v>
      </c>
      <c r="BJ649" s="2" t="s">
        <v>74</v>
      </c>
      <c r="BK649" s="2" t="s">
        <v>74</v>
      </c>
      <c r="BL649" s="2" t="s">
        <v>74</v>
      </c>
      <c r="BM649" s="2" t="s">
        <v>74</v>
      </c>
      <c r="BN649" s="2" t="s">
        <v>74</v>
      </c>
      <c r="BO649" s="2" t="s">
        <v>74</v>
      </c>
      <c r="BP649" s="2" t="s">
        <v>74</v>
      </c>
      <c r="BQ649" s="2" t="s">
        <v>74</v>
      </c>
      <c r="BR649" s="2" t="s">
        <v>74</v>
      </c>
      <c r="BS649" s="2" t="s">
        <v>1152</v>
      </c>
      <c r="BT649" s="2" t="str">
        <f>HYPERLINK("https%3A%2F%2Fwww.webofscience.com%2Fwos%2Fwoscc%2Ffull-record%2FWOS:000401942800043","View Full Record in Web of Science")</f>
        <v>View Full Record in Web of Science</v>
      </c>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row>
    <row r="650" spans="1:314" s="2" customFormat="1" x14ac:dyDescent="0.4">
      <c r="A650" s="2" t="s">
        <v>72</v>
      </c>
      <c r="B650" s="2" t="s">
        <v>417</v>
      </c>
      <c r="C650" s="2" t="s">
        <v>74</v>
      </c>
      <c r="D650" s="2" t="s">
        <v>74</v>
      </c>
      <c r="E650" s="2" t="s">
        <v>74</v>
      </c>
      <c r="F650" s="2" t="s">
        <v>418</v>
      </c>
      <c r="G650" s="2" t="s">
        <v>74</v>
      </c>
      <c r="H650" s="2" t="s">
        <v>74</v>
      </c>
      <c r="I650" s="2" t="s">
        <v>419</v>
      </c>
      <c r="J650" s="2" t="s">
        <v>420</v>
      </c>
      <c r="K650" s="2" t="s">
        <v>74</v>
      </c>
      <c r="L650" s="2" t="s">
        <v>74</v>
      </c>
      <c r="M650" s="2" t="s">
        <v>74</v>
      </c>
      <c r="N650" s="2" t="s">
        <v>74</v>
      </c>
      <c r="O650" s="2" t="s">
        <v>74</v>
      </c>
      <c r="P650" s="2" t="s">
        <v>74</v>
      </c>
      <c r="Q650" s="2" t="s">
        <v>74</v>
      </c>
      <c r="R650" s="2" t="s">
        <v>74</v>
      </c>
      <c r="S650" s="2" t="s">
        <v>74</v>
      </c>
      <c r="T650" s="2" t="s">
        <v>74</v>
      </c>
      <c r="U650" s="2" t="s">
        <v>74</v>
      </c>
      <c r="V650" s="5" t="s">
        <v>421</v>
      </c>
      <c r="W650" s="2" t="s">
        <v>74</v>
      </c>
      <c r="X650" s="2" t="s">
        <v>74</v>
      </c>
      <c r="Y650" s="2" t="s">
        <v>74</v>
      </c>
      <c r="Z650" s="2" t="s">
        <v>74</v>
      </c>
      <c r="AA650" s="2" t="s">
        <v>422</v>
      </c>
      <c r="AB650" s="2" t="s">
        <v>423</v>
      </c>
      <c r="AC650" s="2" t="s">
        <v>74</v>
      </c>
      <c r="AD650" s="2" t="s">
        <v>74</v>
      </c>
      <c r="AE650" s="2" t="s">
        <v>74</v>
      </c>
      <c r="AF650" s="2" t="s">
        <v>74</v>
      </c>
      <c r="AG650" s="2" t="s">
        <v>74</v>
      </c>
      <c r="AH650" s="2" t="s">
        <v>74</v>
      </c>
      <c r="AI650" s="2" t="s">
        <v>74</v>
      </c>
      <c r="AJ650" s="2" t="s">
        <v>74</v>
      </c>
      <c r="AK650" s="2" t="s">
        <v>74</v>
      </c>
      <c r="AL650" s="2" t="s">
        <v>74</v>
      </c>
      <c r="AM650" s="2" t="s">
        <v>74</v>
      </c>
      <c r="AN650" s="2" t="s">
        <v>74</v>
      </c>
      <c r="AO650" s="2" t="s">
        <v>424</v>
      </c>
      <c r="AP650" s="2" t="s">
        <v>74</v>
      </c>
      <c r="AQ650" s="2" t="s">
        <v>74</v>
      </c>
      <c r="AR650" s="2" t="s">
        <v>74</v>
      </c>
      <c r="AS650" s="2" t="s">
        <v>74</v>
      </c>
      <c r="AT650" s="2" t="s">
        <v>425</v>
      </c>
      <c r="AU650" s="2">
        <v>2016</v>
      </c>
      <c r="AV650" s="2">
        <v>16</v>
      </c>
      <c r="AW650" s="2" t="s">
        <v>74</v>
      </c>
      <c r="AX650" s="2" t="s">
        <v>74</v>
      </c>
      <c r="AY650" s="2" t="s">
        <v>74</v>
      </c>
      <c r="AZ650" s="2" t="s">
        <v>74</v>
      </c>
      <c r="BA650" s="2" t="s">
        <v>74</v>
      </c>
      <c r="BB650" s="2" t="s">
        <v>74</v>
      </c>
      <c r="BC650" s="2" t="s">
        <v>74</v>
      </c>
      <c r="BD650" s="2">
        <v>3</v>
      </c>
      <c r="BE650" s="2" t="s">
        <v>426</v>
      </c>
      <c r="BF650" s="2" t="str">
        <f>HYPERLINK("http://dx.doi.org/10.1186/s12862-015-0569-9","http://dx.doi.org/10.1186/s12862-015-0569-9")</f>
        <v>http://dx.doi.org/10.1186/s12862-015-0569-9</v>
      </c>
      <c r="BG650" s="2" t="s">
        <v>74</v>
      </c>
      <c r="BH650" s="2" t="s">
        <v>74</v>
      </c>
      <c r="BI650" s="2" t="s">
        <v>74</v>
      </c>
      <c r="BJ650" s="2" t="s">
        <v>74</v>
      </c>
      <c r="BK650" s="2" t="s">
        <v>74</v>
      </c>
      <c r="BL650" s="2" t="s">
        <v>74</v>
      </c>
      <c r="BM650" s="2" t="s">
        <v>74</v>
      </c>
      <c r="BN650" s="2">
        <v>26729482</v>
      </c>
      <c r="BO650" s="2" t="s">
        <v>74</v>
      </c>
      <c r="BP650" s="2" t="s">
        <v>74</v>
      </c>
      <c r="BQ650" s="2" t="s">
        <v>74</v>
      </c>
      <c r="BR650" s="2" t="s">
        <v>74</v>
      </c>
      <c r="BS650" s="2" t="s">
        <v>427</v>
      </c>
      <c r="BT650" s="2" t="str">
        <f>HYPERLINK("https%3A%2F%2Fwww.webofscience.com%2Fwos%2Fwoscc%2Ffull-record%2FWOS:000367430900003","View Full Record in Web of Science")</f>
        <v>View Full Record in Web of Science</v>
      </c>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row>
    <row r="651" spans="1:314" s="2" customFormat="1" x14ac:dyDescent="0.4">
      <c r="A651" s="2" t="s">
        <v>72</v>
      </c>
      <c r="B651" s="2" t="s">
        <v>1221</v>
      </c>
      <c r="C651" s="2" t="s">
        <v>74</v>
      </c>
      <c r="D651" s="2" t="s">
        <v>74</v>
      </c>
      <c r="E651" s="2" t="s">
        <v>74</v>
      </c>
      <c r="F651" s="2" t="s">
        <v>1222</v>
      </c>
      <c r="G651" s="2" t="s">
        <v>74</v>
      </c>
      <c r="H651" s="2" t="s">
        <v>74</v>
      </c>
      <c r="I651" s="2" t="s">
        <v>1223</v>
      </c>
      <c r="J651" s="2" t="s">
        <v>312</v>
      </c>
      <c r="K651" s="2" t="s">
        <v>74</v>
      </c>
      <c r="L651" s="2" t="s">
        <v>74</v>
      </c>
      <c r="M651" s="2" t="s">
        <v>74</v>
      </c>
      <c r="N651" s="2" t="s">
        <v>74</v>
      </c>
      <c r="O651" s="2" t="s">
        <v>74</v>
      </c>
      <c r="P651" s="2" t="s">
        <v>74</v>
      </c>
      <c r="Q651" s="2" t="s">
        <v>74</v>
      </c>
      <c r="R651" s="2" t="s">
        <v>74</v>
      </c>
      <c r="S651" s="2" t="s">
        <v>74</v>
      </c>
      <c r="T651" s="2" t="s">
        <v>74</v>
      </c>
      <c r="U651" s="2" t="s">
        <v>74</v>
      </c>
      <c r="V651" s="5" t="s">
        <v>1224</v>
      </c>
      <c r="W651" s="2" t="s">
        <v>74</v>
      </c>
      <c r="X651" s="2" t="s">
        <v>74</v>
      </c>
      <c r="Y651" s="2" t="s">
        <v>74</v>
      </c>
      <c r="Z651" s="2" t="s">
        <v>74</v>
      </c>
      <c r="AA651" s="2" t="s">
        <v>1225</v>
      </c>
      <c r="AB651" s="2" t="s">
        <v>1226</v>
      </c>
      <c r="AC651" s="2" t="s">
        <v>74</v>
      </c>
      <c r="AD651" s="2" t="s">
        <v>74</v>
      </c>
      <c r="AE651" s="2" t="s">
        <v>74</v>
      </c>
      <c r="AF651" s="2" t="s">
        <v>74</v>
      </c>
      <c r="AG651" s="2" t="s">
        <v>74</v>
      </c>
      <c r="AH651" s="2" t="s">
        <v>74</v>
      </c>
      <c r="AI651" s="2" t="s">
        <v>74</v>
      </c>
      <c r="AJ651" s="2" t="s">
        <v>74</v>
      </c>
      <c r="AK651" s="2" t="s">
        <v>74</v>
      </c>
      <c r="AL651" s="2" t="s">
        <v>74</v>
      </c>
      <c r="AM651" s="2" t="s">
        <v>74</v>
      </c>
      <c r="AN651" s="2" t="s">
        <v>74</v>
      </c>
      <c r="AO651" s="2" t="s">
        <v>314</v>
      </c>
      <c r="AP651" s="2" t="s">
        <v>315</v>
      </c>
      <c r="AQ651" s="2" t="s">
        <v>74</v>
      </c>
      <c r="AR651" s="2" t="s">
        <v>74</v>
      </c>
      <c r="AS651" s="2" t="s">
        <v>74</v>
      </c>
      <c r="AT651" s="2" t="s">
        <v>175</v>
      </c>
      <c r="AU651" s="2">
        <v>2015</v>
      </c>
      <c r="AV651" s="2">
        <v>186</v>
      </c>
      <c r="AW651" s="2">
        <v>4</v>
      </c>
      <c r="AX651" s="2" t="s">
        <v>74</v>
      </c>
      <c r="AY651" s="2" t="s">
        <v>74</v>
      </c>
      <c r="AZ651" s="2" t="s">
        <v>74</v>
      </c>
      <c r="BA651" s="2" t="s">
        <v>74</v>
      </c>
      <c r="BB651" s="2">
        <v>547</v>
      </c>
      <c r="BC651" s="2">
        <v>552</v>
      </c>
      <c r="BD651" s="2" t="s">
        <v>74</v>
      </c>
      <c r="BE651" s="2" t="s">
        <v>1227</v>
      </c>
      <c r="BF651" s="2" t="str">
        <f>HYPERLINK("http://dx.doi.org/10.1086/682711","http://dx.doi.org/10.1086/682711")</f>
        <v>http://dx.doi.org/10.1086/682711</v>
      </c>
      <c r="BG651" s="2" t="s">
        <v>74</v>
      </c>
      <c r="BH651" s="2" t="s">
        <v>74</v>
      </c>
      <c r="BI651" s="2" t="s">
        <v>74</v>
      </c>
      <c r="BJ651" s="2" t="s">
        <v>74</v>
      </c>
      <c r="BK651" s="2" t="s">
        <v>74</v>
      </c>
      <c r="BL651" s="2" t="s">
        <v>74</v>
      </c>
      <c r="BM651" s="2" t="s">
        <v>74</v>
      </c>
      <c r="BN651" s="2">
        <v>26655577</v>
      </c>
      <c r="BO651" s="2" t="s">
        <v>74</v>
      </c>
      <c r="BP651" s="2" t="s">
        <v>74</v>
      </c>
      <c r="BQ651" s="2" t="s">
        <v>74</v>
      </c>
      <c r="BR651" s="2" t="s">
        <v>74</v>
      </c>
      <c r="BS651" s="2" t="s">
        <v>1228</v>
      </c>
      <c r="BT651" s="2" t="str">
        <f>HYPERLINK("https%3A%2F%2Fwww.webofscience.com%2Fwos%2Fwoscc%2Ffull-record%2FWOS:000362840100013","View Full Record in Web of Science")</f>
        <v>View Full Record in Web of Science</v>
      </c>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row>
    <row r="652" spans="1:314" s="2" customFormat="1" x14ac:dyDescent="0.4">
      <c r="A652" s="2" t="s">
        <v>72</v>
      </c>
      <c r="B652" s="2" t="s">
        <v>159</v>
      </c>
      <c r="C652" s="2" t="s">
        <v>74</v>
      </c>
      <c r="D652" s="2" t="s">
        <v>74</v>
      </c>
      <c r="E652" s="2" t="s">
        <v>74</v>
      </c>
      <c r="F652" s="2" t="s">
        <v>160</v>
      </c>
      <c r="G652" s="2" t="s">
        <v>74</v>
      </c>
      <c r="H652" s="2" t="s">
        <v>74</v>
      </c>
      <c r="I652" s="2" t="s">
        <v>161</v>
      </c>
      <c r="J652" s="2" t="s">
        <v>108</v>
      </c>
      <c r="K652" s="2" t="s">
        <v>74</v>
      </c>
      <c r="L652" s="2" t="s">
        <v>74</v>
      </c>
      <c r="M652" s="2" t="s">
        <v>74</v>
      </c>
      <c r="N652" s="2" t="s">
        <v>74</v>
      </c>
      <c r="O652" s="2" t="s">
        <v>74</v>
      </c>
      <c r="P652" s="2" t="s">
        <v>74</v>
      </c>
      <c r="Q652" s="2" t="s">
        <v>74</v>
      </c>
      <c r="R652" s="2" t="s">
        <v>74</v>
      </c>
      <c r="S652" s="2" t="s">
        <v>74</v>
      </c>
      <c r="T652" s="2" t="s">
        <v>74</v>
      </c>
      <c r="U652" s="2" t="s">
        <v>74</v>
      </c>
      <c r="V652" s="5" t="s">
        <v>162</v>
      </c>
      <c r="W652" s="2" t="s">
        <v>74</v>
      </c>
      <c r="X652" s="2" t="s">
        <v>74</v>
      </c>
      <c r="Y652" s="2" t="s">
        <v>74</v>
      </c>
      <c r="Z652" s="2" t="s">
        <v>74</v>
      </c>
      <c r="AA652" s="2" t="s">
        <v>163</v>
      </c>
      <c r="AB652" s="2" t="s">
        <v>164</v>
      </c>
      <c r="AC652" s="2" t="s">
        <v>74</v>
      </c>
      <c r="AD652" s="2" t="s">
        <v>74</v>
      </c>
      <c r="AE652" s="2" t="s">
        <v>74</v>
      </c>
      <c r="AF652" s="2" t="s">
        <v>74</v>
      </c>
      <c r="AG652" s="2" t="s">
        <v>74</v>
      </c>
      <c r="AH652" s="2" t="s">
        <v>74</v>
      </c>
      <c r="AI652" s="2" t="s">
        <v>74</v>
      </c>
      <c r="AJ652" s="2" t="s">
        <v>74</v>
      </c>
      <c r="AK652" s="2" t="s">
        <v>74</v>
      </c>
      <c r="AL652" s="2" t="s">
        <v>74</v>
      </c>
      <c r="AM652" s="2" t="s">
        <v>74</v>
      </c>
      <c r="AN652" s="2" t="s">
        <v>74</v>
      </c>
      <c r="AO652" s="2" t="s">
        <v>111</v>
      </c>
      <c r="AP652" s="2" t="s">
        <v>112</v>
      </c>
      <c r="AQ652" s="2" t="s">
        <v>74</v>
      </c>
      <c r="AR652" s="2" t="s">
        <v>74</v>
      </c>
      <c r="AS652" s="2" t="s">
        <v>74</v>
      </c>
      <c r="AT652" s="2" t="s">
        <v>165</v>
      </c>
      <c r="AU652" s="2">
        <v>2015</v>
      </c>
      <c r="AV652" s="2">
        <v>282</v>
      </c>
      <c r="AW652" s="2">
        <v>1815</v>
      </c>
      <c r="AX652" s="2" t="s">
        <v>74</v>
      </c>
      <c r="AY652" s="2" t="s">
        <v>74</v>
      </c>
      <c r="AZ652" s="2" t="s">
        <v>74</v>
      </c>
      <c r="BA652" s="2" t="s">
        <v>74</v>
      </c>
      <c r="BB652" s="2" t="s">
        <v>74</v>
      </c>
      <c r="BC652" s="2" t="s">
        <v>74</v>
      </c>
      <c r="BD652" s="2">
        <v>20151551</v>
      </c>
      <c r="BE652" s="2" t="s">
        <v>166</v>
      </c>
      <c r="BF652" s="2" t="str">
        <f>HYPERLINK("http://dx.doi.org/10.1098/rspb.2015.1551","http://dx.doi.org/10.1098/rspb.2015.1551")</f>
        <v>http://dx.doi.org/10.1098/rspb.2015.1551</v>
      </c>
      <c r="BG652" s="2" t="s">
        <v>74</v>
      </c>
      <c r="BH652" s="2" t="s">
        <v>74</v>
      </c>
      <c r="BI652" s="2" t="s">
        <v>74</v>
      </c>
      <c r="BJ652" s="2" t="s">
        <v>74</v>
      </c>
      <c r="BK652" s="2" t="s">
        <v>74</v>
      </c>
      <c r="BL652" s="2" t="s">
        <v>74</v>
      </c>
      <c r="BM652" s="2" t="s">
        <v>74</v>
      </c>
      <c r="BN652" s="2">
        <v>26378216</v>
      </c>
      <c r="BO652" s="2" t="s">
        <v>74</v>
      </c>
      <c r="BP652" s="2" t="s">
        <v>74</v>
      </c>
      <c r="BQ652" s="2" t="s">
        <v>74</v>
      </c>
      <c r="BR652" s="2" t="s">
        <v>74</v>
      </c>
      <c r="BS652" s="2" t="s">
        <v>167</v>
      </c>
      <c r="BT652" s="2" t="str">
        <f>HYPERLINK("https%3A%2F%2Fwww.webofscience.com%2Fwos%2Fwoscc%2Ffull-record%2FWOS:000363357100008","View Full Record in Web of Science")</f>
        <v>View Full Record in Web of Science</v>
      </c>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row>
    <row r="653" spans="1:314" s="2" customFormat="1" x14ac:dyDescent="0.4">
      <c r="A653" s="2" t="s">
        <v>72</v>
      </c>
      <c r="B653" s="2" t="s">
        <v>4006</v>
      </c>
      <c r="C653" s="2" t="s">
        <v>74</v>
      </c>
      <c r="D653" s="2" t="s">
        <v>74</v>
      </c>
      <c r="E653" s="2" t="s">
        <v>74</v>
      </c>
      <c r="F653" s="2" t="s">
        <v>4007</v>
      </c>
      <c r="G653" s="2" t="s">
        <v>74</v>
      </c>
      <c r="H653" s="2" t="s">
        <v>74</v>
      </c>
      <c r="I653" s="2" t="s">
        <v>4008</v>
      </c>
      <c r="J653" s="2" t="s">
        <v>140</v>
      </c>
      <c r="K653" s="2" t="s">
        <v>74</v>
      </c>
      <c r="L653" s="2" t="s">
        <v>74</v>
      </c>
      <c r="M653" s="2" t="s">
        <v>74</v>
      </c>
      <c r="N653" s="2" t="s">
        <v>74</v>
      </c>
      <c r="O653" s="2" t="s">
        <v>74</v>
      </c>
      <c r="P653" s="2" t="s">
        <v>74</v>
      </c>
      <c r="Q653" s="2" t="s">
        <v>74</v>
      </c>
      <c r="R653" s="2" t="s">
        <v>74</v>
      </c>
      <c r="S653" s="2" t="s">
        <v>74</v>
      </c>
      <c r="T653" s="2" t="s">
        <v>74</v>
      </c>
      <c r="U653" s="2" t="s">
        <v>74</v>
      </c>
      <c r="V653" s="5" t="s">
        <v>4009</v>
      </c>
      <c r="W653" s="2" t="s">
        <v>74</v>
      </c>
      <c r="X653" s="2" t="s">
        <v>74</v>
      </c>
      <c r="Y653" s="2" t="s">
        <v>74</v>
      </c>
      <c r="Z653" s="2" t="s">
        <v>74</v>
      </c>
      <c r="AA653" s="2" t="s">
        <v>4010</v>
      </c>
      <c r="AB653" s="2" t="s">
        <v>4011</v>
      </c>
      <c r="AC653" s="2" t="s">
        <v>74</v>
      </c>
      <c r="AD653" s="2" t="s">
        <v>74</v>
      </c>
      <c r="AE653" s="2" t="s">
        <v>74</v>
      </c>
      <c r="AF653" s="2" t="s">
        <v>74</v>
      </c>
      <c r="AG653" s="2" t="s">
        <v>74</v>
      </c>
      <c r="AH653" s="2" t="s">
        <v>74</v>
      </c>
      <c r="AI653" s="2" t="s">
        <v>74</v>
      </c>
      <c r="AJ653" s="2" t="s">
        <v>74</v>
      </c>
      <c r="AK653" s="2" t="s">
        <v>74</v>
      </c>
      <c r="AL653" s="2" t="s">
        <v>74</v>
      </c>
      <c r="AM653" s="2" t="s">
        <v>74</v>
      </c>
      <c r="AN653" s="2" t="s">
        <v>74</v>
      </c>
      <c r="AO653" s="2" t="s">
        <v>143</v>
      </c>
      <c r="AP653" s="2" t="s">
        <v>144</v>
      </c>
      <c r="AQ653" s="2" t="s">
        <v>74</v>
      </c>
      <c r="AR653" s="2" t="s">
        <v>74</v>
      </c>
      <c r="AS653" s="2" t="s">
        <v>74</v>
      </c>
      <c r="AT653" s="2" t="s">
        <v>123</v>
      </c>
      <c r="AU653" s="2">
        <v>2018</v>
      </c>
      <c r="AV653" s="2">
        <v>137</v>
      </c>
      <c r="AW653" s="2" t="s">
        <v>74</v>
      </c>
      <c r="AX653" s="2" t="s">
        <v>74</v>
      </c>
      <c r="AY653" s="2" t="s">
        <v>74</v>
      </c>
      <c r="AZ653" s="2" t="s">
        <v>74</v>
      </c>
      <c r="BA653" s="2" t="s">
        <v>74</v>
      </c>
      <c r="BB653" s="2">
        <v>141</v>
      </c>
      <c r="BC653" s="2">
        <v>148</v>
      </c>
      <c r="BD653" s="2" t="s">
        <v>74</v>
      </c>
      <c r="BE653" s="2" t="s">
        <v>4012</v>
      </c>
      <c r="BF653" s="2" t="str">
        <f>HYPERLINK("http://dx.doi.org/10.1016/j.anbehav.2018.01.012","http://dx.doi.org/10.1016/j.anbehav.2018.01.012")</f>
        <v>http://dx.doi.org/10.1016/j.anbehav.2018.01.012</v>
      </c>
      <c r="BG653" s="2" t="s">
        <v>74</v>
      </c>
      <c r="BH653" s="2" t="s">
        <v>74</v>
      </c>
      <c r="BI653" s="2" t="s">
        <v>74</v>
      </c>
      <c r="BJ653" s="2" t="s">
        <v>74</v>
      </c>
      <c r="BK653" s="2" t="s">
        <v>74</v>
      </c>
      <c r="BL653" s="2" t="s">
        <v>74</v>
      </c>
      <c r="BM653" s="2" t="s">
        <v>74</v>
      </c>
      <c r="BN653" s="2" t="s">
        <v>74</v>
      </c>
      <c r="BO653" s="2" t="s">
        <v>74</v>
      </c>
      <c r="BP653" s="2" t="s">
        <v>74</v>
      </c>
      <c r="BQ653" s="2" t="s">
        <v>74</v>
      </c>
      <c r="BR653" s="2" t="s">
        <v>74</v>
      </c>
      <c r="BS653" s="2" t="s">
        <v>4013</v>
      </c>
      <c r="BT653" s="2" t="str">
        <f>HYPERLINK("https%3A%2F%2Fwww.webofscience.com%2Fwos%2Fwoscc%2Ffull-record%2FWOS:000427436600015","View Full Record in Web of Science")</f>
        <v>View Full Record in Web of Science</v>
      </c>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row>
    <row r="654" spans="1:314" s="2" customFormat="1" x14ac:dyDescent="0.4">
      <c r="A654" s="2" t="s">
        <v>72</v>
      </c>
      <c r="B654" s="2" t="s">
        <v>8042</v>
      </c>
      <c r="C654" s="2" t="s">
        <v>74</v>
      </c>
      <c r="D654" s="2" t="s">
        <v>74</v>
      </c>
      <c r="E654" s="2" t="s">
        <v>74</v>
      </c>
      <c r="F654" s="2" t="s">
        <v>8043</v>
      </c>
      <c r="G654" s="2" t="s">
        <v>74</v>
      </c>
      <c r="H654" s="2" t="s">
        <v>74</v>
      </c>
      <c r="I654" s="2" t="s">
        <v>8044</v>
      </c>
      <c r="J654" s="2" t="s">
        <v>129</v>
      </c>
      <c r="K654" s="2" t="s">
        <v>74</v>
      </c>
      <c r="L654" s="2" t="s">
        <v>74</v>
      </c>
      <c r="M654" s="2" t="s">
        <v>74</v>
      </c>
      <c r="N654" s="2" t="s">
        <v>74</v>
      </c>
      <c r="O654" s="2" t="s">
        <v>74</v>
      </c>
      <c r="P654" s="2" t="s">
        <v>74</v>
      </c>
      <c r="Q654" s="2" t="s">
        <v>74</v>
      </c>
      <c r="R654" s="2" t="s">
        <v>74</v>
      </c>
      <c r="S654" s="2" t="s">
        <v>74</v>
      </c>
      <c r="T654" s="2" t="s">
        <v>74</v>
      </c>
      <c r="U654" s="2" t="s">
        <v>74</v>
      </c>
      <c r="V654" s="5" t="s">
        <v>8045</v>
      </c>
      <c r="W654" s="2" t="s">
        <v>74</v>
      </c>
      <c r="X654" s="2" t="s">
        <v>74</v>
      </c>
      <c r="Y654" s="2" t="s">
        <v>74</v>
      </c>
      <c r="Z654" s="2" t="s">
        <v>74</v>
      </c>
      <c r="AA654" s="2" t="s">
        <v>8046</v>
      </c>
      <c r="AB654" s="2" t="s">
        <v>8047</v>
      </c>
      <c r="AC654" s="2" t="s">
        <v>74</v>
      </c>
      <c r="AD654" s="2" t="s">
        <v>74</v>
      </c>
      <c r="AE654" s="2" t="s">
        <v>74</v>
      </c>
      <c r="AF654" s="2" t="s">
        <v>74</v>
      </c>
      <c r="AG654" s="2" t="s">
        <v>74</v>
      </c>
      <c r="AH654" s="2" t="s">
        <v>74</v>
      </c>
      <c r="AI654" s="2" t="s">
        <v>74</v>
      </c>
      <c r="AJ654" s="2" t="s">
        <v>74</v>
      </c>
      <c r="AK654" s="2" t="s">
        <v>74</v>
      </c>
      <c r="AL654" s="2" t="s">
        <v>74</v>
      </c>
      <c r="AM654" s="2" t="s">
        <v>74</v>
      </c>
      <c r="AN654" s="2" t="s">
        <v>74</v>
      </c>
      <c r="AO654" s="2" t="s">
        <v>132</v>
      </c>
      <c r="AP654" s="2" t="s">
        <v>133</v>
      </c>
      <c r="AQ654" s="2" t="s">
        <v>74</v>
      </c>
      <c r="AR654" s="2" t="s">
        <v>74</v>
      </c>
      <c r="AS654" s="2" t="s">
        <v>74</v>
      </c>
      <c r="AT654" s="2" t="s">
        <v>213</v>
      </c>
      <c r="AU654" s="2">
        <v>2013</v>
      </c>
      <c r="AV654" s="2">
        <v>67</v>
      </c>
      <c r="AW654" s="2">
        <v>11</v>
      </c>
      <c r="AX654" s="2" t="s">
        <v>74</v>
      </c>
      <c r="AY654" s="2" t="s">
        <v>74</v>
      </c>
      <c r="AZ654" s="2" t="s">
        <v>74</v>
      </c>
      <c r="BA654" s="2" t="s">
        <v>74</v>
      </c>
      <c r="BB654" s="2">
        <v>1817</v>
      </c>
      <c r="BC654" s="2">
        <v>1824</v>
      </c>
      <c r="BD654" s="2" t="s">
        <v>74</v>
      </c>
      <c r="BE654" s="2" t="s">
        <v>8048</v>
      </c>
      <c r="BF654" s="2" t="str">
        <f>HYPERLINK("http://dx.doi.org/10.1007/s00265-013-1591-9","http://dx.doi.org/10.1007/s00265-013-1591-9")</f>
        <v>http://dx.doi.org/10.1007/s00265-013-1591-9</v>
      </c>
      <c r="BG654" s="2" t="s">
        <v>74</v>
      </c>
      <c r="BH654" s="2" t="s">
        <v>74</v>
      </c>
      <c r="BI654" s="2" t="s">
        <v>74</v>
      </c>
      <c r="BJ654" s="2" t="s">
        <v>74</v>
      </c>
      <c r="BK654" s="2" t="s">
        <v>74</v>
      </c>
      <c r="BL654" s="2" t="s">
        <v>74</v>
      </c>
      <c r="BM654" s="2" t="s">
        <v>74</v>
      </c>
      <c r="BN654" s="2" t="s">
        <v>74</v>
      </c>
      <c r="BO654" s="2" t="s">
        <v>74</v>
      </c>
      <c r="BP654" s="2" t="s">
        <v>74</v>
      </c>
      <c r="BQ654" s="2" t="s">
        <v>74</v>
      </c>
      <c r="BR654" s="2" t="s">
        <v>74</v>
      </c>
      <c r="BS654" s="2" t="s">
        <v>8049</v>
      </c>
      <c r="BT654" s="2" t="str">
        <f>HYPERLINK("https%3A%2F%2Fwww.webofscience.com%2Fwos%2Fwoscc%2Ffull-record%2FWOS:000325765800010","View Full Record in Web of Science")</f>
        <v>View Full Record in Web of Science</v>
      </c>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row>
    <row r="655" spans="1:314" s="2" customFormat="1" x14ac:dyDescent="0.4">
      <c r="A655" s="2" t="s">
        <v>72</v>
      </c>
      <c r="B655" s="2" t="s">
        <v>6451</v>
      </c>
      <c r="C655" s="2" t="s">
        <v>74</v>
      </c>
      <c r="D655" s="2" t="s">
        <v>74</v>
      </c>
      <c r="E655" s="2" t="s">
        <v>74</v>
      </c>
      <c r="F655" s="2" t="s">
        <v>6452</v>
      </c>
      <c r="G655" s="2" t="s">
        <v>74</v>
      </c>
      <c r="H655" s="2" t="s">
        <v>74</v>
      </c>
      <c r="I655" s="2" t="s">
        <v>6453</v>
      </c>
      <c r="J655" s="2" t="s">
        <v>6454</v>
      </c>
      <c r="K655" s="2" t="s">
        <v>74</v>
      </c>
      <c r="L655" s="2" t="s">
        <v>74</v>
      </c>
      <c r="M655" s="2" t="s">
        <v>74</v>
      </c>
      <c r="N655" s="2" t="s">
        <v>74</v>
      </c>
      <c r="O655" s="2" t="s">
        <v>74</v>
      </c>
      <c r="P655" s="2" t="s">
        <v>74</v>
      </c>
      <c r="Q655" s="2" t="s">
        <v>74</v>
      </c>
      <c r="R655" s="2" t="s">
        <v>74</v>
      </c>
      <c r="S655" s="2" t="s">
        <v>74</v>
      </c>
      <c r="T655" s="2" t="s">
        <v>74</v>
      </c>
      <c r="U655" s="2" t="s">
        <v>74</v>
      </c>
      <c r="V655" s="5" t="s">
        <v>6455</v>
      </c>
      <c r="W655" s="2" t="s">
        <v>74</v>
      </c>
      <c r="X655" s="2" t="s">
        <v>74</v>
      </c>
      <c r="Y655" s="2" t="s">
        <v>74</v>
      </c>
      <c r="Z655" s="2" t="s">
        <v>74</v>
      </c>
      <c r="AA655" s="2" t="s">
        <v>6456</v>
      </c>
      <c r="AB655" s="2" t="s">
        <v>6457</v>
      </c>
      <c r="AC655" s="2" t="s">
        <v>74</v>
      </c>
      <c r="AD655" s="2" t="s">
        <v>74</v>
      </c>
      <c r="AE655" s="2" t="s">
        <v>74</v>
      </c>
      <c r="AF655" s="2" t="s">
        <v>74</v>
      </c>
      <c r="AG655" s="2" t="s">
        <v>74</v>
      </c>
      <c r="AH655" s="2" t="s">
        <v>74</v>
      </c>
      <c r="AI655" s="2" t="s">
        <v>74</v>
      </c>
      <c r="AJ655" s="2" t="s">
        <v>74</v>
      </c>
      <c r="AK655" s="2" t="s">
        <v>74</v>
      </c>
      <c r="AL655" s="2" t="s">
        <v>74</v>
      </c>
      <c r="AM655" s="2" t="s">
        <v>74</v>
      </c>
      <c r="AN655" s="2" t="s">
        <v>74</v>
      </c>
      <c r="AO655" s="2" t="s">
        <v>6458</v>
      </c>
      <c r="AP655" s="2" t="s">
        <v>6459</v>
      </c>
      <c r="AQ655" s="2" t="s">
        <v>74</v>
      </c>
      <c r="AR655" s="2" t="s">
        <v>74</v>
      </c>
      <c r="AS655" s="2" t="s">
        <v>74</v>
      </c>
      <c r="AT655" s="2" t="s">
        <v>74</v>
      </c>
      <c r="AU655" s="2">
        <v>2020</v>
      </c>
      <c r="AV655" s="2">
        <v>72</v>
      </c>
      <c r="AW655" s="2">
        <v>1</v>
      </c>
      <c r="AX655" s="2" t="s">
        <v>74</v>
      </c>
      <c r="AY655" s="2" t="s">
        <v>74</v>
      </c>
      <c r="AZ655" s="2" t="s">
        <v>74</v>
      </c>
      <c r="BA655" s="2" t="s">
        <v>74</v>
      </c>
      <c r="BB655" s="2">
        <v>45</v>
      </c>
      <c r="BC655" s="2">
        <v>52</v>
      </c>
      <c r="BD655" s="2" t="s">
        <v>74</v>
      </c>
      <c r="BE655" s="2" t="s">
        <v>6460</v>
      </c>
      <c r="BF655" s="2" t="str">
        <f>HYPERLINK("http://dx.doi.org/10.2298/ABS190823065L","http://dx.doi.org/10.2298/ABS190823065L")</f>
        <v>http://dx.doi.org/10.2298/ABS190823065L</v>
      </c>
      <c r="BG655" s="2" t="s">
        <v>74</v>
      </c>
      <c r="BH655" s="2" t="s">
        <v>74</v>
      </c>
      <c r="BI655" s="2" t="s">
        <v>74</v>
      </c>
      <c r="BJ655" s="2" t="s">
        <v>74</v>
      </c>
      <c r="BK655" s="2" t="s">
        <v>74</v>
      </c>
      <c r="BL655" s="2" t="s">
        <v>74</v>
      </c>
      <c r="BM655" s="2" t="s">
        <v>74</v>
      </c>
      <c r="BN655" s="2" t="s">
        <v>74</v>
      </c>
      <c r="BO655" s="2" t="s">
        <v>74</v>
      </c>
      <c r="BP655" s="2" t="s">
        <v>74</v>
      </c>
      <c r="BQ655" s="2" t="s">
        <v>74</v>
      </c>
      <c r="BR655" s="2" t="s">
        <v>74</v>
      </c>
      <c r="BS655" s="2" t="s">
        <v>6461</v>
      </c>
      <c r="BT655" s="2" t="str">
        <f>HYPERLINK("https%3A%2F%2Fwww.webofscience.com%2Fwos%2Fwoscc%2Ffull-record%2FWOS:000524505000006","View Full Record in Web of Science")</f>
        <v>View Full Record in Web of Science</v>
      </c>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row>
    <row r="656" spans="1:314" s="2" customFormat="1" x14ac:dyDescent="0.4">
      <c r="A656" s="2" t="s">
        <v>72</v>
      </c>
      <c r="B656" s="2" t="s">
        <v>8629</v>
      </c>
      <c r="C656" s="2" t="s">
        <v>74</v>
      </c>
      <c r="D656" s="2" t="s">
        <v>74</v>
      </c>
      <c r="E656" s="2" t="s">
        <v>74</v>
      </c>
      <c r="F656" s="2" t="s">
        <v>8630</v>
      </c>
      <c r="G656" s="2" t="s">
        <v>74</v>
      </c>
      <c r="H656" s="2" t="s">
        <v>74</v>
      </c>
      <c r="I656" s="2" t="s">
        <v>8631</v>
      </c>
      <c r="J656" s="2" t="s">
        <v>842</v>
      </c>
      <c r="K656" s="2" t="s">
        <v>74</v>
      </c>
      <c r="L656" s="2" t="s">
        <v>74</v>
      </c>
      <c r="M656" s="2" t="s">
        <v>74</v>
      </c>
      <c r="N656" s="2" t="s">
        <v>74</v>
      </c>
      <c r="O656" s="2" t="s">
        <v>74</v>
      </c>
      <c r="P656" s="2" t="s">
        <v>74</v>
      </c>
      <c r="Q656" s="2" t="s">
        <v>74</v>
      </c>
      <c r="R656" s="2" t="s">
        <v>74</v>
      </c>
      <c r="S656" s="2" t="s">
        <v>74</v>
      </c>
      <c r="T656" s="2" t="s">
        <v>74</v>
      </c>
      <c r="U656" s="2" t="s">
        <v>74</v>
      </c>
      <c r="V656" s="5" t="s">
        <v>8632</v>
      </c>
      <c r="W656" s="2" t="s">
        <v>74</v>
      </c>
      <c r="X656" s="2" t="s">
        <v>74</v>
      </c>
      <c r="Y656" s="2" t="s">
        <v>74</v>
      </c>
      <c r="Z656" s="2" t="s">
        <v>74</v>
      </c>
      <c r="AA656" s="2" t="s">
        <v>8633</v>
      </c>
      <c r="AB656" s="2" t="s">
        <v>8634</v>
      </c>
      <c r="AC656" s="2" t="s">
        <v>74</v>
      </c>
      <c r="AD656" s="2" t="s">
        <v>74</v>
      </c>
      <c r="AE656" s="2" t="s">
        <v>74</v>
      </c>
      <c r="AF656" s="2" t="s">
        <v>74</v>
      </c>
      <c r="AG656" s="2" t="s">
        <v>74</v>
      </c>
      <c r="AH656" s="2" t="s">
        <v>74</v>
      </c>
      <c r="AI656" s="2" t="s">
        <v>74</v>
      </c>
      <c r="AJ656" s="2" t="s">
        <v>74</v>
      </c>
      <c r="AK656" s="2" t="s">
        <v>74</v>
      </c>
      <c r="AL656" s="2" t="s">
        <v>74</v>
      </c>
      <c r="AM656" s="2" t="s">
        <v>74</v>
      </c>
      <c r="AN656" s="2" t="s">
        <v>74</v>
      </c>
      <c r="AO656" s="2" t="s">
        <v>846</v>
      </c>
      <c r="AP656" s="2" t="s">
        <v>847</v>
      </c>
      <c r="AQ656" s="2" t="s">
        <v>74</v>
      </c>
      <c r="AR656" s="2" t="s">
        <v>74</v>
      </c>
      <c r="AS656" s="2" t="s">
        <v>74</v>
      </c>
      <c r="AT656" s="2" t="s">
        <v>102</v>
      </c>
      <c r="AU656" s="2">
        <v>2022</v>
      </c>
      <c r="AV656" s="2">
        <v>84</v>
      </c>
      <c r="AW656" s="2">
        <v>6</v>
      </c>
      <c r="AX656" s="2" t="s">
        <v>74</v>
      </c>
      <c r="AY656" s="2" t="s">
        <v>74</v>
      </c>
      <c r="AZ656" s="2" t="s">
        <v>74</v>
      </c>
      <c r="BA656" s="2" t="s">
        <v>74</v>
      </c>
      <c r="BB656" s="2" t="s">
        <v>74</v>
      </c>
      <c r="BC656" s="2" t="s">
        <v>74</v>
      </c>
      <c r="BD656" s="2" t="s">
        <v>8635</v>
      </c>
      <c r="BE656" s="2" t="s">
        <v>8636</v>
      </c>
      <c r="BF656" s="2" t="str">
        <f>HYPERLINK("http://dx.doi.org/10.1002/ajp.23305","http://dx.doi.org/10.1002/ajp.23305")</f>
        <v>http://dx.doi.org/10.1002/ajp.23305</v>
      </c>
      <c r="BG656" s="2" t="s">
        <v>74</v>
      </c>
      <c r="BH656" s="2" t="s">
        <v>3826</v>
      </c>
      <c r="BI656" s="2" t="s">
        <v>74</v>
      </c>
      <c r="BJ656" s="2" t="s">
        <v>74</v>
      </c>
      <c r="BK656" s="2" t="s">
        <v>74</v>
      </c>
      <c r="BL656" s="2" t="s">
        <v>74</v>
      </c>
      <c r="BM656" s="2" t="s">
        <v>74</v>
      </c>
      <c r="BN656" s="2">
        <v>34270104</v>
      </c>
      <c r="BO656" s="2" t="s">
        <v>74</v>
      </c>
      <c r="BP656" s="2" t="s">
        <v>74</v>
      </c>
      <c r="BQ656" s="2" t="s">
        <v>74</v>
      </c>
      <c r="BR656" s="2" t="s">
        <v>74</v>
      </c>
      <c r="BS656" s="2" t="s">
        <v>8637</v>
      </c>
      <c r="BT656" s="2" t="str">
        <f>HYPERLINK("https%3A%2F%2Fwww.webofscience.com%2Fwos%2Fwoscc%2Ffull-record%2FWOS:000673989800001","View Full Record in Web of Science")</f>
        <v>View Full Record in Web of Science</v>
      </c>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row>
    <row r="657" spans="1:314" s="2" customFormat="1" x14ac:dyDescent="0.4">
      <c r="A657" s="2" t="s">
        <v>72</v>
      </c>
      <c r="B657" s="2" t="s">
        <v>3682</v>
      </c>
      <c r="C657" s="2" t="s">
        <v>74</v>
      </c>
      <c r="D657" s="2" t="s">
        <v>74</v>
      </c>
      <c r="E657" s="2" t="s">
        <v>74</v>
      </c>
      <c r="F657" s="2" t="s">
        <v>3682</v>
      </c>
      <c r="G657" s="2" t="s">
        <v>74</v>
      </c>
      <c r="H657" s="2" t="s">
        <v>74</v>
      </c>
      <c r="I657" s="2" t="s">
        <v>3683</v>
      </c>
      <c r="J657" s="2" t="s">
        <v>1341</v>
      </c>
      <c r="K657" s="2" t="s">
        <v>74</v>
      </c>
      <c r="L657" s="2" t="s">
        <v>74</v>
      </c>
      <c r="M657" s="2" t="s">
        <v>74</v>
      </c>
      <c r="N657" s="2" t="s">
        <v>74</v>
      </c>
      <c r="O657" s="2" t="s">
        <v>74</v>
      </c>
      <c r="P657" s="2" t="s">
        <v>74</v>
      </c>
      <c r="Q657" s="2" t="s">
        <v>74</v>
      </c>
      <c r="R657" s="2" t="s">
        <v>74</v>
      </c>
      <c r="S657" s="2" t="s">
        <v>74</v>
      </c>
      <c r="T657" s="2" t="s">
        <v>74</v>
      </c>
      <c r="U657" s="2" t="s">
        <v>74</v>
      </c>
      <c r="V657" s="5" t="s">
        <v>3684</v>
      </c>
      <c r="W657" s="2" t="s">
        <v>74</v>
      </c>
      <c r="X657" s="2" t="s">
        <v>74</v>
      </c>
      <c r="Y657" s="2" t="s">
        <v>74</v>
      </c>
      <c r="Z657" s="2" t="s">
        <v>74</v>
      </c>
      <c r="AA657" s="2" t="s">
        <v>3685</v>
      </c>
      <c r="AB657" s="2" t="s">
        <v>74</v>
      </c>
      <c r="AC657" s="2" t="s">
        <v>74</v>
      </c>
      <c r="AD657" s="2" t="s">
        <v>74</v>
      </c>
      <c r="AE657" s="2" t="s">
        <v>74</v>
      </c>
      <c r="AF657" s="2" t="s">
        <v>74</v>
      </c>
      <c r="AG657" s="2" t="s">
        <v>74</v>
      </c>
      <c r="AH657" s="2" t="s">
        <v>74</v>
      </c>
      <c r="AI657" s="2" t="s">
        <v>74</v>
      </c>
      <c r="AJ657" s="2" t="s">
        <v>74</v>
      </c>
      <c r="AK657" s="2" t="s">
        <v>74</v>
      </c>
      <c r="AL657" s="2" t="s">
        <v>74</v>
      </c>
      <c r="AM657" s="2" t="s">
        <v>74</v>
      </c>
      <c r="AN657" s="2" t="s">
        <v>74</v>
      </c>
      <c r="AO657" s="2" t="s">
        <v>1343</v>
      </c>
      <c r="AP657" s="2" t="s">
        <v>3686</v>
      </c>
      <c r="AQ657" s="2" t="s">
        <v>74</v>
      </c>
      <c r="AR657" s="2" t="s">
        <v>74</v>
      </c>
      <c r="AS657" s="2" t="s">
        <v>74</v>
      </c>
      <c r="AT657" s="2" t="s">
        <v>204</v>
      </c>
      <c r="AU657" s="2">
        <v>2005</v>
      </c>
      <c r="AV657" s="2">
        <v>51</v>
      </c>
      <c r="AW657" s="2">
        <v>7</v>
      </c>
      <c r="AX657" s="2" t="s">
        <v>74</v>
      </c>
      <c r="AY657" s="2" t="s">
        <v>74</v>
      </c>
      <c r="AZ657" s="2" t="s">
        <v>74</v>
      </c>
      <c r="BA657" s="2" t="s">
        <v>74</v>
      </c>
      <c r="BB657" s="2">
        <v>737</v>
      </c>
      <c r="BC657" s="2">
        <v>747</v>
      </c>
      <c r="BD657" s="2" t="s">
        <v>74</v>
      </c>
      <c r="BE657" s="2" t="s">
        <v>3687</v>
      </c>
      <c r="BF657" s="2" t="str">
        <f>HYPERLINK("http://dx.doi.org/10.1016/j.jinsphys.2005.03.015","http://dx.doi.org/10.1016/j.jinsphys.2005.03.015")</f>
        <v>http://dx.doi.org/10.1016/j.jinsphys.2005.03.015</v>
      </c>
      <c r="BG657" s="2" t="s">
        <v>74</v>
      </c>
      <c r="BH657" s="2" t="s">
        <v>74</v>
      </c>
      <c r="BI657" s="2" t="s">
        <v>74</v>
      </c>
      <c r="BJ657" s="2" t="s">
        <v>74</v>
      </c>
      <c r="BK657" s="2" t="s">
        <v>74</v>
      </c>
      <c r="BL657" s="2" t="s">
        <v>74</v>
      </c>
      <c r="BM657" s="2" t="s">
        <v>74</v>
      </c>
      <c r="BN657" s="2" t="s">
        <v>74</v>
      </c>
      <c r="BO657" s="2" t="s">
        <v>74</v>
      </c>
      <c r="BP657" s="2" t="s">
        <v>74</v>
      </c>
      <c r="BQ657" s="2" t="s">
        <v>74</v>
      </c>
      <c r="BR657" s="2" t="s">
        <v>74</v>
      </c>
      <c r="BS657" s="2" t="s">
        <v>3688</v>
      </c>
      <c r="BT657" s="2" t="str">
        <f>HYPERLINK("https%3A%2F%2Fwww.webofscience.com%2Fwos%2Fwoscc%2Ffull-record%2FWOS:000231717400001","View Full Record in Web of Science")</f>
        <v>View Full Record in Web of Science</v>
      </c>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row>
    <row r="658" spans="1:314" s="2" customFormat="1" x14ac:dyDescent="0.4">
      <c r="A658" s="2" t="s">
        <v>72</v>
      </c>
      <c r="B658" s="2" t="s">
        <v>5416</v>
      </c>
      <c r="C658" s="2" t="s">
        <v>74</v>
      </c>
      <c r="D658" s="2" t="s">
        <v>74</v>
      </c>
      <c r="E658" s="2" t="s">
        <v>74</v>
      </c>
      <c r="F658" s="2" t="s">
        <v>5417</v>
      </c>
      <c r="G658" s="2" t="s">
        <v>74</v>
      </c>
      <c r="H658" s="2" t="s">
        <v>74</v>
      </c>
      <c r="I658" s="2" t="s">
        <v>5418</v>
      </c>
      <c r="J658" s="2" t="s">
        <v>1396</v>
      </c>
      <c r="K658" s="2" t="s">
        <v>74</v>
      </c>
      <c r="L658" s="2" t="s">
        <v>74</v>
      </c>
      <c r="M658" s="2" t="s">
        <v>74</v>
      </c>
      <c r="N658" s="2" t="s">
        <v>74</v>
      </c>
      <c r="O658" s="2" t="s">
        <v>74</v>
      </c>
      <c r="P658" s="2" t="s">
        <v>74</v>
      </c>
      <c r="Q658" s="2" t="s">
        <v>74</v>
      </c>
      <c r="R658" s="2" t="s">
        <v>74</v>
      </c>
      <c r="S658" s="2" t="s">
        <v>74</v>
      </c>
      <c r="T658" s="2" t="s">
        <v>74</v>
      </c>
      <c r="U658" s="2" t="s">
        <v>74</v>
      </c>
      <c r="V658" s="5" t="s">
        <v>5419</v>
      </c>
      <c r="W658" s="2" t="s">
        <v>74</v>
      </c>
      <c r="X658" s="2" t="s">
        <v>74</v>
      </c>
      <c r="Y658" s="2" t="s">
        <v>74</v>
      </c>
      <c r="Z658" s="2" t="s">
        <v>74</v>
      </c>
      <c r="AA658" s="2" t="s">
        <v>5420</v>
      </c>
      <c r="AB658" s="2" t="s">
        <v>5421</v>
      </c>
      <c r="AC658" s="2" t="s">
        <v>74</v>
      </c>
      <c r="AD658" s="2" t="s">
        <v>74</v>
      </c>
      <c r="AE658" s="2" t="s">
        <v>74</v>
      </c>
      <c r="AF658" s="2" t="s">
        <v>74</v>
      </c>
      <c r="AG658" s="2" t="s">
        <v>74</v>
      </c>
      <c r="AH658" s="2" t="s">
        <v>74</v>
      </c>
      <c r="AI658" s="2" t="s">
        <v>74</v>
      </c>
      <c r="AJ658" s="2" t="s">
        <v>74</v>
      </c>
      <c r="AK658" s="2" t="s">
        <v>74</v>
      </c>
      <c r="AL658" s="2" t="s">
        <v>74</v>
      </c>
      <c r="AM658" s="2" t="s">
        <v>74</v>
      </c>
      <c r="AN658" s="2" t="s">
        <v>74</v>
      </c>
      <c r="AO658" s="2" t="s">
        <v>1400</v>
      </c>
      <c r="AP658" s="2" t="s">
        <v>5422</v>
      </c>
      <c r="AQ658" s="2" t="s">
        <v>74</v>
      </c>
      <c r="AR658" s="2" t="s">
        <v>74</v>
      </c>
      <c r="AS658" s="2" t="s">
        <v>74</v>
      </c>
      <c r="AT658" s="2" t="s">
        <v>964</v>
      </c>
      <c r="AU658" s="2">
        <v>2018</v>
      </c>
      <c r="AV658" s="2">
        <v>56</v>
      </c>
      <c r="AW658" s="2">
        <v>1</v>
      </c>
      <c r="AX658" s="2" t="s">
        <v>74</v>
      </c>
      <c r="AY658" s="2" t="s">
        <v>74</v>
      </c>
      <c r="AZ658" s="2" t="s">
        <v>74</v>
      </c>
      <c r="BA658" s="2" t="s">
        <v>74</v>
      </c>
      <c r="BB658" s="2">
        <v>61</v>
      </c>
      <c r="BC658" s="2">
        <v>76</v>
      </c>
      <c r="BD658" s="2" t="s">
        <v>74</v>
      </c>
      <c r="BE658" s="2" t="s">
        <v>5423</v>
      </c>
      <c r="BF658" s="2" t="str">
        <f>HYPERLINK("http://dx.doi.org/10.1111/jzs.12186","http://dx.doi.org/10.1111/jzs.12186")</f>
        <v>http://dx.doi.org/10.1111/jzs.12186</v>
      </c>
      <c r="BG658" s="2" t="s">
        <v>74</v>
      </c>
      <c r="BH658" s="2" t="s">
        <v>74</v>
      </c>
      <c r="BI658" s="2" t="s">
        <v>74</v>
      </c>
      <c r="BJ658" s="2" t="s">
        <v>74</v>
      </c>
      <c r="BK658" s="2" t="s">
        <v>74</v>
      </c>
      <c r="BL658" s="2" t="s">
        <v>74</v>
      </c>
      <c r="BM658" s="2" t="s">
        <v>74</v>
      </c>
      <c r="BN658" s="2" t="s">
        <v>74</v>
      </c>
      <c r="BO658" s="2" t="s">
        <v>74</v>
      </c>
      <c r="BP658" s="2" t="s">
        <v>74</v>
      </c>
      <c r="BQ658" s="2" t="s">
        <v>74</v>
      </c>
      <c r="BR658" s="2" t="s">
        <v>74</v>
      </c>
      <c r="BS658" s="2" t="s">
        <v>5424</v>
      </c>
      <c r="BT658" s="2" t="str">
        <f>HYPERLINK("https%3A%2F%2Fwww.webofscience.com%2Fwos%2Fwoscc%2Ffull-record%2FWOS:000419657600005","View Full Record in Web of Science")</f>
        <v>View Full Record in Web of Science</v>
      </c>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row>
    <row r="659" spans="1:314" s="2" customFormat="1" x14ac:dyDescent="0.4">
      <c r="A659" s="2" t="s">
        <v>72</v>
      </c>
      <c r="B659" s="2" t="s">
        <v>8029</v>
      </c>
      <c r="C659" s="2" t="s">
        <v>74</v>
      </c>
      <c r="D659" s="2" t="s">
        <v>74</v>
      </c>
      <c r="E659" s="2" t="s">
        <v>74</v>
      </c>
      <c r="F659" s="2" t="s">
        <v>8030</v>
      </c>
      <c r="G659" s="2" t="s">
        <v>74</v>
      </c>
      <c r="H659" s="2" t="s">
        <v>74</v>
      </c>
      <c r="I659" s="2" t="s">
        <v>8031</v>
      </c>
      <c r="J659" s="2" t="s">
        <v>3026</v>
      </c>
      <c r="K659" s="2" t="s">
        <v>74</v>
      </c>
      <c r="L659" s="2" t="s">
        <v>74</v>
      </c>
      <c r="M659" s="2" t="s">
        <v>74</v>
      </c>
      <c r="N659" s="2" t="s">
        <v>74</v>
      </c>
      <c r="O659" s="2" t="s">
        <v>74</v>
      </c>
      <c r="P659" s="2" t="s">
        <v>74</v>
      </c>
      <c r="Q659" s="2" t="s">
        <v>74</v>
      </c>
      <c r="R659" s="2" t="s">
        <v>74</v>
      </c>
      <c r="S659" s="2" t="s">
        <v>74</v>
      </c>
      <c r="T659" s="2" t="s">
        <v>74</v>
      </c>
      <c r="U659" s="2" t="s">
        <v>74</v>
      </c>
      <c r="V659" s="5" t="s">
        <v>8032</v>
      </c>
      <c r="W659" s="2" t="s">
        <v>74</v>
      </c>
      <c r="X659" s="2" t="s">
        <v>74</v>
      </c>
      <c r="Y659" s="2" t="s">
        <v>74</v>
      </c>
      <c r="Z659" s="2" t="s">
        <v>74</v>
      </c>
      <c r="AA659" s="2" t="s">
        <v>8033</v>
      </c>
      <c r="AB659" s="2" t="s">
        <v>8034</v>
      </c>
      <c r="AC659" s="2" t="s">
        <v>74</v>
      </c>
      <c r="AD659" s="2" t="s">
        <v>74</v>
      </c>
      <c r="AE659" s="2" t="s">
        <v>74</v>
      </c>
      <c r="AF659" s="2" t="s">
        <v>74</v>
      </c>
      <c r="AG659" s="2" t="s">
        <v>74</v>
      </c>
      <c r="AH659" s="2" t="s">
        <v>74</v>
      </c>
      <c r="AI659" s="2" t="s">
        <v>74</v>
      </c>
      <c r="AJ659" s="2" t="s">
        <v>74</v>
      </c>
      <c r="AK659" s="2" t="s">
        <v>74</v>
      </c>
      <c r="AL659" s="2" t="s">
        <v>74</v>
      </c>
      <c r="AM659" s="2" t="s">
        <v>74</v>
      </c>
      <c r="AN659" s="2" t="s">
        <v>74</v>
      </c>
      <c r="AO659" s="2" t="s">
        <v>3030</v>
      </c>
      <c r="AP659" s="2" t="s">
        <v>74</v>
      </c>
      <c r="AQ659" s="2" t="s">
        <v>74</v>
      </c>
      <c r="AR659" s="2" t="s">
        <v>74</v>
      </c>
      <c r="AS659" s="2" t="s">
        <v>74</v>
      </c>
      <c r="AT659" s="2" t="s">
        <v>4557</v>
      </c>
      <c r="AU659" s="2">
        <v>2014</v>
      </c>
      <c r="AV659" s="2">
        <v>3</v>
      </c>
      <c r="AW659" s="2">
        <v>12</v>
      </c>
      <c r="AX659" s="2" t="s">
        <v>74</v>
      </c>
      <c r="AY659" s="2" t="s">
        <v>74</v>
      </c>
      <c r="AZ659" s="2" t="s">
        <v>74</v>
      </c>
      <c r="BA659" s="2" t="s">
        <v>74</v>
      </c>
      <c r="BB659" s="2">
        <v>1245</v>
      </c>
      <c r="BC659" s="2">
        <v>1251</v>
      </c>
      <c r="BD659" s="2" t="s">
        <v>74</v>
      </c>
      <c r="BE659" s="2" t="s">
        <v>8035</v>
      </c>
      <c r="BF659" s="2" t="str">
        <f>HYPERLINK("http://dx.doi.org/10.1242/bio.20149175","http://dx.doi.org/10.1242/bio.20149175")</f>
        <v>http://dx.doi.org/10.1242/bio.20149175</v>
      </c>
      <c r="BG659" s="2" t="s">
        <v>74</v>
      </c>
      <c r="BH659" s="2" t="s">
        <v>74</v>
      </c>
      <c r="BI659" s="2" t="s">
        <v>74</v>
      </c>
      <c r="BJ659" s="2" t="s">
        <v>74</v>
      </c>
      <c r="BK659" s="2" t="s">
        <v>74</v>
      </c>
      <c r="BL659" s="2" t="s">
        <v>74</v>
      </c>
      <c r="BM659" s="2" t="s">
        <v>74</v>
      </c>
      <c r="BN659" s="2">
        <v>25432516</v>
      </c>
      <c r="BO659" s="2" t="s">
        <v>74</v>
      </c>
      <c r="BP659" s="2" t="s">
        <v>74</v>
      </c>
      <c r="BQ659" s="2" t="s">
        <v>74</v>
      </c>
      <c r="BR659" s="2" t="s">
        <v>74</v>
      </c>
      <c r="BS659" s="2" t="s">
        <v>8036</v>
      </c>
      <c r="BT659" s="2" t="str">
        <f>HYPERLINK("https%3A%2F%2Fwww.webofscience.com%2Fwos%2Fwoscc%2Ffull-record%2FWOS:000348098800012","View Full Record in Web of Science")</f>
        <v>View Full Record in Web of Science</v>
      </c>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row>
    <row r="660" spans="1:314" s="2" customFormat="1" x14ac:dyDescent="0.4">
      <c r="A660" s="2" t="s">
        <v>72</v>
      </c>
      <c r="B660" s="2" t="s">
        <v>1353</v>
      </c>
      <c r="C660" s="2" t="s">
        <v>74</v>
      </c>
      <c r="D660" s="2" t="s">
        <v>74</v>
      </c>
      <c r="E660" s="2" t="s">
        <v>74</v>
      </c>
      <c r="F660" s="2" t="s">
        <v>1354</v>
      </c>
      <c r="G660" s="2" t="s">
        <v>74</v>
      </c>
      <c r="H660" s="2" t="s">
        <v>74</v>
      </c>
      <c r="I660" s="2" t="s">
        <v>1355</v>
      </c>
      <c r="J660" s="2" t="s">
        <v>408</v>
      </c>
      <c r="K660" s="2" t="s">
        <v>74</v>
      </c>
      <c r="L660" s="2" t="s">
        <v>74</v>
      </c>
      <c r="M660" s="2" t="s">
        <v>74</v>
      </c>
      <c r="N660" s="2" t="s">
        <v>74</v>
      </c>
      <c r="O660" s="2" t="s">
        <v>74</v>
      </c>
      <c r="P660" s="2" t="s">
        <v>74</v>
      </c>
      <c r="Q660" s="2" t="s">
        <v>74</v>
      </c>
      <c r="R660" s="2" t="s">
        <v>74</v>
      </c>
      <c r="S660" s="2" t="s">
        <v>74</v>
      </c>
      <c r="T660" s="2" t="s">
        <v>74</v>
      </c>
      <c r="U660" s="2" t="s">
        <v>74</v>
      </c>
      <c r="V660" s="5" t="s">
        <v>1356</v>
      </c>
      <c r="W660" s="2" t="s">
        <v>74</v>
      </c>
      <c r="X660" s="2" t="s">
        <v>74</v>
      </c>
      <c r="Y660" s="2" t="s">
        <v>74</v>
      </c>
      <c r="Z660" s="2" t="s">
        <v>74</v>
      </c>
      <c r="AA660" s="2" t="s">
        <v>74</v>
      </c>
      <c r="AB660" s="2" t="s">
        <v>1357</v>
      </c>
      <c r="AC660" s="2" t="s">
        <v>74</v>
      </c>
      <c r="AD660" s="2" t="s">
        <v>74</v>
      </c>
      <c r="AE660" s="2" t="s">
        <v>74</v>
      </c>
      <c r="AF660" s="2" t="s">
        <v>74</v>
      </c>
      <c r="AG660" s="2" t="s">
        <v>74</v>
      </c>
      <c r="AH660" s="2" t="s">
        <v>74</v>
      </c>
      <c r="AI660" s="2" t="s">
        <v>74</v>
      </c>
      <c r="AJ660" s="2" t="s">
        <v>74</v>
      </c>
      <c r="AK660" s="2" t="s">
        <v>74</v>
      </c>
      <c r="AL660" s="2" t="s">
        <v>74</v>
      </c>
      <c r="AM660" s="2" t="s">
        <v>74</v>
      </c>
      <c r="AN660" s="2" t="s">
        <v>74</v>
      </c>
      <c r="AO660" s="2" t="s">
        <v>412</v>
      </c>
      <c r="AP660" s="2" t="s">
        <v>413</v>
      </c>
      <c r="AQ660" s="2" t="s">
        <v>74</v>
      </c>
      <c r="AR660" s="2" t="s">
        <v>74</v>
      </c>
      <c r="AS660" s="2" t="s">
        <v>74</v>
      </c>
      <c r="AT660" s="2" t="s">
        <v>145</v>
      </c>
      <c r="AU660" s="2">
        <v>2008</v>
      </c>
      <c r="AV660" s="2">
        <v>94</v>
      </c>
      <c r="AW660" s="2">
        <v>4</v>
      </c>
      <c r="AX660" s="2" t="s">
        <v>74</v>
      </c>
      <c r="AY660" s="2" t="s">
        <v>74</v>
      </c>
      <c r="AZ660" s="2" t="s">
        <v>74</v>
      </c>
      <c r="BA660" s="2" t="s">
        <v>74</v>
      </c>
      <c r="BB660" s="2">
        <v>663</v>
      </c>
      <c r="BC660" s="2">
        <v>673</v>
      </c>
      <c r="BD660" s="2" t="s">
        <v>74</v>
      </c>
      <c r="BE660" s="2" t="s">
        <v>1358</v>
      </c>
      <c r="BF660" s="2" t="str">
        <f>HYPERLINK("http://dx.doi.org/10.1111/j.1095-8312.2008.01021.x","http://dx.doi.org/10.1111/j.1095-8312.2008.01021.x")</f>
        <v>http://dx.doi.org/10.1111/j.1095-8312.2008.01021.x</v>
      </c>
      <c r="BG660" s="2" t="s">
        <v>74</v>
      </c>
      <c r="BH660" s="2" t="s">
        <v>74</v>
      </c>
      <c r="BI660" s="2" t="s">
        <v>74</v>
      </c>
      <c r="BJ660" s="2" t="s">
        <v>74</v>
      </c>
      <c r="BK660" s="2" t="s">
        <v>74</v>
      </c>
      <c r="BL660" s="2" t="s">
        <v>74</v>
      </c>
      <c r="BM660" s="2" t="s">
        <v>74</v>
      </c>
      <c r="BN660" s="2" t="s">
        <v>74</v>
      </c>
      <c r="BO660" s="2" t="s">
        <v>74</v>
      </c>
      <c r="BP660" s="2" t="s">
        <v>74</v>
      </c>
      <c r="BQ660" s="2" t="s">
        <v>74</v>
      </c>
      <c r="BR660" s="2" t="s">
        <v>74</v>
      </c>
      <c r="BS660" s="2" t="s">
        <v>1359</v>
      </c>
      <c r="BT660" s="2" t="str">
        <f>HYPERLINK("https%3A%2F%2Fwww.webofscience.com%2Fwos%2Fwoscc%2Ffull-record%2FWOS:000258458500002","View Full Record in Web of Science")</f>
        <v>View Full Record in Web of Science</v>
      </c>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row>
    <row r="661" spans="1:314" s="2" customFormat="1" x14ac:dyDescent="0.4">
      <c r="A661" s="2" t="s">
        <v>72</v>
      </c>
      <c r="B661" s="2" t="s">
        <v>967</v>
      </c>
      <c r="C661" s="2" t="s">
        <v>74</v>
      </c>
      <c r="D661" s="2" t="s">
        <v>74</v>
      </c>
      <c r="E661" s="2" t="s">
        <v>74</v>
      </c>
      <c r="F661" s="2" t="s">
        <v>968</v>
      </c>
      <c r="G661" s="2" t="s">
        <v>74</v>
      </c>
      <c r="H661" s="2" t="s">
        <v>74</v>
      </c>
      <c r="I661" s="2" t="s">
        <v>969</v>
      </c>
      <c r="J661" s="2" t="s">
        <v>970</v>
      </c>
      <c r="K661" s="2" t="s">
        <v>74</v>
      </c>
      <c r="L661" s="2" t="s">
        <v>74</v>
      </c>
      <c r="M661" s="2" t="s">
        <v>74</v>
      </c>
      <c r="N661" s="2" t="s">
        <v>74</v>
      </c>
      <c r="O661" s="2" t="s">
        <v>74</v>
      </c>
      <c r="P661" s="2" t="s">
        <v>74</v>
      </c>
      <c r="Q661" s="2" t="s">
        <v>74</v>
      </c>
      <c r="R661" s="2" t="s">
        <v>74</v>
      </c>
      <c r="S661" s="2" t="s">
        <v>74</v>
      </c>
      <c r="T661" s="2" t="s">
        <v>74</v>
      </c>
      <c r="U661" s="2" t="s">
        <v>74</v>
      </c>
      <c r="V661" s="5" t="s">
        <v>971</v>
      </c>
      <c r="W661" s="2" t="s">
        <v>74</v>
      </c>
      <c r="X661" s="2" t="s">
        <v>74</v>
      </c>
      <c r="Y661" s="2" t="s">
        <v>74</v>
      </c>
      <c r="Z661" s="2" t="s">
        <v>74</v>
      </c>
      <c r="AA661" s="2" t="s">
        <v>972</v>
      </c>
      <c r="AB661" s="2" t="s">
        <v>973</v>
      </c>
      <c r="AC661" s="2" t="s">
        <v>74</v>
      </c>
      <c r="AD661" s="2" t="s">
        <v>74</v>
      </c>
      <c r="AE661" s="2" t="s">
        <v>74</v>
      </c>
      <c r="AF661" s="2" t="s">
        <v>74</v>
      </c>
      <c r="AG661" s="2" t="s">
        <v>74</v>
      </c>
      <c r="AH661" s="2" t="s">
        <v>74</v>
      </c>
      <c r="AI661" s="2" t="s">
        <v>74</v>
      </c>
      <c r="AJ661" s="2" t="s">
        <v>74</v>
      </c>
      <c r="AK661" s="2" t="s">
        <v>74</v>
      </c>
      <c r="AL661" s="2" t="s">
        <v>74</v>
      </c>
      <c r="AM661" s="2" t="s">
        <v>74</v>
      </c>
      <c r="AN661" s="2" t="s">
        <v>74</v>
      </c>
      <c r="AO661" s="2" t="s">
        <v>974</v>
      </c>
      <c r="AP661" s="2" t="s">
        <v>975</v>
      </c>
      <c r="AQ661" s="2" t="s">
        <v>74</v>
      </c>
      <c r="AR661" s="2" t="s">
        <v>74</v>
      </c>
      <c r="AS661" s="2" t="s">
        <v>74</v>
      </c>
      <c r="AT661" s="2" t="s">
        <v>204</v>
      </c>
      <c r="AU661" s="2">
        <v>2008</v>
      </c>
      <c r="AV661" s="2">
        <v>149</v>
      </c>
      <c r="AW661" s="2">
        <v>3</v>
      </c>
      <c r="AX661" s="2" t="s">
        <v>74</v>
      </c>
      <c r="AY661" s="2" t="s">
        <v>74</v>
      </c>
      <c r="AZ661" s="2" t="s">
        <v>74</v>
      </c>
      <c r="BA661" s="2" t="s">
        <v>74</v>
      </c>
      <c r="BB661" s="2">
        <v>415</v>
      </c>
      <c r="BC661" s="2">
        <v>421</v>
      </c>
      <c r="BD661" s="2" t="s">
        <v>74</v>
      </c>
      <c r="BE661" s="2" t="s">
        <v>976</v>
      </c>
      <c r="BF661" s="2" t="str">
        <f>HYPERLINK("http://dx.doi.org/10.1007/s10336-008-0283-0","http://dx.doi.org/10.1007/s10336-008-0283-0")</f>
        <v>http://dx.doi.org/10.1007/s10336-008-0283-0</v>
      </c>
      <c r="BG661" s="2" t="s">
        <v>74</v>
      </c>
      <c r="BH661" s="2" t="s">
        <v>74</v>
      </c>
      <c r="BI661" s="2" t="s">
        <v>74</v>
      </c>
      <c r="BJ661" s="2" t="s">
        <v>74</v>
      </c>
      <c r="BK661" s="2" t="s">
        <v>74</v>
      </c>
      <c r="BL661" s="2" t="s">
        <v>74</v>
      </c>
      <c r="BM661" s="2" t="s">
        <v>74</v>
      </c>
      <c r="BN661" s="2" t="s">
        <v>74</v>
      </c>
      <c r="BO661" s="2" t="s">
        <v>74</v>
      </c>
      <c r="BP661" s="2" t="s">
        <v>74</v>
      </c>
      <c r="BQ661" s="2" t="s">
        <v>74</v>
      </c>
      <c r="BR661" s="2" t="s">
        <v>74</v>
      </c>
      <c r="BS661" s="2" t="s">
        <v>977</v>
      </c>
      <c r="BT661" s="2" t="str">
        <f>HYPERLINK("https%3A%2F%2Fwww.webofscience.com%2Fwos%2Fwoscc%2Ffull-record%2FWOS:000256660000013","View Full Record in Web of Science")</f>
        <v>View Full Record in Web of Science</v>
      </c>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row>
    <row r="662" spans="1:314" s="2" customFormat="1" x14ac:dyDescent="0.4">
      <c r="A662" s="2" t="s">
        <v>72</v>
      </c>
      <c r="B662" s="2" t="s">
        <v>6357</v>
      </c>
      <c r="C662" s="2" t="s">
        <v>74</v>
      </c>
      <c r="D662" s="2" t="s">
        <v>74</v>
      </c>
      <c r="E662" s="2" t="s">
        <v>74</v>
      </c>
      <c r="F662" s="2" t="s">
        <v>6358</v>
      </c>
      <c r="G662" s="2" t="s">
        <v>74</v>
      </c>
      <c r="H662" s="2" t="s">
        <v>74</v>
      </c>
      <c r="I662" s="2" t="s">
        <v>6359</v>
      </c>
      <c r="J662" s="2" t="s">
        <v>77</v>
      </c>
      <c r="K662" s="2" t="s">
        <v>74</v>
      </c>
      <c r="L662" s="2" t="s">
        <v>74</v>
      </c>
      <c r="M662" s="2" t="s">
        <v>74</v>
      </c>
      <c r="N662" s="2" t="s">
        <v>74</v>
      </c>
      <c r="O662" s="2" t="s">
        <v>74</v>
      </c>
      <c r="P662" s="2" t="s">
        <v>74</v>
      </c>
      <c r="Q662" s="2" t="s">
        <v>74</v>
      </c>
      <c r="R662" s="2" t="s">
        <v>74</v>
      </c>
      <c r="S662" s="2" t="s">
        <v>74</v>
      </c>
      <c r="T662" s="2" t="s">
        <v>74</v>
      </c>
      <c r="U662" s="2" t="s">
        <v>74</v>
      </c>
      <c r="V662" s="5" t="s">
        <v>6360</v>
      </c>
      <c r="W662" s="2" t="s">
        <v>74</v>
      </c>
      <c r="X662" s="2" t="s">
        <v>74</v>
      </c>
      <c r="Y662" s="2" t="s">
        <v>74</v>
      </c>
      <c r="Z662" s="2" t="s">
        <v>74</v>
      </c>
      <c r="AA662" s="2" t="s">
        <v>74</v>
      </c>
      <c r="AB662" s="2" t="s">
        <v>6361</v>
      </c>
      <c r="AC662" s="2" t="s">
        <v>74</v>
      </c>
      <c r="AD662" s="2" t="s">
        <v>74</v>
      </c>
      <c r="AE662" s="2" t="s">
        <v>74</v>
      </c>
      <c r="AF662" s="2" t="s">
        <v>74</v>
      </c>
      <c r="AG662" s="2" t="s">
        <v>74</v>
      </c>
      <c r="AH662" s="2" t="s">
        <v>74</v>
      </c>
      <c r="AI662" s="2" t="s">
        <v>74</v>
      </c>
      <c r="AJ662" s="2" t="s">
        <v>74</v>
      </c>
      <c r="AK662" s="2" t="s">
        <v>74</v>
      </c>
      <c r="AL662" s="2" t="s">
        <v>74</v>
      </c>
      <c r="AM662" s="2" t="s">
        <v>74</v>
      </c>
      <c r="AN662" s="2" t="s">
        <v>74</v>
      </c>
      <c r="AO662" s="2" t="s">
        <v>81</v>
      </c>
      <c r="AP662" s="2" t="s">
        <v>82</v>
      </c>
      <c r="AQ662" s="2" t="s">
        <v>74</v>
      </c>
      <c r="AR662" s="2" t="s">
        <v>74</v>
      </c>
      <c r="AS662" s="2" t="s">
        <v>74</v>
      </c>
      <c r="AT662" s="2" t="s">
        <v>74</v>
      </c>
      <c r="AU662" s="2">
        <v>2015</v>
      </c>
      <c r="AV662" s="2">
        <v>152</v>
      </c>
      <c r="AW662" s="2" t="s">
        <v>6362</v>
      </c>
      <c r="AX662" s="2" t="s">
        <v>74</v>
      </c>
      <c r="AY662" s="2" t="s">
        <v>74</v>
      </c>
      <c r="AZ662" s="2" t="s">
        <v>74</v>
      </c>
      <c r="BA662" s="2" t="s">
        <v>74</v>
      </c>
      <c r="BB662" s="2">
        <v>1601</v>
      </c>
      <c r="BC662" s="2">
        <v>1621</v>
      </c>
      <c r="BD662" s="2" t="s">
        <v>74</v>
      </c>
      <c r="BE662" s="2" t="s">
        <v>6363</v>
      </c>
      <c r="BF662" s="2" t="str">
        <f>HYPERLINK("http://dx.doi.org/10.1163/1568539X-00003295","http://dx.doi.org/10.1163/1568539X-00003295")</f>
        <v>http://dx.doi.org/10.1163/1568539X-00003295</v>
      </c>
      <c r="BG662" s="2" t="s">
        <v>74</v>
      </c>
      <c r="BH662" s="2" t="s">
        <v>74</v>
      </c>
      <c r="BI662" s="2" t="s">
        <v>74</v>
      </c>
      <c r="BJ662" s="2" t="s">
        <v>74</v>
      </c>
      <c r="BK662" s="2" t="s">
        <v>74</v>
      </c>
      <c r="BL662" s="2" t="s">
        <v>74</v>
      </c>
      <c r="BM662" s="2" t="s">
        <v>74</v>
      </c>
      <c r="BN662" s="2" t="s">
        <v>74</v>
      </c>
      <c r="BO662" s="2" t="s">
        <v>74</v>
      </c>
      <c r="BP662" s="2" t="s">
        <v>74</v>
      </c>
      <c r="BQ662" s="2" t="s">
        <v>74</v>
      </c>
      <c r="BR662" s="2" t="s">
        <v>74</v>
      </c>
      <c r="BS662" s="2" t="s">
        <v>6364</v>
      </c>
      <c r="BT662" s="2" t="str">
        <f>HYPERLINK("https%3A%2F%2Fwww.webofscience.com%2Fwos%2Fwoscc%2Ffull-record%2FWOS:000362911000001","View Full Record in Web of Science")</f>
        <v>View Full Record in Web of Science</v>
      </c>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row>
    <row r="663" spans="1:314" s="2" customFormat="1" x14ac:dyDescent="0.4">
      <c r="A663" s="2" t="s">
        <v>72</v>
      </c>
      <c r="B663" s="2" t="s">
        <v>8706</v>
      </c>
      <c r="C663" s="2" t="s">
        <v>74</v>
      </c>
      <c r="D663" s="2" t="s">
        <v>74</v>
      </c>
      <c r="E663" s="2" t="s">
        <v>74</v>
      </c>
      <c r="F663" s="2" t="s">
        <v>8707</v>
      </c>
      <c r="G663" s="2" t="s">
        <v>74</v>
      </c>
      <c r="H663" s="2" t="s">
        <v>74</v>
      </c>
      <c r="I663" s="2" t="s">
        <v>8708</v>
      </c>
      <c r="J663" s="2" t="s">
        <v>4522</v>
      </c>
      <c r="K663" s="2" t="s">
        <v>74</v>
      </c>
      <c r="L663" s="2" t="s">
        <v>74</v>
      </c>
      <c r="M663" s="2" t="s">
        <v>74</v>
      </c>
      <c r="N663" s="2" t="s">
        <v>74</v>
      </c>
      <c r="O663" s="2" t="s">
        <v>74</v>
      </c>
      <c r="P663" s="2" t="s">
        <v>74</v>
      </c>
      <c r="Q663" s="2" t="s">
        <v>74</v>
      </c>
      <c r="R663" s="2" t="s">
        <v>74</v>
      </c>
      <c r="S663" s="2" t="s">
        <v>74</v>
      </c>
      <c r="T663" s="2" t="s">
        <v>74</v>
      </c>
      <c r="U663" s="2" t="s">
        <v>74</v>
      </c>
      <c r="V663" s="5" t="s">
        <v>8709</v>
      </c>
      <c r="W663" s="2" t="s">
        <v>74</v>
      </c>
      <c r="X663" s="2" t="s">
        <v>74</v>
      </c>
      <c r="Y663" s="2" t="s">
        <v>74</v>
      </c>
      <c r="Z663" s="2" t="s">
        <v>74</v>
      </c>
      <c r="AA663" s="2" t="s">
        <v>8710</v>
      </c>
      <c r="AB663" s="2" t="s">
        <v>8711</v>
      </c>
      <c r="AC663" s="2" t="s">
        <v>74</v>
      </c>
      <c r="AD663" s="2" t="s">
        <v>74</v>
      </c>
      <c r="AE663" s="2" t="s">
        <v>74</v>
      </c>
      <c r="AF663" s="2" t="s">
        <v>74</v>
      </c>
      <c r="AG663" s="2" t="s">
        <v>74</v>
      </c>
      <c r="AH663" s="2" t="s">
        <v>74</v>
      </c>
      <c r="AI663" s="2" t="s">
        <v>74</v>
      </c>
      <c r="AJ663" s="2" t="s">
        <v>74</v>
      </c>
      <c r="AK663" s="2" t="s">
        <v>74</v>
      </c>
      <c r="AL663" s="2" t="s">
        <v>74</v>
      </c>
      <c r="AM663" s="2" t="s">
        <v>74</v>
      </c>
      <c r="AN663" s="2" t="s">
        <v>74</v>
      </c>
      <c r="AO663" s="2" t="s">
        <v>4526</v>
      </c>
      <c r="AP663" s="2" t="s">
        <v>4527</v>
      </c>
      <c r="AQ663" s="2" t="s">
        <v>74</v>
      </c>
      <c r="AR663" s="2" t="s">
        <v>74</v>
      </c>
      <c r="AS663" s="2" t="s">
        <v>74</v>
      </c>
      <c r="AT663" s="2" t="s">
        <v>8712</v>
      </c>
      <c r="AU663" s="2">
        <v>2016</v>
      </c>
      <c r="AV663" s="2">
        <v>50</v>
      </c>
      <c r="AW663" s="2" t="s">
        <v>8713</v>
      </c>
      <c r="AX663" s="2" t="s">
        <v>74</v>
      </c>
      <c r="AY663" s="2" t="s">
        <v>74</v>
      </c>
      <c r="AZ663" s="2" t="s">
        <v>74</v>
      </c>
      <c r="BA663" s="2" t="s">
        <v>74</v>
      </c>
      <c r="BB663" s="2">
        <v>1283</v>
      </c>
      <c r="BC663" s="2">
        <v>1289</v>
      </c>
      <c r="BD663" s="2" t="s">
        <v>74</v>
      </c>
      <c r="BE663" s="2" t="s">
        <v>8714</v>
      </c>
      <c r="BF663" s="2" t="str">
        <f>HYPERLINK("http://dx.doi.org/10.1080/00222933.2015.1105318","http://dx.doi.org/10.1080/00222933.2015.1105318")</f>
        <v>http://dx.doi.org/10.1080/00222933.2015.1105318</v>
      </c>
      <c r="BG663" s="2" t="s">
        <v>74</v>
      </c>
      <c r="BH663" s="2" t="s">
        <v>74</v>
      </c>
      <c r="BI663" s="2" t="s">
        <v>74</v>
      </c>
      <c r="BJ663" s="2" t="s">
        <v>74</v>
      </c>
      <c r="BK663" s="2" t="s">
        <v>74</v>
      </c>
      <c r="BL663" s="2" t="s">
        <v>74</v>
      </c>
      <c r="BM663" s="2" t="s">
        <v>74</v>
      </c>
      <c r="BN663" s="2" t="s">
        <v>74</v>
      </c>
      <c r="BO663" s="2" t="s">
        <v>74</v>
      </c>
      <c r="BP663" s="2" t="s">
        <v>74</v>
      </c>
      <c r="BQ663" s="2" t="s">
        <v>74</v>
      </c>
      <c r="BR663" s="2" t="s">
        <v>74</v>
      </c>
      <c r="BS663" s="2" t="s">
        <v>8715</v>
      </c>
      <c r="BT663" s="2" t="str">
        <f>HYPERLINK("https%3A%2F%2Fwww.webofscience.com%2Fwos%2Fwoscc%2Ffull-record%2FWOS:000373297600001","View Full Record in Web of Science")</f>
        <v>View Full Record in Web of Science</v>
      </c>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row>
    <row r="664" spans="1:314" s="2" customFormat="1" x14ac:dyDescent="0.4">
      <c r="A664" s="2" t="s">
        <v>72</v>
      </c>
      <c r="B664" s="2" t="s">
        <v>4512</v>
      </c>
      <c r="C664" s="2" t="s">
        <v>74</v>
      </c>
      <c r="D664" s="2" t="s">
        <v>74</v>
      </c>
      <c r="E664" s="2" t="s">
        <v>74</v>
      </c>
      <c r="F664" s="2" t="s">
        <v>4513</v>
      </c>
      <c r="G664" s="2" t="s">
        <v>74</v>
      </c>
      <c r="H664" s="2" t="s">
        <v>74</v>
      </c>
      <c r="I664" s="2" t="s">
        <v>4514</v>
      </c>
      <c r="J664" s="2" t="s">
        <v>1949</v>
      </c>
      <c r="K664" s="2" t="s">
        <v>74</v>
      </c>
      <c r="L664" s="2" t="s">
        <v>74</v>
      </c>
      <c r="M664" s="2" t="s">
        <v>74</v>
      </c>
      <c r="N664" s="2" t="s">
        <v>74</v>
      </c>
      <c r="O664" s="2" t="s">
        <v>74</v>
      </c>
      <c r="P664" s="2" t="s">
        <v>74</v>
      </c>
      <c r="Q664" s="2" t="s">
        <v>74</v>
      </c>
      <c r="R664" s="2" t="s">
        <v>74</v>
      </c>
      <c r="S664" s="2" t="s">
        <v>74</v>
      </c>
      <c r="T664" s="2" t="s">
        <v>74</v>
      </c>
      <c r="U664" s="2" t="s">
        <v>74</v>
      </c>
      <c r="V664" s="5" t="s">
        <v>4515</v>
      </c>
      <c r="W664" s="2" t="s">
        <v>74</v>
      </c>
      <c r="X664" s="2" t="s">
        <v>74</v>
      </c>
      <c r="Y664" s="2" t="s">
        <v>74</v>
      </c>
      <c r="Z664" s="2" t="s">
        <v>74</v>
      </c>
      <c r="AA664" s="2" t="s">
        <v>74</v>
      </c>
      <c r="AB664" s="2" t="s">
        <v>4516</v>
      </c>
      <c r="AC664" s="2" t="s">
        <v>74</v>
      </c>
      <c r="AD664" s="2" t="s">
        <v>74</v>
      </c>
      <c r="AE664" s="2" t="s">
        <v>74</v>
      </c>
      <c r="AF664" s="2" t="s">
        <v>74</v>
      </c>
      <c r="AG664" s="2" t="s">
        <v>74</v>
      </c>
      <c r="AH664" s="2" t="s">
        <v>74</v>
      </c>
      <c r="AI664" s="2" t="s">
        <v>74</v>
      </c>
      <c r="AJ664" s="2" t="s">
        <v>74</v>
      </c>
      <c r="AK664" s="2" t="s">
        <v>74</v>
      </c>
      <c r="AL664" s="2" t="s">
        <v>74</v>
      </c>
      <c r="AM664" s="2" t="s">
        <v>74</v>
      </c>
      <c r="AN664" s="2" t="s">
        <v>74</v>
      </c>
      <c r="AO664" s="2" t="s">
        <v>74</v>
      </c>
      <c r="AP664" s="2" t="s">
        <v>1953</v>
      </c>
      <c r="AQ664" s="2" t="s">
        <v>74</v>
      </c>
      <c r="AR664" s="2" t="s">
        <v>74</v>
      </c>
      <c r="AS664" s="2" t="s">
        <v>74</v>
      </c>
      <c r="AT664" s="2" t="s">
        <v>204</v>
      </c>
      <c r="AU664" s="2">
        <v>2024</v>
      </c>
      <c r="AV664" s="2">
        <v>15</v>
      </c>
      <c r="AW664" s="2">
        <v>7</v>
      </c>
      <c r="AX664" s="2" t="s">
        <v>74</v>
      </c>
      <c r="AY664" s="2" t="s">
        <v>74</v>
      </c>
      <c r="AZ664" s="2" t="s">
        <v>74</v>
      </c>
      <c r="BA664" s="2" t="s">
        <v>74</v>
      </c>
      <c r="BB664" s="2" t="s">
        <v>74</v>
      </c>
      <c r="BC664" s="2" t="s">
        <v>74</v>
      </c>
      <c r="BD664" s="2">
        <v>548</v>
      </c>
      <c r="BE664" s="2" t="s">
        <v>4517</v>
      </c>
      <c r="BF664" s="2" t="str">
        <f>HYPERLINK("http://dx.doi.org/10.3390/insects15070548","http://dx.doi.org/10.3390/insects15070548")</f>
        <v>http://dx.doi.org/10.3390/insects15070548</v>
      </c>
      <c r="BG664" s="2" t="s">
        <v>74</v>
      </c>
      <c r="BH664" s="2" t="s">
        <v>74</v>
      </c>
      <c r="BI664" s="2" t="s">
        <v>74</v>
      </c>
      <c r="BJ664" s="2" t="s">
        <v>74</v>
      </c>
      <c r="BK664" s="2" t="s">
        <v>74</v>
      </c>
      <c r="BL664" s="2" t="s">
        <v>74</v>
      </c>
      <c r="BM664" s="2" t="s">
        <v>74</v>
      </c>
      <c r="BN664" s="2">
        <v>39057280</v>
      </c>
      <c r="BO664" s="2" t="s">
        <v>74</v>
      </c>
      <c r="BP664" s="2" t="s">
        <v>74</v>
      </c>
      <c r="BQ664" s="2" t="s">
        <v>74</v>
      </c>
      <c r="BR664" s="2" t="s">
        <v>74</v>
      </c>
      <c r="BS664" s="2" t="s">
        <v>4518</v>
      </c>
      <c r="BT664" s="2" t="str">
        <f>HYPERLINK("https%3A%2F%2Fwww.webofscience.com%2Fwos%2Fwoscc%2Ffull-record%2FWOS:001278556300001","View Full Record in Web of Science")</f>
        <v>View Full Record in Web of Science</v>
      </c>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row>
    <row r="665" spans="1:314" s="2" customFormat="1" x14ac:dyDescent="0.4">
      <c r="A665" s="2" t="s">
        <v>72</v>
      </c>
      <c r="B665" s="2" t="s">
        <v>7648</v>
      </c>
      <c r="C665" s="2" t="s">
        <v>74</v>
      </c>
      <c r="D665" s="2" t="s">
        <v>74</v>
      </c>
      <c r="E665" s="2" t="s">
        <v>74</v>
      </c>
      <c r="F665" s="2" t="s">
        <v>7649</v>
      </c>
      <c r="G665" s="2" t="s">
        <v>74</v>
      </c>
      <c r="H665" s="2" t="s">
        <v>74</v>
      </c>
      <c r="I665" s="2" t="s">
        <v>7650</v>
      </c>
      <c r="J665" s="2" t="s">
        <v>6968</v>
      </c>
      <c r="K665" s="2" t="s">
        <v>74</v>
      </c>
      <c r="L665" s="2" t="s">
        <v>74</v>
      </c>
      <c r="M665" s="2" t="s">
        <v>74</v>
      </c>
      <c r="N665" s="2" t="s">
        <v>74</v>
      </c>
      <c r="O665" s="2" t="s">
        <v>74</v>
      </c>
      <c r="P665" s="2" t="s">
        <v>74</v>
      </c>
      <c r="Q665" s="2" t="s">
        <v>74</v>
      </c>
      <c r="R665" s="2" t="s">
        <v>74</v>
      </c>
      <c r="S665" s="2" t="s">
        <v>74</v>
      </c>
      <c r="T665" s="2" t="s">
        <v>74</v>
      </c>
      <c r="U665" s="2" t="s">
        <v>74</v>
      </c>
      <c r="V665" s="5" t="s">
        <v>7651</v>
      </c>
      <c r="W665" s="2" t="s">
        <v>74</v>
      </c>
      <c r="X665" s="2" t="s">
        <v>74</v>
      </c>
      <c r="Y665" s="2" t="s">
        <v>74</v>
      </c>
      <c r="Z665" s="2" t="s">
        <v>74</v>
      </c>
      <c r="AA665" s="2" t="s">
        <v>74</v>
      </c>
      <c r="AB665" s="2" t="s">
        <v>74</v>
      </c>
      <c r="AC665" s="2" t="s">
        <v>74</v>
      </c>
      <c r="AD665" s="2" t="s">
        <v>74</v>
      </c>
      <c r="AE665" s="2" t="s">
        <v>74</v>
      </c>
      <c r="AF665" s="2" t="s">
        <v>74</v>
      </c>
      <c r="AG665" s="2" t="s">
        <v>74</v>
      </c>
      <c r="AH665" s="2" t="s">
        <v>74</v>
      </c>
      <c r="AI665" s="2" t="s">
        <v>74</v>
      </c>
      <c r="AJ665" s="2" t="s">
        <v>74</v>
      </c>
      <c r="AK665" s="2" t="s">
        <v>74</v>
      </c>
      <c r="AL665" s="2" t="s">
        <v>74</v>
      </c>
      <c r="AM665" s="2" t="s">
        <v>74</v>
      </c>
      <c r="AN665" s="2" t="s">
        <v>74</v>
      </c>
      <c r="AO665" s="2" t="s">
        <v>6970</v>
      </c>
      <c r="AP665" s="2" t="s">
        <v>6971</v>
      </c>
      <c r="AQ665" s="2" t="s">
        <v>74</v>
      </c>
      <c r="AR665" s="2" t="s">
        <v>74</v>
      </c>
      <c r="AS665" s="2" t="s">
        <v>74</v>
      </c>
      <c r="AT665" s="2" t="s">
        <v>352</v>
      </c>
      <c r="AU665" s="2">
        <v>2021</v>
      </c>
      <c r="AV665" s="2">
        <v>21</v>
      </c>
      <c r="AW665" s="2">
        <v>3</v>
      </c>
      <c r="AX665" s="2" t="s">
        <v>74</v>
      </c>
      <c r="AY665" s="2" t="s">
        <v>74</v>
      </c>
      <c r="AZ665" s="2" t="s">
        <v>74</v>
      </c>
      <c r="BA665" s="2" t="s">
        <v>74</v>
      </c>
      <c r="BB665" s="2">
        <v>533</v>
      </c>
      <c r="BC665" s="2">
        <v>545</v>
      </c>
      <c r="BD665" s="2" t="s">
        <v>74</v>
      </c>
      <c r="BE665" s="2" t="s">
        <v>7652</v>
      </c>
      <c r="BF665" s="2" t="str">
        <f>HYPERLINK("http://dx.doi.org/10.1007/s13127-021-00498-9","http://dx.doi.org/10.1007/s13127-021-00498-9")</f>
        <v>http://dx.doi.org/10.1007/s13127-021-00498-9</v>
      </c>
      <c r="BG665" s="2" t="s">
        <v>74</v>
      </c>
      <c r="BH665" s="2" t="s">
        <v>224</v>
      </c>
      <c r="BI665" s="2" t="s">
        <v>74</v>
      </c>
      <c r="BJ665" s="2" t="s">
        <v>74</v>
      </c>
      <c r="BK665" s="2" t="s">
        <v>74</v>
      </c>
      <c r="BL665" s="2" t="s">
        <v>74</v>
      </c>
      <c r="BM665" s="2" t="s">
        <v>74</v>
      </c>
      <c r="BN665" s="2" t="s">
        <v>74</v>
      </c>
      <c r="BO665" s="2" t="s">
        <v>74</v>
      </c>
      <c r="BP665" s="2" t="s">
        <v>74</v>
      </c>
      <c r="BQ665" s="2" t="s">
        <v>74</v>
      </c>
      <c r="BR665" s="2" t="s">
        <v>74</v>
      </c>
      <c r="BS665" s="2" t="s">
        <v>7653</v>
      </c>
      <c r="BT665" s="2" t="str">
        <f>HYPERLINK("https%3A%2F%2Fwww.webofscience.com%2Fwos%2Fwoscc%2Ffull-record%2FWOS:000665705600001","View Full Record in Web of Science")</f>
        <v>View Full Record in Web of Science</v>
      </c>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row>
    <row r="666" spans="1:314" s="2" customFormat="1" x14ac:dyDescent="0.4">
      <c r="A666" s="2" t="s">
        <v>72</v>
      </c>
      <c r="B666" s="2" t="s">
        <v>8227</v>
      </c>
      <c r="C666" s="2" t="s">
        <v>74</v>
      </c>
      <c r="D666" s="2" t="s">
        <v>74</v>
      </c>
      <c r="E666" s="2" t="s">
        <v>74</v>
      </c>
      <c r="F666" s="2" t="s">
        <v>8228</v>
      </c>
      <c r="G666" s="2" t="s">
        <v>74</v>
      </c>
      <c r="H666" s="2" t="s">
        <v>74</v>
      </c>
      <c r="I666" s="2" t="s">
        <v>8229</v>
      </c>
      <c r="J666" s="2" t="s">
        <v>8230</v>
      </c>
      <c r="K666" s="2" t="s">
        <v>74</v>
      </c>
      <c r="L666" s="2" t="s">
        <v>74</v>
      </c>
      <c r="M666" s="2" t="s">
        <v>74</v>
      </c>
      <c r="N666" s="2" t="s">
        <v>74</v>
      </c>
      <c r="O666" s="2" t="s">
        <v>74</v>
      </c>
      <c r="P666" s="2" t="s">
        <v>74</v>
      </c>
      <c r="Q666" s="2" t="s">
        <v>74</v>
      </c>
      <c r="R666" s="2" t="s">
        <v>74</v>
      </c>
      <c r="S666" s="2" t="s">
        <v>74</v>
      </c>
      <c r="T666" s="2" t="s">
        <v>74</v>
      </c>
      <c r="U666" s="2" t="s">
        <v>74</v>
      </c>
      <c r="V666" s="5" t="s">
        <v>8231</v>
      </c>
      <c r="W666" s="2" t="s">
        <v>74</v>
      </c>
      <c r="X666" s="2" t="s">
        <v>74</v>
      </c>
      <c r="Y666" s="2" t="s">
        <v>74</v>
      </c>
      <c r="Z666" s="2" t="s">
        <v>74</v>
      </c>
      <c r="AA666" s="2" t="s">
        <v>74</v>
      </c>
      <c r="AB666" s="2" t="s">
        <v>8232</v>
      </c>
      <c r="AC666" s="2" t="s">
        <v>74</v>
      </c>
      <c r="AD666" s="2" t="s">
        <v>74</v>
      </c>
      <c r="AE666" s="2" t="s">
        <v>74</v>
      </c>
      <c r="AF666" s="2" t="s">
        <v>74</v>
      </c>
      <c r="AG666" s="2" t="s">
        <v>74</v>
      </c>
      <c r="AH666" s="2" t="s">
        <v>74</v>
      </c>
      <c r="AI666" s="2" t="s">
        <v>74</v>
      </c>
      <c r="AJ666" s="2" t="s">
        <v>74</v>
      </c>
      <c r="AK666" s="2" t="s">
        <v>74</v>
      </c>
      <c r="AL666" s="2" t="s">
        <v>74</v>
      </c>
      <c r="AM666" s="2" t="s">
        <v>74</v>
      </c>
      <c r="AN666" s="2" t="s">
        <v>74</v>
      </c>
      <c r="AO666" s="2" t="s">
        <v>8233</v>
      </c>
      <c r="AP666" s="2" t="s">
        <v>8234</v>
      </c>
      <c r="AQ666" s="2" t="s">
        <v>74</v>
      </c>
      <c r="AR666" s="2" t="s">
        <v>74</v>
      </c>
      <c r="AS666" s="2" t="s">
        <v>74</v>
      </c>
      <c r="AT666" s="2" t="s">
        <v>204</v>
      </c>
      <c r="AU666" s="2">
        <v>2010</v>
      </c>
      <c r="AV666" s="2">
        <v>23</v>
      </c>
      <c r="AW666" s="2">
        <v>7</v>
      </c>
      <c r="AX666" s="2" t="s">
        <v>74</v>
      </c>
      <c r="AY666" s="2" t="s">
        <v>74</v>
      </c>
      <c r="AZ666" s="2" t="s">
        <v>74</v>
      </c>
      <c r="BA666" s="2" t="s">
        <v>74</v>
      </c>
      <c r="BB666" s="2">
        <v>952</v>
      </c>
      <c r="BC666" s="2">
        <v>959</v>
      </c>
      <c r="BD666" s="2" t="s">
        <v>74</v>
      </c>
      <c r="BE666" s="2" t="s">
        <v>8235</v>
      </c>
      <c r="BF666" s="2" t="str">
        <f>HYPERLINK("http://dx.doi.org/10.5713/ajas.2010.90276","http://dx.doi.org/10.5713/ajas.2010.90276")</f>
        <v>http://dx.doi.org/10.5713/ajas.2010.90276</v>
      </c>
      <c r="BG666" s="2" t="s">
        <v>74</v>
      </c>
      <c r="BH666" s="2" t="s">
        <v>74</v>
      </c>
      <c r="BI666" s="2" t="s">
        <v>74</v>
      </c>
      <c r="BJ666" s="2" t="s">
        <v>74</v>
      </c>
      <c r="BK666" s="2" t="s">
        <v>74</v>
      </c>
      <c r="BL666" s="2" t="s">
        <v>74</v>
      </c>
      <c r="BM666" s="2" t="s">
        <v>74</v>
      </c>
      <c r="BN666" s="2" t="s">
        <v>74</v>
      </c>
      <c r="BO666" s="2" t="s">
        <v>74</v>
      </c>
      <c r="BP666" s="2" t="s">
        <v>74</v>
      </c>
      <c r="BQ666" s="2" t="s">
        <v>74</v>
      </c>
      <c r="BR666" s="2" t="s">
        <v>74</v>
      </c>
      <c r="BS666" s="2" t="s">
        <v>8236</v>
      </c>
      <c r="BT666" s="2" t="str">
        <f>HYPERLINK("https%3A%2F%2Fwww.webofscience.com%2Fwos%2Fwoscc%2Ffull-record%2FWOS:000279576700016","View Full Record in Web of Science")</f>
        <v>View Full Record in Web of Science</v>
      </c>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row>
    <row r="667" spans="1:314" s="2" customFormat="1" x14ac:dyDescent="0.4">
      <c r="A667" s="2" t="s">
        <v>72</v>
      </c>
      <c r="B667" s="2" t="s">
        <v>6510</v>
      </c>
      <c r="C667" s="2" t="s">
        <v>74</v>
      </c>
      <c r="D667" s="2" t="s">
        <v>74</v>
      </c>
      <c r="E667" s="2" t="s">
        <v>74</v>
      </c>
      <c r="F667" s="2" t="s">
        <v>6511</v>
      </c>
      <c r="G667" s="2" t="s">
        <v>74</v>
      </c>
      <c r="H667" s="2" t="s">
        <v>74</v>
      </c>
      <c r="I667" s="2" t="s">
        <v>6512</v>
      </c>
      <c r="J667" s="2" t="s">
        <v>6513</v>
      </c>
      <c r="K667" s="2" t="s">
        <v>74</v>
      </c>
      <c r="L667" s="2" t="s">
        <v>74</v>
      </c>
      <c r="M667" s="2" t="s">
        <v>74</v>
      </c>
      <c r="N667" s="2" t="s">
        <v>74</v>
      </c>
      <c r="O667" s="2" t="s">
        <v>74</v>
      </c>
      <c r="P667" s="2" t="s">
        <v>74</v>
      </c>
      <c r="Q667" s="2" t="s">
        <v>74</v>
      </c>
      <c r="R667" s="2" t="s">
        <v>74</v>
      </c>
      <c r="S667" s="2" t="s">
        <v>74</v>
      </c>
      <c r="T667" s="2" t="s">
        <v>74</v>
      </c>
      <c r="U667" s="2" t="s">
        <v>74</v>
      </c>
      <c r="V667" s="5" t="s">
        <v>6514</v>
      </c>
      <c r="W667" s="2" t="s">
        <v>74</v>
      </c>
      <c r="X667" s="2" t="s">
        <v>74</v>
      </c>
      <c r="Y667" s="2" t="s">
        <v>74</v>
      </c>
      <c r="Z667" s="2" t="s">
        <v>74</v>
      </c>
      <c r="AA667" s="2" t="s">
        <v>6515</v>
      </c>
      <c r="AB667" s="2" t="s">
        <v>6516</v>
      </c>
      <c r="AC667" s="2" t="s">
        <v>74</v>
      </c>
      <c r="AD667" s="2" t="s">
        <v>74</v>
      </c>
      <c r="AE667" s="2" t="s">
        <v>74</v>
      </c>
      <c r="AF667" s="2" t="s">
        <v>74</v>
      </c>
      <c r="AG667" s="2" t="s">
        <v>74</v>
      </c>
      <c r="AH667" s="2" t="s">
        <v>74</v>
      </c>
      <c r="AI667" s="2" t="s">
        <v>74</v>
      </c>
      <c r="AJ667" s="2" t="s">
        <v>74</v>
      </c>
      <c r="AK667" s="2" t="s">
        <v>74</v>
      </c>
      <c r="AL667" s="2" t="s">
        <v>74</v>
      </c>
      <c r="AM667" s="2" t="s">
        <v>74</v>
      </c>
      <c r="AN667" s="2" t="s">
        <v>74</v>
      </c>
      <c r="AO667" s="2" t="s">
        <v>74</v>
      </c>
      <c r="AP667" s="2" t="s">
        <v>6517</v>
      </c>
      <c r="AQ667" s="2" t="s">
        <v>74</v>
      </c>
      <c r="AR667" s="2" t="s">
        <v>74</v>
      </c>
      <c r="AS667" s="2" t="s">
        <v>74</v>
      </c>
      <c r="AT667" s="2" t="s">
        <v>352</v>
      </c>
      <c r="AU667" s="2">
        <v>2022</v>
      </c>
      <c r="AV667" s="2">
        <v>4</v>
      </c>
      <c r="AW667" s="2">
        <v>5</v>
      </c>
      <c r="AX667" s="2" t="s">
        <v>74</v>
      </c>
      <c r="AY667" s="2" t="s">
        <v>74</v>
      </c>
      <c r="AZ667" s="2" t="s">
        <v>74</v>
      </c>
      <c r="BA667" s="2" t="s">
        <v>74</v>
      </c>
      <c r="BB667" s="2">
        <v>499</v>
      </c>
      <c r="BC667" s="2">
        <v>510</v>
      </c>
      <c r="BD667" s="2" t="s">
        <v>74</v>
      </c>
      <c r="BE667" s="2" t="s">
        <v>6518</v>
      </c>
      <c r="BF667" s="2" t="str">
        <f>HYPERLINK("http://dx.doi.org/10.1002/ppp3.10286","http://dx.doi.org/10.1002/ppp3.10286")</f>
        <v>http://dx.doi.org/10.1002/ppp3.10286</v>
      </c>
      <c r="BG667" s="2" t="s">
        <v>74</v>
      </c>
      <c r="BH667" s="2" t="s">
        <v>2832</v>
      </c>
      <c r="BI667" s="2" t="s">
        <v>74</v>
      </c>
      <c r="BJ667" s="2" t="s">
        <v>74</v>
      </c>
      <c r="BK667" s="2" t="s">
        <v>74</v>
      </c>
      <c r="BL667" s="2" t="s">
        <v>74</v>
      </c>
      <c r="BM667" s="2" t="s">
        <v>74</v>
      </c>
      <c r="BN667" s="2" t="s">
        <v>74</v>
      </c>
      <c r="BO667" s="2" t="s">
        <v>74</v>
      </c>
      <c r="BP667" s="2" t="s">
        <v>74</v>
      </c>
      <c r="BQ667" s="2" t="s">
        <v>74</v>
      </c>
      <c r="BR667" s="2" t="s">
        <v>74</v>
      </c>
      <c r="BS667" s="2" t="s">
        <v>6519</v>
      </c>
      <c r="BT667" s="2" t="str">
        <f>HYPERLINK("https%3A%2F%2Fwww.webofscience.com%2Fwos%2Fwoscc%2Ffull-record%2FWOS:000820245800001","View Full Record in Web of Science")</f>
        <v>View Full Record in Web of Science</v>
      </c>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row>
    <row r="668" spans="1:314" s="2" customFormat="1" x14ac:dyDescent="0.4">
      <c r="A668" s="2" t="s">
        <v>72</v>
      </c>
      <c r="B668" s="2" t="s">
        <v>6150</v>
      </c>
      <c r="C668" s="2" t="s">
        <v>74</v>
      </c>
      <c r="D668" s="2" t="s">
        <v>74</v>
      </c>
      <c r="E668" s="2" t="s">
        <v>74</v>
      </c>
      <c r="F668" s="2" t="s">
        <v>6150</v>
      </c>
      <c r="G668" s="2" t="s">
        <v>74</v>
      </c>
      <c r="H668" s="2" t="s">
        <v>74</v>
      </c>
      <c r="I668" s="2" t="s">
        <v>6151</v>
      </c>
      <c r="J668" s="2" t="s">
        <v>6152</v>
      </c>
      <c r="K668" s="2" t="s">
        <v>74</v>
      </c>
      <c r="L668" s="2" t="s">
        <v>74</v>
      </c>
      <c r="M668" s="2" t="s">
        <v>74</v>
      </c>
      <c r="N668" s="2" t="s">
        <v>74</v>
      </c>
      <c r="O668" s="2" t="s">
        <v>74</v>
      </c>
      <c r="P668" s="2" t="s">
        <v>74</v>
      </c>
      <c r="Q668" s="2" t="s">
        <v>74</v>
      </c>
      <c r="R668" s="2" t="s">
        <v>74</v>
      </c>
      <c r="S668" s="2" t="s">
        <v>74</v>
      </c>
      <c r="T668" s="2" t="s">
        <v>74</v>
      </c>
      <c r="U668" s="2" t="s">
        <v>74</v>
      </c>
      <c r="V668" s="5" t="s">
        <v>6153</v>
      </c>
      <c r="W668" s="2" t="s">
        <v>74</v>
      </c>
      <c r="X668" s="2" t="s">
        <v>74</v>
      </c>
      <c r="Y668" s="2" t="s">
        <v>74</v>
      </c>
      <c r="Z668" s="2" t="s">
        <v>74</v>
      </c>
      <c r="AA668" s="2" t="s">
        <v>6154</v>
      </c>
      <c r="AB668" s="2" t="s">
        <v>6155</v>
      </c>
      <c r="AC668" s="2" t="s">
        <v>74</v>
      </c>
      <c r="AD668" s="2" t="s">
        <v>74</v>
      </c>
      <c r="AE668" s="2" t="s">
        <v>74</v>
      </c>
      <c r="AF668" s="2" t="s">
        <v>74</v>
      </c>
      <c r="AG668" s="2" t="s">
        <v>74</v>
      </c>
      <c r="AH668" s="2" t="s">
        <v>74</v>
      </c>
      <c r="AI668" s="2" t="s">
        <v>74</v>
      </c>
      <c r="AJ668" s="2" t="s">
        <v>74</v>
      </c>
      <c r="AK668" s="2" t="s">
        <v>74</v>
      </c>
      <c r="AL668" s="2" t="s">
        <v>74</v>
      </c>
      <c r="AM668" s="2" t="s">
        <v>74</v>
      </c>
      <c r="AN668" s="2" t="s">
        <v>74</v>
      </c>
      <c r="AO668" s="2" t="s">
        <v>6156</v>
      </c>
      <c r="AP668" s="2" t="s">
        <v>6157</v>
      </c>
      <c r="AQ668" s="2" t="s">
        <v>74</v>
      </c>
      <c r="AR668" s="2" t="s">
        <v>74</v>
      </c>
      <c r="AS668" s="2" t="s">
        <v>74</v>
      </c>
      <c r="AT668" s="2" t="s">
        <v>74</v>
      </c>
      <c r="AU668" s="2">
        <v>1984</v>
      </c>
      <c r="AV668" s="2">
        <v>116</v>
      </c>
      <c r="AW668" s="2">
        <v>6</v>
      </c>
      <c r="AX668" s="2" t="s">
        <v>74</v>
      </c>
      <c r="AY668" s="2" t="s">
        <v>74</v>
      </c>
      <c r="AZ668" s="2" t="s">
        <v>74</v>
      </c>
      <c r="BA668" s="2" t="s">
        <v>74</v>
      </c>
      <c r="BB668" s="2">
        <v>827</v>
      </c>
      <c r="BC668" s="2">
        <v>840</v>
      </c>
      <c r="BD668" s="2" t="s">
        <v>74</v>
      </c>
      <c r="BE668" s="2" t="s">
        <v>6158</v>
      </c>
      <c r="BF668" s="2" t="str">
        <f>HYPERLINK("http://dx.doi.org/10.4039/Ent116827-6","http://dx.doi.org/10.4039/Ent116827-6")</f>
        <v>http://dx.doi.org/10.4039/Ent116827-6</v>
      </c>
      <c r="BG668" s="2" t="s">
        <v>74</v>
      </c>
      <c r="BH668" s="2" t="s">
        <v>74</v>
      </c>
      <c r="BI668" s="2" t="s">
        <v>74</v>
      </c>
      <c r="BJ668" s="2" t="s">
        <v>74</v>
      </c>
      <c r="BK668" s="2" t="s">
        <v>74</v>
      </c>
      <c r="BL668" s="2" t="s">
        <v>74</v>
      </c>
      <c r="BM668" s="2" t="s">
        <v>74</v>
      </c>
      <c r="BN668" s="2" t="s">
        <v>74</v>
      </c>
      <c r="BO668" s="2" t="s">
        <v>74</v>
      </c>
      <c r="BP668" s="2" t="s">
        <v>74</v>
      </c>
      <c r="BQ668" s="2" t="s">
        <v>74</v>
      </c>
      <c r="BR668" s="2" t="s">
        <v>74</v>
      </c>
      <c r="BS668" s="2" t="s">
        <v>6159</v>
      </c>
      <c r="BT668" s="2" t="str">
        <f>HYPERLINK("https%3A%2F%2Fwww.webofscience.com%2Fwos%2Fwoscc%2Ffull-record%2FWOS:A1984SW69600006","View Full Record in Web of Science")</f>
        <v>View Full Record in Web of Science</v>
      </c>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row>
    <row r="669" spans="1:314" s="2" customFormat="1" x14ac:dyDescent="0.4">
      <c r="A669" s="2" t="s">
        <v>72</v>
      </c>
      <c r="B669" s="2" t="s">
        <v>6019</v>
      </c>
      <c r="C669" s="2" t="s">
        <v>74</v>
      </c>
      <c r="D669" s="2" t="s">
        <v>74</v>
      </c>
      <c r="E669" s="2" t="s">
        <v>74</v>
      </c>
      <c r="F669" s="2" t="s">
        <v>6020</v>
      </c>
      <c r="G669" s="2" t="s">
        <v>74</v>
      </c>
      <c r="H669" s="2" t="s">
        <v>74</v>
      </c>
      <c r="I669" s="2" t="s">
        <v>6021</v>
      </c>
      <c r="J669" s="2" t="s">
        <v>129</v>
      </c>
      <c r="K669" s="2" t="s">
        <v>74</v>
      </c>
      <c r="L669" s="2" t="s">
        <v>74</v>
      </c>
      <c r="M669" s="2" t="s">
        <v>74</v>
      </c>
      <c r="N669" s="2" t="s">
        <v>74</v>
      </c>
      <c r="O669" s="2" t="s">
        <v>74</v>
      </c>
      <c r="P669" s="2" t="s">
        <v>74</v>
      </c>
      <c r="Q669" s="2" t="s">
        <v>74</v>
      </c>
      <c r="R669" s="2" t="s">
        <v>74</v>
      </c>
      <c r="S669" s="2" t="s">
        <v>74</v>
      </c>
      <c r="T669" s="2" t="s">
        <v>74</v>
      </c>
      <c r="U669" s="2" t="s">
        <v>74</v>
      </c>
      <c r="V669" s="5" t="s">
        <v>6022</v>
      </c>
      <c r="W669" s="2" t="s">
        <v>74</v>
      </c>
      <c r="X669" s="2" t="s">
        <v>74</v>
      </c>
      <c r="Y669" s="2" t="s">
        <v>74</v>
      </c>
      <c r="Z669" s="2" t="s">
        <v>74</v>
      </c>
      <c r="AA669" s="2" t="s">
        <v>74</v>
      </c>
      <c r="AB669" s="2" t="s">
        <v>74</v>
      </c>
      <c r="AC669" s="2" t="s">
        <v>74</v>
      </c>
      <c r="AD669" s="2" t="s">
        <v>74</v>
      </c>
      <c r="AE669" s="2" t="s">
        <v>74</v>
      </c>
      <c r="AF669" s="2" t="s">
        <v>74</v>
      </c>
      <c r="AG669" s="2" t="s">
        <v>74</v>
      </c>
      <c r="AH669" s="2" t="s">
        <v>74</v>
      </c>
      <c r="AI669" s="2" t="s">
        <v>74</v>
      </c>
      <c r="AJ669" s="2" t="s">
        <v>74</v>
      </c>
      <c r="AK669" s="2" t="s">
        <v>74</v>
      </c>
      <c r="AL669" s="2" t="s">
        <v>74</v>
      </c>
      <c r="AM669" s="2" t="s">
        <v>74</v>
      </c>
      <c r="AN669" s="2" t="s">
        <v>74</v>
      </c>
      <c r="AO669" s="2" t="s">
        <v>132</v>
      </c>
      <c r="AP669" s="2" t="s">
        <v>133</v>
      </c>
      <c r="AQ669" s="2" t="s">
        <v>74</v>
      </c>
      <c r="AR669" s="2" t="s">
        <v>74</v>
      </c>
      <c r="AS669" s="2" t="s">
        <v>74</v>
      </c>
      <c r="AT669" s="2" t="s">
        <v>102</v>
      </c>
      <c r="AU669" s="2">
        <v>2019</v>
      </c>
      <c r="AV669" s="2">
        <v>73</v>
      </c>
      <c r="AW669" s="2">
        <v>6</v>
      </c>
      <c r="AX669" s="2" t="s">
        <v>74</v>
      </c>
      <c r="AY669" s="2" t="s">
        <v>74</v>
      </c>
      <c r="AZ669" s="2" t="s">
        <v>74</v>
      </c>
      <c r="BA669" s="2" t="s">
        <v>74</v>
      </c>
      <c r="BB669" s="2" t="s">
        <v>74</v>
      </c>
      <c r="BC669" s="2" t="s">
        <v>74</v>
      </c>
      <c r="BD669" s="2">
        <v>83</v>
      </c>
      <c r="BE669" s="2" t="s">
        <v>6023</v>
      </c>
      <c r="BF669" s="2" t="str">
        <f>HYPERLINK("http://dx.doi.org/10.1007/s00265-019-2691-y","http://dx.doi.org/10.1007/s00265-019-2691-y")</f>
        <v>http://dx.doi.org/10.1007/s00265-019-2691-y</v>
      </c>
      <c r="BG669" s="2" t="s">
        <v>74</v>
      </c>
      <c r="BH669" s="2" t="s">
        <v>74</v>
      </c>
      <c r="BI669" s="2" t="s">
        <v>74</v>
      </c>
      <c r="BJ669" s="2" t="s">
        <v>74</v>
      </c>
      <c r="BK669" s="2" t="s">
        <v>74</v>
      </c>
      <c r="BL669" s="2" t="s">
        <v>74</v>
      </c>
      <c r="BM669" s="2" t="s">
        <v>74</v>
      </c>
      <c r="BN669" s="2" t="s">
        <v>74</v>
      </c>
      <c r="BO669" s="2" t="s">
        <v>74</v>
      </c>
      <c r="BP669" s="2" t="s">
        <v>74</v>
      </c>
      <c r="BQ669" s="2" t="s">
        <v>74</v>
      </c>
      <c r="BR669" s="2" t="s">
        <v>74</v>
      </c>
      <c r="BS669" s="2" t="s">
        <v>6024</v>
      </c>
      <c r="BT669" s="2" t="str">
        <f>HYPERLINK("https%3A%2F%2Fwww.webofscience.com%2Fwos%2Fwoscc%2Ffull-record%2FWOS:000469197100001","View Full Record in Web of Science")</f>
        <v>View Full Record in Web of Science</v>
      </c>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row>
    <row r="670" spans="1:314" s="2" customFormat="1" x14ac:dyDescent="0.4">
      <c r="A670" s="2" t="s">
        <v>72</v>
      </c>
      <c r="B670" s="2" t="s">
        <v>1728</v>
      </c>
      <c r="C670" s="2" t="s">
        <v>74</v>
      </c>
      <c r="D670" s="2" t="s">
        <v>74</v>
      </c>
      <c r="E670" s="2" t="s">
        <v>74</v>
      </c>
      <c r="F670" s="2" t="s">
        <v>1729</v>
      </c>
      <c r="G670" s="2" t="s">
        <v>74</v>
      </c>
      <c r="H670" s="2" t="s">
        <v>74</v>
      </c>
      <c r="I670" s="2" t="s">
        <v>1730</v>
      </c>
      <c r="J670" s="2" t="s">
        <v>129</v>
      </c>
      <c r="K670" s="2" t="s">
        <v>74</v>
      </c>
      <c r="L670" s="2" t="s">
        <v>74</v>
      </c>
      <c r="M670" s="2" t="s">
        <v>74</v>
      </c>
      <c r="N670" s="2" t="s">
        <v>74</v>
      </c>
      <c r="O670" s="2" t="s">
        <v>74</v>
      </c>
      <c r="P670" s="2" t="s">
        <v>74</v>
      </c>
      <c r="Q670" s="2" t="s">
        <v>74</v>
      </c>
      <c r="R670" s="2" t="s">
        <v>74</v>
      </c>
      <c r="S670" s="2" t="s">
        <v>74</v>
      </c>
      <c r="T670" s="2" t="s">
        <v>74</v>
      </c>
      <c r="U670" s="2" t="s">
        <v>74</v>
      </c>
      <c r="V670" s="5" t="s">
        <v>1731</v>
      </c>
      <c r="W670" s="2" t="s">
        <v>74</v>
      </c>
      <c r="X670" s="2" t="s">
        <v>74</v>
      </c>
      <c r="Y670" s="2" t="s">
        <v>74</v>
      </c>
      <c r="Z670" s="2" t="s">
        <v>74</v>
      </c>
      <c r="AA670" s="2" t="s">
        <v>1011</v>
      </c>
      <c r="AB670" s="2" t="s">
        <v>1012</v>
      </c>
      <c r="AC670" s="2" t="s">
        <v>74</v>
      </c>
      <c r="AD670" s="2" t="s">
        <v>74</v>
      </c>
      <c r="AE670" s="2" t="s">
        <v>74</v>
      </c>
      <c r="AF670" s="2" t="s">
        <v>74</v>
      </c>
      <c r="AG670" s="2" t="s">
        <v>74</v>
      </c>
      <c r="AH670" s="2" t="s">
        <v>74</v>
      </c>
      <c r="AI670" s="2" t="s">
        <v>74</v>
      </c>
      <c r="AJ670" s="2" t="s">
        <v>74</v>
      </c>
      <c r="AK670" s="2" t="s">
        <v>74</v>
      </c>
      <c r="AL670" s="2" t="s">
        <v>74</v>
      </c>
      <c r="AM670" s="2" t="s">
        <v>74</v>
      </c>
      <c r="AN670" s="2" t="s">
        <v>74</v>
      </c>
      <c r="AO670" s="2" t="s">
        <v>132</v>
      </c>
      <c r="AP670" s="2" t="s">
        <v>133</v>
      </c>
      <c r="AQ670" s="2" t="s">
        <v>74</v>
      </c>
      <c r="AR670" s="2" t="s">
        <v>74</v>
      </c>
      <c r="AS670" s="2" t="s">
        <v>74</v>
      </c>
      <c r="AT670" s="2" t="s">
        <v>102</v>
      </c>
      <c r="AU670" s="2">
        <v>2014</v>
      </c>
      <c r="AV670" s="2">
        <v>68</v>
      </c>
      <c r="AW670" s="2">
        <v>6</v>
      </c>
      <c r="AX670" s="2" t="s">
        <v>74</v>
      </c>
      <c r="AY670" s="2" t="s">
        <v>74</v>
      </c>
      <c r="AZ670" s="2" t="s">
        <v>74</v>
      </c>
      <c r="BA670" s="2" t="s">
        <v>74</v>
      </c>
      <c r="BB670" s="2">
        <v>1007</v>
      </c>
      <c r="BC670" s="2">
        <v>1017</v>
      </c>
      <c r="BD670" s="2" t="s">
        <v>74</v>
      </c>
      <c r="BE670" s="2" t="s">
        <v>1732</v>
      </c>
      <c r="BF670" s="2" t="str">
        <f>HYPERLINK("http://dx.doi.org/10.1007/s00265-014-1713-z","http://dx.doi.org/10.1007/s00265-014-1713-z")</f>
        <v>http://dx.doi.org/10.1007/s00265-014-1713-z</v>
      </c>
      <c r="BG670" s="2" t="s">
        <v>74</v>
      </c>
      <c r="BH670" s="2" t="s">
        <v>74</v>
      </c>
      <c r="BI670" s="2" t="s">
        <v>74</v>
      </c>
      <c r="BJ670" s="2" t="s">
        <v>74</v>
      </c>
      <c r="BK670" s="2" t="s">
        <v>74</v>
      </c>
      <c r="BL670" s="2" t="s">
        <v>74</v>
      </c>
      <c r="BM670" s="2" t="s">
        <v>74</v>
      </c>
      <c r="BN670" s="2" t="s">
        <v>74</v>
      </c>
      <c r="BO670" s="2" t="s">
        <v>74</v>
      </c>
      <c r="BP670" s="2" t="s">
        <v>74</v>
      </c>
      <c r="BQ670" s="2" t="s">
        <v>74</v>
      </c>
      <c r="BR670" s="2" t="s">
        <v>74</v>
      </c>
      <c r="BS670" s="2" t="s">
        <v>1733</v>
      </c>
      <c r="BT670" s="2" t="str">
        <f>HYPERLINK("https%3A%2F%2Fwww.webofscience.com%2Fwos%2Fwoscc%2Ffull-record%2FWOS:000336022700013","View Full Record in Web of Science")</f>
        <v>View Full Record in Web of Science</v>
      </c>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row>
    <row r="671" spans="1:314" s="1" customFormat="1" x14ac:dyDescent="0.4">
      <c r="A671" s="2" t="s">
        <v>72</v>
      </c>
      <c r="B671" s="2" t="s">
        <v>3725</v>
      </c>
      <c r="C671" s="2" t="s">
        <v>74</v>
      </c>
      <c r="D671" s="2" t="s">
        <v>74</v>
      </c>
      <c r="E671" s="2" t="s">
        <v>74</v>
      </c>
      <c r="F671" s="2" t="s">
        <v>3726</v>
      </c>
      <c r="G671" s="2" t="s">
        <v>74</v>
      </c>
      <c r="H671" s="2" t="s">
        <v>74</v>
      </c>
      <c r="I671" s="2" t="s">
        <v>3727</v>
      </c>
      <c r="J671" s="2" t="s">
        <v>119</v>
      </c>
      <c r="K671" s="2" t="s">
        <v>74</v>
      </c>
      <c r="L671" s="2" t="s">
        <v>74</v>
      </c>
      <c r="M671" s="2" t="s">
        <v>74</v>
      </c>
      <c r="N671" s="2" t="s">
        <v>74</v>
      </c>
      <c r="O671" s="2" t="s">
        <v>74</v>
      </c>
      <c r="P671" s="2" t="s">
        <v>74</v>
      </c>
      <c r="Q671" s="2" t="s">
        <v>74</v>
      </c>
      <c r="R671" s="2" t="s">
        <v>74</v>
      </c>
      <c r="S671" s="2" t="s">
        <v>74</v>
      </c>
      <c r="T671" s="2" t="s">
        <v>74</v>
      </c>
      <c r="U671" s="2" t="s">
        <v>74</v>
      </c>
      <c r="V671" s="5" t="s">
        <v>3728</v>
      </c>
      <c r="W671" s="2" t="s">
        <v>74</v>
      </c>
      <c r="X671" s="2" t="s">
        <v>74</v>
      </c>
      <c r="Y671" s="2" t="s">
        <v>74</v>
      </c>
      <c r="Z671" s="2" t="s">
        <v>74</v>
      </c>
      <c r="AA671" s="2" t="s">
        <v>3729</v>
      </c>
      <c r="AB671" s="2" t="s">
        <v>3730</v>
      </c>
      <c r="AC671" s="2" t="s">
        <v>74</v>
      </c>
      <c r="AD671" s="2" t="s">
        <v>74</v>
      </c>
      <c r="AE671" s="2" t="s">
        <v>74</v>
      </c>
      <c r="AF671" s="2" t="s">
        <v>74</v>
      </c>
      <c r="AG671" s="2" t="s">
        <v>74</v>
      </c>
      <c r="AH671" s="2" t="s">
        <v>74</v>
      </c>
      <c r="AI671" s="2" t="s">
        <v>74</v>
      </c>
      <c r="AJ671" s="2" t="s">
        <v>74</v>
      </c>
      <c r="AK671" s="2" t="s">
        <v>74</v>
      </c>
      <c r="AL671" s="2" t="s">
        <v>74</v>
      </c>
      <c r="AM671" s="2" t="s">
        <v>74</v>
      </c>
      <c r="AN671" s="2" t="s">
        <v>74</v>
      </c>
      <c r="AO671" s="2" t="s">
        <v>121</v>
      </c>
      <c r="AP671" s="2" t="s">
        <v>122</v>
      </c>
      <c r="AQ671" s="2" t="s">
        <v>74</v>
      </c>
      <c r="AR671" s="2" t="s">
        <v>74</v>
      </c>
      <c r="AS671" s="2" t="s">
        <v>74</v>
      </c>
      <c r="AT671" s="2" t="s">
        <v>175</v>
      </c>
      <c r="AU671" s="2">
        <v>2016</v>
      </c>
      <c r="AV671" s="2">
        <v>131</v>
      </c>
      <c r="AW671" s="2" t="s">
        <v>74</v>
      </c>
      <c r="AX671" s="2" t="s">
        <v>74</v>
      </c>
      <c r="AY671" s="2" t="s">
        <v>74</v>
      </c>
      <c r="AZ671" s="2" t="s">
        <v>74</v>
      </c>
      <c r="BA671" s="2" t="s">
        <v>74</v>
      </c>
      <c r="BB671" s="2">
        <v>59</v>
      </c>
      <c r="BC671" s="2">
        <v>67</v>
      </c>
      <c r="BD671" s="2" t="s">
        <v>74</v>
      </c>
      <c r="BE671" s="2" t="s">
        <v>3731</v>
      </c>
      <c r="BF671" s="2" t="str">
        <f>HYPERLINK("http://dx.doi.org/10.1016/j.beproc.2016.08.010","http://dx.doi.org/10.1016/j.beproc.2016.08.010")</f>
        <v>http://dx.doi.org/10.1016/j.beproc.2016.08.010</v>
      </c>
      <c r="BG671" s="2" t="s">
        <v>74</v>
      </c>
      <c r="BH671" s="2" t="s">
        <v>74</v>
      </c>
      <c r="BI671" s="2" t="s">
        <v>74</v>
      </c>
      <c r="BJ671" s="2" t="s">
        <v>74</v>
      </c>
      <c r="BK671" s="2" t="s">
        <v>74</v>
      </c>
      <c r="BL671" s="2" t="s">
        <v>74</v>
      </c>
      <c r="BM671" s="2" t="s">
        <v>74</v>
      </c>
      <c r="BN671" s="2">
        <v>27561967</v>
      </c>
      <c r="BO671" s="2" t="s">
        <v>74</v>
      </c>
      <c r="BP671" s="2" t="s">
        <v>74</v>
      </c>
      <c r="BQ671" s="2" t="s">
        <v>74</v>
      </c>
      <c r="BR671" s="2" t="s">
        <v>74</v>
      </c>
      <c r="BS671" s="2" t="s">
        <v>3732</v>
      </c>
      <c r="BT671" s="2" t="str">
        <f>HYPERLINK("https%3A%2F%2Fwww.webofscience.com%2Fwos%2Fwoscc%2Ffull-record%2FWOS:000384383500009","View Full Record in Web of Science")</f>
        <v>View Full Record in Web of Science</v>
      </c>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row>
    <row r="672" spans="1:314" s="2" customFormat="1" x14ac:dyDescent="0.4">
      <c r="A672" s="2" t="s">
        <v>72</v>
      </c>
      <c r="B672" s="2" t="s">
        <v>1393</v>
      </c>
      <c r="C672" s="2" t="s">
        <v>74</v>
      </c>
      <c r="D672" s="2" t="s">
        <v>74</v>
      </c>
      <c r="E672" s="2" t="s">
        <v>74</v>
      </c>
      <c r="F672" s="2" t="s">
        <v>1394</v>
      </c>
      <c r="G672" s="2" t="s">
        <v>74</v>
      </c>
      <c r="H672" s="2" t="s">
        <v>74</v>
      </c>
      <c r="I672" s="2" t="s">
        <v>1395</v>
      </c>
      <c r="J672" s="2" t="s">
        <v>1396</v>
      </c>
      <c r="K672" s="2" t="s">
        <v>74</v>
      </c>
      <c r="L672" s="2" t="s">
        <v>74</v>
      </c>
      <c r="M672" s="2" t="s">
        <v>74</v>
      </c>
      <c r="N672" s="2" t="s">
        <v>74</v>
      </c>
      <c r="O672" s="2" t="s">
        <v>74</v>
      </c>
      <c r="P672" s="2" t="s">
        <v>74</v>
      </c>
      <c r="Q672" s="2" t="s">
        <v>74</v>
      </c>
      <c r="R672" s="2" t="s">
        <v>74</v>
      </c>
      <c r="S672" s="2" t="s">
        <v>74</v>
      </c>
      <c r="T672" s="2" t="s">
        <v>74</v>
      </c>
      <c r="U672" s="2" t="s">
        <v>74</v>
      </c>
      <c r="V672" s="5" t="s">
        <v>1397</v>
      </c>
      <c r="W672" s="2" t="s">
        <v>74</v>
      </c>
      <c r="X672" s="2" t="s">
        <v>74</v>
      </c>
      <c r="Y672" s="2" t="s">
        <v>74</v>
      </c>
      <c r="Z672" s="2" t="s">
        <v>74</v>
      </c>
      <c r="AA672" s="2" t="s">
        <v>1398</v>
      </c>
      <c r="AB672" s="2" t="s">
        <v>1399</v>
      </c>
      <c r="AC672" s="2" t="s">
        <v>74</v>
      </c>
      <c r="AD672" s="2" t="s">
        <v>74</v>
      </c>
      <c r="AE672" s="2" t="s">
        <v>74</v>
      </c>
      <c r="AF672" s="2" t="s">
        <v>74</v>
      </c>
      <c r="AG672" s="2" t="s">
        <v>74</v>
      </c>
      <c r="AH672" s="2" t="s">
        <v>74</v>
      </c>
      <c r="AI672" s="2" t="s">
        <v>74</v>
      </c>
      <c r="AJ672" s="2" t="s">
        <v>74</v>
      </c>
      <c r="AK672" s="2" t="s">
        <v>74</v>
      </c>
      <c r="AL672" s="2" t="s">
        <v>74</v>
      </c>
      <c r="AM672" s="2" t="s">
        <v>74</v>
      </c>
      <c r="AN672" s="2" t="s">
        <v>74</v>
      </c>
      <c r="AO672" s="2" t="s">
        <v>1400</v>
      </c>
      <c r="AP672" s="2" t="s">
        <v>74</v>
      </c>
      <c r="AQ672" s="2" t="s">
        <v>74</v>
      </c>
      <c r="AR672" s="2" t="s">
        <v>74</v>
      </c>
      <c r="AS672" s="2" t="s">
        <v>74</v>
      </c>
      <c r="AT672" s="2" t="s">
        <v>964</v>
      </c>
      <c r="AU672" s="2">
        <v>2013</v>
      </c>
      <c r="AV672" s="2">
        <v>51</v>
      </c>
      <c r="AW672" s="2">
        <v>1</v>
      </c>
      <c r="AX672" s="2" t="s">
        <v>74</v>
      </c>
      <c r="AY672" s="2" t="s">
        <v>74</v>
      </c>
      <c r="AZ672" s="2" t="s">
        <v>74</v>
      </c>
      <c r="BA672" s="2" t="s">
        <v>74</v>
      </c>
      <c r="BB672" s="2">
        <v>64</v>
      </c>
      <c r="BC672" s="2">
        <v>71</v>
      </c>
      <c r="BD672" s="2" t="s">
        <v>74</v>
      </c>
      <c r="BE672" s="2" t="s">
        <v>1401</v>
      </c>
      <c r="BF672" s="2" t="str">
        <f>HYPERLINK("http://dx.doi.org/10.1111/j.1439-0469.2012.00668.x","http://dx.doi.org/10.1111/j.1439-0469.2012.00668.x")</f>
        <v>http://dx.doi.org/10.1111/j.1439-0469.2012.00668.x</v>
      </c>
      <c r="BG672" s="2" t="s">
        <v>74</v>
      </c>
      <c r="BH672" s="2" t="s">
        <v>74</v>
      </c>
      <c r="BI672" s="2" t="s">
        <v>74</v>
      </c>
      <c r="BJ672" s="2" t="s">
        <v>74</v>
      </c>
      <c r="BK672" s="2" t="s">
        <v>74</v>
      </c>
      <c r="BL672" s="2" t="s">
        <v>74</v>
      </c>
      <c r="BM672" s="2" t="s">
        <v>74</v>
      </c>
      <c r="BN672" s="2" t="s">
        <v>74</v>
      </c>
      <c r="BO672" s="2" t="s">
        <v>74</v>
      </c>
      <c r="BP672" s="2" t="s">
        <v>74</v>
      </c>
      <c r="BQ672" s="2" t="s">
        <v>74</v>
      </c>
      <c r="BR672" s="2" t="s">
        <v>74</v>
      </c>
      <c r="BS672" s="2" t="s">
        <v>1402</v>
      </c>
      <c r="BT672" s="2" t="str">
        <f>HYPERLINK("https%3A%2F%2Fwww.webofscience.com%2Fwos%2Fwoscc%2Ffull-record%2FWOS:000313753400008","View Full Record in Web of Science")</f>
        <v>View Full Record in Web of Science</v>
      </c>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row>
    <row r="673" spans="1:314" s="2" customFormat="1" x14ac:dyDescent="0.4">
      <c r="A673" s="2" t="s">
        <v>72</v>
      </c>
      <c r="B673" s="2" t="s">
        <v>1393</v>
      </c>
      <c r="C673" s="2" t="s">
        <v>74</v>
      </c>
      <c r="D673" s="2" t="s">
        <v>74</v>
      </c>
      <c r="E673" s="2" t="s">
        <v>74</v>
      </c>
      <c r="F673" s="2" t="s">
        <v>1394</v>
      </c>
      <c r="G673" s="2" t="s">
        <v>74</v>
      </c>
      <c r="H673" s="2" t="s">
        <v>74</v>
      </c>
      <c r="I673" s="2" t="s">
        <v>1749</v>
      </c>
      <c r="J673" s="2" t="s">
        <v>140</v>
      </c>
      <c r="K673" s="2" t="s">
        <v>74</v>
      </c>
      <c r="L673" s="2" t="s">
        <v>74</v>
      </c>
      <c r="M673" s="2" t="s">
        <v>74</v>
      </c>
      <c r="N673" s="2" t="s">
        <v>74</v>
      </c>
      <c r="O673" s="2" t="s">
        <v>74</v>
      </c>
      <c r="P673" s="2" t="s">
        <v>74</v>
      </c>
      <c r="Q673" s="2" t="s">
        <v>74</v>
      </c>
      <c r="R673" s="2" t="s">
        <v>74</v>
      </c>
      <c r="S673" s="2" t="s">
        <v>74</v>
      </c>
      <c r="T673" s="2" t="s">
        <v>74</v>
      </c>
      <c r="U673" s="2" t="s">
        <v>74</v>
      </c>
      <c r="V673" s="5" t="s">
        <v>1750</v>
      </c>
      <c r="W673" s="2" t="s">
        <v>74</v>
      </c>
      <c r="X673" s="2" t="s">
        <v>74</v>
      </c>
      <c r="Y673" s="2" t="s">
        <v>74</v>
      </c>
      <c r="Z673" s="2" t="s">
        <v>74</v>
      </c>
      <c r="AA673" s="2" t="s">
        <v>1398</v>
      </c>
      <c r="AB673" s="2" t="s">
        <v>1399</v>
      </c>
      <c r="AC673" s="2" t="s">
        <v>74</v>
      </c>
      <c r="AD673" s="2" t="s">
        <v>74</v>
      </c>
      <c r="AE673" s="2" t="s">
        <v>74</v>
      </c>
      <c r="AF673" s="2" t="s">
        <v>74</v>
      </c>
      <c r="AG673" s="2" t="s">
        <v>74</v>
      </c>
      <c r="AH673" s="2" t="s">
        <v>74</v>
      </c>
      <c r="AI673" s="2" t="s">
        <v>74</v>
      </c>
      <c r="AJ673" s="2" t="s">
        <v>74</v>
      </c>
      <c r="AK673" s="2" t="s">
        <v>74</v>
      </c>
      <c r="AL673" s="2" t="s">
        <v>74</v>
      </c>
      <c r="AM673" s="2" t="s">
        <v>74</v>
      </c>
      <c r="AN673" s="2" t="s">
        <v>74</v>
      </c>
      <c r="AO673" s="2" t="s">
        <v>143</v>
      </c>
      <c r="AP673" s="2" t="s">
        <v>74</v>
      </c>
      <c r="AQ673" s="2" t="s">
        <v>74</v>
      </c>
      <c r="AR673" s="2" t="s">
        <v>74</v>
      </c>
      <c r="AS673" s="2" t="s">
        <v>74</v>
      </c>
      <c r="AT673" s="2" t="s">
        <v>134</v>
      </c>
      <c r="AU673" s="2">
        <v>2009</v>
      </c>
      <c r="AV673" s="2">
        <v>77</v>
      </c>
      <c r="AW673" s="2">
        <v>5</v>
      </c>
      <c r="AX673" s="2" t="s">
        <v>74</v>
      </c>
      <c r="AY673" s="2" t="s">
        <v>74</v>
      </c>
      <c r="AZ673" s="2" t="s">
        <v>74</v>
      </c>
      <c r="BA673" s="2" t="s">
        <v>74</v>
      </c>
      <c r="BB673" s="2">
        <v>1267</v>
      </c>
      <c r="BC673" s="2">
        <v>1272</v>
      </c>
      <c r="BD673" s="2" t="s">
        <v>74</v>
      </c>
      <c r="BE673" s="2" t="s">
        <v>1751</v>
      </c>
      <c r="BF673" s="2" t="str">
        <f>HYPERLINK("http://dx.doi.org/10.1016/j.anbehav.2009.01.031","http://dx.doi.org/10.1016/j.anbehav.2009.01.031")</f>
        <v>http://dx.doi.org/10.1016/j.anbehav.2009.01.031</v>
      </c>
      <c r="BG673" s="2" t="s">
        <v>74</v>
      </c>
      <c r="BH673" s="2" t="s">
        <v>74</v>
      </c>
      <c r="BI673" s="2" t="s">
        <v>74</v>
      </c>
      <c r="BJ673" s="2" t="s">
        <v>74</v>
      </c>
      <c r="BK673" s="2" t="s">
        <v>74</v>
      </c>
      <c r="BL673" s="2" t="s">
        <v>74</v>
      </c>
      <c r="BM673" s="2" t="s">
        <v>74</v>
      </c>
      <c r="BN673" s="2">
        <v>20161226</v>
      </c>
      <c r="BO673" s="2" t="s">
        <v>74</v>
      </c>
      <c r="BP673" s="2" t="s">
        <v>74</v>
      </c>
      <c r="BQ673" s="2" t="s">
        <v>74</v>
      </c>
      <c r="BR673" s="2" t="s">
        <v>74</v>
      </c>
      <c r="BS673" s="2" t="s">
        <v>1752</v>
      </c>
      <c r="BT673" s="2" t="str">
        <f>HYPERLINK("https%3A%2F%2Fwww.webofscience.com%2Fwos%2Fwoscc%2Ffull-record%2FWOS:000265283900036","View Full Record in Web of Science")</f>
        <v>View Full Record in Web of Science</v>
      </c>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row>
    <row r="674" spans="1:314" s="2" customFormat="1" x14ac:dyDescent="0.4">
      <c r="A674" s="2" t="s">
        <v>72</v>
      </c>
      <c r="B674" s="2" t="s">
        <v>1007</v>
      </c>
      <c r="C674" s="2" t="s">
        <v>74</v>
      </c>
      <c r="D674" s="2" t="s">
        <v>74</v>
      </c>
      <c r="E674" s="2" t="s">
        <v>74</v>
      </c>
      <c r="F674" s="2" t="s">
        <v>1008</v>
      </c>
      <c r="G674" s="2" t="s">
        <v>74</v>
      </c>
      <c r="H674" s="2" t="s">
        <v>74</v>
      </c>
      <c r="I674" s="2" t="s">
        <v>1009</v>
      </c>
      <c r="J674" s="2" t="s">
        <v>333</v>
      </c>
      <c r="K674" s="2" t="s">
        <v>74</v>
      </c>
      <c r="L674" s="2" t="s">
        <v>74</v>
      </c>
      <c r="M674" s="2" t="s">
        <v>74</v>
      </c>
      <c r="N674" s="2" t="s">
        <v>74</v>
      </c>
      <c r="O674" s="2" t="s">
        <v>74</v>
      </c>
      <c r="P674" s="2" t="s">
        <v>74</v>
      </c>
      <c r="Q674" s="2" t="s">
        <v>74</v>
      </c>
      <c r="R674" s="2" t="s">
        <v>74</v>
      </c>
      <c r="S674" s="2" t="s">
        <v>74</v>
      </c>
      <c r="T674" s="2" t="s">
        <v>74</v>
      </c>
      <c r="U674" s="2" t="s">
        <v>74</v>
      </c>
      <c r="V674" s="5" t="s">
        <v>1010</v>
      </c>
      <c r="W674" s="2" t="s">
        <v>74</v>
      </c>
      <c r="X674" s="2" t="s">
        <v>74</v>
      </c>
      <c r="Y674" s="2" t="s">
        <v>74</v>
      </c>
      <c r="Z674" s="2" t="s">
        <v>74</v>
      </c>
      <c r="AA674" s="2" t="s">
        <v>1011</v>
      </c>
      <c r="AB674" s="2" t="s">
        <v>1012</v>
      </c>
      <c r="AC674" s="2" t="s">
        <v>74</v>
      </c>
      <c r="AD674" s="2" t="s">
        <v>74</v>
      </c>
      <c r="AE674" s="2" t="s">
        <v>74</v>
      </c>
      <c r="AF674" s="2" t="s">
        <v>74</v>
      </c>
      <c r="AG674" s="2" t="s">
        <v>74</v>
      </c>
      <c r="AH674" s="2" t="s">
        <v>74</v>
      </c>
      <c r="AI674" s="2" t="s">
        <v>74</v>
      </c>
      <c r="AJ674" s="2" t="s">
        <v>74</v>
      </c>
      <c r="AK674" s="2" t="s">
        <v>74</v>
      </c>
      <c r="AL674" s="2" t="s">
        <v>74</v>
      </c>
      <c r="AM674" s="2" t="s">
        <v>74</v>
      </c>
      <c r="AN674" s="2" t="s">
        <v>74</v>
      </c>
      <c r="AO674" s="2" t="s">
        <v>337</v>
      </c>
      <c r="AP674" s="2" t="s">
        <v>338</v>
      </c>
      <c r="AQ674" s="2" t="s">
        <v>74</v>
      </c>
      <c r="AR674" s="2" t="s">
        <v>74</v>
      </c>
      <c r="AS674" s="2" t="s">
        <v>74</v>
      </c>
      <c r="AT674" s="2" t="s">
        <v>1013</v>
      </c>
      <c r="AU674" s="2">
        <v>2018</v>
      </c>
      <c r="AV674" s="2">
        <v>29</v>
      </c>
      <c r="AW674" s="2">
        <v>5</v>
      </c>
      <c r="AX674" s="2" t="s">
        <v>74</v>
      </c>
      <c r="AY674" s="2" t="s">
        <v>74</v>
      </c>
      <c r="AZ674" s="2" t="s">
        <v>74</v>
      </c>
      <c r="BA674" s="2" t="s">
        <v>74</v>
      </c>
      <c r="BB674" s="2">
        <v>1075</v>
      </c>
      <c r="BC674" s="2">
        <v>1087</v>
      </c>
      <c r="BD674" s="2" t="s">
        <v>74</v>
      </c>
      <c r="BE674" s="2" t="s">
        <v>1014</v>
      </c>
      <c r="BF674" s="2" t="str">
        <f>HYPERLINK("http://dx.doi.org/10.1093/beheco/ary076","http://dx.doi.org/10.1093/beheco/ary076")</f>
        <v>http://dx.doi.org/10.1093/beheco/ary076</v>
      </c>
      <c r="BG674" s="2" t="s">
        <v>74</v>
      </c>
      <c r="BH674" s="2" t="s">
        <v>74</v>
      </c>
      <c r="BI674" s="2" t="s">
        <v>74</v>
      </c>
      <c r="BJ674" s="2" t="s">
        <v>74</v>
      </c>
      <c r="BK674" s="2" t="s">
        <v>74</v>
      </c>
      <c r="BL674" s="2" t="s">
        <v>74</v>
      </c>
      <c r="BM674" s="2" t="s">
        <v>74</v>
      </c>
      <c r="BN674" s="2" t="s">
        <v>74</v>
      </c>
      <c r="BO674" s="2" t="s">
        <v>74</v>
      </c>
      <c r="BP674" s="2" t="s">
        <v>74</v>
      </c>
      <c r="BQ674" s="2" t="s">
        <v>74</v>
      </c>
      <c r="BR674" s="2" t="s">
        <v>74</v>
      </c>
      <c r="BS674" s="2" t="s">
        <v>1015</v>
      </c>
      <c r="BT674" s="2" t="str">
        <f>HYPERLINK("https%3A%2F%2Fwww.webofscience.com%2Fwos%2Fwoscc%2Ffull-record%2FWOS:000444301900027","View Full Record in Web of Science")</f>
        <v>View Full Record in Web of Science</v>
      </c>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row>
    <row r="675" spans="1:314" s="2" customFormat="1" x14ac:dyDescent="0.4">
      <c r="A675" s="2" t="s">
        <v>72</v>
      </c>
      <c r="B675" s="2" t="s">
        <v>1007</v>
      </c>
      <c r="C675" s="2" t="s">
        <v>74</v>
      </c>
      <c r="D675" s="2" t="s">
        <v>74</v>
      </c>
      <c r="E675" s="2" t="s">
        <v>74</v>
      </c>
      <c r="F675" s="2" t="s">
        <v>1008</v>
      </c>
      <c r="G675" s="2" t="s">
        <v>74</v>
      </c>
      <c r="H675" s="2" t="s">
        <v>74</v>
      </c>
      <c r="I675" s="2" t="s">
        <v>2285</v>
      </c>
      <c r="J675" s="2" t="s">
        <v>108</v>
      </c>
      <c r="K675" s="2" t="s">
        <v>74</v>
      </c>
      <c r="L675" s="2" t="s">
        <v>74</v>
      </c>
      <c r="M675" s="2" t="s">
        <v>74</v>
      </c>
      <c r="N675" s="2" t="s">
        <v>74</v>
      </c>
      <c r="O675" s="2" t="s">
        <v>74</v>
      </c>
      <c r="P675" s="2" t="s">
        <v>74</v>
      </c>
      <c r="Q675" s="2" t="s">
        <v>74</v>
      </c>
      <c r="R675" s="2" t="s">
        <v>74</v>
      </c>
      <c r="S675" s="2" t="s">
        <v>74</v>
      </c>
      <c r="T675" s="2" t="s">
        <v>74</v>
      </c>
      <c r="U675" s="2" t="s">
        <v>74</v>
      </c>
      <c r="V675" s="5" t="s">
        <v>2286</v>
      </c>
      <c r="W675" s="2" t="s">
        <v>74</v>
      </c>
      <c r="X675" s="2" t="s">
        <v>74</v>
      </c>
      <c r="Y675" s="2" t="s">
        <v>74</v>
      </c>
      <c r="Z675" s="2" t="s">
        <v>74</v>
      </c>
      <c r="AA675" s="2" t="s">
        <v>1011</v>
      </c>
      <c r="AB675" s="2" t="s">
        <v>1012</v>
      </c>
      <c r="AC675" s="2" t="s">
        <v>74</v>
      </c>
      <c r="AD675" s="2" t="s">
        <v>74</v>
      </c>
      <c r="AE675" s="2" t="s">
        <v>74</v>
      </c>
      <c r="AF675" s="2" t="s">
        <v>74</v>
      </c>
      <c r="AG675" s="2" t="s">
        <v>74</v>
      </c>
      <c r="AH675" s="2" t="s">
        <v>74</v>
      </c>
      <c r="AI675" s="2" t="s">
        <v>74</v>
      </c>
      <c r="AJ675" s="2" t="s">
        <v>74</v>
      </c>
      <c r="AK675" s="2" t="s">
        <v>74</v>
      </c>
      <c r="AL675" s="2" t="s">
        <v>74</v>
      </c>
      <c r="AM675" s="2" t="s">
        <v>74</v>
      </c>
      <c r="AN675" s="2" t="s">
        <v>74</v>
      </c>
      <c r="AO675" s="2" t="s">
        <v>111</v>
      </c>
      <c r="AP675" s="2" t="s">
        <v>112</v>
      </c>
      <c r="AQ675" s="2" t="s">
        <v>74</v>
      </c>
      <c r="AR675" s="2" t="s">
        <v>74</v>
      </c>
      <c r="AS675" s="2" t="s">
        <v>74</v>
      </c>
      <c r="AT675" s="2" t="s">
        <v>2287</v>
      </c>
      <c r="AU675" s="2">
        <v>2016</v>
      </c>
      <c r="AV675" s="2">
        <v>283</v>
      </c>
      <c r="AW675" s="2">
        <v>1841</v>
      </c>
      <c r="AX675" s="2" t="s">
        <v>74</v>
      </c>
      <c r="AY675" s="2" t="s">
        <v>74</v>
      </c>
      <c r="AZ675" s="2" t="s">
        <v>74</v>
      </c>
      <c r="BA675" s="2" t="s">
        <v>74</v>
      </c>
      <c r="BB675" s="2" t="s">
        <v>74</v>
      </c>
      <c r="BC675" s="2" t="s">
        <v>74</v>
      </c>
      <c r="BD675" s="2">
        <v>20161873</v>
      </c>
      <c r="BE675" s="2" t="s">
        <v>2288</v>
      </c>
      <c r="BF675" s="2" t="str">
        <f>HYPERLINK("http://dx.doi.org/10.1098/rspb.2016.1873","http://dx.doi.org/10.1098/rspb.2016.1873")</f>
        <v>http://dx.doi.org/10.1098/rspb.2016.1873</v>
      </c>
      <c r="BG675" s="2" t="s">
        <v>74</v>
      </c>
      <c r="BH675" s="2" t="s">
        <v>74</v>
      </c>
      <c r="BI675" s="2" t="s">
        <v>74</v>
      </c>
      <c r="BJ675" s="2" t="s">
        <v>74</v>
      </c>
      <c r="BK675" s="2" t="s">
        <v>74</v>
      </c>
      <c r="BL675" s="2" t="s">
        <v>74</v>
      </c>
      <c r="BM675" s="2" t="s">
        <v>74</v>
      </c>
      <c r="BN675" s="2">
        <v>27798310</v>
      </c>
      <c r="BO675" s="2" t="s">
        <v>74</v>
      </c>
      <c r="BP675" s="2" t="s">
        <v>74</v>
      </c>
      <c r="BQ675" s="2" t="s">
        <v>74</v>
      </c>
      <c r="BR675" s="2" t="s">
        <v>74</v>
      </c>
      <c r="BS675" s="2" t="s">
        <v>2289</v>
      </c>
      <c r="BT675" s="2" t="str">
        <f>HYPERLINK("https%3A%2F%2Fwww.webofscience.com%2Fwos%2Fwoscc%2Ffull-record%2FWOS:000386492600019","View Full Record in Web of Science")</f>
        <v>View Full Record in Web of Science</v>
      </c>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row>
    <row r="676" spans="1:314" s="2" customFormat="1" x14ac:dyDescent="0.4">
      <c r="A676" s="2" t="s">
        <v>72</v>
      </c>
      <c r="B676" s="2" t="s">
        <v>2222</v>
      </c>
      <c r="C676" s="2" t="s">
        <v>74</v>
      </c>
      <c r="D676" s="2" t="s">
        <v>74</v>
      </c>
      <c r="E676" s="2" t="s">
        <v>74</v>
      </c>
      <c r="F676" s="2" t="s">
        <v>2223</v>
      </c>
      <c r="G676" s="2" t="s">
        <v>74</v>
      </c>
      <c r="H676" s="2" t="s">
        <v>74</v>
      </c>
      <c r="I676" s="2" t="s">
        <v>2224</v>
      </c>
      <c r="J676" s="2" t="s">
        <v>1803</v>
      </c>
      <c r="K676" s="2" t="s">
        <v>74</v>
      </c>
      <c r="L676" s="2" t="s">
        <v>74</v>
      </c>
      <c r="M676" s="2" t="s">
        <v>74</v>
      </c>
      <c r="N676" s="2" t="s">
        <v>74</v>
      </c>
      <c r="O676" s="2" t="s">
        <v>74</v>
      </c>
      <c r="P676" s="2" t="s">
        <v>74</v>
      </c>
      <c r="Q676" s="2" t="s">
        <v>74</v>
      </c>
      <c r="R676" s="2" t="s">
        <v>74</v>
      </c>
      <c r="S676" s="2" t="s">
        <v>74</v>
      </c>
      <c r="T676" s="2" t="s">
        <v>74</v>
      </c>
      <c r="U676" s="2" t="s">
        <v>74</v>
      </c>
      <c r="V676" s="5" t="s">
        <v>2225</v>
      </c>
      <c r="W676" s="2" t="s">
        <v>74</v>
      </c>
      <c r="X676" s="2" t="s">
        <v>74</v>
      </c>
      <c r="Y676" s="2" t="s">
        <v>74</v>
      </c>
      <c r="Z676" s="2" t="s">
        <v>74</v>
      </c>
      <c r="AA676" s="2" t="s">
        <v>2226</v>
      </c>
      <c r="AB676" s="2" t="s">
        <v>2227</v>
      </c>
      <c r="AC676" s="2" t="s">
        <v>74</v>
      </c>
      <c r="AD676" s="2" t="s">
        <v>74</v>
      </c>
      <c r="AE676" s="2" t="s">
        <v>74</v>
      </c>
      <c r="AF676" s="2" t="s">
        <v>74</v>
      </c>
      <c r="AG676" s="2" t="s">
        <v>74</v>
      </c>
      <c r="AH676" s="2" t="s">
        <v>74</v>
      </c>
      <c r="AI676" s="2" t="s">
        <v>74</v>
      </c>
      <c r="AJ676" s="2" t="s">
        <v>74</v>
      </c>
      <c r="AK676" s="2" t="s">
        <v>74</v>
      </c>
      <c r="AL676" s="2" t="s">
        <v>74</v>
      </c>
      <c r="AM676" s="2" t="s">
        <v>74</v>
      </c>
      <c r="AN676" s="2" t="s">
        <v>74</v>
      </c>
      <c r="AO676" s="2" t="s">
        <v>1807</v>
      </c>
      <c r="AP676" s="2" t="s">
        <v>1808</v>
      </c>
      <c r="AQ676" s="2" t="s">
        <v>74</v>
      </c>
      <c r="AR676" s="2" t="s">
        <v>74</v>
      </c>
      <c r="AS676" s="2" t="s">
        <v>74</v>
      </c>
      <c r="AT676" s="2" t="s">
        <v>175</v>
      </c>
      <c r="AU676" s="2">
        <v>2014</v>
      </c>
      <c r="AV676" s="2">
        <v>28</v>
      </c>
      <c r="AW676" s="2">
        <v>5</v>
      </c>
      <c r="AX676" s="2" t="s">
        <v>74</v>
      </c>
      <c r="AY676" s="2" t="s">
        <v>74</v>
      </c>
      <c r="AZ676" s="2" t="s">
        <v>74</v>
      </c>
      <c r="BA676" s="2" t="s">
        <v>74</v>
      </c>
      <c r="BB676" s="2">
        <v>1197</v>
      </c>
      <c r="BC676" s="2">
        <v>1207</v>
      </c>
      <c r="BD676" s="2" t="s">
        <v>74</v>
      </c>
      <c r="BE676" s="2" t="s">
        <v>2228</v>
      </c>
      <c r="BF676" s="2" t="str">
        <f>HYPERLINK("http://dx.doi.org/10.1111/1365-2435.12244","http://dx.doi.org/10.1111/1365-2435.12244")</f>
        <v>http://dx.doi.org/10.1111/1365-2435.12244</v>
      </c>
      <c r="BG676" s="2" t="s">
        <v>74</v>
      </c>
      <c r="BH676" s="2" t="s">
        <v>74</v>
      </c>
      <c r="BI676" s="2" t="s">
        <v>74</v>
      </c>
      <c r="BJ676" s="2" t="s">
        <v>74</v>
      </c>
      <c r="BK676" s="2" t="s">
        <v>74</v>
      </c>
      <c r="BL676" s="2" t="s">
        <v>74</v>
      </c>
      <c r="BM676" s="2" t="s">
        <v>74</v>
      </c>
      <c r="BN676" s="2" t="s">
        <v>74</v>
      </c>
      <c r="BO676" s="2" t="s">
        <v>74</v>
      </c>
      <c r="BP676" s="2" t="s">
        <v>74</v>
      </c>
      <c r="BQ676" s="2" t="s">
        <v>74</v>
      </c>
      <c r="BR676" s="2" t="s">
        <v>74</v>
      </c>
      <c r="BS676" s="2" t="s">
        <v>2229</v>
      </c>
      <c r="BT676" s="2" t="str">
        <f>HYPERLINK("https%3A%2F%2Fwww.webofscience.com%2Fwos%2Fwoscc%2Ffull-record%2FWOS:000342615100015","View Full Record in Web of Science")</f>
        <v>View Full Record in Web of Science</v>
      </c>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row>
    <row r="677" spans="1:314" s="2" customFormat="1" x14ac:dyDescent="0.4">
      <c r="A677" s="2" t="s">
        <v>72</v>
      </c>
      <c r="B677" s="2" t="s">
        <v>4212</v>
      </c>
      <c r="C677" s="2" t="s">
        <v>74</v>
      </c>
      <c r="D677" s="2" t="s">
        <v>74</v>
      </c>
      <c r="E677" s="2" t="s">
        <v>74</v>
      </c>
      <c r="F677" s="2" t="s">
        <v>4213</v>
      </c>
      <c r="G677" s="2" t="s">
        <v>74</v>
      </c>
      <c r="H677" s="2" t="s">
        <v>74</v>
      </c>
      <c r="I677" s="2" t="s">
        <v>4214</v>
      </c>
      <c r="J677" s="2" t="s">
        <v>140</v>
      </c>
      <c r="K677" s="2" t="s">
        <v>74</v>
      </c>
      <c r="L677" s="2" t="s">
        <v>74</v>
      </c>
      <c r="M677" s="2" t="s">
        <v>74</v>
      </c>
      <c r="N677" s="2" t="s">
        <v>74</v>
      </c>
      <c r="O677" s="2" t="s">
        <v>74</v>
      </c>
      <c r="P677" s="2" t="s">
        <v>74</v>
      </c>
      <c r="Q677" s="2" t="s">
        <v>74</v>
      </c>
      <c r="R677" s="2" t="s">
        <v>74</v>
      </c>
      <c r="S677" s="2" t="s">
        <v>74</v>
      </c>
      <c r="T677" s="2" t="s">
        <v>74</v>
      </c>
      <c r="U677" s="2" t="s">
        <v>74</v>
      </c>
      <c r="V677" s="5" t="s">
        <v>4215</v>
      </c>
      <c r="W677" s="2" t="s">
        <v>74</v>
      </c>
      <c r="X677" s="2" t="s">
        <v>74</v>
      </c>
      <c r="Y677" s="2" t="s">
        <v>74</v>
      </c>
      <c r="Z677" s="2" t="s">
        <v>74</v>
      </c>
      <c r="AA677" s="2" t="s">
        <v>4216</v>
      </c>
      <c r="AB677" s="2" t="s">
        <v>4217</v>
      </c>
      <c r="AC677" s="2" t="s">
        <v>74</v>
      </c>
      <c r="AD677" s="2" t="s">
        <v>74</v>
      </c>
      <c r="AE677" s="2" t="s">
        <v>74</v>
      </c>
      <c r="AF677" s="2" t="s">
        <v>74</v>
      </c>
      <c r="AG677" s="2" t="s">
        <v>74</v>
      </c>
      <c r="AH677" s="2" t="s">
        <v>74</v>
      </c>
      <c r="AI677" s="2" t="s">
        <v>74</v>
      </c>
      <c r="AJ677" s="2" t="s">
        <v>74</v>
      </c>
      <c r="AK677" s="2" t="s">
        <v>74</v>
      </c>
      <c r="AL677" s="2" t="s">
        <v>74</v>
      </c>
      <c r="AM677" s="2" t="s">
        <v>74</v>
      </c>
      <c r="AN677" s="2" t="s">
        <v>74</v>
      </c>
      <c r="AO677" s="2" t="s">
        <v>143</v>
      </c>
      <c r="AP677" s="2" t="s">
        <v>144</v>
      </c>
      <c r="AQ677" s="2" t="s">
        <v>74</v>
      </c>
      <c r="AR677" s="2" t="s">
        <v>74</v>
      </c>
      <c r="AS677" s="2" t="s">
        <v>74</v>
      </c>
      <c r="AT677" s="2" t="s">
        <v>102</v>
      </c>
      <c r="AU677" s="2">
        <v>2009</v>
      </c>
      <c r="AV677" s="2">
        <v>77</v>
      </c>
      <c r="AW677" s="2">
        <v>6</v>
      </c>
      <c r="AX677" s="2" t="s">
        <v>74</v>
      </c>
      <c r="AY677" s="2" t="s">
        <v>74</v>
      </c>
      <c r="AZ677" s="2" t="s">
        <v>74</v>
      </c>
      <c r="BA677" s="2" t="s">
        <v>74</v>
      </c>
      <c r="BB677" s="2">
        <v>1525</v>
      </c>
      <c r="BC677" s="2">
        <v>1532</v>
      </c>
      <c r="BD677" s="2" t="s">
        <v>74</v>
      </c>
      <c r="BE677" s="2" t="s">
        <v>4218</v>
      </c>
      <c r="BF677" s="2" t="str">
        <f>HYPERLINK("http://dx.doi.org/10.1016/j.anbehav.2009.02.027","http://dx.doi.org/10.1016/j.anbehav.2009.02.027")</f>
        <v>http://dx.doi.org/10.1016/j.anbehav.2009.02.027</v>
      </c>
      <c r="BG677" s="2" t="s">
        <v>74</v>
      </c>
      <c r="BH677" s="2" t="s">
        <v>74</v>
      </c>
      <c r="BI677" s="2" t="s">
        <v>74</v>
      </c>
      <c r="BJ677" s="2" t="s">
        <v>74</v>
      </c>
      <c r="BK677" s="2" t="s">
        <v>74</v>
      </c>
      <c r="BL677" s="2" t="s">
        <v>74</v>
      </c>
      <c r="BM677" s="2" t="s">
        <v>74</v>
      </c>
      <c r="BN677" s="2" t="s">
        <v>74</v>
      </c>
      <c r="BO677" s="2" t="s">
        <v>74</v>
      </c>
      <c r="BP677" s="2" t="s">
        <v>74</v>
      </c>
      <c r="BQ677" s="2" t="s">
        <v>74</v>
      </c>
      <c r="BR677" s="2" t="s">
        <v>74</v>
      </c>
      <c r="BS677" s="2" t="s">
        <v>4219</v>
      </c>
      <c r="BT677" s="2" t="str">
        <f>HYPERLINK("https%3A%2F%2Fwww.webofscience.com%2Fwos%2Fwoscc%2Ffull-record%2FWOS:000266884200022","View Full Record in Web of Science")</f>
        <v>View Full Record in Web of Science</v>
      </c>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row>
    <row r="678" spans="1:314" s="2" customFormat="1" x14ac:dyDescent="0.4">
      <c r="A678" s="2" t="s">
        <v>72</v>
      </c>
      <c r="B678" s="2" t="s">
        <v>6000</v>
      </c>
      <c r="C678" s="2" t="s">
        <v>74</v>
      </c>
      <c r="D678" s="2" t="s">
        <v>74</v>
      </c>
      <c r="E678" s="2" t="s">
        <v>74</v>
      </c>
      <c r="F678" s="2" t="s">
        <v>6001</v>
      </c>
      <c r="G678" s="2" t="s">
        <v>74</v>
      </c>
      <c r="H678" s="2" t="s">
        <v>74</v>
      </c>
      <c r="I678" s="2" t="s">
        <v>6002</v>
      </c>
      <c r="J678" s="2" t="s">
        <v>1384</v>
      </c>
      <c r="K678" s="2" t="s">
        <v>74</v>
      </c>
      <c r="L678" s="2" t="s">
        <v>74</v>
      </c>
      <c r="M678" s="2" t="s">
        <v>74</v>
      </c>
      <c r="N678" s="2" t="s">
        <v>74</v>
      </c>
      <c r="O678" s="2" t="s">
        <v>74</v>
      </c>
      <c r="P678" s="2" t="s">
        <v>74</v>
      </c>
      <c r="Q678" s="2" t="s">
        <v>74</v>
      </c>
      <c r="R678" s="2" t="s">
        <v>74</v>
      </c>
      <c r="S678" s="2" t="s">
        <v>74</v>
      </c>
      <c r="T678" s="2" t="s">
        <v>74</v>
      </c>
      <c r="U678" s="2" t="s">
        <v>74</v>
      </c>
      <c r="V678" s="5" t="s">
        <v>6003</v>
      </c>
      <c r="W678" s="2" t="s">
        <v>74</v>
      </c>
      <c r="X678" s="2" t="s">
        <v>74</v>
      </c>
      <c r="Y678" s="2" t="s">
        <v>74</v>
      </c>
      <c r="Z678" s="2" t="s">
        <v>74</v>
      </c>
      <c r="AA678" s="2" t="s">
        <v>74</v>
      </c>
      <c r="AB678" s="2" t="s">
        <v>6004</v>
      </c>
      <c r="AC678" s="2" t="s">
        <v>74</v>
      </c>
      <c r="AD678" s="2" t="s">
        <v>74</v>
      </c>
      <c r="AE678" s="2" t="s">
        <v>74</v>
      </c>
      <c r="AF678" s="2" t="s">
        <v>74</v>
      </c>
      <c r="AG678" s="2" t="s">
        <v>74</v>
      </c>
      <c r="AH678" s="2" t="s">
        <v>74</v>
      </c>
      <c r="AI678" s="2" t="s">
        <v>74</v>
      </c>
      <c r="AJ678" s="2" t="s">
        <v>74</v>
      </c>
      <c r="AK678" s="2" t="s">
        <v>74</v>
      </c>
      <c r="AL678" s="2" t="s">
        <v>74</v>
      </c>
      <c r="AM678" s="2" t="s">
        <v>74</v>
      </c>
      <c r="AN678" s="2" t="s">
        <v>74</v>
      </c>
      <c r="AO678" s="2" t="s">
        <v>1388</v>
      </c>
      <c r="AP678" s="2" t="s">
        <v>1389</v>
      </c>
      <c r="AQ678" s="2" t="s">
        <v>74</v>
      </c>
      <c r="AR678" s="2" t="s">
        <v>74</v>
      </c>
      <c r="AS678" s="2" t="s">
        <v>74</v>
      </c>
      <c r="AT678" s="2" t="s">
        <v>633</v>
      </c>
      <c r="AU678" s="2">
        <v>2023</v>
      </c>
      <c r="AV678" s="2">
        <v>165</v>
      </c>
      <c r="AW678" s="2">
        <v>2</v>
      </c>
      <c r="AX678" s="2" t="s">
        <v>74</v>
      </c>
      <c r="AY678" s="2" t="s">
        <v>74</v>
      </c>
      <c r="AZ678" s="2" t="s">
        <v>74</v>
      </c>
      <c r="BA678" s="2" t="s">
        <v>74</v>
      </c>
      <c r="BB678" s="2">
        <v>561</v>
      </c>
      <c r="BC678" s="2">
        <v>570</v>
      </c>
      <c r="BD678" s="2" t="s">
        <v>74</v>
      </c>
      <c r="BE678" s="2" t="s">
        <v>6005</v>
      </c>
      <c r="BF678" s="2" t="str">
        <f>HYPERLINK("http://dx.doi.org/10.1111/ibi.13141","http://dx.doi.org/10.1111/ibi.13141")</f>
        <v>http://dx.doi.org/10.1111/ibi.13141</v>
      </c>
      <c r="BG678" s="2" t="s">
        <v>74</v>
      </c>
      <c r="BH678" s="2" t="s">
        <v>6006</v>
      </c>
      <c r="BI678" s="2" t="s">
        <v>74</v>
      </c>
      <c r="BJ678" s="2" t="s">
        <v>74</v>
      </c>
      <c r="BK678" s="2" t="s">
        <v>74</v>
      </c>
      <c r="BL678" s="2" t="s">
        <v>74</v>
      </c>
      <c r="BM678" s="2" t="s">
        <v>74</v>
      </c>
      <c r="BN678" s="2" t="s">
        <v>74</v>
      </c>
      <c r="BO678" s="2" t="s">
        <v>74</v>
      </c>
      <c r="BP678" s="2" t="s">
        <v>74</v>
      </c>
      <c r="BQ678" s="2" t="s">
        <v>74</v>
      </c>
      <c r="BR678" s="2" t="s">
        <v>74</v>
      </c>
      <c r="BS678" s="2" t="s">
        <v>6007</v>
      </c>
      <c r="BT678" s="2" t="str">
        <f>HYPERLINK("https%3A%2F%2Fwww.webofscience.com%2Fwos%2Fwoscc%2Ffull-record%2FWOS:000864028600001","View Full Record in Web of Science")</f>
        <v>View Full Record in Web of Science</v>
      </c>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row>
    <row r="679" spans="1:314" s="2" customFormat="1" x14ac:dyDescent="0.4">
      <c r="A679" s="2" t="s">
        <v>72</v>
      </c>
      <c r="B679" s="2" t="s">
        <v>8406</v>
      </c>
      <c r="C679" s="2" t="s">
        <v>74</v>
      </c>
      <c r="D679" s="2" t="s">
        <v>74</v>
      </c>
      <c r="E679" s="2" t="s">
        <v>74</v>
      </c>
      <c r="F679" s="2" t="s">
        <v>8407</v>
      </c>
      <c r="G679" s="2" t="s">
        <v>74</v>
      </c>
      <c r="H679" s="2" t="s">
        <v>74</v>
      </c>
      <c r="I679" s="2" t="s">
        <v>8408</v>
      </c>
      <c r="J679" s="2" t="s">
        <v>5937</v>
      </c>
      <c r="K679" s="2" t="s">
        <v>74</v>
      </c>
      <c r="L679" s="2" t="s">
        <v>74</v>
      </c>
      <c r="M679" s="2" t="s">
        <v>74</v>
      </c>
      <c r="N679" s="2" t="s">
        <v>74</v>
      </c>
      <c r="O679" s="2" t="s">
        <v>74</v>
      </c>
      <c r="P679" s="2" t="s">
        <v>74</v>
      </c>
      <c r="Q679" s="2" t="s">
        <v>74</v>
      </c>
      <c r="R679" s="2" t="s">
        <v>74</v>
      </c>
      <c r="S679" s="2" t="s">
        <v>74</v>
      </c>
      <c r="T679" s="2" t="s">
        <v>74</v>
      </c>
      <c r="U679" s="2" t="s">
        <v>74</v>
      </c>
      <c r="V679" s="5" t="s">
        <v>8409</v>
      </c>
      <c r="W679" s="2" t="s">
        <v>74</v>
      </c>
      <c r="X679" s="2" t="s">
        <v>74</v>
      </c>
      <c r="Y679" s="2" t="s">
        <v>74</v>
      </c>
      <c r="Z679" s="2" t="s">
        <v>74</v>
      </c>
      <c r="AA679" s="2" t="s">
        <v>612</v>
      </c>
      <c r="AB679" s="2" t="s">
        <v>613</v>
      </c>
      <c r="AC679" s="2" t="s">
        <v>74</v>
      </c>
      <c r="AD679" s="2" t="s">
        <v>74</v>
      </c>
      <c r="AE679" s="2" t="s">
        <v>74</v>
      </c>
      <c r="AF679" s="2" t="s">
        <v>74</v>
      </c>
      <c r="AG679" s="2" t="s">
        <v>74</v>
      </c>
      <c r="AH679" s="2" t="s">
        <v>74</v>
      </c>
      <c r="AI679" s="2" t="s">
        <v>74</v>
      </c>
      <c r="AJ679" s="2" t="s">
        <v>74</v>
      </c>
      <c r="AK679" s="2" t="s">
        <v>74</v>
      </c>
      <c r="AL679" s="2" t="s">
        <v>74</v>
      </c>
      <c r="AM679" s="2" t="s">
        <v>74</v>
      </c>
      <c r="AN679" s="2" t="s">
        <v>74</v>
      </c>
      <c r="AO679" s="2" t="s">
        <v>5941</v>
      </c>
      <c r="AP679" s="2" t="s">
        <v>74</v>
      </c>
      <c r="AQ679" s="2" t="s">
        <v>74</v>
      </c>
      <c r="AR679" s="2" t="s">
        <v>74</v>
      </c>
      <c r="AS679" s="2" t="s">
        <v>74</v>
      </c>
      <c r="AT679" s="2" t="s">
        <v>145</v>
      </c>
      <c r="AU679" s="2">
        <v>2023</v>
      </c>
      <c r="AV679" s="2">
        <v>13</v>
      </c>
      <c r="AW679" s="2">
        <v>16</v>
      </c>
      <c r="AX679" s="2" t="s">
        <v>74</v>
      </c>
      <c r="AY679" s="2" t="s">
        <v>74</v>
      </c>
      <c r="AZ679" s="2" t="s">
        <v>74</v>
      </c>
      <c r="BA679" s="2" t="s">
        <v>74</v>
      </c>
      <c r="BB679" s="2" t="s">
        <v>74</v>
      </c>
      <c r="BC679" s="2" t="s">
        <v>74</v>
      </c>
      <c r="BD679" s="2">
        <v>2623</v>
      </c>
      <c r="BE679" s="2" t="s">
        <v>8410</v>
      </c>
      <c r="BF679" s="2" t="str">
        <f>HYPERLINK("http://dx.doi.org/10.3390/ani13162623","http://dx.doi.org/10.3390/ani13162623")</f>
        <v>http://dx.doi.org/10.3390/ani13162623</v>
      </c>
      <c r="BG679" s="2" t="s">
        <v>74</v>
      </c>
      <c r="BH679" s="2" t="s">
        <v>74</v>
      </c>
      <c r="BI679" s="2" t="s">
        <v>74</v>
      </c>
      <c r="BJ679" s="2" t="s">
        <v>74</v>
      </c>
      <c r="BK679" s="2" t="s">
        <v>74</v>
      </c>
      <c r="BL679" s="2" t="s">
        <v>74</v>
      </c>
      <c r="BM679" s="2" t="s">
        <v>74</v>
      </c>
      <c r="BN679" s="2">
        <v>37627414</v>
      </c>
      <c r="BO679" s="2" t="s">
        <v>74</v>
      </c>
      <c r="BP679" s="2" t="s">
        <v>74</v>
      </c>
      <c r="BQ679" s="2" t="s">
        <v>74</v>
      </c>
      <c r="BR679" s="2" t="s">
        <v>74</v>
      </c>
      <c r="BS679" s="2" t="s">
        <v>8411</v>
      </c>
      <c r="BT679" s="2" t="str">
        <f>HYPERLINK("https%3A%2F%2Fwww.webofscience.com%2Fwos%2Fwoscc%2Ffull-record%2FWOS:001055601600001","View Full Record in Web of Science")</f>
        <v>View Full Record in Web of Science</v>
      </c>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row>
    <row r="680" spans="1:314" s="2" customFormat="1" x14ac:dyDescent="0.4">
      <c r="A680" s="2" t="s">
        <v>72</v>
      </c>
      <c r="B680" s="2" t="s">
        <v>7345</v>
      </c>
      <c r="C680" s="2" t="s">
        <v>74</v>
      </c>
      <c r="D680" s="2" t="s">
        <v>74</v>
      </c>
      <c r="E680" s="2" t="s">
        <v>74</v>
      </c>
      <c r="F680" s="2" t="s">
        <v>7346</v>
      </c>
      <c r="G680" s="2" t="s">
        <v>74</v>
      </c>
      <c r="H680" s="2" t="s">
        <v>74</v>
      </c>
      <c r="I680" s="2" t="s">
        <v>7347</v>
      </c>
      <c r="J680" s="2" t="s">
        <v>1112</v>
      </c>
      <c r="K680" s="2" t="s">
        <v>74</v>
      </c>
      <c r="L680" s="2" t="s">
        <v>74</v>
      </c>
      <c r="M680" s="2" t="s">
        <v>74</v>
      </c>
      <c r="N680" s="2" t="s">
        <v>74</v>
      </c>
      <c r="O680" s="2" t="s">
        <v>74</v>
      </c>
      <c r="P680" s="2" t="s">
        <v>74</v>
      </c>
      <c r="Q680" s="2" t="s">
        <v>74</v>
      </c>
      <c r="R680" s="2" t="s">
        <v>74</v>
      </c>
      <c r="S680" s="2" t="s">
        <v>74</v>
      </c>
      <c r="T680" s="2" t="s">
        <v>74</v>
      </c>
      <c r="U680" s="2" t="s">
        <v>74</v>
      </c>
      <c r="V680" s="5" t="s">
        <v>7348</v>
      </c>
      <c r="W680" s="2" t="s">
        <v>74</v>
      </c>
      <c r="X680" s="2" t="s">
        <v>74</v>
      </c>
      <c r="Y680" s="2" t="s">
        <v>74</v>
      </c>
      <c r="Z680" s="2" t="s">
        <v>74</v>
      </c>
      <c r="AA680" s="2" t="s">
        <v>7349</v>
      </c>
      <c r="AB680" s="2" t="s">
        <v>7350</v>
      </c>
      <c r="AC680" s="2" t="s">
        <v>74</v>
      </c>
      <c r="AD680" s="2" t="s">
        <v>74</v>
      </c>
      <c r="AE680" s="2" t="s">
        <v>74</v>
      </c>
      <c r="AF680" s="2" t="s">
        <v>74</v>
      </c>
      <c r="AG680" s="2" t="s">
        <v>74</v>
      </c>
      <c r="AH680" s="2" t="s">
        <v>74</v>
      </c>
      <c r="AI680" s="2" t="s">
        <v>74</v>
      </c>
      <c r="AJ680" s="2" t="s">
        <v>74</v>
      </c>
      <c r="AK680" s="2" t="s">
        <v>74</v>
      </c>
      <c r="AL680" s="2" t="s">
        <v>74</v>
      </c>
      <c r="AM680" s="2" t="s">
        <v>74</v>
      </c>
      <c r="AN680" s="2" t="s">
        <v>74</v>
      </c>
      <c r="AO680" s="2" t="s">
        <v>1114</v>
      </c>
      <c r="AP680" s="2" t="s">
        <v>1115</v>
      </c>
      <c r="AQ680" s="2" t="s">
        <v>74</v>
      </c>
      <c r="AR680" s="2" t="s">
        <v>74</v>
      </c>
      <c r="AS680" s="2" t="s">
        <v>74</v>
      </c>
      <c r="AT680" s="2" t="s">
        <v>204</v>
      </c>
      <c r="AU680" s="2">
        <v>2014</v>
      </c>
      <c r="AV680" s="2">
        <v>156</v>
      </c>
      <c r="AW680" s="2" t="s">
        <v>74</v>
      </c>
      <c r="AX680" s="2" t="s">
        <v>74</v>
      </c>
      <c r="AY680" s="2" t="s">
        <v>74</v>
      </c>
      <c r="AZ680" s="2" t="s">
        <v>74</v>
      </c>
      <c r="BA680" s="2" t="s">
        <v>74</v>
      </c>
      <c r="BB680" s="2">
        <v>44</v>
      </c>
      <c r="BC680" s="2">
        <v>53</v>
      </c>
      <c r="BD680" s="2" t="s">
        <v>74</v>
      </c>
      <c r="BE680" s="2" t="s">
        <v>7351</v>
      </c>
      <c r="BF680" s="2" t="str">
        <f>HYPERLINK("http://dx.doi.org/10.1016/j.applanim.2014.04.006","http://dx.doi.org/10.1016/j.applanim.2014.04.006")</f>
        <v>http://dx.doi.org/10.1016/j.applanim.2014.04.006</v>
      </c>
      <c r="BG680" s="2" t="s">
        <v>74</v>
      </c>
      <c r="BH680" s="2" t="s">
        <v>74</v>
      </c>
      <c r="BI680" s="2" t="s">
        <v>74</v>
      </c>
      <c r="BJ680" s="2" t="s">
        <v>74</v>
      </c>
      <c r="BK680" s="2" t="s">
        <v>74</v>
      </c>
      <c r="BL680" s="2" t="s">
        <v>74</v>
      </c>
      <c r="BM680" s="2" t="s">
        <v>74</v>
      </c>
      <c r="BN680" s="2" t="s">
        <v>74</v>
      </c>
      <c r="BO680" s="2" t="s">
        <v>74</v>
      </c>
      <c r="BP680" s="2" t="s">
        <v>74</v>
      </c>
      <c r="BQ680" s="2" t="s">
        <v>74</v>
      </c>
      <c r="BR680" s="2" t="s">
        <v>74</v>
      </c>
      <c r="BS680" s="2" t="s">
        <v>7352</v>
      </c>
      <c r="BT680" s="2" t="str">
        <f>HYPERLINK("https%3A%2F%2Fwww.webofscience.com%2Fwos%2Fwoscc%2Ffull-record%2FWOS:000337998000006","View Full Record in Web of Science")</f>
        <v>View Full Record in Web of Science</v>
      </c>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row>
    <row r="681" spans="1:314" s="2" customFormat="1" x14ac:dyDescent="0.4">
      <c r="A681" s="2" t="s">
        <v>72</v>
      </c>
      <c r="B681" s="2" t="s">
        <v>5790</v>
      </c>
      <c r="C681" s="2" t="s">
        <v>74</v>
      </c>
      <c r="D681" s="2" t="s">
        <v>74</v>
      </c>
      <c r="E681" s="2" t="s">
        <v>74</v>
      </c>
      <c r="F681" s="2" t="s">
        <v>5791</v>
      </c>
      <c r="G681" s="2" t="s">
        <v>74</v>
      </c>
      <c r="H681" s="2" t="s">
        <v>74</v>
      </c>
      <c r="I681" s="2" t="s">
        <v>5792</v>
      </c>
      <c r="J681" s="2" t="s">
        <v>281</v>
      </c>
      <c r="K681" s="2" t="s">
        <v>74</v>
      </c>
      <c r="L681" s="2" t="s">
        <v>74</v>
      </c>
      <c r="M681" s="2" t="s">
        <v>74</v>
      </c>
      <c r="N681" s="2" t="s">
        <v>74</v>
      </c>
      <c r="O681" s="2" t="s">
        <v>74</v>
      </c>
      <c r="P681" s="2" t="s">
        <v>74</v>
      </c>
      <c r="Q681" s="2" t="s">
        <v>74</v>
      </c>
      <c r="R681" s="2" t="s">
        <v>74</v>
      </c>
      <c r="S681" s="2" t="s">
        <v>74</v>
      </c>
      <c r="T681" s="2" t="s">
        <v>74</v>
      </c>
      <c r="U681" s="2" t="s">
        <v>74</v>
      </c>
      <c r="V681" s="5" t="s">
        <v>5793</v>
      </c>
      <c r="W681" s="2" t="s">
        <v>74</v>
      </c>
      <c r="X681" s="2" t="s">
        <v>74</v>
      </c>
      <c r="Y681" s="2" t="s">
        <v>74</v>
      </c>
      <c r="Z681" s="2" t="s">
        <v>74</v>
      </c>
      <c r="AA681" s="2" t="s">
        <v>5794</v>
      </c>
      <c r="AB681" s="2" t="s">
        <v>5795</v>
      </c>
      <c r="AC681" s="2" t="s">
        <v>74</v>
      </c>
      <c r="AD681" s="2" t="s">
        <v>74</v>
      </c>
      <c r="AE681" s="2" t="s">
        <v>74</v>
      </c>
      <c r="AF681" s="2" t="s">
        <v>74</v>
      </c>
      <c r="AG681" s="2" t="s">
        <v>74</v>
      </c>
      <c r="AH681" s="2" t="s">
        <v>74</v>
      </c>
      <c r="AI681" s="2" t="s">
        <v>74</v>
      </c>
      <c r="AJ681" s="2" t="s">
        <v>74</v>
      </c>
      <c r="AK681" s="2" t="s">
        <v>74</v>
      </c>
      <c r="AL681" s="2" t="s">
        <v>74</v>
      </c>
      <c r="AM681" s="2" t="s">
        <v>74</v>
      </c>
      <c r="AN681" s="2" t="s">
        <v>74</v>
      </c>
      <c r="AO681" s="2" t="s">
        <v>285</v>
      </c>
      <c r="AP681" s="2" t="s">
        <v>286</v>
      </c>
      <c r="AQ681" s="2" t="s">
        <v>74</v>
      </c>
      <c r="AR681" s="2" t="s">
        <v>74</v>
      </c>
      <c r="AS681" s="2" t="s">
        <v>74</v>
      </c>
      <c r="AT681" s="2" t="s">
        <v>255</v>
      </c>
      <c r="AU681" s="2">
        <v>2021</v>
      </c>
      <c r="AV681" s="2">
        <v>24</v>
      </c>
      <c r="AW681" s="2">
        <v>1</v>
      </c>
      <c r="AX681" s="2" t="s">
        <v>74</v>
      </c>
      <c r="AY681" s="2" t="s">
        <v>74</v>
      </c>
      <c r="AZ681" s="2" t="s">
        <v>74</v>
      </c>
      <c r="BA681" s="2" t="s">
        <v>74</v>
      </c>
      <c r="BB681" s="2">
        <v>205</v>
      </c>
      <c r="BC681" s="2">
        <v>212</v>
      </c>
      <c r="BD681" s="2" t="s">
        <v>74</v>
      </c>
      <c r="BE681" s="2" t="s">
        <v>5796</v>
      </c>
      <c r="BF681" s="2" t="str">
        <f>HYPERLINK("http://dx.doi.org/10.1007/s10071-020-01434-8","http://dx.doi.org/10.1007/s10071-020-01434-8")</f>
        <v>http://dx.doi.org/10.1007/s10071-020-01434-8</v>
      </c>
      <c r="BG681" s="2" t="s">
        <v>74</v>
      </c>
      <c r="BH681" s="2" t="s">
        <v>1067</v>
      </c>
      <c r="BI681" s="2" t="s">
        <v>74</v>
      </c>
      <c r="BJ681" s="2" t="s">
        <v>74</v>
      </c>
      <c r="BK681" s="2" t="s">
        <v>74</v>
      </c>
      <c r="BL681" s="2" t="s">
        <v>74</v>
      </c>
      <c r="BM681" s="2" t="s">
        <v>74</v>
      </c>
      <c r="BN681" s="2">
        <v>32980971</v>
      </c>
      <c r="BO681" s="2" t="s">
        <v>74</v>
      </c>
      <c r="BP681" s="2" t="s">
        <v>74</v>
      </c>
      <c r="BQ681" s="2" t="s">
        <v>74</v>
      </c>
      <c r="BR681" s="2" t="s">
        <v>74</v>
      </c>
      <c r="BS681" s="2" t="s">
        <v>5797</v>
      </c>
      <c r="BT681" s="2" t="str">
        <f>HYPERLINK("https%3A%2F%2Fwww.webofscience.com%2Fwos%2Fwoscc%2Ffull-record%2FWOS:000573200000001","View Full Record in Web of Science")</f>
        <v>View Full Record in Web of Science</v>
      </c>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row>
    <row r="682" spans="1:314" s="2" customFormat="1" x14ac:dyDescent="0.4">
      <c r="A682" s="2" t="s">
        <v>72</v>
      </c>
      <c r="B682" s="2" t="s">
        <v>4391</v>
      </c>
      <c r="C682" s="2" t="s">
        <v>74</v>
      </c>
      <c r="D682" s="2" t="s">
        <v>74</v>
      </c>
      <c r="E682" s="2" t="s">
        <v>74</v>
      </c>
      <c r="F682" s="2" t="s">
        <v>4391</v>
      </c>
      <c r="G682" s="2" t="s">
        <v>74</v>
      </c>
      <c r="H682" s="2" t="s">
        <v>74</v>
      </c>
      <c r="I682" s="2" t="s">
        <v>4392</v>
      </c>
      <c r="J682" s="2" t="s">
        <v>1533</v>
      </c>
      <c r="K682" s="2" t="s">
        <v>74</v>
      </c>
      <c r="L682" s="2" t="s">
        <v>74</v>
      </c>
      <c r="M682" s="2" t="s">
        <v>74</v>
      </c>
      <c r="N682" s="2" t="s">
        <v>74</v>
      </c>
      <c r="O682" s="2" t="s">
        <v>74</v>
      </c>
      <c r="P682" s="2" t="s">
        <v>74</v>
      </c>
      <c r="Q682" s="2" t="s">
        <v>74</v>
      </c>
      <c r="R682" s="2" t="s">
        <v>74</v>
      </c>
      <c r="S682" s="2" t="s">
        <v>74</v>
      </c>
      <c r="T682" s="2" t="s">
        <v>74</v>
      </c>
      <c r="U682" s="2" t="s">
        <v>74</v>
      </c>
      <c r="V682" s="5" t="s">
        <v>4393</v>
      </c>
      <c r="W682" s="2" t="s">
        <v>74</v>
      </c>
      <c r="X682" s="2" t="s">
        <v>74</v>
      </c>
      <c r="Y682" s="2" t="s">
        <v>74</v>
      </c>
      <c r="Z682" s="2" t="s">
        <v>74</v>
      </c>
      <c r="AA682" s="2" t="s">
        <v>74</v>
      </c>
      <c r="AB682" s="2" t="s">
        <v>74</v>
      </c>
      <c r="AC682" s="2" t="s">
        <v>74</v>
      </c>
      <c r="AD682" s="2" t="s">
        <v>74</v>
      </c>
      <c r="AE682" s="2" t="s">
        <v>74</v>
      </c>
      <c r="AF682" s="2" t="s">
        <v>74</v>
      </c>
      <c r="AG682" s="2" t="s">
        <v>74</v>
      </c>
      <c r="AH682" s="2" t="s">
        <v>74</v>
      </c>
      <c r="AI682" s="2" t="s">
        <v>74</v>
      </c>
      <c r="AJ682" s="2" t="s">
        <v>74</v>
      </c>
      <c r="AK682" s="2" t="s">
        <v>74</v>
      </c>
      <c r="AL682" s="2" t="s">
        <v>74</v>
      </c>
      <c r="AM682" s="2" t="s">
        <v>74</v>
      </c>
      <c r="AN682" s="2" t="s">
        <v>74</v>
      </c>
      <c r="AO682" s="2" t="s">
        <v>1535</v>
      </c>
      <c r="AP682" s="2" t="s">
        <v>1536</v>
      </c>
      <c r="AQ682" s="2" t="s">
        <v>74</v>
      </c>
      <c r="AR682" s="2" t="s">
        <v>74</v>
      </c>
      <c r="AS682" s="2" t="s">
        <v>74</v>
      </c>
      <c r="AT682" s="2" t="s">
        <v>74</v>
      </c>
      <c r="AU682" s="2">
        <v>1976</v>
      </c>
      <c r="AV682" s="2">
        <v>26</v>
      </c>
      <c r="AW682" s="2">
        <v>3</v>
      </c>
      <c r="AX682" s="2" t="s">
        <v>74</v>
      </c>
      <c r="AY682" s="2" t="s">
        <v>74</v>
      </c>
      <c r="AZ682" s="2" t="s">
        <v>74</v>
      </c>
      <c r="BA682" s="2" t="s">
        <v>74</v>
      </c>
      <c r="BB682" s="2">
        <v>349</v>
      </c>
      <c r="BC682" s="2">
        <v>360</v>
      </c>
      <c r="BD682" s="2" t="s">
        <v>74</v>
      </c>
      <c r="BE682" s="2" t="s">
        <v>4394</v>
      </c>
      <c r="BF682" s="2" t="str">
        <f>HYPERLINK("http://dx.doi.org/10.1901/jeab.1976.26-349","http://dx.doi.org/10.1901/jeab.1976.26-349")</f>
        <v>http://dx.doi.org/10.1901/jeab.1976.26-349</v>
      </c>
      <c r="BG682" s="2" t="s">
        <v>74</v>
      </c>
      <c r="BH682" s="2" t="s">
        <v>74</v>
      </c>
      <c r="BI682" s="2" t="s">
        <v>74</v>
      </c>
      <c r="BJ682" s="2" t="s">
        <v>74</v>
      </c>
      <c r="BK682" s="2" t="s">
        <v>74</v>
      </c>
      <c r="BL682" s="2" t="s">
        <v>74</v>
      </c>
      <c r="BM682" s="2" t="s">
        <v>74</v>
      </c>
      <c r="BN682" s="2">
        <v>1033979</v>
      </c>
      <c r="BO682" s="2" t="s">
        <v>74</v>
      </c>
      <c r="BP682" s="2" t="s">
        <v>74</v>
      </c>
      <c r="BQ682" s="2" t="s">
        <v>74</v>
      </c>
      <c r="BR682" s="2" t="s">
        <v>74</v>
      </c>
      <c r="BS682" s="2" t="s">
        <v>4395</v>
      </c>
      <c r="BT682" s="2" t="str">
        <f>HYPERLINK("https%3A%2F%2Fwww.webofscience.com%2Fwos%2Fwoscc%2Ffull-record%2FWOS:A1976CN54900004","View Full Record in Web of Science")</f>
        <v>View Full Record in Web of Science</v>
      </c>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row>
    <row r="683" spans="1:314" s="2" customFormat="1" x14ac:dyDescent="0.4">
      <c r="A683" s="2" t="s">
        <v>72</v>
      </c>
      <c r="B683" s="2" t="s">
        <v>7604</v>
      </c>
      <c r="C683" s="2" t="s">
        <v>74</v>
      </c>
      <c r="D683" s="2" t="s">
        <v>74</v>
      </c>
      <c r="E683" s="2" t="s">
        <v>74</v>
      </c>
      <c r="F683" s="2" t="s">
        <v>7604</v>
      </c>
      <c r="G683" s="2" t="s">
        <v>74</v>
      </c>
      <c r="H683" s="2" t="s">
        <v>74</v>
      </c>
      <c r="I683" s="2" t="s">
        <v>7605</v>
      </c>
      <c r="J683" s="2" t="s">
        <v>610</v>
      </c>
      <c r="K683" s="2" t="s">
        <v>74</v>
      </c>
      <c r="L683" s="2" t="s">
        <v>74</v>
      </c>
      <c r="M683" s="2" t="s">
        <v>74</v>
      </c>
      <c r="N683" s="2" t="s">
        <v>74</v>
      </c>
      <c r="O683" s="2" t="s">
        <v>74</v>
      </c>
      <c r="P683" s="2" t="s">
        <v>74</v>
      </c>
      <c r="Q683" s="2" t="s">
        <v>74</v>
      </c>
      <c r="R683" s="2" t="s">
        <v>74</v>
      </c>
      <c r="S683" s="2" t="s">
        <v>74</v>
      </c>
      <c r="T683" s="2" t="s">
        <v>74</v>
      </c>
      <c r="U683" s="2" t="s">
        <v>74</v>
      </c>
      <c r="V683" s="5" t="s">
        <v>7606</v>
      </c>
      <c r="W683" s="2" t="s">
        <v>74</v>
      </c>
      <c r="X683" s="2" t="s">
        <v>74</v>
      </c>
      <c r="Y683" s="2" t="s">
        <v>74</v>
      </c>
      <c r="Z683" s="2" t="s">
        <v>74</v>
      </c>
      <c r="AA683" s="2" t="s">
        <v>1933</v>
      </c>
      <c r="AB683" s="2" t="s">
        <v>1934</v>
      </c>
      <c r="AC683" s="2" t="s">
        <v>74</v>
      </c>
      <c r="AD683" s="2" t="s">
        <v>74</v>
      </c>
      <c r="AE683" s="2" t="s">
        <v>74</v>
      </c>
      <c r="AF683" s="2" t="s">
        <v>74</v>
      </c>
      <c r="AG683" s="2" t="s">
        <v>74</v>
      </c>
      <c r="AH683" s="2" t="s">
        <v>74</v>
      </c>
      <c r="AI683" s="2" t="s">
        <v>74</v>
      </c>
      <c r="AJ683" s="2" t="s">
        <v>74</v>
      </c>
      <c r="AK683" s="2" t="s">
        <v>74</v>
      </c>
      <c r="AL683" s="2" t="s">
        <v>74</v>
      </c>
      <c r="AM683" s="2" t="s">
        <v>74</v>
      </c>
      <c r="AN683" s="2" t="s">
        <v>74</v>
      </c>
      <c r="AO683" s="2" t="s">
        <v>614</v>
      </c>
      <c r="AP683" s="2" t="s">
        <v>615</v>
      </c>
      <c r="AQ683" s="2" t="s">
        <v>74</v>
      </c>
      <c r="AR683" s="2" t="s">
        <v>74</v>
      </c>
      <c r="AS683" s="2" t="s">
        <v>74</v>
      </c>
      <c r="AT683" s="2" t="s">
        <v>175</v>
      </c>
      <c r="AU683" s="2">
        <v>2001</v>
      </c>
      <c r="AV683" s="2">
        <v>107</v>
      </c>
      <c r="AW683" s="2">
        <v>10</v>
      </c>
      <c r="AX683" s="2" t="s">
        <v>74</v>
      </c>
      <c r="AY683" s="2" t="s">
        <v>74</v>
      </c>
      <c r="AZ683" s="2" t="s">
        <v>74</v>
      </c>
      <c r="BA683" s="2" t="s">
        <v>74</v>
      </c>
      <c r="BB683" s="2">
        <v>901</v>
      </c>
      <c r="BC683" s="2">
        <v>912</v>
      </c>
      <c r="BD683" s="2" t="s">
        <v>74</v>
      </c>
      <c r="BE683" s="2" t="s">
        <v>7607</v>
      </c>
      <c r="BF683" s="2" t="str">
        <f>HYPERLINK("http://dx.doi.org/10.1046/j.1439-0310.2001.00724.x","http://dx.doi.org/10.1046/j.1439-0310.2001.00724.x")</f>
        <v>http://dx.doi.org/10.1046/j.1439-0310.2001.00724.x</v>
      </c>
      <c r="BG683" s="2" t="s">
        <v>74</v>
      </c>
      <c r="BH683" s="2" t="s">
        <v>74</v>
      </c>
      <c r="BI683" s="2" t="s">
        <v>74</v>
      </c>
      <c r="BJ683" s="2" t="s">
        <v>74</v>
      </c>
      <c r="BK683" s="2" t="s">
        <v>74</v>
      </c>
      <c r="BL683" s="2" t="s">
        <v>74</v>
      </c>
      <c r="BM683" s="2" t="s">
        <v>74</v>
      </c>
      <c r="BN683" s="2" t="s">
        <v>74</v>
      </c>
      <c r="BO683" s="2" t="s">
        <v>74</v>
      </c>
      <c r="BP683" s="2" t="s">
        <v>74</v>
      </c>
      <c r="BQ683" s="2" t="s">
        <v>74</v>
      </c>
      <c r="BR683" s="2" t="s">
        <v>74</v>
      </c>
      <c r="BS683" s="2" t="s">
        <v>7608</v>
      </c>
      <c r="BT683" s="2" t="str">
        <f>HYPERLINK("https%3A%2F%2Fwww.webofscience.com%2Fwos%2Fwoscc%2Ffull-record%2FWOS:000172914000004","View Full Record in Web of Science")</f>
        <v>View Full Record in Web of Science</v>
      </c>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row>
    <row r="684" spans="1:314" s="2" customFormat="1" x14ac:dyDescent="0.4">
      <c r="A684" s="2" t="s">
        <v>72</v>
      </c>
      <c r="B684" s="2" t="s">
        <v>1930</v>
      </c>
      <c r="C684" s="2" t="s">
        <v>74</v>
      </c>
      <c r="D684" s="2" t="s">
        <v>74</v>
      </c>
      <c r="E684" s="2" t="s">
        <v>74</v>
      </c>
      <c r="F684" s="2" t="s">
        <v>1930</v>
      </c>
      <c r="G684" s="2" t="s">
        <v>74</v>
      </c>
      <c r="H684" s="2" t="s">
        <v>74</v>
      </c>
      <c r="I684" s="2" t="s">
        <v>1931</v>
      </c>
      <c r="J684" s="2" t="s">
        <v>229</v>
      </c>
      <c r="K684" s="2" t="s">
        <v>74</v>
      </c>
      <c r="L684" s="2" t="s">
        <v>74</v>
      </c>
      <c r="M684" s="2" t="s">
        <v>74</v>
      </c>
      <c r="N684" s="2" t="s">
        <v>74</v>
      </c>
      <c r="O684" s="2" t="s">
        <v>74</v>
      </c>
      <c r="P684" s="2" t="s">
        <v>74</v>
      </c>
      <c r="Q684" s="2" t="s">
        <v>74</v>
      </c>
      <c r="R684" s="2" t="s">
        <v>74</v>
      </c>
      <c r="S684" s="2" t="s">
        <v>74</v>
      </c>
      <c r="T684" s="2" t="s">
        <v>74</v>
      </c>
      <c r="U684" s="2" t="s">
        <v>74</v>
      </c>
      <c r="V684" s="5" t="s">
        <v>1932</v>
      </c>
      <c r="W684" s="2" t="s">
        <v>74</v>
      </c>
      <c r="X684" s="2" t="s">
        <v>74</v>
      </c>
      <c r="Y684" s="2" t="s">
        <v>74</v>
      </c>
      <c r="Z684" s="2" t="s">
        <v>74</v>
      </c>
      <c r="AA684" s="2" t="s">
        <v>1933</v>
      </c>
      <c r="AB684" s="2" t="s">
        <v>1934</v>
      </c>
      <c r="AC684" s="2" t="s">
        <v>74</v>
      </c>
      <c r="AD684" s="2" t="s">
        <v>74</v>
      </c>
      <c r="AE684" s="2" t="s">
        <v>74</v>
      </c>
      <c r="AF684" s="2" t="s">
        <v>74</v>
      </c>
      <c r="AG684" s="2" t="s">
        <v>74</v>
      </c>
      <c r="AH684" s="2" t="s">
        <v>74</v>
      </c>
      <c r="AI684" s="2" t="s">
        <v>74</v>
      </c>
      <c r="AJ684" s="2" t="s">
        <v>74</v>
      </c>
      <c r="AK684" s="2" t="s">
        <v>74</v>
      </c>
      <c r="AL684" s="2" t="s">
        <v>74</v>
      </c>
      <c r="AM684" s="2" t="s">
        <v>74</v>
      </c>
      <c r="AN684" s="2" t="s">
        <v>74</v>
      </c>
      <c r="AO684" s="2" t="s">
        <v>233</v>
      </c>
      <c r="AP684" s="2" t="s">
        <v>234</v>
      </c>
      <c r="AQ684" s="2" t="s">
        <v>74</v>
      </c>
      <c r="AR684" s="2" t="s">
        <v>74</v>
      </c>
      <c r="AS684" s="2" t="s">
        <v>74</v>
      </c>
      <c r="AT684" s="2" t="s">
        <v>1038</v>
      </c>
      <c r="AU684" s="2">
        <v>2002</v>
      </c>
      <c r="AV684" s="2">
        <v>28</v>
      </c>
      <c r="AW684" s="2">
        <v>2</v>
      </c>
      <c r="AX684" s="2" t="s">
        <v>74</v>
      </c>
      <c r="AY684" s="2" t="s">
        <v>74</v>
      </c>
      <c r="AZ684" s="2" t="s">
        <v>74</v>
      </c>
      <c r="BA684" s="2" t="s">
        <v>74</v>
      </c>
      <c r="BB684" s="2">
        <v>154</v>
      </c>
      <c r="BC684" s="2">
        <v>163</v>
      </c>
      <c r="BD684" s="2" t="s">
        <v>74</v>
      </c>
      <c r="BE684" s="2" t="s">
        <v>1935</v>
      </c>
      <c r="BF684" s="2" t="str">
        <f>HYPERLINK("http://dx.doi.org/10.1002/ab.90017","http://dx.doi.org/10.1002/ab.90017")</f>
        <v>http://dx.doi.org/10.1002/ab.90017</v>
      </c>
      <c r="BG684" s="2" t="s">
        <v>74</v>
      </c>
      <c r="BH684" s="2" t="s">
        <v>74</v>
      </c>
      <c r="BI684" s="2" t="s">
        <v>74</v>
      </c>
      <c r="BJ684" s="2" t="s">
        <v>74</v>
      </c>
      <c r="BK684" s="2" t="s">
        <v>74</v>
      </c>
      <c r="BL684" s="2" t="s">
        <v>74</v>
      </c>
      <c r="BM684" s="2" t="s">
        <v>74</v>
      </c>
      <c r="BN684" s="2" t="s">
        <v>74</v>
      </c>
      <c r="BO684" s="2" t="s">
        <v>74</v>
      </c>
      <c r="BP684" s="2" t="s">
        <v>74</v>
      </c>
      <c r="BQ684" s="2" t="s">
        <v>74</v>
      </c>
      <c r="BR684" s="2" t="s">
        <v>74</v>
      </c>
      <c r="BS684" s="2" t="s">
        <v>1936</v>
      </c>
      <c r="BT684" s="2" t="str">
        <f>HYPERLINK("https%3A%2F%2Fwww.webofscience.com%2Fwos%2Fwoscc%2Ffull-record%2FWOS:000174435600008","View Full Record in Web of Science")</f>
        <v>View Full Record in Web of Science</v>
      </c>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row>
    <row r="685" spans="1:314" s="2" customFormat="1" x14ac:dyDescent="0.4">
      <c r="A685" s="2" t="s">
        <v>72</v>
      </c>
      <c r="B685" s="2" t="s">
        <v>1930</v>
      </c>
      <c r="C685" s="2" t="s">
        <v>74</v>
      </c>
      <c r="D685" s="2" t="s">
        <v>74</v>
      </c>
      <c r="E685" s="2" t="s">
        <v>74</v>
      </c>
      <c r="F685" s="2" t="s">
        <v>1930</v>
      </c>
      <c r="G685" s="2" t="s">
        <v>74</v>
      </c>
      <c r="H685" s="2" t="s">
        <v>74</v>
      </c>
      <c r="I685" s="2" t="s">
        <v>5603</v>
      </c>
      <c r="J685" s="2" t="s">
        <v>129</v>
      </c>
      <c r="K685" s="2" t="s">
        <v>74</v>
      </c>
      <c r="L685" s="2" t="s">
        <v>74</v>
      </c>
      <c r="M685" s="2" t="s">
        <v>74</v>
      </c>
      <c r="N685" s="2" t="s">
        <v>74</v>
      </c>
      <c r="O685" s="2" t="s">
        <v>74</v>
      </c>
      <c r="P685" s="2" t="s">
        <v>74</v>
      </c>
      <c r="Q685" s="2" t="s">
        <v>74</v>
      </c>
      <c r="R685" s="2" t="s">
        <v>74</v>
      </c>
      <c r="S685" s="2" t="s">
        <v>74</v>
      </c>
      <c r="T685" s="2" t="s">
        <v>74</v>
      </c>
      <c r="U685" s="2" t="s">
        <v>74</v>
      </c>
      <c r="V685" s="5" t="s">
        <v>5604</v>
      </c>
      <c r="W685" s="2" t="s">
        <v>74</v>
      </c>
      <c r="X685" s="2" t="s">
        <v>74</v>
      </c>
      <c r="Y685" s="2" t="s">
        <v>74</v>
      </c>
      <c r="Z685" s="2" t="s">
        <v>74</v>
      </c>
      <c r="AA685" s="2" t="s">
        <v>1933</v>
      </c>
      <c r="AB685" s="2" t="s">
        <v>1934</v>
      </c>
      <c r="AC685" s="2" t="s">
        <v>74</v>
      </c>
      <c r="AD685" s="2" t="s">
        <v>74</v>
      </c>
      <c r="AE685" s="2" t="s">
        <v>74</v>
      </c>
      <c r="AF685" s="2" t="s">
        <v>74</v>
      </c>
      <c r="AG685" s="2" t="s">
        <v>74</v>
      </c>
      <c r="AH685" s="2" t="s">
        <v>74</v>
      </c>
      <c r="AI685" s="2" t="s">
        <v>74</v>
      </c>
      <c r="AJ685" s="2" t="s">
        <v>74</v>
      </c>
      <c r="AK685" s="2" t="s">
        <v>74</v>
      </c>
      <c r="AL685" s="2" t="s">
        <v>74</v>
      </c>
      <c r="AM685" s="2" t="s">
        <v>74</v>
      </c>
      <c r="AN685" s="2" t="s">
        <v>74</v>
      </c>
      <c r="AO685" s="2" t="s">
        <v>132</v>
      </c>
      <c r="AP685" s="2" t="s">
        <v>74</v>
      </c>
      <c r="AQ685" s="2" t="s">
        <v>74</v>
      </c>
      <c r="AR685" s="2" t="s">
        <v>74</v>
      </c>
      <c r="AS685" s="2" t="s">
        <v>74</v>
      </c>
      <c r="AT685" s="2" t="s">
        <v>145</v>
      </c>
      <c r="AU685" s="2">
        <v>2003</v>
      </c>
      <c r="AV685" s="2">
        <v>54</v>
      </c>
      <c r="AW685" s="2">
        <v>3</v>
      </c>
      <c r="AX685" s="2" t="s">
        <v>74</v>
      </c>
      <c r="AY685" s="2" t="s">
        <v>74</v>
      </c>
      <c r="AZ685" s="2" t="s">
        <v>74</v>
      </c>
      <c r="BA685" s="2" t="s">
        <v>74</v>
      </c>
      <c r="BB685" s="2">
        <v>218</v>
      </c>
      <c r="BC685" s="2">
        <v>224</v>
      </c>
      <c r="BD685" s="2" t="s">
        <v>74</v>
      </c>
      <c r="BE685" s="2" t="s">
        <v>5605</v>
      </c>
      <c r="BF685" s="2" t="str">
        <f>HYPERLINK("http://dx.doi.org/10.1007/s00265-003-0623-2","http://dx.doi.org/10.1007/s00265-003-0623-2")</f>
        <v>http://dx.doi.org/10.1007/s00265-003-0623-2</v>
      </c>
      <c r="BG685" s="2" t="s">
        <v>74</v>
      </c>
      <c r="BH685" s="2" t="s">
        <v>74</v>
      </c>
      <c r="BI685" s="2" t="s">
        <v>74</v>
      </c>
      <c r="BJ685" s="2" t="s">
        <v>74</v>
      </c>
      <c r="BK685" s="2" t="s">
        <v>74</v>
      </c>
      <c r="BL685" s="2" t="s">
        <v>74</v>
      </c>
      <c r="BM685" s="2" t="s">
        <v>74</v>
      </c>
      <c r="BN685" s="2" t="s">
        <v>74</v>
      </c>
      <c r="BO685" s="2" t="s">
        <v>74</v>
      </c>
      <c r="BP685" s="2" t="s">
        <v>74</v>
      </c>
      <c r="BQ685" s="2" t="s">
        <v>74</v>
      </c>
      <c r="BR685" s="2" t="s">
        <v>74</v>
      </c>
      <c r="BS685" s="2" t="s">
        <v>5606</v>
      </c>
      <c r="BT685" s="2" t="str">
        <f>HYPERLINK("https%3A%2F%2Fwww.webofscience.com%2Fwos%2Fwoscc%2Ffull-record%2FWOS:000184754900003","View Full Record in Web of Science")</f>
        <v>View Full Record in Web of Science</v>
      </c>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row>
    <row r="686" spans="1:314" s="2" customFormat="1" x14ac:dyDescent="0.4">
      <c r="A686" s="2" t="s">
        <v>72</v>
      </c>
      <c r="B686" s="2" t="s">
        <v>1930</v>
      </c>
      <c r="C686" s="2" t="s">
        <v>74</v>
      </c>
      <c r="D686" s="2" t="s">
        <v>74</v>
      </c>
      <c r="E686" s="2" t="s">
        <v>74</v>
      </c>
      <c r="F686" s="2" t="s">
        <v>1930</v>
      </c>
      <c r="G686" s="2" t="s">
        <v>74</v>
      </c>
      <c r="H686" s="2" t="s">
        <v>74</v>
      </c>
      <c r="I686" s="2" t="s">
        <v>7276</v>
      </c>
      <c r="J686" s="2" t="s">
        <v>610</v>
      </c>
      <c r="K686" s="2" t="s">
        <v>74</v>
      </c>
      <c r="L686" s="2" t="s">
        <v>74</v>
      </c>
      <c r="M686" s="2" t="s">
        <v>74</v>
      </c>
      <c r="N686" s="2" t="s">
        <v>74</v>
      </c>
      <c r="O686" s="2" t="s">
        <v>74</v>
      </c>
      <c r="P686" s="2" t="s">
        <v>74</v>
      </c>
      <c r="Q686" s="2" t="s">
        <v>74</v>
      </c>
      <c r="R686" s="2" t="s">
        <v>74</v>
      </c>
      <c r="S686" s="2" t="s">
        <v>74</v>
      </c>
      <c r="T686" s="2" t="s">
        <v>74</v>
      </c>
      <c r="U686" s="2" t="s">
        <v>74</v>
      </c>
      <c r="V686" s="5" t="s">
        <v>7277</v>
      </c>
      <c r="W686" s="2" t="s">
        <v>74</v>
      </c>
      <c r="X686" s="2" t="s">
        <v>74</v>
      </c>
      <c r="Y686" s="2" t="s">
        <v>74</v>
      </c>
      <c r="Z686" s="2" t="s">
        <v>74</v>
      </c>
      <c r="AA686" s="2" t="s">
        <v>1933</v>
      </c>
      <c r="AB686" s="2" t="s">
        <v>1934</v>
      </c>
      <c r="AC686" s="2" t="s">
        <v>74</v>
      </c>
      <c r="AD686" s="2" t="s">
        <v>74</v>
      </c>
      <c r="AE686" s="2" t="s">
        <v>74</v>
      </c>
      <c r="AF686" s="2" t="s">
        <v>74</v>
      </c>
      <c r="AG686" s="2" t="s">
        <v>74</v>
      </c>
      <c r="AH686" s="2" t="s">
        <v>74</v>
      </c>
      <c r="AI686" s="2" t="s">
        <v>74</v>
      </c>
      <c r="AJ686" s="2" t="s">
        <v>74</v>
      </c>
      <c r="AK686" s="2" t="s">
        <v>74</v>
      </c>
      <c r="AL686" s="2" t="s">
        <v>74</v>
      </c>
      <c r="AM686" s="2" t="s">
        <v>74</v>
      </c>
      <c r="AN686" s="2" t="s">
        <v>74</v>
      </c>
      <c r="AO686" s="2" t="s">
        <v>614</v>
      </c>
      <c r="AP686" s="2" t="s">
        <v>615</v>
      </c>
      <c r="AQ686" s="2" t="s">
        <v>74</v>
      </c>
      <c r="AR686" s="2" t="s">
        <v>74</v>
      </c>
      <c r="AS686" s="2" t="s">
        <v>74</v>
      </c>
      <c r="AT686" s="2" t="s">
        <v>204</v>
      </c>
      <c r="AU686" s="2">
        <v>2004</v>
      </c>
      <c r="AV686" s="2">
        <v>110</v>
      </c>
      <c r="AW686" s="2">
        <v>7</v>
      </c>
      <c r="AX686" s="2" t="s">
        <v>74</v>
      </c>
      <c r="AY686" s="2" t="s">
        <v>74</v>
      </c>
      <c r="AZ686" s="2" t="s">
        <v>74</v>
      </c>
      <c r="BA686" s="2" t="s">
        <v>74</v>
      </c>
      <c r="BB686" s="2">
        <v>543</v>
      </c>
      <c r="BC686" s="2">
        <v>561</v>
      </c>
      <c r="BD686" s="2" t="s">
        <v>74</v>
      </c>
      <c r="BE686" s="2" t="s">
        <v>7278</v>
      </c>
      <c r="BF686" s="2" t="str">
        <f>HYPERLINK("http://dx.doi.org/10.1111/j.1439-0310.2004.00996.x","http://dx.doi.org/10.1111/j.1439-0310.2004.00996.x")</f>
        <v>http://dx.doi.org/10.1111/j.1439-0310.2004.00996.x</v>
      </c>
      <c r="BG686" s="2" t="s">
        <v>74</v>
      </c>
      <c r="BH686" s="2" t="s">
        <v>74</v>
      </c>
      <c r="BI686" s="2" t="s">
        <v>74</v>
      </c>
      <c r="BJ686" s="2" t="s">
        <v>74</v>
      </c>
      <c r="BK686" s="2" t="s">
        <v>74</v>
      </c>
      <c r="BL686" s="2" t="s">
        <v>74</v>
      </c>
      <c r="BM686" s="2" t="s">
        <v>74</v>
      </c>
      <c r="BN686" s="2" t="s">
        <v>74</v>
      </c>
      <c r="BO686" s="2" t="s">
        <v>74</v>
      </c>
      <c r="BP686" s="2" t="s">
        <v>74</v>
      </c>
      <c r="BQ686" s="2" t="s">
        <v>74</v>
      </c>
      <c r="BR686" s="2" t="s">
        <v>74</v>
      </c>
      <c r="BS686" s="2" t="s">
        <v>7279</v>
      </c>
      <c r="BT686" s="2" t="str">
        <f>HYPERLINK("https%3A%2F%2Fwww.webofscience.com%2Fwos%2Fwoscc%2Ffull-record%2FWOS:000222483900004","View Full Record in Web of Science")</f>
        <v>View Full Record in Web of Science</v>
      </c>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row>
    <row r="687" spans="1:314" s="2" customFormat="1" x14ac:dyDescent="0.4">
      <c r="A687" s="2" t="s">
        <v>72</v>
      </c>
      <c r="B687" s="2" t="s">
        <v>249</v>
      </c>
      <c r="C687" s="2" t="s">
        <v>74</v>
      </c>
      <c r="D687" s="2" t="s">
        <v>74</v>
      </c>
      <c r="E687" s="2" t="s">
        <v>74</v>
      </c>
      <c r="F687" s="2" t="s">
        <v>250</v>
      </c>
      <c r="G687" s="2" t="s">
        <v>74</v>
      </c>
      <c r="H687" s="2" t="s">
        <v>74</v>
      </c>
      <c r="I687" s="2" t="s">
        <v>251</v>
      </c>
      <c r="J687" s="2" t="s">
        <v>129</v>
      </c>
      <c r="K687" s="2" t="s">
        <v>74</v>
      </c>
      <c r="L687" s="2" t="s">
        <v>74</v>
      </c>
      <c r="M687" s="2" t="s">
        <v>74</v>
      </c>
      <c r="N687" s="2" t="s">
        <v>74</v>
      </c>
      <c r="O687" s="2" t="s">
        <v>74</v>
      </c>
      <c r="P687" s="2" t="s">
        <v>74</v>
      </c>
      <c r="Q687" s="2" t="s">
        <v>74</v>
      </c>
      <c r="R687" s="2" t="s">
        <v>74</v>
      </c>
      <c r="S687" s="2" t="s">
        <v>74</v>
      </c>
      <c r="T687" s="2" t="s">
        <v>74</v>
      </c>
      <c r="U687" s="2" t="s">
        <v>74</v>
      </c>
      <c r="V687" s="5" t="s">
        <v>252</v>
      </c>
      <c r="W687" s="2" t="s">
        <v>74</v>
      </c>
      <c r="X687" s="2" t="s">
        <v>74</v>
      </c>
      <c r="Y687" s="2" t="s">
        <v>74</v>
      </c>
      <c r="Z687" s="2" t="s">
        <v>74</v>
      </c>
      <c r="AA687" s="2" t="s">
        <v>253</v>
      </c>
      <c r="AB687" s="2" t="s">
        <v>254</v>
      </c>
      <c r="AC687" s="2" t="s">
        <v>74</v>
      </c>
      <c r="AD687" s="2" t="s">
        <v>74</v>
      </c>
      <c r="AE687" s="2" t="s">
        <v>74</v>
      </c>
      <c r="AF687" s="2" t="s">
        <v>74</v>
      </c>
      <c r="AG687" s="2" t="s">
        <v>74</v>
      </c>
      <c r="AH687" s="2" t="s">
        <v>74</v>
      </c>
      <c r="AI687" s="2" t="s">
        <v>74</v>
      </c>
      <c r="AJ687" s="2" t="s">
        <v>74</v>
      </c>
      <c r="AK687" s="2" t="s">
        <v>74</v>
      </c>
      <c r="AL687" s="2" t="s">
        <v>74</v>
      </c>
      <c r="AM687" s="2" t="s">
        <v>74</v>
      </c>
      <c r="AN687" s="2" t="s">
        <v>74</v>
      </c>
      <c r="AO687" s="2" t="s">
        <v>132</v>
      </c>
      <c r="AP687" s="2" t="s">
        <v>133</v>
      </c>
      <c r="AQ687" s="2" t="s">
        <v>74</v>
      </c>
      <c r="AR687" s="2" t="s">
        <v>74</v>
      </c>
      <c r="AS687" s="2" t="s">
        <v>74</v>
      </c>
      <c r="AT687" s="2" t="s">
        <v>255</v>
      </c>
      <c r="AU687" s="2">
        <v>2010</v>
      </c>
      <c r="AV687" s="2">
        <v>64</v>
      </c>
      <c r="AW687" s="2">
        <v>3</v>
      </c>
      <c r="AX687" s="2" t="s">
        <v>74</v>
      </c>
      <c r="AY687" s="2" t="s">
        <v>74</v>
      </c>
      <c r="AZ687" s="2" t="s">
        <v>74</v>
      </c>
      <c r="BA687" s="2" t="s">
        <v>74</v>
      </c>
      <c r="BB687" s="2">
        <v>317</v>
      </c>
      <c r="BC687" s="2">
        <v>324</v>
      </c>
      <c r="BD687" s="2" t="s">
        <v>74</v>
      </c>
      <c r="BE687" s="2" t="s">
        <v>256</v>
      </c>
      <c r="BF687" s="2" t="str">
        <f>HYPERLINK("http://dx.doi.org/10.1007/s00265-009-0811-9","http://dx.doi.org/10.1007/s00265-009-0811-9")</f>
        <v>http://dx.doi.org/10.1007/s00265-009-0811-9</v>
      </c>
      <c r="BG687" s="2" t="s">
        <v>74</v>
      </c>
      <c r="BH687" s="2" t="s">
        <v>74</v>
      </c>
      <c r="BI687" s="2" t="s">
        <v>74</v>
      </c>
      <c r="BJ687" s="2" t="s">
        <v>74</v>
      </c>
      <c r="BK687" s="2" t="s">
        <v>74</v>
      </c>
      <c r="BL687" s="2" t="s">
        <v>74</v>
      </c>
      <c r="BM687" s="2" t="s">
        <v>74</v>
      </c>
      <c r="BN687" s="2" t="s">
        <v>74</v>
      </c>
      <c r="BO687" s="2" t="s">
        <v>74</v>
      </c>
      <c r="BP687" s="2" t="s">
        <v>74</v>
      </c>
      <c r="BQ687" s="2" t="s">
        <v>74</v>
      </c>
      <c r="BR687" s="2" t="s">
        <v>74</v>
      </c>
      <c r="BS687" s="2" t="s">
        <v>257</v>
      </c>
      <c r="BT687" s="2" t="str">
        <f>HYPERLINK("https%3A%2F%2Fwww.webofscience.com%2Fwos%2Fwoscc%2Ffull-record%2FWOS:000274433500002","View Full Record in Web of Science")</f>
        <v>View Full Record in Web of Science</v>
      </c>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row>
    <row r="688" spans="1:314" s="2" customFormat="1" x14ac:dyDescent="0.4">
      <c r="A688" s="2" t="s">
        <v>72</v>
      </c>
      <c r="B688" s="2" t="s">
        <v>5272</v>
      </c>
      <c r="C688" s="2" t="s">
        <v>74</v>
      </c>
      <c r="D688" s="2" t="s">
        <v>74</v>
      </c>
      <c r="E688" s="2" t="s">
        <v>74</v>
      </c>
      <c r="F688" s="2" t="s">
        <v>5273</v>
      </c>
      <c r="G688" s="2" t="s">
        <v>74</v>
      </c>
      <c r="H688" s="2" t="s">
        <v>74</v>
      </c>
      <c r="I688" s="2" t="s">
        <v>5274</v>
      </c>
      <c r="J688" s="2" t="s">
        <v>1656</v>
      </c>
      <c r="K688" s="2" t="s">
        <v>74</v>
      </c>
      <c r="L688" s="2" t="s">
        <v>74</v>
      </c>
      <c r="M688" s="2" t="s">
        <v>74</v>
      </c>
      <c r="N688" s="2" t="s">
        <v>74</v>
      </c>
      <c r="O688" s="2" t="s">
        <v>74</v>
      </c>
      <c r="P688" s="2" t="s">
        <v>74</v>
      </c>
      <c r="Q688" s="2" t="s">
        <v>74</v>
      </c>
      <c r="R688" s="2" t="s">
        <v>74</v>
      </c>
      <c r="S688" s="2" t="s">
        <v>74</v>
      </c>
      <c r="T688" s="2" t="s">
        <v>74</v>
      </c>
      <c r="U688" s="2" t="s">
        <v>74</v>
      </c>
      <c r="V688" s="5" t="s">
        <v>5275</v>
      </c>
      <c r="W688" s="2" t="s">
        <v>74</v>
      </c>
      <c r="X688" s="2" t="s">
        <v>74</v>
      </c>
      <c r="Y688" s="2" t="s">
        <v>74</v>
      </c>
      <c r="Z688" s="2" t="s">
        <v>74</v>
      </c>
      <c r="AA688" s="2" t="s">
        <v>5276</v>
      </c>
      <c r="AB688" s="2" t="s">
        <v>5277</v>
      </c>
      <c r="AC688" s="2" t="s">
        <v>74</v>
      </c>
      <c r="AD688" s="2" t="s">
        <v>74</v>
      </c>
      <c r="AE688" s="2" t="s">
        <v>74</v>
      </c>
      <c r="AF688" s="2" t="s">
        <v>74</v>
      </c>
      <c r="AG688" s="2" t="s">
        <v>74</v>
      </c>
      <c r="AH688" s="2" t="s">
        <v>74</v>
      </c>
      <c r="AI688" s="2" t="s">
        <v>74</v>
      </c>
      <c r="AJ688" s="2" t="s">
        <v>74</v>
      </c>
      <c r="AK688" s="2" t="s">
        <v>74</v>
      </c>
      <c r="AL688" s="2" t="s">
        <v>74</v>
      </c>
      <c r="AM688" s="2" t="s">
        <v>74</v>
      </c>
      <c r="AN688" s="2" t="s">
        <v>74</v>
      </c>
      <c r="AO688" s="2" t="s">
        <v>1658</v>
      </c>
      <c r="AP688" s="2" t="s">
        <v>1659</v>
      </c>
      <c r="AQ688" s="2" t="s">
        <v>74</v>
      </c>
      <c r="AR688" s="2" t="s">
        <v>74</v>
      </c>
      <c r="AS688" s="2" t="s">
        <v>74</v>
      </c>
      <c r="AT688" s="2" t="s">
        <v>5278</v>
      </c>
      <c r="AU688" s="2">
        <v>2013</v>
      </c>
      <c r="AV688" s="2">
        <v>3664</v>
      </c>
      <c r="AW688" s="2">
        <v>4</v>
      </c>
      <c r="AX688" s="2" t="s">
        <v>74</v>
      </c>
      <c r="AY688" s="2" t="s">
        <v>74</v>
      </c>
      <c r="AZ688" s="2" t="s">
        <v>74</v>
      </c>
      <c r="BA688" s="2" t="s">
        <v>74</v>
      </c>
      <c r="BB688" s="2">
        <v>505</v>
      </c>
      <c r="BC688" s="2">
        <v>524</v>
      </c>
      <c r="BD688" s="2" t="s">
        <v>74</v>
      </c>
      <c r="BE688" s="2" t="s">
        <v>5279</v>
      </c>
      <c r="BF688" s="2" t="str">
        <f>HYPERLINK("http://dx.doi.org/10.11646/zootaxa.3664.4.5","http://dx.doi.org/10.11646/zootaxa.3664.4.5")</f>
        <v>http://dx.doi.org/10.11646/zootaxa.3664.4.5</v>
      </c>
      <c r="BG688" s="2" t="s">
        <v>74</v>
      </c>
      <c r="BH688" s="2" t="s">
        <v>74</v>
      </c>
      <c r="BI688" s="2" t="s">
        <v>74</v>
      </c>
      <c r="BJ688" s="2" t="s">
        <v>74</v>
      </c>
      <c r="BK688" s="2" t="s">
        <v>74</v>
      </c>
      <c r="BL688" s="2" t="s">
        <v>74</v>
      </c>
      <c r="BM688" s="2" t="s">
        <v>74</v>
      </c>
      <c r="BN688" s="2">
        <v>26266316</v>
      </c>
      <c r="BO688" s="2" t="s">
        <v>74</v>
      </c>
      <c r="BP688" s="2" t="s">
        <v>74</v>
      </c>
      <c r="BQ688" s="2" t="s">
        <v>74</v>
      </c>
      <c r="BR688" s="2" t="s">
        <v>74</v>
      </c>
      <c r="BS688" s="2" t="s">
        <v>5280</v>
      </c>
      <c r="BT688" s="2" t="str">
        <f>HYPERLINK("https%3A%2F%2Fwww.webofscience.com%2Fwos%2Fwoscc%2Ffull-record%2FWOS:000319727800005","View Full Record in Web of Science")</f>
        <v>View Full Record in Web of Science</v>
      </c>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row>
    <row r="689" spans="1:314" s="1" customFormat="1" x14ac:dyDescent="0.4">
      <c r="A689" s="2" t="s">
        <v>72</v>
      </c>
      <c r="B689" s="2" t="s">
        <v>5499</v>
      </c>
      <c r="C689" s="2" t="s">
        <v>74</v>
      </c>
      <c r="D689" s="2" t="s">
        <v>74</v>
      </c>
      <c r="E689" s="2" t="s">
        <v>74</v>
      </c>
      <c r="F689" s="2" t="s">
        <v>5499</v>
      </c>
      <c r="G689" s="2" t="s">
        <v>74</v>
      </c>
      <c r="H689" s="2" t="s">
        <v>74</v>
      </c>
      <c r="I689" s="2" t="s">
        <v>5500</v>
      </c>
      <c r="J689" s="2" t="s">
        <v>140</v>
      </c>
      <c r="K689" s="2" t="s">
        <v>74</v>
      </c>
      <c r="L689" s="2" t="s">
        <v>74</v>
      </c>
      <c r="M689" s="2" t="s">
        <v>74</v>
      </c>
      <c r="N689" s="2" t="s">
        <v>74</v>
      </c>
      <c r="O689" s="2" t="s">
        <v>74</v>
      </c>
      <c r="P689" s="2" t="s">
        <v>74</v>
      </c>
      <c r="Q689" s="2" t="s">
        <v>74</v>
      </c>
      <c r="R689" s="2" t="s">
        <v>74</v>
      </c>
      <c r="S689" s="2" t="s">
        <v>74</v>
      </c>
      <c r="T689" s="2" t="s">
        <v>74</v>
      </c>
      <c r="U689" s="2" t="s">
        <v>74</v>
      </c>
      <c r="V689" s="5" t="s">
        <v>5501</v>
      </c>
      <c r="W689" s="2" t="s">
        <v>74</v>
      </c>
      <c r="X689" s="2" t="s">
        <v>74</v>
      </c>
      <c r="Y689" s="2" t="s">
        <v>74</v>
      </c>
      <c r="Z689" s="2" t="s">
        <v>74</v>
      </c>
      <c r="AA689" s="2" t="s">
        <v>74</v>
      </c>
      <c r="AB689" s="2" t="s">
        <v>74</v>
      </c>
      <c r="AC689" s="2" t="s">
        <v>74</v>
      </c>
      <c r="AD689" s="2" t="s">
        <v>74</v>
      </c>
      <c r="AE689" s="2" t="s">
        <v>74</v>
      </c>
      <c r="AF689" s="2" t="s">
        <v>74</v>
      </c>
      <c r="AG689" s="2" t="s">
        <v>74</v>
      </c>
      <c r="AH689" s="2" t="s">
        <v>74</v>
      </c>
      <c r="AI689" s="2" t="s">
        <v>74</v>
      </c>
      <c r="AJ689" s="2" t="s">
        <v>74</v>
      </c>
      <c r="AK689" s="2" t="s">
        <v>74</v>
      </c>
      <c r="AL689" s="2" t="s">
        <v>74</v>
      </c>
      <c r="AM689" s="2" t="s">
        <v>74</v>
      </c>
      <c r="AN689" s="2" t="s">
        <v>74</v>
      </c>
      <c r="AO689" s="2" t="s">
        <v>143</v>
      </c>
      <c r="AP689" s="2" t="s">
        <v>144</v>
      </c>
      <c r="AQ689" s="2" t="s">
        <v>74</v>
      </c>
      <c r="AR689" s="2" t="s">
        <v>74</v>
      </c>
      <c r="AS689" s="2" t="s">
        <v>74</v>
      </c>
      <c r="AT689" s="2" t="s">
        <v>145</v>
      </c>
      <c r="AU689" s="2">
        <v>2003</v>
      </c>
      <c r="AV689" s="2">
        <v>66</v>
      </c>
      <c r="AW689" s="2" t="s">
        <v>74</v>
      </c>
      <c r="AX689" s="2">
        <v>2</v>
      </c>
      <c r="AY689" s="2" t="s">
        <v>74</v>
      </c>
      <c r="AZ689" s="2" t="s">
        <v>74</v>
      </c>
      <c r="BA689" s="2" t="s">
        <v>74</v>
      </c>
      <c r="BB689" s="2">
        <v>299</v>
      </c>
      <c r="BC689" s="2">
        <v>307</v>
      </c>
      <c r="BD689" s="2" t="s">
        <v>74</v>
      </c>
      <c r="BE689" s="2" t="s">
        <v>5502</v>
      </c>
      <c r="BF689" s="2" t="str">
        <f>HYPERLINK("http://dx.doi.org/10.1006/anbe.2003.2214","http://dx.doi.org/10.1006/anbe.2003.2214")</f>
        <v>http://dx.doi.org/10.1006/anbe.2003.2214</v>
      </c>
      <c r="BG689" s="2" t="s">
        <v>74</v>
      </c>
      <c r="BH689" s="2" t="s">
        <v>74</v>
      </c>
      <c r="BI689" s="2" t="s">
        <v>74</v>
      </c>
      <c r="BJ689" s="2" t="s">
        <v>74</v>
      </c>
      <c r="BK689" s="2" t="s">
        <v>74</v>
      </c>
      <c r="BL689" s="2" t="s">
        <v>74</v>
      </c>
      <c r="BM689" s="2" t="s">
        <v>74</v>
      </c>
      <c r="BN689" s="2" t="s">
        <v>74</v>
      </c>
      <c r="BO689" s="2" t="s">
        <v>74</v>
      </c>
      <c r="BP689" s="2" t="s">
        <v>74</v>
      </c>
      <c r="BQ689" s="2" t="s">
        <v>74</v>
      </c>
      <c r="BR689" s="2" t="s">
        <v>74</v>
      </c>
      <c r="BS689" s="2" t="s">
        <v>5503</v>
      </c>
      <c r="BT689" s="2" t="str">
        <f>HYPERLINK("https%3A%2F%2Fwww.webofscience.com%2Fwos%2Fwoscc%2Ffull-record%2FWOS:000184899600013","View Full Record in Web of Science")</f>
        <v>View Full Record in Web of Science</v>
      </c>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row>
    <row r="690" spans="1:314" s="1" customFormat="1" x14ac:dyDescent="0.4">
      <c r="A690" s="2" t="s">
        <v>72</v>
      </c>
      <c r="B690" s="2" t="s">
        <v>2025</v>
      </c>
      <c r="C690" s="2" t="s">
        <v>74</v>
      </c>
      <c r="D690" s="2" t="s">
        <v>74</v>
      </c>
      <c r="E690" s="2" t="s">
        <v>74</v>
      </c>
      <c r="F690" s="2" t="s">
        <v>2025</v>
      </c>
      <c r="G690" s="2" t="s">
        <v>74</v>
      </c>
      <c r="H690" s="2" t="s">
        <v>74</v>
      </c>
      <c r="I690" s="2" t="s">
        <v>2026</v>
      </c>
      <c r="J690" s="2" t="s">
        <v>1126</v>
      </c>
      <c r="K690" s="2" t="s">
        <v>74</v>
      </c>
      <c r="L690" s="2" t="s">
        <v>74</v>
      </c>
      <c r="M690" s="2" t="s">
        <v>74</v>
      </c>
      <c r="N690" s="2" t="s">
        <v>74</v>
      </c>
      <c r="O690" s="2" t="s">
        <v>74</v>
      </c>
      <c r="P690" s="2" t="s">
        <v>74</v>
      </c>
      <c r="Q690" s="2" t="s">
        <v>74</v>
      </c>
      <c r="R690" s="2" t="s">
        <v>74</v>
      </c>
      <c r="S690" s="2" t="s">
        <v>74</v>
      </c>
      <c r="T690" s="2" t="s">
        <v>74</v>
      </c>
      <c r="U690" s="2" t="s">
        <v>74</v>
      </c>
      <c r="V690" s="5" t="s">
        <v>2027</v>
      </c>
      <c r="W690" s="2" t="s">
        <v>74</v>
      </c>
      <c r="X690" s="2" t="s">
        <v>74</v>
      </c>
      <c r="Y690" s="2" t="s">
        <v>74</v>
      </c>
      <c r="Z690" s="2" t="s">
        <v>74</v>
      </c>
      <c r="AA690" s="2" t="s">
        <v>74</v>
      </c>
      <c r="AB690" s="2" t="s">
        <v>74</v>
      </c>
      <c r="AC690" s="2" t="s">
        <v>74</v>
      </c>
      <c r="AD690" s="2" t="s">
        <v>74</v>
      </c>
      <c r="AE690" s="2" t="s">
        <v>74</v>
      </c>
      <c r="AF690" s="2" t="s">
        <v>74</v>
      </c>
      <c r="AG690" s="2" t="s">
        <v>74</v>
      </c>
      <c r="AH690" s="2" t="s">
        <v>74</v>
      </c>
      <c r="AI690" s="2" t="s">
        <v>74</v>
      </c>
      <c r="AJ690" s="2" t="s">
        <v>74</v>
      </c>
      <c r="AK690" s="2" t="s">
        <v>74</v>
      </c>
      <c r="AL690" s="2" t="s">
        <v>74</v>
      </c>
      <c r="AM690" s="2" t="s">
        <v>74</v>
      </c>
      <c r="AN690" s="2" t="s">
        <v>74</v>
      </c>
      <c r="AO690" s="2" t="s">
        <v>1128</v>
      </c>
      <c r="AP690" s="2" t="s">
        <v>1129</v>
      </c>
      <c r="AQ690" s="2" t="s">
        <v>74</v>
      </c>
      <c r="AR690" s="2" t="s">
        <v>74</v>
      </c>
      <c r="AS690" s="2" t="s">
        <v>74</v>
      </c>
      <c r="AT690" s="2" t="s">
        <v>2028</v>
      </c>
      <c r="AU690" s="2">
        <v>1985</v>
      </c>
      <c r="AV690" s="2" t="s">
        <v>74</v>
      </c>
      <c r="AW690" s="2">
        <v>4</v>
      </c>
      <c r="AX690" s="2" t="s">
        <v>74</v>
      </c>
      <c r="AY690" s="2" t="s">
        <v>74</v>
      </c>
      <c r="AZ690" s="2" t="s">
        <v>74</v>
      </c>
      <c r="BA690" s="2" t="s">
        <v>74</v>
      </c>
      <c r="BB690" s="2">
        <v>905</v>
      </c>
      <c r="BC690" s="2">
        <v>910</v>
      </c>
      <c r="BD690" s="2" t="s">
        <v>74</v>
      </c>
      <c r="BE690" s="2" t="s">
        <v>2029</v>
      </c>
      <c r="BF690" s="2" t="str">
        <f>HYPERLINK("http://dx.doi.org/10.2307/1445240","http://dx.doi.org/10.2307/1445240")</f>
        <v>http://dx.doi.org/10.2307/1445240</v>
      </c>
      <c r="BG690" s="2" t="s">
        <v>74</v>
      </c>
      <c r="BH690" s="2" t="s">
        <v>74</v>
      </c>
      <c r="BI690" s="2" t="s">
        <v>74</v>
      </c>
      <c r="BJ690" s="2" t="s">
        <v>74</v>
      </c>
      <c r="BK690" s="2" t="s">
        <v>74</v>
      </c>
      <c r="BL690" s="2" t="s">
        <v>74</v>
      </c>
      <c r="BM690" s="2" t="s">
        <v>74</v>
      </c>
      <c r="BN690" s="2" t="s">
        <v>74</v>
      </c>
      <c r="BO690" s="2" t="s">
        <v>74</v>
      </c>
      <c r="BP690" s="2" t="s">
        <v>74</v>
      </c>
      <c r="BQ690" s="2" t="s">
        <v>74</v>
      </c>
      <c r="BR690" s="2" t="s">
        <v>74</v>
      </c>
      <c r="BS690" s="2" t="s">
        <v>2030</v>
      </c>
      <c r="BT690" s="2" t="str">
        <f>HYPERLINK("https%3A%2F%2Fwww.webofscience.com%2Fwos%2Fwoscc%2Ffull-record%2FWOS:A1985AXC0800010","View Full Record in Web of Science")</f>
        <v>View Full Record in Web of Science</v>
      </c>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row>
    <row r="691" spans="1:314" s="2" customFormat="1" x14ac:dyDescent="0.4">
      <c r="A691" s="2" t="s">
        <v>72</v>
      </c>
      <c r="B691" s="2" t="s">
        <v>1381</v>
      </c>
      <c r="C691" s="2" t="s">
        <v>74</v>
      </c>
      <c r="D691" s="2" t="s">
        <v>74</v>
      </c>
      <c r="E691" s="2" t="s">
        <v>74</v>
      </c>
      <c r="F691" s="2" t="s">
        <v>1382</v>
      </c>
      <c r="G691" s="2" t="s">
        <v>74</v>
      </c>
      <c r="H691" s="2" t="s">
        <v>74</v>
      </c>
      <c r="I691" s="2" t="s">
        <v>1383</v>
      </c>
      <c r="J691" s="2" t="s">
        <v>1384</v>
      </c>
      <c r="K691" s="2" t="s">
        <v>74</v>
      </c>
      <c r="L691" s="2" t="s">
        <v>74</v>
      </c>
      <c r="M691" s="2" t="s">
        <v>74</v>
      </c>
      <c r="N691" s="2" t="s">
        <v>74</v>
      </c>
      <c r="O691" s="2" t="s">
        <v>74</v>
      </c>
      <c r="P691" s="2" t="s">
        <v>74</v>
      </c>
      <c r="Q691" s="2" t="s">
        <v>74</v>
      </c>
      <c r="R691" s="2" t="s">
        <v>74</v>
      </c>
      <c r="S691" s="2" t="s">
        <v>74</v>
      </c>
      <c r="T691" s="2" t="s">
        <v>74</v>
      </c>
      <c r="U691" s="2" t="s">
        <v>74</v>
      </c>
      <c r="V691" s="5" t="s">
        <v>1385</v>
      </c>
      <c r="W691" s="2" t="s">
        <v>74</v>
      </c>
      <c r="X691" s="2" t="s">
        <v>74</v>
      </c>
      <c r="Y691" s="2" t="s">
        <v>74</v>
      </c>
      <c r="Z691" s="2" t="s">
        <v>74</v>
      </c>
      <c r="AA691" s="2" t="s">
        <v>1386</v>
      </c>
      <c r="AB691" s="2" t="s">
        <v>1387</v>
      </c>
      <c r="AC691" s="2" t="s">
        <v>74</v>
      </c>
      <c r="AD691" s="2" t="s">
        <v>74</v>
      </c>
      <c r="AE691" s="2" t="s">
        <v>74</v>
      </c>
      <c r="AF691" s="2" t="s">
        <v>74</v>
      </c>
      <c r="AG691" s="2" t="s">
        <v>74</v>
      </c>
      <c r="AH691" s="2" t="s">
        <v>74</v>
      </c>
      <c r="AI691" s="2" t="s">
        <v>74</v>
      </c>
      <c r="AJ691" s="2" t="s">
        <v>74</v>
      </c>
      <c r="AK691" s="2" t="s">
        <v>74</v>
      </c>
      <c r="AL691" s="2" t="s">
        <v>74</v>
      </c>
      <c r="AM691" s="2" t="s">
        <v>74</v>
      </c>
      <c r="AN691" s="2" t="s">
        <v>74</v>
      </c>
      <c r="AO691" s="2" t="s">
        <v>1388</v>
      </c>
      <c r="AP691" s="2" t="s">
        <v>1389</v>
      </c>
      <c r="AQ691" s="2" t="s">
        <v>74</v>
      </c>
      <c r="AR691" s="2" t="s">
        <v>74</v>
      </c>
      <c r="AS691" s="2" t="s">
        <v>74</v>
      </c>
      <c r="AT691" s="2" t="s">
        <v>175</v>
      </c>
      <c r="AU691" s="2">
        <v>2023</v>
      </c>
      <c r="AV691" s="2">
        <v>165</v>
      </c>
      <c r="AW691" s="2">
        <v>4</v>
      </c>
      <c r="AX691" s="2" t="s">
        <v>74</v>
      </c>
      <c r="AY691" s="2" t="s">
        <v>74</v>
      </c>
      <c r="AZ691" s="2" t="s">
        <v>74</v>
      </c>
      <c r="BA691" s="2" t="s">
        <v>74</v>
      </c>
      <c r="BB691" s="2">
        <v>1359</v>
      </c>
      <c r="BC691" s="2">
        <v>1367</v>
      </c>
      <c r="BD691" s="2" t="s">
        <v>74</v>
      </c>
      <c r="BE691" s="2" t="s">
        <v>1390</v>
      </c>
      <c r="BF691" s="2" t="str">
        <f>HYPERLINK("http://dx.doi.org/10.1111/ibi.13219","http://dx.doi.org/10.1111/ibi.13219")</f>
        <v>http://dx.doi.org/10.1111/ibi.13219</v>
      </c>
      <c r="BG691" s="2" t="s">
        <v>74</v>
      </c>
      <c r="BH691" s="2" t="s">
        <v>1391</v>
      </c>
      <c r="BI691" s="2" t="s">
        <v>74</v>
      </c>
      <c r="BJ691" s="2" t="s">
        <v>74</v>
      </c>
      <c r="BK691" s="2" t="s">
        <v>74</v>
      </c>
      <c r="BL691" s="2" t="s">
        <v>74</v>
      </c>
      <c r="BM691" s="2" t="s">
        <v>74</v>
      </c>
      <c r="BN691" s="2" t="s">
        <v>74</v>
      </c>
      <c r="BO691" s="2" t="s">
        <v>74</v>
      </c>
      <c r="BP691" s="2" t="s">
        <v>74</v>
      </c>
      <c r="BQ691" s="2" t="s">
        <v>74</v>
      </c>
      <c r="BR691" s="2" t="s">
        <v>74</v>
      </c>
      <c r="BS691" s="2" t="s">
        <v>1392</v>
      </c>
      <c r="BT691" s="2" t="str">
        <f>HYPERLINK("https%3A%2F%2Fwww.webofscience.com%2Fwos%2Fwoscc%2Ffull-record%2FWOS:000985415400001","View Full Record in Web of Science")</f>
        <v>View Full Record in Web of Science</v>
      </c>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row>
    <row r="692" spans="1:314" s="1" customFormat="1" x14ac:dyDescent="0.4">
      <c r="A692" s="2" t="s">
        <v>72</v>
      </c>
      <c r="B692" s="2" t="s">
        <v>7373</v>
      </c>
      <c r="C692" s="2" t="s">
        <v>74</v>
      </c>
      <c r="D692" s="2" t="s">
        <v>74</v>
      </c>
      <c r="E692" s="2" t="s">
        <v>74</v>
      </c>
      <c r="F692" s="2" t="s">
        <v>7374</v>
      </c>
      <c r="G692" s="2" t="s">
        <v>74</v>
      </c>
      <c r="H692" s="2" t="s">
        <v>74</v>
      </c>
      <c r="I692" s="2" t="s">
        <v>7375</v>
      </c>
      <c r="J692" s="2" t="s">
        <v>7376</v>
      </c>
      <c r="K692" s="2" t="s">
        <v>74</v>
      </c>
      <c r="L692" s="2" t="s">
        <v>74</v>
      </c>
      <c r="M692" s="2" t="s">
        <v>74</v>
      </c>
      <c r="N692" s="2" t="s">
        <v>74</v>
      </c>
      <c r="O692" s="2" t="s">
        <v>74</v>
      </c>
      <c r="P692" s="2" t="s">
        <v>74</v>
      </c>
      <c r="Q692" s="2" t="s">
        <v>74</v>
      </c>
      <c r="R692" s="2" t="s">
        <v>74</v>
      </c>
      <c r="S692" s="2" t="s">
        <v>74</v>
      </c>
      <c r="T692" s="2" t="s">
        <v>74</v>
      </c>
      <c r="U692" s="2" t="s">
        <v>74</v>
      </c>
      <c r="V692" s="5" t="s">
        <v>7377</v>
      </c>
      <c r="W692" s="2" t="s">
        <v>74</v>
      </c>
      <c r="X692" s="2" t="s">
        <v>74</v>
      </c>
      <c r="Y692" s="2" t="s">
        <v>74</v>
      </c>
      <c r="Z692" s="2" t="s">
        <v>74</v>
      </c>
      <c r="AA692" s="2" t="s">
        <v>7378</v>
      </c>
      <c r="AB692" s="2" t="s">
        <v>7379</v>
      </c>
      <c r="AC692" s="2" t="s">
        <v>74</v>
      </c>
      <c r="AD692" s="2" t="s">
        <v>74</v>
      </c>
      <c r="AE692" s="2" t="s">
        <v>74</v>
      </c>
      <c r="AF692" s="2" t="s">
        <v>74</v>
      </c>
      <c r="AG692" s="2" t="s">
        <v>74</v>
      </c>
      <c r="AH692" s="2" t="s">
        <v>74</v>
      </c>
      <c r="AI692" s="2" t="s">
        <v>74</v>
      </c>
      <c r="AJ692" s="2" t="s">
        <v>74</v>
      </c>
      <c r="AK692" s="2" t="s">
        <v>74</v>
      </c>
      <c r="AL692" s="2" t="s">
        <v>74</v>
      </c>
      <c r="AM692" s="2" t="s">
        <v>74</v>
      </c>
      <c r="AN692" s="2" t="s">
        <v>74</v>
      </c>
      <c r="AO692" s="2" t="s">
        <v>7380</v>
      </c>
      <c r="AP692" s="2" t="s">
        <v>7381</v>
      </c>
      <c r="AQ692" s="2" t="s">
        <v>74</v>
      </c>
      <c r="AR692" s="2" t="s">
        <v>74</v>
      </c>
      <c r="AS692" s="2" t="s">
        <v>74</v>
      </c>
      <c r="AT692" s="2" t="s">
        <v>255</v>
      </c>
      <c r="AU692" s="2">
        <v>2021</v>
      </c>
      <c r="AV692" s="2">
        <v>62</v>
      </c>
      <c r="AW692" s="2">
        <v>1</v>
      </c>
      <c r="AX692" s="2" t="s">
        <v>74</v>
      </c>
      <c r="AY692" s="2" t="s">
        <v>74</v>
      </c>
      <c r="AZ692" s="2" t="s">
        <v>74</v>
      </c>
      <c r="BA692" s="2" t="s">
        <v>74</v>
      </c>
      <c r="BB692" s="2">
        <v>11</v>
      </c>
      <c r="BC692" s="2">
        <v>17</v>
      </c>
      <c r="BD692" s="2" t="s">
        <v>74</v>
      </c>
      <c r="BE692" s="2" t="s">
        <v>7382</v>
      </c>
      <c r="BF692" s="2" t="str">
        <f>HYPERLINK("http://dx.doi.org/10.1007/s10329-020-00852-z","http://dx.doi.org/10.1007/s10329-020-00852-z")</f>
        <v>http://dx.doi.org/10.1007/s10329-020-00852-z</v>
      </c>
      <c r="BG692" s="2" t="s">
        <v>74</v>
      </c>
      <c r="BH692" s="2" t="s">
        <v>2560</v>
      </c>
      <c r="BI692" s="2" t="s">
        <v>74</v>
      </c>
      <c r="BJ692" s="2" t="s">
        <v>74</v>
      </c>
      <c r="BK692" s="2" t="s">
        <v>74</v>
      </c>
      <c r="BL692" s="2" t="s">
        <v>74</v>
      </c>
      <c r="BM692" s="2" t="s">
        <v>74</v>
      </c>
      <c r="BN692" s="2">
        <v>32804328</v>
      </c>
      <c r="BO692" s="2" t="s">
        <v>74</v>
      </c>
      <c r="BP692" s="2" t="s">
        <v>74</v>
      </c>
      <c r="BQ692" s="2" t="s">
        <v>74</v>
      </c>
      <c r="BR692" s="2" t="s">
        <v>74</v>
      </c>
      <c r="BS692" s="2" t="s">
        <v>7383</v>
      </c>
      <c r="BT692" s="2" t="str">
        <f>HYPERLINK("https%3A%2F%2Fwww.webofscience.com%2Fwos%2Fwoscc%2Ffull-record%2FWOS:000560278300001","View Full Record in Web of Science")</f>
        <v>View Full Record in Web of Science</v>
      </c>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row>
    <row r="693" spans="1:314" s="2" customFormat="1" x14ac:dyDescent="0.4">
      <c r="A693" s="2" t="s">
        <v>72</v>
      </c>
      <c r="B693" s="2" t="s">
        <v>3322</v>
      </c>
      <c r="C693" s="2" t="s">
        <v>74</v>
      </c>
      <c r="D693" s="2" t="s">
        <v>74</v>
      </c>
      <c r="E693" s="2" t="s">
        <v>74</v>
      </c>
      <c r="F693" s="2" t="s">
        <v>3323</v>
      </c>
      <c r="G693" s="2" t="s">
        <v>74</v>
      </c>
      <c r="H693" s="2" t="s">
        <v>74</v>
      </c>
      <c r="I693" s="2" t="s">
        <v>3324</v>
      </c>
      <c r="J693" s="2" t="s">
        <v>119</v>
      </c>
      <c r="K693" s="2" t="s">
        <v>74</v>
      </c>
      <c r="L693" s="2" t="s">
        <v>74</v>
      </c>
      <c r="M693" s="2" t="s">
        <v>74</v>
      </c>
      <c r="N693" s="2" t="s">
        <v>74</v>
      </c>
      <c r="O693" s="2" t="s">
        <v>74</v>
      </c>
      <c r="P693" s="2" t="s">
        <v>74</v>
      </c>
      <c r="Q693" s="2" t="s">
        <v>74</v>
      </c>
      <c r="R693" s="2" t="s">
        <v>74</v>
      </c>
      <c r="S693" s="2" t="s">
        <v>74</v>
      </c>
      <c r="T693" s="2" t="s">
        <v>74</v>
      </c>
      <c r="U693" s="2" t="s">
        <v>74</v>
      </c>
      <c r="V693" s="5" t="s">
        <v>3325</v>
      </c>
      <c r="W693" s="2" t="s">
        <v>74</v>
      </c>
      <c r="X693" s="2" t="s">
        <v>74</v>
      </c>
      <c r="Y693" s="2" t="s">
        <v>74</v>
      </c>
      <c r="Z693" s="2" t="s">
        <v>74</v>
      </c>
      <c r="AA693" s="2" t="s">
        <v>3163</v>
      </c>
      <c r="AB693" s="2" t="s">
        <v>3326</v>
      </c>
      <c r="AC693" s="2" t="s">
        <v>74</v>
      </c>
      <c r="AD693" s="2" t="s">
        <v>74</v>
      </c>
      <c r="AE693" s="2" t="s">
        <v>74</v>
      </c>
      <c r="AF693" s="2" t="s">
        <v>74</v>
      </c>
      <c r="AG693" s="2" t="s">
        <v>74</v>
      </c>
      <c r="AH693" s="2" t="s">
        <v>74</v>
      </c>
      <c r="AI693" s="2" t="s">
        <v>74</v>
      </c>
      <c r="AJ693" s="2" t="s">
        <v>74</v>
      </c>
      <c r="AK693" s="2" t="s">
        <v>74</v>
      </c>
      <c r="AL693" s="2" t="s">
        <v>74</v>
      </c>
      <c r="AM693" s="2" t="s">
        <v>74</v>
      </c>
      <c r="AN693" s="2" t="s">
        <v>74</v>
      </c>
      <c r="AO693" s="2" t="s">
        <v>121</v>
      </c>
      <c r="AP693" s="2" t="s">
        <v>122</v>
      </c>
      <c r="AQ693" s="2" t="s">
        <v>74</v>
      </c>
      <c r="AR693" s="2" t="s">
        <v>74</v>
      </c>
      <c r="AS693" s="2" t="s">
        <v>74</v>
      </c>
      <c r="AT693" s="2" t="s">
        <v>123</v>
      </c>
      <c r="AU693" s="2">
        <v>2016</v>
      </c>
      <c r="AV693" s="2">
        <v>124</v>
      </c>
      <c r="AW693" s="2" t="s">
        <v>74</v>
      </c>
      <c r="AX693" s="2" t="s">
        <v>74</v>
      </c>
      <c r="AY693" s="2" t="s">
        <v>74</v>
      </c>
      <c r="AZ693" s="2" t="s">
        <v>74</v>
      </c>
      <c r="BA693" s="2" t="s">
        <v>74</v>
      </c>
      <c r="BB693" s="2">
        <v>47</v>
      </c>
      <c r="BC693" s="2">
        <v>51</v>
      </c>
      <c r="BD693" s="2" t="s">
        <v>74</v>
      </c>
      <c r="BE693" s="2" t="s">
        <v>3327</v>
      </c>
      <c r="BF693" s="2" t="str">
        <f>HYPERLINK("http://dx.doi.org/10.1016/j.beproc.2015.11.021","http://dx.doi.org/10.1016/j.beproc.2015.11.021")</f>
        <v>http://dx.doi.org/10.1016/j.beproc.2015.11.021</v>
      </c>
      <c r="BG693" s="2" t="s">
        <v>74</v>
      </c>
      <c r="BH693" s="2" t="s">
        <v>74</v>
      </c>
      <c r="BI693" s="2" t="s">
        <v>74</v>
      </c>
      <c r="BJ693" s="2" t="s">
        <v>74</v>
      </c>
      <c r="BK693" s="2" t="s">
        <v>74</v>
      </c>
      <c r="BL693" s="2" t="s">
        <v>74</v>
      </c>
      <c r="BM693" s="2" t="s">
        <v>74</v>
      </c>
      <c r="BN693" s="2">
        <v>26655891</v>
      </c>
      <c r="BO693" s="2" t="s">
        <v>74</v>
      </c>
      <c r="BP693" s="2" t="s">
        <v>74</v>
      </c>
      <c r="BQ693" s="2" t="s">
        <v>74</v>
      </c>
      <c r="BR693" s="2" t="s">
        <v>74</v>
      </c>
      <c r="BS693" s="2" t="s">
        <v>3328</v>
      </c>
      <c r="BT693" s="2" t="str">
        <f>HYPERLINK("https%3A%2F%2Fwww.webofscience.com%2Fwos%2Fwoscc%2Ffull-record%2FWOS:000371552600007","View Full Record in Web of Science")</f>
        <v>View Full Record in Web of Science</v>
      </c>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row>
    <row r="694" spans="1:314" s="1" customFormat="1" x14ac:dyDescent="0.4">
      <c r="A694" s="2" t="s">
        <v>72</v>
      </c>
      <c r="B694" s="2" t="s">
        <v>7235</v>
      </c>
      <c r="C694" s="2" t="s">
        <v>74</v>
      </c>
      <c r="D694" s="2" t="s">
        <v>74</v>
      </c>
      <c r="E694" s="2" t="s">
        <v>74</v>
      </c>
      <c r="F694" s="2" t="s">
        <v>7236</v>
      </c>
      <c r="G694" s="2" t="s">
        <v>74</v>
      </c>
      <c r="H694" s="2" t="s">
        <v>74</v>
      </c>
      <c r="I694" s="2" t="s">
        <v>7237</v>
      </c>
      <c r="J694" s="2" t="s">
        <v>654</v>
      </c>
      <c r="K694" s="2" t="s">
        <v>74</v>
      </c>
      <c r="L694" s="2" t="s">
        <v>74</v>
      </c>
      <c r="M694" s="2" t="s">
        <v>74</v>
      </c>
      <c r="N694" s="2" t="s">
        <v>74</v>
      </c>
      <c r="O694" s="2" t="s">
        <v>74</v>
      </c>
      <c r="P694" s="2" t="s">
        <v>74</v>
      </c>
      <c r="Q694" s="2" t="s">
        <v>74</v>
      </c>
      <c r="R694" s="2" t="s">
        <v>74</v>
      </c>
      <c r="S694" s="2" t="s">
        <v>74</v>
      </c>
      <c r="T694" s="2" t="s">
        <v>74</v>
      </c>
      <c r="U694" s="2" t="s">
        <v>74</v>
      </c>
      <c r="V694" s="5" t="s">
        <v>7238</v>
      </c>
      <c r="W694" s="2" t="s">
        <v>74</v>
      </c>
      <c r="X694" s="2" t="s">
        <v>74</v>
      </c>
      <c r="Y694" s="2" t="s">
        <v>74</v>
      </c>
      <c r="Z694" s="2" t="s">
        <v>74</v>
      </c>
      <c r="AA694" s="2" t="s">
        <v>7239</v>
      </c>
      <c r="AB694" s="2" t="s">
        <v>7240</v>
      </c>
      <c r="AC694" s="2" t="s">
        <v>74</v>
      </c>
      <c r="AD694" s="2" t="s">
        <v>74</v>
      </c>
      <c r="AE694" s="2" t="s">
        <v>74</v>
      </c>
      <c r="AF694" s="2" t="s">
        <v>74</v>
      </c>
      <c r="AG694" s="2" t="s">
        <v>74</v>
      </c>
      <c r="AH694" s="2" t="s">
        <v>74</v>
      </c>
      <c r="AI694" s="2" t="s">
        <v>74</v>
      </c>
      <c r="AJ694" s="2" t="s">
        <v>74</v>
      </c>
      <c r="AK694" s="2" t="s">
        <v>74</v>
      </c>
      <c r="AL694" s="2" t="s">
        <v>74</v>
      </c>
      <c r="AM694" s="2" t="s">
        <v>74</v>
      </c>
      <c r="AN694" s="2" t="s">
        <v>74</v>
      </c>
      <c r="AO694" s="2" t="s">
        <v>658</v>
      </c>
      <c r="AP694" s="2" t="s">
        <v>74</v>
      </c>
      <c r="AQ694" s="2" t="s">
        <v>74</v>
      </c>
      <c r="AR694" s="2" t="s">
        <v>74</v>
      </c>
      <c r="AS694" s="2" t="s">
        <v>74</v>
      </c>
      <c r="AT694" s="2" t="s">
        <v>633</v>
      </c>
      <c r="AU694" s="2">
        <v>2019</v>
      </c>
      <c r="AV694" s="2">
        <v>9</v>
      </c>
      <c r="AW694" s="2">
        <v>7</v>
      </c>
      <c r="AX694" s="2" t="s">
        <v>74</v>
      </c>
      <c r="AY694" s="2" t="s">
        <v>74</v>
      </c>
      <c r="AZ694" s="2" t="s">
        <v>74</v>
      </c>
      <c r="BA694" s="2" t="s">
        <v>74</v>
      </c>
      <c r="BB694" s="2">
        <v>4001</v>
      </c>
      <c r="BC694" s="2">
        <v>4012</v>
      </c>
      <c r="BD694" s="2" t="s">
        <v>74</v>
      </c>
      <c r="BE694" s="2" t="s">
        <v>7241</v>
      </c>
      <c r="BF694" s="2" t="str">
        <f>HYPERLINK("http://dx.doi.org/10.1002/ece3.5029","http://dx.doi.org/10.1002/ece3.5029")</f>
        <v>http://dx.doi.org/10.1002/ece3.5029</v>
      </c>
      <c r="BG694" s="2" t="s">
        <v>74</v>
      </c>
      <c r="BH694" s="2" t="s">
        <v>74</v>
      </c>
      <c r="BI694" s="2" t="s">
        <v>74</v>
      </c>
      <c r="BJ694" s="2" t="s">
        <v>74</v>
      </c>
      <c r="BK694" s="2" t="s">
        <v>74</v>
      </c>
      <c r="BL694" s="2" t="s">
        <v>74</v>
      </c>
      <c r="BM694" s="2" t="s">
        <v>74</v>
      </c>
      <c r="BN694" s="2">
        <v>31015983</v>
      </c>
      <c r="BO694" s="2" t="s">
        <v>74</v>
      </c>
      <c r="BP694" s="2" t="s">
        <v>74</v>
      </c>
      <c r="BQ694" s="2" t="s">
        <v>74</v>
      </c>
      <c r="BR694" s="2" t="s">
        <v>74</v>
      </c>
      <c r="BS694" s="2" t="s">
        <v>7242</v>
      </c>
      <c r="BT694" s="2" t="str">
        <f>HYPERLINK("https%3A%2F%2Fwww.webofscience.com%2Fwos%2Fwoscc%2Ffull-record%2FWOS:000465089500027","View Full Record in Web of Science")</f>
        <v>View Full Record in Web of Science</v>
      </c>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row>
    <row r="695" spans="1:314" s="2" customFormat="1" x14ac:dyDescent="0.4">
      <c r="A695" s="2" t="s">
        <v>72</v>
      </c>
      <c r="B695" s="2" t="s">
        <v>7826</v>
      </c>
      <c r="C695" s="2" t="s">
        <v>74</v>
      </c>
      <c r="D695" s="2" t="s">
        <v>74</v>
      </c>
      <c r="E695" s="2" t="s">
        <v>74</v>
      </c>
      <c r="F695" s="2" t="s">
        <v>7827</v>
      </c>
      <c r="G695" s="2" t="s">
        <v>74</v>
      </c>
      <c r="H695" s="2" t="s">
        <v>74</v>
      </c>
      <c r="I695" s="2" t="s">
        <v>7828</v>
      </c>
      <c r="J695" s="2" t="s">
        <v>218</v>
      </c>
      <c r="K695" s="2" t="s">
        <v>74</v>
      </c>
      <c r="L695" s="2" t="s">
        <v>74</v>
      </c>
      <c r="M695" s="2" t="s">
        <v>74</v>
      </c>
      <c r="N695" s="2" t="s">
        <v>74</v>
      </c>
      <c r="O695" s="2" t="s">
        <v>74</v>
      </c>
      <c r="P695" s="2" t="s">
        <v>74</v>
      </c>
      <c r="Q695" s="2" t="s">
        <v>74</v>
      </c>
      <c r="R695" s="2" t="s">
        <v>74</v>
      </c>
      <c r="S695" s="2" t="s">
        <v>74</v>
      </c>
      <c r="T695" s="2" t="s">
        <v>74</v>
      </c>
      <c r="U695" s="2" t="s">
        <v>74</v>
      </c>
      <c r="V695" s="5" t="s">
        <v>7829</v>
      </c>
      <c r="W695" s="2" t="s">
        <v>74</v>
      </c>
      <c r="X695" s="2" t="s">
        <v>74</v>
      </c>
      <c r="Y695" s="2" t="s">
        <v>74</v>
      </c>
      <c r="Z695" s="2" t="s">
        <v>74</v>
      </c>
      <c r="AA695" s="2" t="s">
        <v>74</v>
      </c>
      <c r="AB695" s="2" t="s">
        <v>7830</v>
      </c>
      <c r="AC695" s="2" t="s">
        <v>74</v>
      </c>
      <c r="AD695" s="2" t="s">
        <v>74</v>
      </c>
      <c r="AE695" s="2" t="s">
        <v>74</v>
      </c>
      <c r="AF695" s="2" t="s">
        <v>74</v>
      </c>
      <c r="AG695" s="2" t="s">
        <v>74</v>
      </c>
      <c r="AH695" s="2" t="s">
        <v>74</v>
      </c>
      <c r="AI695" s="2" t="s">
        <v>74</v>
      </c>
      <c r="AJ695" s="2" t="s">
        <v>74</v>
      </c>
      <c r="AK695" s="2" t="s">
        <v>74</v>
      </c>
      <c r="AL695" s="2" t="s">
        <v>74</v>
      </c>
      <c r="AM695" s="2" t="s">
        <v>74</v>
      </c>
      <c r="AN695" s="2" t="s">
        <v>74</v>
      </c>
      <c r="AO695" s="2" t="s">
        <v>221</v>
      </c>
      <c r="AP695" s="2" t="s">
        <v>222</v>
      </c>
      <c r="AQ695" s="2" t="s">
        <v>74</v>
      </c>
      <c r="AR695" s="2" t="s">
        <v>74</v>
      </c>
      <c r="AS695" s="2" t="s">
        <v>74</v>
      </c>
      <c r="AT695" s="2" t="s">
        <v>213</v>
      </c>
      <c r="AU695" s="2">
        <v>2022</v>
      </c>
      <c r="AV695" s="2">
        <v>35</v>
      </c>
      <c r="AW695" s="2">
        <v>11</v>
      </c>
      <c r="AX695" s="2" t="s">
        <v>74</v>
      </c>
      <c r="AY695" s="2" t="s">
        <v>74</v>
      </c>
      <c r="AZ695" s="2" t="s">
        <v>74</v>
      </c>
      <c r="BA695" s="2" t="s">
        <v>74</v>
      </c>
      <c r="BB695" s="2">
        <v>1558</v>
      </c>
      <c r="BC695" s="2">
        <v>1567</v>
      </c>
      <c r="BD695" s="2" t="s">
        <v>74</v>
      </c>
      <c r="BE695" s="2" t="s">
        <v>7831</v>
      </c>
      <c r="BF695" s="2" t="str">
        <f>HYPERLINK("http://dx.doi.org/10.1111/jeb.14089","http://dx.doi.org/10.1111/jeb.14089")</f>
        <v>http://dx.doi.org/10.1111/jeb.14089</v>
      </c>
      <c r="BG695" s="2" t="s">
        <v>74</v>
      </c>
      <c r="BH695" s="2" t="s">
        <v>6006</v>
      </c>
      <c r="BI695" s="2" t="s">
        <v>74</v>
      </c>
      <c r="BJ695" s="2" t="s">
        <v>74</v>
      </c>
      <c r="BK695" s="2" t="s">
        <v>74</v>
      </c>
      <c r="BL695" s="2" t="s">
        <v>74</v>
      </c>
      <c r="BM695" s="2" t="s">
        <v>74</v>
      </c>
      <c r="BN695" s="2">
        <v>36196886</v>
      </c>
      <c r="BO695" s="2" t="s">
        <v>74</v>
      </c>
      <c r="BP695" s="2" t="s">
        <v>74</v>
      </c>
      <c r="BQ695" s="2" t="s">
        <v>74</v>
      </c>
      <c r="BR695" s="2" t="s">
        <v>74</v>
      </c>
      <c r="BS695" s="2" t="s">
        <v>7832</v>
      </c>
      <c r="BT695" s="2" t="str">
        <f>HYPERLINK("https%3A%2F%2Fwww.webofscience.com%2Fwos%2Fwoscc%2Ffull-record%2FWOS:000863852000001","View Full Record in Web of Science")</f>
        <v>View Full Record in Web of Science</v>
      </c>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row>
    <row r="696" spans="1:314" s="2" customFormat="1" x14ac:dyDescent="0.4">
      <c r="A696" s="2" t="s">
        <v>72</v>
      </c>
      <c r="B696" s="2" t="s">
        <v>8492</v>
      </c>
      <c r="C696" s="2" t="s">
        <v>74</v>
      </c>
      <c r="D696" s="2" t="s">
        <v>74</v>
      </c>
      <c r="E696" s="2" t="s">
        <v>74</v>
      </c>
      <c r="F696" s="2" t="s">
        <v>8492</v>
      </c>
      <c r="G696" s="2" t="s">
        <v>74</v>
      </c>
      <c r="H696" s="2" t="s">
        <v>74</v>
      </c>
      <c r="I696" s="2" t="s">
        <v>8493</v>
      </c>
      <c r="J696" s="2" t="s">
        <v>140</v>
      </c>
      <c r="K696" s="2" t="s">
        <v>74</v>
      </c>
      <c r="L696" s="2" t="s">
        <v>74</v>
      </c>
      <c r="M696" s="2" t="s">
        <v>74</v>
      </c>
      <c r="N696" s="2" t="s">
        <v>74</v>
      </c>
      <c r="O696" s="2" t="s">
        <v>74</v>
      </c>
      <c r="P696" s="2" t="s">
        <v>74</v>
      </c>
      <c r="Q696" s="2" t="s">
        <v>74</v>
      </c>
      <c r="R696" s="2" t="s">
        <v>74</v>
      </c>
      <c r="S696" s="2" t="s">
        <v>74</v>
      </c>
      <c r="T696" s="2" t="s">
        <v>74</v>
      </c>
      <c r="U696" s="2" t="s">
        <v>74</v>
      </c>
      <c r="V696" s="5" t="s">
        <v>8494</v>
      </c>
      <c r="W696" s="2" t="s">
        <v>74</v>
      </c>
      <c r="X696" s="2" t="s">
        <v>74</v>
      </c>
      <c r="Y696" s="2" t="s">
        <v>74</v>
      </c>
      <c r="Z696" s="2" t="s">
        <v>74</v>
      </c>
      <c r="AA696" s="2" t="s">
        <v>468</v>
      </c>
      <c r="AB696" s="2" t="s">
        <v>74</v>
      </c>
      <c r="AC696" s="2" t="s">
        <v>74</v>
      </c>
      <c r="AD696" s="2" t="s">
        <v>74</v>
      </c>
      <c r="AE696" s="2" t="s">
        <v>74</v>
      </c>
      <c r="AF696" s="2" t="s">
        <v>74</v>
      </c>
      <c r="AG696" s="2" t="s">
        <v>74</v>
      </c>
      <c r="AH696" s="2" t="s">
        <v>74</v>
      </c>
      <c r="AI696" s="2" t="s">
        <v>74</v>
      </c>
      <c r="AJ696" s="2" t="s">
        <v>74</v>
      </c>
      <c r="AK696" s="2" t="s">
        <v>74</v>
      </c>
      <c r="AL696" s="2" t="s">
        <v>74</v>
      </c>
      <c r="AM696" s="2" t="s">
        <v>74</v>
      </c>
      <c r="AN696" s="2" t="s">
        <v>74</v>
      </c>
      <c r="AO696" s="2" t="s">
        <v>143</v>
      </c>
      <c r="AP696" s="2" t="s">
        <v>144</v>
      </c>
      <c r="AQ696" s="2" t="s">
        <v>74</v>
      </c>
      <c r="AR696" s="2" t="s">
        <v>74</v>
      </c>
      <c r="AS696" s="2" t="s">
        <v>74</v>
      </c>
      <c r="AT696" s="2" t="s">
        <v>175</v>
      </c>
      <c r="AU696" s="2">
        <v>1997</v>
      </c>
      <c r="AV696" s="2">
        <v>54</v>
      </c>
      <c r="AW696" s="2" t="s">
        <v>74</v>
      </c>
      <c r="AX696" s="2">
        <v>4</v>
      </c>
      <c r="AY696" s="2" t="s">
        <v>74</v>
      </c>
      <c r="AZ696" s="2" t="s">
        <v>74</v>
      </c>
      <c r="BA696" s="2" t="s">
        <v>74</v>
      </c>
      <c r="BB696" s="2">
        <v>927</v>
      </c>
      <c r="BC696" s="2">
        <v>939</v>
      </c>
      <c r="BD696" s="2" t="s">
        <v>74</v>
      </c>
      <c r="BE696" s="2" t="s">
        <v>8495</v>
      </c>
      <c r="BF696" s="2" t="str">
        <f>HYPERLINK("http://dx.doi.org/10.1006/anbe.1997.0476","http://dx.doi.org/10.1006/anbe.1997.0476")</f>
        <v>http://dx.doi.org/10.1006/anbe.1997.0476</v>
      </c>
      <c r="BG696" s="2" t="s">
        <v>74</v>
      </c>
      <c r="BH696" s="2" t="s">
        <v>74</v>
      </c>
      <c r="BI696" s="2" t="s">
        <v>74</v>
      </c>
      <c r="BJ696" s="2" t="s">
        <v>74</v>
      </c>
      <c r="BK696" s="2" t="s">
        <v>74</v>
      </c>
      <c r="BL696" s="2" t="s">
        <v>74</v>
      </c>
      <c r="BM696" s="2" t="s">
        <v>74</v>
      </c>
      <c r="BN696" s="2">
        <v>9344445</v>
      </c>
      <c r="BO696" s="2" t="s">
        <v>74</v>
      </c>
      <c r="BP696" s="2" t="s">
        <v>74</v>
      </c>
      <c r="BQ696" s="2" t="s">
        <v>74</v>
      </c>
      <c r="BR696" s="2" t="s">
        <v>74</v>
      </c>
      <c r="BS696" s="2" t="s">
        <v>8496</v>
      </c>
      <c r="BT696" s="2" t="str">
        <f>HYPERLINK("https%3A%2F%2Fwww.webofscience.com%2Fwos%2Fwoscc%2Ffull-record%2FWOS:A1997YE30600016","View Full Record in Web of Science")</f>
        <v>View Full Record in Web of Science</v>
      </c>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row>
    <row r="697" spans="1:314" s="2" customFormat="1" x14ac:dyDescent="0.4">
      <c r="A697" s="2" t="s">
        <v>72</v>
      </c>
      <c r="B697" s="2" t="s">
        <v>6388</v>
      </c>
      <c r="C697" s="2" t="s">
        <v>74</v>
      </c>
      <c r="D697" s="2" t="s">
        <v>74</v>
      </c>
      <c r="E697" s="2" t="s">
        <v>74</v>
      </c>
      <c r="F697" s="2" t="s">
        <v>6388</v>
      </c>
      <c r="G697" s="2" t="s">
        <v>74</v>
      </c>
      <c r="H697" s="2" t="s">
        <v>74</v>
      </c>
      <c r="I697" s="2" t="s">
        <v>6389</v>
      </c>
      <c r="J697" s="2" t="s">
        <v>171</v>
      </c>
      <c r="K697" s="2" t="s">
        <v>74</v>
      </c>
      <c r="L697" s="2" t="s">
        <v>74</v>
      </c>
      <c r="M697" s="2" t="s">
        <v>74</v>
      </c>
      <c r="N697" s="2" t="s">
        <v>74</v>
      </c>
      <c r="O697" s="2" t="s">
        <v>74</v>
      </c>
      <c r="P697" s="2" t="s">
        <v>74</v>
      </c>
      <c r="Q697" s="2" t="s">
        <v>74</v>
      </c>
      <c r="R697" s="2" t="s">
        <v>74</v>
      </c>
      <c r="S697" s="2" t="s">
        <v>74</v>
      </c>
      <c r="T697" s="2" t="s">
        <v>74</v>
      </c>
      <c r="U697" s="2" t="s">
        <v>74</v>
      </c>
      <c r="V697" s="5" t="s">
        <v>6390</v>
      </c>
      <c r="W697" s="2" t="s">
        <v>74</v>
      </c>
      <c r="X697" s="2" t="s">
        <v>74</v>
      </c>
      <c r="Y697" s="2" t="s">
        <v>74</v>
      </c>
      <c r="Z697" s="2" t="s">
        <v>74</v>
      </c>
      <c r="AA697" s="2" t="s">
        <v>6391</v>
      </c>
      <c r="AB697" s="2" t="s">
        <v>74</v>
      </c>
      <c r="AC697" s="2" t="s">
        <v>74</v>
      </c>
      <c r="AD697" s="2" t="s">
        <v>74</v>
      </c>
      <c r="AE697" s="2" t="s">
        <v>74</v>
      </c>
      <c r="AF697" s="2" t="s">
        <v>74</v>
      </c>
      <c r="AG697" s="2" t="s">
        <v>74</v>
      </c>
      <c r="AH697" s="2" t="s">
        <v>74</v>
      </c>
      <c r="AI697" s="2" t="s">
        <v>74</v>
      </c>
      <c r="AJ697" s="2" t="s">
        <v>74</v>
      </c>
      <c r="AK697" s="2" t="s">
        <v>74</v>
      </c>
      <c r="AL697" s="2" t="s">
        <v>74</v>
      </c>
      <c r="AM697" s="2" t="s">
        <v>74</v>
      </c>
      <c r="AN697" s="2" t="s">
        <v>74</v>
      </c>
      <c r="AO697" s="2" t="s">
        <v>173</v>
      </c>
      <c r="AP697" s="2" t="s">
        <v>174</v>
      </c>
      <c r="AQ697" s="2" t="s">
        <v>74</v>
      </c>
      <c r="AR697" s="2" t="s">
        <v>74</v>
      </c>
      <c r="AS697" s="2" t="s">
        <v>74</v>
      </c>
      <c r="AT697" s="2" t="s">
        <v>134</v>
      </c>
      <c r="AU697" s="2">
        <v>1986</v>
      </c>
      <c r="AV697" s="2">
        <v>40</v>
      </c>
      <c r="AW697" s="2">
        <v>3</v>
      </c>
      <c r="AX697" s="2" t="s">
        <v>74</v>
      </c>
      <c r="AY697" s="2" t="s">
        <v>74</v>
      </c>
      <c r="AZ697" s="2" t="s">
        <v>74</v>
      </c>
      <c r="BA697" s="2" t="s">
        <v>74</v>
      </c>
      <c r="BB697" s="2">
        <v>605</v>
      </c>
      <c r="BC697" s="2">
        <v>615</v>
      </c>
      <c r="BD697" s="2" t="s">
        <v>74</v>
      </c>
      <c r="BE697" s="2" t="s">
        <v>6392</v>
      </c>
      <c r="BF697" s="2" t="str">
        <f>HYPERLINK("http://dx.doi.org/10.2307/2408581","http://dx.doi.org/10.2307/2408581")</f>
        <v>http://dx.doi.org/10.2307/2408581</v>
      </c>
      <c r="BG697" s="2" t="s">
        <v>74</v>
      </c>
      <c r="BH697" s="2" t="s">
        <v>74</v>
      </c>
      <c r="BI697" s="2" t="s">
        <v>74</v>
      </c>
      <c r="BJ697" s="2" t="s">
        <v>74</v>
      </c>
      <c r="BK697" s="2" t="s">
        <v>74</v>
      </c>
      <c r="BL697" s="2" t="s">
        <v>74</v>
      </c>
      <c r="BM697" s="2" t="s">
        <v>74</v>
      </c>
      <c r="BN697" s="2">
        <v>28556339</v>
      </c>
      <c r="BO697" s="2" t="s">
        <v>74</v>
      </c>
      <c r="BP697" s="2" t="s">
        <v>74</v>
      </c>
      <c r="BQ697" s="2" t="s">
        <v>74</v>
      </c>
      <c r="BR697" s="2" t="s">
        <v>74</v>
      </c>
      <c r="BS697" s="2" t="s">
        <v>6393</v>
      </c>
      <c r="BT697" s="2" t="str">
        <f>HYPERLINK("https%3A%2F%2Fwww.webofscience.com%2Fwos%2Fwoscc%2Ffull-record%2FWOS:A1986C438800014","View Full Record in Web of Science")</f>
        <v>View Full Record in Web of Science</v>
      </c>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row>
    <row r="698" spans="1:314" s="2" customFormat="1" x14ac:dyDescent="0.4">
      <c r="A698" s="2" t="s">
        <v>72</v>
      </c>
      <c r="B698" s="2" t="s">
        <v>464</v>
      </c>
      <c r="C698" s="2" t="s">
        <v>74</v>
      </c>
      <c r="D698" s="2" t="s">
        <v>74</v>
      </c>
      <c r="E698" s="2" t="s">
        <v>74</v>
      </c>
      <c r="F698" s="2" t="s">
        <v>465</v>
      </c>
      <c r="G698" s="2" t="s">
        <v>74</v>
      </c>
      <c r="H698" s="2" t="s">
        <v>74</v>
      </c>
      <c r="I698" s="2" t="s">
        <v>466</v>
      </c>
      <c r="J698" s="2" t="s">
        <v>140</v>
      </c>
      <c r="K698" s="2" t="s">
        <v>74</v>
      </c>
      <c r="L698" s="2" t="s">
        <v>74</v>
      </c>
      <c r="M698" s="2" t="s">
        <v>74</v>
      </c>
      <c r="N698" s="2" t="s">
        <v>74</v>
      </c>
      <c r="O698" s="2" t="s">
        <v>74</v>
      </c>
      <c r="P698" s="2" t="s">
        <v>74</v>
      </c>
      <c r="Q698" s="2" t="s">
        <v>74</v>
      </c>
      <c r="R698" s="2" t="s">
        <v>74</v>
      </c>
      <c r="S698" s="2" t="s">
        <v>74</v>
      </c>
      <c r="T698" s="2" t="s">
        <v>74</v>
      </c>
      <c r="U698" s="2" t="s">
        <v>74</v>
      </c>
      <c r="V698" s="5" t="s">
        <v>467</v>
      </c>
      <c r="W698" s="2" t="s">
        <v>74</v>
      </c>
      <c r="X698" s="2" t="s">
        <v>74</v>
      </c>
      <c r="Y698" s="2" t="s">
        <v>74</v>
      </c>
      <c r="Z698" s="2" t="s">
        <v>74</v>
      </c>
      <c r="AA698" s="2" t="s">
        <v>468</v>
      </c>
      <c r="AB698" s="2" t="s">
        <v>469</v>
      </c>
      <c r="AC698" s="2" t="s">
        <v>74</v>
      </c>
      <c r="AD698" s="2" t="s">
        <v>74</v>
      </c>
      <c r="AE698" s="2" t="s">
        <v>74</v>
      </c>
      <c r="AF698" s="2" t="s">
        <v>74</v>
      </c>
      <c r="AG698" s="2" t="s">
        <v>74</v>
      </c>
      <c r="AH698" s="2" t="s">
        <v>74</v>
      </c>
      <c r="AI698" s="2" t="s">
        <v>74</v>
      </c>
      <c r="AJ698" s="2" t="s">
        <v>74</v>
      </c>
      <c r="AK698" s="2" t="s">
        <v>74</v>
      </c>
      <c r="AL698" s="2" t="s">
        <v>74</v>
      </c>
      <c r="AM698" s="2" t="s">
        <v>74</v>
      </c>
      <c r="AN698" s="2" t="s">
        <v>74</v>
      </c>
      <c r="AO698" s="2" t="s">
        <v>143</v>
      </c>
      <c r="AP698" s="2" t="s">
        <v>144</v>
      </c>
      <c r="AQ698" s="2" t="s">
        <v>74</v>
      </c>
      <c r="AR698" s="2" t="s">
        <v>74</v>
      </c>
      <c r="AS698" s="2" t="s">
        <v>74</v>
      </c>
      <c r="AT698" s="2" t="s">
        <v>134</v>
      </c>
      <c r="AU698" s="2">
        <v>2015</v>
      </c>
      <c r="AV698" s="2">
        <v>103</v>
      </c>
      <c r="AW698" s="2" t="s">
        <v>74</v>
      </c>
      <c r="AX698" s="2" t="s">
        <v>74</v>
      </c>
      <c r="AY698" s="2" t="s">
        <v>74</v>
      </c>
      <c r="AZ698" s="2" t="s">
        <v>74</v>
      </c>
      <c r="BA698" s="2" t="s">
        <v>74</v>
      </c>
      <c r="BB698" s="2">
        <v>117</v>
      </c>
      <c r="BC698" s="2">
        <v>124</v>
      </c>
      <c r="BD698" s="2" t="s">
        <v>74</v>
      </c>
      <c r="BE698" s="2" t="s">
        <v>470</v>
      </c>
      <c r="BF698" s="2" t="str">
        <f>HYPERLINK("http://dx.doi.org/10.1016/j.anbehav.2015.02.010","http://dx.doi.org/10.1016/j.anbehav.2015.02.010")</f>
        <v>http://dx.doi.org/10.1016/j.anbehav.2015.02.010</v>
      </c>
      <c r="BG698" s="2" t="s">
        <v>74</v>
      </c>
      <c r="BH698" s="2" t="s">
        <v>74</v>
      </c>
      <c r="BI698" s="2" t="s">
        <v>74</v>
      </c>
      <c r="BJ698" s="2" t="s">
        <v>74</v>
      </c>
      <c r="BK698" s="2" t="s">
        <v>74</v>
      </c>
      <c r="BL698" s="2" t="s">
        <v>74</v>
      </c>
      <c r="BM698" s="2" t="s">
        <v>74</v>
      </c>
      <c r="BN698" s="2" t="s">
        <v>74</v>
      </c>
      <c r="BO698" s="2" t="s">
        <v>74</v>
      </c>
      <c r="BP698" s="2" t="s">
        <v>74</v>
      </c>
      <c r="BQ698" s="2" t="s">
        <v>74</v>
      </c>
      <c r="BR698" s="2" t="s">
        <v>74</v>
      </c>
      <c r="BS698" s="2" t="s">
        <v>471</v>
      </c>
      <c r="BT698" s="2" t="str">
        <f>HYPERLINK("https%3A%2F%2Fwww.webofscience.com%2Fwos%2Fwoscc%2Ffull-record%2FWOS:000353378200015","View Full Record in Web of Science")</f>
        <v>View Full Record in Web of Science</v>
      </c>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row>
    <row r="699" spans="1:314" s="2" customFormat="1" x14ac:dyDescent="0.4">
      <c r="A699" s="2" t="s">
        <v>72</v>
      </c>
      <c r="B699" s="2" t="s">
        <v>2163</v>
      </c>
      <c r="C699" s="2" t="s">
        <v>74</v>
      </c>
      <c r="D699" s="2" t="s">
        <v>74</v>
      </c>
      <c r="E699" s="2" t="s">
        <v>74</v>
      </c>
      <c r="F699" s="2" t="s">
        <v>2164</v>
      </c>
      <c r="G699" s="2" t="s">
        <v>74</v>
      </c>
      <c r="H699" s="2" t="s">
        <v>74</v>
      </c>
      <c r="I699" s="2" t="s">
        <v>2165</v>
      </c>
      <c r="J699" s="2" t="s">
        <v>312</v>
      </c>
      <c r="K699" s="2" t="s">
        <v>74</v>
      </c>
      <c r="L699" s="2" t="s">
        <v>74</v>
      </c>
      <c r="M699" s="2" t="s">
        <v>74</v>
      </c>
      <c r="N699" s="2" t="s">
        <v>74</v>
      </c>
      <c r="O699" s="2" t="s">
        <v>74</v>
      </c>
      <c r="P699" s="2" t="s">
        <v>74</v>
      </c>
      <c r="Q699" s="2" t="s">
        <v>74</v>
      </c>
      <c r="R699" s="2" t="s">
        <v>74</v>
      </c>
      <c r="S699" s="2" t="s">
        <v>74</v>
      </c>
      <c r="T699" s="2" t="s">
        <v>74</v>
      </c>
      <c r="U699" s="2" t="s">
        <v>74</v>
      </c>
      <c r="V699" s="5" t="s">
        <v>2166</v>
      </c>
      <c r="W699" s="2" t="s">
        <v>74</v>
      </c>
      <c r="X699" s="2" t="s">
        <v>74</v>
      </c>
      <c r="Y699" s="2" t="s">
        <v>74</v>
      </c>
      <c r="Z699" s="2" t="s">
        <v>74</v>
      </c>
      <c r="AA699" s="2" t="s">
        <v>2167</v>
      </c>
      <c r="AB699" s="2" t="s">
        <v>2168</v>
      </c>
      <c r="AC699" s="2" t="s">
        <v>74</v>
      </c>
      <c r="AD699" s="2" t="s">
        <v>74</v>
      </c>
      <c r="AE699" s="2" t="s">
        <v>74</v>
      </c>
      <c r="AF699" s="2" t="s">
        <v>74</v>
      </c>
      <c r="AG699" s="2" t="s">
        <v>74</v>
      </c>
      <c r="AH699" s="2" t="s">
        <v>74</v>
      </c>
      <c r="AI699" s="2" t="s">
        <v>74</v>
      </c>
      <c r="AJ699" s="2" t="s">
        <v>74</v>
      </c>
      <c r="AK699" s="2" t="s">
        <v>74</v>
      </c>
      <c r="AL699" s="2" t="s">
        <v>74</v>
      </c>
      <c r="AM699" s="2" t="s">
        <v>74</v>
      </c>
      <c r="AN699" s="2" t="s">
        <v>74</v>
      </c>
      <c r="AO699" s="2" t="s">
        <v>314</v>
      </c>
      <c r="AP699" s="2" t="s">
        <v>74</v>
      </c>
      <c r="AQ699" s="2" t="s">
        <v>74</v>
      </c>
      <c r="AR699" s="2" t="s">
        <v>74</v>
      </c>
      <c r="AS699" s="2" t="s">
        <v>74</v>
      </c>
      <c r="AT699" s="2" t="s">
        <v>255</v>
      </c>
      <c r="AU699" s="2">
        <v>2012</v>
      </c>
      <c r="AV699" s="2">
        <v>179</v>
      </c>
      <c r="AW699" s="2">
        <v>1</v>
      </c>
      <c r="AX699" s="2" t="s">
        <v>74</v>
      </c>
      <c r="AY699" s="2" t="s">
        <v>74</v>
      </c>
      <c r="AZ699" s="2" t="s">
        <v>74</v>
      </c>
      <c r="BA699" s="2" t="s">
        <v>74</v>
      </c>
      <c r="BB699" s="2" t="s">
        <v>2169</v>
      </c>
      <c r="BC699" s="2" t="s">
        <v>2170</v>
      </c>
      <c r="BD699" s="2" t="s">
        <v>74</v>
      </c>
      <c r="BE699" s="2" t="s">
        <v>2171</v>
      </c>
      <c r="BF699" s="2" t="str">
        <f>HYPERLINK("http://dx.doi.org/10.1086/663197","http://dx.doi.org/10.1086/663197")</f>
        <v>http://dx.doi.org/10.1086/663197</v>
      </c>
      <c r="BG699" s="2" t="s">
        <v>74</v>
      </c>
      <c r="BH699" s="2" t="s">
        <v>74</v>
      </c>
      <c r="BI699" s="2" t="s">
        <v>74</v>
      </c>
      <c r="BJ699" s="2" t="s">
        <v>74</v>
      </c>
      <c r="BK699" s="2" t="s">
        <v>74</v>
      </c>
      <c r="BL699" s="2" t="s">
        <v>74</v>
      </c>
      <c r="BM699" s="2" t="s">
        <v>74</v>
      </c>
      <c r="BN699" s="2">
        <v>22173468</v>
      </c>
      <c r="BO699" s="2" t="s">
        <v>74</v>
      </c>
      <c r="BP699" s="2" t="s">
        <v>74</v>
      </c>
      <c r="BQ699" s="2" t="s">
        <v>74</v>
      </c>
      <c r="BR699" s="2" t="s">
        <v>74</v>
      </c>
      <c r="BS699" s="2" t="s">
        <v>2172</v>
      </c>
      <c r="BT699" s="2" t="str">
        <f>HYPERLINK("https%3A%2F%2Fwww.webofscience.com%2Fwos%2Fwoscc%2Ffull-record%2FWOS:000298379200001","View Full Record in Web of Science")</f>
        <v>View Full Record in Web of Science</v>
      </c>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row>
    <row r="700" spans="1:314" s="2" customFormat="1" x14ac:dyDescent="0.4">
      <c r="A700" s="2" t="s">
        <v>72</v>
      </c>
      <c r="B700" s="2" t="s">
        <v>1272</v>
      </c>
      <c r="C700" s="2" t="s">
        <v>74</v>
      </c>
      <c r="D700" s="2" t="s">
        <v>74</v>
      </c>
      <c r="E700" s="2" t="s">
        <v>74</v>
      </c>
      <c r="F700" s="2" t="s">
        <v>1272</v>
      </c>
      <c r="G700" s="2" t="s">
        <v>74</v>
      </c>
      <c r="H700" s="2" t="s">
        <v>74</v>
      </c>
      <c r="I700" s="2" t="s">
        <v>1273</v>
      </c>
      <c r="J700" s="2" t="s">
        <v>610</v>
      </c>
      <c r="K700" s="2" t="s">
        <v>74</v>
      </c>
      <c r="L700" s="2" t="s">
        <v>74</v>
      </c>
      <c r="M700" s="2" t="s">
        <v>74</v>
      </c>
      <c r="N700" s="2" t="s">
        <v>74</v>
      </c>
      <c r="O700" s="2" t="s">
        <v>74</v>
      </c>
      <c r="P700" s="2" t="s">
        <v>74</v>
      </c>
      <c r="Q700" s="2" t="s">
        <v>74</v>
      </c>
      <c r="R700" s="2" t="s">
        <v>74</v>
      </c>
      <c r="S700" s="2" t="s">
        <v>74</v>
      </c>
      <c r="T700" s="2" t="s">
        <v>74</v>
      </c>
      <c r="U700" s="2" t="s">
        <v>74</v>
      </c>
      <c r="V700" s="5" t="s">
        <v>1274</v>
      </c>
      <c r="W700" s="2" t="s">
        <v>74</v>
      </c>
      <c r="X700" s="2" t="s">
        <v>74</v>
      </c>
      <c r="Y700" s="2" t="s">
        <v>74</v>
      </c>
      <c r="Z700" s="2" t="s">
        <v>74</v>
      </c>
      <c r="AA700" s="2" t="s">
        <v>1275</v>
      </c>
      <c r="AB700" s="2" t="s">
        <v>74</v>
      </c>
      <c r="AC700" s="2" t="s">
        <v>74</v>
      </c>
      <c r="AD700" s="2" t="s">
        <v>74</v>
      </c>
      <c r="AE700" s="2" t="s">
        <v>74</v>
      </c>
      <c r="AF700" s="2" t="s">
        <v>74</v>
      </c>
      <c r="AG700" s="2" t="s">
        <v>74</v>
      </c>
      <c r="AH700" s="2" t="s">
        <v>74</v>
      </c>
      <c r="AI700" s="2" t="s">
        <v>74</v>
      </c>
      <c r="AJ700" s="2" t="s">
        <v>74</v>
      </c>
      <c r="AK700" s="2" t="s">
        <v>74</v>
      </c>
      <c r="AL700" s="2" t="s">
        <v>74</v>
      </c>
      <c r="AM700" s="2" t="s">
        <v>74</v>
      </c>
      <c r="AN700" s="2" t="s">
        <v>74</v>
      </c>
      <c r="AO700" s="2" t="s">
        <v>614</v>
      </c>
      <c r="AP700" s="2" t="s">
        <v>74</v>
      </c>
      <c r="AQ700" s="2" t="s">
        <v>74</v>
      </c>
      <c r="AR700" s="2" t="s">
        <v>74</v>
      </c>
      <c r="AS700" s="2" t="s">
        <v>74</v>
      </c>
      <c r="AT700" s="2" t="s">
        <v>1075</v>
      </c>
      <c r="AU700" s="2">
        <v>1994</v>
      </c>
      <c r="AV700" s="2">
        <v>98</v>
      </c>
      <c r="AW700" s="2" t="s">
        <v>1276</v>
      </c>
      <c r="AX700" s="2" t="s">
        <v>74</v>
      </c>
      <c r="AY700" s="2" t="s">
        <v>74</v>
      </c>
      <c r="AZ700" s="2" t="s">
        <v>74</v>
      </c>
      <c r="BA700" s="2" t="s">
        <v>74</v>
      </c>
      <c r="BB700" s="2">
        <v>246</v>
      </c>
      <c r="BC700" s="2">
        <v>264</v>
      </c>
      <c r="BD700" s="2" t="s">
        <v>74</v>
      </c>
      <c r="BE700" s="2" t="s">
        <v>74</v>
      </c>
      <c r="BF700" s="2" t="s">
        <v>74</v>
      </c>
      <c r="BG700" s="2" t="s">
        <v>74</v>
      </c>
      <c r="BH700" s="2" t="s">
        <v>74</v>
      </c>
      <c r="BI700" s="2" t="s">
        <v>74</v>
      </c>
      <c r="BJ700" s="2" t="s">
        <v>74</v>
      </c>
      <c r="BK700" s="2" t="s">
        <v>74</v>
      </c>
      <c r="BL700" s="2" t="s">
        <v>74</v>
      </c>
      <c r="BM700" s="2" t="s">
        <v>74</v>
      </c>
      <c r="BN700" s="2" t="s">
        <v>74</v>
      </c>
      <c r="BO700" s="2" t="s">
        <v>74</v>
      </c>
      <c r="BP700" s="2" t="s">
        <v>74</v>
      </c>
      <c r="BQ700" s="2" t="s">
        <v>74</v>
      </c>
      <c r="BR700" s="2" t="s">
        <v>74</v>
      </c>
      <c r="BS700" s="2" t="s">
        <v>1277</v>
      </c>
      <c r="BT700" s="2" t="str">
        <f>HYPERLINK("https%3A%2F%2Fwww.webofscience.com%2Fwos%2Fwoscc%2Ffull-record%2FWOS:A1994QA66800006","View Full Record in Web of Science")</f>
        <v>View Full Record in Web of Science</v>
      </c>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row>
    <row r="701" spans="1:314" s="2" customFormat="1" x14ac:dyDescent="0.4">
      <c r="A701" s="2" t="s">
        <v>72</v>
      </c>
      <c r="B701" s="2" t="s">
        <v>3860</v>
      </c>
      <c r="C701" s="2" t="s">
        <v>74</v>
      </c>
      <c r="D701" s="2" t="s">
        <v>74</v>
      </c>
      <c r="E701" s="2" t="s">
        <v>74</v>
      </c>
      <c r="F701" s="2" t="s">
        <v>3861</v>
      </c>
      <c r="G701" s="2" t="s">
        <v>74</v>
      </c>
      <c r="H701" s="2" t="s">
        <v>74</v>
      </c>
      <c r="I701" s="2" t="s">
        <v>3862</v>
      </c>
      <c r="J701" s="2" t="s">
        <v>1198</v>
      </c>
      <c r="K701" s="2" t="s">
        <v>74</v>
      </c>
      <c r="L701" s="2" t="s">
        <v>74</v>
      </c>
      <c r="M701" s="2" t="s">
        <v>74</v>
      </c>
      <c r="N701" s="2" t="s">
        <v>74</v>
      </c>
      <c r="O701" s="2" t="s">
        <v>74</v>
      </c>
      <c r="P701" s="2" t="s">
        <v>74</v>
      </c>
      <c r="Q701" s="2" t="s">
        <v>74</v>
      </c>
      <c r="R701" s="2" t="s">
        <v>74</v>
      </c>
      <c r="S701" s="2" t="s">
        <v>74</v>
      </c>
      <c r="T701" s="2" t="s">
        <v>74</v>
      </c>
      <c r="U701" s="2" t="s">
        <v>74</v>
      </c>
      <c r="V701" s="5" t="s">
        <v>3863</v>
      </c>
      <c r="W701" s="2" t="s">
        <v>74</v>
      </c>
      <c r="X701" s="2" t="s">
        <v>74</v>
      </c>
      <c r="Y701" s="2" t="s">
        <v>74</v>
      </c>
      <c r="Z701" s="2" t="s">
        <v>74</v>
      </c>
      <c r="AA701" s="2" t="s">
        <v>74</v>
      </c>
      <c r="AB701" s="2" t="s">
        <v>2709</v>
      </c>
      <c r="AC701" s="2" t="s">
        <v>74</v>
      </c>
      <c r="AD701" s="2" t="s">
        <v>74</v>
      </c>
      <c r="AE701" s="2" t="s">
        <v>74</v>
      </c>
      <c r="AF701" s="2" t="s">
        <v>74</v>
      </c>
      <c r="AG701" s="2" t="s">
        <v>74</v>
      </c>
      <c r="AH701" s="2" t="s">
        <v>74</v>
      </c>
      <c r="AI701" s="2" t="s">
        <v>74</v>
      </c>
      <c r="AJ701" s="2" t="s">
        <v>74</v>
      </c>
      <c r="AK701" s="2" t="s">
        <v>74</v>
      </c>
      <c r="AL701" s="2" t="s">
        <v>74</v>
      </c>
      <c r="AM701" s="2" t="s">
        <v>74</v>
      </c>
      <c r="AN701" s="2" t="s">
        <v>74</v>
      </c>
      <c r="AO701" s="2" t="s">
        <v>1202</v>
      </c>
      <c r="AP701" s="2" t="s">
        <v>1203</v>
      </c>
      <c r="AQ701" s="2" t="s">
        <v>74</v>
      </c>
      <c r="AR701" s="2" t="s">
        <v>74</v>
      </c>
      <c r="AS701" s="2" t="s">
        <v>74</v>
      </c>
      <c r="AT701" s="2" t="s">
        <v>102</v>
      </c>
      <c r="AU701" s="2">
        <v>2015</v>
      </c>
      <c r="AV701" s="2">
        <v>71</v>
      </c>
      <c r="AW701" s="2">
        <v>2</v>
      </c>
      <c r="AX701" s="2" t="s">
        <v>74</v>
      </c>
      <c r="AY701" s="2" t="s">
        <v>74</v>
      </c>
      <c r="AZ701" s="2" t="s">
        <v>74</v>
      </c>
      <c r="BA701" s="2" t="s">
        <v>74</v>
      </c>
      <c r="BB701" s="2">
        <v>110</v>
      </c>
      <c r="BC701" s="2">
        <v>116</v>
      </c>
      <c r="BD701" s="2" t="s">
        <v>74</v>
      </c>
      <c r="BE701" s="2" t="s">
        <v>3864</v>
      </c>
      <c r="BF701" s="2" t="str">
        <f>HYPERLINK("http://dx.doi.org/10.1655/HERPETOLOGICA-D-14-00044","http://dx.doi.org/10.1655/HERPETOLOGICA-D-14-00044")</f>
        <v>http://dx.doi.org/10.1655/HERPETOLOGICA-D-14-00044</v>
      </c>
      <c r="BG701" s="2" t="s">
        <v>74</v>
      </c>
      <c r="BH701" s="2" t="s">
        <v>74</v>
      </c>
      <c r="BI701" s="2" t="s">
        <v>74</v>
      </c>
      <c r="BJ701" s="2" t="s">
        <v>74</v>
      </c>
      <c r="BK701" s="2" t="s">
        <v>74</v>
      </c>
      <c r="BL701" s="2" t="s">
        <v>74</v>
      </c>
      <c r="BM701" s="2" t="s">
        <v>74</v>
      </c>
      <c r="BN701" s="2" t="s">
        <v>74</v>
      </c>
      <c r="BO701" s="2" t="s">
        <v>74</v>
      </c>
      <c r="BP701" s="2" t="s">
        <v>74</v>
      </c>
      <c r="BQ701" s="2" t="s">
        <v>74</v>
      </c>
      <c r="BR701" s="2" t="s">
        <v>74</v>
      </c>
      <c r="BS701" s="2" t="s">
        <v>3865</v>
      </c>
      <c r="BT701" s="2" t="str">
        <f>HYPERLINK("https%3A%2F%2Fwww.webofscience.com%2Fwos%2Fwoscc%2Ffull-record%2FWOS:000357733800005","View Full Record in Web of Science")</f>
        <v>View Full Record in Web of Science</v>
      </c>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row>
    <row r="702" spans="1:314" s="2" customFormat="1" x14ac:dyDescent="0.4">
      <c r="A702" s="2" t="s">
        <v>72</v>
      </c>
      <c r="B702" s="2" t="s">
        <v>7069</v>
      </c>
      <c r="C702" s="2" t="s">
        <v>74</v>
      </c>
      <c r="D702" s="2" t="s">
        <v>74</v>
      </c>
      <c r="E702" s="2" t="s">
        <v>74</v>
      </c>
      <c r="F702" s="2" t="s">
        <v>7070</v>
      </c>
      <c r="G702" s="2" t="s">
        <v>74</v>
      </c>
      <c r="H702" s="2" t="s">
        <v>74</v>
      </c>
      <c r="I702" s="2" t="s">
        <v>7071</v>
      </c>
      <c r="J702" s="2" t="s">
        <v>1198</v>
      </c>
      <c r="K702" s="2" t="s">
        <v>74</v>
      </c>
      <c r="L702" s="2" t="s">
        <v>74</v>
      </c>
      <c r="M702" s="2" t="s">
        <v>74</v>
      </c>
      <c r="N702" s="2" t="s">
        <v>74</v>
      </c>
      <c r="O702" s="2" t="s">
        <v>74</v>
      </c>
      <c r="P702" s="2" t="s">
        <v>74</v>
      </c>
      <c r="Q702" s="2" t="s">
        <v>74</v>
      </c>
      <c r="R702" s="2" t="s">
        <v>74</v>
      </c>
      <c r="S702" s="2" t="s">
        <v>74</v>
      </c>
      <c r="T702" s="2" t="s">
        <v>74</v>
      </c>
      <c r="U702" s="2" t="s">
        <v>74</v>
      </c>
      <c r="V702" s="5" t="s">
        <v>7072</v>
      </c>
      <c r="W702" s="2" t="s">
        <v>74</v>
      </c>
      <c r="X702" s="2" t="s">
        <v>74</v>
      </c>
      <c r="Y702" s="2" t="s">
        <v>74</v>
      </c>
      <c r="Z702" s="2" t="s">
        <v>74</v>
      </c>
      <c r="AA702" s="2" t="s">
        <v>74</v>
      </c>
      <c r="AB702" s="2" t="s">
        <v>74</v>
      </c>
      <c r="AC702" s="2" t="s">
        <v>74</v>
      </c>
      <c r="AD702" s="2" t="s">
        <v>74</v>
      </c>
      <c r="AE702" s="2" t="s">
        <v>74</v>
      </c>
      <c r="AF702" s="2" t="s">
        <v>74</v>
      </c>
      <c r="AG702" s="2" t="s">
        <v>74</v>
      </c>
      <c r="AH702" s="2" t="s">
        <v>74</v>
      </c>
      <c r="AI702" s="2" t="s">
        <v>74</v>
      </c>
      <c r="AJ702" s="2" t="s">
        <v>74</v>
      </c>
      <c r="AK702" s="2" t="s">
        <v>74</v>
      </c>
      <c r="AL702" s="2" t="s">
        <v>74</v>
      </c>
      <c r="AM702" s="2" t="s">
        <v>74</v>
      </c>
      <c r="AN702" s="2" t="s">
        <v>74</v>
      </c>
      <c r="AO702" s="2" t="s">
        <v>1202</v>
      </c>
      <c r="AP702" s="2" t="s">
        <v>1203</v>
      </c>
      <c r="AQ702" s="2" t="s">
        <v>74</v>
      </c>
      <c r="AR702" s="2" t="s">
        <v>74</v>
      </c>
      <c r="AS702" s="2" t="s">
        <v>74</v>
      </c>
      <c r="AT702" s="2" t="s">
        <v>305</v>
      </c>
      <c r="AU702" s="2">
        <v>2023</v>
      </c>
      <c r="AV702" s="2">
        <v>79</v>
      </c>
      <c r="AW702" s="2">
        <v>4</v>
      </c>
      <c r="AX702" s="2" t="s">
        <v>74</v>
      </c>
      <c r="AY702" s="2" t="s">
        <v>74</v>
      </c>
      <c r="AZ702" s="2" t="s">
        <v>74</v>
      </c>
      <c r="BA702" s="2" t="s">
        <v>74</v>
      </c>
      <c r="BB702" s="2">
        <v>196</v>
      </c>
      <c r="BC702" s="2">
        <v>206</v>
      </c>
      <c r="BD702" s="2" t="s">
        <v>74</v>
      </c>
      <c r="BE702" s="2" t="s">
        <v>7073</v>
      </c>
      <c r="BF702" s="2" t="str">
        <f>HYPERLINK("http://dx.doi.org/10.1655/Herpetologica-D-23-00011.s1","http://dx.doi.org/10.1655/Herpetologica-D-23-00011.s1")</f>
        <v>http://dx.doi.org/10.1655/Herpetologica-D-23-00011.s1</v>
      </c>
      <c r="BG702" s="2" t="s">
        <v>74</v>
      </c>
      <c r="BH702" s="2" t="s">
        <v>74</v>
      </c>
      <c r="BI702" s="2" t="s">
        <v>74</v>
      </c>
      <c r="BJ702" s="2" t="s">
        <v>74</v>
      </c>
      <c r="BK702" s="2" t="s">
        <v>74</v>
      </c>
      <c r="BL702" s="2" t="s">
        <v>74</v>
      </c>
      <c r="BM702" s="2" t="s">
        <v>74</v>
      </c>
      <c r="BN702" s="2" t="s">
        <v>74</v>
      </c>
      <c r="BO702" s="2" t="s">
        <v>74</v>
      </c>
      <c r="BP702" s="2" t="s">
        <v>74</v>
      </c>
      <c r="BQ702" s="2" t="s">
        <v>74</v>
      </c>
      <c r="BR702" s="2" t="s">
        <v>74</v>
      </c>
      <c r="BS702" s="2" t="s">
        <v>7074</v>
      </c>
      <c r="BT702" s="2" t="str">
        <f>HYPERLINK("https%3A%2F%2Fwww.webofscience.com%2Fwos%2Fwoscc%2Ffull-record%2FWOS:001208746500005","View Full Record in Web of Science")</f>
        <v>View Full Record in Web of Science</v>
      </c>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row>
    <row r="703" spans="1:314" s="2" customFormat="1" x14ac:dyDescent="0.4">
      <c r="A703" s="2" t="s">
        <v>72</v>
      </c>
      <c r="B703" s="2" t="s">
        <v>2180</v>
      </c>
      <c r="C703" s="2" t="s">
        <v>74</v>
      </c>
      <c r="D703" s="2" t="s">
        <v>74</v>
      </c>
      <c r="E703" s="2" t="s">
        <v>74</v>
      </c>
      <c r="F703" s="2" t="s">
        <v>2181</v>
      </c>
      <c r="G703" s="2" t="s">
        <v>74</v>
      </c>
      <c r="H703" s="2" t="s">
        <v>74</v>
      </c>
      <c r="I703" s="2" t="s">
        <v>2182</v>
      </c>
      <c r="J703" s="2" t="s">
        <v>333</v>
      </c>
      <c r="K703" s="2" t="s">
        <v>74</v>
      </c>
      <c r="L703" s="2" t="s">
        <v>74</v>
      </c>
      <c r="M703" s="2" t="s">
        <v>74</v>
      </c>
      <c r="N703" s="2" t="s">
        <v>74</v>
      </c>
      <c r="O703" s="2" t="s">
        <v>74</v>
      </c>
      <c r="P703" s="2" t="s">
        <v>74</v>
      </c>
      <c r="Q703" s="2" t="s">
        <v>74</v>
      </c>
      <c r="R703" s="2" t="s">
        <v>74</v>
      </c>
      <c r="S703" s="2" t="s">
        <v>74</v>
      </c>
      <c r="T703" s="2" t="s">
        <v>74</v>
      </c>
      <c r="U703" s="2" t="s">
        <v>74</v>
      </c>
      <c r="V703" s="5" t="s">
        <v>2183</v>
      </c>
      <c r="W703" s="2" t="s">
        <v>74</v>
      </c>
      <c r="X703" s="2" t="s">
        <v>74</v>
      </c>
      <c r="Y703" s="2" t="s">
        <v>74</v>
      </c>
      <c r="Z703" s="2" t="s">
        <v>74</v>
      </c>
      <c r="AA703" s="2" t="s">
        <v>2184</v>
      </c>
      <c r="AB703" s="2" t="s">
        <v>2185</v>
      </c>
      <c r="AC703" s="2" t="s">
        <v>74</v>
      </c>
      <c r="AD703" s="2" t="s">
        <v>74</v>
      </c>
      <c r="AE703" s="2" t="s">
        <v>74</v>
      </c>
      <c r="AF703" s="2" t="s">
        <v>74</v>
      </c>
      <c r="AG703" s="2" t="s">
        <v>74</v>
      </c>
      <c r="AH703" s="2" t="s">
        <v>74</v>
      </c>
      <c r="AI703" s="2" t="s">
        <v>74</v>
      </c>
      <c r="AJ703" s="2" t="s">
        <v>74</v>
      </c>
      <c r="AK703" s="2" t="s">
        <v>74</v>
      </c>
      <c r="AL703" s="2" t="s">
        <v>74</v>
      </c>
      <c r="AM703" s="2" t="s">
        <v>74</v>
      </c>
      <c r="AN703" s="2" t="s">
        <v>74</v>
      </c>
      <c r="AO703" s="2" t="s">
        <v>337</v>
      </c>
      <c r="AP703" s="2" t="s">
        <v>338</v>
      </c>
      <c r="AQ703" s="2" t="s">
        <v>74</v>
      </c>
      <c r="AR703" s="2" t="s">
        <v>74</v>
      </c>
      <c r="AS703" s="2" t="s">
        <v>74</v>
      </c>
      <c r="AT703" s="2" t="s">
        <v>339</v>
      </c>
      <c r="AU703" s="2">
        <v>2013</v>
      </c>
      <c r="AV703" s="2">
        <v>24</v>
      </c>
      <c r="AW703" s="2">
        <v>4</v>
      </c>
      <c r="AX703" s="2" t="s">
        <v>74</v>
      </c>
      <c r="AY703" s="2" t="s">
        <v>74</v>
      </c>
      <c r="AZ703" s="2" t="s">
        <v>74</v>
      </c>
      <c r="BA703" s="2" t="s">
        <v>74</v>
      </c>
      <c r="BB703" s="2">
        <v>846</v>
      </c>
      <c r="BC703" s="2">
        <v>852</v>
      </c>
      <c r="BD703" s="2" t="s">
        <v>74</v>
      </c>
      <c r="BE703" s="2" t="s">
        <v>2186</v>
      </c>
      <c r="BF703" s="2" t="str">
        <f>HYPERLINK("http://dx.doi.org/10.1093/beheco/art027","http://dx.doi.org/10.1093/beheco/art027")</f>
        <v>http://dx.doi.org/10.1093/beheco/art027</v>
      </c>
      <c r="BG703" s="2" t="s">
        <v>74</v>
      </c>
      <c r="BH703" s="2" t="s">
        <v>74</v>
      </c>
      <c r="BI703" s="2" t="s">
        <v>74</v>
      </c>
      <c r="BJ703" s="2" t="s">
        <v>74</v>
      </c>
      <c r="BK703" s="2" t="s">
        <v>74</v>
      </c>
      <c r="BL703" s="2" t="s">
        <v>74</v>
      </c>
      <c r="BM703" s="2" t="s">
        <v>74</v>
      </c>
      <c r="BN703" s="2" t="s">
        <v>74</v>
      </c>
      <c r="BO703" s="2" t="s">
        <v>74</v>
      </c>
      <c r="BP703" s="2" t="s">
        <v>74</v>
      </c>
      <c r="BQ703" s="2" t="s">
        <v>74</v>
      </c>
      <c r="BR703" s="2" t="s">
        <v>74</v>
      </c>
      <c r="BS703" s="2" t="s">
        <v>2187</v>
      </c>
      <c r="BT703" s="2" t="str">
        <f>HYPERLINK("https%3A%2F%2Fwww.webofscience.com%2Fwos%2Fwoscc%2Ffull-record%2FWOS:000320409900014","View Full Record in Web of Science")</f>
        <v>View Full Record in Web of Science</v>
      </c>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row>
    <row r="704" spans="1:314" s="2" customFormat="1" x14ac:dyDescent="0.4">
      <c r="A704" s="2" t="s">
        <v>72</v>
      </c>
      <c r="B704" s="2" t="s">
        <v>2705</v>
      </c>
      <c r="C704" s="2" t="s">
        <v>74</v>
      </c>
      <c r="D704" s="2" t="s">
        <v>74</v>
      </c>
      <c r="E704" s="2" t="s">
        <v>74</v>
      </c>
      <c r="F704" s="2" t="s">
        <v>2706</v>
      </c>
      <c r="G704" s="2" t="s">
        <v>74</v>
      </c>
      <c r="H704" s="2" t="s">
        <v>74</v>
      </c>
      <c r="I704" s="2" t="s">
        <v>2707</v>
      </c>
      <c r="J704" s="2" t="s">
        <v>1198</v>
      </c>
      <c r="K704" s="2" t="s">
        <v>74</v>
      </c>
      <c r="L704" s="2" t="s">
        <v>74</v>
      </c>
      <c r="M704" s="2" t="s">
        <v>74</v>
      </c>
      <c r="N704" s="2" t="s">
        <v>74</v>
      </c>
      <c r="O704" s="2" t="s">
        <v>74</v>
      </c>
      <c r="P704" s="2" t="s">
        <v>74</v>
      </c>
      <c r="Q704" s="2" t="s">
        <v>74</v>
      </c>
      <c r="R704" s="2" t="s">
        <v>74</v>
      </c>
      <c r="S704" s="2" t="s">
        <v>74</v>
      </c>
      <c r="T704" s="2" t="s">
        <v>74</v>
      </c>
      <c r="U704" s="2" t="s">
        <v>74</v>
      </c>
      <c r="V704" s="5" t="s">
        <v>2708</v>
      </c>
      <c r="W704" s="2" t="s">
        <v>74</v>
      </c>
      <c r="X704" s="2" t="s">
        <v>74</v>
      </c>
      <c r="Y704" s="2" t="s">
        <v>74</v>
      </c>
      <c r="Z704" s="2" t="s">
        <v>74</v>
      </c>
      <c r="AA704" s="2" t="s">
        <v>74</v>
      </c>
      <c r="AB704" s="2" t="s">
        <v>2709</v>
      </c>
      <c r="AC704" s="2" t="s">
        <v>74</v>
      </c>
      <c r="AD704" s="2" t="s">
        <v>74</v>
      </c>
      <c r="AE704" s="2" t="s">
        <v>74</v>
      </c>
      <c r="AF704" s="2" t="s">
        <v>74</v>
      </c>
      <c r="AG704" s="2" t="s">
        <v>74</v>
      </c>
      <c r="AH704" s="2" t="s">
        <v>74</v>
      </c>
      <c r="AI704" s="2" t="s">
        <v>74</v>
      </c>
      <c r="AJ704" s="2" t="s">
        <v>74</v>
      </c>
      <c r="AK704" s="2" t="s">
        <v>74</v>
      </c>
      <c r="AL704" s="2" t="s">
        <v>74</v>
      </c>
      <c r="AM704" s="2" t="s">
        <v>74</v>
      </c>
      <c r="AN704" s="2" t="s">
        <v>74</v>
      </c>
      <c r="AO704" s="2" t="s">
        <v>1202</v>
      </c>
      <c r="AP704" s="2" t="s">
        <v>1203</v>
      </c>
      <c r="AQ704" s="2" t="s">
        <v>74</v>
      </c>
      <c r="AR704" s="2" t="s">
        <v>74</v>
      </c>
      <c r="AS704" s="2" t="s">
        <v>74</v>
      </c>
      <c r="AT704" s="2" t="s">
        <v>102</v>
      </c>
      <c r="AU704" s="2">
        <v>2014</v>
      </c>
      <c r="AV704" s="2">
        <v>70</v>
      </c>
      <c r="AW704" s="2">
        <v>2</v>
      </c>
      <c r="AX704" s="2" t="s">
        <v>74</v>
      </c>
      <c r="AY704" s="2" t="s">
        <v>74</v>
      </c>
      <c r="AZ704" s="2" t="s">
        <v>74</v>
      </c>
      <c r="BA704" s="2" t="s">
        <v>74</v>
      </c>
      <c r="BB704" s="2">
        <v>157</v>
      </c>
      <c r="BC704" s="2">
        <v>170</v>
      </c>
      <c r="BD704" s="2" t="s">
        <v>74</v>
      </c>
      <c r="BE704" s="2" t="s">
        <v>2710</v>
      </c>
      <c r="BF704" s="2" t="str">
        <f>HYPERLINK("http://dx.doi.org/10.1655/HERPETOLOGICA-D-13-00073","http://dx.doi.org/10.1655/HERPETOLOGICA-D-13-00073")</f>
        <v>http://dx.doi.org/10.1655/HERPETOLOGICA-D-13-00073</v>
      </c>
      <c r="BG704" s="2" t="s">
        <v>74</v>
      </c>
      <c r="BH704" s="2" t="s">
        <v>74</v>
      </c>
      <c r="BI704" s="2" t="s">
        <v>74</v>
      </c>
      <c r="BJ704" s="2" t="s">
        <v>74</v>
      </c>
      <c r="BK704" s="2" t="s">
        <v>74</v>
      </c>
      <c r="BL704" s="2" t="s">
        <v>74</v>
      </c>
      <c r="BM704" s="2" t="s">
        <v>74</v>
      </c>
      <c r="BN704" s="2" t="s">
        <v>74</v>
      </c>
      <c r="BO704" s="2" t="s">
        <v>74</v>
      </c>
      <c r="BP704" s="2" t="s">
        <v>74</v>
      </c>
      <c r="BQ704" s="2" t="s">
        <v>74</v>
      </c>
      <c r="BR704" s="2" t="s">
        <v>74</v>
      </c>
      <c r="BS704" s="2" t="s">
        <v>2711</v>
      </c>
      <c r="BT704" s="2" t="str">
        <f>HYPERLINK("https%3A%2F%2Fwww.webofscience.com%2Fwos%2Fwoscc%2Ffull-record%2FWOS:000336047900004","View Full Record in Web of Science")</f>
        <v>View Full Record in Web of Science</v>
      </c>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row>
    <row r="705" spans="1:314" s="2" customFormat="1" x14ac:dyDescent="0.4">
      <c r="A705" s="2" t="s">
        <v>72</v>
      </c>
      <c r="B705" s="2" t="s">
        <v>3989</v>
      </c>
      <c r="C705" s="2" t="s">
        <v>74</v>
      </c>
      <c r="D705" s="2" t="s">
        <v>74</v>
      </c>
      <c r="E705" s="2" t="s">
        <v>74</v>
      </c>
      <c r="F705" s="2" t="s">
        <v>3990</v>
      </c>
      <c r="G705" s="2" t="s">
        <v>74</v>
      </c>
      <c r="H705" s="2" t="s">
        <v>74</v>
      </c>
      <c r="I705" s="2" t="s">
        <v>3991</v>
      </c>
      <c r="J705" s="2" t="s">
        <v>129</v>
      </c>
      <c r="K705" s="2" t="s">
        <v>74</v>
      </c>
      <c r="L705" s="2" t="s">
        <v>74</v>
      </c>
      <c r="M705" s="2" t="s">
        <v>74</v>
      </c>
      <c r="N705" s="2" t="s">
        <v>74</v>
      </c>
      <c r="O705" s="2" t="s">
        <v>74</v>
      </c>
      <c r="P705" s="2" t="s">
        <v>74</v>
      </c>
      <c r="Q705" s="2" t="s">
        <v>74</v>
      </c>
      <c r="R705" s="2" t="s">
        <v>74</v>
      </c>
      <c r="S705" s="2" t="s">
        <v>74</v>
      </c>
      <c r="T705" s="2" t="s">
        <v>74</v>
      </c>
      <c r="U705" s="2" t="s">
        <v>74</v>
      </c>
      <c r="V705" s="5" t="s">
        <v>3992</v>
      </c>
      <c r="W705" s="2" t="s">
        <v>74</v>
      </c>
      <c r="X705" s="2" t="s">
        <v>74</v>
      </c>
      <c r="Y705" s="2" t="s">
        <v>74</v>
      </c>
      <c r="Z705" s="2" t="s">
        <v>74</v>
      </c>
      <c r="AA705" s="2" t="s">
        <v>3993</v>
      </c>
      <c r="AB705" s="2" t="s">
        <v>3994</v>
      </c>
      <c r="AC705" s="2" t="s">
        <v>74</v>
      </c>
      <c r="AD705" s="2" t="s">
        <v>74</v>
      </c>
      <c r="AE705" s="2" t="s">
        <v>74</v>
      </c>
      <c r="AF705" s="2" t="s">
        <v>74</v>
      </c>
      <c r="AG705" s="2" t="s">
        <v>74</v>
      </c>
      <c r="AH705" s="2" t="s">
        <v>74</v>
      </c>
      <c r="AI705" s="2" t="s">
        <v>74</v>
      </c>
      <c r="AJ705" s="2" t="s">
        <v>74</v>
      </c>
      <c r="AK705" s="2" t="s">
        <v>74</v>
      </c>
      <c r="AL705" s="2" t="s">
        <v>74</v>
      </c>
      <c r="AM705" s="2" t="s">
        <v>74</v>
      </c>
      <c r="AN705" s="2" t="s">
        <v>74</v>
      </c>
      <c r="AO705" s="2" t="s">
        <v>132</v>
      </c>
      <c r="AP705" s="2" t="s">
        <v>133</v>
      </c>
      <c r="AQ705" s="2" t="s">
        <v>74</v>
      </c>
      <c r="AR705" s="2" t="s">
        <v>74</v>
      </c>
      <c r="AS705" s="2" t="s">
        <v>74</v>
      </c>
      <c r="AT705" s="2" t="s">
        <v>633</v>
      </c>
      <c r="AU705" s="2">
        <v>2008</v>
      </c>
      <c r="AV705" s="2">
        <v>62</v>
      </c>
      <c r="AW705" s="2">
        <v>8</v>
      </c>
      <c r="AX705" s="2" t="s">
        <v>74</v>
      </c>
      <c r="AY705" s="2" t="s">
        <v>74</v>
      </c>
      <c r="AZ705" s="2" t="s">
        <v>74</v>
      </c>
      <c r="BA705" s="2" t="s">
        <v>74</v>
      </c>
      <c r="BB705" s="2">
        <v>1341</v>
      </c>
      <c r="BC705" s="2">
        <v>1350</v>
      </c>
      <c r="BD705" s="2" t="s">
        <v>74</v>
      </c>
      <c r="BE705" s="2" t="s">
        <v>3995</v>
      </c>
      <c r="BF705" s="2" t="str">
        <f>HYPERLINK("http://dx.doi.org/10.1007/s00265-008-0562-z","http://dx.doi.org/10.1007/s00265-008-0562-z")</f>
        <v>http://dx.doi.org/10.1007/s00265-008-0562-z</v>
      </c>
      <c r="BG705" s="2" t="s">
        <v>74</v>
      </c>
      <c r="BH705" s="2" t="s">
        <v>74</v>
      </c>
      <c r="BI705" s="2" t="s">
        <v>74</v>
      </c>
      <c r="BJ705" s="2" t="s">
        <v>74</v>
      </c>
      <c r="BK705" s="2" t="s">
        <v>74</v>
      </c>
      <c r="BL705" s="2" t="s">
        <v>74</v>
      </c>
      <c r="BM705" s="2" t="s">
        <v>74</v>
      </c>
      <c r="BN705" s="2" t="s">
        <v>74</v>
      </c>
      <c r="BO705" s="2" t="s">
        <v>74</v>
      </c>
      <c r="BP705" s="2" t="s">
        <v>74</v>
      </c>
      <c r="BQ705" s="2" t="s">
        <v>74</v>
      </c>
      <c r="BR705" s="2" t="s">
        <v>74</v>
      </c>
      <c r="BS705" s="2" t="s">
        <v>3996</v>
      </c>
      <c r="BT705" s="2" t="str">
        <f>HYPERLINK("https%3A%2F%2Fwww.webofscience.com%2Fwos%2Fwoscc%2Ffull-record%2FWOS:000255851400013","View Full Record in Web of Science")</f>
        <v>View Full Record in Web of Science</v>
      </c>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row>
    <row r="706" spans="1:314" s="2" customFormat="1" x14ac:dyDescent="0.4">
      <c r="A706" s="2" t="s">
        <v>72</v>
      </c>
      <c r="B706" s="2" t="s">
        <v>7673</v>
      </c>
      <c r="C706" s="2" t="s">
        <v>74</v>
      </c>
      <c r="D706" s="2" t="s">
        <v>74</v>
      </c>
      <c r="E706" s="2" t="s">
        <v>74</v>
      </c>
      <c r="F706" s="2" t="s">
        <v>7674</v>
      </c>
      <c r="G706" s="2" t="s">
        <v>74</v>
      </c>
      <c r="H706" s="2" t="s">
        <v>74</v>
      </c>
      <c r="I706" s="2" t="s">
        <v>7675</v>
      </c>
      <c r="J706" s="2" t="s">
        <v>610</v>
      </c>
      <c r="K706" s="2" t="s">
        <v>74</v>
      </c>
      <c r="L706" s="2" t="s">
        <v>74</v>
      </c>
      <c r="M706" s="2" t="s">
        <v>74</v>
      </c>
      <c r="N706" s="2" t="s">
        <v>74</v>
      </c>
      <c r="O706" s="2" t="s">
        <v>74</v>
      </c>
      <c r="P706" s="2" t="s">
        <v>74</v>
      </c>
      <c r="Q706" s="2" t="s">
        <v>74</v>
      </c>
      <c r="R706" s="2" t="s">
        <v>74</v>
      </c>
      <c r="S706" s="2" t="s">
        <v>74</v>
      </c>
      <c r="T706" s="2" t="s">
        <v>74</v>
      </c>
      <c r="U706" s="2" t="s">
        <v>74</v>
      </c>
      <c r="V706" s="5" t="s">
        <v>7676</v>
      </c>
      <c r="W706" s="2" t="s">
        <v>74</v>
      </c>
      <c r="X706" s="2" t="s">
        <v>74</v>
      </c>
      <c r="Y706" s="2" t="s">
        <v>74</v>
      </c>
      <c r="Z706" s="2" t="s">
        <v>74</v>
      </c>
      <c r="AA706" s="2" t="s">
        <v>74</v>
      </c>
      <c r="AB706" s="2" t="s">
        <v>74</v>
      </c>
      <c r="AC706" s="2" t="s">
        <v>74</v>
      </c>
      <c r="AD706" s="2" t="s">
        <v>74</v>
      </c>
      <c r="AE706" s="2" t="s">
        <v>74</v>
      </c>
      <c r="AF706" s="2" t="s">
        <v>74</v>
      </c>
      <c r="AG706" s="2" t="s">
        <v>74</v>
      </c>
      <c r="AH706" s="2" t="s">
        <v>74</v>
      </c>
      <c r="AI706" s="2" t="s">
        <v>74</v>
      </c>
      <c r="AJ706" s="2" t="s">
        <v>74</v>
      </c>
      <c r="AK706" s="2" t="s">
        <v>74</v>
      </c>
      <c r="AL706" s="2" t="s">
        <v>74</v>
      </c>
      <c r="AM706" s="2" t="s">
        <v>74</v>
      </c>
      <c r="AN706" s="2" t="s">
        <v>74</v>
      </c>
      <c r="AO706" s="2" t="s">
        <v>614</v>
      </c>
      <c r="AP706" s="2" t="s">
        <v>615</v>
      </c>
      <c r="AQ706" s="2" t="s">
        <v>74</v>
      </c>
      <c r="AR706" s="2" t="s">
        <v>74</v>
      </c>
      <c r="AS706" s="2" t="s">
        <v>74</v>
      </c>
      <c r="AT706" s="2" t="s">
        <v>145</v>
      </c>
      <c r="AU706" s="2">
        <v>2019</v>
      </c>
      <c r="AV706" s="2">
        <v>125</v>
      </c>
      <c r="AW706" s="2">
        <v>8</v>
      </c>
      <c r="AX706" s="2" t="s">
        <v>74</v>
      </c>
      <c r="AY706" s="2" t="s">
        <v>74</v>
      </c>
      <c r="AZ706" s="2" t="s">
        <v>74</v>
      </c>
      <c r="BA706" s="2" t="s">
        <v>74</v>
      </c>
      <c r="BB706" s="2">
        <v>575</v>
      </c>
      <c r="BC706" s="2">
        <v>586</v>
      </c>
      <c r="BD706" s="2" t="s">
        <v>74</v>
      </c>
      <c r="BE706" s="2" t="s">
        <v>7677</v>
      </c>
      <c r="BF706" s="2" t="str">
        <f>HYPERLINK("http://dx.doi.org/10.1111/eth.12885","http://dx.doi.org/10.1111/eth.12885")</f>
        <v>http://dx.doi.org/10.1111/eth.12885</v>
      </c>
      <c r="BG706" s="2" t="s">
        <v>74</v>
      </c>
      <c r="BH706" s="2" t="s">
        <v>74</v>
      </c>
      <c r="BI706" s="2" t="s">
        <v>74</v>
      </c>
      <c r="BJ706" s="2" t="s">
        <v>74</v>
      </c>
      <c r="BK706" s="2" t="s">
        <v>74</v>
      </c>
      <c r="BL706" s="2" t="s">
        <v>74</v>
      </c>
      <c r="BM706" s="2" t="s">
        <v>74</v>
      </c>
      <c r="BN706" s="2" t="s">
        <v>74</v>
      </c>
      <c r="BO706" s="2" t="s">
        <v>74</v>
      </c>
      <c r="BP706" s="2" t="s">
        <v>74</v>
      </c>
      <c r="BQ706" s="2" t="s">
        <v>74</v>
      </c>
      <c r="BR706" s="2" t="s">
        <v>74</v>
      </c>
      <c r="BS706" s="2" t="s">
        <v>7678</v>
      </c>
      <c r="BT706" s="2" t="str">
        <f>HYPERLINK("https%3A%2F%2Fwww.webofscience.com%2Fwos%2Fwoscc%2Ffull-record%2FWOS:000474271600009","View Full Record in Web of Science")</f>
        <v>View Full Record in Web of Science</v>
      </c>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row>
    <row r="707" spans="1:314" s="2" customFormat="1" x14ac:dyDescent="0.4">
      <c r="A707" s="2" t="s">
        <v>72</v>
      </c>
      <c r="B707" s="2" t="s">
        <v>5631</v>
      </c>
      <c r="C707" s="2" t="s">
        <v>74</v>
      </c>
      <c r="D707" s="2" t="s">
        <v>74</v>
      </c>
      <c r="E707" s="2" t="s">
        <v>74</v>
      </c>
      <c r="F707" s="2" t="s">
        <v>5632</v>
      </c>
      <c r="G707" s="2" t="s">
        <v>74</v>
      </c>
      <c r="H707" s="2" t="s">
        <v>74</v>
      </c>
      <c r="I707" s="2" t="s">
        <v>5633</v>
      </c>
      <c r="J707" s="2" t="s">
        <v>1549</v>
      </c>
      <c r="K707" s="2" t="s">
        <v>74</v>
      </c>
      <c r="L707" s="2" t="s">
        <v>74</v>
      </c>
      <c r="M707" s="2" t="s">
        <v>74</v>
      </c>
      <c r="N707" s="2" t="s">
        <v>74</v>
      </c>
      <c r="O707" s="2" t="s">
        <v>74</v>
      </c>
      <c r="P707" s="2" t="s">
        <v>74</v>
      </c>
      <c r="Q707" s="2" t="s">
        <v>74</v>
      </c>
      <c r="R707" s="2" t="s">
        <v>74</v>
      </c>
      <c r="S707" s="2" t="s">
        <v>74</v>
      </c>
      <c r="T707" s="2" t="s">
        <v>74</v>
      </c>
      <c r="U707" s="2" t="s">
        <v>74</v>
      </c>
      <c r="V707" s="5" t="s">
        <v>5634</v>
      </c>
      <c r="W707" s="2" t="s">
        <v>74</v>
      </c>
      <c r="X707" s="2" t="s">
        <v>74</v>
      </c>
      <c r="Y707" s="2" t="s">
        <v>74</v>
      </c>
      <c r="Z707" s="2" t="s">
        <v>74</v>
      </c>
      <c r="AA707" s="2" t="s">
        <v>74</v>
      </c>
      <c r="AB707" s="2" t="s">
        <v>5635</v>
      </c>
      <c r="AC707" s="2" t="s">
        <v>74</v>
      </c>
      <c r="AD707" s="2" t="s">
        <v>74</v>
      </c>
      <c r="AE707" s="2" t="s">
        <v>74</v>
      </c>
      <c r="AF707" s="2" t="s">
        <v>74</v>
      </c>
      <c r="AG707" s="2" t="s">
        <v>74</v>
      </c>
      <c r="AH707" s="2" t="s">
        <v>74</v>
      </c>
      <c r="AI707" s="2" t="s">
        <v>74</v>
      </c>
      <c r="AJ707" s="2" t="s">
        <v>74</v>
      </c>
      <c r="AK707" s="2" t="s">
        <v>74</v>
      </c>
      <c r="AL707" s="2" t="s">
        <v>74</v>
      </c>
      <c r="AM707" s="2" t="s">
        <v>74</v>
      </c>
      <c r="AN707" s="2" t="s">
        <v>74</v>
      </c>
      <c r="AO707" s="2" t="s">
        <v>1551</v>
      </c>
      <c r="AP707" s="2" t="s">
        <v>74</v>
      </c>
      <c r="AQ707" s="2" t="s">
        <v>74</v>
      </c>
      <c r="AR707" s="2" t="s">
        <v>74</v>
      </c>
      <c r="AS707" s="2" t="s">
        <v>74</v>
      </c>
      <c r="AT707" s="2" t="s">
        <v>102</v>
      </c>
      <c r="AU707" s="2">
        <v>2012</v>
      </c>
      <c r="AV707" s="2">
        <v>37</v>
      </c>
      <c r="AW707" s="2">
        <v>2</v>
      </c>
      <c r="AX707" s="2" t="s">
        <v>74</v>
      </c>
      <c r="AY707" s="2" t="s">
        <v>74</v>
      </c>
      <c r="AZ707" s="2" t="s">
        <v>74</v>
      </c>
      <c r="BA707" s="2" t="s">
        <v>74</v>
      </c>
      <c r="BB707" s="2">
        <v>109</v>
      </c>
      <c r="BC707" s="2">
        <v>118</v>
      </c>
      <c r="BD707" s="2" t="s">
        <v>74</v>
      </c>
      <c r="BE707" s="2" t="s">
        <v>5636</v>
      </c>
      <c r="BF707" s="2" t="str">
        <f>HYPERLINK("http://dx.doi.org/10.1111/j.1365-3032.2011.00812.x","http://dx.doi.org/10.1111/j.1365-3032.2011.00812.x")</f>
        <v>http://dx.doi.org/10.1111/j.1365-3032.2011.00812.x</v>
      </c>
      <c r="BG707" s="2" t="s">
        <v>74</v>
      </c>
      <c r="BH707" s="2" t="s">
        <v>74</v>
      </c>
      <c r="BI707" s="2" t="s">
        <v>74</v>
      </c>
      <c r="BJ707" s="2" t="s">
        <v>74</v>
      </c>
      <c r="BK707" s="2" t="s">
        <v>74</v>
      </c>
      <c r="BL707" s="2" t="s">
        <v>74</v>
      </c>
      <c r="BM707" s="2" t="s">
        <v>74</v>
      </c>
      <c r="BN707" s="2" t="s">
        <v>74</v>
      </c>
      <c r="BO707" s="2" t="s">
        <v>74</v>
      </c>
      <c r="BP707" s="2" t="s">
        <v>74</v>
      </c>
      <c r="BQ707" s="2" t="s">
        <v>74</v>
      </c>
      <c r="BR707" s="2" t="s">
        <v>74</v>
      </c>
      <c r="BS707" s="2" t="s">
        <v>5637</v>
      </c>
      <c r="BT707" s="2" t="str">
        <f>HYPERLINK("https%3A%2F%2Fwww.webofscience.com%2Fwos%2Fwoscc%2Ffull-record%2FWOS:000304091500002","View Full Record in Web of Science")</f>
        <v>View Full Record in Web of Science</v>
      </c>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row>
    <row r="708" spans="1:314" s="2" customFormat="1" x14ac:dyDescent="0.4">
      <c r="A708" s="2" t="s">
        <v>72</v>
      </c>
      <c r="B708" s="2" t="s">
        <v>1102</v>
      </c>
      <c r="C708" s="2" t="s">
        <v>74</v>
      </c>
      <c r="D708" s="2" t="s">
        <v>74</v>
      </c>
      <c r="E708" s="2" t="s">
        <v>74</v>
      </c>
      <c r="F708" s="2" t="s">
        <v>1103</v>
      </c>
      <c r="G708" s="2" t="s">
        <v>74</v>
      </c>
      <c r="H708" s="2" t="s">
        <v>74</v>
      </c>
      <c r="I708" s="2" t="s">
        <v>1104</v>
      </c>
      <c r="J708" s="2" t="s">
        <v>1044</v>
      </c>
      <c r="K708" s="2" t="s">
        <v>74</v>
      </c>
      <c r="L708" s="2" t="s">
        <v>74</v>
      </c>
      <c r="M708" s="2" t="s">
        <v>74</v>
      </c>
      <c r="N708" s="2" t="s">
        <v>74</v>
      </c>
      <c r="O708" s="2" t="s">
        <v>74</v>
      </c>
      <c r="P708" s="2" t="s">
        <v>74</v>
      </c>
      <c r="Q708" s="2" t="s">
        <v>74</v>
      </c>
      <c r="R708" s="2" t="s">
        <v>74</v>
      </c>
      <c r="S708" s="2" t="s">
        <v>74</v>
      </c>
      <c r="T708" s="2" t="s">
        <v>74</v>
      </c>
      <c r="U708" s="2" t="s">
        <v>74</v>
      </c>
      <c r="V708" s="5" t="s">
        <v>1105</v>
      </c>
      <c r="W708" s="2" t="s">
        <v>74</v>
      </c>
      <c r="X708" s="2" t="s">
        <v>74</v>
      </c>
      <c r="Y708" s="2" t="s">
        <v>74</v>
      </c>
      <c r="Z708" s="2" t="s">
        <v>74</v>
      </c>
      <c r="AA708" s="2" t="s">
        <v>1106</v>
      </c>
      <c r="AB708" s="2" t="s">
        <v>1107</v>
      </c>
      <c r="AC708" s="2" t="s">
        <v>74</v>
      </c>
      <c r="AD708" s="2" t="s">
        <v>74</v>
      </c>
      <c r="AE708" s="2" t="s">
        <v>74</v>
      </c>
      <c r="AF708" s="2" t="s">
        <v>74</v>
      </c>
      <c r="AG708" s="2" t="s">
        <v>74</v>
      </c>
      <c r="AH708" s="2" t="s">
        <v>74</v>
      </c>
      <c r="AI708" s="2" t="s">
        <v>74</v>
      </c>
      <c r="AJ708" s="2" t="s">
        <v>74</v>
      </c>
      <c r="AK708" s="2" t="s">
        <v>74</v>
      </c>
      <c r="AL708" s="2" t="s">
        <v>74</v>
      </c>
      <c r="AM708" s="2" t="s">
        <v>74</v>
      </c>
      <c r="AN708" s="2" t="s">
        <v>74</v>
      </c>
      <c r="AO708" s="2" t="s">
        <v>1048</v>
      </c>
      <c r="AP708" s="2" t="s">
        <v>74</v>
      </c>
      <c r="AQ708" s="2" t="s">
        <v>74</v>
      </c>
      <c r="AR708" s="2" t="s">
        <v>74</v>
      </c>
      <c r="AS708" s="2" t="s">
        <v>74</v>
      </c>
      <c r="AT708" s="2" t="s">
        <v>145</v>
      </c>
      <c r="AU708" s="2">
        <v>2010</v>
      </c>
      <c r="AV708" s="2">
        <v>19</v>
      </c>
      <c r="AW708" s="2">
        <v>16</v>
      </c>
      <c r="AX708" s="2" t="s">
        <v>74</v>
      </c>
      <c r="AY708" s="2" t="s">
        <v>74</v>
      </c>
      <c r="AZ708" s="2" t="s">
        <v>74</v>
      </c>
      <c r="BA708" s="2" t="s">
        <v>74</v>
      </c>
      <c r="BB708" s="2">
        <v>3285</v>
      </c>
      <c r="BC708" s="2">
        <v>3300</v>
      </c>
      <c r="BD708" s="2" t="s">
        <v>74</v>
      </c>
      <c r="BE708" s="2" t="s">
        <v>1108</v>
      </c>
      <c r="BF708" s="2" t="str">
        <f>HYPERLINK("http://dx.doi.org/10.1111/j.1365-294X.2010.04751.x","http://dx.doi.org/10.1111/j.1365-294X.2010.04751.x")</f>
        <v>http://dx.doi.org/10.1111/j.1365-294X.2010.04751.x</v>
      </c>
      <c r="BG708" s="2" t="s">
        <v>74</v>
      </c>
      <c r="BH708" s="2" t="s">
        <v>74</v>
      </c>
      <c r="BI708" s="2" t="s">
        <v>74</v>
      </c>
      <c r="BJ708" s="2" t="s">
        <v>74</v>
      </c>
      <c r="BK708" s="2" t="s">
        <v>74</v>
      </c>
      <c r="BL708" s="2" t="s">
        <v>74</v>
      </c>
      <c r="BM708" s="2" t="s">
        <v>74</v>
      </c>
      <c r="BN708" s="2">
        <v>20659245</v>
      </c>
      <c r="BO708" s="2" t="s">
        <v>74</v>
      </c>
      <c r="BP708" s="2" t="s">
        <v>74</v>
      </c>
      <c r="BQ708" s="2" t="s">
        <v>74</v>
      </c>
      <c r="BR708" s="2" t="s">
        <v>74</v>
      </c>
      <c r="BS708" s="2" t="s">
        <v>1109</v>
      </c>
      <c r="BT708" s="2" t="str">
        <f>HYPERLINK("https%3A%2F%2Fwww.webofscience.com%2Fwos%2Fwoscc%2Ffull-record%2FWOS:000208393200001","View Full Record in Web of Science")</f>
        <v>View Full Record in Web of Science</v>
      </c>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row>
    <row r="709" spans="1:314" s="2" customFormat="1" x14ac:dyDescent="0.4">
      <c r="A709" s="2" t="s">
        <v>72</v>
      </c>
      <c r="B709" s="2" t="s">
        <v>3448</v>
      </c>
      <c r="C709" s="2" t="s">
        <v>74</v>
      </c>
      <c r="D709" s="2" t="s">
        <v>74</v>
      </c>
      <c r="E709" s="2" t="s">
        <v>74</v>
      </c>
      <c r="F709" s="2" t="s">
        <v>3449</v>
      </c>
      <c r="G709" s="2" t="s">
        <v>74</v>
      </c>
      <c r="H709" s="2" t="s">
        <v>74</v>
      </c>
      <c r="I709" s="2" t="s">
        <v>3450</v>
      </c>
      <c r="J709" s="2" t="s">
        <v>3451</v>
      </c>
      <c r="K709" s="2" t="s">
        <v>74</v>
      </c>
      <c r="L709" s="2" t="s">
        <v>74</v>
      </c>
      <c r="M709" s="2" t="s">
        <v>74</v>
      </c>
      <c r="N709" s="2" t="s">
        <v>74</v>
      </c>
      <c r="O709" s="2" t="s">
        <v>74</v>
      </c>
      <c r="P709" s="2" t="s">
        <v>74</v>
      </c>
      <c r="Q709" s="2" t="s">
        <v>74</v>
      </c>
      <c r="R709" s="2" t="s">
        <v>74</v>
      </c>
      <c r="S709" s="2" t="s">
        <v>74</v>
      </c>
      <c r="T709" s="2" t="s">
        <v>74</v>
      </c>
      <c r="U709" s="2" t="s">
        <v>74</v>
      </c>
      <c r="V709" s="5" t="s">
        <v>3452</v>
      </c>
      <c r="W709" s="2" t="s">
        <v>74</v>
      </c>
      <c r="X709" s="2" t="s">
        <v>74</v>
      </c>
      <c r="Y709" s="2" t="s">
        <v>74</v>
      </c>
      <c r="Z709" s="2" t="s">
        <v>74</v>
      </c>
      <c r="AA709" s="2" t="s">
        <v>3453</v>
      </c>
      <c r="AB709" s="2" t="s">
        <v>1610</v>
      </c>
      <c r="AC709" s="2" t="s">
        <v>74</v>
      </c>
      <c r="AD709" s="2" t="s">
        <v>74</v>
      </c>
      <c r="AE709" s="2" t="s">
        <v>74</v>
      </c>
      <c r="AF709" s="2" t="s">
        <v>74</v>
      </c>
      <c r="AG709" s="2" t="s">
        <v>74</v>
      </c>
      <c r="AH709" s="2" t="s">
        <v>74</v>
      </c>
      <c r="AI709" s="2" t="s">
        <v>74</v>
      </c>
      <c r="AJ709" s="2" t="s">
        <v>74</v>
      </c>
      <c r="AK709" s="2" t="s">
        <v>74</v>
      </c>
      <c r="AL709" s="2" t="s">
        <v>74</v>
      </c>
      <c r="AM709" s="2" t="s">
        <v>74</v>
      </c>
      <c r="AN709" s="2" t="s">
        <v>74</v>
      </c>
      <c r="AO709" s="2" t="s">
        <v>3454</v>
      </c>
      <c r="AP709" s="2" t="s">
        <v>74</v>
      </c>
      <c r="AQ709" s="2" t="s">
        <v>74</v>
      </c>
      <c r="AR709" s="2" t="s">
        <v>74</v>
      </c>
      <c r="AS709" s="2" t="s">
        <v>74</v>
      </c>
      <c r="AT709" s="2" t="s">
        <v>213</v>
      </c>
      <c r="AU709" s="2">
        <v>2010</v>
      </c>
      <c r="AV709" s="2">
        <v>81</v>
      </c>
      <c r="AW709" s="2">
        <v>3</v>
      </c>
      <c r="AX709" s="2" t="s">
        <v>74</v>
      </c>
      <c r="AY709" s="2" t="s">
        <v>74</v>
      </c>
      <c r="AZ709" s="2" t="s">
        <v>74</v>
      </c>
      <c r="BA709" s="2" t="s">
        <v>74</v>
      </c>
      <c r="BB709" s="2">
        <v>247</v>
      </c>
      <c r="BC709" s="2">
        <v>250</v>
      </c>
      <c r="BD709" s="2" t="s">
        <v>3455</v>
      </c>
      <c r="BE709" s="2" t="s">
        <v>3456</v>
      </c>
      <c r="BF709" s="2" t="str">
        <f>HYPERLINK("http://dx.doi.org/10.2989/00306525.2010.519864","http://dx.doi.org/10.2989/00306525.2010.519864")</f>
        <v>http://dx.doi.org/10.2989/00306525.2010.519864</v>
      </c>
      <c r="BG709" s="2" t="s">
        <v>74</v>
      </c>
      <c r="BH709" s="2" t="s">
        <v>74</v>
      </c>
      <c r="BI709" s="2" t="s">
        <v>74</v>
      </c>
      <c r="BJ709" s="2" t="s">
        <v>74</v>
      </c>
      <c r="BK709" s="2" t="s">
        <v>74</v>
      </c>
      <c r="BL709" s="2" t="s">
        <v>74</v>
      </c>
      <c r="BM709" s="2" t="s">
        <v>74</v>
      </c>
      <c r="BN709" s="2" t="s">
        <v>74</v>
      </c>
      <c r="BO709" s="2" t="s">
        <v>74</v>
      </c>
      <c r="BP709" s="2" t="s">
        <v>74</v>
      </c>
      <c r="BQ709" s="2" t="s">
        <v>74</v>
      </c>
      <c r="BR709" s="2" t="s">
        <v>74</v>
      </c>
      <c r="BS709" s="2" t="s">
        <v>3457</v>
      </c>
      <c r="BT709" s="2" t="str">
        <f>HYPERLINK("https%3A%2F%2Fwww.webofscience.com%2Fwos%2Fwoscc%2Ffull-record%2FWOS:000284229300012","View Full Record in Web of Science")</f>
        <v>View Full Record in Web of Science</v>
      </c>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row>
    <row r="710" spans="1:314" s="2" customFormat="1" x14ac:dyDescent="0.4">
      <c r="A710" s="2" t="s">
        <v>72</v>
      </c>
      <c r="B710" s="2" t="s">
        <v>2121</v>
      </c>
      <c r="C710" s="2" t="s">
        <v>74</v>
      </c>
      <c r="D710" s="2" t="s">
        <v>74</v>
      </c>
      <c r="E710" s="2" t="s">
        <v>74</v>
      </c>
      <c r="F710" s="2" t="s">
        <v>2121</v>
      </c>
      <c r="G710" s="2" t="s">
        <v>74</v>
      </c>
      <c r="H710" s="2" t="s">
        <v>74</v>
      </c>
      <c r="I710" s="2" t="s">
        <v>2122</v>
      </c>
      <c r="J710" s="2" t="s">
        <v>77</v>
      </c>
      <c r="K710" s="2" t="s">
        <v>74</v>
      </c>
      <c r="L710" s="2" t="s">
        <v>74</v>
      </c>
      <c r="M710" s="2" t="s">
        <v>74</v>
      </c>
      <c r="N710" s="2" t="s">
        <v>74</v>
      </c>
      <c r="O710" s="2" t="s">
        <v>74</v>
      </c>
      <c r="P710" s="2" t="s">
        <v>74</v>
      </c>
      <c r="Q710" s="2" t="s">
        <v>74</v>
      </c>
      <c r="R710" s="2" t="s">
        <v>74</v>
      </c>
      <c r="S710" s="2" t="s">
        <v>74</v>
      </c>
      <c r="T710" s="2" t="s">
        <v>74</v>
      </c>
      <c r="U710" s="2" t="s">
        <v>74</v>
      </c>
      <c r="V710" s="5" t="s">
        <v>2123</v>
      </c>
      <c r="W710" s="2" t="s">
        <v>74</v>
      </c>
      <c r="X710" s="2" t="s">
        <v>74</v>
      </c>
      <c r="Y710" s="2" t="s">
        <v>74</v>
      </c>
      <c r="Z710" s="2" t="s">
        <v>74</v>
      </c>
      <c r="AA710" s="2" t="s">
        <v>2124</v>
      </c>
      <c r="AB710" s="2" t="s">
        <v>2125</v>
      </c>
      <c r="AC710" s="2" t="s">
        <v>74</v>
      </c>
      <c r="AD710" s="2" t="s">
        <v>74</v>
      </c>
      <c r="AE710" s="2" t="s">
        <v>74</v>
      </c>
      <c r="AF710" s="2" t="s">
        <v>74</v>
      </c>
      <c r="AG710" s="2" t="s">
        <v>74</v>
      </c>
      <c r="AH710" s="2" t="s">
        <v>74</v>
      </c>
      <c r="AI710" s="2" t="s">
        <v>74</v>
      </c>
      <c r="AJ710" s="2" t="s">
        <v>74</v>
      </c>
      <c r="AK710" s="2" t="s">
        <v>74</v>
      </c>
      <c r="AL710" s="2" t="s">
        <v>74</v>
      </c>
      <c r="AM710" s="2" t="s">
        <v>74</v>
      </c>
      <c r="AN710" s="2" t="s">
        <v>74</v>
      </c>
      <c r="AO710" s="2" t="s">
        <v>81</v>
      </c>
      <c r="AP710" s="2" t="s">
        <v>74</v>
      </c>
      <c r="AQ710" s="2" t="s">
        <v>74</v>
      </c>
      <c r="AR710" s="2" t="s">
        <v>74</v>
      </c>
      <c r="AS710" s="2" t="s">
        <v>74</v>
      </c>
      <c r="AT710" s="2" t="s">
        <v>352</v>
      </c>
      <c r="AU710" s="2">
        <v>1991</v>
      </c>
      <c r="AV710" s="2">
        <v>118</v>
      </c>
      <c r="AW710" s="2" t="s">
        <v>74</v>
      </c>
      <c r="AX710" s="2" t="s">
        <v>1276</v>
      </c>
      <c r="AY710" s="2" t="s">
        <v>74</v>
      </c>
      <c r="AZ710" s="2" t="s">
        <v>74</v>
      </c>
      <c r="BA710" s="2" t="s">
        <v>74</v>
      </c>
      <c r="BB710" s="2">
        <v>214</v>
      </c>
      <c r="BC710" s="2">
        <v>234</v>
      </c>
      <c r="BD710" s="2" t="s">
        <v>74</v>
      </c>
      <c r="BE710" s="2" t="s">
        <v>2126</v>
      </c>
      <c r="BF710" s="2" t="str">
        <f>HYPERLINK("http://dx.doi.org/10.1163/156853991X00292","http://dx.doi.org/10.1163/156853991X00292")</f>
        <v>http://dx.doi.org/10.1163/156853991X00292</v>
      </c>
      <c r="BG710" s="2" t="s">
        <v>74</v>
      </c>
      <c r="BH710" s="2" t="s">
        <v>74</v>
      </c>
      <c r="BI710" s="2" t="s">
        <v>74</v>
      </c>
      <c r="BJ710" s="2" t="s">
        <v>74</v>
      </c>
      <c r="BK710" s="2" t="s">
        <v>74</v>
      </c>
      <c r="BL710" s="2" t="s">
        <v>74</v>
      </c>
      <c r="BM710" s="2" t="s">
        <v>74</v>
      </c>
      <c r="BN710" s="2" t="s">
        <v>74</v>
      </c>
      <c r="BO710" s="2" t="s">
        <v>74</v>
      </c>
      <c r="BP710" s="2" t="s">
        <v>74</v>
      </c>
      <c r="BQ710" s="2" t="s">
        <v>74</v>
      </c>
      <c r="BR710" s="2" t="s">
        <v>74</v>
      </c>
      <c r="BS710" s="2" t="s">
        <v>2127</v>
      </c>
      <c r="BT710" s="2" t="str">
        <f>HYPERLINK("https%3A%2F%2Fwww.webofscience.com%2Fwos%2Fwoscc%2Ffull-record%2FWOS:A1991GT42800004","View Full Record in Web of Science")</f>
        <v>View Full Record in Web of Science</v>
      </c>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row>
    <row r="711" spans="1:314" s="2" customFormat="1" x14ac:dyDescent="0.4">
      <c r="A711" s="2" t="s">
        <v>72</v>
      </c>
      <c r="B711" s="2" t="s">
        <v>7943</v>
      </c>
      <c r="C711" s="2" t="s">
        <v>74</v>
      </c>
      <c r="D711" s="2" t="s">
        <v>74</v>
      </c>
      <c r="E711" s="2" t="s">
        <v>74</v>
      </c>
      <c r="F711" s="2" t="s">
        <v>7943</v>
      </c>
      <c r="G711" s="2" t="s">
        <v>74</v>
      </c>
      <c r="H711" s="2" t="s">
        <v>74</v>
      </c>
      <c r="I711" s="2" t="s">
        <v>7944</v>
      </c>
      <c r="J711" s="2" t="s">
        <v>5065</v>
      </c>
      <c r="K711" s="2" t="s">
        <v>74</v>
      </c>
      <c r="L711" s="2" t="s">
        <v>74</v>
      </c>
      <c r="M711" s="2" t="s">
        <v>74</v>
      </c>
      <c r="N711" s="2" t="s">
        <v>74</v>
      </c>
      <c r="O711" s="2" t="s">
        <v>7945</v>
      </c>
      <c r="P711" s="2" t="s">
        <v>7946</v>
      </c>
      <c r="Q711" s="2" t="s">
        <v>7947</v>
      </c>
      <c r="R711" s="2" t="s">
        <v>7948</v>
      </c>
      <c r="S711" s="2" t="s">
        <v>7949</v>
      </c>
      <c r="T711" s="2" t="s">
        <v>74</v>
      </c>
      <c r="U711" s="2" t="s">
        <v>74</v>
      </c>
      <c r="V711" s="5" t="s">
        <v>7950</v>
      </c>
      <c r="W711" s="2" t="s">
        <v>74</v>
      </c>
      <c r="X711" s="2" t="s">
        <v>74</v>
      </c>
      <c r="Y711" s="2" t="s">
        <v>74</v>
      </c>
      <c r="Z711" s="2" t="s">
        <v>74</v>
      </c>
      <c r="AA711" s="2" t="s">
        <v>2124</v>
      </c>
      <c r="AB711" s="2" t="s">
        <v>74</v>
      </c>
      <c r="AC711" s="2" t="s">
        <v>74</v>
      </c>
      <c r="AD711" s="2" t="s">
        <v>74</v>
      </c>
      <c r="AE711" s="2" t="s">
        <v>74</v>
      </c>
      <c r="AF711" s="2" t="s">
        <v>74</v>
      </c>
      <c r="AG711" s="2" t="s">
        <v>74</v>
      </c>
      <c r="AH711" s="2" t="s">
        <v>74</v>
      </c>
      <c r="AI711" s="2" t="s">
        <v>74</v>
      </c>
      <c r="AJ711" s="2" t="s">
        <v>74</v>
      </c>
      <c r="AK711" s="2" t="s">
        <v>74</v>
      </c>
      <c r="AL711" s="2" t="s">
        <v>74</v>
      </c>
      <c r="AM711" s="2" t="s">
        <v>74</v>
      </c>
      <c r="AN711" s="2" t="s">
        <v>74</v>
      </c>
      <c r="AO711" s="2" t="s">
        <v>5068</v>
      </c>
      <c r="AP711" s="2" t="s">
        <v>74</v>
      </c>
      <c r="AQ711" s="2" t="s">
        <v>74</v>
      </c>
      <c r="AR711" s="2" t="s">
        <v>74</v>
      </c>
      <c r="AS711" s="2" t="s">
        <v>74</v>
      </c>
      <c r="AT711" s="2" t="s">
        <v>74</v>
      </c>
      <c r="AU711" s="2">
        <v>1993</v>
      </c>
      <c r="AV711" s="2">
        <v>23</v>
      </c>
      <c r="AW711" s="2" t="s">
        <v>3743</v>
      </c>
      <c r="AX711" s="2" t="s">
        <v>74</v>
      </c>
      <c r="AY711" s="2" t="s">
        <v>74</v>
      </c>
      <c r="AZ711" s="2" t="s">
        <v>74</v>
      </c>
      <c r="BA711" s="2" t="s">
        <v>74</v>
      </c>
      <c r="BB711" s="2">
        <v>29</v>
      </c>
      <c r="BC711" s="2">
        <v>44</v>
      </c>
      <c r="BD711" s="2" t="s">
        <v>74</v>
      </c>
      <c r="BE711" s="2" t="s">
        <v>7951</v>
      </c>
      <c r="BF711" s="2" t="str">
        <f>HYPERLINK("http://dx.doi.org/10.1080/10236249309378855","http://dx.doi.org/10.1080/10236249309378855")</f>
        <v>http://dx.doi.org/10.1080/10236249309378855</v>
      </c>
      <c r="BG711" s="2" t="s">
        <v>74</v>
      </c>
      <c r="BH711" s="2" t="s">
        <v>74</v>
      </c>
      <c r="BI711" s="2" t="s">
        <v>74</v>
      </c>
      <c r="BJ711" s="2" t="s">
        <v>74</v>
      </c>
      <c r="BK711" s="2" t="s">
        <v>74</v>
      </c>
      <c r="BL711" s="2" t="s">
        <v>74</v>
      </c>
      <c r="BM711" s="2" t="s">
        <v>74</v>
      </c>
      <c r="BN711" s="2" t="s">
        <v>74</v>
      </c>
      <c r="BO711" s="2" t="s">
        <v>74</v>
      </c>
      <c r="BP711" s="2" t="s">
        <v>74</v>
      </c>
      <c r="BQ711" s="2" t="s">
        <v>74</v>
      </c>
      <c r="BR711" s="2" t="s">
        <v>74</v>
      </c>
      <c r="BS711" s="2" t="s">
        <v>7952</v>
      </c>
      <c r="BT711" s="2" t="str">
        <f>HYPERLINK("https%3A%2F%2Fwww.webofscience.com%2Fwos%2Fwoscc%2Ffull-record%2FWOS:A1993MN22500006","View Full Record in Web of Science")</f>
        <v>View Full Record in Web of Science</v>
      </c>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row>
    <row r="712" spans="1:314" s="2" customFormat="1" x14ac:dyDescent="0.4">
      <c r="A712" s="2" t="s">
        <v>72</v>
      </c>
      <c r="B712" s="2" t="s">
        <v>7220</v>
      </c>
      <c r="C712" s="2" t="s">
        <v>74</v>
      </c>
      <c r="D712" s="2" t="s">
        <v>74</v>
      </c>
      <c r="E712" s="2" t="s">
        <v>74</v>
      </c>
      <c r="F712" s="2" t="s">
        <v>7221</v>
      </c>
      <c r="G712" s="2" t="s">
        <v>74</v>
      </c>
      <c r="H712" s="2" t="s">
        <v>74</v>
      </c>
      <c r="I712" s="2" t="s">
        <v>7222</v>
      </c>
      <c r="J712" s="2" t="s">
        <v>1656</v>
      </c>
      <c r="K712" s="2" t="s">
        <v>74</v>
      </c>
      <c r="L712" s="2" t="s">
        <v>74</v>
      </c>
      <c r="M712" s="2" t="s">
        <v>74</v>
      </c>
      <c r="N712" s="2" t="s">
        <v>74</v>
      </c>
      <c r="O712" s="2" t="s">
        <v>74</v>
      </c>
      <c r="P712" s="2" t="s">
        <v>74</v>
      </c>
      <c r="Q712" s="2" t="s">
        <v>74</v>
      </c>
      <c r="R712" s="2" t="s">
        <v>74</v>
      </c>
      <c r="S712" s="2" t="s">
        <v>74</v>
      </c>
      <c r="T712" s="2" t="s">
        <v>74</v>
      </c>
      <c r="U712" s="2" t="s">
        <v>74</v>
      </c>
      <c r="V712" s="5" t="s">
        <v>7223</v>
      </c>
      <c r="W712" s="2" t="s">
        <v>74</v>
      </c>
      <c r="X712" s="2" t="s">
        <v>74</v>
      </c>
      <c r="Y712" s="2" t="s">
        <v>74</v>
      </c>
      <c r="Z712" s="2" t="s">
        <v>74</v>
      </c>
      <c r="AA712" s="2" t="s">
        <v>7224</v>
      </c>
      <c r="AB712" s="2" t="s">
        <v>7225</v>
      </c>
      <c r="AC712" s="2" t="s">
        <v>74</v>
      </c>
      <c r="AD712" s="2" t="s">
        <v>74</v>
      </c>
      <c r="AE712" s="2" t="s">
        <v>74</v>
      </c>
      <c r="AF712" s="2" t="s">
        <v>74</v>
      </c>
      <c r="AG712" s="2" t="s">
        <v>74</v>
      </c>
      <c r="AH712" s="2" t="s">
        <v>74</v>
      </c>
      <c r="AI712" s="2" t="s">
        <v>74</v>
      </c>
      <c r="AJ712" s="2" t="s">
        <v>74</v>
      </c>
      <c r="AK712" s="2" t="s">
        <v>74</v>
      </c>
      <c r="AL712" s="2" t="s">
        <v>74</v>
      </c>
      <c r="AM712" s="2" t="s">
        <v>74</v>
      </c>
      <c r="AN712" s="2" t="s">
        <v>74</v>
      </c>
      <c r="AO712" s="2" t="s">
        <v>1658</v>
      </c>
      <c r="AP712" s="2" t="s">
        <v>1659</v>
      </c>
      <c r="AQ712" s="2" t="s">
        <v>74</v>
      </c>
      <c r="AR712" s="2" t="s">
        <v>74</v>
      </c>
      <c r="AS712" s="2" t="s">
        <v>74</v>
      </c>
      <c r="AT712" s="2" t="s">
        <v>2492</v>
      </c>
      <c r="AU712" s="2">
        <v>2021</v>
      </c>
      <c r="AV712" s="2">
        <v>5072</v>
      </c>
      <c r="AW712" s="2">
        <v>3</v>
      </c>
      <c r="AX712" s="2" t="s">
        <v>74</v>
      </c>
      <c r="AY712" s="2" t="s">
        <v>74</v>
      </c>
      <c r="AZ712" s="2" t="s">
        <v>74</v>
      </c>
      <c r="BA712" s="2" t="s">
        <v>74</v>
      </c>
      <c r="BB712" s="2">
        <v>201</v>
      </c>
      <c r="BC712" s="2">
        <v>237</v>
      </c>
      <c r="BD712" s="2" t="s">
        <v>74</v>
      </c>
      <c r="BE712" s="2" t="s">
        <v>7226</v>
      </c>
      <c r="BF712" s="2" t="str">
        <f>HYPERLINK("http://dx.doi.org/10.11646/zootaxa.5072.3.1","http://dx.doi.org/10.11646/zootaxa.5072.3.1")</f>
        <v>http://dx.doi.org/10.11646/zootaxa.5072.3.1</v>
      </c>
      <c r="BG712" s="2" t="s">
        <v>74</v>
      </c>
      <c r="BH712" s="2" t="s">
        <v>74</v>
      </c>
      <c r="BI712" s="2" t="s">
        <v>74</v>
      </c>
      <c r="BJ712" s="2" t="s">
        <v>74</v>
      </c>
      <c r="BK712" s="2" t="s">
        <v>74</v>
      </c>
      <c r="BL712" s="2" t="s">
        <v>74</v>
      </c>
      <c r="BM712" s="2" t="s">
        <v>74</v>
      </c>
      <c r="BN712" s="2">
        <v>35390870</v>
      </c>
      <c r="BO712" s="2" t="s">
        <v>74</v>
      </c>
      <c r="BP712" s="2" t="s">
        <v>74</v>
      </c>
      <c r="BQ712" s="2" t="s">
        <v>74</v>
      </c>
      <c r="BR712" s="2" t="s">
        <v>74</v>
      </c>
      <c r="BS712" s="2" t="s">
        <v>7227</v>
      </c>
      <c r="BT712" s="2" t="str">
        <f>HYPERLINK("https%3A%2F%2Fwww.webofscience.com%2Fwos%2Fwoscc%2Ffull-record%2FWOS:000725866700001","View Full Record in Web of Science")</f>
        <v>View Full Record in Web of Science</v>
      </c>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row>
    <row r="713" spans="1:314" s="2" customFormat="1" x14ac:dyDescent="0.4">
      <c r="A713" s="2" t="s">
        <v>72</v>
      </c>
      <c r="B713" s="2" t="s">
        <v>4548</v>
      </c>
      <c r="C713" s="2" t="s">
        <v>74</v>
      </c>
      <c r="D713" s="2" t="s">
        <v>74</v>
      </c>
      <c r="E713" s="2" t="s">
        <v>74</v>
      </c>
      <c r="F713" s="2" t="s">
        <v>4549</v>
      </c>
      <c r="G713" s="2" t="s">
        <v>74</v>
      </c>
      <c r="H713" s="2" t="s">
        <v>74</v>
      </c>
      <c r="I713" s="2" t="s">
        <v>4550</v>
      </c>
      <c r="J713" s="2" t="s">
        <v>4551</v>
      </c>
      <c r="K713" s="2" t="s">
        <v>74</v>
      </c>
      <c r="L713" s="2" t="s">
        <v>74</v>
      </c>
      <c r="M713" s="2" t="s">
        <v>74</v>
      </c>
      <c r="N713" s="2" t="s">
        <v>74</v>
      </c>
      <c r="O713" s="2" t="s">
        <v>74</v>
      </c>
      <c r="P713" s="2" t="s">
        <v>74</v>
      </c>
      <c r="Q713" s="2" t="s">
        <v>74</v>
      </c>
      <c r="R713" s="2" t="s">
        <v>74</v>
      </c>
      <c r="S713" s="2" t="s">
        <v>74</v>
      </c>
      <c r="T713" s="2" t="s">
        <v>74</v>
      </c>
      <c r="U713" s="2" t="s">
        <v>74</v>
      </c>
      <c r="V713" s="5" t="s">
        <v>4552</v>
      </c>
      <c r="W713" s="2" t="s">
        <v>74</v>
      </c>
      <c r="X713" s="2" t="s">
        <v>74</v>
      </c>
      <c r="Y713" s="2" t="s">
        <v>74</v>
      </c>
      <c r="Z713" s="2" t="s">
        <v>74</v>
      </c>
      <c r="AA713" s="2" t="s">
        <v>4553</v>
      </c>
      <c r="AB713" s="2" t="s">
        <v>4554</v>
      </c>
      <c r="AC713" s="2" t="s">
        <v>74</v>
      </c>
      <c r="AD713" s="2" t="s">
        <v>74</v>
      </c>
      <c r="AE713" s="2" t="s">
        <v>74</v>
      </c>
      <c r="AF713" s="2" t="s">
        <v>74</v>
      </c>
      <c r="AG713" s="2" t="s">
        <v>74</v>
      </c>
      <c r="AH713" s="2" t="s">
        <v>74</v>
      </c>
      <c r="AI713" s="2" t="s">
        <v>74</v>
      </c>
      <c r="AJ713" s="2" t="s">
        <v>74</v>
      </c>
      <c r="AK713" s="2" t="s">
        <v>74</v>
      </c>
      <c r="AL713" s="2" t="s">
        <v>74</v>
      </c>
      <c r="AM713" s="2" t="s">
        <v>74</v>
      </c>
      <c r="AN713" s="2" t="s">
        <v>74</v>
      </c>
      <c r="AO713" s="2" t="s">
        <v>4555</v>
      </c>
      <c r="AP713" s="2" t="s">
        <v>4556</v>
      </c>
      <c r="AQ713" s="2" t="s">
        <v>74</v>
      </c>
      <c r="AR713" s="2" t="s">
        <v>74</v>
      </c>
      <c r="AS713" s="2" t="s">
        <v>74</v>
      </c>
      <c r="AT713" s="2" t="s">
        <v>4557</v>
      </c>
      <c r="AU713" s="2">
        <v>2023</v>
      </c>
      <c r="AV713" s="2">
        <v>577</v>
      </c>
      <c r="AW713" s="2" t="s">
        <v>74</v>
      </c>
      <c r="AX713" s="2" t="s">
        <v>74</v>
      </c>
      <c r="AY713" s="2" t="s">
        <v>74</v>
      </c>
      <c r="AZ713" s="2" t="s">
        <v>74</v>
      </c>
      <c r="BA713" s="2" t="s">
        <v>74</v>
      </c>
      <c r="BB713" s="2" t="s">
        <v>74</v>
      </c>
      <c r="BC713" s="2" t="s">
        <v>74</v>
      </c>
      <c r="BD713" s="2">
        <v>739980</v>
      </c>
      <c r="BE713" s="2" t="s">
        <v>4558</v>
      </c>
      <c r="BF713" s="2" t="str">
        <f>HYPERLINK("http://dx.doi.org/10.1016/j.aquaculture.2023.739980","http://dx.doi.org/10.1016/j.aquaculture.2023.739980")</f>
        <v>http://dx.doi.org/10.1016/j.aquaculture.2023.739980</v>
      </c>
      <c r="BG713" s="2" t="s">
        <v>74</v>
      </c>
      <c r="BH713" s="2" t="s">
        <v>4559</v>
      </c>
      <c r="BI713" s="2" t="s">
        <v>74</v>
      </c>
      <c r="BJ713" s="2" t="s">
        <v>74</v>
      </c>
      <c r="BK713" s="2" t="s">
        <v>74</v>
      </c>
      <c r="BL713" s="2" t="s">
        <v>74</v>
      </c>
      <c r="BM713" s="2" t="s">
        <v>74</v>
      </c>
      <c r="BN713" s="2" t="s">
        <v>74</v>
      </c>
      <c r="BO713" s="2" t="s">
        <v>74</v>
      </c>
      <c r="BP713" s="2" t="s">
        <v>74</v>
      </c>
      <c r="BQ713" s="2" t="s">
        <v>74</v>
      </c>
      <c r="BR713" s="2" t="s">
        <v>74</v>
      </c>
      <c r="BS713" s="2" t="s">
        <v>4560</v>
      </c>
      <c r="BT713" s="2" t="str">
        <f>HYPERLINK("https%3A%2F%2Fwww.webofscience.com%2Fwos%2Fwoscc%2Ffull-record%2FWOS:001065191600001","View Full Record in Web of Science")</f>
        <v>View Full Record in Web of Science</v>
      </c>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row>
    <row r="714" spans="1:314" s="2" customFormat="1" x14ac:dyDescent="0.4">
      <c r="A714" s="2" t="s">
        <v>72</v>
      </c>
      <c r="B714" s="2" t="s">
        <v>1346</v>
      </c>
      <c r="C714" s="2" t="s">
        <v>74</v>
      </c>
      <c r="D714" s="2" t="s">
        <v>74</v>
      </c>
      <c r="E714" s="2" t="s">
        <v>74</v>
      </c>
      <c r="F714" s="2" t="s">
        <v>1346</v>
      </c>
      <c r="G714" s="2" t="s">
        <v>74</v>
      </c>
      <c r="H714" s="2" t="s">
        <v>74</v>
      </c>
      <c r="I714" s="2" t="s">
        <v>1347</v>
      </c>
      <c r="J714" s="2" t="s">
        <v>192</v>
      </c>
      <c r="K714" s="2" t="s">
        <v>74</v>
      </c>
      <c r="L714" s="2" t="s">
        <v>74</v>
      </c>
      <c r="M714" s="2" t="s">
        <v>74</v>
      </c>
      <c r="N714" s="2" t="s">
        <v>74</v>
      </c>
      <c r="O714" s="2" t="s">
        <v>74</v>
      </c>
      <c r="P714" s="2" t="s">
        <v>74</v>
      </c>
      <c r="Q714" s="2" t="s">
        <v>74</v>
      </c>
      <c r="R714" s="2" t="s">
        <v>74</v>
      </c>
      <c r="S714" s="2" t="s">
        <v>74</v>
      </c>
      <c r="T714" s="2" t="s">
        <v>74</v>
      </c>
      <c r="U714" s="2" t="s">
        <v>74</v>
      </c>
      <c r="V714" s="5" t="s">
        <v>1348</v>
      </c>
      <c r="W714" s="2" t="s">
        <v>74</v>
      </c>
      <c r="X714" s="2" t="s">
        <v>74</v>
      </c>
      <c r="Y714" s="2" t="s">
        <v>74</v>
      </c>
      <c r="Z714" s="2" t="s">
        <v>74</v>
      </c>
      <c r="AA714" s="2" t="s">
        <v>74</v>
      </c>
      <c r="AB714" s="2" t="s">
        <v>74</v>
      </c>
      <c r="AC714" s="2" t="s">
        <v>74</v>
      </c>
      <c r="AD714" s="2" t="s">
        <v>74</v>
      </c>
      <c r="AE714" s="2" t="s">
        <v>74</v>
      </c>
      <c r="AF714" s="2" t="s">
        <v>74</v>
      </c>
      <c r="AG714" s="2" t="s">
        <v>74</v>
      </c>
      <c r="AH714" s="2" t="s">
        <v>74</v>
      </c>
      <c r="AI714" s="2" t="s">
        <v>74</v>
      </c>
      <c r="AJ714" s="2" t="s">
        <v>74</v>
      </c>
      <c r="AK714" s="2" t="s">
        <v>74</v>
      </c>
      <c r="AL714" s="2" t="s">
        <v>74</v>
      </c>
      <c r="AM714" s="2" t="s">
        <v>74</v>
      </c>
      <c r="AN714" s="2" t="s">
        <v>74</v>
      </c>
      <c r="AO714" s="2" t="s">
        <v>195</v>
      </c>
      <c r="AP714" s="2" t="s">
        <v>196</v>
      </c>
      <c r="AQ714" s="2" t="s">
        <v>74</v>
      </c>
      <c r="AR714" s="2" t="s">
        <v>74</v>
      </c>
      <c r="AS714" s="2" t="s">
        <v>74</v>
      </c>
      <c r="AT714" s="2" t="s">
        <v>1349</v>
      </c>
      <c r="AU714" s="2">
        <v>1996</v>
      </c>
      <c r="AV714" s="2">
        <v>337</v>
      </c>
      <c r="AW714" s="2" t="s">
        <v>1350</v>
      </c>
      <c r="AX714" s="2" t="s">
        <v>74</v>
      </c>
      <c r="AY714" s="2" t="s">
        <v>74</v>
      </c>
      <c r="AZ714" s="2" t="s">
        <v>74</v>
      </c>
      <c r="BA714" s="2" t="s">
        <v>74</v>
      </c>
      <c r="BB714" s="2">
        <v>69</v>
      </c>
      <c r="BC714" s="2">
        <v>76</v>
      </c>
      <c r="BD714" s="2" t="s">
        <v>74</v>
      </c>
      <c r="BE714" s="2" t="s">
        <v>1351</v>
      </c>
      <c r="BF714" s="2" t="str">
        <f>HYPERLINK("http://dx.doi.org/10.1007/BF00028507","http://dx.doi.org/10.1007/BF00028507")</f>
        <v>http://dx.doi.org/10.1007/BF00028507</v>
      </c>
      <c r="BG714" s="2" t="s">
        <v>74</v>
      </c>
      <c r="BH714" s="2" t="s">
        <v>74</v>
      </c>
      <c r="BI714" s="2" t="s">
        <v>74</v>
      </c>
      <c r="BJ714" s="2" t="s">
        <v>74</v>
      </c>
      <c r="BK714" s="2" t="s">
        <v>74</v>
      </c>
      <c r="BL714" s="2" t="s">
        <v>74</v>
      </c>
      <c r="BM714" s="2" t="s">
        <v>74</v>
      </c>
      <c r="BN714" s="2" t="s">
        <v>74</v>
      </c>
      <c r="BO714" s="2" t="s">
        <v>74</v>
      </c>
      <c r="BP714" s="2" t="s">
        <v>74</v>
      </c>
      <c r="BQ714" s="2" t="s">
        <v>74</v>
      </c>
      <c r="BR714" s="2" t="s">
        <v>74</v>
      </c>
      <c r="BS714" s="2" t="s">
        <v>1352</v>
      </c>
      <c r="BT714" s="2" t="str">
        <f>HYPERLINK("https%3A%2F%2Fwww.webofscience.com%2Fwos%2Fwoscc%2Ffull-record%2FWOS:A1996WB14600006","View Full Record in Web of Science")</f>
        <v>View Full Record in Web of Science</v>
      </c>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row>
    <row r="715" spans="1:314" s="2" customFormat="1" x14ac:dyDescent="0.4">
      <c r="A715" s="2" t="s">
        <v>72</v>
      </c>
      <c r="B715" s="2" t="s">
        <v>4294</v>
      </c>
      <c r="C715" s="2" t="s">
        <v>74</v>
      </c>
      <c r="D715" s="2" t="s">
        <v>74</v>
      </c>
      <c r="E715" s="2" t="s">
        <v>74</v>
      </c>
      <c r="F715" s="2" t="s">
        <v>4294</v>
      </c>
      <c r="G715" s="2" t="s">
        <v>74</v>
      </c>
      <c r="H715" s="2" t="s">
        <v>74</v>
      </c>
      <c r="I715" s="2" t="s">
        <v>4295</v>
      </c>
      <c r="J715" s="2" t="s">
        <v>140</v>
      </c>
      <c r="K715" s="2" t="s">
        <v>74</v>
      </c>
      <c r="L715" s="2" t="s">
        <v>74</v>
      </c>
      <c r="M715" s="2" t="s">
        <v>74</v>
      </c>
      <c r="N715" s="2" t="s">
        <v>74</v>
      </c>
      <c r="O715" s="2" t="s">
        <v>74</v>
      </c>
      <c r="P715" s="2" t="s">
        <v>74</v>
      </c>
      <c r="Q715" s="2" t="s">
        <v>74</v>
      </c>
      <c r="R715" s="2" t="s">
        <v>74</v>
      </c>
      <c r="S715" s="2" t="s">
        <v>74</v>
      </c>
      <c r="T715" s="2" t="s">
        <v>74</v>
      </c>
      <c r="U715" s="2" t="s">
        <v>74</v>
      </c>
      <c r="V715" s="5" t="s">
        <v>4296</v>
      </c>
      <c r="W715" s="2" t="s">
        <v>74</v>
      </c>
      <c r="X715" s="2" t="s">
        <v>74</v>
      </c>
      <c r="Y715" s="2" t="s">
        <v>74</v>
      </c>
      <c r="Z715" s="2" t="s">
        <v>74</v>
      </c>
      <c r="AA715" s="2" t="s">
        <v>74</v>
      </c>
      <c r="AB715" s="2" t="s">
        <v>74</v>
      </c>
      <c r="AC715" s="2" t="s">
        <v>74</v>
      </c>
      <c r="AD715" s="2" t="s">
        <v>74</v>
      </c>
      <c r="AE715" s="2" t="s">
        <v>74</v>
      </c>
      <c r="AF715" s="2" t="s">
        <v>74</v>
      </c>
      <c r="AG715" s="2" t="s">
        <v>74</v>
      </c>
      <c r="AH715" s="2" t="s">
        <v>74</v>
      </c>
      <c r="AI715" s="2" t="s">
        <v>74</v>
      </c>
      <c r="AJ715" s="2" t="s">
        <v>74</v>
      </c>
      <c r="AK715" s="2" t="s">
        <v>74</v>
      </c>
      <c r="AL715" s="2" t="s">
        <v>74</v>
      </c>
      <c r="AM715" s="2" t="s">
        <v>74</v>
      </c>
      <c r="AN715" s="2" t="s">
        <v>74</v>
      </c>
      <c r="AO715" s="2" t="s">
        <v>143</v>
      </c>
      <c r="AP715" s="2" t="s">
        <v>144</v>
      </c>
      <c r="AQ715" s="2" t="s">
        <v>74</v>
      </c>
      <c r="AR715" s="2" t="s">
        <v>74</v>
      </c>
      <c r="AS715" s="2" t="s">
        <v>74</v>
      </c>
      <c r="AT715" s="2" t="s">
        <v>123</v>
      </c>
      <c r="AU715" s="2">
        <v>2004</v>
      </c>
      <c r="AV715" s="2">
        <v>67</v>
      </c>
      <c r="AW715" s="2" t="s">
        <v>74</v>
      </c>
      <c r="AX715" s="2">
        <v>3</v>
      </c>
      <c r="AY715" s="2" t="s">
        <v>74</v>
      </c>
      <c r="AZ715" s="2" t="s">
        <v>74</v>
      </c>
      <c r="BA715" s="2" t="s">
        <v>74</v>
      </c>
      <c r="BB715" s="2">
        <v>397</v>
      </c>
      <c r="BC715" s="2">
        <v>402</v>
      </c>
      <c r="BD715" s="2" t="s">
        <v>74</v>
      </c>
      <c r="BE715" s="2" t="s">
        <v>4297</v>
      </c>
      <c r="BF715" s="2" t="str">
        <f>HYPERLINK("http://dx.doi.org/10.1016/j.anbehav.2003.03.017","http://dx.doi.org/10.1016/j.anbehav.2003.03.017")</f>
        <v>http://dx.doi.org/10.1016/j.anbehav.2003.03.017</v>
      </c>
      <c r="BG715" s="2" t="s">
        <v>74</v>
      </c>
      <c r="BH715" s="2" t="s">
        <v>74</v>
      </c>
      <c r="BI715" s="2" t="s">
        <v>74</v>
      </c>
      <c r="BJ715" s="2" t="s">
        <v>74</v>
      </c>
      <c r="BK715" s="2" t="s">
        <v>74</v>
      </c>
      <c r="BL715" s="2" t="s">
        <v>74</v>
      </c>
      <c r="BM715" s="2" t="s">
        <v>74</v>
      </c>
      <c r="BN715" s="2" t="s">
        <v>74</v>
      </c>
      <c r="BO715" s="2" t="s">
        <v>74</v>
      </c>
      <c r="BP715" s="2" t="s">
        <v>74</v>
      </c>
      <c r="BQ715" s="2" t="s">
        <v>74</v>
      </c>
      <c r="BR715" s="2" t="s">
        <v>74</v>
      </c>
      <c r="BS715" s="2" t="s">
        <v>4298</v>
      </c>
      <c r="BT715" s="2" t="str">
        <f>HYPERLINK("https%3A%2F%2Fwww.webofscience.com%2Fwos%2Fwoscc%2Ffull-record%2FWOS:000220540800003","View Full Record in Web of Science")</f>
        <v>View Full Record in Web of Science</v>
      </c>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row>
    <row r="716" spans="1:314" s="2" customFormat="1" x14ac:dyDescent="0.4">
      <c r="A716" s="2" t="s">
        <v>72</v>
      </c>
      <c r="B716" s="2" t="s">
        <v>2940</v>
      </c>
      <c r="C716" s="2" t="s">
        <v>74</v>
      </c>
      <c r="D716" s="2" t="s">
        <v>74</v>
      </c>
      <c r="E716" s="2" t="s">
        <v>74</v>
      </c>
      <c r="F716" s="2" t="s">
        <v>2941</v>
      </c>
      <c r="G716" s="2" t="s">
        <v>74</v>
      </c>
      <c r="H716" s="2" t="s">
        <v>74</v>
      </c>
      <c r="I716" s="2" t="s">
        <v>2942</v>
      </c>
      <c r="J716" s="2" t="s">
        <v>970</v>
      </c>
      <c r="K716" s="2" t="s">
        <v>74</v>
      </c>
      <c r="L716" s="2" t="s">
        <v>74</v>
      </c>
      <c r="M716" s="2" t="s">
        <v>74</v>
      </c>
      <c r="N716" s="2" t="s">
        <v>74</v>
      </c>
      <c r="O716" s="2" t="s">
        <v>74</v>
      </c>
      <c r="P716" s="2" t="s">
        <v>74</v>
      </c>
      <c r="Q716" s="2" t="s">
        <v>74</v>
      </c>
      <c r="R716" s="2" t="s">
        <v>74</v>
      </c>
      <c r="S716" s="2" t="s">
        <v>74</v>
      </c>
      <c r="T716" s="2" t="s">
        <v>74</v>
      </c>
      <c r="U716" s="2" t="s">
        <v>74</v>
      </c>
      <c r="V716" s="5" t="s">
        <v>2943</v>
      </c>
      <c r="W716" s="2" t="s">
        <v>74</v>
      </c>
      <c r="X716" s="2" t="s">
        <v>74</v>
      </c>
      <c r="Y716" s="2" t="s">
        <v>74</v>
      </c>
      <c r="Z716" s="2" t="s">
        <v>74</v>
      </c>
      <c r="AA716" s="2" t="s">
        <v>2944</v>
      </c>
      <c r="AB716" s="2" t="s">
        <v>2945</v>
      </c>
      <c r="AC716" s="2" t="s">
        <v>74</v>
      </c>
      <c r="AD716" s="2" t="s">
        <v>74</v>
      </c>
      <c r="AE716" s="2" t="s">
        <v>74</v>
      </c>
      <c r="AF716" s="2" t="s">
        <v>74</v>
      </c>
      <c r="AG716" s="2" t="s">
        <v>74</v>
      </c>
      <c r="AH716" s="2" t="s">
        <v>74</v>
      </c>
      <c r="AI716" s="2" t="s">
        <v>74</v>
      </c>
      <c r="AJ716" s="2" t="s">
        <v>74</v>
      </c>
      <c r="AK716" s="2" t="s">
        <v>74</v>
      </c>
      <c r="AL716" s="2" t="s">
        <v>74</v>
      </c>
      <c r="AM716" s="2" t="s">
        <v>74</v>
      </c>
      <c r="AN716" s="2" t="s">
        <v>74</v>
      </c>
      <c r="AO716" s="2" t="s">
        <v>974</v>
      </c>
      <c r="AP716" s="2" t="s">
        <v>975</v>
      </c>
      <c r="AQ716" s="2" t="s">
        <v>74</v>
      </c>
      <c r="AR716" s="2" t="s">
        <v>74</v>
      </c>
      <c r="AS716" s="2" t="s">
        <v>74</v>
      </c>
      <c r="AT716" s="2" t="s">
        <v>204</v>
      </c>
      <c r="AU716" s="2">
        <v>2015</v>
      </c>
      <c r="AV716" s="2">
        <v>156</v>
      </c>
      <c r="AW716" s="2">
        <v>3</v>
      </c>
      <c r="AX716" s="2" t="s">
        <v>74</v>
      </c>
      <c r="AY716" s="2" t="s">
        <v>74</v>
      </c>
      <c r="AZ716" s="2" t="s">
        <v>74</v>
      </c>
      <c r="BA716" s="2" t="s">
        <v>74</v>
      </c>
      <c r="BB716" s="2">
        <v>783</v>
      </c>
      <c r="BC716" s="2">
        <v>793</v>
      </c>
      <c r="BD716" s="2" t="s">
        <v>74</v>
      </c>
      <c r="BE716" s="2" t="s">
        <v>2946</v>
      </c>
      <c r="BF716" s="2" t="str">
        <f>HYPERLINK("http://dx.doi.org/10.1007/s10336-015-1168-7","http://dx.doi.org/10.1007/s10336-015-1168-7")</f>
        <v>http://dx.doi.org/10.1007/s10336-015-1168-7</v>
      </c>
      <c r="BG716" s="2" t="s">
        <v>74</v>
      </c>
      <c r="BH716" s="2" t="s">
        <v>74</v>
      </c>
      <c r="BI716" s="2" t="s">
        <v>74</v>
      </c>
      <c r="BJ716" s="2" t="s">
        <v>74</v>
      </c>
      <c r="BK716" s="2" t="s">
        <v>74</v>
      </c>
      <c r="BL716" s="2" t="s">
        <v>74</v>
      </c>
      <c r="BM716" s="2" t="s">
        <v>74</v>
      </c>
      <c r="BN716" s="2" t="s">
        <v>74</v>
      </c>
      <c r="BO716" s="2" t="s">
        <v>74</v>
      </c>
      <c r="BP716" s="2" t="s">
        <v>74</v>
      </c>
      <c r="BQ716" s="2" t="s">
        <v>74</v>
      </c>
      <c r="BR716" s="2" t="s">
        <v>74</v>
      </c>
      <c r="BS716" s="2" t="s">
        <v>2947</v>
      </c>
      <c r="BT716" s="2" t="str">
        <f>HYPERLINK("https%3A%2F%2Fwww.webofscience.com%2Fwos%2Fwoscc%2Ffull-record%2FWOS:000356447100022","View Full Record in Web of Science")</f>
        <v>View Full Record in Web of Science</v>
      </c>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row>
    <row r="717" spans="1:314" s="2" customFormat="1" x14ac:dyDescent="0.4">
      <c r="A717" s="2" t="s">
        <v>72</v>
      </c>
      <c r="B717" s="2" t="s">
        <v>7061</v>
      </c>
      <c r="C717" s="2" t="s">
        <v>74</v>
      </c>
      <c r="D717" s="2" t="s">
        <v>74</v>
      </c>
      <c r="E717" s="2" t="s">
        <v>74</v>
      </c>
      <c r="F717" s="2" t="s">
        <v>7062</v>
      </c>
      <c r="G717" s="2" t="s">
        <v>74</v>
      </c>
      <c r="H717" s="2" t="s">
        <v>74</v>
      </c>
      <c r="I717" s="2" t="s">
        <v>7063</v>
      </c>
      <c r="J717" s="2" t="s">
        <v>108</v>
      </c>
      <c r="K717" s="2" t="s">
        <v>74</v>
      </c>
      <c r="L717" s="2" t="s">
        <v>74</v>
      </c>
      <c r="M717" s="2" t="s">
        <v>74</v>
      </c>
      <c r="N717" s="2" t="s">
        <v>74</v>
      </c>
      <c r="O717" s="2" t="s">
        <v>74</v>
      </c>
      <c r="P717" s="2" t="s">
        <v>74</v>
      </c>
      <c r="Q717" s="2" t="s">
        <v>74</v>
      </c>
      <c r="R717" s="2" t="s">
        <v>74</v>
      </c>
      <c r="S717" s="2" t="s">
        <v>74</v>
      </c>
      <c r="T717" s="2" t="s">
        <v>74</v>
      </c>
      <c r="U717" s="2" t="s">
        <v>74</v>
      </c>
      <c r="V717" s="5" t="s">
        <v>7064</v>
      </c>
      <c r="W717" s="2" t="s">
        <v>74</v>
      </c>
      <c r="X717" s="2" t="s">
        <v>74</v>
      </c>
      <c r="Y717" s="2" t="s">
        <v>74</v>
      </c>
      <c r="Z717" s="2" t="s">
        <v>74</v>
      </c>
      <c r="AA717" s="2" t="s">
        <v>7065</v>
      </c>
      <c r="AB717" s="2" t="s">
        <v>7066</v>
      </c>
      <c r="AC717" s="2" t="s">
        <v>74</v>
      </c>
      <c r="AD717" s="2" t="s">
        <v>74</v>
      </c>
      <c r="AE717" s="2" t="s">
        <v>74</v>
      </c>
      <c r="AF717" s="2" t="s">
        <v>74</v>
      </c>
      <c r="AG717" s="2" t="s">
        <v>74</v>
      </c>
      <c r="AH717" s="2" t="s">
        <v>74</v>
      </c>
      <c r="AI717" s="2" t="s">
        <v>74</v>
      </c>
      <c r="AJ717" s="2" t="s">
        <v>74</v>
      </c>
      <c r="AK717" s="2" t="s">
        <v>74</v>
      </c>
      <c r="AL717" s="2" t="s">
        <v>74</v>
      </c>
      <c r="AM717" s="2" t="s">
        <v>74</v>
      </c>
      <c r="AN717" s="2" t="s">
        <v>74</v>
      </c>
      <c r="AO717" s="2" t="s">
        <v>111</v>
      </c>
      <c r="AP717" s="2" t="s">
        <v>112</v>
      </c>
      <c r="AQ717" s="2" t="s">
        <v>74</v>
      </c>
      <c r="AR717" s="2" t="s">
        <v>74</v>
      </c>
      <c r="AS717" s="2" t="s">
        <v>74</v>
      </c>
      <c r="AT717" s="2" t="s">
        <v>493</v>
      </c>
      <c r="AU717" s="2">
        <v>2015</v>
      </c>
      <c r="AV717" s="2">
        <v>282</v>
      </c>
      <c r="AW717" s="2">
        <v>1811</v>
      </c>
      <c r="AX717" s="2" t="s">
        <v>74</v>
      </c>
      <c r="AY717" s="2" t="s">
        <v>74</v>
      </c>
      <c r="AZ717" s="2" t="s">
        <v>74</v>
      </c>
      <c r="BA717" s="2" t="s">
        <v>74</v>
      </c>
      <c r="BB717" s="2" t="s">
        <v>74</v>
      </c>
      <c r="BC717" s="2" t="s">
        <v>74</v>
      </c>
      <c r="BD717" s="2">
        <v>20150624</v>
      </c>
      <c r="BE717" s="2" t="s">
        <v>7067</v>
      </c>
      <c r="BF717" s="2" t="str">
        <f>HYPERLINK("http://dx.doi.org/10.1098/rspb.2015.0624","http://dx.doi.org/10.1098/rspb.2015.0624")</f>
        <v>http://dx.doi.org/10.1098/rspb.2015.0624</v>
      </c>
      <c r="BG717" s="2" t="s">
        <v>74</v>
      </c>
      <c r="BH717" s="2" t="s">
        <v>74</v>
      </c>
      <c r="BI717" s="2" t="s">
        <v>74</v>
      </c>
      <c r="BJ717" s="2" t="s">
        <v>74</v>
      </c>
      <c r="BK717" s="2" t="s">
        <v>74</v>
      </c>
      <c r="BL717" s="2" t="s">
        <v>74</v>
      </c>
      <c r="BM717" s="2" t="s">
        <v>74</v>
      </c>
      <c r="BN717" s="2">
        <v>26136445</v>
      </c>
      <c r="BO717" s="2" t="s">
        <v>74</v>
      </c>
      <c r="BP717" s="2" t="s">
        <v>74</v>
      </c>
      <c r="BQ717" s="2" t="s">
        <v>74</v>
      </c>
      <c r="BR717" s="2" t="s">
        <v>74</v>
      </c>
      <c r="BS717" s="2" t="s">
        <v>7068</v>
      </c>
      <c r="BT717" s="2" t="str">
        <f>HYPERLINK("https%3A%2F%2Fwww.webofscience.com%2Fwos%2Fwoscc%2Ffull-record%2FWOS:000358735700011","View Full Record in Web of Science")</f>
        <v>View Full Record in Web of Science</v>
      </c>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row>
    <row r="718" spans="1:314" s="2" customFormat="1" x14ac:dyDescent="0.4">
      <c r="A718" s="2" t="s">
        <v>72</v>
      </c>
      <c r="B718" s="2" t="s">
        <v>5257</v>
      </c>
      <c r="C718" s="2" t="s">
        <v>74</v>
      </c>
      <c r="D718" s="2" t="s">
        <v>74</v>
      </c>
      <c r="E718" s="2" t="s">
        <v>74</v>
      </c>
      <c r="F718" s="2" t="s">
        <v>5257</v>
      </c>
      <c r="G718" s="2" t="s">
        <v>74</v>
      </c>
      <c r="H718" s="2" t="s">
        <v>74</v>
      </c>
      <c r="I718" s="2" t="s">
        <v>5258</v>
      </c>
      <c r="J718" s="2" t="s">
        <v>3817</v>
      </c>
      <c r="K718" s="2" t="s">
        <v>74</v>
      </c>
      <c r="L718" s="2" t="s">
        <v>74</v>
      </c>
      <c r="M718" s="2" t="s">
        <v>74</v>
      </c>
      <c r="N718" s="2" t="s">
        <v>74</v>
      </c>
      <c r="O718" s="2" t="s">
        <v>74</v>
      </c>
      <c r="P718" s="2" t="s">
        <v>74</v>
      </c>
      <c r="Q718" s="2" t="s">
        <v>74</v>
      </c>
      <c r="R718" s="2" t="s">
        <v>74</v>
      </c>
      <c r="S718" s="2" t="s">
        <v>74</v>
      </c>
      <c r="T718" s="2" t="s">
        <v>74</v>
      </c>
      <c r="U718" s="2" t="s">
        <v>74</v>
      </c>
      <c r="V718" s="5" t="s">
        <v>5259</v>
      </c>
      <c r="W718" s="2" t="s">
        <v>74</v>
      </c>
      <c r="X718" s="2" t="s">
        <v>74</v>
      </c>
      <c r="Y718" s="2" t="s">
        <v>74</v>
      </c>
      <c r="Z718" s="2" t="s">
        <v>74</v>
      </c>
      <c r="AA718" s="2" t="s">
        <v>74</v>
      </c>
      <c r="AB718" s="2" t="s">
        <v>74</v>
      </c>
      <c r="AC718" s="2" t="s">
        <v>74</v>
      </c>
      <c r="AD718" s="2" t="s">
        <v>74</v>
      </c>
      <c r="AE718" s="2" t="s">
        <v>74</v>
      </c>
      <c r="AF718" s="2" t="s">
        <v>74</v>
      </c>
      <c r="AG718" s="2" t="s">
        <v>74</v>
      </c>
      <c r="AH718" s="2" t="s">
        <v>74</v>
      </c>
      <c r="AI718" s="2" t="s">
        <v>74</v>
      </c>
      <c r="AJ718" s="2" t="s">
        <v>74</v>
      </c>
      <c r="AK718" s="2" t="s">
        <v>74</v>
      </c>
      <c r="AL718" s="2" t="s">
        <v>74</v>
      </c>
      <c r="AM718" s="2" t="s">
        <v>74</v>
      </c>
      <c r="AN718" s="2" t="s">
        <v>74</v>
      </c>
      <c r="AO718" s="2" t="s">
        <v>3821</v>
      </c>
      <c r="AP718" s="2" t="s">
        <v>3822</v>
      </c>
      <c r="AQ718" s="2" t="s">
        <v>74</v>
      </c>
      <c r="AR718" s="2" t="s">
        <v>74</v>
      </c>
      <c r="AS718" s="2" t="s">
        <v>74</v>
      </c>
      <c r="AT718" s="2" t="s">
        <v>74</v>
      </c>
      <c r="AU718" s="2">
        <v>1981</v>
      </c>
      <c r="AV718" s="2">
        <v>71</v>
      </c>
      <c r="AW718" s="2">
        <v>3</v>
      </c>
      <c r="AX718" s="2" t="s">
        <v>74</v>
      </c>
      <c r="AY718" s="2" t="s">
        <v>74</v>
      </c>
      <c r="AZ718" s="2" t="s">
        <v>74</v>
      </c>
      <c r="BA718" s="2" t="s">
        <v>74</v>
      </c>
      <c r="BB718" s="2">
        <v>253</v>
      </c>
      <c r="BC718" s="2">
        <v>264</v>
      </c>
      <c r="BD718" s="2" t="s">
        <v>74</v>
      </c>
      <c r="BE718" s="2" t="s">
        <v>5260</v>
      </c>
      <c r="BF718" s="2" t="str">
        <f>HYPERLINK("http://dx.doi.org/10.1111/j.1096-3642.1981.tb01132.x","http://dx.doi.org/10.1111/j.1096-3642.1981.tb01132.x")</f>
        <v>http://dx.doi.org/10.1111/j.1096-3642.1981.tb01132.x</v>
      </c>
      <c r="BG718" s="2" t="s">
        <v>74</v>
      </c>
      <c r="BH718" s="2" t="s">
        <v>74</v>
      </c>
      <c r="BI718" s="2" t="s">
        <v>74</v>
      </c>
      <c r="BJ718" s="2" t="s">
        <v>74</v>
      </c>
      <c r="BK718" s="2" t="s">
        <v>74</v>
      </c>
      <c r="BL718" s="2" t="s">
        <v>74</v>
      </c>
      <c r="BM718" s="2" t="s">
        <v>74</v>
      </c>
      <c r="BN718" s="2" t="s">
        <v>74</v>
      </c>
      <c r="BO718" s="2" t="s">
        <v>74</v>
      </c>
      <c r="BP718" s="2" t="s">
        <v>74</v>
      </c>
      <c r="BQ718" s="2" t="s">
        <v>74</v>
      </c>
      <c r="BR718" s="2" t="s">
        <v>74</v>
      </c>
      <c r="BS718" s="2" t="s">
        <v>5261</v>
      </c>
      <c r="BT718" s="2" t="str">
        <f>HYPERLINK("https%3A%2F%2Fwww.webofscience.com%2Fwos%2Fwoscc%2Ffull-record%2FWOS:A1981LF81100001","View Full Record in Web of Science")</f>
        <v>View Full Record in Web of Science</v>
      </c>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row>
    <row r="719" spans="1:314" s="2" customFormat="1" x14ac:dyDescent="0.4">
      <c r="A719" s="2" t="s">
        <v>72</v>
      </c>
      <c r="B719" s="2" t="s">
        <v>4183</v>
      </c>
      <c r="C719" s="2" t="s">
        <v>74</v>
      </c>
      <c r="D719" s="2" t="s">
        <v>74</v>
      </c>
      <c r="E719" s="2" t="s">
        <v>74</v>
      </c>
      <c r="F719" s="2" t="s">
        <v>4184</v>
      </c>
      <c r="G719" s="2" t="s">
        <v>74</v>
      </c>
      <c r="H719" s="2" t="s">
        <v>74</v>
      </c>
      <c r="I719" s="2" t="s">
        <v>4185</v>
      </c>
      <c r="J719" s="2" t="s">
        <v>333</v>
      </c>
      <c r="K719" s="2" t="s">
        <v>74</v>
      </c>
      <c r="L719" s="2" t="s">
        <v>74</v>
      </c>
      <c r="M719" s="2" t="s">
        <v>74</v>
      </c>
      <c r="N719" s="2" t="s">
        <v>74</v>
      </c>
      <c r="O719" s="2" t="s">
        <v>74</v>
      </c>
      <c r="P719" s="2" t="s">
        <v>74</v>
      </c>
      <c r="Q719" s="2" t="s">
        <v>74</v>
      </c>
      <c r="R719" s="2" t="s">
        <v>74</v>
      </c>
      <c r="S719" s="2" t="s">
        <v>74</v>
      </c>
      <c r="T719" s="2" t="s">
        <v>74</v>
      </c>
      <c r="U719" s="2" t="s">
        <v>74</v>
      </c>
      <c r="V719" s="5" t="s">
        <v>4186</v>
      </c>
      <c r="W719" s="2" t="s">
        <v>74</v>
      </c>
      <c r="X719" s="2" t="s">
        <v>74</v>
      </c>
      <c r="Y719" s="2" t="s">
        <v>74</v>
      </c>
      <c r="Z719" s="2" t="s">
        <v>74</v>
      </c>
      <c r="AA719" s="2" t="s">
        <v>74</v>
      </c>
      <c r="AB719" s="2" t="s">
        <v>4187</v>
      </c>
      <c r="AC719" s="2" t="s">
        <v>74</v>
      </c>
      <c r="AD719" s="2" t="s">
        <v>74</v>
      </c>
      <c r="AE719" s="2" t="s">
        <v>74</v>
      </c>
      <c r="AF719" s="2" t="s">
        <v>74</v>
      </c>
      <c r="AG719" s="2" t="s">
        <v>74</v>
      </c>
      <c r="AH719" s="2" t="s">
        <v>74</v>
      </c>
      <c r="AI719" s="2" t="s">
        <v>74</v>
      </c>
      <c r="AJ719" s="2" t="s">
        <v>74</v>
      </c>
      <c r="AK719" s="2" t="s">
        <v>74</v>
      </c>
      <c r="AL719" s="2" t="s">
        <v>74</v>
      </c>
      <c r="AM719" s="2" t="s">
        <v>74</v>
      </c>
      <c r="AN719" s="2" t="s">
        <v>74</v>
      </c>
      <c r="AO719" s="2" t="s">
        <v>337</v>
      </c>
      <c r="AP719" s="2" t="s">
        <v>338</v>
      </c>
      <c r="AQ719" s="2" t="s">
        <v>74</v>
      </c>
      <c r="AR719" s="2" t="s">
        <v>74</v>
      </c>
      <c r="AS719" s="2" t="s">
        <v>74</v>
      </c>
      <c r="AT719" s="2" t="s">
        <v>1075</v>
      </c>
      <c r="AU719" s="2">
        <v>2014</v>
      </c>
      <c r="AV719" s="2">
        <v>25</v>
      </c>
      <c r="AW719" s="2">
        <v>6</v>
      </c>
      <c r="AX719" s="2" t="s">
        <v>74</v>
      </c>
      <c r="AY719" s="2" t="s">
        <v>74</v>
      </c>
      <c r="AZ719" s="2" t="s">
        <v>74</v>
      </c>
      <c r="BA719" s="2" t="s">
        <v>74</v>
      </c>
      <c r="BB719" s="2">
        <v>1325</v>
      </c>
      <c r="BC719" s="2">
        <v>1337</v>
      </c>
      <c r="BD719" s="2" t="s">
        <v>74</v>
      </c>
      <c r="BE719" s="2" t="s">
        <v>4188</v>
      </c>
      <c r="BF719" s="2" t="str">
        <f>HYPERLINK("http://dx.doi.org/10.1093/beheco/aru126","http://dx.doi.org/10.1093/beheco/aru126")</f>
        <v>http://dx.doi.org/10.1093/beheco/aru126</v>
      </c>
      <c r="BG719" s="2" t="s">
        <v>74</v>
      </c>
      <c r="BH719" s="2" t="s">
        <v>74</v>
      </c>
      <c r="BI719" s="2" t="s">
        <v>74</v>
      </c>
      <c r="BJ719" s="2" t="s">
        <v>74</v>
      </c>
      <c r="BK719" s="2" t="s">
        <v>74</v>
      </c>
      <c r="BL719" s="2" t="s">
        <v>74</v>
      </c>
      <c r="BM719" s="2" t="s">
        <v>74</v>
      </c>
      <c r="BN719" s="2">
        <v>25419083</v>
      </c>
      <c r="BO719" s="2" t="s">
        <v>74</v>
      </c>
      <c r="BP719" s="2" t="s">
        <v>74</v>
      </c>
      <c r="BQ719" s="2" t="s">
        <v>74</v>
      </c>
      <c r="BR719" s="2" t="s">
        <v>74</v>
      </c>
      <c r="BS719" s="2" t="s">
        <v>4189</v>
      </c>
      <c r="BT719" s="2" t="str">
        <f>HYPERLINK("https%3A%2F%2Fwww.webofscience.com%2Fwos%2Fwoscc%2Ffull-record%2FWOS:000345432900014","View Full Record in Web of Science")</f>
        <v>View Full Record in Web of Science</v>
      </c>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row>
    <row r="720" spans="1:314" s="2" customFormat="1" x14ac:dyDescent="0.4">
      <c r="A720" s="2" t="s">
        <v>72</v>
      </c>
      <c r="B720" s="2" t="s">
        <v>5047</v>
      </c>
      <c r="C720" s="2" t="s">
        <v>74</v>
      </c>
      <c r="D720" s="2" t="s">
        <v>74</v>
      </c>
      <c r="E720" s="2" t="s">
        <v>74</v>
      </c>
      <c r="F720" s="2" t="s">
        <v>5047</v>
      </c>
      <c r="G720" s="2" t="s">
        <v>74</v>
      </c>
      <c r="H720" s="2" t="s">
        <v>74</v>
      </c>
      <c r="I720" s="2" t="s">
        <v>5048</v>
      </c>
      <c r="J720" s="2" t="s">
        <v>5049</v>
      </c>
      <c r="K720" s="2" t="s">
        <v>74</v>
      </c>
      <c r="L720" s="2" t="s">
        <v>74</v>
      </c>
      <c r="M720" s="2" t="s">
        <v>74</v>
      </c>
      <c r="N720" s="2" t="s">
        <v>74</v>
      </c>
      <c r="O720" s="2" t="s">
        <v>74</v>
      </c>
      <c r="P720" s="2" t="s">
        <v>74</v>
      </c>
      <c r="Q720" s="2" t="s">
        <v>74</v>
      </c>
      <c r="R720" s="2" t="s">
        <v>74</v>
      </c>
      <c r="S720" s="2" t="s">
        <v>74</v>
      </c>
      <c r="T720" s="2" t="s">
        <v>74</v>
      </c>
      <c r="U720" s="2" t="s">
        <v>74</v>
      </c>
      <c r="V720" s="5" t="s">
        <v>5050</v>
      </c>
      <c r="W720" s="2" t="s">
        <v>74</v>
      </c>
      <c r="X720" s="2" t="s">
        <v>74</v>
      </c>
      <c r="Y720" s="2" t="s">
        <v>74</v>
      </c>
      <c r="Z720" s="2" t="s">
        <v>74</v>
      </c>
      <c r="AA720" s="2" t="s">
        <v>5051</v>
      </c>
      <c r="AB720" s="2" t="s">
        <v>5052</v>
      </c>
      <c r="AC720" s="2" t="s">
        <v>74</v>
      </c>
      <c r="AD720" s="2" t="s">
        <v>74</v>
      </c>
      <c r="AE720" s="2" t="s">
        <v>74</v>
      </c>
      <c r="AF720" s="2" t="s">
        <v>74</v>
      </c>
      <c r="AG720" s="2" t="s">
        <v>74</v>
      </c>
      <c r="AH720" s="2" t="s">
        <v>74</v>
      </c>
      <c r="AI720" s="2" t="s">
        <v>74</v>
      </c>
      <c r="AJ720" s="2" t="s">
        <v>74</v>
      </c>
      <c r="AK720" s="2" t="s">
        <v>74</v>
      </c>
      <c r="AL720" s="2" t="s">
        <v>74</v>
      </c>
      <c r="AM720" s="2" t="s">
        <v>74</v>
      </c>
      <c r="AN720" s="2" t="s">
        <v>74</v>
      </c>
      <c r="AO720" s="2" t="s">
        <v>5053</v>
      </c>
      <c r="AP720" s="2" t="s">
        <v>74</v>
      </c>
      <c r="AQ720" s="2" t="s">
        <v>74</v>
      </c>
      <c r="AR720" s="2" t="s">
        <v>74</v>
      </c>
      <c r="AS720" s="2" t="s">
        <v>74</v>
      </c>
      <c r="AT720" s="2" t="s">
        <v>255</v>
      </c>
      <c r="AU720" s="2">
        <v>2006</v>
      </c>
      <c r="AV720" s="2">
        <v>22</v>
      </c>
      <c r="AW720" s="2">
        <v>1</v>
      </c>
      <c r="AX720" s="2" t="s">
        <v>74</v>
      </c>
      <c r="AY720" s="2" t="s">
        <v>74</v>
      </c>
      <c r="AZ720" s="2" t="s">
        <v>74</v>
      </c>
      <c r="BA720" s="2" t="s">
        <v>74</v>
      </c>
      <c r="BB720" s="2">
        <v>25</v>
      </c>
      <c r="BC720" s="2">
        <v>33</v>
      </c>
      <c r="BD720" s="2" t="s">
        <v>74</v>
      </c>
      <c r="BE720" s="2" t="s">
        <v>5054</v>
      </c>
      <c r="BF720" s="2" t="str">
        <f>HYPERLINK("http://dx.doi.org/10.1111/j.1748-7692.2006.00003.x","http://dx.doi.org/10.1111/j.1748-7692.2006.00003.x")</f>
        <v>http://dx.doi.org/10.1111/j.1748-7692.2006.00003.x</v>
      </c>
      <c r="BG720" s="2" t="s">
        <v>74</v>
      </c>
      <c r="BH720" s="2" t="s">
        <v>74</v>
      </c>
      <c r="BI720" s="2" t="s">
        <v>74</v>
      </c>
      <c r="BJ720" s="2" t="s">
        <v>74</v>
      </c>
      <c r="BK720" s="2" t="s">
        <v>74</v>
      </c>
      <c r="BL720" s="2" t="s">
        <v>74</v>
      </c>
      <c r="BM720" s="2" t="s">
        <v>74</v>
      </c>
      <c r="BN720" s="2" t="s">
        <v>74</v>
      </c>
      <c r="BO720" s="2" t="s">
        <v>74</v>
      </c>
      <c r="BP720" s="2" t="s">
        <v>74</v>
      </c>
      <c r="BQ720" s="2" t="s">
        <v>74</v>
      </c>
      <c r="BR720" s="2" t="s">
        <v>74</v>
      </c>
      <c r="BS720" s="2" t="s">
        <v>5055</v>
      </c>
      <c r="BT720" s="2" t="str">
        <f>HYPERLINK("https%3A%2F%2Fwww.webofscience.com%2Fwos%2Fwoscc%2Ffull-record%2FWOS:000234942300003","View Full Record in Web of Science")</f>
        <v>View Full Record in Web of Science</v>
      </c>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row>
    <row r="721" spans="1:314" s="2" customFormat="1" x14ac:dyDescent="0.4">
      <c r="A721" s="2" t="s">
        <v>72</v>
      </c>
      <c r="B721" s="2" t="s">
        <v>3953</v>
      </c>
      <c r="C721" s="2" t="s">
        <v>74</v>
      </c>
      <c r="D721" s="2" t="s">
        <v>74</v>
      </c>
      <c r="E721" s="2" t="s">
        <v>74</v>
      </c>
      <c r="F721" s="2" t="s">
        <v>3954</v>
      </c>
      <c r="G721" s="2" t="s">
        <v>74</v>
      </c>
      <c r="H721" s="2" t="s">
        <v>74</v>
      </c>
      <c r="I721" s="2" t="s">
        <v>3955</v>
      </c>
      <c r="J721" s="2" t="s">
        <v>201</v>
      </c>
      <c r="K721" s="2" t="s">
        <v>74</v>
      </c>
      <c r="L721" s="2" t="s">
        <v>74</v>
      </c>
      <c r="M721" s="2" t="s">
        <v>74</v>
      </c>
      <c r="N721" s="2" t="s">
        <v>74</v>
      </c>
      <c r="O721" s="2" t="s">
        <v>74</v>
      </c>
      <c r="P721" s="2" t="s">
        <v>74</v>
      </c>
      <c r="Q721" s="2" t="s">
        <v>74</v>
      </c>
      <c r="R721" s="2" t="s">
        <v>74</v>
      </c>
      <c r="S721" s="2" t="s">
        <v>74</v>
      </c>
      <c r="T721" s="2" t="s">
        <v>74</v>
      </c>
      <c r="U721" s="2" t="s">
        <v>74</v>
      </c>
      <c r="V721" s="5" t="s">
        <v>3956</v>
      </c>
      <c r="W721" s="2" t="s">
        <v>74</v>
      </c>
      <c r="X721" s="2" t="s">
        <v>74</v>
      </c>
      <c r="Y721" s="2" t="s">
        <v>74</v>
      </c>
      <c r="Z721" s="2" t="s">
        <v>74</v>
      </c>
      <c r="AA721" s="2" t="s">
        <v>379</v>
      </c>
      <c r="AB721" s="2" t="s">
        <v>3957</v>
      </c>
      <c r="AC721" s="2" t="s">
        <v>74</v>
      </c>
      <c r="AD721" s="2" t="s">
        <v>74</v>
      </c>
      <c r="AE721" s="2" t="s">
        <v>74</v>
      </c>
      <c r="AF721" s="2" t="s">
        <v>74</v>
      </c>
      <c r="AG721" s="2" t="s">
        <v>74</v>
      </c>
      <c r="AH721" s="2" t="s">
        <v>74</v>
      </c>
      <c r="AI721" s="2" t="s">
        <v>74</v>
      </c>
      <c r="AJ721" s="2" t="s">
        <v>74</v>
      </c>
      <c r="AK721" s="2" t="s">
        <v>74</v>
      </c>
      <c r="AL721" s="2" t="s">
        <v>74</v>
      </c>
      <c r="AM721" s="2" t="s">
        <v>74</v>
      </c>
      <c r="AN721" s="2" t="s">
        <v>74</v>
      </c>
      <c r="AO721" s="2" t="s">
        <v>203</v>
      </c>
      <c r="AP721" s="2" t="s">
        <v>1192</v>
      </c>
      <c r="AQ721" s="2" t="s">
        <v>74</v>
      </c>
      <c r="AR721" s="2" t="s">
        <v>74</v>
      </c>
      <c r="AS721" s="2" t="s">
        <v>74</v>
      </c>
      <c r="AT721" s="2" t="s">
        <v>213</v>
      </c>
      <c r="AU721" s="2">
        <v>2013</v>
      </c>
      <c r="AV721" s="2">
        <v>83</v>
      </c>
      <c r="AW721" s="2">
        <v>5</v>
      </c>
      <c r="AX721" s="2" t="s">
        <v>74</v>
      </c>
      <c r="AY721" s="2" t="s">
        <v>74</v>
      </c>
      <c r="AZ721" s="2" t="s">
        <v>74</v>
      </c>
      <c r="BA721" s="2" t="s">
        <v>74</v>
      </c>
      <c r="BB721" s="2">
        <v>1371</v>
      </c>
      <c r="BC721" s="2">
        <v>1380</v>
      </c>
      <c r="BD721" s="2" t="s">
        <v>74</v>
      </c>
      <c r="BE721" s="2" t="s">
        <v>3958</v>
      </c>
      <c r="BF721" s="2" t="str">
        <f>HYPERLINK("http://dx.doi.org/10.1111/jfb.12239","http://dx.doi.org/10.1111/jfb.12239")</f>
        <v>http://dx.doi.org/10.1111/jfb.12239</v>
      </c>
      <c r="BG721" s="2" t="s">
        <v>74</v>
      </c>
      <c r="BH721" s="2" t="s">
        <v>74</v>
      </c>
      <c r="BI721" s="2" t="s">
        <v>74</v>
      </c>
      <c r="BJ721" s="2" t="s">
        <v>74</v>
      </c>
      <c r="BK721" s="2" t="s">
        <v>74</v>
      </c>
      <c r="BL721" s="2" t="s">
        <v>74</v>
      </c>
      <c r="BM721" s="2" t="s">
        <v>74</v>
      </c>
      <c r="BN721" s="2">
        <v>24580670</v>
      </c>
      <c r="BO721" s="2" t="s">
        <v>74</v>
      </c>
      <c r="BP721" s="2" t="s">
        <v>74</v>
      </c>
      <c r="BQ721" s="2" t="s">
        <v>74</v>
      </c>
      <c r="BR721" s="2" t="s">
        <v>74</v>
      </c>
      <c r="BS721" s="2" t="s">
        <v>3959</v>
      </c>
      <c r="BT721" s="2" t="str">
        <f>HYPERLINK("https%3A%2F%2Fwww.webofscience.com%2Fwos%2Fwoscc%2Ffull-record%2FWOS:000326476700019","View Full Record in Web of Science")</f>
        <v>View Full Record in Web of Science</v>
      </c>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row>
    <row r="722" spans="1:314" s="2" customFormat="1" x14ac:dyDescent="0.4">
      <c r="A722" s="2" t="s">
        <v>72</v>
      </c>
      <c r="B722" s="2" t="s">
        <v>5638</v>
      </c>
      <c r="C722" s="2" t="s">
        <v>74</v>
      </c>
      <c r="D722" s="2" t="s">
        <v>74</v>
      </c>
      <c r="E722" s="2" t="s">
        <v>74</v>
      </c>
      <c r="F722" s="2" t="s">
        <v>5639</v>
      </c>
      <c r="G722" s="2" t="s">
        <v>74</v>
      </c>
      <c r="H722" s="2" t="s">
        <v>74</v>
      </c>
      <c r="I722" s="2" t="s">
        <v>5640</v>
      </c>
      <c r="J722" s="2" t="s">
        <v>408</v>
      </c>
      <c r="K722" s="2" t="s">
        <v>74</v>
      </c>
      <c r="L722" s="2" t="s">
        <v>74</v>
      </c>
      <c r="M722" s="2" t="s">
        <v>74</v>
      </c>
      <c r="N722" s="2" t="s">
        <v>74</v>
      </c>
      <c r="O722" s="2" t="s">
        <v>74</v>
      </c>
      <c r="P722" s="2" t="s">
        <v>74</v>
      </c>
      <c r="Q722" s="2" t="s">
        <v>74</v>
      </c>
      <c r="R722" s="2" t="s">
        <v>74</v>
      </c>
      <c r="S722" s="2" t="s">
        <v>74</v>
      </c>
      <c r="T722" s="2" t="s">
        <v>74</v>
      </c>
      <c r="U722" s="2" t="s">
        <v>74</v>
      </c>
      <c r="V722" s="5" t="s">
        <v>5641</v>
      </c>
      <c r="W722" s="2" t="s">
        <v>74</v>
      </c>
      <c r="X722" s="2" t="s">
        <v>74</v>
      </c>
      <c r="Y722" s="2" t="s">
        <v>74</v>
      </c>
      <c r="Z722" s="2" t="s">
        <v>74</v>
      </c>
      <c r="AA722" s="2" t="s">
        <v>5642</v>
      </c>
      <c r="AB722" s="2" t="s">
        <v>5643</v>
      </c>
      <c r="AC722" s="2" t="s">
        <v>74</v>
      </c>
      <c r="AD722" s="2" t="s">
        <v>74</v>
      </c>
      <c r="AE722" s="2" t="s">
        <v>74</v>
      </c>
      <c r="AF722" s="2" t="s">
        <v>74</v>
      </c>
      <c r="AG722" s="2" t="s">
        <v>74</v>
      </c>
      <c r="AH722" s="2" t="s">
        <v>74</v>
      </c>
      <c r="AI722" s="2" t="s">
        <v>74</v>
      </c>
      <c r="AJ722" s="2" t="s">
        <v>74</v>
      </c>
      <c r="AK722" s="2" t="s">
        <v>74</v>
      </c>
      <c r="AL722" s="2" t="s">
        <v>74</v>
      </c>
      <c r="AM722" s="2" t="s">
        <v>74</v>
      </c>
      <c r="AN722" s="2" t="s">
        <v>74</v>
      </c>
      <c r="AO722" s="2" t="s">
        <v>412</v>
      </c>
      <c r="AP722" s="2" t="s">
        <v>413</v>
      </c>
      <c r="AQ722" s="2" t="s">
        <v>74</v>
      </c>
      <c r="AR722" s="2" t="s">
        <v>74</v>
      </c>
      <c r="AS722" s="2" t="s">
        <v>74</v>
      </c>
      <c r="AT722" s="2" t="s">
        <v>352</v>
      </c>
      <c r="AU722" s="2">
        <v>2013</v>
      </c>
      <c r="AV722" s="2">
        <v>110</v>
      </c>
      <c r="AW722" s="2">
        <v>1</v>
      </c>
      <c r="AX722" s="2" t="s">
        <v>74</v>
      </c>
      <c r="AY722" s="2" t="s">
        <v>74</v>
      </c>
      <c r="AZ722" s="2" t="s">
        <v>74</v>
      </c>
      <c r="BA722" s="2" t="s">
        <v>74</v>
      </c>
      <c r="BB722" s="2">
        <v>128</v>
      </c>
      <c r="BC722" s="2">
        <v>141</v>
      </c>
      <c r="BD722" s="2" t="s">
        <v>74</v>
      </c>
      <c r="BE722" s="2" t="s">
        <v>5644</v>
      </c>
      <c r="BF722" s="2" t="str">
        <f>HYPERLINK("http://dx.doi.org/10.1111/bij.12104","http://dx.doi.org/10.1111/bij.12104")</f>
        <v>http://dx.doi.org/10.1111/bij.12104</v>
      </c>
      <c r="BG722" s="2" t="s">
        <v>74</v>
      </c>
      <c r="BH722" s="2" t="s">
        <v>74</v>
      </c>
      <c r="BI722" s="2" t="s">
        <v>74</v>
      </c>
      <c r="BJ722" s="2" t="s">
        <v>74</v>
      </c>
      <c r="BK722" s="2" t="s">
        <v>74</v>
      </c>
      <c r="BL722" s="2" t="s">
        <v>74</v>
      </c>
      <c r="BM722" s="2" t="s">
        <v>74</v>
      </c>
      <c r="BN722" s="2" t="s">
        <v>74</v>
      </c>
      <c r="BO722" s="2" t="s">
        <v>74</v>
      </c>
      <c r="BP722" s="2" t="s">
        <v>74</v>
      </c>
      <c r="BQ722" s="2" t="s">
        <v>74</v>
      </c>
      <c r="BR722" s="2" t="s">
        <v>74</v>
      </c>
      <c r="BS722" s="2" t="s">
        <v>5645</v>
      </c>
      <c r="BT722" s="2" t="str">
        <f>HYPERLINK("https%3A%2F%2Fwww.webofscience.com%2Fwos%2Fwoscc%2Ffull-record%2FWOS:000323040200010","View Full Record in Web of Science")</f>
        <v>View Full Record in Web of Science</v>
      </c>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row>
    <row r="723" spans="1:314" s="2" customFormat="1" x14ac:dyDescent="0.4">
      <c r="A723" s="2" t="s">
        <v>72</v>
      </c>
      <c r="B723" s="2" t="s">
        <v>3806</v>
      </c>
      <c r="C723" s="2" t="s">
        <v>74</v>
      </c>
      <c r="D723" s="2" t="s">
        <v>74</v>
      </c>
      <c r="E723" s="2" t="s">
        <v>74</v>
      </c>
      <c r="F723" s="2" t="s">
        <v>3807</v>
      </c>
      <c r="G723" s="2" t="s">
        <v>74</v>
      </c>
      <c r="H723" s="2" t="s">
        <v>74</v>
      </c>
      <c r="I723" s="2" t="s">
        <v>3808</v>
      </c>
      <c r="J723" s="2" t="s">
        <v>333</v>
      </c>
      <c r="K723" s="2" t="s">
        <v>74</v>
      </c>
      <c r="L723" s="2" t="s">
        <v>74</v>
      </c>
      <c r="M723" s="2" t="s">
        <v>74</v>
      </c>
      <c r="N723" s="2" t="s">
        <v>74</v>
      </c>
      <c r="O723" s="2" t="s">
        <v>74</v>
      </c>
      <c r="P723" s="2" t="s">
        <v>74</v>
      </c>
      <c r="Q723" s="2" t="s">
        <v>74</v>
      </c>
      <c r="R723" s="2" t="s">
        <v>74</v>
      </c>
      <c r="S723" s="2" t="s">
        <v>74</v>
      </c>
      <c r="T723" s="2" t="s">
        <v>74</v>
      </c>
      <c r="U723" s="2" t="s">
        <v>74</v>
      </c>
      <c r="V723" s="5" t="s">
        <v>3809</v>
      </c>
      <c r="W723" s="2" t="s">
        <v>74</v>
      </c>
      <c r="X723" s="2" t="s">
        <v>74</v>
      </c>
      <c r="Y723" s="2" t="s">
        <v>74</v>
      </c>
      <c r="Z723" s="2" t="s">
        <v>74</v>
      </c>
      <c r="AA723" s="2" t="s">
        <v>3810</v>
      </c>
      <c r="AB723" s="2" t="s">
        <v>3811</v>
      </c>
      <c r="AC723" s="2" t="s">
        <v>74</v>
      </c>
      <c r="AD723" s="2" t="s">
        <v>74</v>
      </c>
      <c r="AE723" s="2" t="s">
        <v>74</v>
      </c>
      <c r="AF723" s="2" t="s">
        <v>74</v>
      </c>
      <c r="AG723" s="2" t="s">
        <v>74</v>
      </c>
      <c r="AH723" s="2" t="s">
        <v>74</v>
      </c>
      <c r="AI723" s="2" t="s">
        <v>74</v>
      </c>
      <c r="AJ723" s="2" t="s">
        <v>74</v>
      </c>
      <c r="AK723" s="2" t="s">
        <v>74</v>
      </c>
      <c r="AL723" s="2" t="s">
        <v>74</v>
      </c>
      <c r="AM723" s="2" t="s">
        <v>74</v>
      </c>
      <c r="AN723" s="2" t="s">
        <v>74</v>
      </c>
      <c r="AO723" s="2" t="s">
        <v>337</v>
      </c>
      <c r="AP723" s="2" t="s">
        <v>338</v>
      </c>
      <c r="AQ723" s="2" t="s">
        <v>74</v>
      </c>
      <c r="AR723" s="2" t="s">
        <v>74</v>
      </c>
      <c r="AS723" s="2" t="s">
        <v>74</v>
      </c>
      <c r="AT723" s="2" t="s">
        <v>1475</v>
      </c>
      <c r="AU723" s="2">
        <v>2016</v>
      </c>
      <c r="AV723" s="2">
        <v>27</v>
      </c>
      <c r="AW723" s="2">
        <v>1</v>
      </c>
      <c r="AX723" s="2" t="s">
        <v>74</v>
      </c>
      <c r="AY723" s="2" t="s">
        <v>74</v>
      </c>
      <c r="AZ723" s="2" t="s">
        <v>74</v>
      </c>
      <c r="BA723" s="2" t="s">
        <v>74</v>
      </c>
      <c r="BB723" s="2">
        <v>262</v>
      </c>
      <c r="BC723" s="2">
        <v>270</v>
      </c>
      <c r="BD723" s="2" t="s">
        <v>74</v>
      </c>
      <c r="BE723" s="2" t="s">
        <v>3812</v>
      </c>
      <c r="BF723" s="2" t="str">
        <f>HYPERLINK("http://dx.doi.org/10.1093/beheco/arv149","http://dx.doi.org/10.1093/beheco/arv149")</f>
        <v>http://dx.doi.org/10.1093/beheco/arv149</v>
      </c>
      <c r="BG723" s="2" t="s">
        <v>74</v>
      </c>
      <c r="BH723" s="2" t="s">
        <v>74</v>
      </c>
      <c r="BI723" s="2" t="s">
        <v>74</v>
      </c>
      <c r="BJ723" s="2" t="s">
        <v>74</v>
      </c>
      <c r="BK723" s="2" t="s">
        <v>74</v>
      </c>
      <c r="BL723" s="2" t="s">
        <v>74</v>
      </c>
      <c r="BM723" s="2" t="s">
        <v>74</v>
      </c>
      <c r="BN723" s="2" t="s">
        <v>74</v>
      </c>
      <c r="BO723" s="2" t="s">
        <v>74</v>
      </c>
      <c r="BP723" s="2" t="s">
        <v>74</v>
      </c>
      <c r="BQ723" s="2" t="s">
        <v>74</v>
      </c>
      <c r="BR723" s="2" t="s">
        <v>74</v>
      </c>
      <c r="BS723" s="2" t="s">
        <v>3813</v>
      </c>
      <c r="BT723" s="2" t="str">
        <f>HYPERLINK("https%3A%2F%2Fwww.webofscience.com%2Fwos%2Fwoscc%2Ffull-record%2FWOS:000374768300038","View Full Record in Web of Science")</f>
        <v>View Full Record in Web of Science</v>
      </c>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row>
    <row r="724" spans="1:314" s="2" customFormat="1" x14ac:dyDescent="0.4">
      <c r="A724" s="2" t="s">
        <v>72</v>
      </c>
      <c r="B724" s="2" t="s">
        <v>1412</v>
      </c>
      <c r="C724" s="2" t="s">
        <v>74</v>
      </c>
      <c r="D724" s="2" t="s">
        <v>74</v>
      </c>
      <c r="E724" s="2" t="s">
        <v>74</v>
      </c>
      <c r="F724" s="2" t="s">
        <v>1413</v>
      </c>
      <c r="G724" s="2" t="s">
        <v>74</v>
      </c>
      <c r="H724" s="2" t="s">
        <v>74</v>
      </c>
      <c r="I724" s="2" t="s">
        <v>1414</v>
      </c>
      <c r="J724" s="2" t="s">
        <v>312</v>
      </c>
      <c r="K724" s="2" t="s">
        <v>74</v>
      </c>
      <c r="L724" s="2" t="s">
        <v>74</v>
      </c>
      <c r="M724" s="2" t="s">
        <v>74</v>
      </c>
      <c r="N724" s="2" t="s">
        <v>74</v>
      </c>
      <c r="O724" s="2" t="s">
        <v>74</v>
      </c>
      <c r="P724" s="2" t="s">
        <v>74</v>
      </c>
      <c r="Q724" s="2" t="s">
        <v>74</v>
      </c>
      <c r="R724" s="2" t="s">
        <v>74</v>
      </c>
      <c r="S724" s="2" t="s">
        <v>74</v>
      </c>
      <c r="T724" s="2" t="s">
        <v>74</v>
      </c>
      <c r="U724" s="2" t="s">
        <v>74</v>
      </c>
      <c r="V724" s="5" t="s">
        <v>1415</v>
      </c>
      <c r="W724" s="2" t="s">
        <v>74</v>
      </c>
      <c r="X724" s="2" t="s">
        <v>74</v>
      </c>
      <c r="Y724" s="2" t="s">
        <v>74</v>
      </c>
      <c r="Z724" s="2" t="s">
        <v>74</v>
      </c>
      <c r="AA724" s="2" t="s">
        <v>1416</v>
      </c>
      <c r="AB724" s="2" t="s">
        <v>74</v>
      </c>
      <c r="AC724" s="2" t="s">
        <v>74</v>
      </c>
      <c r="AD724" s="2" t="s">
        <v>74</v>
      </c>
      <c r="AE724" s="2" t="s">
        <v>74</v>
      </c>
      <c r="AF724" s="2" t="s">
        <v>74</v>
      </c>
      <c r="AG724" s="2" t="s">
        <v>74</v>
      </c>
      <c r="AH724" s="2" t="s">
        <v>74</v>
      </c>
      <c r="AI724" s="2" t="s">
        <v>74</v>
      </c>
      <c r="AJ724" s="2" t="s">
        <v>74</v>
      </c>
      <c r="AK724" s="2" t="s">
        <v>74</v>
      </c>
      <c r="AL724" s="2" t="s">
        <v>74</v>
      </c>
      <c r="AM724" s="2" t="s">
        <v>74</v>
      </c>
      <c r="AN724" s="2" t="s">
        <v>74</v>
      </c>
      <c r="AO724" s="2" t="s">
        <v>314</v>
      </c>
      <c r="AP724" s="2" t="s">
        <v>315</v>
      </c>
      <c r="AQ724" s="2" t="s">
        <v>74</v>
      </c>
      <c r="AR724" s="2" t="s">
        <v>74</v>
      </c>
      <c r="AS724" s="2" t="s">
        <v>74</v>
      </c>
      <c r="AT724" s="2" t="s">
        <v>633</v>
      </c>
      <c r="AU724" s="2">
        <v>2015</v>
      </c>
      <c r="AV724" s="2">
        <v>185</v>
      </c>
      <c r="AW724" s="2">
        <v>4</v>
      </c>
      <c r="AX724" s="2" t="s">
        <v>74</v>
      </c>
      <c r="AY724" s="2" t="s">
        <v>74</v>
      </c>
      <c r="AZ724" s="2" t="s">
        <v>74</v>
      </c>
      <c r="BA724" s="2" t="s">
        <v>74</v>
      </c>
      <c r="BB724" s="2">
        <v>443</v>
      </c>
      <c r="BC724" s="2">
        <v>451</v>
      </c>
      <c r="BD724" s="2" t="s">
        <v>74</v>
      </c>
      <c r="BE724" s="2" t="s">
        <v>1417</v>
      </c>
      <c r="BF724" s="2" t="str">
        <f>HYPERLINK("http://dx.doi.org/10.1086/680206","http://dx.doi.org/10.1086/680206")</f>
        <v>http://dx.doi.org/10.1086/680206</v>
      </c>
      <c r="BG724" s="2" t="s">
        <v>74</v>
      </c>
      <c r="BH724" s="2" t="s">
        <v>74</v>
      </c>
      <c r="BI724" s="2" t="s">
        <v>74</v>
      </c>
      <c r="BJ724" s="2" t="s">
        <v>74</v>
      </c>
      <c r="BK724" s="2" t="s">
        <v>74</v>
      </c>
      <c r="BL724" s="2" t="s">
        <v>74</v>
      </c>
      <c r="BM724" s="2" t="s">
        <v>74</v>
      </c>
      <c r="BN724" s="2">
        <v>25811081</v>
      </c>
      <c r="BO724" s="2" t="s">
        <v>74</v>
      </c>
      <c r="BP724" s="2" t="s">
        <v>74</v>
      </c>
      <c r="BQ724" s="2" t="s">
        <v>74</v>
      </c>
      <c r="BR724" s="2" t="s">
        <v>74</v>
      </c>
      <c r="BS724" s="2" t="s">
        <v>1418</v>
      </c>
      <c r="BT724" s="2" t="str">
        <f>HYPERLINK("https%3A%2F%2Fwww.webofscience.com%2Fwos%2Fwoscc%2Ffull-record%2FWOS:000351859700005","View Full Record in Web of Science")</f>
        <v>View Full Record in Web of Science</v>
      </c>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row>
    <row r="725" spans="1:314" s="2" customFormat="1" x14ac:dyDescent="0.4">
      <c r="A725" s="2" t="s">
        <v>72</v>
      </c>
      <c r="B725" s="2" t="s">
        <v>689</v>
      </c>
      <c r="C725" s="2" t="s">
        <v>74</v>
      </c>
      <c r="D725" s="2" t="s">
        <v>74</v>
      </c>
      <c r="E725" s="2" t="s">
        <v>74</v>
      </c>
      <c r="F725" s="2" t="s">
        <v>689</v>
      </c>
      <c r="G725" s="2" t="s">
        <v>74</v>
      </c>
      <c r="H725" s="2" t="s">
        <v>74</v>
      </c>
      <c r="I725" s="2" t="s">
        <v>690</v>
      </c>
      <c r="J725" s="2" t="s">
        <v>691</v>
      </c>
      <c r="K725" s="2" t="s">
        <v>74</v>
      </c>
      <c r="L725" s="2" t="s">
        <v>74</v>
      </c>
      <c r="M725" s="2" t="s">
        <v>74</v>
      </c>
      <c r="N725" s="2" t="s">
        <v>74</v>
      </c>
      <c r="O725" s="2" t="s">
        <v>74</v>
      </c>
      <c r="P725" s="2" t="s">
        <v>74</v>
      </c>
      <c r="Q725" s="2" t="s">
        <v>74</v>
      </c>
      <c r="R725" s="2" t="s">
        <v>74</v>
      </c>
      <c r="S725" s="2" t="s">
        <v>74</v>
      </c>
      <c r="T725" s="2" t="s">
        <v>74</v>
      </c>
      <c r="U725" s="2" t="s">
        <v>74</v>
      </c>
      <c r="V725" s="5" t="s">
        <v>692</v>
      </c>
      <c r="W725" s="2" t="s">
        <v>74</v>
      </c>
      <c r="X725" s="2" t="s">
        <v>74</v>
      </c>
      <c r="Y725" s="2" t="s">
        <v>74</v>
      </c>
      <c r="Z725" s="2" t="s">
        <v>74</v>
      </c>
      <c r="AA725" s="2" t="s">
        <v>693</v>
      </c>
      <c r="AB725" s="2" t="s">
        <v>694</v>
      </c>
      <c r="AC725" s="2" t="s">
        <v>74</v>
      </c>
      <c r="AD725" s="2" t="s">
        <v>74</v>
      </c>
      <c r="AE725" s="2" t="s">
        <v>74</v>
      </c>
      <c r="AF725" s="2" t="s">
        <v>74</v>
      </c>
      <c r="AG725" s="2" t="s">
        <v>74</v>
      </c>
      <c r="AH725" s="2" t="s">
        <v>74</v>
      </c>
      <c r="AI725" s="2" t="s">
        <v>74</v>
      </c>
      <c r="AJ725" s="2" t="s">
        <v>74</v>
      </c>
      <c r="AK725" s="2" t="s">
        <v>74</v>
      </c>
      <c r="AL725" s="2" t="s">
        <v>74</v>
      </c>
      <c r="AM725" s="2" t="s">
        <v>74</v>
      </c>
      <c r="AN725" s="2" t="s">
        <v>74</v>
      </c>
      <c r="AO725" s="2" t="s">
        <v>695</v>
      </c>
      <c r="AP725" s="2" t="s">
        <v>74</v>
      </c>
      <c r="AQ725" s="2" t="s">
        <v>74</v>
      </c>
      <c r="AR725" s="2" t="s">
        <v>74</v>
      </c>
      <c r="AS725" s="2" t="s">
        <v>74</v>
      </c>
      <c r="AT725" s="2" t="s">
        <v>145</v>
      </c>
      <c r="AU725" s="2">
        <v>1995</v>
      </c>
      <c r="AV725" s="2">
        <v>58</v>
      </c>
      <c r="AW725" s="2">
        <v>2</v>
      </c>
      <c r="AX725" s="2" t="s">
        <v>74</v>
      </c>
      <c r="AY725" s="2" t="s">
        <v>74</v>
      </c>
      <c r="AZ725" s="2" t="s">
        <v>74</v>
      </c>
      <c r="BA725" s="2" t="s">
        <v>74</v>
      </c>
      <c r="BB725" s="2">
        <v>323</v>
      </c>
      <c r="BC725" s="2">
        <v>328</v>
      </c>
      <c r="BD725" s="2" t="s">
        <v>74</v>
      </c>
      <c r="BE725" s="2" t="s">
        <v>696</v>
      </c>
      <c r="BF725" s="2" t="str">
        <f>HYPERLINK("http://dx.doi.org/10.1016/0031-9384(95)00061-M","http://dx.doi.org/10.1016/0031-9384(95)00061-M")</f>
        <v>http://dx.doi.org/10.1016/0031-9384(95)00061-M</v>
      </c>
      <c r="BG725" s="2" t="s">
        <v>74</v>
      </c>
      <c r="BH725" s="2" t="s">
        <v>74</v>
      </c>
      <c r="BI725" s="2" t="s">
        <v>74</v>
      </c>
      <c r="BJ725" s="2" t="s">
        <v>74</v>
      </c>
      <c r="BK725" s="2" t="s">
        <v>74</v>
      </c>
      <c r="BL725" s="2" t="s">
        <v>74</v>
      </c>
      <c r="BM725" s="2" t="s">
        <v>74</v>
      </c>
      <c r="BN725" s="2">
        <v>7568436</v>
      </c>
      <c r="BO725" s="2" t="s">
        <v>74</v>
      </c>
      <c r="BP725" s="2" t="s">
        <v>74</v>
      </c>
      <c r="BQ725" s="2" t="s">
        <v>74</v>
      </c>
      <c r="BR725" s="2" t="s">
        <v>74</v>
      </c>
      <c r="BS725" s="2" t="s">
        <v>697</v>
      </c>
      <c r="BT725" s="2" t="str">
        <f>HYPERLINK("https%3A%2F%2Fwww.webofscience.com%2Fwos%2Fwoscc%2Ffull-record%2FWOS:A1995RH18300016","View Full Record in Web of Science")</f>
        <v>View Full Record in Web of Science</v>
      </c>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row>
    <row r="726" spans="1:314" s="2" customFormat="1" x14ac:dyDescent="0.4">
      <c r="A726" s="2" t="s">
        <v>72</v>
      </c>
      <c r="B726" s="2" t="s">
        <v>7812</v>
      </c>
      <c r="C726" s="2" t="s">
        <v>74</v>
      </c>
      <c r="D726" s="2" t="s">
        <v>74</v>
      </c>
      <c r="E726" s="2" t="s">
        <v>74</v>
      </c>
      <c r="F726" s="2" t="s">
        <v>7813</v>
      </c>
      <c r="G726" s="2" t="s">
        <v>74</v>
      </c>
      <c r="H726" s="2" t="s">
        <v>74</v>
      </c>
      <c r="I726" s="2" t="s">
        <v>7814</v>
      </c>
      <c r="J726" s="2" t="s">
        <v>803</v>
      </c>
      <c r="K726" s="2" t="s">
        <v>74</v>
      </c>
      <c r="L726" s="2" t="s">
        <v>74</v>
      </c>
      <c r="M726" s="2" t="s">
        <v>74</v>
      </c>
      <c r="N726" s="2" t="s">
        <v>74</v>
      </c>
      <c r="O726" s="2" t="s">
        <v>74</v>
      </c>
      <c r="P726" s="2" t="s">
        <v>74</v>
      </c>
      <c r="Q726" s="2" t="s">
        <v>74</v>
      </c>
      <c r="R726" s="2" t="s">
        <v>74</v>
      </c>
      <c r="S726" s="2" t="s">
        <v>74</v>
      </c>
      <c r="T726" s="2" t="s">
        <v>74</v>
      </c>
      <c r="U726" s="2" t="s">
        <v>74</v>
      </c>
      <c r="V726" s="5" t="s">
        <v>7815</v>
      </c>
      <c r="W726" s="2" t="s">
        <v>74</v>
      </c>
      <c r="X726" s="2" t="s">
        <v>74</v>
      </c>
      <c r="Y726" s="2" t="s">
        <v>74</v>
      </c>
      <c r="Z726" s="2" t="s">
        <v>74</v>
      </c>
      <c r="AA726" s="2" t="s">
        <v>7816</v>
      </c>
      <c r="AB726" s="2" t="s">
        <v>7817</v>
      </c>
      <c r="AC726" s="2" t="s">
        <v>74</v>
      </c>
      <c r="AD726" s="2" t="s">
        <v>74</v>
      </c>
      <c r="AE726" s="2" t="s">
        <v>74</v>
      </c>
      <c r="AF726" s="2" t="s">
        <v>74</v>
      </c>
      <c r="AG726" s="2" t="s">
        <v>74</v>
      </c>
      <c r="AH726" s="2" t="s">
        <v>74</v>
      </c>
      <c r="AI726" s="2" t="s">
        <v>74</v>
      </c>
      <c r="AJ726" s="2" t="s">
        <v>74</v>
      </c>
      <c r="AK726" s="2" t="s">
        <v>74</v>
      </c>
      <c r="AL726" s="2" t="s">
        <v>74</v>
      </c>
      <c r="AM726" s="2" t="s">
        <v>74</v>
      </c>
      <c r="AN726" s="2" t="s">
        <v>74</v>
      </c>
      <c r="AO726" s="2" t="s">
        <v>806</v>
      </c>
      <c r="AP726" s="2" t="s">
        <v>807</v>
      </c>
      <c r="AQ726" s="2" t="s">
        <v>74</v>
      </c>
      <c r="AR726" s="2" t="s">
        <v>74</v>
      </c>
      <c r="AS726" s="2" t="s">
        <v>74</v>
      </c>
      <c r="AT726" s="2" t="s">
        <v>1475</v>
      </c>
      <c r="AU726" s="2">
        <v>2021</v>
      </c>
      <c r="AV726" s="2">
        <v>41</v>
      </c>
      <c r="AW726" s="2" t="s">
        <v>74</v>
      </c>
      <c r="AX726" s="2" t="s">
        <v>74</v>
      </c>
      <c r="AY726" s="2" t="s">
        <v>74</v>
      </c>
      <c r="AZ726" s="2" t="s">
        <v>74</v>
      </c>
      <c r="BA726" s="2" t="s">
        <v>74</v>
      </c>
      <c r="BB726" s="2">
        <v>12</v>
      </c>
      <c r="BC726" s="2">
        <v>21</v>
      </c>
      <c r="BD726" s="2" t="s">
        <v>74</v>
      </c>
      <c r="BE726" s="2" t="s">
        <v>7818</v>
      </c>
      <c r="BF726" s="2" t="str">
        <f>HYPERLINK("http://dx.doi.org/10.1016/j.jveb.2020.10.007","http://dx.doi.org/10.1016/j.jveb.2020.10.007")</f>
        <v>http://dx.doi.org/10.1016/j.jveb.2020.10.007</v>
      </c>
      <c r="BG726" s="2" t="s">
        <v>74</v>
      </c>
      <c r="BH726" s="2" t="s">
        <v>74</v>
      </c>
      <c r="BI726" s="2" t="s">
        <v>74</v>
      </c>
      <c r="BJ726" s="2" t="s">
        <v>74</v>
      </c>
      <c r="BK726" s="2" t="s">
        <v>74</v>
      </c>
      <c r="BL726" s="2" t="s">
        <v>74</v>
      </c>
      <c r="BM726" s="2" t="s">
        <v>74</v>
      </c>
      <c r="BN726" s="2" t="s">
        <v>74</v>
      </c>
      <c r="BO726" s="2" t="s">
        <v>74</v>
      </c>
      <c r="BP726" s="2" t="s">
        <v>74</v>
      </c>
      <c r="BQ726" s="2" t="s">
        <v>74</v>
      </c>
      <c r="BR726" s="2" t="s">
        <v>74</v>
      </c>
      <c r="BS726" s="2" t="s">
        <v>7819</v>
      </c>
      <c r="BT726" s="2" t="str">
        <f>HYPERLINK("https%3A%2F%2Fwww.webofscience.com%2Fwos%2Fwoscc%2Ffull-record%2FWOS:000632186500001","View Full Record in Web of Science")</f>
        <v>View Full Record in Web of Science</v>
      </c>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row>
    <row r="727" spans="1:314" s="2" customFormat="1" x14ac:dyDescent="0.4">
      <c r="A727" s="2" t="s">
        <v>72</v>
      </c>
      <c r="B727" s="2" t="s">
        <v>5673</v>
      </c>
      <c r="C727" s="2" t="s">
        <v>74</v>
      </c>
      <c r="D727" s="2" t="s">
        <v>74</v>
      </c>
      <c r="E727" s="2" t="s">
        <v>74</v>
      </c>
      <c r="F727" s="2" t="s">
        <v>5674</v>
      </c>
      <c r="G727" s="2" t="s">
        <v>74</v>
      </c>
      <c r="H727" s="2" t="s">
        <v>74</v>
      </c>
      <c r="I727" s="2" t="s">
        <v>5675</v>
      </c>
      <c r="J727" s="2" t="s">
        <v>129</v>
      </c>
      <c r="K727" s="2" t="s">
        <v>74</v>
      </c>
      <c r="L727" s="2" t="s">
        <v>74</v>
      </c>
      <c r="M727" s="2" t="s">
        <v>74</v>
      </c>
      <c r="N727" s="2" t="s">
        <v>74</v>
      </c>
      <c r="O727" s="2" t="s">
        <v>74</v>
      </c>
      <c r="P727" s="2" t="s">
        <v>74</v>
      </c>
      <c r="Q727" s="2" t="s">
        <v>74</v>
      </c>
      <c r="R727" s="2" t="s">
        <v>74</v>
      </c>
      <c r="S727" s="2" t="s">
        <v>74</v>
      </c>
      <c r="T727" s="2" t="s">
        <v>74</v>
      </c>
      <c r="U727" s="2" t="s">
        <v>74</v>
      </c>
      <c r="V727" s="5" t="s">
        <v>5676</v>
      </c>
      <c r="W727" s="2" t="s">
        <v>74</v>
      </c>
      <c r="X727" s="2" t="s">
        <v>74</v>
      </c>
      <c r="Y727" s="2" t="s">
        <v>74</v>
      </c>
      <c r="Z727" s="2" t="s">
        <v>74</v>
      </c>
      <c r="AA727" s="2" t="s">
        <v>5677</v>
      </c>
      <c r="AB727" s="2" t="s">
        <v>5678</v>
      </c>
      <c r="AC727" s="2" t="s">
        <v>74</v>
      </c>
      <c r="AD727" s="2" t="s">
        <v>74</v>
      </c>
      <c r="AE727" s="2" t="s">
        <v>74</v>
      </c>
      <c r="AF727" s="2" t="s">
        <v>74</v>
      </c>
      <c r="AG727" s="2" t="s">
        <v>74</v>
      </c>
      <c r="AH727" s="2" t="s">
        <v>74</v>
      </c>
      <c r="AI727" s="2" t="s">
        <v>74</v>
      </c>
      <c r="AJ727" s="2" t="s">
        <v>74</v>
      </c>
      <c r="AK727" s="2" t="s">
        <v>74</v>
      </c>
      <c r="AL727" s="2" t="s">
        <v>74</v>
      </c>
      <c r="AM727" s="2" t="s">
        <v>74</v>
      </c>
      <c r="AN727" s="2" t="s">
        <v>74</v>
      </c>
      <c r="AO727" s="2" t="s">
        <v>132</v>
      </c>
      <c r="AP727" s="2" t="s">
        <v>133</v>
      </c>
      <c r="AQ727" s="2" t="s">
        <v>74</v>
      </c>
      <c r="AR727" s="2" t="s">
        <v>74</v>
      </c>
      <c r="AS727" s="2" t="s">
        <v>74</v>
      </c>
      <c r="AT727" s="2" t="s">
        <v>305</v>
      </c>
      <c r="AU727" s="2">
        <v>2018</v>
      </c>
      <c r="AV727" s="2">
        <v>72</v>
      </c>
      <c r="AW727" s="2">
        <v>12</v>
      </c>
      <c r="AX727" s="2" t="s">
        <v>74</v>
      </c>
      <c r="AY727" s="2" t="s">
        <v>74</v>
      </c>
      <c r="AZ727" s="2" t="s">
        <v>74</v>
      </c>
      <c r="BA727" s="2" t="s">
        <v>74</v>
      </c>
      <c r="BB727" s="2" t="s">
        <v>74</v>
      </c>
      <c r="BC727" s="2" t="s">
        <v>74</v>
      </c>
      <c r="BD727" s="2">
        <v>189</v>
      </c>
      <c r="BE727" s="2" t="s">
        <v>5679</v>
      </c>
      <c r="BF727" s="2" t="str">
        <f>HYPERLINK("http://dx.doi.org/10.1007/s00265-018-2617-0","http://dx.doi.org/10.1007/s00265-018-2617-0")</f>
        <v>http://dx.doi.org/10.1007/s00265-018-2617-0</v>
      </c>
      <c r="BG727" s="2" t="s">
        <v>74</v>
      </c>
      <c r="BH727" s="2" t="s">
        <v>74</v>
      </c>
      <c r="BI727" s="2" t="s">
        <v>74</v>
      </c>
      <c r="BJ727" s="2" t="s">
        <v>74</v>
      </c>
      <c r="BK727" s="2" t="s">
        <v>74</v>
      </c>
      <c r="BL727" s="2" t="s">
        <v>74</v>
      </c>
      <c r="BM727" s="2" t="s">
        <v>74</v>
      </c>
      <c r="BN727" s="2" t="s">
        <v>74</v>
      </c>
      <c r="BO727" s="2" t="s">
        <v>74</v>
      </c>
      <c r="BP727" s="2" t="s">
        <v>74</v>
      </c>
      <c r="BQ727" s="2" t="s">
        <v>74</v>
      </c>
      <c r="BR727" s="2" t="s">
        <v>74</v>
      </c>
      <c r="BS727" s="2" t="s">
        <v>5680</v>
      </c>
      <c r="BT727" s="2" t="str">
        <f>HYPERLINK("https%3A%2F%2Fwww.webofscience.com%2Fwos%2Fwoscc%2Ffull-record%2FWOS:000451753200001","View Full Record in Web of Science")</f>
        <v>View Full Record in Web of Science</v>
      </c>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row>
    <row r="728" spans="1:314" s="2" customFormat="1" x14ac:dyDescent="0.4">
      <c r="A728" s="2" t="s">
        <v>72</v>
      </c>
      <c r="B728" s="2" t="s">
        <v>5395</v>
      </c>
      <c r="C728" s="2" t="s">
        <v>74</v>
      </c>
      <c r="D728" s="2" t="s">
        <v>74</v>
      </c>
      <c r="E728" s="2" t="s">
        <v>74</v>
      </c>
      <c r="F728" s="2" t="s">
        <v>5396</v>
      </c>
      <c r="G728" s="2" t="s">
        <v>74</v>
      </c>
      <c r="H728" s="2" t="s">
        <v>74</v>
      </c>
      <c r="I728" s="2" t="s">
        <v>5397</v>
      </c>
      <c r="J728" s="2" t="s">
        <v>1656</v>
      </c>
      <c r="K728" s="2" t="s">
        <v>74</v>
      </c>
      <c r="L728" s="2" t="s">
        <v>74</v>
      </c>
      <c r="M728" s="2" t="s">
        <v>74</v>
      </c>
      <c r="N728" s="2" t="s">
        <v>74</v>
      </c>
      <c r="O728" s="2" t="s">
        <v>74</v>
      </c>
      <c r="P728" s="2" t="s">
        <v>74</v>
      </c>
      <c r="Q728" s="2" t="s">
        <v>74</v>
      </c>
      <c r="R728" s="2" t="s">
        <v>74</v>
      </c>
      <c r="S728" s="2" t="s">
        <v>74</v>
      </c>
      <c r="T728" s="2" t="s">
        <v>74</v>
      </c>
      <c r="U728" s="2" t="s">
        <v>74</v>
      </c>
      <c r="V728" s="5" t="s">
        <v>5398</v>
      </c>
      <c r="W728" s="2" t="s">
        <v>74</v>
      </c>
      <c r="X728" s="2" t="s">
        <v>74</v>
      </c>
      <c r="Y728" s="2" t="s">
        <v>74</v>
      </c>
      <c r="Z728" s="2" t="s">
        <v>74</v>
      </c>
      <c r="AA728" s="2" t="s">
        <v>5399</v>
      </c>
      <c r="AB728" s="2" t="s">
        <v>5400</v>
      </c>
      <c r="AC728" s="2" t="s">
        <v>74</v>
      </c>
      <c r="AD728" s="2" t="s">
        <v>74</v>
      </c>
      <c r="AE728" s="2" t="s">
        <v>74</v>
      </c>
      <c r="AF728" s="2" t="s">
        <v>74</v>
      </c>
      <c r="AG728" s="2" t="s">
        <v>74</v>
      </c>
      <c r="AH728" s="2" t="s">
        <v>74</v>
      </c>
      <c r="AI728" s="2" t="s">
        <v>74</v>
      </c>
      <c r="AJ728" s="2" t="s">
        <v>74</v>
      </c>
      <c r="AK728" s="2" t="s">
        <v>74</v>
      </c>
      <c r="AL728" s="2" t="s">
        <v>74</v>
      </c>
      <c r="AM728" s="2" t="s">
        <v>74</v>
      </c>
      <c r="AN728" s="2" t="s">
        <v>74</v>
      </c>
      <c r="AO728" s="2" t="s">
        <v>1658</v>
      </c>
      <c r="AP728" s="2" t="s">
        <v>1659</v>
      </c>
      <c r="AQ728" s="2" t="s">
        <v>74</v>
      </c>
      <c r="AR728" s="2" t="s">
        <v>74</v>
      </c>
      <c r="AS728" s="2" t="s">
        <v>74</v>
      </c>
      <c r="AT728" s="2" t="s">
        <v>5401</v>
      </c>
      <c r="AU728" s="2">
        <v>2014</v>
      </c>
      <c r="AV728" s="2">
        <v>3893</v>
      </c>
      <c r="AW728" s="2">
        <v>2</v>
      </c>
      <c r="AX728" s="2" t="s">
        <v>74</v>
      </c>
      <c r="AY728" s="2" t="s">
        <v>74</v>
      </c>
      <c r="AZ728" s="2" t="s">
        <v>74</v>
      </c>
      <c r="BA728" s="2" t="s">
        <v>74</v>
      </c>
      <c r="BB728" s="2">
        <v>277</v>
      </c>
      <c r="BC728" s="2">
        <v>292</v>
      </c>
      <c r="BD728" s="2" t="s">
        <v>74</v>
      </c>
      <c r="BE728" s="2" t="s">
        <v>5402</v>
      </c>
      <c r="BF728" s="2" t="str">
        <f>HYPERLINK("http://dx.doi.org/10.11646/zootaxa.3893.2.7","http://dx.doi.org/10.11646/zootaxa.3893.2.7")</f>
        <v>http://dx.doi.org/10.11646/zootaxa.3893.2.7</v>
      </c>
      <c r="BG728" s="2" t="s">
        <v>74</v>
      </c>
      <c r="BH728" s="2" t="s">
        <v>74</v>
      </c>
      <c r="BI728" s="2" t="s">
        <v>74</v>
      </c>
      <c r="BJ728" s="2" t="s">
        <v>74</v>
      </c>
      <c r="BK728" s="2" t="s">
        <v>74</v>
      </c>
      <c r="BL728" s="2" t="s">
        <v>74</v>
      </c>
      <c r="BM728" s="2" t="s">
        <v>74</v>
      </c>
      <c r="BN728" s="2">
        <v>25544523</v>
      </c>
      <c r="BO728" s="2" t="s">
        <v>74</v>
      </c>
      <c r="BP728" s="2" t="s">
        <v>74</v>
      </c>
      <c r="BQ728" s="2" t="s">
        <v>74</v>
      </c>
      <c r="BR728" s="2" t="s">
        <v>74</v>
      </c>
      <c r="BS728" s="2" t="s">
        <v>5403</v>
      </c>
      <c r="BT728" s="2" t="str">
        <f>HYPERLINK("https%3A%2F%2Fwww.webofscience.com%2Fwos%2Fwoscc%2Ffull-record%2FWOS:000346874900007","View Full Record in Web of Science")</f>
        <v>View Full Record in Web of Science</v>
      </c>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row>
    <row r="729" spans="1:314" s="7" customFormat="1" x14ac:dyDescent="0.4">
      <c r="A729" s="2" t="s">
        <v>72</v>
      </c>
      <c r="B729" s="2" t="s">
        <v>5188</v>
      </c>
      <c r="C729" s="2" t="s">
        <v>74</v>
      </c>
      <c r="D729" s="2" t="s">
        <v>74</v>
      </c>
      <c r="E729" s="2" t="s">
        <v>74</v>
      </c>
      <c r="F729" s="2" t="s">
        <v>5188</v>
      </c>
      <c r="G729" s="2" t="s">
        <v>74</v>
      </c>
      <c r="H729" s="2" t="s">
        <v>74</v>
      </c>
      <c r="I729" s="2" t="s">
        <v>5189</v>
      </c>
      <c r="J729" s="2" t="s">
        <v>431</v>
      </c>
      <c r="K729" s="2" t="s">
        <v>74</v>
      </c>
      <c r="L729" s="2" t="s">
        <v>74</v>
      </c>
      <c r="M729" s="2" t="s">
        <v>74</v>
      </c>
      <c r="N729" s="2" t="s">
        <v>74</v>
      </c>
      <c r="O729" s="2" t="s">
        <v>74</v>
      </c>
      <c r="P729" s="2" t="s">
        <v>74</v>
      </c>
      <c r="Q729" s="2" t="s">
        <v>74</v>
      </c>
      <c r="R729" s="2" t="s">
        <v>74</v>
      </c>
      <c r="S729" s="2" t="s">
        <v>74</v>
      </c>
      <c r="T729" s="2" t="s">
        <v>74</v>
      </c>
      <c r="U729" s="2" t="s">
        <v>74</v>
      </c>
      <c r="V729" s="5" t="s">
        <v>5190</v>
      </c>
      <c r="W729" s="2" t="s">
        <v>74</v>
      </c>
      <c r="X729" s="2" t="s">
        <v>74</v>
      </c>
      <c r="Y729" s="2" t="s">
        <v>74</v>
      </c>
      <c r="Z729" s="2" t="s">
        <v>74</v>
      </c>
      <c r="AA729" s="2" t="s">
        <v>74</v>
      </c>
      <c r="AB729" s="2" t="s">
        <v>74</v>
      </c>
      <c r="AC729" s="2" t="s">
        <v>74</v>
      </c>
      <c r="AD729" s="2" t="s">
        <v>74</v>
      </c>
      <c r="AE729" s="2" t="s">
        <v>74</v>
      </c>
      <c r="AF729" s="2" t="s">
        <v>74</v>
      </c>
      <c r="AG729" s="2" t="s">
        <v>74</v>
      </c>
      <c r="AH729" s="2" t="s">
        <v>74</v>
      </c>
      <c r="AI729" s="2" t="s">
        <v>74</v>
      </c>
      <c r="AJ729" s="2" t="s">
        <v>74</v>
      </c>
      <c r="AK729" s="2" t="s">
        <v>74</v>
      </c>
      <c r="AL729" s="2" t="s">
        <v>74</v>
      </c>
      <c r="AM729" s="2" t="s">
        <v>74</v>
      </c>
      <c r="AN729" s="2" t="s">
        <v>74</v>
      </c>
      <c r="AO729" s="2" t="s">
        <v>74</v>
      </c>
      <c r="AP729" s="2" t="s">
        <v>435</v>
      </c>
      <c r="AQ729" s="2" t="s">
        <v>74</v>
      </c>
      <c r="AR729" s="2" t="s">
        <v>74</v>
      </c>
      <c r="AS729" s="2" t="s">
        <v>74</v>
      </c>
      <c r="AT729" s="2" t="s">
        <v>74</v>
      </c>
      <c r="AU729" s="2">
        <v>1982</v>
      </c>
      <c r="AV729" s="2">
        <v>99</v>
      </c>
      <c r="AW729" s="2">
        <v>3</v>
      </c>
      <c r="AX729" s="2" t="s">
        <v>74</v>
      </c>
      <c r="AY729" s="2" t="s">
        <v>74</v>
      </c>
      <c r="AZ729" s="2" t="s">
        <v>74</v>
      </c>
      <c r="BA729" s="2" t="s">
        <v>74</v>
      </c>
      <c r="BB729" s="2">
        <v>548</v>
      </c>
      <c r="BC729" s="2">
        <v>554</v>
      </c>
      <c r="BD729" s="2" t="s">
        <v>74</v>
      </c>
      <c r="BE729" s="2" t="s">
        <v>74</v>
      </c>
      <c r="BF729" s="2" t="s">
        <v>74</v>
      </c>
      <c r="BG729" s="2" t="s">
        <v>74</v>
      </c>
      <c r="BH729" s="2" t="s">
        <v>74</v>
      </c>
      <c r="BI729" s="2" t="s">
        <v>74</v>
      </c>
      <c r="BJ729" s="2" t="s">
        <v>74</v>
      </c>
      <c r="BK729" s="2" t="s">
        <v>74</v>
      </c>
      <c r="BL729" s="2" t="s">
        <v>74</v>
      </c>
      <c r="BM729" s="2" t="s">
        <v>74</v>
      </c>
      <c r="BN729" s="2" t="s">
        <v>74</v>
      </c>
      <c r="BO729" s="2" t="s">
        <v>74</v>
      </c>
      <c r="BP729" s="2" t="s">
        <v>74</v>
      </c>
      <c r="BQ729" s="2" t="s">
        <v>74</v>
      </c>
      <c r="BR729" s="2" t="s">
        <v>74</v>
      </c>
      <c r="BS729" s="2" t="s">
        <v>5191</v>
      </c>
      <c r="BT729" s="2" t="str">
        <f>HYPERLINK("https%3A%2F%2Fwww.webofscience.com%2Fwos%2Fwoscc%2Ffull-record%2FWOS:A1982NY39800015","View Full Record in Web of Science")</f>
        <v>View Full Record in Web of Science</v>
      </c>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row>
    <row r="730" spans="1:314" s="2" customFormat="1" x14ac:dyDescent="0.4">
      <c r="A730" s="2" t="s">
        <v>72</v>
      </c>
      <c r="B730" s="2" t="s">
        <v>2964</v>
      </c>
      <c r="C730" s="2" t="s">
        <v>74</v>
      </c>
      <c r="D730" s="2" t="s">
        <v>74</v>
      </c>
      <c r="E730" s="2" t="s">
        <v>74</v>
      </c>
      <c r="F730" s="2" t="s">
        <v>2964</v>
      </c>
      <c r="G730" s="2" t="s">
        <v>74</v>
      </c>
      <c r="H730" s="2" t="s">
        <v>74</v>
      </c>
      <c r="I730" s="2" t="s">
        <v>2965</v>
      </c>
      <c r="J730" s="2" t="s">
        <v>2966</v>
      </c>
      <c r="K730" s="2" t="s">
        <v>74</v>
      </c>
      <c r="L730" s="2" t="s">
        <v>74</v>
      </c>
      <c r="M730" s="2" t="s">
        <v>74</v>
      </c>
      <c r="N730" s="2" t="s">
        <v>74</v>
      </c>
      <c r="O730" s="2" t="s">
        <v>74</v>
      </c>
      <c r="P730" s="2" t="s">
        <v>74</v>
      </c>
      <c r="Q730" s="2" t="s">
        <v>74</v>
      </c>
      <c r="R730" s="2" t="s">
        <v>74</v>
      </c>
      <c r="S730" s="2" t="s">
        <v>74</v>
      </c>
      <c r="T730" s="2" t="s">
        <v>74</v>
      </c>
      <c r="U730" s="2" t="s">
        <v>74</v>
      </c>
      <c r="V730" s="5" t="s">
        <v>2967</v>
      </c>
      <c r="W730" s="2" t="s">
        <v>74</v>
      </c>
      <c r="X730" s="2" t="s">
        <v>74</v>
      </c>
      <c r="Y730" s="2" t="s">
        <v>74</v>
      </c>
      <c r="Z730" s="2" t="s">
        <v>74</v>
      </c>
      <c r="AA730" s="2" t="s">
        <v>74</v>
      </c>
      <c r="AB730" s="2" t="s">
        <v>74</v>
      </c>
      <c r="AC730" s="2" t="s">
        <v>74</v>
      </c>
      <c r="AD730" s="2" t="s">
        <v>74</v>
      </c>
      <c r="AE730" s="2" t="s">
        <v>74</v>
      </c>
      <c r="AF730" s="2" t="s">
        <v>74</v>
      </c>
      <c r="AG730" s="2" t="s">
        <v>74</v>
      </c>
      <c r="AH730" s="2" t="s">
        <v>74</v>
      </c>
      <c r="AI730" s="2" t="s">
        <v>74</v>
      </c>
      <c r="AJ730" s="2" t="s">
        <v>74</v>
      </c>
      <c r="AK730" s="2" t="s">
        <v>74</v>
      </c>
      <c r="AL730" s="2" t="s">
        <v>74</v>
      </c>
      <c r="AM730" s="2" t="s">
        <v>74</v>
      </c>
      <c r="AN730" s="2" t="s">
        <v>74</v>
      </c>
      <c r="AO730" s="2" t="s">
        <v>2968</v>
      </c>
      <c r="AP730" s="2" t="s">
        <v>2969</v>
      </c>
      <c r="AQ730" s="2" t="s">
        <v>74</v>
      </c>
      <c r="AR730" s="2" t="s">
        <v>74</v>
      </c>
      <c r="AS730" s="2" t="s">
        <v>74</v>
      </c>
      <c r="AT730" s="2" t="s">
        <v>957</v>
      </c>
      <c r="AU730" s="2">
        <v>1989</v>
      </c>
      <c r="AV730" s="2">
        <v>36</v>
      </c>
      <c r="AW730" s="2">
        <v>1</v>
      </c>
      <c r="AX730" s="2" t="s">
        <v>74</v>
      </c>
      <c r="AY730" s="2" t="s">
        <v>74</v>
      </c>
      <c r="AZ730" s="2" t="s">
        <v>74</v>
      </c>
      <c r="BA730" s="2" t="s">
        <v>74</v>
      </c>
      <c r="BB730" s="2">
        <v>30</v>
      </c>
      <c r="BC730" s="2">
        <v>41</v>
      </c>
      <c r="BD730" s="2" t="s">
        <v>74</v>
      </c>
      <c r="BE730" s="2" t="s">
        <v>2970</v>
      </c>
      <c r="BF730" s="2" t="str">
        <f>HYPERLINK("http://dx.doi.org/10.1007/BF02905670","http://dx.doi.org/10.1007/BF02905670")</f>
        <v>http://dx.doi.org/10.1007/BF02905670</v>
      </c>
      <c r="BG730" s="2" t="s">
        <v>74</v>
      </c>
      <c r="BH730" s="2" t="s">
        <v>74</v>
      </c>
      <c r="BI730" s="2" t="s">
        <v>74</v>
      </c>
      <c r="BJ730" s="2" t="s">
        <v>74</v>
      </c>
      <c r="BK730" s="2" t="s">
        <v>74</v>
      </c>
      <c r="BL730" s="2" t="s">
        <v>74</v>
      </c>
      <c r="BM730" s="2" t="s">
        <v>74</v>
      </c>
      <c r="BN730" s="2" t="s">
        <v>74</v>
      </c>
      <c r="BO730" s="2" t="s">
        <v>74</v>
      </c>
      <c r="BP730" s="2" t="s">
        <v>74</v>
      </c>
      <c r="BQ730" s="2" t="s">
        <v>74</v>
      </c>
      <c r="BR730" s="2" t="s">
        <v>74</v>
      </c>
      <c r="BS730" s="2" t="s">
        <v>2971</v>
      </c>
      <c r="BT730" s="2" t="str">
        <f>HYPERLINK("https%3A%2F%2Fwww.webofscience.com%2Fwos%2Fwoscc%2Ffull-record%2FWOS:A1989AD70900004","View Full Record in Web of Science")</f>
        <v>View Full Record in Web of Science</v>
      </c>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row>
    <row r="731" spans="1:314" s="2" customFormat="1" x14ac:dyDescent="0.4">
      <c r="A731" s="2" t="s">
        <v>72</v>
      </c>
      <c r="B731" s="2" t="s">
        <v>6008</v>
      </c>
      <c r="C731" s="2" t="s">
        <v>74</v>
      </c>
      <c r="D731" s="2" t="s">
        <v>74</v>
      </c>
      <c r="E731" s="2" t="s">
        <v>74</v>
      </c>
      <c r="F731" s="2" t="s">
        <v>6008</v>
      </c>
      <c r="G731" s="2" t="s">
        <v>74</v>
      </c>
      <c r="H731" s="2" t="s">
        <v>74</v>
      </c>
      <c r="I731" s="2" t="s">
        <v>6009</v>
      </c>
      <c r="J731" s="2" t="s">
        <v>140</v>
      </c>
      <c r="K731" s="2" t="s">
        <v>74</v>
      </c>
      <c r="L731" s="2" t="s">
        <v>74</v>
      </c>
      <c r="M731" s="2" t="s">
        <v>74</v>
      </c>
      <c r="N731" s="2" t="s">
        <v>74</v>
      </c>
      <c r="O731" s="2" t="s">
        <v>74</v>
      </c>
      <c r="P731" s="2" t="s">
        <v>74</v>
      </c>
      <c r="Q731" s="2" t="s">
        <v>74</v>
      </c>
      <c r="R731" s="2" t="s">
        <v>74</v>
      </c>
      <c r="S731" s="2" t="s">
        <v>74</v>
      </c>
      <c r="T731" s="2" t="s">
        <v>74</v>
      </c>
      <c r="U731" s="2" t="s">
        <v>74</v>
      </c>
      <c r="V731" s="5" t="s">
        <v>6010</v>
      </c>
      <c r="W731" s="2" t="s">
        <v>74</v>
      </c>
      <c r="X731" s="2" t="s">
        <v>74</v>
      </c>
      <c r="Y731" s="2" t="s">
        <v>74</v>
      </c>
      <c r="Z731" s="2" t="s">
        <v>74</v>
      </c>
      <c r="AA731" s="2" t="s">
        <v>6011</v>
      </c>
      <c r="AB731" s="2" t="s">
        <v>6012</v>
      </c>
      <c r="AC731" s="2" t="s">
        <v>74</v>
      </c>
      <c r="AD731" s="2" t="s">
        <v>74</v>
      </c>
      <c r="AE731" s="2" t="s">
        <v>74</v>
      </c>
      <c r="AF731" s="2" t="s">
        <v>74</v>
      </c>
      <c r="AG731" s="2" t="s">
        <v>74</v>
      </c>
      <c r="AH731" s="2" t="s">
        <v>74</v>
      </c>
      <c r="AI731" s="2" t="s">
        <v>74</v>
      </c>
      <c r="AJ731" s="2" t="s">
        <v>74</v>
      </c>
      <c r="AK731" s="2" t="s">
        <v>74</v>
      </c>
      <c r="AL731" s="2" t="s">
        <v>74</v>
      </c>
      <c r="AM731" s="2" t="s">
        <v>74</v>
      </c>
      <c r="AN731" s="2" t="s">
        <v>74</v>
      </c>
      <c r="AO731" s="2" t="s">
        <v>143</v>
      </c>
      <c r="AP731" s="2" t="s">
        <v>144</v>
      </c>
      <c r="AQ731" s="2" t="s">
        <v>74</v>
      </c>
      <c r="AR731" s="2" t="s">
        <v>74</v>
      </c>
      <c r="AS731" s="2" t="s">
        <v>74</v>
      </c>
      <c r="AT731" s="2" t="s">
        <v>213</v>
      </c>
      <c r="AU731" s="2">
        <v>1997</v>
      </c>
      <c r="AV731" s="2">
        <v>54</v>
      </c>
      <c r="AW731" s="2" t="s">
        <v>74</v>
      </c>
      <c r="AX731" s="2">
        <v>5</v>
      </c>
      <c r="AY731" s="2" t="s">
        <v>74</v>
      </c>
      <c r="AZ731" s="2" t="s">
        <v>74</v>
      </c>
      <c r="BA731" s="2" t="s">
        <v>74</v>
      </c>
      <c r="BB731" s="2">
        <v>1205</v>
      </c>
      <c r="BC731" s="2">
        <v>1214</v>
      </c>
      <c r="BD731" s="2" t="s">
        <v>74</v>
      </c>
      <c r="BE731" s="2" t="s">
        <v>6013</v>
      </c>
      <c r="BF731" s="2" t="str">
        <f>HYPERLINK("http://dx.doi.org/10.1006/anbe.1997.0516","http://dx.doi.org/10.1006/anbe.1997.0516")</f>
        <v>http://dx.doi.org/10.1006/anbe.1997.0516</v>
      </c>
      <c r="BG731" s="2" t="s">
        <v>74</v>
      </c>
      <c r="BH731" s="2" t="s">
        <v>74</v>
      </c>
      <c r="BI731" s="2" t="s">
        <v>74</v>
      </c>
      <c r="BJ731" s="2" t="s">
        <v>74</v>
      </c>
      <c r="BK731" s="2" t="s">
        <v>74</v>
      </c>
      <c r="BL731" s="2" t="s">
        <v>74</v>
      </c>
      <c r="BM731" s="2" t="s">
        <v>74</v>
      </c>
      <c r="BN731" s="2">
        <v>9398373</v>
      </c>
      <c r="BO731" s="2" t="s">
        <v>74</v>
      </c>
      <c r="BP731" s="2" t="s">
        <v>74</v>
      </c>
      <c r="BQ731" s="2" t="s">
        <v>74</v>
      </c>
      <c r="BR731" s="2" t="s">
        <v>74</v>
      </c>
      <c r="BS731" s="2" t="s">
        <v>6014</v>
      </c>
      <c r="BT731" s="2" t="str">
        <f>HYPERLINK("https%3A%2F%2Fwww.webofscience.com%2Fwos%2Fwoscc%2Ffull-record%2FWOS:A1997YJ17400014","View Full Record in Web of Science")</f>
        <v>View Full Record in Web of Science</v>
      </c>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row>
    <row r="732" spans="1:314" s="2" customFormat="1" x14ac:dyDescent="0.4">
      <c r="A732" s="2" t="s">
        <v>72</v>
      </c>
      <c r="B732" s="2" t="s">
        <v>5619</v>
      </c>
      <c r="C732" s="2" t="s">
        <v>74</v>
      </c>
      <c r="D732" s="2" t="s">
        <v>74</v>
      </c>
      <c r="E732" s="2" t="s">
        <v>74</v>
      </c>
      <c r="F732" s="2" t="s">
        <v>5619</v>
      </c>
      <c r="G732" s="2" t="s">
        <v>74</v>
      </c>
      <c r="H732" s="2" t="s">
        <v>74</v>
      </c>
      <c r="I732" s="2" t="s">
        <v>5620</v>
      </c>
      <c r="J732" s="2" t="s">
        <v>456</v>
      </c>
      <c r="K732" s="2" t="s">
        <v>74</v>
      </c>
      <c r="L732" s="2" t="s">
        <v>74</v>
      </c>
      <c r="M732" s="2" t="s">
        <v>74</v>
      </c>
      <c r="N732" s="2" t="s">
        <v>74</v>
      </c>
      <c r="O732" s="2" t="s">
        <v>74</v>
      </c>
      <c r="P732" s="2" t="s">
        <v>74</v>
      </c>
      <c r="Q732" s="2" t="s">
        <v>74</v>
      </c>
      <c r="R732" s="2" t="s">
        <v>74</v>
      </c>
      <c r="S732" s="2" t="s">
        <v>74</v>
      </c>
      <c r="T732" s="2" t="s">
        <v>74</v>
      </c>
      <c r="U732" s="2" t="s">
        <v>74</v>
      </c>
      <c r="V732" s="5" t="s">
        <v>5621</v>
      </c>
      <c r="W732" s="2" t="s">
        <v>74</v>
      </c>
      <c r="X732" s="2" t="s">
        <v>74</v>
      </c>
      <c r="Y732" s="2" t="s">
        <v>74</v>
      </c>
      <c r="Z732" s="2" t="s">
        <v>74</v>
      </c>
      <c r="AA732" s="2" t="s">
        <v>74</v>
      </c>
      <c r="AB732" s="2" t="s">
        <v>74</v>
      </c>
      <c r="AC732" s="2" t="s">
        <v>74</v>
      </c>
      <c r="AD732" s="2" t="s">
        <v>74</v>
      </c>
      <c r="AE732" s="2" t="s">
        <v>74</v>
      </c>
      <c r="AF732" s="2" t="s">
        <v>74</v>
      </c>
      <c r="AG732" s="2" t="s">
        <v>74</v>
      </c>
      <c r="AH732" s="2" t="s">
        <v>74</v>
      </c>
      <c r="AI732" s="2" t="s">
        <v>74</v>
      </c>
      <c r="AJ732" s="2" t="s">
        <v>74</v>
      </c>
      <c r="AK732" s="2" t="s">
        <v>74</v>
      </c>
      <c r="AL732" s="2" t="s">
        <v>74</v>
      </c>
      <c r="AM732" s="2" t="s">
        <v>74</v>
      </c>
      <c r="AN732" s="2" t="s">
        <v>74</v>
      </c>
      <c r="AO732" s="2" t="s">
        <v>460</v>
      </c>
      <c r="AP732" s="2" t="s">
        <v>461</v>
      </c>
      <c r="AQ732" s="2" t="s">
        <v>74</v>
      </c>
      <c r="AR732" s="2" t="s">
        <v>74</v>
      </c>
      <c r="AS732" s="2" t="s">
        <v>74</v>
      </c>
      <c r="AT732" s="2" t="s">
        <v>134</v>
      </c>
      <c r="AU732" s="2">
        <v>2004</v>
      </c>
      <c r="AV732" s="2">
        <v>263</v>
      </c>
      <c r="AW732" s="2" t="s">
        <v>74</v>
      </c>
      <c r="AX732" s="2">
        <v>1</v>
      </c>
      <c r="AY732" s="2" t="s">
        <v>74</v>
      </c>
      <c r="AZ732" s="2" t="s">
        <v>74</v>
      </c>
      <c r="BA732" s="2" t="s">
        <v>74</v>
      </c>
      <c r="BB732" s="2">
        <v>89</v>
      </c>
      <c r="BC732" s="2">
        <v>94</v>
      </c>
      <c r="BD732" s="2" t="s">
        <v>74</v>
      </c>
      <c r="BE732" s="2" t="s">
        <v>5622</v>
      </c>
      <c r="BF732" s="2" t="str">
        <f>HYPERLINK("http://dx.doi.org/10.1017/S0952836904004911","http://dx.doi.org/10.1017/S0952836904004911")</f>
        <v>http://dx.doi.org/10.1017/S0952836904004911</v>
      </c>
      <c r="BG732" s="2" t="s">
        <v>74</v>
      </c>
      <c r="BH732" s="2" t="s">
        <v>74</v>
      </c>
      <c r="BI732" s="2" t="s">
        <v>74</v>
      </c>
      <c r="BJ732" s="2" t="s">
        <v>74</v>
      </c>
      <c r="BK732" s="2" t="s">
        <v>74</v>
      </c>
      <c r="BL732" s="2" t="s">
        <v>74</v>
      </c>
      <c r="BM732" s="2" t="s">
        <v>74</v>
      </c>
      <c r="BN732" s="2" t="s">
        <v>74</v>
      </c>
      <c r="BO732" s="2" t="s">
        <v>74</v>
      </c>
      <c r="BP732" s="2" t="s">
        <v>74</v>
      </c>
      <c r="BQ732" s="2" t="s">
        <v>74</v>
      </c>
      <c r="BR732" s="2" t="s">
        <v>74</v>
      </c>
      <c r="BS732" s="2" t="s">
        <v>5623</v>
      </c>
      <c r="BT732" s="2" t="str">
        <f>HYPERLINK("https%3A%2F%2Fwww.webofscience.com%2Fwos%2Fwoscc%2Ffull-record%2FWOS:000221567900009","View Full Record in Web of Science")</f>
        <v>View Full Record in Web of Science</v>
      </c>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row>
    <row r="733" spans="1:314" s="2" customFormat="1" x14ac:dyDescent="0.4">
      <c r="A733" s="2" t="s">
        <v>72</v>
      </c>
      <c r="B733" s="2" t="s">
        <v>4407</v>
      </c>
      <c r="C733" s="2" t="s">
        <v>74</v>
      </c>
      <c r="D733" s="2" t="s">
        <v>74</v>
      </c>
      <c r="E733" s="2" t="s">
        <v>74</v>
      </c>
      <c r="F733" s="2" t="s">
        <v>4408</v>
      </c>
      <c r="G733" s="2" t="s">
        <v>74</v>
      </c>
      <c r="H733" s="2" t="s">
        <v>74</v>
      </c>
      <c r="I733" s="2" t="s">
        <v>4409</v>
      </c>
      <c r="J733" s="2" t="s">
        <v>88</v>
      </c>
      <c r="K733" s="2" t="s">
        <v>74</v>
      </c>
      <c r="L733" s="2" t="s">
        <v>74</v>
      </c>
      <c r="M733" s="2" t="s">
        <v>74</v>
      </c>
      <c r="N733" s="2" t="s">
        <v>74</v>
      </c>
      <c r="O733" s="2" t="s">
        <v>74</v>
      </c>
      <c r="P733" s="2" t="s">
        <v>74</v>
      </c>
      <c r="Q733" s="2" t="s">
        <v>74</v>
      </c>
      <c r="R733" s="2" t="s">
        <v>74</v>
      </c>
      <c r="S733" s="2" t="s">
        <v>74</v>
      </c>
      <c r="T733" s="2" t="s">
        <v>74</v>
      </c>
      <c r="U733" s="2" t="s">
        <v>74</v>
      </c>
      <c r="V733" s="5" t="s">
        <v>4410</v>
      </c>
      <c r="W733" s="2" t="s">
        <v>74</v>
      </c>
      <c r="X733" s="2" t="s">
        <v>74</v>
      </c>
      <c r="Y733" s="2" t="s">
        <v>74</v>
      </c>
      <c r="Z733" s="2" t="s">
        <v>74</v>
      </c>
      <c r="AA733" s="2" t="s">
        <v>4411</v>
      </c>
      <c r="AB733" s="2" t="s">
        <v>74</v>
      </c>
      <c r="AC733" s="2" t="s">
        <v>74</v>
      </c>
      <c r="AD733" s="2" t="s">
        <v>74</v>
      </c>
      <c r="AE733" s="2" t="s">
        <v>74</v>
      </c>
      <c r="AF733" s="2" t="s">
        <v>74</v>
      </c>
      <c r="AG733" s="2" t="s">
        <v>74</v>
      </c>
      <c r="AH733" s="2" t="s">
        <v>74</v>
      </c>
      <c r="AI733" s="2" t="s">
        <v>74</v>
      </c>
      <c r="AJ733" s="2" t="s">
        <v>74</v>
      </c>
      <c r="AK733" s="2" t="s">
        <v>74</v>
      </c>
      <c r="AL733" s="2" t="s">
        <v>74</v>
      </c>
      <c r="AM733" s="2" t="s">
        <v>74</v>
      </c>
      <c r="AN733" s="2" t="s">
        <v>74</v>
      </c>
      <c r="AO733" s="2" t="s">
        <v>91</v>
      </c>
      <c r="AP733" s="2" t="s">
        <v>74</v>
      </c>
      <c r="AQ733" s="2" t="s">
        <v>74</v>
      </c>
      <c r="AR733" s="2" t="s">
        <v>74</v>
      </c>
      <c r="AS733" s="2" t="s">
        <v>74</v>
      </c>
      <c r="AT733" s="2" t="s">
        <v>1210</v>
      </c>
      <c r="AU733" s="2">
        <v>2006</v>
      </c>
      <c r="AV733" s="2">
        <v>2</v>
      </c>
      <c r="AW733" s="2">
        <v>4</v>
      </c>
      <c r="AX733" s="2" t="s">
        <v>74</v>
      </c>
      <c r="AY733" s="2" t="s">
        <v>74</v>
      </c>
      <c r="AZ733" s="2" t="s">
        <v>74</v>
      </c>
      <c r="BA733" s="2" t="s">
        <v>74</v>
      </c>
      <c r="BB733" s="2">
        <v>494</v>
      </c>
      <c r="BC733" s="2">
        <v>496</v>
      </c>
      <c r="BD733" s="2" t="s">
        <v>74</v>
      </c>
      <c r="BE733" s="2" t="s">
        <v>4412</v>
      </c>
      <c r="BF733" s="2" t="str">
        <f>HYPERLINK("http://dx.doi.org/10.1098/rsbl.2006.0542","http://dx.doi.org/10.1098/rsbl.2006.0542")</f>
        <v>http://dx.doi.org/10.1098/rsbl.2006.0542</v>
      </c>
      <c r="BG733" s="2" t="s">
        <v>74</v>
      </c>
      <c r="BH733" s="2" t="s">
        <v>74</v>
      </c>
      <c r="BI733" s="2" t="s">
        <v>74</v>
      </c>
      <c r="BJ733" s="2" t="s">
        <v>74</v>
      </c>
      <c r="BK733" s="2" t="s">
        <v>74</v>
      </c>
      <c r="BL733" s="2" t="s">
        <v>74</v>
      </c>
      <c r="BM733" s="2" t="s">
        <v>74</v>
      </c>
      <c r="BN733" s="2">
        <v>17148271</v>
      </c>
      <c r="BO733" s="2" t="s">
        <v>74</v>
      </c>
      <c r="BP733" s="2" t="s">
        <v>74</v>
      </c>
      <c r="BQ733" s="2" t="s">
        <v>74</v>
      </c>
      <c r="BR733" s="2" t="s">
        <v>74</v>
      </c>
      <c r="BS733" s="2" t="s">
        <v>4413</v>
      </c>
      <c r="BT733" s="2" t="str">
        <f>HYPERLINK("https%3A%2F%2Fwww.webofscience.com%2Fwos%2Fwoscc%2Ffull-record%2FWOS:000242686500005","View Full Record in Web of Science")</f>
        <v>View Full Record in Web of Science</v>
      </c>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row>
    <row r="734" spans="1:314" s="2" customFormat="1" x14ac:dyDescent="0.4">
      <c r="A734" s="2" t="s">
        <v>72</v>
      </c>
      <c r="B734" s="2" t="s">
        <v>7014</v>
      </c>
      <c r="C734" s="2" t="s">
        <v>74</v>
      </c>
      <c r="D734" s="2" t="s">
        <v>74</v>
      </c>
      <c r="E734" s="2" t="s">
        <v>74</v>
      </c>
      <c r="F734" s="2" t="s">
        <v>7014</v>
      </c>
      <c r="G734" s="2" t="s">
        <v>74</v>
      </c>
      <c r="H734" s="2" t="s">
        <v>74</v>
      </c>
      <c r="I734" s="2" t="s">
        <v>7015</v>
      </c>
      <c r="J734" s="2" t="s">
        <v>1743</v>
      </c>
      <c r="K734" s="2" t="s">
        <v>74</v>
      </c>
      <c r="L734" s="2" t="s">
        <v>74</v>
      </c>
      <c r="M734" s="2" t="s">
        <v>74</v>
      </c>
      <c r="N734" s="2" t="s">
        <v>74</v>
      </c>
      <c r="O734" s="2" t="s">
        <v>74</v>
      </c>
      <c r="P734" s="2" t="s">
        <v>74</v>
      </c>
      <c r="Q734" s="2" t="s">
        <v>74</v>
      </c>
      <c r="R734" s="2" t="s">
        <v>74</v>
      </c>
      <c r="S734" s="2" t="s">
        <v>74</v>
      </c>
      <c r="T734" s="2" t="s">
        <v>74</v>
      </c>
      <c r="U734" s="2" t="s">
        <v>74</v>
      </c>
      <c r="V734" s="5" t="s">
        <v>7016</v>
      </c>
      <c r="W734" s="2" t="s">
        <v>74</v>
      </c>
      <c r="X734" s="2" t="s">
        <v>74</v>
      </c>
      <c r="Y734" s="2" t="s">
        <v>74</v>
      </c>
      <c r="Z734" s="2" t="s">
        <v>74</v>
      </c>
      <c r="AA734" s="2" t="s">
        <v>74</v>
      </c>
      <c r="AB734" s="2" t="s">
        <v>74</v>
      </c>
      <c r="AC734" s="2" t="s">
        <v>74</v>
      </c>
      <c r="AD734" s="2" t="s">
        <v>74</v>
      </c>
      <c r="AE734" s="2" t="s">
        <v>74</v>
      </c>
      <c r="AF734" s="2" t="s">
        <v>74</v>
      </c>
      <c r="AG734" s="2" t="s">
        <v>74</v>
      </c>
      <c r="AH734" s="2" t="s">
        <v>74</v>
      </c>
      <c r="AI734" s="2" t="s">
        <v>74</v>
      </c>
      <c r="AJ734" s="2" t="s">
        <v>74</v>
      </c>
      <c r="AK734" s="2" t="s">
        <v>74</v>
      </c>
      <c r="AL734" s="2" t="s">
        <v>74</v>
      </c>
      <c r="AM734" s="2" t="s">
        <v>74</v>
      </c>
      <c r="AN734" s="2" t="s">
        <v>74</v>
      </c>
      <c r="AO734" s="2" t="s">
        <v>1746</v>
      </c>
      <c r="AP734" s="2" t="s">
        <v>74</v>
      </c>
      <c r="AQ734" s="2" t="s">
        <v>74</v>
      </c>
      <c r="AR734" s="2" t="s">
        <v>74</v>
      </c>
      <c r="AS734" s="2" t="s">
        <v>74</v>
      </c>
      <c r="AT734" s="2" t="s">
        <v>964</v>
      </c>
      <c r="AU734" s="2">
        <v>1991</v>
      </c>
      <c r="AV734" s="2">
        <v>8</v>
      </c>
      <c r="AW734" s="2">
        <v>1</v>
      </c>
      <c r="AX734" s="2" t="s">
        <v>74</v>
      </c>
      <c r="AY734" s="2" t="s">
        <v>74</v>
      </c>
      <c r="AZ734" s="2" t="s">
        <v>74</v>
      </c>
      <c r="BA734" s="2" t="s">
        <v>74</v>
      </c>
      <c r="BB734" s="2">
        <v>121</v>
      </c>
      <c r="BC734" s="2">
        <v>133</v>
      </c>
      <c r="BD734" s="2" t="s">
        <v>74</v>
      </c>
      <c r="BE734" s="2" t="s">
        <v>74</v>
      </c>
      <c r="BF734" s="2" t="s">
        <v>74</v>
      </c>
      <c r="BG734" s="2" t="s">
        <v>74</v>
      </c>
      <c r="BH734" s="2" t="s">
        <v>74</v>
      </c>
      <c r="BI734" s="2" t="s">
        <v>74</v>
      </c>
      <c r="BJ734" s="2" t="s">
        <v>74</v>
      </c>
      <c r="BK734" s="2" t="s">
        <v>74</v>
      </c>
      <c r="BL734" s="2" t="s">
        <v>74</v>
      </c>
      <c r="BM734" s="2" t="s">
        <v>74</v>
      </c>
      <c r="BN734" s="2" t="s">
        <v>74</v>
      </c>
      <c r="BO734" s="2" t="s">
        <v>74</v>
      </c>
      <c r="BP734" s="2" t="s">
        <v>74</v>
      </c>
      <c r="BQ734" s="2" t="s">
        <v>74</v>
      </c>
      <c r="BR734" s="2" t="s">
        <v>74</v>
      </c>
      <c r="BS734" s="2" t="s">
        <v>7017</v>
      </c>
      <c r="BT734" s="2" t="str">
        <f>HYPERLINK("https%3A%2F%2Fwww.webofscience.com%2Fwos%2Fwoscc%2Ffull-record%2FWOS:A1991FG50700015","View Full Record in Web of Science")</f>
        <v>View Full Record in Web of Science</v>
      </c>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row>
    <row r="735" spans="1:314" s="2" customFormat="1" x14ac:dyDescent="0.4">
      <c r="A735" s="2" t="s">
        <v>72</v>
      </c>
      <c r="B735" s="2" t="s">
        <v>7104</v>
      </c>
      <c r="C735" s="2" t="s">
        <v>74</v>
      </c>
      <c r="D735" s="2" t="s">
        <v>74</v>
      </c>
      <c r="E735" s="2" t="s">
        <v>74</v>
      </c>
      <c r="F735" s="2" t="s">
        <v>7104</v>
      </c>
      <c r="G735" s="2" t="s">
        <v>74</v>
      </c>
      <c r="H735" s="2" t="s">
        <v>74</v>
      </c>
      <c r="I735" s="2" t="s">
        <v>7105</v>
      </c>
      <c r="J735" s="2" t="s">
        <v>5129</v>
      </c>
      <c r="K735" s="2" t="s">
        <v>74</v>
      </c>
      <c r="L735" s="2" t="s">
        <v>74</v>
      </c>
      <c r="M735" s="2" t="s">
        <v>74</v>
      </c>
      <c r="N735" s="2" t="s">
        <v>74</v>
      </c>
      <c r="O735" s="2" t="s">
        <v>74</v>
      </c>
      <c r="P735" s="2" t="s">
        <v>74</v>
      </c>
      <c r="Q735" s="2" t="s">
        <v>74</v>
      </c>
      <c r="R735" s="2" t="s">
        <v>74</v>
      </c>
      <c r="S735" s="2" t="s">
        <v>74</v>
      </c>
      <c r="T735" s="2" t="s">
        <v>74</v>
      </c>
      <c r="U735" s="2" t="s">
        <v>74</v>
      </c>
      <c r="V735" s="5" t="s">
        <v>7106</v>
      </c>
      <c r="W735" s="2" t="s">
        <v>74</v>
      </c>
      <c r="X735" s="2" t="s">
        <v>74</v>
      </c>
      <c r="Y735" s="2" t="s">
        <v>74</v>
      </c>
      <c r="Z735" s="2" t="s">
        <v>74</v>
      </c>
      <c r="AA735" s="2" t="s">
        <v>74</v>
      </c>
      <c r="AB735" s="2" t="s">
        <v>74</v>
      </c>
      <c r="AC735" s="2" t="s">
        <v>74</v>
      </c>
      <c r="AD735" s="2" t="s">
        <v>74</v>
      </c>
      <c r="AE735" s="2" t="s">
        <v>74</v>
      </c>
      <c r="AF735" s="2" t="s">
        <v>74</v>
      </c>
      <c r="AG735" s="2" t="s">
        <v>74</v>
      </c>
      <c r="AH735" s="2" t="s">
        <v>74</v>
      </c>
      <c r="AI735" s="2" t="s">
        <v>74</v>
      </c>
      <c r="AJ735" s="2" t="s">
        <v>74</v>
      </c>
      <c r="AK735" s="2" t="s">
        <v>74</v>
      </c>
      <c r="AL735" s="2" t="s">
        <v>74</v>
      </c>
      <c r="AM735" s="2" t="s">
        <v>74</v>
      </c>
      <c r="AN735" s="2" t="s">
        <v>74</v>
      </c>
      <c r="AO735" s="2" t="s">
        <v>5131</v>
      </c>
      <c r="AP735" s="2" t="s">
        <v>5132</v>
      </c>
      <c r="AQ735" s="2" t="s">
        <v>74</v>
      </c>
      <c r="AR735" s="2" t="s">
        <v>74</v>
      </c>
      <c r="AS735" s="2" t="s">
        <v>74</v>
      </c>
      <c r="AT735" s="2" t="s">
        <v>74</v>
      </c>
      <c r="AU735" s="2">
        <v>1986</v>
      </c>
      <c r="AV735" s="2">
        <v>74</v>
      </c>
      <c r="AW735" s="2">
        <v>2</v>
      </c>
      <c r="AX735" s="2" t="s">
        <v>74</v>
      </c>
      <c r="AY735" s="2" t="s">
        <v>74</v>
      </c>
      <c r="AZ735" s="2" t="s">
        <v>74</v>
      </c>
      <c r="BA735" s="2" t="s">
        <v>74</v>
      </c>
      <c r="BB735" s="2">
        <v>177</v>
      </c>
      <c r="BC735" s="2">
        <v>183</v>
      </c>
      <c r="BD735" s="2" t="s">
        <v>74</v>
      </c>
      <c r="BE735" s="2" t="s">
        <v>74</v>
      </c>
      <c r="BF735" s="2" t="s">
        <v>74</v>
      </c>
      <c r="BG735" s="2" t="s">
        <v>74</v>
      </c>
      <c r="BH735" s="2" t="s">
        <v>74</v>
      </c>
      <c r="BI735" s="2" t="s">
        <v>74</v>
      </c>
      <c r="BJ735" s="2" t="s">
        <v>74</v>
      </c>
      <c r="BK735" s="2" t="s">
        <v>74</v>
      </c>
      <c r="BL735" s="2" t="s">
        <v>74</v>
      </c>
      <c r="BM735" s="2" t="s">
        <v>74</v>
      </c>
      <c r="BN735" s="2" t="s">
        <v>74</v>
      </c>
      <c r="BO735" s="2" t="s">
        <v>74</v>
      </c>
      <c r="BP735" s="2" t="s">
        <v>74</v>
      </c>
      <c r="BQ735" s="2" t="s">
        <v>74</v>
      </c>
      <c r="BR735" s="2" t="s">
        <v>74</v>
      </c>
      <c r="BS735" s="2" t="s">
        <v>7107</v>
      </c>
      <c r="BT735" s="2" t="str">
        <f>HYPERLINK("https%3A%2F%2Fwww.webofscience.com%2Fwos%2Fwoscc%2Ffull-record%2FWOS:A1986D993200007","View Full Record in Web of Science")</f>
        <v>View Full Record in Web of Science</v>
      </c>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row>
    <row r="736" spans="1:314" s="2" customFormat="1" x14ac:dyDescent="0.4">
      <c r="A736" s="2" t="s">
        <v>72</v>
      </c>
      <c r="B736" s="2" t="s">
        <v>6827</v>
      </c>
      <c r="C736" s="2" t="s">
        <v>74</v>
      </c>
      <c r="D736" s="2" t="s">
        <v>74</v>
      </c>
      <c r="E736" s="2" t="s">
        <v>74</v>
      </c>
      <c r="F736" s="2" t="s">
        <v>6827</v>
      </c>
      <c r="G736" s="2" t="s">
        <v>74</v>
      </c>
      <c r="H736" s="2" t="s">
        <v>74</v>
      </c>
      <c r="I736" s="2" t="s">
        <v>6828</v>
      </c>
      <c r="J736" s="2" t="s">
        <v>6829</v>
      </c>
      <c r="K736" s="2" t="s">
        <v>74</v>
      </c>
      <c r="L736" s="2" t="s">
        <v>74</v>
      </c>
      <c r="M736" s="2" t="s">
        <v>74</v>
      </c>
      <c r="N736" s="2" t="s">
        <v>74</v>
      </c>
      <c r="O736" s="2" t="s">
        <v>74</v>
      </c>
      <c r="P736" s="2" t="s">
        <v>74</v>
      </c>
      <c r="Q736" s="2" t="s">
        <v>74</v>
      </c>
      <c r="R736" s="2" t="s">
        <v>74</v>
      </c>
      <c r="S736" s="2" t="s">
        <v>74</v>
      </c>
      <c r="T736" s="2" t="s">
        <v>74</v>
      </c>
      <c r="U736" s="2" t="s">
        <v>74</v>
      </c>
      <c r="V736" s="5" t="s">
        <v>6830</v>
      </c>
      <c r="W736" s="2" t="s">
        <v>74</v>
      </c>
      <c r="X736" s="2" t="s">
        <v>74</v>
      </c>
      <c r="Y736" s="2" t="s">
        <v>74</v>
      </c>
      <c r="Z736" s="2" t="s">
        <v>74</v>
      </c>
      <c r="AA736" s="2" t="s">
        <v>74</v>
      </c>
      <c r="AB736" s="2" t="s">
        <v>74</v>
      </c>
      <c r="AC736" s="2" t="s">
        <v>74</v>
      </c>
      <c r="AD736" s="2" t="s">
        <v>74</v>
      </c>
      <c r="AE736" s="2" t="s">
        <v>74</v>
      </c>
      <c r="AF736" s="2" t="s">
        <v>74</v>
      </c>
      <c r="AG736" s="2" t="s">
        <v>74</v>
      </c>
      <c r="AH736" s="2" t="s">
        <v>74</v>
      </c>
      <c r="AI736" s="2" t="s">
        <v>74</v>
      </c>
      <c r="AJ736" s="2" t="s">
        <v>74</v>
      </c>
      <c r="AK736" s="2" t="s">
        <v>74</v>
      </c>
      <c r="AL736" s="2" t="s">
        <v>74</v>
      </c>
      <c r="AM736" s="2" t="s">
        <v>74</v>
      </c>
      <c r="AN736" s="2" t="s">
        <v>74</v>
      </c>
      <c r="AO736" s="2" t="s">
        <v>6831</v>
      </c>
      <c r="AP736" s="2" t="s">
        <v>6832</v>
      </c>
      <c r="AQ736" s="2" t="s">
        <v>74</v>
      </c>
      <c r="AR736" s="2" t="s">
        <v>74</v>
      </c>
      <c r="AS736" s="2" t="s">
        <v>74</v>
      </c>
      <c r="AT736" s="2" t="s">
        <v>305</v>
      </c>
      <c r="AU736" s="2">
        <v>1997</v>
      </c>
      <c r="AV736" s="2">
        <v>87</v>
      </c>
      <c r="AW736" s="2">
        <v>6</v>
      </c>
      <c r="AX736" s="2" t="s">
        <v>74</v>
      </c>
      <c r="AY736" s="2" t="s">
        <v>74</v>
      </c>
      <c r="AZ736" s="2" t="s">
        <v>74</v>
      </c>
      <c r="BA736" s="2" t="s">
        <v>74</v>
      </c>
      <c r="BB736" s="2">
        <v>595</v>
      </c>
      <c r="BC736" s="2">
        <v>608</v>
      </c>
      <c r="BD736" s="2" t="s">
        <v>74</v>
      </c>
      <c r="BE736" s="2" t="s">
        <v>6833</v>
      </c>
      <c r="BF736" s="2" t="str">
        <f>HYPERLINK("http://dx.doi.org/10.1017/S0007485300038694","http://dx.doi.org/10.1017/S0007485300038694")</f>
        <v>http://dx.doi.org/10.1017/S0007485300038694</v>
      </c>
      <c r="BG736" s="2" t="s">
        <v>74</v>
      </c>
      <c r="BH736" s="2" t="s">
        <v>74</v>
      </c>
      <c r="BI736" s="2" t="s">
        <v>74</v>
      </c>
      <c r="BJ736" s="2" t="s">
        <v>74</v>
      </c>
      <c r="BK736" s="2" t="s">
        <v>74</v>
      </c>
      <c r="BL736" s="2" t="s">
        <v>74</v>
      </c>
      <c r="BM736" s="2" t="s">
        <v>74</v>
      </c>
      <c r="BN736" s="2" t="s">
        <v>74</v>
      </c>
      <c r="BO736" s="2" t="s">
        <v>74</v>
      </c>
      <c r="BP736" s="2" t="s">
        <v>74</v>
      </c>
      <c r="BQ736" s="2" t="s">
        <v>74</v>
      </c>
      <c r="BR736" s="2" t="s">
        <v>74</v>
      </c>
      <c r="BS736" s="2" t="s">
        <v>6834</v>
      </c>
      <c r="BT736" s="2" t="str">
        <f>HYPERLINK("https%3A%2F%2Fwww.webofscience.com%2Fwos%2Fwoscc%2Ffull-record%2FWOS:A1997YL39300006","View Full Record in Web of Science")</f>
        <v>View Full Record in Web of Science</v>
      </c>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row>
    <row r="737" spans="1:314" s="1" customFormat="1" x14ac:dyDescent="0.4">
      <c r="A737" s="2" t="s">
        <v>72</v>
      </c>
      <c r="B737" s="2" t="s">
        <v>6122</v>
      </c>
      <c r="C737" s="2" t="s">
        <v>74</v>
      </c>
      <c r="D737" s="2" t="s">
        <v>74</v>
      </c>
      <c r="E737" s="2" t="s">
        <v>74</v>
      </c>
      <c r="F737" s="2" t="s">
        <v>6122</v>
      </c>
      <c r="G737" s="2" t="s">
        <v>74</v>
      </c>
      <c r="H737" s="2" t="s">
        <v>74</v>
      </c>
      <c r="I737" s="2" t="s">
        <v>6123</v>
      </c>
      <c r="J737" s="2" t="s">
        <v>6124</v>
      </c>
      <c r="K737" s="2" t="s">
        <v>74</v>
      </c>
      <c r="L737" s="2" t="s">
        <v>74</v>
      </c>
      <c r="M737" s="2" t="s">
        <v>74</v>
      </c>
      <c r="N737" s="2" t="s">
        <v>74</v>
      </c>
      <c r="O737" s="2" t="s">
        <v>74</v>
      </c>
      <c r="P737" s="2" t="s">
        <v>74</v>
      </c>
      <c r="Q737" s="2" t="s">
        <v>74</v>
      </c>
      <c r="R737" s="2" t="s">
        <v>74</v>
      </c>
      <c r="S737" s="2" t="s">
        <v>74</v>
      </c>
      <c r="T737" s="2" t="s">
        <v>74</v>
      </c>
      <c r="U737" s="2" t="s">
        <v>74</v>
      </c>
      <c r="V737" s="5" t="s">
        <v>6125</v>
      </c>
      <c r="W737" s="2" t="s">
        <v>74</v>
      </c>
      <c r="X737" s="2" t="s">
        <v>74</v>
      </c>
      <c r="Y737" s="2" t="s">
        <v>74</v>
      </c>
      <c r="Z737" s="2" t="s">
        <v>74</v>
      </c>
      <c r="AA737" s="2" t="s">
        <v>74</v>
      </c>
      <c r="AB737" s="2" t="s">
        <v>74</v>
      </c>
      <c r="AC737" s="2" t="s">
        <v>74</v>
      </c>
      <c r="AD737" s="2" t="s">
        <v>74</v>
      </c>
      <c r="AE737" s="2" t="s">
        <v>74</v>
      </c>
      <c r="AF737" s="2" t="s">
        <v>74</v>
      </c>
      <c r="AG737" s="2" t="s">
        <v>74</v>
      </c>
      <c r="AH737" s="2" t="s">
        <v>74</v>
      </c>
      <c r="AI737" s="2" t="s">
        <v>74</v>
      </c>
      <c r="AJ737" s="2" t="s">
        <v>74</v>
      </c>
      <c r="AK737" s="2" t="s">
        <v>74</v>
      </c>
      <c r="AL737" s="2" t="s">
        <v>74</v>
      </c>
      <c r="AM737" s="2" t="s">
        <v>74</v>
      </c>
      <c r="AN737" s="2" t="s">
        <v>74</v>
      </c>
      <c r="AO737" s="2" t="s">
        <v>6126</v>
      </c>
      <c r="AP737" s="2" t="s">
        <v>6127</v>
      </c>
      <c r="AQ737" s="2" t="s">
        <v>74</v>
      </c>
      <c r="AR737" s="2" t="s">
        <v>74</v>
      </c>
      <c r="AS737" s="2" t="s">
        <v>74</v>
      </c>
      <c r="AT737" s="2" t="s">
        <v>74</v>
      </c>
      <c r="AU737" s="2">
        <v>1984</v>
      </c>
      <c r="AV737" s="2">
        <v>70</v>
      </c>
      <c r="AW737" s="2">
        <v>4</v>
      </c>
      <c r="AX737" s="2" t="s">
        <v>74</v>
      </c>
      <c r="AY737" s="2" t="s">
        <v>74</v>
      </c>
      <c r="AZ737" s="2" t="s">
        <v>74</v>
      </c>
      <c r="BA737" s="2" t="s">
        <v>74</v>
      </c>
      <c r="BB737" s="2">
        <v>234</v>
      </c>
      <c r="BC737" s="2">
        <v>239</v>
      </c>
      <c r="BD737" s="2" t="s">
        <v>74</v>
      </c>
      <c r="BE737" s="2" t="s">
        <v>74</v>
      </c>
      <c r="BF737" s="2" t="s">
        <v>74</v>
      </c>
      <c r="BG737" s="2" t="s">
        <v>74</v>
      </c>
      <c r="BH737" s="2" t="s">
        <v>74</v>
      </c>
      <c r="BI737" s="2" t="s">
        <v>74</v>
      </c>
      <c r="BJ737" s="2" t="s">
        <v>74</v>
      </c>
      <c r="BK737" s="2" t="s">
        <v>74</v>
      </c>
      <c r="BL737" s="2" t="s">
        <v>74</v>
      </c>
      <c r="BM737" s="2" t="s">
        <v>74</v>
      </c>
      <c r="BN737" s="2" t="s">
        <v>74</v>
      </c>
      <c r="BO737" s="2" t="s">
        <v>74</v>
      </c>
      <c r="BP737" s="2" t="s">
        <v>74</v>
      </c>
      <c r="BQ737" s="2" t="s">
        <v>74</v>
      </c>
      <c r="BR737" s="2" t="s">
        <v>74</v>
      </c>
      <c r="BS737" s="2" t="s">
        <v>6128</v>
      </c>
      <c r="BT737" s="2" t="str">
        <f>HYPERLINK("https%3A%2F%2Fwww.webofscience.com%2Fwos%2Fwoscc%2Ffull-record%2FWOS:A1984TV59800004","View Full Record in Web of Science")</f>
        <v>View Full Record in Web of Science</v>
      </c>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row>
    <row r="738" spans="1:314" s="2" customFormat="1" x14ac:dyDescent="0.4">
      <c r="A738" s="2" t="s">
        <v>72</v>
      </c>
      <c r="B738" s="2" t="s">
        <v>8247</v>
      </c>
      <c r="C738" s="2" t="s">
        <v>74</v>
      </c>
      <c r="D738" s="2" t="s">
        <v>74</v>
      </c>
      <c r="E738" s="2" t="s">
        <v>74</v>
      </c>
      <c r="F738" s="2" t="s">
        <v>8248</v>
      </c>
      <c r="G738" s="2" t="s">
        <v>74</v>
      </c>
      <c r="H738" s="2" t="s">
        <v>74</v>
      </c>
      <c r="I738" s="2" t="s">
        <v>8249</v>
      </c>
      <c r="J738" s="2" t="s">
        <v>408</v>
      </c>
      <c r="K738" s="2" t="s">
        <v>74</v>
      </c>
      <c r="L738" s="2" t="s">
        <v>74</v>
      </c>
      <c r="M738" s="2" t="s">
        <v>74</v>
      </c>
      <c r="N738" s="2" t="s">
        <v>74</v>
      </c>
      <c r="O738" s="2" t="s">
        <v>74</v>
      </c>
      <c r="P738" s="2" t="s">
        <v>74</v>
      </c>
      <c r="Q738" s="2" t="s">
        <v>74</v>
      </c>
      <c r="R738" s="2" t="s">
        <v>74</v>
      </c>
      <c r="S738" s="2" t="s">
        <v>74</v>
      </c>
      <c r="T738" s="2" t="s">
        <v>74</v>
      </c>
      <c r="U738" s="2" t="s">
        <v>74</v>
      </c>
      <c r="V738" s="5" t="s">
        <v>8250</v>
      </c>
      <c r="W738" s="2" t="s">
        <v>74</v>
      </c>
      <c r="X738" s="2" t="s">
        <v>74</v>
      </c>
      <c r="Y738" s="2" t="s">
        <v>74</v>
      </c>
      <c r="Z738" s="2" t="s">
        <v>74</v>
      </c>
      <c r="AA738" s="2" t="s">
        <v>74</v>
      </c>
      <c r="AB738" s="2" t="s">
        <v>8251</v>
      </c>
      <c r="AC738" s="2" t="s">
        <v>74</v>
      </c>
      <c r="AD738" s="2" t="s">
        <v>74</v>
      </c>
      <c r="AE738" s="2" t="s">
        <v>74</v>
      </c>
      <c r="AF738" s="2" t="s">
        <v>74</v>
      </c>
      <c r="AG738" s="2" t="s">
        <v>74</v>
      </c>
      <c r="AH738" s="2" t="s">
        <v>74</v>
      </c>
      <c r="AI738" s="2" t="s">
        <v>74</v>
      </c>
      <c r="AJ738" s="2" t="s">
        <v>74</v>
      </c>
      <c r="AK738" s="2" t="s">
        <v>74</v>
      </c>
      <c r="AL738" s="2" t="s">
        <v>74</v>
      </c>
      <c r="AM738" s="2" t="s">
        <v>74</v>
      </c>
      <c r="AN738" s="2" t="s">
        <v>74</v>
      </c>
      <c r="AO738" s="2" t="s">
        <v>412</v>
      </c>
      <c r="AP738" s="2" t="s">
        <v>413</v>
      </c>
      <c r="AQ738" s="2" t="s">
        <v>74</v>
      </c>
      <c r="AR738" s="2" t="s">
        <v>74</v>
      </c>
      <c r="AS738" s="2" t="s">
        <v>74</v>
      </c>
      <c r="AT738" s="2" t="s">
        <v>255</v>
      </c>
      <c r="AU738" s="2">
        <v>2020</v>
      </c>
      <c r="AV738" s="2">
        <v>129</v>
      </c>
      <c r="AW738" s="2">
        <v>1</v>
      </c>
      <c r="AX738" s="2" t="s">
        <v>74</v>
      </c>
      <c r="AY738" s="2" t="s">
        <v>74</v>
      </c>
      <c r="AZ738" s="2" t="s">
        <v>74</v>
      </c>
      <c r="BA738" s="2" t="s">
        <v>74</v>
      </c>
      <c r="BB738" s="2">
        <v>143</v>
      </c>
      <c r="BC738" s="2">
        <v>161</v>
      </c>
      <c r="BD738" s="2" t="s">
        <v>74</v>
      </c>
      <c r="BE738" s="2" t="s">
        <v>8252</v>
      </c>
      <c r="BF738" s="2" t="str">
        <f>HYPERLINK("http://dx.doi.org/10.1093/biolinnean/blz162","http://dx.doi.org/10.1093/biolinnean/blz162")</f>
        <v>http://dx.doi.org/10.1093/biolinnean/blz162</v>
      </c>
      <c r="BG738" s="2" t="s">
        <v>74</v>
      </c>
      <c r="BH738" s="2" t="s">
        <v>74</v>
      </c>
      <c r="BI738" s="2" t="s">
        <v>74</v>
      </c>
      <c r="BJ738" s="2" t="s">
        <v>74</v>
      </c>
      <c r="BK738" s="2" t="s">
        <v>74</v>
      </c>
      <c r="BL738" s="2" t="s">
        <v>74</v>
      </c>
      <c r="BM738" s="2" t="s">
        <v>74</v>
      </c>
      <c r="BN738" s="2" t="s">
        <v>74</v>
      </c>
      <c r="BO738" s="2" t="s">
        <v>74</v>
      </c>
      <c r="BP738" s="2" t="s">
        <v>74</v>
      </c>
      <c r="BQ738" s="2" t="s">
        <v>74</v>
      </c>
      <c r="BR738" s="2" t="s">
        <v>74</v>
      </c>
      <c r="BS738" s="2" t="s">
        <v>8253</v>
      </c>
      <c r="BT738" s="2" t="str">
        <f>HYPERLINK("https%3A%2F%2Fwww.webofscience.com%2Fwos%2Fwoscc%2Ffull-record%2FWOS:000506800100011","View Full Record in Web of Science")</f>
        <v>View Full Record in Web of Science</v>
      </c>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row>
    <row r="739" spans="1:314" s="2" customFormat="1" x14ac:dyDescent="0.4">
      <c r="A739" s="2" t="s">
        <v>72</v>
      </c>
      <c r="B739" s="2" t="s">
        <v>7440</v>
      </c>
      <c r="C739" s="2" t="s">
        <v>74</v>
      </c>
      <c r="D739" s="2" t="s">
        <v>74</v>
      </c>
      <c r="E739" s="2" t="s">
        <v>74</v>
      </c>
      <c r="F739" s="2" t="s">
        <v>7440</v>
      </c>
      <c r="G739" s="2" t="s">
        <v>74</v>
      </c>
      <c r="H739" s="2" t="s">
        <v>74</v>
      </c>
      <c r="I739" s="2" t="s">
        <v>7441</v>
      </c>
      <c r="J739" s="2" t="s">
        <v>610</v>
      </c>
      <c r="K739" s="2" t="s">
        <v>74</v>
      </c>
      <c r="L739" s="2" t="s">
        <v>74</v>
      </c>
      <c r="M739" s="2" t="s">
        <v>74</v>
      </c>
      <c r="N739" s="2" t="s">
        <v>74</v>
      </c>
      <c r="O739" s="2" t="s">
        <v>74</v>
      </c>
      <c r="P739" s="2" t="s">
        <v>74</v>
      </c>
      <c r="Q739" s="2" t="s">
        <v>74</v>
      </c>
      <c r="R739" s="2" t="s">
        <v>74</v>
      </c>
      <c r="S739" s="2" t="s">
        <v>74</v>
      </c>
      <c r="T739" s="2" t="s">
        <v>74</v>
      </c>
      <c r="U739" s="2" t="s">
        <v>74</v>
      </c>
      <c r="V739" s="5" t="s">
        <v>7442</v>
      </c>
      <c r="W739" s="2" t="s">
        <v>74</v>
      </c>
      <c r="X739" s="2" t="s">
        <v>74</v>
      </c>
      <c r="Y739" s="2" t="s">
        <v>74</v>
      </c>
      <c r="Z739" s="2" t="s">
        <v>74</v>
      </c>
      <c r="AA739" s="2" t="s">
        <v>74</v>
      </c>
      <c r="AB739" s="2" t="s">
        <v>74</v>
      </c>
      <c r="AC739" s="2" t="s">
        <v>74</v>
      </c>
      <c r="AD739" s="2" t="s">
        <v>74</v>
      </c>
      <c r="AE739" s="2" t="s">
        <v>74</v>
      </c>
      <c r="AF739" s="2" t="s">
        <v>74</v>
      </c>
      <c r="AG739" s="2" t="s">
        <v>74</v>
      </c>
      <c r="AH739" s="2" t="s">
        <v>74</v>
      </c>
      <c r="AI739" s="2" t="s">
        <v>74</v>
      </c>
      <c r="AJ739" s="2" t="s">
        <v>74</v>
      </c>
      <c r="AK739" s="2" t="s">
        <v>74</v>
      </c>
      <c r="AL739" s="2" t="s">
        <v>74</v>
      </c>
      <c r="AM739" s="2" t="s">
        <v>74</v>
      </c>
      <c r="AN739" s="2" t="s">
        <v>74</v>
      </c>
      <c r="AO739" s="2" t="s">
        <v>614</v>
      </c>
      <c r="AP739" s="2" t="s">
        <v>615</v>
      </c>
      <c r="AQ739" s="2" t="s">
        <v>74</v>
      </c>
      <c r="AR739" s="2" t="s">
        <v>74</v>
      </c>
      <c r="AS739" s="2" t="s">
        <v>74</v>
      </c>
      <c r="AT739" s="2" t="s">
        <v>352</v>
      </c>
      <c r="AU739" s="2">
        <v>2004</v>
      </c>
      <c r="AV739" s="2">
        <v>110</v>
      </c>
      <c r="AW739" s="2">
        <v>9</v>
      </c>
      <c r="AX739" s="2" t="s">
        <v>74</v>
      </c>
      <c r="AY739" s="2" t="s">
        <v>74</v>
      </c>
      <c r="AZ739" s="2" t="s">
        <v>74</v>
      </c>
      <c r="BA739" s="2" t="s">
        <v>74</v>
      </c>
      <c r="BB739" s="2">
        <v>707</v>
      </c>
      <c r="BC739" s="2">
        <v>715</v>
      </c>
      <c r="BD739" s="2" t="s">
        <v>74</v>
      </c>
      <c r="BE739" s="2" t="s">
        <v>7443</v>
      </c>
      <c r="BF739" s="2" t="str">
        <f>HYPERLINK("http://dx.doi.org/10.1111/j.1439-0310.2004.01011.x","http://dx.doi.org/10.1111/j.1439-0310.2004.01011.x")</f>
        <v>http://dx.doi.org/10.1111/j.1439-0310.2004.01011.x</v>
      </c>
      <c r="BG739" s="2" t="s">
        <v>74</v>
      </c>
      <c r="BH739" s="2" t="s">
        <v>74</v>
      </c>
      <c r="BI739" s="2" t="s">
        <v>74</v>
      </c>
      <c r="BJ739" s="2" t="s">
        <v>74</v>
      </c>
      <c r="BK739" s="2" t="s">
        <v>74</v>
      </c>
      <c r="BL739" s="2" t="s">
        <v>74</v>
      </c>
      <c r="BM739" s="2" t="s">
        <v>74</v>
      </c>
      <c r="BN739" s="2" t="s">
        <v>74</v>
      </c>
      <c r="BO739" s="2" t="s">
        <v>74</v>
      </c>
      <c r="BP739" s="2" t="s">
        <v>74</v>
      </c>
      <c r="BQ739" s="2" t="s">
        <v>74</v>
      </c>
      <c r="BR739" s="2" t="s">
        <v>74</v>
      </c>
      <c r="BS739" s="2" t="s">
        <v>7444</v>
      </c>
      <c r="BT739" s="2" t="str">
        <f>HYPERLINK("https%3A%2F%2Fwww.webofscience.com%2Fwos%2Fwoscc%2Ffull-record%2FWOS:000223642800004","View Full Record in Web of Science")</f>
        <v>View Full Record in Web of Science</v>
      </c>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row>
    <row r="740" spans="1:314" s="2" customFormat="1" x14ac:dyDescent="0.4">
      <c r="A740" s="2" t="s">
        <v>72</v>
      </c>
      <c r="B740" s="2" t="s">
        <v>6106</v>
      </c>
      <c r="C740" s="2" t="s">
        <v>74</v>
      </c>
      <c r="D740" s="2" t="s">
        <v>74</v>
      </c>
      <c r="E740" s="2" t="s">
        <v>74</v>
      </c>
      <c r="F740" s="2" t="s">
        <v>6106</v>
      </c>
      <c r="G740" s="2" t="s">
        <v>74</v>
      </c>
      <c r="H740" s="2" t="s">
        <v>74</v>
      </c>
      <c r="I740" s="2" t="s">
        <v>6107</v>
      </c>
      <c r="J740" s="2" t="s">
        <v>333</v>
      </c>
      <c r="K740" s="2" t="s">
        <v>74</v>
      </c>
      <c r="L740" s="2" t="s">
        <v>74</v>
      </c>
      <c r="M740" s="2" t="s">
        <v>74</v>
      </c>
      <c r="N740" s="2" t="s">
        <v>74</v>
      </c>
      <c r="O740" s="2" t="s">
        <v>74</v>
      </c>
      <c r="P740" s="2" t="s">
        <v>74</v>
      </c>
      <c r="Q740" s="2" t="s">
        <v>74</v>
      </c>
      <c r="R740" s="2" t="s">
        <v>74</v>
      </c>
      <c r="S740" s="2" t="s">
        <v>74</v>
      </c>
      <c r="T740" s="2" t="s">
        <v>74</v>
      </c>
      <c r="U740" s="2" t="s">
        <v>74</v>
      </c>
      <c r="V740" s="5" t="s">
        <v>6108</v>
      </c>
      <c r="W740" s="2" t="s">
        <v>74</v>
      </c>
      <c r="X740" s="2" t="s">
        <v>74</v>
      </c>
      <c r="Y740" s="2" t="s">
        <v>74</v>
      </c>
      <c r="Z740" s="2" t="s">
        <v>74</v>
      </c>
      <c r="AA740" s="2" t="s">
        <v>5351</v>
      </c>
      <c r="AB740" s="2" t="s">
        <v>6109</v>
      </c>
      <c r="AC740" s="2" t="s">
        <v>74</v>
      </c>
      <c r="AD740" s="2" t="s">
        <v>74</v>
      </c>
      <c r="AE740" s="2" t="s">
        <v>74</v>
      </c>
      <c r="AF740" s="2" t="s">
        <v>74</v>
      </c>
      <c r="AG740" s="2" t="s">
        <v>74</v>
      </c>
      <c r="AH740" s="2" t="s">
        <v>74</v>
      </c>
      <c r="AI740" s="2" t="s">
        <v>74</v>
      </c>
      <c r="AJ740" s="2" t="s">
        <v>74</v>
      </c>
      <c r="AK740" s="2" t="s">
        <v>74</v>
      </c>
      <c r="AL740" s="2" t="s">
        <v>74</v>
      </c>
      <c r="AM740" s="2" t="s">
        <v>74</v>
      </c>
      <c r="AN740" s="2" t="s">
        <v>74</v>
      </c>
      <c r="AO740" s="2" t="s">
        <v>337</v>
      </c>
      <c r="AP740" s="2" t="s">
        <v>338</v>
      </c>
      <c r="AQ740" s="2" t="s">
        <v>74</v>
      </c>
      <c r="AR740" s="2" t="s">
        <v>74</v>
      </c>
      <c r="AS740" s="2" t="s">
        <v>74</v>
      </c>
      <c r="AT740" s="2" t="s">
        <v>1013</v>
      </c>
      <c r="AU740" s="2">
        <v>2000</v>
      </c>
      <c r="AV740" s="2">
        <v>11</v>
      </c>
      <c r="AW740" s="2">
        <v>5</v>
      </c>
      <c r="AX740" s="2" t="s">
        <v>74</v>
      </c>
      <c r="AY740" s="2" t="s">
        <v>74</v>
      </c>
      <c r="AZ740" s="2" t="s">
        <v>74</v>
      </c>
      <c r="BA740" s="2" t="s">
        <v>74</v>
      </c>
      <c r="BB740" s="2">
        <v>520</v>
      </c>
      <c r="BC740" s="2">
        <v>527</v>
      </c>
      <c r="BD740" s="2" t="s">
        <v>74</v>
      </c>
      <c r="BE740" s="2" t="s">
        <v>6110</v>
      </c>
      <c r="BF740" s="2" t="str">
        <f>HYPERLINK("http://dx.doi.org/10.1093/beheco/11.5.520","http://dx.doi.org/10.1093/beheco/11.5.520")</f>
        <v>http://dx.doi.org/10.1093/beheco/11.5.520</v>
      </c>
      <c r="BG740" s="2" t="s">
        <v>74</v>
      </c>
      <c r="BH740" s="2" t="s">
        <v>74</v>
      </c>
      <c r="BI740" s="2" t="s">
        <v>74</v>
      </c>
      <c r="BJ740" s="2" t="s">
        <v>74</v>
      </c>
      <c r="BK740" s="2" t="s">
        <v>74</v>
      </c>
      <c r="BL740" s="2" t="s">
        <v>74</v>
      </c>
      <c r="BM740" s="2" t="s">
        <v>74</v>
      </c>
      <c r="BN740" s="2" t="s">
        <v>74</v>
      </c>
      <c r="BO740" s="2" t="s">
        <v>74</v>
      </c>
      <c r="BP740" s="2" t="s">
        <v>74</v>
      </c>
      <c r="BQ740" s="2" t="s">
        <v>74</v>
      </c>
      <c r="BR740" s="2" t="s">
        <v>74</v>
      </c>
      <c r="BS740" s="2" t="s">
        <v>6111</v>
      </c>
      <c r="BT740" s="2" t="str">
        <f>HYPERLINK("https%3A%2F%2Fwww.webofscience.com%2Fwos%2Fwoscc%2Ffull-record%2FWOS:000089580100008","View Full Record in Web of Science")</f>
        <v>View Full Record in Web of Science</v>
      </c>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row>
    <row r="741" spans="1:314" s="2" customFormat="1" x14ac:dyDescent="0.4">
      <c r="A741" s="2" t="s">
        <v>72</v>
      </c>
      <c r="B741" s="2" t="s">
        <v>1235</v>
      </c>
      <c r="C741" s="2" t="s">
        <v>74</v>
      </c>
      <c r="D741" s="2" t="s">
        <v>74</v>
      </c>
      <c r="E741" s="2" t="s">
        <v>74</v>
      </c>
      <c r="F741" s="2" t="s">
        <v>1235</v>
      </c>
      <c r="G741" s="2" t="s">
        <v>74</v>
      </c>
      <c r="H741" s="2" t="s">
        <v>74</v>
      </c>
      <c r="I741" s="2" t="s">
        <v>1236</v>
      </c>
      <c r="J741" s="2" t="s">
        <v>1237</v>
      </c>
      <c r="K741" s="2" t="s">
        <v>74</v>
      </c>
      <c r="L741" s="2" t="s">
        <v>74</v>
      </c>
      <c r="M741" s="2" t="s">
        <v>74</v>
      </c>
      <c r="N741" s="2" t="s">
        <v>74</v>
      </c>
      <c r="O741" s="2" t="s">
        <v>74</v>
      </c>
      <c r="P741" s="2" t="s">
        <v>74</v>
      </c>
      <c r="Q741" s="2" t="s">
        <v>74</v>
      </c>
      <c r="R741" s="2" t="s">
        <v>74</v>
      </c>
      <c r="S741" s="2" t="s">
        <v>74</v>
      </c>
      <c r="T741" s="2" t="s">
        <v>74</v>
      </c>
      <c r="U741" s="2" t="s">
        <v>74</v>
      </c>
      <c r="V741" s="5" t="s">
        <v>1238</v>
      </c>
      <c r="W741" s="2" t="s">
        <v>74</v>
      </c>
      <c r="X741" s="2" t="s">
        <v>74</v>
      </c>
      <c r="Y741" s="2" t="s">
        <v>74</v>
      </c>
      <c r="Z741" s="2" t="s">
        <v>74</v>
      </c>
      <c r="AA741" s="2" t="s">
        <v>74</v>
      </c>
      <c r="AB741" s="2" t="s">
        <v>74</v>
      </c>
      <c r="AC741" s="2" t="s">
        <v>74</v>
      </c>
      <c r="AD741" s="2" t="s">
        <v>74</v>
      </c>
      <c r="AE741" s="2" t="s">
        <v>74</v>
      </c>
      <c r="AF741" s="2" t="s">
        <v>74</v>
      </c>
      <c r="AG741" s="2" t="s">
        <v>74</v>
      </c>
      <c r="AH741" s="2" t="s">
        <v>74</v>
      </c>
      <c r="AI741" s="2" t="s">
        <v>74</v>
      </c>
      <c r="AJ741" s="2" t="s">
        <v>74</v>
      </c>
      <c r="AK741" s="2" t="s">
        <v>74</v>
      </c>
      <c r="AL741" s="2" t="s">
        <v>74</v>
      </c>
      <c r="AM741" s="2" t="s">
        <v>74</v>
      </c>
      <c r="AN741" s="2" t="s">
        <v>74</v>
      </c>
      <c r="AO741" s="2" t="s">
        <v>1239</v>
      </c>
      <c r="AP741" s="2" t="s">
        <v>74</v>
      </c>
      <c r="AQ741" s="2" t="s">
        <v>74</v>
      </c>
      <c r="AR741" s="2" t="s">
        <v>74</v>
      </c>
      <c r="AS741" s="2" t="s">
        <v>74</v>
      </c>
      <c r="AT741" s="2" t="s">
        <v>352</v>
      </c>
      <c r="AU741" s="2">
        <v>1996</v>
      </c>
      <c r="AV741" s="2">
        <v>74</v>
      </c>
      <c r="AW741" s="2">
        <v>9</v>
      </c>
      <c r="AX741" s="2" t="s">
        <v>74</v>
      </c>
      <c r="AY741" s="2" t="s">
        <v>74</v>
      </c>
      <c r="AZ741" s="2" t="s">
        <v>74</v>
      </c>
      <c r="BA741" s="2" t="s">
        <v>74</v>
      </c>
      <c r="BB741" s="2">
        <v>1727</v>
      </c>
      <c r="BC741" s="2">
        <v>1733</v>
      </c>
      <c r="BD741" s="2" t="s">
        <v>74</v>
      </c>
      <c r="BE741" s="2" t="s">
        <v>1240</v>
      </c>
      <c r="BF741" s="2" t="str">
        <f>HYPERLINK("http://dx.doi.org/10.1139/z96-191","http://dx.doi.org/10.1139/z96-191")</f>
        <v>http://dx.doi.org/10.1139/z96-191</v>
      </c>
      <c r="BG741" s="2" t="s">
        <v>74</v>
      </c>
      <c r="BH741" s="2" t="s">
        <v>74</v>
      </c>
      <c r="BI741" s="2" t="s">
        <v>74</v>
      </c>
      <c r="BJ741" s="2" t="s">
        <v>74</v>
      </c>
      <c r="BK741" s="2" t="s">
        <v>74</v>
      </c>
      <c r="BL741" s="2" t="s">
        <v>74</v>
      </c>
      <c r="BM741" s="2" t="s">
        <v>74</v>
      </c>
      <c r="BN741" s="2" t="s">
        <v>74</v>
      </c>
      <c r="BO741" s="2" t="s">
        <v>74</v>
      </c>
      <c r="BP741" s="2" t="s">
        <v>74</v>
      </c>
      <c r="BQ741" s="2" t="s">
        <v>74</v>
      </c>
      <c r="BR741" s="2" t="s">
        <v>74</v>
      </c>
      <c r="BS741" s="2" t="s">
        <v>1241</v>
      </c>
      <c r="BT741" s="2" t="str">
        <f>HYPERLINK("https%3A%2F%2Fwww.webofscience.com%2Fwos%2Fwoscc%2Ffull-record%2FWOS:A1996VG77300016","View Full Record in Web of Science")</f>
        <v>View Full Record in Web of Science</v>
      </c>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row>
    <row r="742" spans="1:314" s="2" customFormat="1" x14ac:dyDescent="0.4">
      <c r="A742" s="2" t="s">
        <v>72</v>
      </c>
      <c r="B742" s="2" t="s">
        <v>6245</v>
      </c>
      <c r="C742" s="2" t="s">
        <v>74</v>
      </c>
      <c r="D742" s="2" t="s">
        <v>74</v>
      </c>
      <c r="E742" s="2" t="s">
        <v>74</v>
      </c>
      <c r="F742" s="2" t="s">
        <v>6246</v>
      </c>
      <c r="G742" s="2" t="s">
        <v>74</v>
      </c>
      <c r="H742" s="2" t="s">
        <v>74</v>
      </c>
      <c r="I742" s="2" t="s">
        <v>6247</v>
      </c>
      <c r="J742" s="2" t="s">
        <v>88</v>
      </c>
      <c r="K742" s="2" t="s">
        <v>74</v>
      </c>
      <c r="L742" s="2" t="s">
        <v>74</v>
      </c>
      <c r="M742" s="2" t="s">
        <v>74</v>
      </c>
      <c r="N742" s="2" t="s">
        <v>74</v>
      </c>
      <c r="O742" s="2" t="s">
        <v>74</v>
      </c>
      <c r="P742" s="2" t="s">
        <v>74</v>
      </c>
      <c r="Q742" s="2" t="s">
        <v>74</v>
      </c>
      <c r="R742" s="2" t="s">
        <v>74</v>
      </c>
      <c r="S742" s="2" t="s">
        <v>74</v>
      </c>
      <c r="T742" s="2" t="s">
        <v>74</v>
      </c>
      <c r="U742" s="2" t="s">
        <v>74</v>
      </c>
      <c r="V742" s="5" t="s">
        <v>6248</v>
      </c>
      <c r="W742" s="2" t="s">
        <v>74</v>
      </c>
      <c r="X742" s="2" t="s">
        <v>74</v>
      </c>
      <c r="Y742" s="2" t="s">
        <v>74</v>
      </c>
      <c r="Z742" s="2" t="s">
        <v>74</v>
      </c>
      <c r="AA742" s="2" t="s">
        <v>6249</v>
      </c>
      <c r="AB742" s="2" t="s">
        <v>6250</v>
      </c>
      <c r="AC742" s="2" t="s">
        <v>74</v>
      </c>
      <c r="AD742" s="2" t="s">
        <v>74</v>
      </c>
      <c r="AE742" s="2" t="s">
        <v>74</v>
      </c>
      <c r="AF742" s="2" t="s">
        <v>74</v>
      </c>
      <c r="AG742" s="2" t="s">
        <v>74</v>
      </c>
      <c r="AH742" s="2" t="s">
        <v>74</v>
      </c>
      <c r="AI742" s="2" t="s">
        <v>74</v>
      </c>
      <c r="AJ742" s="2" t="s">
        <v>74</v>
      </c>
      <c r="AK742" s="2" t="s">
        <v>74</v>
      </c>
      <c r="AL742" s="2" t="s">
        <v>74</v>
      </c>
      <c r="AM742" s="2" t="s">
        <v>74</v>
      </c>
      <c r="AN742" s="2" t="s">
        <v>74</v>
      </c>
      <c r="AO742" s="2" t="s">
        <v>91</v>
      </c>
      <c r="AP742" s="2" t="s">
        <v>92</v>
      </c>
      <c r="AQ742" s="2" t="s">
        <v>74</v>
      </c>
      <c r="AR742" s="2" t="s">
        <v>74</v>
      </c>
      <c r="AS742" s="2" t="s">
        <v>74</v>
      </c>
      <c r="AT742" s="2" t="s">
        <v>6251</v>
      </c>
      <c r="AU742" s="2">
        <v>2020</v>
      </c>
      <c r="AV742" s="2">
        <v>16</v>
      </c>
      <c r="AW742" s="2">
        <v>5</v>
      </c>
      <c r="AX742" s="2" t="s">
        <v>74</v>
      </c>
      <c r="AY742" s="2" t="s">
        <v>74</v>
      </c>
      <c r="AZ742" s="2" t="s">
        <v>74</v>
      </c>
      <c r="BA742" s="2" t="s">
        <v>74</v>
      </c>
      <c r="BB742" s="2" t="s">
        <v>74</v>
      </c>
      <c r="BC742" s="2" t="s">
        <v>74</v>
      </c>
      <c r="BD742" s="2" t="s">
        <v>74</v>
      </c>
      <c r="BE742" s="2" t="s">
        <v>6252</v>
      </c>
      <c r="BF742" s="2" t="str">
        <f>HYPERLINK("http://dx.doi.org/10.1098/rsbl.2019.0870","http://dx.doi.org/10.1098/rsbl.2019.0870")</f>
        <v>http://dx.doi.org/10.1098/rsbl.2019.0870</v>
      </c>
      <c r="BG742" s="2" t="s">
        <v>74</v>
      </c>
      <c r="BH742" s="2" t="s">
        <v>74</v>
      </c>
      <c r="BI742" s="2" t="s">
        <v>74</v>
      </c>
      <c r="BJ742" s="2" t="s">
        <v>74</v>
      </c>
      <c r="BK742" s="2" t="s">
        <v>74</v>
      </c>
      <c r="BL742" s="2" t="s">
        <v>74</v>
      </c>
      <c r="BM742" s="2" t="s">
        <v>74</v>
      </c>
      <c r="BN742" s="2">
        <v>32396786</v>
      </c>
      <c r="BO742" s="2" t="s">
        <v>74</v>
      </c>
      <c r="BP742" s="2" t="s">
        <v>74</v>
      </c>
      <c r="BQ742" s="2" t="s">
        <v>74</v>
      </c>
      <c r="BR742" s="2" t="s">
        <v>74</v>
      </c>
      <c r="BS742" s="2" t="s">
        <v>6253</v>
      </c>
      <c r="BT742" s="2" t="str">
        <f>HYPERLINK("https%3A%2F%2Fwww.webofscience.com%2Fwos%2Fwoscc%2Ffull-record%2FWOS:000535684800001","View Full Record in Web of Science")</f>
        <v>View Full Record in Web of Science</v>
      </c>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row>
    <row r="743" spans="1:314" s="2" customFormat="1" x14ac:dyDescent="0.4">
      <c r="A743" s="2" t="s">
        <v>72</v>
      </c>
      <c r="B743" s="2" t="s">
        <v>2685</v>
      </c>
      <c r="C743" s="2" t="s">
        <v>74</v>
      </c>
      <c r="D743" s="2" t="s">
        <v>74</v>
      </c>
      <c r="E743" s="2" t="s">
        <v>74</v>
      </c>
      <c r="F743" s="2" t="s">
        <v>2685</v>
      </c>
      <c r="G743" s="2" t="s">
        <v>74</v>
      </c>
      <c r="H743" s="2" t="s">
        <v>74</v>
      </c>
      <c r="I743" s="2" t="s">
        <v>2686</v>
      </c>
      <c r="J743" s="2" t="s">
        <v>1237</v>
      </c>
      <c r="K743" s="2" t="s">
        <v>74</v>
      </c>
      <c r="L743" s="2" t="s">
        <v>74</v>
      </c>
      <c r="M743" s="2" t="s">
        <v>74</v>
      </c>
      <c r="N743" s="2" t="s">
        <v>74</v>
      </c>
      <c r="O743" s="2" t="s">
        <v>74</v>
      </c>
      <c r="P743" s="2" t="s">
        <v>74</v>
      </c>
      <c r="Q743" s="2" t="s">
        <v>74</v>
      </c>
      <c r="R743" s="2" t="s">
        <v>74</v>
      </c>
      <c r="S743" s="2" t="s">
        <v>74</v>
      </c>
      <c r="T743" s="2" t="s">
        <v>74</v>
      </c>
      <c r="U743" s="2" t="s">
        <v>74</v>
      </c>
      <c r="V743" s="5" t="s">
        <v>2687</v>
      </c>
      <c r="W743" s="2" t="s">
        <v>74</v>
      </c>
      <c r="X743" s="2" t="s">
        <v>74</v>
      </c>
      <c r="Y743" s="2" t="s">
        <v>74</v>
      </c>
      <c r="Z743" s="2" t="s">
        <v>74</v>
      </c>
      <c r="AA743" s="2" t="s">
        <v>74</v>
      </c>
      <c r="AB743" s="2" t="s">
        <v>74</v>
      </c>
      <c r="AC743" s="2" t="s">
        <v>74</v>
      </c>
      <c r="AD743" s="2" t="s">
        <v>74</v>
      </c>
      <c r="AE743" s="2" t="s">
        <v>74</v>
      </c>
      <c r="AF743" s="2" t="s">
        <v>74</v>
      </c>
      <c r="AG743" s="2" t="s">
        <v>74</v>
      </c>
      <c r="AH743" s="2" t="s">
        <v>74</v>
      </c>
      <c r="AI743" s="2" t="s">
        <v>74</v>
      </c>
      <c r="AJ743" s="2" t="s">
        <v>74</v>
      </c>
      <c r="AK743" s="2" t="s">
        <v>74</v>
      </c>
      <c r="AL743" s="2" t="s">
        <v>74</v>
      </c>
      <c r="AM743" s="2" t="s">
        <v>74</v>
      </c>
      <c r="AN743" s="2" t="s">
        <v>74</v>
      </c>
      <c r="AO743" s="2" t="s">
        <v>1239</v>
      </c>
      <c r="AP743" s="2" t="s">
        <v>74</v>
      </c>
      <c r="AQ743" s="2" t="s">
        <v>74</v>
      </c>
      <c r="AR743" s="2" t="s">
        <v>74</v>
      </c>
      <c r="AS743" s="2" t="s">
        <v>74</v>
      </c>
      <c r="AT743" s="2" t="s">
        <v>102</v>
      </c>
      <c r="AU743" s="2">
        <v>1993</v>
      </c>
      <c r="AV743" s="2">
        <v>71</v>
      </c>
      <c r="AW743" s="2">
        <v>6</v>
      </c>
      <c r="AX743" s="2" t="s">
        <v>74</v>
      </c>
      <c r="AY743" s="2" t="s">
        <v>74</v>
      </c>
      <c r="AZ743" s="2" t="s">
        <v>74</v>
      </c>
      <c r="BA743" s="2" t="s">
        <v>74</v>
      </c>
      <c r="BB743" s="2">
        <v>1111</v>
      </c>
      <c r="BC743" s="2">
        <v>1119</v>
      </c>
      <c r="BD743" s="2" t="s">
        <v>74</v>
      </c>
      <c r="BE743" s="2" t="s">
        <v>2688</v>
      </c>
      <c r="BF743" s="2" t="str">
        <f>HYPERLINK("http://dx.doi.org/10.1139/z93-151","http://dx.doi.org/10.1139/z93-151")</f>
        <v>http://dx.doi.org/10.1139/z93-151</v>
      </c>
      <c r="BG743" s="2" t="s">
        <v>74</v>
      </c>
      <c r="BH743" s="2" t="s">
        <v>74</v>
      </c>
      <c r="BI743" s="2" t="s">
        <v>74</v>
      </c>
      <c r="BJ743" s="2" t="s">
        <v>74</v>
      </c>
      <c r="BK743" s="2" t="s">
        <v>74</v>
      </c>
      <c r="BL743" s="2" t="s">
        <v>74</v>
      </c>
      <c r="BM743" s="2" t="s">
        <v>74</v>
      </c>
      <c r="BN743" s="2" t="s">
        <v>74</v>
      </c>
      <c r="BO743" s="2" t="s">
        <v>74</v>
      </c>
      <c r="BP743" s="2" t="s">
        <v>74</v>
      </c>
      <c r="BQ743" s="2" t="s">
        <v>74</v>
      </c>
      <c r="BR743" s="2" t="s">
        <v>74</v>
      </c>
      <c r="BS743" s="2" t="s">
        <v>2689</v>
      </c>
      <c r="BT743" s="2" t="str">
        <f>HYPERLINK("https%3A%2F%2Fwww.webofscience.com%2Fwos%2Fwoscc%2Ffull-record%2FWOS:A1993LU73200007","View Full Record in Web of Science")</f>
        <v>View Full Record in Web of Science</v>
      </c>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row>
    <row r="744" spans="1:314" s="2" customFormat="1" x14ac:dyDescent="0.4">
      <c r="A744" s="2" t="s">
        <v>72</v>
      </c>
      <c r="B744" s="2" t="s">
        <v>2685</v>
      </c>
      <c r="C744" s="2" t="s">
        <v>74</v>
      </c>
      <c r="D744" s="2" t="s">
        <v>74</v>
      </c>
      <c r="E744" s="2" t="s">
        <v>74</v>
      </c>
      <c r="F744" s="2" t="s">
        <v>2685</v>
      </c>
      <c r="G744" s="2" t="s">
        <v>74</v>
      </c>
      <c r="H744" s="2" t="s">
        <v>74</v>
      </c>
      <c r="I744" s="2" t="s">
        <v>3634</v>
      </c>
      <c r="J744" s="2" t="s">
        <v>1673</v>
      </c>
      <c r="K744" s="2" t="s">
        <v>74</v>
      </c>
      <c r="L744" s="2" t="s">
        <v>74</v>
      </c>
      <c r="M744" s="2" t="s">
        <v>74</v>
      </c>
      <c r="N744" s="2" t="s">
        <v>74</v>
      </c>
      <c r="O744" s="2" t="s">
        <v>74</v>
      </c>
      <c r="P744" s="2" t="s">
        <v>74</v>
      </c>
      <c r="Q744" s="2" t="s">
        <v>74</v>
      </c>
      <c r="R744" s="2" t="s">
        <v>74</v>
      </c>
      <c r="S744" s="2" t="s">
        <v>74</v>
      </c>
      <c r="T744" s="2" t="s">
        <v>74</v>
      </c>
      <c r="U744" s="2" t="s">
        <v>74</v>
      </c>
      <c r="V744" s="5" t="s">
        <v>3635</v>
      </c>
      <c r="W744" s="2" t="s">
        <v>74</v>
      </c>
      <c r="X744" s="2" t="s">
        <v>74</v>
      </c>
      <c r="Y744" s="2" t="s">
        <v>74</v>
      </c>
      <c r="Z744" s="2" t="s">
        <v>74</v>
      </c>
      <c r="AA744" s="2" t="s">
        <v>74</v>
      </c>
      <c r="AB744" s="2" t="s">
        <v>74</v>
      </c>
      <c r="AC744" s="2" t="s">
        <v>74</v>
      </c>
      <c r="AD744" s="2" t="s">
        <v>74</v>
      </c>
      <c r="AE744" s="2" t="s">
        <v>74</v>
      </c>
      <c r="AF744" s="2" t="s">
        <v>74</v>
      </c>
      <c r="AG744" s="2" t="s">
        <v>74</v>
      </c>
      <c r="AH744" s="2" t="s">
        <v>74</v>
      </c>
      <c r="AI744" s="2" t="s">
        <v>74</v>
      </c>
      <c r="AJ744" s="2" t="s">
        <v>74</v>
      </c>
      <c r="AK744" s="2" t="s">
        <v>74</v>
      </c>
      <c r="AL744" s="2" t="s">
        <v>74</v>
      </c>
      <c r="AM744" s="2" t="s">
        <v>74</v>
      </c>
      <c r="AN744" s="2" t="s">
        <v>74</v>
      </c>
      <c r="AO744" s="2" t="s">
        <v>1239</v>
      </c>
      <c r="AP744" s="2" t="s">
        <v>1675</v>
      </c>
      <c r="AQ744" s="2" t="s">
        <v>74</v>
      </c>
      <c r="AR744" s="2" t="s">
        <v>74</v>
      </c>
      <c r="AS744" s="2" t="s">
        <v>74</v>
      </c>
      <c r="AT744" s="2" t="s">
        <v>255</v>
      </c>
      <c r="AU744" s="2">
        <v>1994</v>
      </c>
      <c r="AV744" s="2">
        <v>72</v>
      </c>
      <c r="AW744" s="2">
        <v>1</v>
      </c>
      <c r="AX744" s="2" t="s">
        <v>74</v>
      </c>
      <c r="AY744" s="2" t="s">
        <v>74</v>
      </c>
      <c r="AZ744" s="2" t="s">
        <v>74</v>
      </c>
      <c r="BA744" s="2" t="s">
        <v>74</v>
      </c>
      <c r="BB744" s="2">
        <v>144</v>
      </c>
      <c r="BC744" s="2">
        <v>153</v>
      </c>
      <c r="BD744" s="2" t="s">
        <v>74</v>
      </c>
      <c r="BE744" s="2" t="s">
        <v>3636</v>
      </c>
      <c r="BF744" s="2" t="str">
        <f>HYPERLINK("http://dx.doi.org/10.1139/z94-018","http://dx.doi.org/10.1139/z94-018")</f>
        <v>http://dx.doi.org/10.1139/z94-018</v>
      </c>
      <c r="BG744" s="2" t="s">
        <v>74</v>
      </c>
      <c r="BH744" s="2" t="s">
        <v>74</v>
      </c>
      <c r="BI744" s="2" t="s">
        <v>74</v>
      </c>
      <c r="BJ744" s="2" t="s">
        <v>74</v>
      </c>
      <c r="BK744" s="2" t="s">
        <v>74</v>
      </c>
      <c r="BL744" s="2" t="s">
        <v>74</v>
      </c>
      <c r="BM744" s="2" t="s">
        <v>74</v>
      </c>
      <c r="BN744" s="2" t="s">
        <v>74</v>
      </c>
      <c r="BO744" s="2" t="s">
        <v>74</v>
      </c>
      <c r="BP744" s="2" t="s">
        <v>74</v>
      </c>
      <c r="BQ744" s="2" t="s">
        <v>74</v>
      </c>
      <c r="BR744" s="2" t="s">
        <v>74</v>
      </c>
      <c r="BS744" s="2" t="s">
        <v>3637</v>
      </c>
      <c r="BT744" s="2" t="str">
        <f>HYPERLINK("https%3A%2F%2Fwww.webofscience.com%2Fwos%2Fwoscc%2Ffull-record%2FWOS:A1994NK85100018","View Full Record in Web of Science")</f>
        <v>View Full Record in Web of Science</v>
      </c>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row>
    <row r="745" spans="1:314" s="2" customFormat="1" x14ac:dyDescent="0.4">
      <c r="A745" s="2" t="s">
        <v>72</v>
      </c>
      <c r="B745" s="2" t="s">
        <v>2685</v>
      </c>
      <c r="C745" s="2" t="s">
        <v>74</v>
      </c>
      <c r="D745" s="2" t="s">
        <v>74</v>
      </c>
      <c r="E745" s="2" t="s">
        <v>74</v>
      </c>
      <c r="F745" s="2" t="s">
        <v>2685</v>
      </c>
      <c r="G745" s="2" t="s">
        <v>74</v>
      </c>
      <c r="H745" s="2" t="s">
        <v>74</v>
      </c>
      <c r="I745" s="2" t="s">
        <v>4476</v>
      </c>
      <c r="J745" s="2" t="s">
        <v>140</v>
      </c>
      <c r="K745" s="2" t="s">
        <v>74</v>
      </c>
      <c r="L745" s="2" t="s">
        <v>74</v>
      </c>
      <c r="M745" s="2" t="s">
        <v>74</v>
      </c>
      <c r="N745" s="2" t="s">
        <v>74</v>
      </c>
      <c r="O745" s="2" t="s">
        <v>74</v>
      </c>
      <c r="P745" s="2" t="s">
        <v>74</v>
      </c>
      <c r="Q745" s="2" t="s">
        <v>74</v>
      </c>
      <c r="R745" s="2" t="s">
        <v>74</v>
      </c>
      <c r="S745" s="2" t="s">
        <v>74</v>
      </c>
      <c r="T745" s="2" t="s">
        <v>74</v>
      </c>
      <c r="U745" s="2" t="s">
        <v>74</v>
      </c>
      <c r="V745" s="5" t="s">
        <v>4477</v>
      </c>
      <c r="W745" s="2" t="s">
        <v>74</v>
      </c>
      <c r="X745" s="2" t="s">
        <v>74</v>
      </c>
      <c r="Y745" s="2" t="s">
        <v>74</v>
      </c>
      <c r="Z745" s="2" t="s">
        <v>74</v>
      </c>
      <c r="AA745" s="2" t="s">
        <v>74</v>
      </c>
      <c r="AB745" s="2" t="s">
        <v>74</v>
      </c>
      <c r="AC745" s="2" t="s">
        <v>74</v>
      </c>
      <c r="AD745" s="2" t="s">
        <v>74</v>
      </c>
      <c r="AE745" s="2" t="s">
        <v>74</v>
      </c>
      <c r="AF745" s="2" t="s">
        <v>74</v>
      </c>
      <c r="AG745" s="2" t="s">
        <v>74</v>
      </c>
      <c r="AH745" s="2" t="s">
        <v>74</v>
      </c>
      <c r="AI745" s="2" t="s">
        <v>74</v>
      </c>
      <c r="AJ745" s="2" t="s">
        <v>74</v>
      </c>
      <c r="AK745" s="2" t="s">
        <v>74</v>
      </c>
      <c r="AL745" s="2" t="s">
        <v>74</v>
      </c>
      <c r="AM745" s="2" t="s">
        <v>74</v>
      </c>
      <c r="AN745" s="2" t="s">
        <v>74</v>
      </c>
      <c r="AO745" s="2" t="s">
        <v>143</v>
      </c>
      <c r="AP745" s="2" t="s">
        <v>74</v>
      </c>
      <c r="AQ745" s="2" t="s">
        <v>74</v>
      </c>
      <c r="AR745" s="2" t="s">
        <v>74</v>
      </c>
      <c r="AS745" s="2" t="s">
        <v>74</v>
      </c>
      <c r="AT745" s="2" t="s">
        <v>204</v>
      </c>
      <c r="AU745" s="2">
        <v>1995</v>
      </c>
      <c r="AV745" s="2">
        <v>50</v>
      </c>
      <c r="AW745" s="2" t="s">
        <v>74</v>
      </c>
      <c r="AX745" s="2">
        <v>1</v>
      </c>
      <c r="AY745" s="2" t="s">
        <v>74</v>
      </c>
      <c r="AZ745" s="2" t="s">
        <v>74</v>
      </c>
      <c r="BA745" s="2" t="s">
        <v>74</v>
      </c>
      <c r="BB745" s="2">
        <v>213</v>
      </c>
      <c r="BC745" s="2">
        <v>221</v>
      </c>
      <c r="BD745" s="2" t="s">
        <v>74</v>
      </c>
      <c r="BE745" s="2" t="s">
        <v>4478</v>
      </c>
      <c r="BF745" s="2" t="str">
        <f>HYPERLINK("http://dx.doi.org/10.1006/anbe.1995.0233","http://dx.doi.org/10.1006/anbe.1995.0233")</f>
        <v>http://dx.doi.org/10.1006/anbe.1995.0233</v>
      </c>
      <c r="BG745" s="2" t="s">
        <v>74</v>
      </c>
      <c r="BH745" s="2" t="s">
        <v>74</v>
      </c>
      <c r="BI745" s="2" t="s">
        <v>74</v>
      </c>
      <c r="BJ745" s="2" t="s">
        <v>74</v>
      </c>
      <c r="BK745" s="2" t="s">
        <v>74</v>
      </c>
      <c r="BL745" s="2" t="s">
        <v>74</v>
      </c>
      <c r="BM745" s="2" t="s">
        <v>74</v>
      </c>
      <c r="BN745" s="2" t="s">
        <v>74</v>
      </c>
      <c r="BO745" s="2" t="s">
        <v>74</v>
      </c>
      <c r="BP745" s="2" t="s">
        <v>74</v>
      </c>
      <c r="BQ745" s="2" t="s">
        <v>74</v>
      </c>
      <c r="BR745" s="2" t="s">
        <v>74</v>
      </c>
      <c r="BS745" s="2" t="s">
        <v>4479</v>
      </c>
      <c r="BT745" s="2" t="str">
        <f>HYPERLINK("https%3A%2F%2Fwww.webofscience.com%2Fwos%2Fwoscc%2Ffull-record%2FWOS:A1995RM19000020","View Full Record in Web of Science")</f>
        <v>View Full Record in Web of Science</v>
      </c>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row>
    <row r="746" spans="1:314" s="2" customFormat="1" x14ac:dyDescent="0.4">
      <c r="A746" s="2" t="s">
        <v>72</v>
      </c>
      <c r="B746" s="2" t="s">
        <v>2307</v>
      </c>
      <c r="C746" s="2" t="s">
        <v>74</v>
      </c>
      <c r="D746" s="2" t="s">
        <v>74</v>
      </c>
      <c r="E746" s="2" t="s">
        <v>74</v>
      </c>
      <c r="F746" s="2" t="s">
        <v>2308</v>
      </c>
      <c r="G746" s="2" t="s">
        <v>74</v>
      </c>
      <c r="H746" s="2" t="s">
        <v>74</v>
      </c>
      <c r="I746" s="2" t="s">
        <v>2309</v>
      </c>
      <c r="J746" s="2" t="s">
        <v>2310</v>
      </c>
      <c r="K746" s="2" t="s">
        <v>74</v>
      </c>
      <c r="L746" s="2" t="s">
        <v>74</v>
      </c>
      <c r="M746" s="2" t="s">
        <v>74</v>
      </c>
      <c r="N746" s="2" t="s">
        <v>74</v>
      </c>
      <c r="O746" s="2" t="s">
        <v>74</v>
      </c>
      <c r="P746" s="2" t="s">
        <v>74</v>
      </c>
      <c r="Q746" s="2" t="s">
        <v>74</v>
      </c>
      <c r="R746" s="2" t="s">
        <v>74</v>
      </c>
      <c r="S746" s="2" t="s">
        <v>74</v>
      </c>
      <c r="T746" s="2" t="s">
        <v>74</v>
      </c>
      <c r="U746" s="2" t="s">
        <v>74</v>
      </c>
      <c r="V746" s="5" t="s">
        <v>2311</v>
      </c>
      <c r="W746" s="2" t="s">
        <v>74</v>
      </c>
      <c r="X746" s="2" t="s">
        <v>74</v>
      </c>
      <c r="Y746" s="2" t="s">
        <v>74</v>
      </c>
      <c r="Z746" s="2" t="s">
        <v>74</v>
      </c>
      <c r="AA746" s="2" t="s">
        <v>74</v>
      </c>
      <c r="AB746" s="2" t="s">
        <v>2312</v>
      </c>
      <c r="AC746" s="2" t="s">
        <v>74</v>
      </c>
      <c r="AD746" s="2" t="s">
        <v>74</v>
      </c>
      <c r="AE746" s="2" t="s">
        <v>74</v>
      </c>
      <c r="AF746" s="2" t="s">
        <v>74</v>
      </c>
      <c r="AG746" s="2" t="s">
        <v>74</v>
      </c>
      <c r="AH746" s="2" t="s">
        <v>74</v>
      </c>
      <c r="AI746" s="2" t="s">
        <v>74</v>
      </c>
      <c r="AJ746" s="2" t="s">
        <v>74</v>
      </c>
      <c r="AK746" s="2" t="s">
        <v>74</v>
      </c>
      <c r="AL746" s="2" t="s">
        <v>74</v>
      </c>
      <c r="AM746" s="2" t="s">
        <v>74</v>
      </c>
      <c r="AN746" s="2" t="s">
        <v>74</v>
      </c>
      <c r="AO746" s="2" t="s">
        <v>2313</v>
      </c>
      <c r="AP746" s="2" t="s">
        <v>74</v>
      </c>
      <c r="AQ746" s="2" t="s">
        <v>74</v>
      </c>
      <c r="AR746" s="2" t="s">
        <v>74</v>
      </c>
      <c r="AS746" s="2" t="s">
        <v>74</v>
      </c>
      <c r="AT746" s="2" t="s">
        <v>123</v>
      </c>
      <c r="AU746" s="2">
        <v>2012</v>
      </c>
      <c r="AV746" s="2">
        <v>46</v>
      </c>
      <c r="AW746" s="2">
        <v>1</v>
      </c>
      <c r="AX746" s="2" t="s">
        <v>74</v>
      </c>
      <c r="AY746" s="2" t="s">
        <v>74</v>
      </c>
      <c r="AZ746" s="2" t="s">
        <v>74</v>
      </c>
      <c r="BA746" s="2" t="s">
        <v>74</v>
      </c>
      <c r="BB746" s="2">
        <v>111</v>
      </c>
      <c r="BC746" s="2">
        <v>123</v>
      </c>
      <c r="BD746" s="2" t="s">
        <v>74</v>
      </c>
      <c r="BE746" s="2" t="s">
        <v>2314</v>
      </c>
      <c r="BF746" s="2" t="str">
        <f>HYPERLINK("http://dx.doi.org/10.1080/00288330.2011.608687","http://dx.doi.org/10.1080/00288330.2011.608687")</f>
        <v>http://dx.doi.org/10.1080/00288330.2011.608687</v>
      </c>
      <c r="BG746" s="2" t="s">
        <v>74</v>
      </c>
      <c r="BH746" s="2" t="s">
        <v>74</v>
      </c>
      <c r="BI746" s="2" t="s">
        <v>74</v>
      </c>
      <c r="BJ746" s="2" t="s">
        <v>74</v>
      </c>
      <c r="BK746" s="2" t="s">
        <v>74</v>
      </c>
      <c r="BL746" s="2" t="s">
        <v>74</v>
      </c>
      <c r="BM746" s="2" t="s">
        <v>74</v>
      </c>
      <c r="BN746" s="2" t="s">
        <v>74</v>
      </c>
      <c r="BO746" s="2" t="s">
        <v>74</v>
      </c>
      <c r="BP746" s="2" t="s">
        <v>74</v>
      </c>
      <c r="BQ746" s="2" t="s">
        <v>74</v>
      </c>
      <c r="BR746" s="2" t="s">
        <v>74</v>
      </c>
      <c r="BS746" s="2" t="s">
        <v>2315</v>
      </c>
      <c r="BT746" s="2" t="str">
        <f>HYPERLINK("https%3A%2F%2Fwww.webofscience.com%2Fwos%2Fwoscc%2Ffull-record%2FWOS:000304675700010","View Full Record in Web of Science")</f>
        <v>View Full Record in Web of Science</v>
      </c>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row>
    <row r="747" spans="1:314" s="2" customFormat="1" x14ac:dyDescent="0.4">
      <c r="A747" s="2" t="s">
        <v>72</v>
      </c>
      <c r="B747" s="2" t="s">
        <v>4341</v>
      </c>
      <c r="C747" s="2" t="s">
        <v>74</v>
      </c>
      <c r="D747" s="2" t="s">
        <v>74</v>
      </c>
      <c r="E747" s="2" t="s">
        <v>74</v>
      </c>
      <c r="F747" s="2" t="s">
        <v>4342</v>
      </c>
      <c r="G747" s="2" t="s">
        <v>74</v>
      </c>
      <c r="H747" s="2" t="s">
        <v>74</v>
      </c>
      <c r="I747" s="2" t="s">
        <v>4343</v>
      </c>
      <c r="J747" s="2" t="s">
        <v>814</v>
      </c>
      <c r="K747" s="2" t="s">
        <v>74</v>
      </c>
      <c r="L747" s="2" t="s">
        <v>74</v>
      </c>
      <c r="M747" s="2" t="s">
        <v>74</v>
      </c>
      <c r="N747" s="2" t="s">
        <v>74</v>
      </c>
      <c r="O747" s="2" t="s">
        <v>74</v>
      </c>
      <c r="P747" s="2" t="s">
        <v>74</v>
      </c>
      <c r="Q747" s="2" t="s">
        <v>74</v>
      </c>
      <c r="R747" s="2" t="s">
        <v>74</v>
      </c>
      <c r="S747" s="2" t="s">
        <v>74</v>
      </c>
      <c r="T747" s="2" t="s">
        <v>74</v>
      </c>
      <c r="U747" s="2" t="s">
        <v>74</v>
      </c>
      <c r="V747" s="5" t="s">
        <v>4344</v>
      </c>
      <c r="W747" s="2" t="s">
        <v>74</v>
      </c>
      <c r="X747" s="2" t="s">
        <v>74</v>
      </c>
      <c r="Y747" s="2" t="s">
        <v>74</v>
      </c>
      <c r="Z747" s="2" t="s">
        <v>74</v>
      </c>
      <c r="AA747" s="2" t="s">
        <v>4345</v>
      </c>
      <c r="AB747" s="2" t="s">
        <v>4346</v>
      </c>
      <c r="AC747" s="2" t="s">
        <v>74</v>
      </c>
      <c r="AD747" s="2" t="s">
        <v>74</v>
      </c>
      <c r="AE747" s="2" t="s">
        <v>74</v>
      </c>
      <c r="AF747" s="2" t="s">
        <v>74</v>
      </c>
      <c r="AG747" s="2" t="s">
        <v>74</v>
      </c>
      <c r="AH747" s="2" t="s">
        <v>74</v>
      </c>
      <c r="AI747" s="2" t="s">
        <v>74</v>
      </c>
      <c r="AJ747" s="2" t="s">
        <v>74</v>
      </c>
      <c r="AK747" s="2" t="s">
        <v>74</v>
      </c>
      <c r="AL747" s="2" t="s">
        <v>74</v>
      </c>
      <c r="AM747" s="2" t="s">
        <v>74</v>
      </c>
      <c r="AN747" s="2" t="s">
        <v>74</v>
      </c>
      <c r="AO747" s="2" t="s">
        <v>818</v>
      </c>
      <c r="AP747" s="2" t="s">
        <v>1505</v>
      </c>
      <c r="AQ747" s="2" t="s">
        <v>74</v>
      </c>
      <c r="AR747" s="2" t="s">
        <v>74</v>
      </c>
      <c r="AS747" s="2" t="s">
        <v>74</v>
      </c>
      <c r="AT747" s="2" t="s">
        <v>74</v>
      </c>
      <c r="AU747" s="2">
        <v>2009</v>
      </c>
      <c r="AV747" s="2">
        <v>112</v>
      </c>
      <c r="AW747" s="2">
        <v>3</v>
      </c>
      <c r="AX747" s="2" t="s">
        <v>74</v>
      </c>
      <c r="AY747" s="2" t="s">
        <v>74</v>
      </c>
      <c r="AZ747" s="2" t="s">
        <v>74</v>
      </c>
      <c r="BA747" s="2" t="s">
        <v>74</v>
      </c>
      <c r="BB747" s="2">
        <v>217</v>
      </c>
      <c r="BC747" s="2">
        <v>226</v>
      </c>
      <c r="BD747" s="2" t="s">
        <v>74</v>
      </c>
      <c r="BE747" s="2" t="s">
        <v>4347</v>
      </c>
      <c r="BF747" s="2" t="str">
        <f>HYPERLINK("http://dx.doi.org/10.1016/j.zool.2008.09.005","http://dx.doi.org/10.1016/j.zool.2008.09.005")</f>
        <v>http://dx.doi.org/10.1016/j.zool.2008.09.005</v>
      </c>
      <c r="BG747" s="2" t="s">
        <v>74</v>
      </c>
      <c r="BH747" s="2" t="s">
        <v>74</v>
      </c>
      <c r="BI747" s="2" t="s">
        <v>74</v>
      </c>
      <c r="BJ747" s="2" t="s">
        <v>74</v>
      </c>
      <c r="BK747" s="2" t="s">
        <v>74</v>
      </c>
      <c r="BL747" s="2" t="s">
        <v>74</v>
      </c>
      <c r="BM747" s="2" t="s">
        <v>74</v>
      </c>
      <c r="BN747" s="2">
        <v>19230632</v>
      </c>
      <c r="BO747" s="2" t="s">
        <v>74</v>
      </c>
      <c r="BP747" s="2" t="s">
        <v>74</v>
      </c>
      <c r="BQ747" s="2" t="s">
        <v>74</v>
      </c>
      <c r="BR747" s="2" t="s">
        <v>74</v>
      </c>
      <c r="BS747" s="2" t="s">
        <v>4348</v>
      </c>
      <c r="BT747" s="2" t="str">
        <f>HYPERLINK("https%3A%2F%2Fwww.webofscience.com%2Fwos%2Fwoscc%2Ffull-record%2FWOS:000265663200006","View Full Record in Web of Science")</f>
        <v>View Full Record in Web of Science</v>
      </c>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row>
    <row r="748" spans="1:314" s="7" customFormat="1" x14ac:dyDescent="0.4">
      <c r="A748" s="2" t="s">
        <v>72</v>
      </c>
      <c r="B748" s="2" t="s">
        <v>3361</v>
      </c>
      <c r="C748" s="2" t="s">
        <v>74</v>
      </c>
      <c r="D748" s="2" t="s">
        <v>74</v>
      </c>
      <c r="E748" s="2" t="s">
        <v>74</v>
      </c>
      <c r="F748" s="2" t="s">
        <v>3361</v>
      </c>
      <c r="G748" s="2" t="s">
        <v>74</v>
      </c>
      <c r="H748" s="2" t="s">
        <v>74</v>
      </c>
      <c r="I748" s="2" t="s">
        <v>3362</v>
      </c>
      <c r="J748" s="2" t="s">
        <v>3363</v>
      </c>
      <c r="K748" s="2" t="s">
        <v>74</v>
      </c>
      <c r="L748" s="2" t="s">
        <v>74</v>
      </c>
      <c r="M748" s="2" t="s">
        <v>74</v>
      </c>
      <c r="N748" s="2" t="s">
        <v>74</v>
      </c>
      <c r="O748" s="2" t="s">
        <v>74</v>
      </c>
      <c r="P748" s="2" t="s">
        <v>74</v>
      </c>
      <c r="Q748" s="2" t="s">
        <v>74</v>
      </c>
      <c r="R748" s="2" t="s">
        <v>74</v>
      </c>
      <c r="S748" s="2" t="s">
        <v>74</v>
      </c>
      <c r="T748" s="2" t="s">
        <v>74</v>
      </c>
      <c r="U748" s="2" t="s">
        <v>74</v>
      </c>
      <c r="V748" s="5" t="s">
        <v>3364</v>
      </c>
      <c r="W748" s="2" t="s">
        <v>74</v>
      </c>
      <c r="X748" s="2" t="s">
        <v>74</v>
      </c>
      <c r="Y748" s="2" t="s">
        <v>74</v>
      </c>
      <c r="Z748" s="2" t="s">
        <v>74</v>
      </c>
      <c r="AA748" s="2" t="s">
        <v>74</v>
      </c>
      <c r="AB748" s="2" t="s">
        <v>74</v>
      </c>
      <c r="AC748" s="2" t="s">
        <v>74</v>
      </c>
      <c r="AD748" s="2" t="s">
        <v>74</v>
      </c>
      <c r="AE748" s="2" t="s">
        <v>74</v>
      </c>
      <c r="AF748" s="2" t="s">
        <v>74</v>
      </c>
      <c r="AG748" s="2" t="s">
        <v>74</v>
      </c>
      <c r="AH748" s="2" t="s">
        <v>74</v>
      </c>
      <c r="AI748" s="2" t="s">
        <v>74</v>
      </c>
      <c r="AJ748" s="2" t="s">
        <v>74</v>
      </c>
      <c r="AK748" s="2" t="s">
        <v>74</v>
      </c>
      <c r="AL748" s="2" t="s">
        <v>74</v>
      </c>
      <c r="AM748" s="2" t="s">
        <v>74</v>
      </c>
      <c r="AN748" s="2" t="s">
        <v>74</v>
      </c>
      <c r="AO748" s="2" t="s">
        <v>3365</v>
      </c>
      <c r="AP748" s="2" t="s">
        <v>3366</v>
      </c>
      <c r="AQ748" s="2" t="s">
        <v>74</v>
      </c>
      <c r="AR748" s="2" t="s">
        <v>74</v>
      </c>
      <c r="AS748" s="2" t="s">
        <v>74</v>
      </c>
      <c r="AT748" s="2" t="s">
        <v>74</v>
      </c>
      <c r="AU748" s="2">
        <v>1979</v>
      </c>
      <c r="AV748" s="2">
        <v>50</v>
      </c>
      <c r="AW748" s="2">
        <v>2</v>
      </c>
      <c r="AX748" s="2" t="s">
        <v>74</v>
      </c>
      <c r="AY748" s="2" t="s">
        <v>74</v>
      </c>
      <c r="AZ748" s="2" t="s">
        <v>74</v>
      </c>
      <c r="BA748" s="2" t="s">
        <v>74</v>
      </c>
      <c r="BB748" s="2">
        <v>97</v>
      </c>
      <c r="BC748" s="2">
        <v>99</v>
      </c>
      <c r="BD748" s="2" t="s">
        <v>74</v>
      </c>
      <c r="BE748" s="2" t="s">
        <v>74</v>
      </c>
      <c r="BF748" s="2" t="s">
        <v>74</v>
      </c>
      <c r="BG748" s="2" t="s">
        <v>74</v>
      </c>
      <c r="BH748" s="2" t="s">
        <v>74</v>
      </c>
      <c r="BI748" s="2" t="s">
        <v>74</v>
      </c>
      <c r="BJ748" s="2" t="s">
        <v>74</v>
      </c>
      <c r="BK748" s="2" t="s">
        <v>74</v>
      </c>
      <c r="BL748" s="2" t="s">
        <v>74</v>
      </c>
      <c r="BM748" s="2" t="s">
        <v>74</v>
      </c>
      <c r="BN748" s="2">
        <v>575907</v>
      </c>
      <c r="BO748" s="2" t="s">
        <v>74</v>
      </c>
      <c r="BP748" s="2" t="s">
        <v>74</v>
      </c>
      <c r="BQ748" s="2" t="s">
        <v>74</v>
      </c>
      <c r="BR748" s="2" t="s">
        <v>74</v>
      </c>
      <c r="BS748" s="2" t="s">
        <v>3367</v>
      </c>
      <c r="BT748" s="2" t="str">
        <f>HYPERLINK("https%3A%2F%2Fwww.webofscience.com%2Fwos%2Fwoscc%2Ffull-record%2FWOS:A1979HS03900007","View Full Record in Web of Science")</f>
        <v>View Full Record in Web of Science</v>
      </c>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row>
    <row r="749" spans="1:314" s="2" customFormat="1" x14ac:dyDescent="0.4">
      <c r="A749" s="2" t="s">
        <v>72</v>
      </c>
      <c r="B749" s="2" t="s">
        <v>2290</v>
      </c>
      <c r="C749" s="2" t="s">
        <v>74</v>
      </c>
      <c r="D749" s="2" t="s">
        <v>74</v>
      </c>
      <c r="E749" s="2" t="s">
        <v>74</v>
      </c>
      <c r="F749" s="2" t="s">
        <v>2291</v>
      </c>
      <c r="G749" s="2" t="s">
        <v>74</v>
      </c>
      <c r="H749" s="2" t="s">
        <v>74</v>
      </c>
      <c r="I749" s="2" t="s">
        <v>2292</v>
      </c>
      <c r="J749" s="2" t="s">
        <v>775</v>
      </c>
      <c r="K749" s="2" t="s">
        <v>74</v>
      </c>
      <c r="L749" s="2" t="s">
        <v>74</v>
      </c>
      <c r="M749" s="2" t="s">
        <v>74</v>
      </c>
      <c r="N749" s="2" t="s">
        <v>74</v>
      </c>
      <c r="O749" s="2" t="s">
        <v>74</v>
      </c>
      <c r="P749" s="2" t="s">
        <v>74</v>
      </c>
      <c r="Q749" s="2" t="s">
        <v>74</v>
      </c>
      <c r="R749" s="2" t="s">
        <v>74</v>
      </c>
      <c r="S749" s="2" t="s">
        <v>74</v>
      </c>
      <c r="T749" s="2" t="s">
        <v>74</v>
      </c>
      <c r="U749" s="2" t="s">
        <v>74</v>
      </c>
      <c r="V749" s="5" t="s">
        <v>2293</v>
      </c>
      <c r="W749" s="2" t="s">
        <v>74</v>
      </c>
      <c r="X749" s="2" t="s">
        <v>74</v>
      </c>
      <c r="Y749" s="2" t="s">
        <v>74</v>
      </c>
      <c r="Z749" s="2" t="s">
        <v>74</v>
      </c>
      <c r="AA749" s="2" t="s">
        <v>2294</v>
      </c>
      <c r="AB749" s="2" t="s">
        <v>2295</v>
      </c>
      <c r="AC749" s="2" t="s">
        <v>74</v>
      </c>
      <c r="AD749" s="2" t="s">
        <v>74</v>
      </c>
      <c r="AE749" s="2" t="s">
        <v>74</v>
      </c>
      <c r="AF749" s="2" t="s">
        <v>74</v>
      </c>
      <c r="AG749" s="2" t="s">
        <v>74</v>
      </c>
      <c r="AH749" s="2" t="s">
        <v>74</v>
      </c>
      <c r="AI749" s="2" t="s">
        <v>74</v>
      </c>
      <c r="AJ749" s="2" t="s">
        <v>74</v>
      </c>
      <c r="AK749" s="2" t="s">
        <v>74</v>
      </c>
      <c r="AL749" s="2" t="s">
        <v>74</v>
      </c>
      <c r="AM749" s="2" t="s">
        <v>74</v>
      </c>
      <c r="AN749" s="2" t="s">
        <v>74</v>
      </c>
      <c r="AO749" s="2" t="s">
        <v>778</v>
      </c>
      <c r="AP749" s="2" t="s">
        <v>779</v>
      </c>
      <c r="AQ749" s="2" t="s">
        <v>74</v>
      </c>
      <c r="AR749" s="2" t="s">
        <v>74</v>
      </c>
      <c r="AS749" s="2" t="s">
        <v>74</v>
      </c>
      <c r="AT749" s="2" t="s">
        <v>2296</v>
      </c>
      <c r="AU749" s="2">
        <v>2024</v>
      </c>
      <c r="AV749" s="2">
        <v>70</v>
      </c>
      <c r="AW749" s="2">
        <v>1</v>
      </c>
      <c r="AX749" s="2" t="s">
        <v>74</v>
      </c>
      <c r="AY749" s="2" t="s">
        <v>74</v>
      </c>
      <c r="AZ749" s="2" t="s">
        <v>74</v>
      </c>
      <c r="BA749" s="2" t="s">
        <v>74</v>
      </c>
      <c r="BB749" s="2">
        <v>59</v>
      </c>
      <c r="BC749" s="2">
        <v>69</v>
      </c>
      <c r="BD749" s="2" t="s">
        <v>74</v>
      </c>
      <c r="BE749" s="2" t="s">
        <v>2297</v>
      </c>
      <c r="BF749" s="2" t="str">
        <f>HYPERLINK("http://dx.doi.org/10.1093/cz/zoac095","http://dx.doi.org/10.1093/cz/zoac095")</f>
        <v>http://dx.doi.org/10.1093/cz/zoac095</v>
      </c>
      <c r="BG749" s="2" t="s">
        <v>74</v>
      </c>
      <c r="BH749" s="2" t="s">
        <v>2298</v>
      </c>
      <c r="BI749" s="2" t="s">
        <v>74</v>
      </c>
      <c r="BJ749" s="2" t="s">
        <v>74</v>
      </c>
      <c r="BK749" s="2" t="s">
        <v>74</v>
      </c>
      <c r="BL749" s="2" t="s">
        <v>74</v>
      </c>
      <c r="BM749" s="2" t="s">
        <v>74</v>
      </c>
      <c r="BN749" s="2">
        <v>38476133</v>
      </c>
      <c r="BO749" s="2" t="s">
        <v>74</v>
      </c>
      <c r="BP749" s="2" t="s">
        <v>74</v>
      </c>
      <c r="BQ749" s="2" t="s">
        <v>74</v>
      </c>
      <c r="BR749" s="2" t="s">
        <v>74</v>
      </c>
      <c r="BS749" s="2" t="s">
        <v>2299</v>
      </c>
      <c r="BT749" s="2" t="str">
        <f>HYPERLINK("https%3A%2F%2Fwww.webofscience.com%2Fwos%2Fwoscc%2Ffull-record%2FWOS:000908307000001","View Full Record in Web of Science")</f>
        <v>View Full Record in Web of Science</v>
      </c>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row>
    <row r="750" spans="1:314" s="2" customFormat="1" x14ac:dyDescent="0.4">
      <c r="A750" s="2" t="s">
        <v>72</v>
      </c>
      <c r="B750" s="2" t="s">
        <v>1721</v>
      </c>
      <c r="C750" s="2" t="s">
        <v>74</v>
      </c>
      <c r="D750" s="2" t="s">
        <v>74</v>
      </c>
      <c r="E750" s="2" t="s">
        <v>74</v>
      </c>
      <c r="F750" s="2" t="s">
        <v>1721</v>
      </c>
      <c r="G750" s="2" t="s">
        <v>74</v>
      </c>
      <c r="H750" s="2" t="s">
        <v>74</v>
      </c>
      <c r="I750" s="2" t="s">
        <v>1722</v>
      </c>
      <c r="J750" s="2" t="s">
        <v>171</v>
      </c>
      <c r="K750" s="2" t="s">
        <v>74</v>
      </c>
      <c r="L750" s="2" t="s">
        <v>74</v>
      </c>
      <c r="M750" s="2" t="s">
        <v>74</v>
      </c>
      <c r="N750" s="2" t="s">
        <v>74</v>
      </c>
      <c r="O750" s="2" t="s">
        <v>74</v>
      </c>
      <c r="P750" s="2" t="s">
        <v>74</v>
      </c>
      <c r="Q750" s="2" t="s">
        <v>74</v>
      </c>
      <c r="R750" s="2" t="s">
        <v>74</v>
      </c>
      <c r="S750" s="2" t="s">
        <v>74</v>
      </c>
      <c r="T750" s="2" t="s">
        <v>74</v>
      </c>
      <c r="U750" s="2" t="s">
        <v>74</v>
      </c>
      <c r="V750" s="5" t="s">
        <v>1723</v>
      </c>
      <c r="W750" s="2" t="s">
        <v>74</v>
      </c>
      <c r="X750" s="2" t="s">
        <v>74</v>
      </c>
      <c r="Y750" s="2" t="s">
        <v>74</v>
      </c>
      <c r="Z750" s="2" t="s">
        <v>74</v>
      </c>
      <c r="AA750" s="2" t="s">
        <v>1724</v>
      </c>
      <c r="AB750" s="2" t="s">
        <v>1725</v>
      </c>
      <c r="AC750" s="2" t="s">
        <v>74</v>
      </c>
      <c r="AD750" s="2" t="s">
        <v>74</v>
      </c>
      <c r="AE750" s="2" t="s">
        <v>74</v>
      </c>
      <c r="AF750" s="2" t="s">
        <v>74</v>
      </c>
      <c r="AG750" s="2" t="s">
        <v>74</v>
      </c>
      <c r="AH750" s="2" t="s">
        <v>74</v>
      </c>
      <c r="AI750" s="2" t="s">
        <v>74</v>
      </c>
      <c r="AJ750" s="2" t="s">
        <v>74</v>
      </c>
      <c r="AK750" s="2" t="s">
        <v>74</v>
      </c>
      <c r="AL750" s="2" t="s">
        <v>74</v>
      </c>
      <c r="AM750" s="2" t="s">
        <v>74</v>
      </c>
      <c r="AN750" s="2" t="s">
        <v>74</v>
      </c>
      <c r="AO750" s="2" t="s">
        <v>173</v>
      </c>
      <c r="AP750" s="2" t="s">
        <v>174</v>
      </c>
      <c r="AQ750" s="2" t="s">
        <v>74</v>
      </c>
      <c r="AR750" s="2" t="s">
        <v>74</v>
      </c>
      <c r="AS750" s="2" t="s">
        <v>74</v>
      </c>
      <c r="AT750" s="2" t="s">
        <v>175</v>
      </c>
      <c r="AU750" s="2">
        <v>1998</v>
      </c>
      <c r="AV750" s="2">
        <v>52</v>
      </c>
      <c r="AW750" s="2">
        <v>5</v>
      </c>
      <c r="AX750" s="2" t="s">
        <v>74</v>
      </c>
      <c r="AY750" s="2" t="s">
        <v>74</v>
      </c>
      <c r="AZ750" s="2" t="s">
        <v>74</v>
      </c>
      <c r="BA750" s="2" t="s">
        <v>74</v>
      </c>
      <c r="BB750" s="2">
        <v>1293</v>
      </c>
      <c r="BC750" s="2">
        <v>1303</v>
      </c>
      <c r="BD750" s="2" t="s">
        <v>74</v>
      </c>
      <c r="BE750" s="2" t="s">
        <v>1726</v>
      </c>
      <c r="BF750" s="2" t="str">
        <f>HYPERLINK("http://dx.doi.org/10.2307/2411299","http://dx.doi.org/10.2307/2411299")</f>
        <v>http://dx.doi.org/10.2307/2411299</v>
      </c>
      <c r="BG750" s="2" t="s">
        <v>74</v>
      </c>
      <c r="BH750" s="2" t="s">
        <v>74</v>
      </c>
      <c r="BI750" s="2" t="s">
        <v>74</v>
      </c>
      <c r="BJ750" s="2" t="s">
        <v>74</v>
      </c>
      <c r="BK750" s="2" t="s">
        <v>74</v>
      </c>
      <c r="BL750" s="2" t="s">
        <v>74</v>
      </c>
      <c r="BM750" s="2" t="s">
        <v>74</v>
      </c>
      <c r="BN750" s="2">
        <v>28565388</v>
      </c>
      <c r="BO750" s="2" t="s">
        <v>74</v>
      </c>
      <c r="BP750" s="2" t="s">
        <v>74</v>
      </c>
      <c r="BQ750" s="2" t="s">
        <v>74</v>
      </c>
      <c r="BR750" s="2" t="s">
        <v>74</v>
      </c>
      <c r="BS750" s="2" t="s">
        <v>1727</v>
      </c>
      <c r="BT750" s="2" t="str">
        <f>HYPERLINK("https%3A%2F%2Fwww.webofscience.com%2Fwos%2Fwoscc%2Ffull-record%2FWOS:000076931100006","View Full Record in Web of Science")</f>
        <v>View Full Record in Web of Science</v>
      </c>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row>
    <row r="751" spans="1:314" s="2" customFormat="1" x14ac:dyDescent="0.4">
      <c r="A751" s="2" t="s">
        <v>72</v>
      </c>
      <c r="B751" s="2" t="s">
        <v>4777</v>
      </c>
      <c r="C751" s="2" t="s">
        <v>74</v>
      </c>
      <c r="D751" s="2" t="s">
        <v>74</v>
      </c>
      <c r="E751" s="2" t="s">
        <v>74</v>
      </c>
      <c r="F751" s="2" t="s">
        <v>4778</v>
      </c>
      <c r="G751" s="2" t="s">
        <v>74</v>
      </c>
      <c r="H751" s="2" t="s">
        <v>74</v>
      </c>
      <c r="I751" s="2" t="s">
        <v>4779</v>
      </c>
      <c r="J751" s="2" t="s">
        <v>171</v>
      </c>
      <c r="K751" s="2" t="s">
        <v>74</v>
      </c>
      <c r="L751" s="2" t="s">
        <v>74</v>
      </c>
      <c r="M751" s="2" t="s">
        <v>74</v>
      </c>
      <c r="N751" s="2" t="s">
        <v>74</v>
      </c>
      <c r="O751" s="2" t="s">
        <v>74</v>
      </c>
      <c r="P751" s="2" t="s">
        <v>74</v>
      </c>
      <c r="Q751" s="2" t="s">
        <v>74</v>
      </c>
      <c r="R751" s="2" t="s">
        <v>74</v>
      </c>
      <c r="S751" s="2" t="s">
        <v>74</v>
      </c>
      <c r="T751" s="2" t="s">
        <v>74</v>
      </c>
      <c r="U751" s="2" t="s">
        <v>74</v>
      </c>
      <c r="V751" s="5" t="s">
        <v>4780</v>
      </c>
      <c r="W751" s="2" t="s">
        <v>74</v>
      </c>
      <c r="X751" s="2" t="s">
        <v>74</v>
      </c>
      <c r="Y751" s="2" t="s">
        <v>74</v>
      </c>
      <c r="Z751" s="2" t="s">
        <v>74</v>
      </c>
      <c r="AA751" s="2" t="s">
        <v>379</v>
      </c>
      <c r="AB751" s="2" t="s">
        <v>3957</v>
      </c>
      <c r="AC751" s="2" t="s">
        <v>74</v>
      </c>
      <c r="AD751" s="2" t="s">
        <v>74</v>
      </c>
      <c r="AE751" s="2" t="s">
        <v>74</v>
      </c>
      <c r="AF751" s="2" t="s">
        <v>74</v>
      </c>
      <c r="AG751" s="2" t="s">
        <v>74</v>
      </c>
      <c r="AH751" s="2" t="s">
        <v>74</v>
      </c>
      <c r="AI751" s="2" t="s">
        <v>74</v>
      </c>
      <c r="AJ751" s="2" t="s">
        <v>74</v>
      </c>
      <c r="AK751" s="2" t="s">
        <v>74</v>
      </c>
      <c r="AL751" s="2" t="s">
        <v>74</v>
      </c>
      <c r="AM751" s="2" t="s">
        <v>74</v>
      </c>
      <c r="AN751" s="2" t="s">
        <v>74</v>
      </c>
      <c r="AO751" s="2" t="s">
        <v>173</v>
      </c>
      <c r="AP751" s="2" t="s">
        <v>174</v>
      </c>
      <c r="AQ751" s="2" t="s">
        <v>74</v>
      </c>
      <c r="AR751" s="2" t="s">
        <v>74</v>
      </c>
      <c r="AS751" s="2" t="s">
        <v>74</v>
      </c>
      <c r="AT751" s="2" t="s">
        <v>964</v>
      </c>
      <c r="AU751" s="2">
        <v>2018</v>
      </c>
      <c r="AV751" s="2">
        <v>72</v>
      </c>
      <c r="AW751" s="2">
        <v>2</v>
      </c>
      <c r="AX751" s="2" t="s">
        <v>74</v>
      </c>
      <c r="AY751" s="2" t="s">
        <v>74</v>
      </c>
      <c r="AZ751" s="2" t="s">
        <v>74</v>
      </c>
      <c r="BA751" s="2" t="s">
        <v>74</v>
      </c>
      <c r="BB751" s="2">
        <v>337</v>
      </c>
      <c r="BC751" s="2">
        <v>347</v>
      </c>
      <c r="BD751" s="2" t="s">
        <v>74</v>
      </c>
      <c r="BE751" s="2" t="s">
        <v>4781</v>
      </c>
      <c r="BF751" s="2" t="str">
        <f>HYPERLINK("http://dx.doi.org/10.1111/evo.13406","http://dx.doi.org/10.1111/evo.13406")</f>
        <v>http://dx.doi.org/10.1111/evo.13406</v>
      </c>
      <c r="BG751" s="2" t="s">
        <v>74</v>
      </c>
      <c r="BH751" s="2" t="s">
        <v>74</v>
      </c>
      <c r="BI751" s="2" t="s">
        <v>74</v>
      </c>
      <c r="BJ751" s="2" t="s">
        <v>74</v>
      </c>
      <c r="BK751" s="2" t="s">
        <v>74</v>
      </c>
      <c r="BL751" s="2" t="s">
        <v>74</v>
      </c>
      <c r="BM751" s="2" t="s">
        <v>74</v>
      </c>
      <c r="BN751" s="2">
        <v>29265367</v>
      </c>
      <c r="BO751" s="2" t="s">
        <v>74</v>
      </c>
      <c r="BP751" s="2" t="s">
        <v>74</v>
      </c>
      <c r="BQ751" s="2" t="s">
        <v>74</v>
      </c>
      <c r="BR751" s="2" t="s">
        <v>74</v>
      </c>
      <c r="BS751" s="2" t="s">
        <v>4782</v>
      </c>
      <c r="BT751" s="2" t="str">
        <f>HYPERLINK("https%3A%2F%2Fwww.webofscience.com%2Fwos%2Fwoscc%2Ffull-record%2FWOS:000424131100009","View Full Record in Web of Science")</f>
        <v>View Full Record in Web of Science</v>
      </c>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row>
    <row r="752" spans="1:314" s="2" customFormat="1" x14ac:dyDescent="0.4">
      <c r="A752" s="2" t="s">
        <v>72</v>
      </c>
      <c r="B752" s="2" t="s">
        <v>8682</v>
      </c>
      <c r="C752" s="2" t="s">
        <v>74</v>
      </c>
      <c r="D752" s="2" t="s">
        <v>74</v>
      </c>
      <c r="E752" s="2" t="s">
        <v>74</v>
      </c>
      <c r="F752" s="2" t="s">
        <v>8683</v>
      </c>
      <c r="G752" s="2" t="s">
        <v>74</v>
      </c>
      <c r="H752" s="2" t="s">
        <v>74</v>
      </c>
      <c r="I752" s="2" t="s">
        <v>8684</v>
      </c>
      <c r="J752" s="2" t="s">
        <v>8685</v>
      </c>
      <c r="K752" s="2" t="s">
        <v>74</v>
      </c>
      <c r="L752" s="2" t="s">
        <v>74</v>
      </c>
      <c r="M752" s="2" t="s">
        <v>74</v>
      </c>
      <c r="N752" s="2" t="s">
        <v>74</v>
      </c>
      <c r="O752" s="2" t="s">
        <v>74</v>
      </c>
      <c r="P752" s="2" t="s">
        <v>74</v>
      </c>
      <c r="Q752" s="2" t="s">
        <v>74</v>
      </c>
      <c r="R752" s="2" t="s">
        <v>74</v>
      </c>
      <c r="S752" s="2" t="s">
        <v>74</v>
      </c>
      <c r="T752" s="2" t="s">
        <v>74</v>
      </c>
      <c r="U752" s="2" t="s">
        <v>74</v>
      </c>
      <c r="V752" s="5" t="s">
        <v>8686</v>
      </c>
      <c r="W752" s="2" t="s">
        <v>74</v>
      </c>
      <c r="X752" s="2" t="s">
        <v>74</v>
      </c>
      <c r="Y752" s="2" t="s">
        <v>74</v>
      </c>
      <c r="Z752" s="2" t="s">
        <v>74</v>
      </c>
      <c r="AA752" s="2" t="s">
        <v>8687</v>
      </c>
      <c r="AB752" s="2" t="s">
        <v>8688</v>
      </c>
      <c r="AC752" s="2" t="s">
        <v>74</v>
      </c>
      <c r="AD752" s="2" t="s">
        <v>74</v>
      </c>
      <c r="AE752" s="2" t="s">
        <v>74</v>
      </c>
      <c r="AF752" s="2" t="s">
        <v>74</v>
      </c>
      <c r="AG752" s="2" t="s">
        <v>74</v>
      </c>
      <c r="AH752" s="2" t="s">
        <v>74</v>
      </c>
      <c r="AI752" s="2" t="s">
        <v>74</v>
      </c>
      <c r="AJ752" s="2" t="s">
        <v>74</v>
      </c>
      <c r="AK752" s="2" t="s">
        <v>74</v>
      </c>
      <c r="AL752" s="2" t="s">
        <v>74</v>
      </c>
      <c r="AM752" s="2" t="s">
        <v>74</v>
      </c>
      <c r="AN752" s="2" t="s">
        <v>74</v>
      </c>
      <c r="AO752" s="2" t="s">
        <v>8689</v>
      </c>
      <c r="AP752" s="2" t="s">
        <v>74</v>
      </c>
      <c r="AQ752" s="2" t="s">
        <v>74</v>
      </c>
      <c r="AR752" s="2" t="s">
        <v>74</v>
      </c>
      <c r="AS752" s="2" t="s">
        <v>74</v>
      </c>
      <c r="AT752" s="2" t="s">
        <v>352</v>
      </c>
      <c r="AU752" s="2">
        <v>2008</v>
      </c>
      <c r="AV752" s="2">
        <v>25</v>
      </c>
      <c r="AW752" s="2">
        <v>3</v>
      </c>
      <c r="AX752" s="2" t="s">
        <v>74</v>
      </c>
      <c r="AY752" s="2" t="s">
        <v>74</v>
      </c>
      <c r="AZ752" s="2" t="s">
        <v>74</v>
      </c>
      <c r="BA752" s="2" t="s">
        <v>74</v>
      </c>
      <c r="BB752" s="2">
        <v>413</v>
      </c>
      <c r="BC752" s="2">
        <v>418</v>
      </c>
      <c r="BD752" s="2" t="s">
        <v>74</v>
      </c>
      <c r="BE752" s="2" t="s">
        <v>8690</v>
      </c>
      <c r="BF752" s="2" t="str">
        <f>HYPERLINK("http://dx.doi.org/10.1590/S0101-81752008000300005","http://dx.doi.org/10.1590/S0101-81752008000300005")</f>
        <v>http://dx.doi.org/10.1590/S0101-81752008000300005</v>
      </c>
      <c r="BG752" s="2" t="s">
        <v>74</v>
      </c>
      <c r="BH752" s="2" t="s">
        <v>74</v>
      </c>
      <c r="BI752" s="2" t="s">
        <v>74</v>
      </c>
      <c r="BJ752" s="2" t="s">
        <v>74</v>
      </c>
      <c r="BK752" s="2" t="s">
        <v>74</v>
      </c>
      <c r="BL752" s="2" t="s">
        <v>74</v>
      </c>
      <c r="BM752" s="2" t="s">
        <v>74</v>
      </c>
      <c r="BN752" s="2" t="s">
        <v>74</v>
      </c>
      <c r="BO752" s="2" t="s">
        <v>74</v>
      </c>
      <c r="BP752" s="2" t="s">
        <v>74</v>
      </c>
      <c r="BQ752" s="2" t="s">
        <v>74</v>
      </c>
      <c r="BR752" s="2" t="s">
        <v>74</v>
      </c>
      <c r="BS752" s="2" t="s">
        <v>8691</v>
      </c>
      <c r="BT752" s="2" t="str">
        <f>HYPERLINK("https%3A%2F%2Fwww.webofscience.com%2Fwos%2Fwoscc%2Ffull-record%2FWOS:000260040800006","View Full Record in Web of Science")</f>
        <v>View Full Record in Web of Science</v>
      </c>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row>
    <row r="753" spans="1:314" s="2" customFormat="1" x14ac:dyDescent="0.4">
      <c r="A753" s="2" t="s">
        <v>72</v>
      </c>
      <c r="B753" s="2" t="s">
        <v>7592</v>
      </c>
      <c r="C753" s="2" t="s">
        <v>74</v>
      </c>
      <c r="D753" s="2" t="s">
        <v>74</v>
      </c>
      <c r="E753" s="2" t="s">
        <v>74</v>
      </c>
      <c r="F753" s="2" t="s">
        <v>7592</v>
      </c>
      <c r="G753" s="2" t="s">
        <v>74</v>
      </c>
      <c r="H753" s="2" t="s">
        <v>74</v>
      </c>
      <c r="I753" s="2" t="s">
        <v>7593</v>
      </c>
      <c r="J753" s="2" t="s">
        <v>2207</v>
      </c>
      <c r="K753" s="2" t="s">
        <v>74</v>
      </c>
      <c r="L753" s="2" t="s">
        <v>74</v>
      </c>
      <c r="M753" s="2" t="s">
        <v>74</v>
      </c>
      <c r="N753" s="2" t="s">
        <v>74</v>
      </c>
      <c r="O753" s="2" t="s">
        <v>74</v>
      </c>
      <c r="P753" s="2" t="s">
        <v>74</v>
      </c>
      <c r="Q753" s="2" t="s">
        <v>74</v>
      </c>
      <c r="R753" s="2" t="s">
        <v>74</v>
      </c>
      <c r="S753" s="2" t="s">
        <v>74</v>
      </c>
      <c r="T753" s="2" t="s">
        <v>74</v>
      </c>
      <c r="U753" s="2" t="s">
        <v>74</v>
      </c>
      <c r="V753" s="5" t="s">
        <v>7594</v>
      </c>
      <c r="W753" s="2" t="s">
        <v>74</v>
      </c>
      <c r="X753" s="2" t="s">
        <v>74</v>
      </c>
      <c r="Y753" s="2" t="s">
        <v>74</v>
      </c>
      <c r="Z753" s="2" t="s">
        <v>74</v>
      </c>
      <c r="AA753" s="2" t="s">
        <v>74</v>
      </c>
      <c r="AB753" s="2" t="s">
        <v>3387</v>
      </c>
      <c r="AC753" s="2" t="s">
        <v>74</v>
      </c>
      <c r="AD753" s="2" t="s">
        <v>74</v>
      </c>
      <c r="AE753" s="2" t="s">
        <v>74</v>
      </c>
      <c r="AF753" s="2" t="s">
        <v>74</v>
      </c>
      <c r="AG753" s="2" t="s">
        <v>74</v>
      </c>
      <c r="AH753" s="2" t="s">
        <v>74</v>
      </c>
      <c r="AI753" s="2" t="s">
        <v>74</v>
      </c>
      <c r="AJ753" s="2" t="s">
        <v>74</v>
      </c>
      <c r="AK753" s="2" t="s">
        <v>74</v>
      </c>
      <c r="AL753" s="2" t="s">
        <v>74</v>
      </c>
      <c r="AM753" s="2" t="s">
        <v>74</v>
      </c>
      <c r="AN753" s="2" t="s">
        <v>74</v>
      </c>
      <c r="AO753" s="2" t="s">
        <v>2211</v>
      </c>
      <c r="AP753" s="2" t="s">
        <v>2461</v>
      </c>
      <c r="AQ753" s="2" t="s">
        <v>74</v>
      </c>
      <c r="AR753" s="2" t="s">
        <v>74</v>
      </c>
      <c r="AS753" s="2" t="s">
        <v>74</v>
      </c>
      <c r="AT753" s="2" t="s">
        <v>213</v>
      </c>
      <c r="AU753" s="2">
        <v>2004</v>
      </c>
      <c r="AV753" s="2">
        <v>35</v>
      </c>
      <c r="AW753" s="2">
        <v>6</v>
      </c>
      <c r="AX753" s="2" t="s">
        <v>74</v>
      </c>
      <c r="AY753" s="2" t="s">
        <v>74</v>
      </c>
      <c r="AZ753" s="2" t="s">
        <v>74</v>
      </c>
      <c r="BA753" s="2" t="s">
        <v>74</v>
      </c>
      <c r="BB753" s="2">
        <v>477</v>
      </c>
      <c r="BC753" s="2">
        <v>482</v>
      </c>
      <c r="BD753" s="2" t="s">
        <v>74</v>
      </c>
      <c r="BE753" s="2" t="s">
        <v>7595</v>
      </c>
      <c r="BF753" s="2" t="str">
        <f>HYPERLINK("http://dx.doi.org/10.1111/j.0908-8857.2004.03351.x","http://dx.doi.org/10.1111/j.0908-8857.2004.03351.x")</f>
        <v>http://dx.doi.org/10.1111/j.0908-8857.2004.03351.x</v>
      </c>
      <c r="BG753" s="2" t="s">
        <v>74</v>
      </c>
      <c r="BH753" s="2" t="s">
        <v>74</v>
      </c>
      <c r="BI753" s="2" t="s">
        <v>74</v>
      </c>
      <c r="BJ753" s="2" t="s">
        <v>74</v>
      </c>
      <c r="BK753" s="2" t="s">
        <v>74</v>
      </c>
      <c r="BL753" s="2" t="s">
        <v>74</v>
      </c>
      <c r="BM753" s="2" t="s">
        <v>74</v>
      </c>
      <c r="BN753" s="2" t="s">
        <v>74</v>
      </c>
      <c r="BO753" s="2" t="s">
        <v>74</v>
      </c>
      <c r="BP753" s="2" t="s">
        <v>74</v>
      </c>
      <c r="BQ753" s="2" t="s">
        <v>74</v>
      </c>
      <c r="BR753" s="2" t="s">
        <v>74</v>
      </c>
      <c r="BS753" s="2" t="s">
        <v>7596</v>
      </c>
      <c r="BT753" s="2" t="str">
        <f>HYPERLINK("https%3A%2F%2Fwww.webofscience.com%2Fwos%2Fwoscc%2Ffull-record%2FWOS:000225224600004","View Full Record in Web of Science")</f>
        <v>View Full Record in Web of Science</v>
      </c>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row>
    <row r="754" spans="1:314" s="2" customFormat="1" x14ac:dyDescent="0.4">
      <c r="A754" s="2" t="s">
        <v>72</v>
      </c>
      <c r="B754" s="2" t="s">
        <v>3080</v>
      </c>
      <c r="C754" s="2" t="s">
        <v>74</v>
      </c>
      <c r="D754" s="2" t="s">
        <v>74</v>
      </c>
      <c r="E754" s="2" t="s">
        <v>74</v>
      </c>
      <c r="F754" s="2" t="s">
        <v>3081</v>
      </c>
      <c r="G754" s="2" t="s">
        <v>74</v>
      </c>
      <c r="H754" s="2" t="s">
        <v>74</v>
      </c>
      <c r="I754" s="2" t="s">
        <v>3082</v>
      </c>
      <c r="J754" s="2" t="s">
        <v>2017</v>
      </c>
      <c r="K754" s="2" t="s">
        <v>74</v>
      </c>
      <c r="L754" s="2" t="s">
        <v>74</v>
      </c>
      <c r="M754" s="2" t="s">
        <v>74</v>
      </c>
      <c r="N754" s="2" t="s">
        <v>74</v>
      </c>
      <c r="O754" s="2" t="s">
        <v>74</v>
      </c>
      <c r="P754" s="2" t="s">
        <v>74</v>
      </c>
      <c r="Q754" s="2" t="s">
        <v>74</v>
      </c>
      <c r="R754" s="2" t="s">
        <v>74</v>
      </c>
      <c r="S754" s="2" t="s">
        <v>74</v>
      </c>
      <c r="T754" s="2" t="s">
        <v>74</v>
      </c>
      <c r="U754" s="2" t="s">
        <v>74</v>
      </c>
      <c r="V754" s="5" t="s">
        <v>3083</v>
      </c>
      <c r="W754" s="2" t="s">
        <v>74</v>
      </c>
      <c r="X754" s="2" t="s">
        <v>74</v>
      </c>
      <c r="Y754" s="2" t="s">
        <v>74</v>
      </c>
      <c r="Z754" s="2" t="s">
        <v>74</v>
      </c>
      <c r="AA754" s="2" t="s">
        <v>74</v>
      </c>
      <c r="AB754" s="2" t="s">
        <v>74</v>
      </c>
      <c r="AC754" s="2" t="s">
        <v>74</v>
      </c>
      <c r="AD754" s="2" t="s">
        <v>74</v>
      </c>
      <c r="AE754" s="2" t="s">
        <v>74</v>
      </c>
      <c r="AF754" s="2" t="s">
        <v>74</v>
      </c>
      <c r="AG754" s="2" t="s">
        <v>74</v>
      </c>
      <c r="AH754" s="2" t="s">
        <v>74</v>
      </c>
      <c r="AI754" s="2" t="s">
        <v>74</v>
      </c>
      <c r="AJ754" s="2" t="s">
        <v>74</v>
      </c>
      <c r="AK754" s="2" t="s">
        <v>74</v>
      </c>
      <c r="AL754" s="2" t="s">
        <v>74</v>
      </c>
      <c r="AM754" s="2" t="s">
        <v>74</v>
      </c>
      <c r="AN754" s="2" t="s">
        <v>74</v>
      </c>
      <c r="AO754" s="2" t="s">
        <v>2021</v>
      </c>
      <c r="AP754" s="2" t="s">
        <v>74</v>
      </c>
      <c r="AQ754" s="2" t="s">
        <v>74</v>
      </c>
      <c r="AR754" s="2" t="s">
        <v>74</v>
      </c>
      <c r="AS754" s="2" t="s">
        <v>74</v>
      </c>
      <c r="AT754" s="2" t="s">
        <v>74</v>
      </c>
      <c r="AU754" s="2">
        <v>2014</v>
      </c>
      <c r="AV754" s="2">
        <v>2</v>
      </c>
      <c r="AW754" s="2" t="s">
        <v>74</v>
      </c>
      <c r="AX754" s="2" t="s">
        <v>74</v>
      </c>
      <c r="AY754" s="2" t="s">
        <v>74</v>
      </c>
      <c r="AZ754" s="2" t="s">
        <v>74</v>
      </c>
      <c r="BA754" s="2" t="s">
        <v>74</v>
      </c>
      <c r="BB754" s="2" t="s">
        <v>74</v>
      </c>
      <c r="BC754" s="2" t="s">
        <v>74</v>
      </c>
      <c r="BD754" s="2">
        <v>24</v>
      </c>
      <c r="BE754" s="2" t="s">
        <v>3084</v>
      </c>
      <c r="BF754" s="2" t="str">
        <f>HYPERLINK("http://dx.doi.org/10.3389/fevo.2014.00024","http://dx.doi.org/10.3389/fevo.2014.00024")</f>
        <v>http://dx.doi.org/10.3389/fevo.2014.00024</v>
      </c>
      <c r="BG754" s="2" t="s">
        <v>74</v>
      </c>
      <c r="BH754" s="2" t="s">
        <v>74</v>
      </c>
      <c r="BI754" s="2" t="s">
        <v>74</v>
      </c>
      <c r="BJ754" s="2" t="s">
        <v>74</v>
      </c>
      <c r="BK754" s="2" t="s">
        <v>74</v>
      </c>
      <c r="BL754" s="2" t="s">
        <v>74</v>
      </c>
      <c r="BM754" s="2" t="s">
        <v>74</v>
      </c>
      <c r="BN754" s="2" t="s">
        <v>74</v>
      </c>
      <c r="BO754" s="2" t="s">
        <v>74</v>
      </c>
      <c r="BP754" s="2" t="s">
        <v>74</v>
      </c>
      <c r="BQ754" s="2" t="s">
        <v>74</v>
      </c>
      <c r="BR754" s="2" t="s">
        <v>74</v>
      </c>
      <c r="BS754" s="2" t="s">
        <v>3085</v>
      </c>
      <c r="BT754" s="2" t="str">
        <f>HYPERLINK("https%3A%2F%2Fwww.webofscience.com%2Fwos%2Fwoscc%2Ffull-record%2FWOS:000517755700023","View Full Record in Web of Science")</f>
        <v>View Full Record in Web of Science</v>
      </c>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row>
    <row r="755" spans="1:314" s="2" customFormat="1" x14ac:dyDescent="0.4">
      <c r="A755" s="2" t="s">
        <v>72</v>
      </c>
      <c r="B755" s="2" t="s">
        <v>7522</v>
      </c>
      <c r="C755" s="2" t="s">
        <v>74</v>
      </c>
      <c r="D755" s="2" t="s">
        <v>74</v>
      </c>
      <c r="E755" s="2" t="s">
        <v>74</v>
      </c>
      <c r="F755" s="2" t="s">
        <v>7523</v>
      </c>
      <c r="G755" s="2" t="s">
        <v>74</v>
      </c>
      <c r="H755" s="2" t="s">
        <v>74</v>
      </c>
      <c r="I755" s="2" t="s">
        <v>7524</v>
      </c>
      <c r="J755" s="2" t="s">
        <v>1526</v>
      </c>
      <c r="K755" s="2" t="s">
        <v>74</v>
      </c>
      <c r="L755" s="2" t="s">
        <v>74</v>
      </c>
      <c r="M755" s="2" t="s">
        <v>74</v>
      </c>
      <c r="N755" s="2" t="s">
        <v>74</v>
      </c>
      <c r="O755" s="2" t="s">
        <v>74</v>
      </c>
      <c r="P755" s="2" t="s">
        <v>74</v>
      </c>
      <c r="Q755" s="2" t="s">
        <v>74</v>
      </c>
      <c r="R755" s="2" t="s">
        <v>74</v>
      </c>
      <c r="S755" s="2" t="s">
        <v>74</v>
      </c>
      <c r="T755" s="2" t="s">
        <v>74</v>
      </c>
      <c r="U755" s="2" t="s">
        <v>74</v>
      </c>
      <c r="V755" s="5" t="s">
        <v>7525</v>
      </c>
      <c r="W755" s="2" t="s">
        <v>74</v>
      </c>
      <c r="X755" s="2" t="s">
        <v>74</v>
      </c>
      <c r="Y755" s="2" t="s">
        <v>74</v>
      </c>
      <c r="Z755" s="2" t="s">
        <v>74</v>
      </c>
      <c r="AA755" s="2" t="s">
        <v>7526</v>
      </c>
      <c r="AB755" s="2" t="s">
        <v>74</v>
      </c>
      <c r="AC755" s="2" t="s">
        <v>74</v>
      </c>
      <c r="AD755" s="2" t="s">
        <v>74</v>
      </c>
      <c r="AE755" s="2" t="s">
        <v>74</v>
      </c>
      <c r="AF755" s="2" t="s">
        <v>74</v>
      </c>
      <c r="AG755" s="2" t="s">
        <v>74</v>
      </c>
      <c r="AH755" s="2" t="s">
        <v>74</v>
      </c>
      <c r="AI755" s="2" t="s">
        <v>74</v>
      </c>
      <c r="AJ755" s="2" t="s">
        <v>74</v>
      </c>
      <c r="AK755" s="2" t="s">
        <v>74</v>
      </c>
      <c r="AL755" s="2" t="s">
        <v>74</v>
      </c>
      <c r="AM755" s="2" t="s">
        <v>74</v>
      </c>
      <c r="AN755" s="2" t="s">
        <v>74</v>
      </c>
      <c r="AO755" s="2" t="s">
        <v>1528</v>
      </c>
      <c r="AP755" s="2" t="s">
        <v>2131</v>
      </c>
      <c r="AQ755" s="2" t="s">
        <v>74</v>
      </c>
      <c r="AR755" s="2" t="s">
        <v>74</v>
      </c>
      <c r="AS755" s="2" t="s">
        <v>74</v>
      </c>
      <c r="AT755" s="2" t="s">
        <v>213</v>
      </c>
      <c r="AU755" s="2">
        <v>2013</v>
      </c>
      <c r="AV755" s="2">
        <v>115</v>
      </c>
      <c r="AW755" s="2">
        <v>4</v>
      </c>
      <c r="AX755" s="2" t="s">
        <v>74</v>
      </c>
      <c r="AY755" s="2" t="s">
        <v>74</v>
      </c>
      <c r="AZ755" s="2" t="s">
        <v>74</v>
      </c>
      <c r="BA755" s="2" t="s">
        <v>74</v>
      </c>
      <c r="BB755" s="2">
        <v>910</v>
      </c>
      <c r="BC755" s="2">
        <v>920</v>
      </c>
      <c r="BD755" s="2" t="s">
        <v>74</v>
      </c>
      <c r="BE755" s="2" t="s">
        <v>7527</v>
      </c>
      <c r="BF755" s="2" t="str">
        <f>HYPERLINK("http://dx.doi.org/10.1525/cond.2013.120146","http://dx.doi.org/10.1525/cond.2013.120146")</f>
        <v>http://dx.doi.org/10.1525/cond.2013.120146</v>
      </c>
      <c r="BG755" s="2" t="s">
        <v>74</v>
      </c>
      <c r="BH755" s="2" t="s">
        <v>74</v>
      </c>
      <c r="BI755" s="2" t="s">
        <v>74</v>
      </c>
      <c r="BJ755" s="2" t="s">
        <v>74</v>
      </c>
      <c r="BK755" s="2" t="s">
        <v>74</v>
      </c>
      <c r="BL755" s="2" t="s">
        <v>74</v>
      </c>
      <c r="BM755" s="2" t="s">
        <v>74</v>
      </c>
      <c r="BN755" s="2" t="s">
        <v>74</v>
      </c>
      <c r="BO755" s="2" t="s">
        <v>74</v>
      </c>
      <c r="BP755" s="2" t="s">
        <v>74</v>
      </c>
      <c r="BQ755" s="2" t="s">
        <v>74</v>
      </c>
      <c r="BR755" s="2" t="s">
        <v>74</v>
      </c>
      <c r="BS755" s="2" t="s">
        <v>7528</v>
      </c>
      <c r="BT755" s="2" t="str">
        <f>HYPERLINK("https%3A%2F%2Fwww.webofscience.com%2Fwos%2Fwoscc%2Ffull-record%2FWOS:000328295800023","View Full Record in Web of Science")</f>
        <v>View Full Record in Web of Science</v>
      </c>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row>
    <row r="756" spans="1:314" s="2" customFormat="1" x14ac:dyDescent="0.4">
      <c r="A756" s="2" t="s">
        <v>72</v>
      </c>
      <c r="B756" s="2" t="s">
        <v>4609</v>
      </c>
      <c r="C756" s="2" t="s">
        <v>74</v>
      </c>
      <c r="D756" s="2" t="s">
        <v>74</v>
      </c>
      <c r="E756" s="2" t="s">
        <v>74</v>
      </c>
      <c r="F756" s="2" t="s">
        <v>4610</v>
      </c>
      <c r="G756" s="2" t="s">
        <v>74</v>
      </c>
      <c r="H756" s="2" t="s">
        <v>74</v>
      </c>
      <c r="I756" s="2" t="s">
        <v>4611</v>
      </c>
      <c r="J756" s="2" t="s">
        <v>654</v>
      </c>
      <c r="K756" s="2" t="s">
        <v>74</v>
      </c>
      <c r="L756" s="2" t="s">
        <v>74</v>
      </c>
      <c r="M756" s="2" t="s">
        <v>74</v>
      </c>
      <c r="N756" s="2" t="s">
        <v>74</v>
      </c>
      <c r="O756" s="2" t="s">
        <v>74</v>
      </c>
      <c r="P756" s="2" t="s">
        <v>74</v>
      </c>
      <c r="Q756" s="2" t="s">
        <v>74</v>
      </c>
      <c r="R756" s="2" t="s">
        <v>74</v>
      </c>
      <c r="S756" s="2" t="s">
        <v>74</v>
      </c>
      <c r="T756" s="2" t="s">
        <v>74</v>
      </c>
      <c r="U756" s="2" t="s">
        <v>74</v>
      </c>
      <c r="V756" s="5" t="s">
        <v>4612</v>
      </c>
      <c r="W756" s="2" t="s">
        <v>74</v>
      </c>
      <c r="X756" s="2" t="s">
        <v>74</v>
      </c>
      <c r="Y756" s="2" t="s">
        <v>74</v>
      </c>
      <c r="Z756" s="2" t="s">
        <v>74</v>
      </c>
      <c r="AA756" s="2" t="s">
        <v>4613</v>
      </c>
      <c r="AB756" s="2" t="s">
        <v>4614</v>
      </c>
      <c r="AC756" s="2" t="s">
        <v>74</v>
      </c>
      <c r="AD756" s="2" t="s">
        <v>74</v>
      </c>
      <c r="AE756" s="2" t="s">
        <v>74</v>
      </c>
      <c r="AF756" s="2" t="s">
        <v>74</v>
      </c>
      <c r="AG756" s="2" t="s">
        <v>74</v>
      </c>
      <c r="AH756" s="2" t="s">
        <v>74</v>
      </c>
      <c r="AI756" s="2" t="s">
        <v>74</v>
      </c>
      <c r="AJ756" s="2" t="s">
        <v>74</v>
      </c>
      <c r="AK756" s="2" t="s">
        <v>74</v>
      </c>
      <c r="AL756" s="2" t="s">
        <v>74</v>
      </c>
      <c r="AM756" s="2" t="s">
        <v>74</v>
      </c>
      <c r="AN756" s="2" t="s">
        <v>74</v>
      </c>
      <c r="AO756" s="2" t="s">
        <v>658</v>
      </c>
      <c r="AP756" s="2" t="s">
        <v>74</v>
      </c>
      <c r="AQ756" s="2" t="s">
        <v>74</v>
      </c>
      <c r="AR756" s="2" t="s">
        <v>74</v>
      </c>
      <c r="AS756" s="2" t="s">
        <v>74</v>
      </c>
      <c r="AT756" s="2" t="s">
        <v>633</v>
      </c>
      <c r="AU756" s="2">
        <v>2014</v>
      </c>
      <c r="AV756" s="2">
        <v>4</v>
      </c>
      <c r="AW756" s="2">
        <v>7</v>
      </c>
      <c r="AX756" s="2" t="s">
        <v>74</v>
      </c>
      <c r="AY756" s="2" t="s">
        <v>74</v>
      </c>
      <c r="AZ756" s="2" t="s">
        <v>74</v>
      </c>
      <c r="BA756" s="2" t="s">
        <v>74</v>
      </c>
      <c r="BB756" s="2">
        <v>911</v>
      </c>
      <c r="BC756" s="2">
        <v>917</v>
      </c>
      <c r="BD756" s="2" t="s">
        <v>74</v>
      </c>
      <c r="BE756" s="2" t="s">
        <v>4615</v>
      </c>
      <c r="BF756" s="2" t="str">
        <f>HYPERLINK("http://dx.doi.org/10.1002/ece3.996","http://dx.doi.org/10.1002/ece3.996")</f>
        <v>http://dx.doi.org/10.1002/ece3.996</v>
      </c>
      <c r="BG756" s="2" t="s">
        <v>74</v>
      </c>
      <c r="BH756" s="2" t="s">
        <v>74</v>
      </c>
      <c r="BI756" s="2" t="s">
        <v>74</v>
      </c>
      <c r="BJ756" s="2" t="s">
        <v>74</v>
      </c>
      <c r="BK756" s="2" t="s">
        <v>74</v>
      </c>
      <c r="BL756" s="2" t="s">
        <v>74</v>
      </c>
      <c r="BM756" s="2" t="s">
        <v>74</v>
      </c>
      <c r="BN756" s="2">
        <v>24772270</v>
      </c>
      <c r="BO756" s="2" t="s">
        <v>74</v>
      </c>
      <c r="BP756" s="2" t="s">
        <v>74</v>
      </c>
      <c r="BQ756" s="2" t="s">
        <v>74</v>
      </c>
      <c r="BR756" s="2" t="s">
        <v>74</v>
      </c>
      <c r="BS756" s="2" t="s">
        <v>4616</v>
      </c>
      <c r="BT756" s="2" t="str">
        <f>HYPERLINK("https%3A%2F%2Fwww.webofscience.com%2Fwos%2Fwoscc%2Ffull-record%2FWOS:000333809000004","View Full Record in Web of Science")</f>
        <v>View Full Record in Web of Science</v>
      </c>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row>
    <row r="757" spans="1:314" s="2" customFormat="1" x14ac:dyDescent="0.4">
      <c r="A757" s="2" t="s">
        <v>72</v>
      </c>
      <c r="B757" s="2" t="s">
        <v>1713</v>
      </c>
      <c r="C757" s="2" t="s">
        <v>74</v>
      </c>
      <c r="D757" s="2" t="s">
        <v>74</v>
      </c>
      <c r="E757" s="2" t="s">
        <v>74</v>
      </c>
      <c r="F757" s="2" t="s">
        <v>1714</v>
      </c>
      <c r="G757" s="2" t="s">
        <v>74</v>
      </c>
      <c r="H757" s="2" t="s">
        <v>74</v>
      </c>
      <c r="I757" s="2" t="s">
        <v>1715</v>
      </c>
      <c r="J757" s="2" t="s">
        <v>1112</v>
      </c>
      <c r="K757" s="2" t="s">
        <v>74</v>
      </c>
      <c r="L757" s="2" t="s">
        <v>74</v>
      </c>
      <c r="M757" s="2" t="s">
        <v>74</v>
      </c>
      <c r="N757" s="2" t="s">
        <v>74</v>
      </c>
      <c r="O757" s="2" t="s">
        <v>74</v>
      </c>
      <c r="P757" s="2" t="s">
        <v>74</v>
      </c>
      <c r="Q757" s="2" t="s">
        <v>74</v>
      </c>
      <c r="R757" s="2" t="s">
        <v>74</v>
      </c>
      <c r="S757" s="2" t="s">
        <v>74</v>
      </c>
      <c r="T757" s="2" t="s">
        <v>74</v>
      </c>
      <c r="U757" s="2" t="s">
        <v>74</v>
      </c>
      <c r="V757" s="5" t="s">
        <v>1716</v>
      </c>
      <c r="W757" s="2" t="s">
        <v>74</v>
      </c>
      <c r="X757" s="2" t="s">
        <v>74</v>
      </c>
      <c r="Y757" s="2" t="s">
        <v>74</v>
      </c>
      <c r="Z757" s="2" t="s">
        <v>74</v>
      </c>
      <c r="AA757" s="2" t="s">
        <v>1717</v>
      </c>
      <c r="AB757" s="2" t="s">
        <v>1718</v>
      </c>
      <c r="AC757" s="2" t="s">
        <v>74</v>
      </c>
      <c r="AD757" s="2" t="s">
        <v>74</v>
      </c>
      <c r="AE757" s="2" t="s">
        <v>74</v>
      </c>
      <c r="AF757" s="2" t="s">
        <v>74</v>
      </c>
      <c r="AG757" s="2" t="s">
        <v>74</v>
      </c>
      <c r="AH757" s="2" t="s">
        <v>74</v>
      </c>
      <c r="AI757" s="2" t="s">
        <v>74</v>
      </c>
      <c r="AJ757" s="2" t="s">
        <v>74</v>
      </c>
      <c r="AK757" s="2" t="s">
        <v>74</v>
      </c>
      <c r="AL757" s="2" t="s">
        <v>74</v>
      </c>
      <c r="AM757" s="2" t="s">
        <v>74</v>
      </c>
      <c r="AN757" s="2" t="s">
        <v>74</v>
      </c>
      <c r="AO757" s="2" t="s">
        <v>1114</v>
      </c>
      <c r="AP757" s="2" t="s">
        <v>1115</v>
      </c>
      <c r="AQ757" s="2" t="s">
        <v>74</v>
      </c>
      <c r="AR757" s="2" t="s">
        <v>74</v>
      </c>
      <c r="AS757" s="2" t="s">
        <v>74</v>
      </c>
      <c r="AT757" s="2" t="s">
        <v>123</v>
      </c>
      <c r="AU757" s="2">
        <v>2020</v>
      </c>
      <c r="AV757" s="2">
        <v>224</v>
      </c>
      <c r="AW757" s="2" t="s">
        <v>74</v>
      </c>
      <c r="AX757" s="2" t="s">
        <v>74</v>
      </c>
      <c r="AY757" s="2" t="s">
        <v>74</v>
      </c>
      <c r="AZ757" s="2" t="s">
        <v>74</v>
      </c>
      <c r="BA757" s="2" t="s">
        <v>74</v>
      </c>
      <c r="BB757" s="2" t="s">
        <v>74</v>
      </c>
      <c r="BC757" s="2" t="s">
        <v>74</v>
      </c>
      <c r="BD757" s="2">
        <v>104939</v>
      </c>
      <c r="BE757" s="2" t="s">
        <v>1719</v>
      </c>
      <c r="BF757" s="2" t="str">
        <f>HYPERLINK("http://dx.doi.org/10.1016/j.applanim.2020.104939","http://dx.doi.org/10.1016/j.applanim.2020.104939")</f>
        <v>http://dx.doi.org/10.1016/j.applanim.2020.104939</v>
      </c>
      <c r="BG757" s="2" t="s">
        <v>74</v>
      </c>
      <c r="BH757" s="2" t="s">
        <v>74</v>
      </c>
      <c r="BI757" s="2" t="s">
        <v>74</v>
      </c>
      <c r="BJ757" s="2" t="s">
        <v>74</v>
      </c>
      <c r="BK757" s="2" t="s">
        <v>74</v>
      </c>
      <c r="BL757" s="2" t="s">
        <v>74</v>
      </c>
      <c r="BM757" s="2" t="s">
        <v>74</v>
      </c>
      <c r="BN757" s="2" t="s">
        <v>74</v>
      </c>
      <c r="BO757" s="2" t="s">
        <v>74</v>
      </c>
      <c r="BP757" s="2" t="s">
        <v>74</v>
      </c>
      <c r="BQ757" s="2" t="s">
        <v>74</v>
      </c>
      <c r="BR757" s="2" t="s">
        <v>74</v>
      </c>
      <c r="BS757" s="2" t="s">
        <v>1720</v>
      </c>
      <c r="BT757" s="2" t="str">
        <f>HYPERLINK("https%3A%2F%2Fwww.webofscience.com%2Fwos%2Fwoscc%2Ffull-record%2FWOS:000524493000008","View Full Record in Web of Science")</f>
        <v>View Full Record in Web of Science</v>
      </c>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row>
    <row r="758" spans="1:314" s="7" customFormat="1" x14ac:dyDescent="0.4">
      <c r="A758" s="2" t="s">
        <v>72</v>
      </c>
      <c r="B758" s="2" t="s">
        <v>4811</v>
      </c>
      <c r="C758" s="2" t="s">
        <v>74</v>
      </c>
      <c r="D758" s="2" t="s">
        <v>74</v>
      </c>
      <c r="E758" s="2" t="s">
        <v>74</v>
      </c>
      <c r="F758" s="2" t="s">
        <v>4812</v>
      </c>
      <c r="G758" s="2" t="s">
        <v>74</v>
      </c>
      <c r="H758" s="2" t="s">
        <v>74</v>
      </c>
      <c r="I758" s="2" t="s">
        <v>4813</v>
      </c>
      <c r="J758" s="2" t="s">
        <v>2248</v>
      </c>
      <c r="K758" s="2" t="s">
        <v>74</v>
      </c>
      <c r="L758" s="2" t="s">
        <v>74</v>
      </c>
      <c r="M758" s="2" t="s">
        <v>74</v>
      </c>
      <c r="N758" s="2" t="s">
        <v>74</v>
      </c>
      <c r="O758" s="2" t="s">
        <v>74</v>
      </c>
      <c r="P758" s="2" t="s">
        <v>74</v>
      </c>
      <c r="Q758" s="2" t="s">
        <v>74</v>
      </c>
      <c r="R758" s="2" t="s">
        <v>74</v>
      </c>
      <c r="S758" s="2" t="s">
        <v>74</v>
      </c>
      <c r="T758" s="2" t="s">
        <v>74</v>
      </c>
      <c r="U758" s="2" t="s">
        <v>74</v>
      </c>
      <c r="V758" s="5" t="s">
        <v>4814</v>
      </c>
      <c r="W758" s="2" t="s">
        <v>74</v>
      </c>
      <c r="X758" s="2" t="s">
        <v>74</v>
      </c>
      <c r="Y758" s="2" t="s">
        <v>74</v>
      </c>
      <c r="Z758" s="2" t="s">
        <v>74</v>
      </c>
      <c r="AA758" s="2" t="s">
        <v>4815</v>
      </c>
      <c r="AB758" s="2" t="s">
        <v>4816</v>
      </c>
      <c r="AC758" s="2" t="s">
        <v>74</v>
      </c>
      <c r="AD758" s="2" t="s">
        <v>74</v>
      </c>
      <c r="AE758" s="2" t="s">
        <v>74</v>
      </c>
      <c r="AF758" s="2" t="s">
        <v>74</v>
      </c>
      <c r="AG758" s="2" t="s">
        <v>74</v>
      </c>
      <c r="AH758" s="2" t="s">
        <v>74</v>
      </c>
      <c r="AI758" s="2" t="s">
        <v>74</v>
      </c>
      <c r="AJ758" s="2" t="s">
        <v>74</v>
      </c>
      <c r="AK758" s="2" t="s">
        <v>74</v>
      </c>
      <c r="AL758" s="2" t="s">
        <v>74</v>
      </c>
      <c r="AM758" s="2" t="s">
        <v>74</v>
      </c>
      <c r="AN758" s="2" t="s">
        <v>74</v>
      </c>
      <c r="AO758" s="2" t="s">
        <v>2251</v>
      </c>
      <c r="AP758" s="2" t="s">
        <v>2252</v>
      </c>
      <c r="AQ758" s="2" t="s">
        <v>74</v>
      </c>
      <c r="AR758" s="2" t="s">
        <v>74</v>
      </c>
      <c r="AS758" s="2" t="s">
        <v>74</v>
      </c>
      <c r="AT758" s="2" t="s">
        <v>4817</v>
      </c>
      <c r="AU758" s="2">
        <v>2021</v>
      </c>
      <c r="AV758" s="2">
        <v>24</v>
      </c>
      <c r="AW758" s="2">
        <v>2</v>
      </c>
      <c r="AX758" s="2" t="s">
        <v>74</v>
      </c>
      <c r="AY758" s="2" t="s">
        <v>74</v>
      </c>
      <c r="AZ758" s="2" t="s">
        <v>74</v>
      </c>
      <c r="BA758" s="2" t="s">
        <v>74</v>
      </c>
      <c r="BB758" s="2">
        <v>107</v>
      </c>
      <c r="BC758" s="2">
        <v>116</v>
      </c>
      <c r="BD758" s="2" t="s">
        <v>74</v>
      </c>
      <c r="BE758" s="2" t="s">
        <v>4818</v>
      </c>
      <c r="BF758" s="2" t="str">
        <f>HYPERLINK("http://dx.doi.org/10.1080/10888705.2021.1872026","http://dx.doi.org/10.1080/10888705.2021.1872026")</f>
        <v>http://dx.doi.org/10.1080/10888705.2021.1872026</v>
      </c>
      <c r="BG758" s="2" t="s">
        <v>74</v>
      </c>
      <c r="BH758" s="2" t="s">
        <v>2962</v>
      </c>
      <c r="BI758" s="2" t="s">
        <v>74</v>
      </c>
      <c r="BJ758" s="2" t="s">
        <v>74</v>
      </c>
      <c r="BK758" s="2" t="s">
        <v>74</v>
      </c>
      <c r="BL758" s="2" t="s">
        <v>74</v>
      </c>
      <c r="BM758" s="2" t="s">
        <v>74</v>
      </c>
      <c r="BN758" s="2">
        <v>33508981</v>
      </c>
      <c r="BO758" s="2" t="s">
        <v>74</v>
      </c>
      <c r="BP758" s="2" t="s">
        <v>74</v>
      </c>
      <c r="BQ758" s="2" t="s">
        <v>74</v>
      </c>
      <c r="BR758" s="2" t="s">
        <v>74</v>
      </c>
      <c r="BS758" s="2" t="s">
        <v>4819</v>
      </c>
      <c r="BT758" s="2" t="str">
        <f>HYPERLINK("https%3A%2F%2Fwww.webofscience.com%2Fwos%2Fwoscc%2Ffull-record%2FWOS:000612753900001","View Full Record in Web of Science")</f>
        <v>View Full Record in Web of Science</v>
      </c>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row>
    <row r="759" spans="1:314" s="2" customFormat="1" x14ac:dyDescent="0.4">
      <c r="A759" s="2" t="s">
        <v>72</v>
      </c>
      <c r="B759" s="2" t="s">
        <v>2668</v>
      </c>
      <c r="C759" s="2" t="s">
        <v>74</v>
      </c>
      <c r="D759" s="2" t="s">
        <v>74</v>
      </c>
      <c r="E759" s="2" t="s">
        <v>74</v>
      </c>
      <c r="F759" s="2" t="s">
        <v>2669</v>
      </c>
      <c r="G759" s="2" t="s">
        <v>74</v>
      </c>
      <c r="H759" s="2" t="s">
        <v>74</v>
      </c>
      <c r="I759" s="2" t="s">
        <v>2670</v>
      </c>
      <c r="J759" s="2" t="s">
        <v>610</v>
      </c>
      <c r="K759" s="2" t="s">
        <v>74</v>
      </c>
      <c r="L759" s="2" t="s">
        <v>74</v>
      </c>
      <c r="M759" s="2" t="s">
        <v>74</v>
      </c>
      <c r="N759" s="2" t="s">
        <v>74</v>
      </c>
      <c r="O759" s="2" t="s">
        <v>74</v>
      </c>
      <c r="P759" s="2" t="s">
        <v>74</v>
      </c>
      <c r="Q759" s="2" t="s">
        <v>74</v>
      </c>
      <c r="R759" s="2" t="s">
        <v>74</v>
      </c>
      <c r="S759" s="2" t="s">
        <v>74</v>
      </c>
      <c r="T759" s="2" t="s">
        <v>74</v>
      </c>
      <c r="U759" s="2" t="s">
        <v>74</v>
      </c>
      <c r="V759" s="5" t="s">
        <v>2671</v>
      </c>
      <c r="W759" s="2" t="s">
        <v>74</v>
      </c>
      <c r="X759" s="2" t="s">
        <v>74</v>
      </c>
      <c r="Y759" s="2" t="s">
        <v>74</v>
      </c>
      <c r="Z759" s="2" t="s">
        <v>74</v>
      </c>
      <c r="AA759" s="2" t="s">
        <v>74</v>
      </c>
      <c r="AB759" s="2" t="s">
        <v>74</v>
      </c>
      <c r="AC759" s="2" t="s">
        <v>74</v>
      </c>
      <c r="AD759" s="2" t="s">
        <v>74</v>
      </c>
      <c r="AE759" s="2" t="s">
        <v>74</v>
      </c>
      <c r="AF759" s="2" t="s">
        <v>74</v>
      </c>
      <c r="AG759" s="2" t="s">
        <v>74</v>
      </c>
      <c r="AH759" s="2" t="s">
        <v>74</v>
      </c>
      <c r="AI759" s="2" t="s">
        <v>74</v>
      </c>
      <c r="AJ759" s="2" t="s">
        <v>74</v>
      </c>
      <c r="AK759" s="2" t="s">
        <v>74</v>
      </c>
      <c r="AL759" s="2" t="s">
        <v>74</v>
      </c>
      <c r="AM759" s="2" t="s">
        <v>74</v>
      </c>
      <c r="AN759" s="2" t="s">
        <v>74</v>
      </c>
      <c r="AO759" s="2" t="s">
        <v>614</v>
      </c>
      <c r="AP759" s="2" t="s">
        <v>615</v>
      </c>
      <c r="AQ759" s="2" t="s">
        <v>74</v>
      </c>
      <c r="AR759" s="2" t="s">
        <v>74</v>
      </c>
      <c r="AS759" s="2" t="s">
        <v>74</v>
      </c>
      <c r="AT759" s="2" t="s">
        <v>352</v>
      </c>
      <c r="AU759" s="2">
        <v>2012</v>
      </c>
      <c r="AV759" s="2">
        <v>118</v>
      </c>
      <c r="AW759" s="2">
        <v>9</v>
      </c>
      <c r="AX759" s="2" t="s">
        <v>74</v>
      </c>
      <c r="AY759" s="2" t="s">
        <v>74</v>
      </c>
      <c r="AZ759" s="2" t="s">
        <v>74</v>
      </c>
      <c r="BA759" s="2" t="s">
        <v>74</v>
      </c>
      <c r="BB759" s="2">
        <v>906</v>
      </c>
      <c r="BC759" s="2">
        <v>916</v>
      </c>
      <c r="BD759" s="2" t="s">
        <v>74</v>
      </c>
      <c r="BE759" s="2" t="s">
        <v>2672</v>
      </c>
      <c r="BF759" s="2" t="str">
        <f>HYPERLINK("http://dx.doi.org/10.1111/j.1439-0310.2012.02079.x","http://dx.doi.org/10.1111/j.1439-0310.2012.02079.x")</f>
        <v>http://dx.doi.org/10.1111/j.1439-0310.2012.02079.x</v>
      </c>
      <c r="BG759" s="2" t="s">
        <v>74</v>
      </c>
      <c r="BH759" s="2" t="s">
        <v>74</v>
      </c>
      <c r="BI759" s="2" t="s">
        <v>74</v>
      </c>
      <c r="BJ759" s="2" t="s">
        <v>74</v>
      </c>
      <c r="BK759" s="2" t="s">
        <v>74</v>
      </c>
      <c r="BL759" s="2" t="s">
        <v>74</v>
      </c>
      <c r="BM759" s="2" t="s">
        <v>74</v>
      </c>
      <c r="BN759" s="2" t="s">
        <v>74</v>
      </c>
      <c r="BO759" s="2" t="s">
        <v>74</v>
      </c>
      <c r="BP759" s="2" t="s">
        <v>74</v>
      </c>
      <c r="BQ759" s="2" t="s">
        <v>74</v>
      </c>
      <c r="BR759" s="2" t="s">
        <v>74</v>
      </c>
      <c r="BS759" s="2" t="s">
        <v>2673</v>
      </c>
      <c r="BT759" s="2" t="str">
        <f>HYPERLINK("https%3A%2F%2Fwww.webofscience.com%2Fwos%2Fwoscc%2Ffull-record%2FWOS:000306734400012","View Full Record in Web of Science")</f>
        <v>View Full Record in Web of Science</v>
      </c>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row>
    <row r="760" spans="1:314" s="2" customFormat="1" x14ac:dyDescent="0.4">
      <c r="A760" s="2" t="s">
        <v>72</v>
      </c>
      <c r="B760" s="2" t="s">
        <v>2668</v>
      </c>
      <c r="C760" s="2" t="s">
        <v>74</v>
      </c>
      <c r="D760" s="2" t="s">
        <v>74</v>
      </c>
      <c r="E760" s="2" t="s">
        <v>74</v>
      </c>
      <c r="F760" s="2" t="s">
        <v>2669</v>
      </c>
      <c r="G760" s="2" t="s">
        <v>74</v>
      </c>
      <c r="H760" s="2" t="s">
        <v>74</v>
      </c>
      <c r="I760" s="2" t="s">
        <v>4726</v>
      </c>
      <c r="J760" s="2" t="s">
        <v>4727</v>
      </c>
      <c r="K760" s="2" t="s">
        <v>74</v>
      </c>
      <c r="L760" s="2" t="s">
        <v>74</v>
      </c>
      <c r="M760" s="2" t="s">
        <v>74</v>
      </c>
      <c r="N760" s="2" t="s">
        <v>74</v>
      </c>
      <c r="O760" s="2" t="s">
        <v>74</v>
      </c>
      <c r="P760" s="2" t="s">
        <v>74</v>
      </c>
      <c r="Q760" s="2" t="s">
        <v>74</v>
      </c>
      <c r="R760" s="2" t="s">
        <v>74</v>
      </c>
      <c r="S760" s="2" t="s">
        <v>74</v>
      </c>
      <c r="T760" s="2" t="s">
        <v>74</v>
      </c>
      <c r="U760" s="2" t="s">
        <v>74</v>
      </c>
      <c r="V760" s="5" t="s">
        <v>4728</v>
      </c>
      <c r="W760" s="2" t="s">
        <v>74</v>
      </c>
      <c r="X760" s="2" t="s">
        <v>74</v>
      </c>
      <c r="Y760" s="2" t="s">
        <v>74</v>
      </c>
      <c r="Z760" s="2" t="s">
        <v>74</v>
      </c>
      <c r="AA760" s="2" t="s">
        <v>74</v>
      </c>
      <c r="AB760" s="2" t="s">
        <v>4729</v>
      </c>
      <c r="AC760" s="2" t="s">
        <v>74</v>
      </c>
      <c r="AD760" s="2" t="s">
        <v>74</v>
      </c>
      <c r="AE760" s="2" t="s">
        <v>74</v>
      </c>
      <c r="AF760" s="2" t="s">
        <v>74</v>
      </c>
      <c r="AG760" s="2" t="s">
        <v>74</v>
      </c>
      <c r="AH760" s="2" t="s">
        <v>74</v>
      </c>
      <c r="AI760" s="2" t="s">
        <v>74</v>
      </c>
      <c r="AJ760" s="2" t="s">
        <v>74</v>
      </c>
      <c r="AK760" s="2" t="s">
        <v>74</v>
      </c>
      <c r="AL760" s="2" t="s">
        <v>74</v>
      </c>
      <c r="AM760" s="2" t="s">
        <v>74</v>
      </c>
      <c r="AN760" s="2" t="s">
        <v>74</v>
      </c>
      <c r="AO760" s="2" t="s">
        <v>74</v>
      </c>
      <c r="AP760" s="2" t="s">
        <v>4730</v>
      </c>
      <c r="AQ760" s="2" t="s">
        <v>74</v>
      </c>
      <c r="AR760" s="2" t="s">
        <v>74</v>
      </c>
      <c r="AS760" s="2" t="s">
        <v>74</v>
      </c>
      <c r="AT760" s="2" t="s">
        <v>305</v>
      </c>
      <c r="AU760" s="2">
        <v>2021</v>
      </c>
      <c r="AV760" s="2">
        <v>2</v>
      </c>
      <c r="AW760" s="2">
        <v>4</v>
      </c>
      <c r="AX760" s="2" t="s">
        <v>74</v>
      </c>
      <c r="AY760" s="2" t="s">
        <v>74</v>
      </c>
      <c r="AZ760" s="2" t="s">
        <v>74</v>
      </c>
      <c r="BA760" s="2" t="s">
        <v>74</v>
      </c>
      <c r="BB760" s="2">
        <v>404</v>
      </c>
      <c r="BC760" s="2">
        <v>414</v>
      </c>
      <c r="BD760" s="2" t="s">
        <v>74</v>
      </c>
      <c r="BE760" s="2" t="s">
        <v>4731</v>
      </c>
      <c r="BF760" s="2" t="str">
        <f>HYPERLINK("http://dx.doi.org/10.3390/birds2040030","http://dx.doi.org/10.3390/birds2040030")</f>
        <v>http://dx.doi.org/10.3390/birds2040030</v>
      </c>
      <c r="BG760" s="2" t="s">
        <v>74</v>
      </c>
      <c r="BH760" s="2" t="s">
        <v>74</v>
      </c>
      <c r="BI760" s="2" t="s">
        <v>74</v>
      </c>
      <c r="BJ760" s="2" t="s">
        <v>74</v>
      </c>
      <c r="BK760" s="2" t="s">
        <v>74</v>
      </c>
      <c r="BL760" s="2" t="s">
        <v>74</v>
      </c>
      <c r="BM760" s="2" t="s">
        <v>74</v>
      </c>
      <c r="BN760" s="2" t="s">
        <v>74</v>
      </c>
      <c r="BO760" s="2" t="s">
        <v>74</v>
      </c>
      <c r="BP760" s="2" t="s">
        <v>74</v>
      </c>
      <c r="BQ760" s="2" t="s">
        <v>74</v>
      </c>
      <c r="BR760" s="2" t="s">
        <v>74</v>
      </c>
      <c r="BS760" s="2" t="s">
        <v>4732</v>
      </c>
      <c r="BT760" s="2" t="str">
        <f>HYPERLINK("https%3A%2F%2Fwww.webofscience.com%2Fwos%2Fwoscc%2Ffull-record%2FWOS:001123340900001","View Full Record in Web of Science")</f>
        <v>View Full Record in Web of Science</v>
      </c>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row>
    <row r="761" spans="1:314" s="2" customFormat="1" x14ac:dyDescent="0.4">
      <c r="A761" s="2" t="s">
        <v>72</v>
      </c>
      <c r="B761" s="2" t="s">
        <v>2547</v>
      </c>
      <c r="C761" s="2" t="s">
        <v>74</v>
      </c>
      <c r="D761" s="2" t="s">
        <v>74</v>
      </c>
      <c r="E761" s="2" t="s">
        <v>74</v>
      </c>
      <c r="F761" s="2" t="s">
        <v>2548</v>
      </c>
      <c r="G761" s="2" t="s">
        <v>74</v>
      </c>
      <c r="H761" s="2" t="s">
        <v>74</v>
      </c>
      <c r="I761" s="2" t="s">
        <v>2549</v>
      </c>
      <c r="J761" s="2" t="s">
        <v>2550</v>
      </c>
      <c r="K761" s="2" t="s">
        <v>74</v>
      </c>
      <c r="L761" s="2" t="s">
        <v>74</v>
      </c>
      <c r="M761" s="2" t="s">
        <v>74</v>
      </c>
      <c r="N761" s="2" t="s">
        <v>74</v>
      </c>
      <c r="O761" s="2" t="s">
        <v>74</v>
      </c>
      <c r="P761" s="2" t="s">
        <v>74</v>
      </c>
      <c r="Q761" s="2" t="s">
        <v>74</v>
      </c>
      <c r="R761" s="2" t="s">
        <v>74</v>
      </c>
      <c r="S761" s="2" t="s">
        <v>74</v>
      </c>
      <c r="T761" s="2" t="s">
        <v>74</v>
      </c>
      <c r="U761" s="2" t="s">
        <v>74</v>
      </c>
      <c r="V761" s="5" t="s">
        <v>2551</v>
      </c>
      <c r="W761" s="2" t="s">
        <v>74</v>
      </c>
      <c r="X761" s="2" t="s">
        <v>74</v>
      </c>
      <c r="Y761" s="2" t="s">
        <v>74</v>
      </c>
      <c r="Z761" s="2" t="s">
        <v>74</v>
      </c>
      <c r="AA761" s="2" t="s">
        <v>2552</v>
      </c>
      <c r="AB761" s="2" t="s">
        <v>2553</v>
      </c>
      <c r="AC761" s="2" t="s">
        <v>74</v>
      </c>
      <c r="AD761" s="2" t="s">
        <v>74</v>
      </c>
      <c r="AE761" s="2" t="s">
        <v>74</v>
      </c>
      <c r="AF761" s="2" t="s">
        <v>74</v>
      </c>
      <c r="AG761" s="2" t="s">
        <v>74</v>
      </c>
      <c r="AH761" s="2" t="s">
        <v>74</v>
      </c>
      <c r="AI761" s="2" t="s">
        <v>74</v>
      </c>
      <c r="AJ761" s="2" t="s">
        <v>74</v>
      </c>
      <c r="AK761" s="2" t="s">
        <v>74</v>
      </c>
      <c r="AL761" s="2" t="s">
        <v>74</v>
      </c>
      <c r="AM761" s="2" t="s">
        <v>74</v>
      </c>
      <c r="AN761" s="2" t="s">
        <v>74</v>
      </c>
      <c r="AO761" s="2" t="s">
        <v>2554</v>
      </c>
      <c r="AP761" s="2" t="s">
        <v>74</v>
      </c>
      <c r="AQ761" s="2" t="s">
        <v>74</v>
      </c>
      <c r="AR761" s="2" t="s">
        <v>74</v>
      </c>
      <c r="AS761" s="2" t="s">
        <v>74</v>
      </c>
      <c r="AT761" s="2" t="s">
        <v>633</v>
      </c>
      <c r="AU761" s="2">
        <v>2008</v>
      </c>
      <c r="AV761" s="2">
        <v>31</v>
      </c>
      <c r="AW761" s="2">
        <v>5</v>
      </c>
      <c r="AX761" s="2" t="s">
        <v>74</v>
      </c>
      <c r="AY761" s="2" t="s">
        <v>74</v>
      </c>
      <c r="AZ761" s="2" t="s">
        <v>74</v>
      </c>
      <c r="BA761" s="2" t="s">
        <v>74</v>
      </c>
      <c r="BB761" s="2">
        <v>557</v>
      </c>
      <c r="BC761" s="2">
        <v>560</v>
      </c>
      <c r="BD761" s="2" t="s">
        <v>74</v>
      </c>
      <c r="BE761" s="2" t="s">
        <v>2555</v>
      </c>
      <c r="BF761" s="2" t="str">
        <f>HYPERLINK("http://dx.doi.org/10.1007/s00300-007-0387-7","http://dx.doi.org/10.1007/s00300-007-0387-7")</f>
        <v>http://dx.doi.org/10.1007/s00300-007-0387-7</v>
      </c>
      <c r="BG761" s="2" t="s">
        <v>74</v>
      </c>
      <c r="BH761" s="2" t="s">
        <v>74</v>
      </c>
      <c r="BI761" s="2" t="s">
        <v>74</v>
      </c>
      <c r="BJ761" s="2" t="s">
        <v>74</v>
      </c>
      <c r="BK761" s="2" t="s">
        <v>74</v>
      </c>
      <c r="BL761" s="2" t="s">
        <v>74</v>
      </c>
      <c r="BM761" s="2" t="s">
        <v>74</v>
      </c>
      <c r="BN761" s="2" t="s">
        <v>74</v>
      </c>
      <c r="BO761" s="2" t="s">
        <v>74</v>
      </c>
      <c r="BP761" s="2" t="s">
        <v>74</v>
      </c>
      <c r="BQ761" s="2" t="s">
        <v>74</v>
      </c>
      <c r="BR761" s="2" t="s">
        <v>74</v>
      </c>
      <c r="BS761" s="2" t="s">
        <v>2556</v>
      </c>
      <c r="BT761" s="2" t="str">
        <f>HYPERLINK("https%3A%2F%2Fwww.webofscience.com%2Fwos%2Fwoscc%2Ffull-record%2FWOS:000254486900004","View Full Record in Web of Science")</f>
        <v>View Full Record in Web of Science</v>
      </c>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row>
    <row r="762" spans="1:314" s="2" customFormat="1" x14ac:dyDescent="0.4">
      <c r="A762" s="2" t="s">
        <v>72</v>
      </c>
      <c r="B762" s="2" t="s">
        <v>2812</v>
      </c>
      <c r="C762" s="2" t="s">
        <v>74</v>
      </c>
      <c r="D762" s="2" t="s">
        <v>74</v>
      </c>
      <c r="E762" s="2" t="s">
        <v>74</v>
      </c>
      <c r="F762" s="2" t="s">
        <v>2813</v>
      </c>
      <c r="G762" s="2" t="s">
        <v>74</v>
      </c>
      <c r="H762" s="2" t="s">
        <v>74</v>
      </c>
      <c r="I762" s="2" t="s">
        <v>2814</v>
      </c>
      <c r="J762" s="2" t="s">
        <v>1755</v>
      </c>
      <c r="K762" s="2" t="s">
        <v>74</v>
      </c>
      <c r="L762" s="2" t="s">
        <v>74</v>
      </c>
      <c r="M762" s="2" t="s">
        <v>74</v>
      </c>
      <c r="N762" s="2" t="s">
        <v>74</v>
      </c>
      <c r="O762" s="2" t="s">
        <v>74</v>
      </c>
      <c r="P762" s="2" t="s">
        <v>74</v>
      </c>
      <c r="Q762" s="2" t="s">
        <v>74</v>
      </c>
      <c r="R762" s="2" t="s">
        <v>74</v>
      </c>
      <c r="S762" s="2" t="s">
        <v>74</v>
      </c>
      <c r="T762" s="2" t="s">
        <v>74</v>
      </c>
      <c r="U762" s="2" t="s">
        <v>74</v>
      </c>
      <c r="V762" s="5" t="s">
        <v>2815</v>
      </c>
      <c r="W762" s="2" t="s">
        <v>74</v>
      </c>
      <c r="X762" s="2" t="s">
        <v>74</v>
      </c>
      <c r="Y762" s="2" t="s">
        <v>74</v>
      </c>
      <c r="Z762" s="2" t="s">
        <v>74</v>
      </c>
      <c r="AA762" s="2" t="s">
        <v>2816</v>
      </c>
      <c r="AB762" s="2" t="s">
        <v>2817</v>
      </c>
      <c r="AC762" s="2" t="s">
        <v>74</v>
      </c>
      <c r="AD762" s="2" t="s">
        <v>74</v>
      </c>
      <c r="AE762" s="2" t="s">
        <v>74</v>
      </c>
      <c r="AF762" s="2" t="s">
        <v>74</v>
      </c>
      <c r="AG762" s="2" t="s">
        <v>74</v>
      </c>
      <c r="AH762" s="2" t="s">
        <v>74</v>
      </c>
      <c r="AI762" s="2" t="s">
        <v>74</v>
      </c>
      <c r="AJ762" s="2" t="s">
        <v>74</v>
      </c>
      <c r="AK762" s="2" t="s">
        <v>74</v>
      </c>
      <c r="AL762" s="2" t="s">
        <v>74</v>
      </c>
      <c r="AM762" s="2" t="s">
        <v>74</v>
      </c>
      <c r="AN762" s="2" t="s">
        <v>74</v>
      </c>
      <c r="AO762" s="2" t="s">
        <v>1759</v>
      </c>
      <c r="AP762" s="2" t="s">
        <v>1760</v>
      </c>
      <c r="AQ762" s="2" t="s">
        <v>74</v>
      </c>
      <c r="AR762" s="2" t="s">
        <v>74</v>
      </c>
      <c r="AS762" s="2" t="s">
        <v>74</v>
      </c>
      <c r="AT762" s="2" t="s">
        <v>123</v>
      </c>
      <c r="AU762" s="2">
        <v>2015</v>
      </c>
      <c r="AV762" s="2">
        <v>28</v>
      </c>
      <c r="AW762" s="2">
        <v>2</v>
      </c>
      <c r="AX762" s="2" t="s">
        <v>74</v>
      </c>
      <c r="AY762" s="2" t="s">
        <v>74</v>
      </c>
      <c r="AZ762" s="2" t="s">
        <v>74</v>
      </c>
      <c r="BA762" s="2" t="s">
        <v>74</v>
      </c>
      <c r="BB762" s="2">
        <v>175</v>
      </c>
      <c r="BC762" s="2">
        <v>182</v>
      </c>
      <c r="BD762" s="2" t="s">
        <v>74</v>
      </c>
      <c r="BE762" s="2" t="s">
        <v>2818</v>
      </c>
      <c r="BF762" s="2" t="str">
        <f>HYPERLINK("http://dx.doi.org/10.1007/s10905-015-9487-3","http://dx.doi.org/10.1007/s10905-015-9487-3")</f>
        <v>http://dx.doi.org/10.1007/s10905-015-9487-3</v>
      </c>
      <c r="BG762" s="2" t="s">
        <v>74</v>
      </c>
      <c r="BH762" s="2" t="s">
        <v>74</v>
      </c>
      <c r="BI762" s="2" t="s">
        <v>74</v>
      </c>
      <c r="BJ762" s="2" t="s">
        <v>74</v>
      </c>
      <c r="BK762" s="2" t="s">
        <v>74</v>
      </c>
      <c r="BL762" s="2" t="s">
        <v>74</v>
      </c>
      <c r="BM762" s="2" t="s">
        <v>74</v>
      </c>
      <c r="BN762" s="2" t="s">
        <v>74</v>
      </c>
      <c r="BO762" s="2" t="s">
        <v>74</v>
      </c>
      <c r="BP762" s="2" t="s">
        <v>74</v>
      </c>
      <c r="BQ762" s="2" t="s">
        <v>74</v>
      </c>
      <c r="BR762" s="2" t="s">
        <v>74</v>
      </c>
      <c r="BS762" s="2" t="s">
        <v>2819</v>
      </c>
      <c r="BT762" s="2" t="str">
        <f>HYPERLINK("https%3A%2F%2Fwww.webofscience.com%2Fwos%2Fwoscc%2Ffull-record%2FWOS:000351525100009","View Full Record in Web of Science")</f>
        <v>View Full Record in Web of Science</v>
      </c>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row>
    <row r="763" spans="1:314" s="2" customFormat="1" x14ac:dyDescent="0.4">
      <c r="A763" s="2" t="s">
        <v>72</v>
      </c>
      <c r="B763" s="2" t="s">
        <v>5587</v>
      </c>
      <c r="C763" s="2" t="s">
        <v>74</v>
      </c>
      <c r="D763" s="2" t="s">
        <v>74</v>
      </c>
      <c r="E763" s="2" t="s">
        <v>74</v>
      </c>
      <c r="F763" s="2" t="s">
        <v>5588</v>
      </c>
      <c r="G763" s="2" t="s">
        <v>74</v>
      </c>
      <c r="H763" s="2" t="s">
        <v>74</v>
      </c>
      <c r="I763" s="2" t="s">
        <v>5589</v>
      </c>
      <c r="J763" s="2" t="s">
        <v>431</v>
      </c>
      <c r="K763" s="2" t="s">
        <v>74</v>
      </c>
      <c r="L763" s="2" t="s">
        <v>74</v>
      </c>
      <c r="M763" s="2" t="s">
        <v>74</v>
      </c>
      <c r="N763" s="2" t="s">
        <v>74</v>
      </c>
      <c r="O763" s="2" t="s">
        <v>74</v>
      </c>
      <c r="P763" s="2" t="s">
        <v>74</v>
      </c>
      <c r="Q763" s="2" t="s">
        <v>74</v>
      </c>
      <c r="R763" s="2" t="s">
        <v>74</v>
      </c>
      <c r="S763" s="2" t="s">
        <v>74</v>
      </c>
      <c r="T763" s="2" t="s">
        <v>74</v>
      </c>
      <c r="U763" s="2" t="s">
        <v>74</v>
      </c>
      <c r="V763" s="5" t="s">
        <v>5590</v>
      </c>
      <c r="W763" s="2" t="s">
        <v>74</v>
      </c>
      <c r="X763" s="2" t="s">
        <v>74</v>
      </c>
      <c r="Y763" s="2" t="s">
        <v>74</v>
      </c>
      <c r="Z763" s="2" t="s">
        <v>74</v>
      </c>
      <c r="AA763" s="2" t="s">
        <v>5591</v>
      </c>
      <c r="AB763" s="2" t="s">
        <v>5592</v>
      </c>
      <c r="AC763" s="2" t="s">
        <v>74</v>
      </c>
      <c r="AD763" s="2" t="s">
        <v>74</v>
      </c>
      <c r="AE763" s="2" t="s">
        <v>74</v>
      </c>
      <c r="AF763" s="2" t="s">
        <v>74</v>
      </c>
      <c r="AG763" s="2" t="s">
        <v>74</v>
      </c>
      <c r="AH763" s="2" t="s">
        <v>74</v>
      </c>
      <c r="AI763" s="2" t="s">
        <v>74</v>
      </c>
      <c r="AJ763" s="2" t="s">
        <v>74</v>
      </c>
      <c r="AK763" s="2" t="s">
        <v>74</v>
      </c>
      <c r="AL763" s="2" t="s">
        <v>74</v>
      </c>
      <c r="AM763" s="2" t="s">
        <v>74</v>
      </c>
      <c r="AN763" s="2" t="s">
        <v>74</v>
      </c>
      <c r="AO763" s="2" t="s">
        <v>1458</v>
      </c>
      <c r="AP763" s="2" t="s">
        <v>435</v>
      </c>
      <c r="AQ763" s="2" t="s">
        <v>74</v>
      </c>
      <c r="AR763" s="2" t="s">
        <v>74</v>
      </c>
      <c r="AS763" s="2" t="s">
        <v>74</v>
      </c>
      <c r="AT763" s="2" t="s">
        <v>175</v>
      </c>
      <c r="AU763" s="2">
        <v>2007</v>
      </c>
      <c r="AV763" s="2">
        <v>124</v>
      </c>
      <c r="AW763" s="2">
        <v>4</v>
      </c>
      <c r="AX763" s="2" t="s">
        <v>74</v>
      </c>
      <c r="AY763" s="2" t="s">
        <v>74</v>
      </c>
      <c r="AZ763" s="2" t="s">
        <v>74</v>
      </c>
      <c r="BA763" s="2" t="s">
        <v>74</v>
      </c>
      <c r="BB763" s="2">
        <v>1330</v>
      </c>
      <c r="BC763" s="2">
        <v>1335</v>
      </c>
      <c r="BD763" s="2" t="s">
        <v>74</v>
      </c>
      <c r="BE763" s="2" t="s">
        <v>5593</v>
      </c>
      <c r="BF763" s="2" t="str">
        <f>HYPERLINK("http://dx.doi.org/10.1642/0004-8038(2007)124[1330:AGATDP]2.0.CO;2","http://dx.doi.org/10.1642/0004-8038(2007)124[1330:AGATDP]2.0.CO;2")</f>
        <v>http://dx.doi.org/10.1642/0004-8038(2007)124[1330:AGATDP]2.0.CO;2</v>
      </c>
      <c r="BG763" s="2" t="s">
        <v>74</v>
      </c>
      <c r="BH763" s="2" t="s">
        <v>74</v>
      </c>
      <c r="BI763" s="2" t="s">
        <v>74</v>
      </c>
      <c r="BJ763" s="2" t="s">
        <v>74</v>
      </c>
      <c r="BK763" s="2" t="s">
        <v>74</v>
      </c>
      <c r="BL763" s="2" t="s">
        <v>74</v>
      </c>
      <c r="BM763" s="2" t="s">
        <v>74</v>
      </c>
      <c r="BN763" s="2" t="s">
        <v>74</v>
      </c>
      <c r="BO763" s="2" t="s">
        <v>74</v>
      </c>
      <c r="BP763" s="2" t="s">
        <v>74</v>
      </c>
      <c r="BQ763" s="2" t="s">
        <v>74</v>
      </c>
      <c r="BR763" s="2" t="s">
        <v>74</v>
      </c>
      <c r="BS763" s="2" t="s">
        <v>5594</v>
      </c>
      <c r="BT763" s="2" t="str">
        <f>HYPERLINK("https%3A%2F%2Fwww.webofscience.com%2Fwos%2Fwoscc%2Ffull-record%2FWOS:000251446100017","View Full Record in Web of Science")</f>
        <v>View Full Record in Web of Science</v>
      </c>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row>
    <row r="764" spans="1:314" s="2" customFormat="1" x14ac:dyDescent="0.4">
      <c r="A764" s="2" t="s">
        <v>72</v>
      </c>
      <c r="B764" s="2" t="s">
        <v>3368</v>
      </c>
      <c r="C764" s="2" t="s">
        <v>74</v>
      </c>
      <c r="D764" s="2" t="s">
        <v>74</v>
      </c>
      <c r="E764" s="2" t="s">
        <v>74</v>
      </c>
      <c r="F764" s="2" t="s">
        <v>3368</v>
      </c>
      <c r="G764" s="2" t="s">
        <v>74</v>
      </c>
      <c r="H764" s="2" t="s">
        <v>74</v>
      </c>
      <c r="I764" s="2" t="s">
        <v>3369</v>
      </c>
      <c r="J764" s="2" t="s">
        <v>201</v>
      </c>
      <c r="K764" s="2" t="s">
        <v>74</v>
      </c>
      <c r="L764" s="2" t="s">
        <v>74</v>
      </c>
      <c r="M764" s="2" t="s">
        <v>74</v>
      </c>
      <c r="N764" s="2" t="s">
        <v>74</v>
      </c>
      <c r="O764" s="2" t="s">
        <v>74</v>
      </c>
      <c r="P764" s="2" t="s">
        <v>74</v>
      </c>
      <c r="Q764" s="2" t="s">
        <v>74</v>
      </c>
      <c r="R764" s="2" t="s">
        <v>74</v>
      </c>
      <c r="S764" s="2" t="s">
        <v>74</v>
      </c>
      <c r="T764" s="2" t="s">
        <v>74</v>
      </c>
      <c r="U764" s="2" t="s">
        <v>74</v>
      </c>
      <c r="V764" s="5" t="s">
        <v>3370</v>
      </c>
      <c r="W764" s="2" t="s">
        <v>74</v>
      </c>
      <c r="X764" s="2" t="s">
        <v>74</v>
      </c>
      <c r="Y764" s="2" t="s">
        <v>74</v>
      </c>
      <c r="Z764" s="2" t="s">
        <v>74</v>
      </c>
      <c r="AA764" s="2" t="s">
        <v>74</v>
      </c>
      <c r="AB764" s="2" t="s">
        <v>74</v>
      </c>
      <c r="AC764" s="2" t="s">
        <v>74</v>
      </c>
      <c r="AD764" s="2" t="s">
        <v>74</v>
      </c>
      <c r="AE764" s="2" t="s">
        <v>74</v>
      </c>
      <c r="AF764" s="2" t="s">
        <v>74</v>
      </c>
      <c r="AG764" s="2" t="s">
        <v>74</v>
      </c>
      <c r="AH764" s="2" t="s">
        <v>74</v>
      </c>
      <c r="AI764" s="2" t="s">
        <v>74</v>
      </c>
      <c r="AJ764" s="2" t="s">
        <v>74</v>
      </c>
      <c r="AK764" s="2" t="s">
        <v>74</v>
      </c>
      <c r="AL764" s="2" t="s">
        <v>74</v>
      </c>
      <c r="AM764" s="2" t="s">
        <v>74</v>
      </c>
      <c r="AN764" s="2" t="s">
        <v>74</v>
      </c>
      <c r="AO764" s="2" t="s">
        <v>203</v>
      </c>
      <c r="AP764" s="2" t="s">
        <v>74</v>
      </c>
      <c r="AQ764" s="2" t="s">
        <v>74</v>
      </c>
      <c r="AR764" s="2" t="s">
        <v>74</v>
      </c>
      <c r="AS764" s="2" t="s">
        <v>74</v>
      </c>
      <c r="AT764" s="2" t="s">
        <v>352</v>
      </c>
      <c r="AU764" s="2">
        <v>1996</v>
      </c>
      <c r="AV764" s="2">
        <v>49</v>
      </c>
      <c r="AW764" s="2">
        <v>3</v>
      </c>
      <c r="AX764" s="2" t="s">
        <v>74</v>
      </c>
      <c r="AY764" s="2" t="s">
        <v>74</v>
      </c>
      <c r="AZ764" s="2" t="s">
        <v>74</v>
      </c>
      <c r="BA764" s="2" t="s">
        <v>74</v>
      </c>
      <c r="BB764" s="2">
        <v>494</v>
      </c>
      <c r="BC764" s="2">
        <v>500</v>
      </c>
      <c r="BD764" s="2" t="s">
        <v>74</v>
      </c>
      <c r="BE764" s="2" t="s">
        <v>74</v>
      </c>
      <c r="BF764" s="2" t="s">
        <v>74</v>
      </c>
      <c r="BG764" s="2" t="s">
        <v>74</v>
      </c>
      <c r="BH764" s="2" t="s">
        <v>74</v>
      </c>
      <c r="BI764" s="2" t="s">
        <v>74</v>
      </c>
      <c r="BJ764" s="2" t="s">
        <v>74</v>
      </c>
      <c r="BK764" s="2" t="s">
        <v>74</v>
      </c>
      <c r="BL764" s="2" t="s">
        <v>74</v>
      </c>
      <c r="BM764" s="2" t="s">
        <v>74</v>
      </c>
      <c r="BN764" s="2" t="s">
        <v>74</v>
      </c>
      <c r="BO764" s="2" t="s">
        <v>74</v>
      </c>
      <c r="BP764" s="2" t="s">
        <v>74</v>
      </c>
      <c r="BQ764" s="2" t="s">
        <v>74</v>
      </c>
      <c r="BR764" s="2" t="s">
        <v>74</v>
      </c>
      <c r="BS764" s="2" t="s">
        <v>3371</v>
      </c>
      <c r="BT764" s="2" t="str">
        <f>HYPERLINK("https%3A%2F%2Fwww.webofscience.com%2Fwos%2Fwoscc%2Ffull-record%2FWOS:A1996VQ32100010","View Full Record in Web of Science")</f>
        <v>View Full Record in Web of Science</v>
      </c>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row>
    <row r="765" spans="1:314" s="2" customFormat="1" x14ac:dyDescent="0.4">
      <c r="A765" s="2" t="s">
        <v>72</v>
      </c>
      <c r="B765" s="2" t="s">
        <v>3586</v>
      </c>
      <c r="C765" s="2" t="s">
        <v>74</v>
      </c>
      <c r="D765" s="2" t="s">
        <v>74</v>
      </c>
      <c r="E765" s="2" t="s">
        <v>74</v>
      </c>
      <c r="F765" s="2" t="s">
        <v>3587</v>
      </c>
      <c r="G765" s="2" t="s">
        <v>74</v>
      </c>
      <c r="H765" s="2" t="s">
        <v>74</v>
      </c>
      <c r="I765" s="2" t="s">
        <v>3588</v>
      </c>
      <c r="J765" s="2" t="s">
        <v>814</v>
      </c>
      <c r="K765" s="2" t="s">
        <v>74</v>
      </c>
      <c r="L765" s="2" t="s">
        <v>74</v>
      </c>
      <c r="M765" s="2" t="s">
        <v>74</v>
      </c>
      <c r="N765" s="2" t="s">
        <v>74</v>
      </c>
      <c r="O765" s="2" t="s">
        <v>74</v>
      </c>
      <c r="P765" s="2" t="s">
        <v>74</v>
      </c>
      <c r="Q765" s="2" t="s">
        <v>74</v>
      </c>
      <c r="R765" s="2" t="s">
        <v>74</v>
      </c>
      <c r="S765" s="2" t="s">
        <v>74</v>
      </c>
      <c r="T765" s="2" t="s">
        <v>74</v>
      </c>
      <c r="U765" s="2" t="s">
        <v>74</v>
      </c>
      <c r="V765" s="5" t="s">
        <v>3589</v>
      </c>
      <c r="W765" s="2" t="s">
        <v>74</v>
      </c>
      <c r="X765" s="2" t="s">
        <v>74</v>
      </c>
      <c r="Y765" s="2" t="s">
        <v>74</v>
      </c>
      <c r="Z765" s="2" t="s">
        <v>74</v>
      </c>
      <c r="AA765" s="2" t="s">
        <v>74</v>
      </c>
      <c r="AB765" s="2" t="s">
        <v>74</v>
      </c>
      <c r="AC765" s="2" t="s">
        <v>74</v>
      </c>
      <c r="AD765" s="2" t="s">
        <v>74</v>
      </c>
      <c r="AE765" s="2" t="s">
        <v>74</v>
      </c>
      <c r="AF765" s="2" t="s">
        <v>74</v>
      </c>
      <c r="AG765" s="2" t="s">
        <v>74</v>
      </c>
      <c r="AH765" s="2" t="s">
        <v>74</v>
      </c>
      <c r="AI765" s="2" t="s">
        <v>74</v>
      </c>
      <c r="AJ765" s="2" t="s">
        <v>74</v>
      </c>
      <c r="AK765" s="2" t="s">
        <v>74</v>
      </c>
      <c r="AL765" s="2" t="s">
        <v>74</v>
      </c>
      <c r="AM765" s="2" t="s">
        <v>74</v>
      </c>
      <c r="AN765" s="2" t="s">
        <v>74</v>
      </c>
      <c r="AO765" s="2" t="s">
        <v>818</v>
      </c>
      <c r="AP765" s="2" t="s">
        <v>1505</v>
      </c>
      <c r="AQ765" s="2" t="s">
        <v>74</v>
      </c>
      <c r="AR765" s="2" t="s">
        <v>74</v>
      </c>
      <c r="AS765" s="2" t="s">
        <v>74</v>
      </c>
      <c r="AT765" s="2" t="s">
        <v>305</v>
      </c>
      <c r="AU765" s="2">
        <v>2023</v>
      </c>
      <c r="AV765" s="2">
        <v>161</v>
      </c>
      <c r="AW765" s="2" t="s">
        <v>74</v>
      </c>
      <c r="AX765" s="2" t="s">
        <v>74</v>
      </c>
      <c r="AY765" s="2" t="s">
        <v>74</v>
      </c>
      <c r="AZ765" s="2" t="s">
        <v>74</v>
      </c>
      <c r="BA765" s="2" t="s">
        <v>74</v>
      </c>
      <c r="BB765" s="2" t="s">
        <v>74</v>
      </c>
      <c r="BC765" s="2" t="s">
        <v>74</v>
      </c>
      <c r="BD765" s="2">
        <v>126128</v>
      </c>
      <c r="BE765" s="2" t="s">
        <v>3590</v>
      </c>
      <c r="BF765" s="2" t="str">
        <f>HYPERLINK("http://dx.doi.org/10.1016/j.zool.2023.126128","http://dx.doi.org/10.1016/j.zool.2023.126128")</f>
        <v>http://dx.doi.org/10.1016/j.zool.2023.126128</v>
      </c>
      <c r="BG765" s="2" t="s">
        <v>74</v>
      </c>
      <c r="BH765" s="2" t="s">
        <v>902</v>
      </c>
      <c r="BI765" s="2" t="s">
        <v>74</v>
      </c>
      <c r="BJ765" s="2" t="s">
        <v>74</v>
      </c>
      <c r="BK765" s="2" t="s">
        <v>74</v>
      </c>
      <c r="BL765" s="2" t="s">
        <v>74</v>
      </c>
      <c r="BM765" s="2" t="s">
        <v>74</v>
      </c>
      <c r="BN765" s="2">
        <v>37839289</v>
      </c>
      <c r="BO765" s="2" t="s">
        <v>74</v>
      </c>
      <c r="BP765" s="2" t="s">
        <v>74</v>
      </c>
      <c r="BQ765" s="2" t="s">
        <v>74</v>
      </c>
      <c r="BR765" s="2" t="s">
        <v>74</v>
      </c>
      <c r="BS765" s="2" t="s">
        <v>3591</v>
      </c>
      <c r="BT765" s="2" t="str">
        <f>HYPERLINK("https%3A%2F%2Fwww.webofscience.com%2Fwos%2Fwoscc%2Ffull-record%2FWOS:001098666600001","View Full Record in Web of Science")</f>
        <v>View Full Record in Web of Science</v>
      </c>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row>
    <row r="766" spans="1:314" s="2" customFormat="1" x14ac:dyDescent="0.4">
      <c r="A766" s="2" t="s">
        <v>72</v>
      </c>
      <c r="B766" s="2" t="s">
        <v>4673</v>
      </c>
      <c r="C766" s="2" t="s">
        <v>74</v>
      </c>
      <c r="D766" s="2" t="s">
        <v>74</v>
      </c>
      <c r="E766" s="2" t="s">
        <v>74</v>
      </c>
      <c r="F766" s="2" t="s">
        <v>4673</v>
      </c>
      <c r="G766" s="2" t="s">
        <v>74</v>
      </c>
      <c r="H766" s="2" t="s">
        <v>74</v>
      </c>
      <c r="I766" s="2" t="s">
        <v>4674</v>
      </c>
      <c r="J766" s="2" t="s">
        <v>1755</v>
      </c>
      <c r="K766" s="2" t="s">
        <v>74</v>
      </c>
      <c r="L766" s="2" t="s">
        <v>74</v>
      </c>
      <c r="M766" s="2" t="s">
        <v>74</v>
      </c>
      <c r="N766" s="2" t="s">
        <v>74</v>
      </c>
      <c r="O766" s="2" t="s">
        <v>74</v>
      </c>
      <c r="P766" s="2" t="s">
        <v>74</v>
      </c>
      <c r="Q766" s="2" t="s">
        <v>74</v>
      </c>
      <c r="R766" s="2" t="s">
        <v>74</v>
      </c>
      <c r="S766" s="2" t="s">
        <v>74</v>
      </c>
      <c r="T766" s="2" t="s">
        <v>74</v>
      </c>
      <c r="U766" s="2" t="s">
        <v>74</v>
      </c>
      <c r="V766" s="5" t="s">
        <v>4675</v>
      </c>
      <c r="W766" s="2" t="s">
        <v>74</v>
      </c>
      <c r="X766" s="2" t="s">
        <v>74</v>
      </c>
      <c r="Y766" s="2" t="s">
        <v>74</v>
      </c>
      <c r="Z766" s="2" t="s">
        <v>74</v>
      </c>
      <c r="AA766" s="2" t="s">
        <v>2989</v>
      </c>
      <c r="AB766" s="2" t="s">
        <v>4093</v>
      </c>
      <c r="AC766" s="2" t="s">
        <v>74</v>
      </c>
      <c r="AD766" s="2" t="s">
        <v>74</v>
      </c>
      <c r="AE766" s="2" t="s">
        <v>74</v>
      </c>
      <c r="AF766" s="2" t="s">
        <v>74</v>
      </c>
      <c r="AG766" s="2" t="s">
        <v>74</v>
      </c>
      <c r="AH766" s="2" t="s">
        <v>74</v>
      </c>
      <c r="AI766" s="2" t="s">
        <v>74</v>
      </c>
      <c r="AJ766" s="2" t="s">
        <v>74</v>
      </c>
      <c r="AK766" s="2" t="s">
        <v>74</v>
      </c>
      <c r="AL766" s="2" t="s">
        <v>74</v>
      </c>
      <c r="AM766" s="2" t="s">
        <v>74</v>
      </c>
      <c r="AN766" s="2" t="s">
        <v>74</v>
      </c>
      <c r="AO766" s="2" t="s">
        <v>1759</v>
      </c>
      <c r="AP766" s="2" t="s">
        <v>1760</v>
      </c>
      <c r="AQ766" s="2" t="s">
        <v>74</v>
      </c>
      <c r="AR766" s="2" t="s">
        <v>74</v>
      </c>
      <c r="AS766" s="2" t="s">
        <v>74</v>
      </c>
      <c r="AT766" s="2" t="s">
        <v>213</v>
      </c>
      <c r="AU766" s="2">
        <v>1999</v>
      </c>
      <c r="AV766" s="2">
        <v>12</v>
      </c>
      <c r="AW766" s="2">
        <v>6</v>
      </c>
      <c r="AX766" s="2" t="s">
        <v>74</v>
      </c>
      <c r="AY766" s="2" t="s">
        <v>74</v>
      </c>
      <c r="AZ766" s="2" t="s">
        <v>74</v>
      </c>
      <c r="BA766" s="2" t="s">
        <v>74</v>
      </c>
      <c r="BB766" s="2">
        <v>801</v>
      </c>
      <c r="BC766" s="2">
        <v>814</v>
      </c>
      <c r="BD766" s="2" t="s">
        <v>74</v>
      </c>
      <c r="BE766" s="2" t="s">
        <v>4676</v>
      </c>
      <c r="BF766" s="2" t="str">
        <f>HYPERLINK("http://dx.doi.org/10.1023/A:1020957110842","http://dx.doi.org/10.1023/A:1020957110842")</f>
        <v>http://dx.doi.org/10.1023/A:1020957110842</v>
      </c>
      <c r="BG766" s="2" t="s">
        <v>74</v>
      </c>
      <c r="BH766" s="2" t="s">
        <v>74</v>
      </c>
      <c r="BI766" s="2" t="s">
        <v>74</v>
      </c>
      <c r="BJ766" s="2" t="s">
        <v>74</v>
      </c>
      <c r="BK766" s="2" t="s">
        <v>74</v>
      </c>
      <c r="BL766" s="2" t="s">
        <v>74</v>
      </c>
      <c r="BM766" s="2" t="s">
        <v>74</v>
      </c>
      <c r="BN766" s="2" t="s">
        <v>74</v>
      </c>
      <c r="BO766" s="2" t="s">
        <v>74</v>
      </c>
      <c r="BP766" s="2" t="s">
        <v>74</v>
      </c>
      <c r="BQ766" s="2" t="s">
        <v>74</v>
      </c>
      <c r="BR766" s="2" t="s">
        <v>74</v>
      </c>
      <c r="BS766" s="2" t="s">
        <v>4677</v>
      </c>
      <c r="BT766" s="2" t="str">
        <f>HYPERLINK("https%3A%2F%2Fwww.webofscience.com%2Fwos%2Fwoscc%2Ffull-record%2FWOS:000087352400006","View Full Record in Web of Science")</f>
        <v>View Full Record in Web of Science</v>
      </c>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row>
    <row r="767" spans="1:314" s="2" customFormat="1" x14ac:dyDescent="0.4">
      <c r="A767" s="2" t="s">
        <v>72</v>
      </c>
      <c r="B767" s="2" t="s">
        <v>4957</v>
      </c>
      <c r="C767" s="2" t="s">
        <v>74</v>
      </c>
      <c r="D767" s="2" t="s">
        <v>74</v>
      </c>
      <c r="E767" s="2" t="s">
        <v>74</v>
      </c>
      <c r="F767" s="2" t="s">
        <v>4958</v>
      </c>
      <c r="G767" s="2" t="s">
        <v>74</v>
      </c>
      <c r="H767" s="2" t="s">
        <v>74</v>
      </c>
      <c r="I767" s="2" t="s">
        <v>4959</v>
      </c>
      <c r="J767" s="2" t="s">
        <v>367</v>
      </c>
      <c r="K767" s="2" t="s">
        <v>74</v>
      </c>
      <c r="L767" s="2" t="s">
        <v>74</v>
      </c>
      <c r="M767" s="2" t="s">
        <v>74</v>
      </c>
      <c r="N767" s="2" t="s">
        <v>74</v>
      </c>
      <c r="O767" s="2" t="s">
        <v>74</v>
      </c>
      <c r="P767" s="2" t="s">
        <v>74</v>
      </c>
      <c r="Q767" s="2" t="s">
        <v>74</v>
      </c>
      <c r="R767" s="2" t="s">
        <v>74</v>
      </c>
      <c r="S767" s="2" t="s">
        <v>74</v>
      </c>
      <c r="T767" s="2" t="s">
        <v>74</v>
      </c>
      <c r="U767" s="2" t="s">
        <v>74</v>
      </c>
      <c r="V767" s="5" t="s">
        <v>4960</v>
      </c>
      <c r="W767" s="2" t="s">
        <v>74</v>
      </c>
      <c r="X767" s="2" t="s">
        <v>74</v>
      </c>
      <c r="Y767" s="2" t="s">
        <v>74</v>
      </c>
      <c r="Z767" s="2" t="s">
        <v>74</v>
      </c>
      <c r="AA767" s="2" t="s">
        <v>74</v>
      </c>
      <c r="AB767" s="2" t="s">
        <v>4961</v>
      </c>
      <c r="AC767" s="2" t="s">
        <v>74</v>
      </c>
      <c r="AD767" s="2" t="s">
        <v>74</v>
      </c>
      <c r="AE767" s="2" t="s">
        <v>74</v>
      </c>
      <c r="AF767" s="2" t="s">
        <v>74</v>
      </c>
      <c r="AG767" s="2" t="s">
        <v>74</v>
      </c>
      <c r="AH767" s="2" t="s">
        <v>74</v>
      </c>
      <c r="AI767" s="2" t="s">
        <v>74</v>
      </c>
      <c r="AJ767" s="2" t="s">
        <v>74</v>
      </c>
      <c r="AK767" s="2" t="s">
        <v>74</v>
      </c>
      <c r="AL767" s="2" t="s">
        <v>74</v>
      </c>
      <c r="AM767" s="2" t="s">
        <v>74</v>
      </c>
      <c r="AN767" s="2" t="s">
        <v>74</v>
      </c>
      <c r="AO767" s="2" t="s">
        <v>371</v>
      </c>
      <c r="AP767" s="2" t="s">
        <v>372</v>
      </c>
      <c r="AQ767" s="2" t="s">
        <v>74</v>
      </c>
      <c r="AR767" s="2" t="s">
        <v>74</v>
      </c>
      <c r="AS767" s="2" t="s">
        <v>74</v>
      </c>
      <c r="AT767" s="2" t="s">
        <v>213</v>
      </c>
      <c r="AU767" s="2">
        <v>2016</v>
      </c>
      <c r="AV767" s="2">
        <v>130</v>
      </c>
      <c r="AW767" s="2">
        <v>4</v>
      </c>
      <c r="AX767" s="2" t="s">
        <v>74</v>
      </c>
      <c r="AY767" s="2" t="s">
        <v>74</v>
      </c>
      <c r="AZ767" s="2" t="s">
        <v>74</v>
      </c>
      <c r="BA767" s="2" t="s">
        <v>74</v>
      </c>
      <c r="BB767" s="2">
        <v>328</v>
      </c>
      <c r="BC767" s="2">
        <v>340</v>
      </c>
      <c r="BD767" s="2" t="s">
        <v>74</v>
      </c>
      <c r="BE767" s="2" t="s">
        <v>4962</v>
      </c>
      <c r="BF767" s="2" t="str">
        <f>HYPERLINK("http://dx.doi.org/10.1037/com0000039","http://dx.doi.org/10.1037/com0000039")</f>
        <v>http://dx.doi.org/10.1037/com0000039</v>
      </c>
      <c r="BG767" s="2" t="s">
        <v>74</v>
      </c>
      <c r="BH767" s="2" t="s">
        <v>74</v>
      </c>
      <c r="BI767" s="2" t="s">
        <v>74</v>
      </c>
      <c r="BJ767" s="2" t="s">
        <v>74</v>
      </c>
      <c r="BK767" s="2" t="s">
        <v>74</v>
      </c>
      <c r="BL767" s="2" t="s">
        <v>74</v>
      </c>
      <c r="BM767" s="2" t="s">
        <v>74</v>
      </c>
      <c r="BN767" s="2">
        <v>27359074</v>
      </c>
      <c r="BO767" s="2" t="s">
        <v>74</v>
      </c>
      <c r="BP767" s="2" t="s">
        <v>74</v>
      </c>
      <c r="BQ767" s="2" t="s">
        <v>74</v>
      </c>
      <c r="BR767" s="2" t="s">
        <v>74</v>
      </c>
      <c r="BS767" s="2" t="s">
        <v>4963</v>
      </c>
      <c r="BT767" s="2" t="str">
        <f>HYPERLINK("https%3A%2F%2Fwww.webofscience.com%2Fwos%2Fwoscc%2Ffull-record%2FWOS:000388497000004","View Full Record in Web of Science")</f>
        <v>View Full Record in Web of Science</v>
      </c>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row>
    <row r="768" spans="1:314" s="2" customFormat="1" x14ac:dyDescent="0.4">
      <c r="A768" s="2" t="s">
        <v>72</v>
      </c>
      <c r="B768" s="2" t="s">
        <v>8568</v>
      </c>
      <c r="C768" s="2" t="s">
        <v>74</v>
      </c>
      <c r="D768" s="2" t="s">
        <v>74</v>
      </c>
      <c r="E768" s="2" t="s">
        <v>74</v>
      </c>
      <c r="F768" s="2" t="s">
        <v>8569</v>
      </c>
      <c r="G768" s="2" t="s">
        <v>74</v>
      </c>
      <c r="H768" s="2" t="s">
        <v>74</v>
      </c>
      <c r="I768" s="2" t="s">
        <v>8570</v>
      </c>
      <c r="J768" s="2" t="s">
        <v>2662</v>
      </c>
      <c r="K768" s="2" t="s">
        <v>74</v>
      </c>
      <c r="L768" s="2" t="s">
        <v>74</v>
      </c>
      <c r="M768" s="2" t="s">
        <v>74</v>
      </c>
      <c r="N768" s="2" t="s">
        <v>74</v>
      </c>
      <c r="O768" s="2" t="s">
        <v>74</v>
      </c>
      <c r="P768" s="2" t="s">
        <v>74</v>
      </c>
      <c r="Q768" s="2" t="s">
        <v>74</v>
      </c>
      <c r="R768" s="2" t="s">
        <v>74</v>
      </c>
      <c r="S768" s="2" t="s">
        <v>74</v>
      </c>
      <c r="T768" s="2" t="s">
        <v>74</v>
      </c>
      <c r="U768" s="2" t="s">
        <v>74</v>
      </c>
      <c r="V768" s="5" t="s">
        <v>8571</v>
      </c>
      <c r="W768" s="2" t="s">
        <v>74</v>
      </c>
      <c r="X768" s="2" t="s">
        <v>74</v>
      </c>
      <c r="Y768" s="2" t="s">
        <v>74</v>
      </c>
      <c r="Z768" s="2" t="s">
        <v>74</v>
      </c>
      <c r="AA768" s="2" t="s">
        <v>8572</v>
      </c>
      <c r="AB768" s="2" t="s">
        <v>8573</v>
      </c>
      <c r="AC768" s="2" t="s">
        <v>74</v>
      </c>
      <c r="AD768" s="2" t="s">
        <v>74</v>
      </c>
      <c r="AE768" s="2" t="s">
        <v>74</v>
      </c>
      <c r="AF768" s="2" t="s">
        <v>74</v>
      </c>
      <c r="AG768" s="2" t="s">
        <v>74</v>
      </c>
      <c r="AH768" s="2" t="s">
        <v>74</v>
      </c>
      <c r="AI768" s="2" t="s">
        <v>74</v>
      </c>
      <c r="AJ768" s="2" t="s">
        <v>74</v>
      </c>
      <c r="AK768" s="2" t="s">
        <v>74</v>
      </c>
      <c r="AL768" s="2" t="s">
        <v>74</v>
      </c>
      <c r="AM768" s="2" t="s">
        <v>74</v>
      </c>
      <c r="AN768" s="2" t="s">
        <v>74</v>
      </c>
      <c r="AO768" s="2" t="s">
        <v>2664</v>
      </c>
      <c r="AP768" s="2" t="s">
        <v>2665</v>
      </c>
      <c r="AQ768" s="2" t="s">
        <v>74</v>
      </c>
      <c r="AR768" s="2" t="s">
        <v>74</v>
      </c>
      <c r="AS768" s="2" t="s">
        <v>74</v>
      </c>
      <c r="AT768" s="2" t="s">
        <v>305</v>
      </c>
      <c r="AU768" s="2">
        <v>2020</v>
      </c>
      <c r="AV768" s="2">
        <v>54</v>
      </c>
      <c r="AW768" s="2">
        <v>4</v>
      </c>
      <c r="AX768" s="2" t="s">
        <v>74</v>
      </c>
      <c r="AY768" s="2" t="s">
        <v>74</v>
      </c>
      <c r="AZ768" s="2" t="s">
        <v>74</v>
      </c>
      <c r="BA768" s="2" t="s">
        <v>74</v>
      </c>
      <c r="BB768" s="2">
        <v>364</v>
      </c>
      <c r="BC768" s="2">
        <v>375</v>
      </c>
      <c r="BD768" s="2" t="s">
        <v>74</v>
      </c>
      <c r="BE768" s="2" t="s">
        <v>8574</v>
      </c>
      <c r="BF768" s="2" t="str">
        <f>HYPERLINK("http://dx.doi.org/10.3356/0892-1016-54.4.364","http://dx.doi.org/10.3356/0892-1016-54.4.364")</f>
        <v>http://dx.doi.org/10.3356/0892-1016-54.4.364</v>
      </c>
      <c r="BG768" s="2" t="s">
        <v>74</v>
      </c>
      <c r="BH768" s="2" t="s">
        <v>74</v>
      </c>
      <c r="BI768" s="2" t="s">
        <v>74</v>
      </c>
      <c r="BJ768" s="2" t="s">
        <v>74</v>
      </c>
      <c r="BK768" s="2" t="s">
        <v>74</v>
      </c>
      <c r="BL768" s="2" t="s">
        <v>74</v>
      </c>
      <c r="BM768" s="2" t="s">
        <v>74</v>
      </c>
      <c r="BN768" s="2" t="s">
        <v>74</v>
      </c>
      <c r="BO768" s="2" t="s">
        <v>74</v>
      </c>
      <c r="BP768" s="2" t="s">
        <v>74</v>
      </c>
      <c r="BQ768" s="2" t="s">
        <v>74</v>
      </c>
      <c r="BR768" s="2" t="s">
        <v>74</v>
      </c>
      <c r="BS768" s="2" t="s">
        <v>8575</v>
      </c>
      <c r="BT768" s="2" t="str">
        <f>HYPERLINK("https%3A%2F%2Fwww.webofscience.com%2Fwos%2Fwoscc%2Ffull-record%2FWOS:000604780200003","View Full Record in Web of Science")</f>
        <v>View Full Record in Web of Science</v>
      </c>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row>
    <row r="769" spans="1:314" s="7" customFormat="1" x14ac:dyDescent="0.4">
      <c r="A769" s="2" t="s">
        <v>72</v>
      </c>
      <c r="B769" s="2" t="s">
        <v>4426</v>
      </c>
      <c r="C769" s="2" t="s">
        <v>74</v>
      </c>
      <c r="D769" s="2" t="s">
        <v>74</v>
      </c>
      <c r="E769" s="2" t="s">
        <v>74</v>
      </c>
      <c r="F769" s="2" t="s">
        <v>4427</v>
      </c>
      <c r="G769" s="2" t="s">
        <v>74</v>
      </c>
      <c r="H769" s="2" t="s">
        <v>74</v>
      </c>
      <c r="I769" s="2" t="s">
        <v>4428</v>
      </c>
      <c r="J769" s="2" t="s">
        <v>1995</v>
      </c>
      <c r="K769" s="2" t="s">
        <v>74</v>
      </c>
      <c r="L769" s="2" t="s">
        <v>74</v>
      </c>
      <c r="M769" s="2" t="s">
        <v>74</v>
      </c>
      <c r="N769" s="2" t="s">
        <v>74</v>
      </c>
      <c r="O769" s="2" t="s">
        <v>74</v>
      </c>
      <c r="P769" s="2" t="s">
        <v>74</v>
      </c>
      <c r="Q769" s="2" t="s">
        <v>74</v>
      </c>
      <c r="R769" s="2" t="s">
        <v>74</v>
      </c>
      <c r="S769" s="2" t="s">
        <v>74</v>
      </c>
      <c r="T769" s="2" t="s">
        <v>74</v>
      </c>
      <c r="U769" s="2" t="s">
        <v>74</v>
      </c>
      <c r="V769" s="5" t="s">
        <v>4429</v>
      </c>
      <c r="W769" s="2" t="s">
        <v>74</v>
      </c>
      <c r="X769" s="2" t="s">
        <v>74</v>
      </c>
      <c r="Y769" s="2" t="s">
        <v>74</v>
      </c>
      <c r="Z769" s="2" t="s">
        <v>74</v>
      </c>
      <c r="AA769" s="2" t="s">
        <v>74</v>
      </c>
      <c r="AB769" s="2" t="s">
        <v>74</v>
      </c>
      <c r="AC769" s="2" t="s">
        <v>74</v>
      </c>
      <c r="AD769" s="2" t="s">
        <v>74</v>
      </c>
      <c r="AE769" s="2" t="s">
        <v>74</v>
      </c>
      <c r="AF769" s="2" t="s">
        <v>74</v>
      </c>
      <c r="AG769" s="2" t="s">
        <v>74</v>
      </c>
      <c r="AH769" s="2" t="s">
        <v>74</v>
      </c>
      <c r="AI769" s="2" t="s">
        <v>74</v>
      </c>
      <c r="AJ769" s="2" t="s">
        <v>74</v>
      </c>
      <c r="AK769" s="2" t="s">
        <v>74</v>
      </c>
      <c r="AL769" s="2" t="s">
        <v>74</v>
      </c>
      <c r="AM769" s="2" t="s">
        <v>74</v>
      </c>
      <c r="AN769" s="2" t="s">
        <v>74</v>
      </c>
      <c r="AO769" s="2" t="s">
        <v>1997</v>
      </c>
      <c r="AP769" s="2" t="s">
        <v>3917</v>
      </c>
      <c r="AQ769" s="2" t="s">
        <v>74</v>
      </c>
      <c r="AR769" s="2" t="s">
        <v>74</v>
      </c>
      <c r="AS769" s="2" t="s">
        <v>74</v>
      </c>
      <c r="AT769" s="2" t="s">
        <v>145</v>
      </c>
      <c r="AU769" s="2">
        <v>2023</v>
      </c>
      <c r="AV769" s="2">
        <v>94</v>
      </c>
      <c r="AW769" s="2">
        <v>3</v>
      </c>
      <c r="AX769" s="2" t="s">
        <v>74</v>
      </c>
      <c r="AY769" s="2" t="s">
        <v>74</v>
      </c>
      <c r="AZ769" s="2" t="s">
        <v>74</v>
      </c>
      <c r="BA769" s="2" t="s">
        <v>74</v>
      </c>
      <c r="BB769" s="2" t="s">
        <v>74</v>
      </c>
      <c r="BC769" s="2" t="s">
        <v>74</v>
      </c>
      <c r="BD769" s="2">
        <v>7</v>
      </c>
      <c r="BE769" s="2" t="s">
        <v>4430</v>
      </c>
      <c r="BF769" s="2" t="str">
        <f>HYPERLINK("http://dx.doi.org/10.5751/JFO-00288-940307","http://dx.doi.org/10.5751/JFO-00288-940307")</f>
        <v>http://dx.doi.org/10.5751/JFO-00288-940307</v>
      </c>
      <c r="BG769" s="2" t="s">
        <v>74</v>
      </c>
      <c r="BH769" s="2" t="s">
        <v>74</v>
      </c>
      <c r="BI769" s="2" t="s">
        <v>74</v>
      </c>
      <c r="BJ769" s="2" t="s">
        <v>74</v>
      </c>
      <c r="BK769" s="2" t="s">
        <v>74</v>
      </c>
      <c r="BL769" s="2" t="s">
        <v>74</v>
      </c>
      <c r="BM769" s="2" t="s">
        <v>74</v>
      </c>
      <c r="BN769" s="2" t="s">
        <v>74</v>
      </c>
      <c r="BO769" s="2" t="s">
        <v>74</v>
      </c>
      <c r="BP769" s="2" t="s">
        <v>74</v>
      </c>
      <c r="BQ769" s="2" t="s">
        <v>74</v>
      </c>
      <c r="BR769" s="2" t="s">
        <v>74</v>
      </c>
      <c r="BS769" s="2" t="s">
        <v>4431</v>
      </c>
      <c r="BT769" s="2" t="str">
        <f>HYPERLINK("https%3A%2F%2Fwww.webofscience.com%2Fwos%2Fwoscc%2Ffull-record%2FWOS:001041634300001","View Full Record in Web of Science")</f>
        <v>View Full Record in Web of Science</v>
      </c>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row>
    <row r="770" spans="1:314" s="2" customFormat="1" x14ac:dyDescent="0.4">
      <c r="A770" s="2" t="s">
        <v>72</v>
      </c>
      <c r="B770" s="2" t="s">
        <v>1291</v>
      </c>
      <c r="C770" s="2" t="s">
        <v>74</v>
      </c>
      <c r="D770" s="2" t="s">
        <v>74</v>
      </c>
      <c r="E770" s="2" t="s">
        <v>74</v>
      </c>
      <c r="F770" s="2" t="s">
        <v>1292</v>
      </c>
      <c r="G770" s="2" t="s">
        <v>74</v>
      </c>
      <c r="H770" s="2" t="s">
        <v>74</v>
      </c>
      <c r="I770" s="2" t="s">
        <v>1293</v>
      </c>
      <c r="J770" s="2" t="s">
        <v>108</v>
      </c>
      <c r="K770" s="2" t="s">
        <v>74</v>
      </c>
      <c r="L770" s="2" t="s">
        <v>74</v>
      </c>
      <c r="M770" s="2" t="s">
        <v>74</v>
      </c>
      <c r="N770" s="2" t="s">
        <v>74</v>
      </c>
      <c r="O770" s="2" t="s">
        <v>74</v>
      </c>
      <c r="P770" s="2" t="s">
        <v>74</v>
      </c>
      <c r="Q770" s="2" t="s">
        <v>74</v>
      </c>
      <c r="R770" s="2" t="s">
        <v>74</v>
      </c>
      <c r="S770" s="2" t="s">
        <v>74</v>
      </c>
      <c r="T770" s="2" t="s">
        <v>74</v>
      </c>
      <c r="U770" s="2" t="s">
        <v>74</v>
      </c>
      <c r="V770" s="5" t="s">
        <v>1294</v>
      </c>
      <c r="W770" s="2" t="s">
        <v>74</v>
      </c>
      <c r="X770" s="2" t="s">
        <v>74</v>
      </c>
      <c r="Y770" s="2" t="s">
        <v>74</v>
      </c>
      <c r="Z770" s="2" t="s">
        <v>74</v>
      </c>
      <c r="AA770" s="2" t="s">
        <v>1295</v>
      </c>
      <c r="AB770" s="2" t="s">
        <v>1296</v>
      </c>
      <c r="AC770" s="2" t="s">
        <v>74</v>
      </c>
      <c r="AD770" s="2" t="s">
        <v>74</v>
      </c>
      <c r="AE770" s="2" t="s">
        <v>74</v>
      </c>
      <c r="AF770" s="2" t="s">
        <v>74</v>
      </c>
      <c r="AG770" s="2" t="s">
        <v>74</v>
      </c>
      <c r="AH770" s="2" t="s">
        <v>74</v>
      </c>
      <c r="AI770" s="2" t="s">
        <v>74</v>
      </c>
      <c r="AJ770" s="2" t="s">
        <v>74</v>
      </c>
      <c r="AK770" s="2" t="s">
        <v>74</v>
      </c>
      <c r="AL770" s="2" t="s">
        <v>74</v>
      </c>
      <c r="AM770" s="2" t="s">
        <v>74</v>
      </c>
      <c r="AN770" s="2" t="s">
        <v>74</v>
      </c>
      <c r="AO770" s="2" t="s">
        <v>111</v>
      </c>
      <c r="AP770" s="2" t="s">
        <v>74</v>
      </c>
      <c r="AQ770" s="2" t="s">
        <v>74</v>
      </c>
      <c r="AR770" s="2" t="s">
        <v>74</v>
      </c>
      <c r="AS770" s="2" t="s">
        <v>74</v>
      </c>
      <c r="AT770" s="2" t="s">
        <v>924</v>
      </c>
      <c r="AU770" s="2">
        <v>2009</v>
      </c>
      <c r="AV770" s="2">
        <v>276</v>
      </c>
      <c r="AW770" s="2">
        <v>1675</v>
      </c>
      <c r="AX770" s="2" t="s">
        <v>74</v>
      </c>
      <c r="AY770" s="2" t="s">
        <v>74</v>
      </c>
      <c r="AZ770" s="2" t="s">
        <v>74</v>
      </c>
      <c r="BA770" s="2" t="s">
        <v>74</v>
      </c>
      <c r="BB770" s="2">
        <v>3989</v>
      </c>
      <c r="BC770" s="2">
        <v>3993</v>
      </c>
      <c r="BD770" s="2" t="s">
        <v>74</v>
      </c>
      <c r="BE770" s="2" t="s">
        <v>1297</v>
      </c>
      <c r="BF770" s="2" t="str">
        <f>HYPERLINK("http://dx.doi.org/10.1098/rspb.2009.1219","http://dx.doi.org/10.1098/rspb.2009.1219")</f>
        <v>http://dx.doi.org/10.1098/rspb.2009.1219</v>
      </c>
      <c r="BG770" s="2" t="s">
        <v>74</v>
      </c>
      <c r="BH770" s="2" t="s">
        <v>74</v>
      </c>
      <c r="BI770" s="2" t="s">
        <v>74</v>
      </c>
      <c r="BJ770" s="2" t="s">
        <v>74</v>
      </c>
      <c r="BK770" s="2" t="s">
        <v>74</v>
      </c>
      <c r="BL770" s="2" t="s">
        <v>74</v>
      </c>
      <c r="BM770" s="2" t="s">
        <v>74</v>
      </c>
      <c r="BN770" s="2">
        <v>19710067</v>
      </c>
      <c r="BO770" s="2" t="s">
        <v>74</v>
      </c>
      <c r="BP770" s="2" t="s">
        <v>74</v>
      </c>
      <c r="BQ770" s="2" t="s">
        <v>74</v>
      </c>
      <c r="BR770" s="2" t="s">
        <v>74</v>
      </c>
      <c r="BS770" s="2" t="s">
        <v>1298</v>
      </c>
      <c r="BT770" s="2" t="str">
        <f>HYPERLINK("https%3A%2F%2Fwww.webofscience.com%2Fwos%2Fwoscc%2Ffull-record%2FWOS:000270665100010","View Full Record in Web of Science")</f>
        <v>View Full Record in Web of Science</v>
      </c>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row>
    <row r="771" spans="1:314" s="2" customFormat="1" x14ac:dyDescent="0.4">
      <c r="A771" s="2" t="s">
        <v>72</v>
      </c>
      <c r="B771" s="2" t="s">
        <v>2627</v>
      </c>
      <c r="C771" s="2" t="s">
        <v>74</v>
      </c>
      <c r="D771" s="2" t="s">
        <v>74</v>
      </c>
      <c r="E771" s="2" t="s">
        <v>74</v>
      </c>
      <c r="F771" s="2" t="s">
        <v>2627</v>
      </c>
      <c r="G771" s="2" t="s">
        <v>74</v>
      </c>
      <c r="H771" s="2" t="s">
        <v>74</v>
      </c>
      <c r="I771" s="2" t="s">
        <v>2628</v>
      </c>
      <c r="J771" s="2" t="s">
        <v>2629</v>
      </c>
      <c r="K771" s="2" t="s">
        <v>74</v>
      </c>
      <c r="L771" s="2" t="s">
        <v>74</v>
      </c>
      <c r="M771" s="2" t="s">
        <v>74</v>
      </c>
      <c r="N771" s="2" t="s">
        <v>74</v>
      </c>
      <c r="O771" s="2" t="s">
        <v>74</v>
      </c>
      <c r="P771" s="2" t="s">
        <v>74</v>
      </c>
      <c r="Q771" s="2" t="s">
        <v>74</v>
      </c>
      <c r="R771" s="2" t="s">
        <v>74</v>
      </c>
      <c r="S771" s="2" t="s">
        <v>74</v>
      </c>
      <c r="T771" s="2" t="s">
        <v>74</v>
      </c>
      <c r="U771" s="2" t="s">
        <v>74</v>
      </c>
      <c r="V771" s="5" t="s">
        <v>2630</v>
      </c>
      <c r="W771" s="2" t="s">
        <v>74</v>
      </c>
      <c r="X771" s="2" t="s">
        <v>74</v>
      </c>
      <c r="Y771" s="2" t="s">
        <v>74</v>
      </c>
      <c r="Z771" s="2" t="s">
        <v>74</v>
      </c>
      <c r="AA771" s="2" t="s">
        <v>2631</v>
      </c>
      <c r="AB771" s="2" t="s">
        <v>74</v>
      </c>
      <c r="AC771" s="2" t="s">
        <v>74</v>
      </c>
      <c r="AD771" s="2" t="s">
        <v>74</v>
      </c>
      <c r="AE771" s="2" t="s">
        <v>74</v>
      </c>
      <c r="AF771" s="2" t="s">
        <v>74</v>
      </c>
      <c r="AG771" s="2" t="s">
        <v>74</v>
      </c>
      <c r="AH771" s="2" t="s">
        <v>74</v>
      </c>
      <c r="AI771" s="2" t="s">
        <v>74</v>
      </c>
      <c r="AJ771" s="2" t="s">
        <v>74</v>
      </c>
      <c r="AK771" s="2" t="s">
        <v>74</v>
      </c>
      <c r="AL771" s="2" t="s">
        <v>74</v>
      </c>
      <c r="AM771" s="2" t="s">
        <v>74</v>
      </c>
      <c r="AN771" s="2" t="s">
        <v>74</v>
      </c>
      <c r="AO771" s="2" t="s">
        <v>2632</v>
      </c>
      <c r="AP771" s="2" t="s">
        <v>2633</v>
      </c>
      <c r="AQ771" s="2" t="s">
        <v>74</v>
      </c>
      <c r="AR771" s="2" t="s">
        <v>74</v>
      </c>
      <c r="AS771" s="2" t="s">
        <v>74</v>
      </c>
      <c r="AT771" s="2" t="s">
        <v>74</v>
      </c>
      <c r="AU771" s="2">
        <v>1990</v>
      </c>
      <c r="AV771" s="2">
        <v>38</v>
      </c>
      <c r="AW771" s="2">
        <v>2</v>
      </c>
      <c r="AX771" s="2" t="s">
        <v>74</v>
      </c>
      <c r="AY771" s="2" t="s">
        <v>74</v>
      </c>
      <c r="AZ771" s="2" t="s">
        <v>74</v>
      </c>
      <c r="BA771" s="2" t="s">
        <v>74</v>
      </c>
      <c r="BB771" s="2">
        <v>117</v>
      </c>
      <c r="BC771" s="2">
        <v>130</v>
      </c>
      <c r="BD771" s="2" t="s">
        <v>74</v>
      </c>
      <c r="BE771" s="2" t="s">
        <v>2634</v>
      </c>
      <c r="BF771" s="2" t="str">
        <f>HYPERLINK("http://dx.doi.org/10.1071/ZO9900117","http://dx.doi.org/10.1071/ZO9900117")</f>
        <v>http://dx.doi.org/10.1071/ZO9900117</v>
      </c>
      <c r="BG771" s="2" t="s">
        <v>74</v>
      </c>
      <c r="BH771" s="2" t="s">
        <v>74</v>
      </c>
      <c r="BI771" s="2" t="s">
        <v>74</v>
      </c>
      <c r="BJ771" s="2" t="s">
        <v>74</v>
      </c>
      <c r="BK771" s="2" t="s">
        <v>74</v>
      </c>
      <c r="BL771" s="2" t="s">
        <v>74</v>
      </c>
      <c r="BM771" s="2" t="s">
        <v>74</v>
      </c>
      <c r="BN771" s="2" t="s">
        <v>74</v>
      </c>
      <c r="BO771" s="2" t="s">
        <v>74</v>
      </c>
      <c r="BP771" s="2" t="s">
        <v>74</v>
      </c>
      <c r="BQ771" s="2" t="s">
        <v>74</v>
      </c>
      <c r="BR771" s="2" t="s">
        <v>74</v>
      </c>
      <c r="BS771" s="2" t="s">
        <v>2635</v>
      </c>
      <c r="BT771" s="2" t="str">
        <f>HYPERLINK("https%3A%2F%2Fwww.webofscience.com%2Fwos%2Fwoscc%2Ffull-record%2FWOS:A1990ED59400002","View Full Record in Web of Science")</f>
        <v>View Full Record in Web of Science</v>
      </c>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row>
    <row r="772" spans="1:314" s="2" customFormat="1" x14ac:dyDescent="0.4">
      <c r="A772" s="2" t="s">
        <v>72</v>
      </c>
      <c r="B772" s="2" t="s">
        <v>5355</v>
      </c>
      <c r="C772" s="2" t="s">
        <v>74</v>
      </c>
      <c r="D772" s="2" t="s">
        <v>74</v>
      </c>
      <c r="E772" s="2" t="s">
        <v>74</v>
      </c>
      <c r="F772" s="2" t="s">
        <v>5355</v>
      </c>
      <c r="G772" s="2" t="s">
        <v>74</v>
      </c>
      <c r="H772" s="2" t="s">
        <v>74</v>
      </c>
      <c r="I772" s="2" t="s">
        <v>5356</v>
      </c>
      <c r="J772" s="2" t="s">
        <v>5357</v>
      </c>
      <c r="K772" s="2" t="s">
        <v>74</v>
      </c>
      <c r="L772" s="2" t="s">
        <v>74</v>
      </c>
      <c r="M772" s="2" t="s">
        <v>74</v>
      </c>
      <c r="N772" s="2" t="s">
        <v>74</v>
      </c>
      <c r="O772" s="2" t="s">
        <v>74</v>
      </c>
      <c r="P772" s="2" t="s">
        <v>74</v>
      </c>
      <c r="Q772" s="2" t="s">
        <v>74</v>
      </c>
      <c r="R772" s="2" t="s">
        <v>74</v>
      </c>
      <c r="S772" s="2" t="s">
        <v>74</v>
      </c>
      <c r="T772" s="2" t="s">
        <v>74</v>
      </c>
      <c r="U772" s="2" t="s">
        <v>74</v>
      </c>
      <c r="V772" s="5" t="s">
        <v>5358</v>
      </c>
      <c r="W772" s="2" t="s">
        <v>74</v>
      </c>
      <c r="X772" s="2" t="s">
        <v>74</v>
      </c>
      <c r="Y772" s="2" t="s">
        <v>74</v>
      </c>
      <c r="Z772" s="2" t="s">
        <v>74</v>
      </c>
      <c r="AA772" s="2" t="s">
        <v>74</v>
      </c>
      <c r="AB772" s="2" t="s">
        <v>74</v>
      </c>
      <c r="AC772" s="2" t="s">
        <v>74</v>
      </c>
      <c r="AD772" s="2" t="s">
        <v>74</v>
      </c>
      <c r="AE772" s="2" t="s">
        <v>74</v>
      </c>
      <c r="AF772" s="2" t="s">
        <v>74</v>
      </c>
      <c r="AG772" s="2" t="s">
        <v>74</v>
      </c>
      <c r="AH772" s="2" t="s">
        <v>74</v>
      </c>
      <c r="AI772" s="2" t="s">
        <v>74</v>
      </c>
      <c r="AJ772" s="2" t="s">
        <v>74</v>
      </c>
      <c r="AK772" s="2" t="s">
        <v>74</v>
      </c>
      <c r="AL772" s="2" t="s">
        <v>74</v>
      </c>
      <c r="AM772" s="2" t="s">
        <v>74</v>
      </c>
      <c r="AN772" s="2" t="s">
        <v>74</v>
      </c>
      <c r="AO772" s="2" t="s">
        <v>5359</v>
      </c>
      <c r="AP772" s="2" t="s">
        <v>5360</v>
      </c>
      <c r="AQ772" s="2" t="s">
        <v>74</v>
      </c>
      <c r="AR772" s="2" t="s">
        <v>74</v>
      </c>
      <c r="AS772" s="2" t="s">
        <v>74</v>
      </c>
      <c r="AT772" s="2" t="s">
        <v>74</v>
      </c>
      <c r="AU772" s="2">
        <v>2001</v>
      </c>
      <c r="AV772" s="2">
        <v>16</v>
      </c>
      <c r="AW772" s="2" t="s">
        <v>548</v>
      </c>
      <c r="AX772" s="2" t="s">
        <v>74</v>
      </c>
      <c r="AY772" s="2" t="s">
        <v>74</v>
      </c>
      <c r="AZ772" s="2" t="s">
        <v>74</v>
      </c>
      <c r="BA772" s="2" t="s">
        <v>74</v>
      </c>
      <c r="BB772" s="2">
        <v>13</v>
      </c>
      <c r="BC772" s="2">
        <v>20</v>
      </c>
      <c r="BD772" s="2" t="s">
        <v>74</v>
      </c>
      <c r="BE772" s="2" t="s">
        <v>74</v>
      </c>
      <c r="BF772" s="2" t="s">
        <v>74</v>
      </c>
      <c r="BG772" s="2" t="s">
        <v>74</v>
      </c>
      <c r="BH772" s="2" t="s">
        <v>74</v>
      </c>
      <c r="BI772" s="2" t="s">
        <v>74</v>
      </c>
      <c r="BJ772" s="2" t="s">
        <v>74</v>
      </c>
      <c r="BK772" s="2" t="s">
        <v>74</v>
      </c>
      <c r="BL772" s="2" t="s">
        <v>74</v>
      </c>
      <c r="BM772" s="2" t="s">
        <v>74</v>
      </c>
      <c r="BN772" s="2" t="s">
        <v>74</v>
      </c>
      <c r="BO772" s="2" t="s">
        <v>74</v>
      </c>
      <c r="BP772" s="2" t="s">
        <v>74</v>
      </c>
      <c r="BQ772" s="2" t="s">
        <v>74</v>
      </c>
      <c r="BR772" s="2" t="s">
        <v>74</v>
      </c>
      <c r="BS772" s="2" t="s">
        <v>5361</v>
      </c>
      <c r="BT772" s="2" t="str">
        <f>HYPERLINK("https%3A%2F%2Fwww.webofscience.com%2Fwos%2Fwoscc%2Ffull-record%2FWOS:000180542900002","View Full Record in Web of Science")</f>
        <v>View Full Record in Web of Science</v>
      </c>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row>
    <row r="773" spans="1:314" s="2" customFormat="1" x14ac:dyDescent="0.4">
      <c r="A773" s="2" t="s">
        <v>72</v>
      </c>
      <c r="B773" s="2" t="s">
        <v>5969</v>
      </c>
      <c r="C773" s="2" t="s">
        <v>74</v>
      </c>
      <c r="D773" s="2" t="s">
        <v>74</v>
      </c>
      <c r="E773" s="2" t="s">
        <v>74</v>
      </c>
      <c r="F773" s="2" t="s">
        <v>5970</v>
      </c>
      <c r="G773" s="2" t="s">
        <v>74</v>
      </c>
      <c r="H773" s="2" t="s">
        <v>74</v>
      </c>
      <c r="I773" s="2" t="s">
        <v>5971</v>
      </c>
      <c r="J773" s="2" t="s">
        <v>5972</v>
      </c>
      <c r="K773" s="2" t="s">
        <v>74</v>
      </c>
      <c r="L773" s="2" t="s">
        <v>74</v>
      </c>
      <c r="M773" s="2" t="s">
        <v>74</v>
      </c>
      <c r="N773" s="2" t="s">
        <v>74</v>
      </c>
      <c r="O773" s="2" t="s">
        <v>74</v>
      </c>
      <c r="P773" s="2" t="s">
        <v>74</v>
      </c>
      <c r="Q773" s="2" t="s">
        <v>74</v>
      </c>
      <c r="R773" s="2" t="s">
        <v>74</v>
      </c>
      <c r="S773" s="2" t="s">
        <v>74</v>
      </c>
      <c r="T773" s="2" t="s">
        <v>74</v>
      </c>
      <c r="U773" s="2" t="s">
        <v>74</v>
      </c>
      <c r="V773" s="5" t="s">
        <v>5973</v>
      </c>
      <c r="W773" s="2" t="s">
        <v>74</v>
      </c>
      <c r="X773" s="2" t="s">
        <v>74</v>
      </c>
      <c r="Y773" s="2" t="s">
        <v>74</v>
      </c>
      <c r="Z773" s="2" t="s">
        <v>74</v>
      </c>
      <c r="AA773" s="2" t="s">
        <v>74</v>
      </c>
      <c r="AB773" s="2" t="s">
        <v>5974</v>
      </c>
      <c r="AC773" s="2" t="s">
        <v>74</v>
      </c>
      <c r="AD773" s="2" t="s">
        <v>74</v>
      </c>
      <c r="AE773" s="2" t="s">
        <v>74</v>
      </c>
      <c r="AF773" s="2" t="s">
        <v>74</v>
      </c>
      <c r="AG773" s="2" t="s">
        <v>74</v>
      </c>
      <c r="AH773" s="2" t="s">
        <v>74</v>
      </c>
      <c r="AI773" s="2" t="s">
        <v>74</v>
      </c>
      <c r="AJ773" s="2" t="s">
        <v>74</v>
      </c>
      <c r="AK773" s="2" t="s">
        <v>74</v>
      </c>
      <c r="AL773" s="2" t="s">
        <v>74</v>
      </c>
      <c r="AM773" s="2" t="s">
        <v>74</v>
      </c>
      <c r="AN773" s="2" t="s">
        <v>74</v>
      </c>
      <c r="AO773" s="2" t="s">
        <v>5975</v>
      </c>
      <c r="AP773" s="2" t="s">
        <v>74</v>
      </c>
      <c r="AQ773" s="2" t="s">
        <v>74</v>
      </c>
      <c r="AR773" s="2" t="s">
        <v>74</v>
      </c>
      <c r="AS773" s="2" t="s">
        <v>74</v>
      </c>
      <c r="AT773" s="2" t="s">
        <v>74</v>
      </c>
      <c r="AU773" s="2">
        <v>2017</v>
      </c>
      <c r="AV773" s="2">
        <v>93</v>
      </c>
      <c r="AW773" s="2">
        <v>1</v>
      </c>
      <c r="AX773" s="2" t="s">
        <v>74</v>
      </c>
      <c r="AY773" s="2" t="s">
        <v>74</v>
      </c>
      <c r="AZ773" s="2" t="s">
        <v>74</v>
      </c>
      <c r="BA773" s="2" t="s">
        <v>74</v>
      </c>
      <c r="BB773" s="2">
        <v>95</v>
      </c>
      <c r="BC773" s="2">
        <v>104</v>
      </c>
      <c r="BD773" s="2" t="s">
        <v>74</v>
      </c>
      <c r="BE773" s="2" t="s">
        <v>5976</v>
      </c>
      <c r="BF773" s="2" t="str">
        <f>HYPERLINK("http://dx.doi.org/10.3897/zse.93.10794","http://dx.doi.org/10.3897/zse.93.10794")</f>
        <v>http://dx.doi.org/10.3897/zse.93.10794</v>
      </c>
      <c r="BG773" s="2" t="s">
        <v>74</v>
      </c>
      <c r="BH773" s="2" t="s">
        <v>74</v>
      </c>
      <c r="BI773" s="2" t="s">
        <v>74</v>
      </c>
      <c r="BJ773" s="2" t="s">
        <v>74</v>
      </c>
      <c r="BK773" s="2" t="s">
        <v>74</v>
      </c>
      <c r="BL773" s="2" t="s">
        <v>74</v>
      </c>
      <c r="BM773" s="2" t="s">
        <v>74</v>
      </c>
      <c r="BN773" s="2" t="s">
        <v>74</v>
      </c>
      <c r="BO773" s="2" t="s">
        <v>74</v>
      </c>
      <c r="BP773" s="2" t="s">
        <v>74</v>
      </c>
      <c r="BQ773" s="2" t="s">
        <v>74</v>
      </c>
      <c r="BR773" s="2" t="s">
        <v>74</v>
      </c>
      <c r="BS773" s="2" t="s">
        <v>5977</v>
      </c>
      <c r="BT773" s="2" t="str">
        <f>HYPERLINK("https%3A%2F%2Fwww.webofscience.com%2Fwos%2Fwoscc%2Ffull-record%2FWOS:000393302300005","View Full Record in Web of Science")</f>
        <v>View Full Record in Web of Science</v>
      </c>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row>
    <row r="774" spans="1:314" s="2" customFormat="1" x14ac:dyDescent="0.4">
      <c r="A774" s="2" t="s">
        <v>72</v>
      </c>
      <c r="B774" s="2" t="s">
        <v>4909</v>
      </c>
      <c r="C774" s="2" t="s">
        <v>74</v>
      </c>
      <c r="D774" s="2" t="s">
        <v>74</v>
      </c>
      <c r="E774" s="2" t="s">
        <v>74</v>
      </c>
      <c r="F774" s="2" t="s">
        <v>4910</v>
      </c>
      <c r="G774" s="2" t="s">
        <v>74</v>
      </c>
      <c r="H774" s="2" t="s">
        <v>74</v>
      </c>
      <c r="I774" s="2" t="s">
        <v>4911</v>
      </c>
      <c r="J774" s="2" t="s">
        <v>1656</v>
      </c>
      <c r="K774" s="2" t="s">
        <v>74</v>
      </c>
      <c r="L774" s="2" t="s">
        <v>74</v>
      </c>
      <c r="M774" s="2" t="s">
        <v>74</v>
      </c>
      <c r="N774" s="2" t="s">
        <v>74</v>
      </c>
      <c r="O774" s="2" t="s">
        <v>74</v>
      </c>
      <c r="P774" s="2" t="s">
        <v>74</v>
      </c>
      <c r="Q774" s="2" t="s">
        <v>74</v>
      </c>
      <c r="R774" s="2" t="s">
        <v>74</v>
      </c>
      <c r="S774" s="2" t="s">
        <v>74</v>
      </c>
      <c r="T774" s="2" t="s">
        <v>74</v>
      </c>
      <c r="U774" s="2" t="s">
        <v>74</v>
      </c>
      <c r="V774" s="5" t="s">
        <v>4912</v>
      </c>
      <c r="W774" s="2" t="s">
        <v>74</v>
      </c>
      <c r="X774" s="2" t="s">
        <v>74</v>
      </c>
      <c r="Y774" s="2" t="s">
        <v>74</v>
      </c>
      <c r="Z774" s="2" t="s">
        <v>74</v>
      </c>
      <c r="AA774" s="2" t="s">
        <v>74</v>
      </c>
      <c r="AB774" s="2" t="s">
        <v>74</v>
      </c>
      <c r="AC774" s="2" t="s">
        <v>74</v>
      </c>
      <c r="AD774" s="2" t="s">
        <v>74</v>
      </c>
      <c r="AE774" s="2" t="s">
        <v>74</v>
      </c>
      <c r="AF774" s="2" t="s">
        <v>74</v>
      </c>
      <c r="AG774" s="2" t="s">
        <v>74</v>
      </c>
      <c r="AH774" s="2" t="s">
        <v>74</v>
      </c>
      <c r="AI774" s="2" t="s">
        <v>74</v>
      </c>
      <c r="AJ774" s="2" t="s">
        <v>74</v>
      </c>
      <c r="AK774" s="2" t="s">
        <v>74</v>
      </c>
      <c r="AL774" s="2" t="s">
        <v>74</v>
      </c>
      <c r="AM774" s="2" t="s">
        <v>74</v>
      </c>
      <c r="AN774" s="2" t="s">
        <v>74</v>
      </c>
      <c r="AO774" s="2" t="s">
        <v>1658</v>
      </c>
      <c r="AP774" s="2" t="s">
        <v>1659</v>
      </c>
      <c r="AQ774" s="2" t="s">
        <v>74</v>
      </c>
      <c r="AR774" s="2" t="s">
        <v>74</v>
      </c>
      <c r="AS774" s="2" t="s">
        <v>74</v>
      </c>
      <c r="AT774" s="2" t="s">
        <v>4913</v>
      </c>
      <c r="AU774" s="2">
        <v>2008</v>
      </c>
      <c r="AV774" s="2" t="s">
        <v>74</v>
      </c>
      <c r="AW774" s="2">
        <v>1703</v>
      </c>
      <c r="AX774" s="2" t="s">
        <v>74</v>
      </c>
      <c r="AY774" s="2" t="s">
        <v>74</v>
      </c>
      <c r="AZ774" s="2" t="s">
        <v>74</v>
      </c>
      <c r="BA774" s="2" t="s">
        <v>74</v>
      </c>
      <c r="BB774" s="2">
        <v>1</v>
      </c>
      <c r="BC774" s="2">
        <v>24</v>
      </c>
      <c r="BD774" s="2" t="s">
        <v>74</v>
      </c>
      <c r="BE774" s="2" t="s">
        <v>74</v>
      </c>
      <c r="BF774" s="2" t="s">
        <v>74</v>
      </c>
      <c r="BG774" s="2" t="s">
        <v>74</v>
      </c>
      <c r="BH774" s="2" t="s">
        <v>74</v>
      </c>
      <c r="BI774" s="2" t="s">
        <v>74</v>
      </c>
      <c r="BJ774" s="2" t="s">
        <v>74</v>
      </c>
      <c r="BK774" s="2" t="s">
        <v>74</v>
      </c>
      <c r="BL774" s="2" t="s">
        <v>74</v>
      </c>
      <c r="BM774" s="2" t="s">
        <v>74</v>
      </c>
      <c r="BN774" s="2" t="s">
        <v>74</v>
      </c>
      <c r="BO774" s="2" t="s">
        <v>74</v>
      </c>
      <c r="BP774" s="2" t="s">
        <v>74</v>
      </c>
      <c r="BQ774" s="2" t="s">
        <v>74</v>
      </c>
      <c r="BR774" s="2" t="s">
        <v>74</v>
      </c>
      <c r="BS774" s="2" t="s">
        <v>4914</v>
      </c>
      <c r="BT774" s="2" t="str">
        <f>HYPERLINK("https%3A%2F%2Fwww.webofscience.com%2Fwos%2Fwoscc%2Ffull-record%2FWOS:000253163600001","View Full Record in Web of Science")</f>
        <v>View Full Record in Web of Science</v>
      </c>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row>
    <row r="775" spans="1:314" s="2" customFormat="1" x14ac:dyDescent="0.4">
      <c r="A775" s="2" t="s">
        <v>72</v>
      </c>
      <c r="B775" s="2" t="s">
        <v>811</v>
      </c>
      <c r="C775" s="2" t="s">
        <v>74</v>
      </c>
      <c r="D775" s="2" t="s">
        <v>74</v>
      </c>
      <c r="E775" s="2" t="s">
        <v>74</v>
      </c>
      <c r="F775" s="2" t="s">
        <v>812</v>
      </c>
      <c r="G775" s="2" t="s">
        <v>74</v>
      </c>
      <c r="H775" s="2" t="s">
        <v>74</v>
      </c>
      <c r="I775" s="2" t="s">
        <v>813</v>
      </c>
      <c r="J775" s="2" t="s">
        <v>814</v>
      </c>
      <c r="K775" s="2" t="s">
        <v>74</v>
      </c>
      <c r="L775" s="2" t="s">
        <v>74</v>
      </c>
      <c r="M775" s="2" t="s">
        <v>74</v>
      </c>
      <c r="N775" s="2" t="s">
        <v>74</v>
      </c>
      <c r="O775" s="2" t="s">
        <v>74</v>
      </c>
      <c r="P775" s="2" t="s">
        <v>74</v>
      </c>
      <c r="Q775" s="2" t="s">
        <v>74</v>
      </c>
      <c r="R775" s="2" t="s">
        <v>74</v>
      </c>
      <c r="S775" s="2" t="s">
        <v>74</v>
      </c>
      <c r="T775" s="2" t="s">
        <v>74</v>
      </c>
      <c r="U775" s="2" t="s">
        <v>74</v>
      </c>
      <c r="V775" s="5" t="s">
        <v>815</v>
      </c>
      <c r="W775" s="2" t="s">
        <v>74</v>
      </c>
      <c r="X775" s="2" t="s">
        <v>74</v>
      </c>
      <c r="Y775" s="2" t="s">
        <v>74</v>
      </c>
      <c r="Z775" s="2" t="s">
        <v>74</v>
      </c>
      <c r="AA775" s="2" t="s">
        <v>816</v>
      </c>
      <c r="AB775" s="2" t="s">
        <v>817</v>
      </c>
      <c r="AC775" s="2" t="s">
        <v>74</v>
      </c>
      <c r="AD775" s="2" t="s">
        <v>74</v>
      </c>
      <c r="AE775" s="2" t="s">
        <v>74</v>
      </c>
      <c r="AF775" s="2" t="s">
        <v>74</v>
      </c>
      <c r="AG775" s="2" t="s">
        <v>74</v>
      </c>
      <c r="AH775" s="2" t="s">
        <v>74</v>
      </c>
      <c r="AI775" s="2" t="s">
        <v>74</v>
      </c>
      <c r="AJ775" s="2" t="s">
        <v>74</v>
      </c>
      <c r="AK775" s="2" t="s">
        <v>74</v>
      </c>
      <c r="AL775" s="2" t="s">
        <v>74</v>
      </c>
      <c r="AM775" s="2" t="s">
        <v>74</v>
      </c>
      <c r="AN775" s="2" t="s">
        <v>74</v>
      </c>
      <c r="AO775" s="2" t="s">
        <v>818</v>
      </c>
      <c r="AP775" s="2" t="s">
        <v>74</v>
      </c>
      <c r="AQ775" s="2" t="s">
        <v>74</v>
      </c>
      <c r="AR775" s="2" t="s">
        <v>74</v>
      </c>
      <c r="AS775" s="2" t="s">
        <v>74</v>
      </c>
      <c r="AT775" s="2" t="s">
        <v>305</v>
      </c>
      <c r="AU775" s="2">
        <v>2011</v>
      </c>
      <c r="AV775" s="2">
        <v>114</v>
      </c>
      <c r="AW775" s="2">
        <v>6</v>
      </c>
      <c r="AX775" s="2" t="s">
        <v>74</v>
      </c>
      <c r="AY775" s="2" t="s">
        <v>74</v>
      </c>
      <c r="AZ775" s="2" t="s">
        <v>74</v>
      </c>
      <c r="BA775" s="2" t="s">
        <v>74</v>
      </c>
      <c r="BB775" s="2">
        <v>335</v>
      </c>
      <c r="BC775" s="2">
        <v>339</v>
      </c>
      <c r="BD775" s="2" t="s">
        <v>74</v>
      </c>
      <c r="BE775" s="2" t="s">
        <v>819</v>
      </c>
      <c r="BF775" s="2" t="str">
        <f>HYPERLINK("http://dx.doi.org/10.1016/j.zool.2011.07.001","http://dx.doi.org/10.1016/j.zool.2011.07.001")</f>
        <v>http://dx.doi.org/10.1016/j.zool.2011.07.001</v>
      </c>
      <c r="BG775" s="2" t="s">
        <v>74</v>
      </c>
      <c r="BH775" s="2" t="s">
        <v>74</v>
      </c>
      <c r="BI775" s="2" t="s">
        <v>74</v>
      </c>
      <c r="BJ775" s="2" t="s">
        <v>74</v>
      </c>
      <c r="BK775" s="2" t="s">
        <v>74</v>
      </c>
      <c r="BL775" s="2" t="s">
        <v>74</v>
      </c>
      <c r="BM775" s="2" t="s">
        <v>74</v>
      </c>
      <c r="BN775" s="2">
        <v>21975142</v>
      </c>
      <c r="BO775" s="2" t="s">
        <v>74</v>
      </c>
      <c r="BP775" s="2" t="s">
        <v>74</v>
      </c>
      <c r="BQ775" s="2" t="s">
        <v>74</v>
      </c>
      <c r="BR775" s="2" t="s">
        <v>74</v>
      </c>
      <c r="BS775" s="2" t="s">
        <v>820</v>
      </c>
      <c r="BT775" s="2" t="str">
        <f>HYPERLINK("https%3A%2F%2Fwww.webofscience.com%2Fwos%2Fwoscc%2Ffull-record%2FWOS:000297909600003","View Full Record in Web of Science")</f>
        <v>View Full Record in Web of Science</v>
      </c>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row>
    <row r="776" spans="1:314" s="2" customFormat="1" x14ac:dyDescent="0.4">
      <c r="A776" s="2" t="s">
        <v>72</v>
      </c>
      <c r="B776" s="2" t="s">
        <v>5878</v>
      </c>
      <c r="C776" s="2" t="s">
        <v>74</v>
      </c>
      <c r="D776" s="2" t="s">
        <v>74</v>
      </c>
      <c r="E776" s="2" t="s">
        <v>74</v>
      </c>
      <c r="F776" s="2" t="s">
        <v>5879</v>
      </c>
      <c r="G776" s="2" t="s">
        <v>74</v>
      </c>
      <c r="H776" s="2" t="s">
        <v>74</v>
      </c>
      <c r="I776" s="2" t="s">
        <v>5880</v>
      </c>
      <c r="J776" s="2" t="s">
        <v>5881</v>
      </c>
      <c r="K776" s="2" t="s">
        <v>74</v>
      </c>
      <c r="L776" s="2" t="s">
        <v>74</v>
      </c>
      <c r="M776" s="2" t="s">
        <v>74</v>
      </c>
      <c r="N776" s="2" t="s">
        <v>74</v>
      </c>
      <c r="O776" s="2" t="s">
        <v>74</v>
      </c>
      <c r="P776" s="2" t="s">
        <v>74</v>
      </c>
      <c r="Q776" s="2" t="s">
        <v>74</v>
      </c>
      <c r="R776" s="2" t="s">
        <v>74</v>
      </c>
      <c r="S776" s="2" t="s">
        <v>74</v>
      </c>
      <c r="T776" s="2" t="s">
        <v>74</v>
      </c>
      <c r="U776" s="2" t="s">
        <v>74</v>
      </c>
      <c r="V776" s="5" t="s">
        <v>5882</v>
      </c>
      <c r="W776" s="2" t="s">
        <v>74</v>
      </c>
      <c r="X776" s="2" t="s">
        <v>74</v>
      </c>
      <c r="Y776" s="2" t="s">
        <v>74</v>
      </c>
      <c r="Z776" s="2" t="s">
        <v>74</v>
      </c>
      <c r="AA776" s="2" t="s">
        <v>5883</v>
      </c>
      <c r="AB776" s="2" t="s">
        <v>5884</v>
      </c>
      <c r="AC776" s="2" t="s">
        <v>74</v>
      </c>
      <c r="AD776" s="2" t="s">
        <v>74</v>
      </c>
      <c r="AE776" s="2" t="s">
        <v>74</v>
      </c>
      <c r="AF776" s="2" t="s">
        <v>74</v>
      </c>
      <c r="AG776" s="2" t="s">
        <v>74</v>
      </c>
      <c r="AH776" s="2" t="s">
        <v>74</v>
      </c>
      <c r="AI776" s="2" t="s">
        <v>74</v>
      </c>
      <c r="AJ776" s="2" t="s">
        <v>74</v>
      </c>
      <c r="AK776" s="2" t="s">
        <v>74</v>
      </c>
      <c r="AL776" s="2" t="s">
        <v>74</v>
      </c>
      <c r="AM776" s="2" t="s">
        <v>74</v>
      </c>
      <c r="AN776" s="2" t="s">
        <v>74</v>
      </c>
      <c r="AO776" s="2" t="s">
        <v>5885</v>
      </c>
      <c r="AP776" s="2" t="s">
        <v>5886</v>
      </c>
      <c r="AQ776" s="2" t="s">
        <v>74</v>
      </c>
      <c r="AR776" s="2" t="s">
        <v>74</v>
      </c>
      <c r="AS776" s="2" t="s">
        <v>74</v>
      </c>
      <c r="AT776" s="2" t="s">
        <v>5887</v>
      </c>
      <c r="AU776" s="2">
        <v>2015</v>
      </c>
      <c r="AV776" s="2">
        <v>82</v>
      </c>
      <c r="AW776" s="2">
        <v>3</v>
      </c>
      <c r="AX776" s="2" t="s">
        <v>74</v>
      </c>
      <c r="AY776" s="2" t="s">
        <v>74</v>
      </c>
      <c r="AZ776" s="2" t="s">
        <v>74</v>
      </c>
      <c r="BA776" s="2" t="s">
        <v>74</v>
      </c>
      <c r="BB776" s="2">
        <v>398</v>
      </c>
      <c r="BC776" s="2">
        <v>403</v>
      </c>
      <c r="BD776" s="2" t="s">
        <v>74</v>
      </c>
      <c r="BE776" s="2" t="s">
        <v>5888</v>
      </c>
      <c r="BF776" s="2" t="str">
        <f>HYPERLINK("http://dx.doi.org/10.1080/11250003.2015.1021391","http://dx.doi.org/10.1080/11250003.2015.1021391")</f>
        <v>http://dx.doi.org/10.1080/11250003.2015.1021391</v>
      </c>
      <c r="BG776" s="2" t="s">
        <v>74</v>
      </c>
      <c r="BH776" s="2" t="s">
        <v>74</v>
      </c>
      <c r="BI776" s="2" t="s">
        <v>74</v>
      </c>
      <c r="BJ776" s="2" t="s">
        <v>74</v>
      </c>
      <c r="BK776" s="2" t="s">
        <v>74</v>
      </c>
      <c r="BL776" s="2" t="s">
        <v>74</v>
      </c>
      <c r="BM776" s="2" t="s">
        <v>74</v>
      </c>
      <c r="BN776" s="2" t="s">
        <v>74</v>
      </c>
      <c r="BO776" s="2" t="s">
        <v>74</v>
      </c>
      <c r="BP776" s="2" t="s">
        <v>74</v>
      </c>
      <c r="BQ776" s="2" t="s">
        <v>74</v>
      </c>
      <c r="BR776" s="2" t="s">
        <v>74</v>
      </c>
      <c r="BS776" s="2" t="s">
        <v>5889</v>
      </c>
      <c r="BT776" s="2" t="str">
        <f>HYPERLINK("https%3A%2F%2Fwww.webofscience.com%2Fwos%2Fwoscc%2Ffull-record%2FWOS:000359742100011","View Full Record in Web of Science")</f>
        <v>View Full Record in Web of Science</v>
      </c>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row>
    <row r="777" spans="1:314" s="2" customFormat="1" x14ac:dyDescent="0.4">
      <c r="A777" s="2" t="s">
        <v>72</v>
      </c>
      <c r="B777" s="2" t="s">
        <v>296</v>
      </c>
      <c r="C777" s="2" t="s">
        <v>74</v>
      </c>
      <c r="D777" s="2" t="s">
        <v>74</v>
      </c>
      <c r="E777" s="2" t="s">
        <v>74</v>
      </c>
      <c r="F777" s="2" t="s">
        <v>297</v>
      </c>
      <c r="G777" s="2" t="s">
        <v>74</v>
      </c>
      <c r="H777" s="2" t="s">
        <v>74</v>
      </c>
      <c r="I777" s="2" t="s">
        <v>298</v>
      </c>
      <c r="J777" s="2" t="s">
        <v>299</v>
      </c>
      <c r="K777" s="2" t="s">
        <v>74</v>
      </c>
      <c r="L777" s="2" t="s">
        <v>74</v>
      </c>
      <c r="M777" s="2" t="s">
        <v>74</v>
      </c>
      <c r="N777" s="2" t="s">
        <v>74</v>
      </c>
      <c r="O777" s="2" t="s">
        <v>74</v>
      </c>
      <c r="P777" s="2" t="s">
        <v>74</v>
      </c>
      <c r="Q777" s="2" t="s">
        <v>74</v>
      </c>
      <c r="R777" s="2" t="s">
        <v>74</v>
      </c>
      <c r="S777" s="2" t="s">
        <v>74</v>
      </c>
      <c r="T777" s="2" t="s">
        <v>74</v>
      </c>
      <c r="U777" s="2" t="s">
        <v>74</v>
      </c>
      <c r="V777" s="5" t="s">
        <v>300</v>
      </c>
      <c r="W777" s="2" t="s">
        <v>74</v>
      </c>
      <c r="X777" s="2" t="s">
        <v>74</v>
      </c>
      <c r="Y777" s="2" t="s">
        <v>74</v>
      </c>
      <c r="Z777" s="2" t="s">
        <v>74</v>
      </c>
      <c r="AA777" s="2" t="s">
        <v>301</v>
      </c>
      <c r="AB777" s="2" t="s">
        <v>302</v>
      </c>
      <c r="AC777" s="2" t="s">
        <v>74</v>
      </c>
      <c r="AD777" s="2" t="s">
        <v>74</v>
      </c>
      <c r="AE777" s="2" t="s">
        <v>74</v>
      </c>
      <c r="AF777" s="2" t="s">
        <v>74</v>
      </c>
      <c r="AG777" s="2" t="s">
        <v>74</v>
      </c>
      <c r="AH777" s="2" t="s">
        <v>74</v>
      </c>
      <c r="AI777" s="2" t="s">
        <v>74</v>
      </c>
      <c r="AJ777" s="2" t="s">
        <v>74</v>
      </c>
      <c r="AK777" s="2" t="s">
        <v>74</v>
      </c>
      <c r="AL777" s="2" t="s">
        <v>74</v>
      </c>
      <c r="AM777" s="2" t="s">
        <v>74</v>
      </c>
      <c r="AN777" s="2" t="s">
        <v>74</v>
      </c>
      <c r="AO777" s="2" t="s">
        <v>303</v>
      </c>
      <c r="AP777" s="2" t="s">
        <v>304</v>
      </c>
      <c r="AQ777" s="2" t="s">
        <v>74</v>
      </c>
      <c r="AR777" s="2" t="s">
        <v>74</v>
      </c>
      <c r="AS777" s="2" t="s">
        <v>74</v>
      </c>
      <c r="AT777" s="2" t="s">
        <v>305</v>
      </c>
      <c r="AU777" s="2">
        <v>2022</v>
      </c>
      <c r="AV777" s="2">
        <v>53</v>
      </c>
      <c r="AW777" s="2">
        <v>17</v>
      </c>
      <c r="AX777" s="2" t="s">
        <v>74</v>
      </c>
      <c r="AY777" s="2" t="s">
        <v>74</v>
      </c>
      <c r="AZ777" s="2" t="s">
        <v>74</v>
      </c>
      <c r="BA777" s="2" t="s">
        <v>74</v>
      </c>
      <c r="BB777" s="2">
        <v>6407</v>
      </c>
      <c r="BC777" s="2">
        <v>6413</v>
      </c>
      <c r="BD777" s="2" t="s">
        <v>74</v>
      </c>
      <c r="BE777" s="2" t="s">
        <v>306</v>
      </c>
      <c r="BF777" s="2" t="str">
        <f>HYPERLINK("http://dx.doi.org/10.1111/are.16083","http://dx.doi.org/10.1111/are.16083")</f>
        <v>http://dx.doi.org/10.1111/are.16083</v>
      </c>
      <c r="BG777" s="2" t="s">
        <v>74</v>
      </c>
      <c r="BH777" s="2" t="s">
        <v>307</v>
      </c>
      <c r="BI777" s="2" t="s">
        <v>74</v>
      </c>
      <c r="BJ777" s="2" t="s">
        <v>74</v>
      </c>
      <c r="BK777" s="2" t="s">
        <v>74</v>
      </c>
      <c r="BL777" s="2" t="s">
        <v>74</v>
      </c>
      <c r="BM777" s="2" t="s">
        <v>74</v>
      </c>
      <c r="BN777" s="2" t="s">
        <v>74</v>
      </c>
      <c r="BO777" s="2" t="s">
        <v>74</v>
      </c>
      <c r="BP777" s="2" t="s">
        <v>74</v>
      </c>
      <c r="BQ777" s="2" t="s">
        <v>74</v>
      </c>
      <c r="BR777" s="2" t="s">
        <v>74</v>
      </c>
      <c r="BS777" s="2" t="s">
        <v>308</v>
      </c>
      <c r="BT777" s="2" t="str">
        <f>HYPERLINK("https%3A%2F%2Fwww.webofscience.com%2Fwos%2Fwoscc%2Ffull-record%2FWOS:000847232100001","View Full Record in Web of Science")</f>
        <v>View Full Record in Web of Science</v>
      </c>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row>
    <row r="778" spans="1:314" s="1" customFormat="1" x14ac:dyDescent="0.4">
      <c r="A778" s="2" t="s">
        <v>72</v>
      </c>
      <c r="B778" s="2" t="s">
        <v>1606</v>
      </c>
      <c r="C778" s="2" t="s">
        <v>74</v>
      </c>
      <c r="D778" s="2" t="s">
        <v>74</v>
      </c>
      <c r="E778" s="2" t="s">
        <v>74</v>
      </c>
      <c r="F778" s="2" t="s">
        <v>1606</v>
      </c>
      <c r="G778" s="2" t="s">
        <v>74</v>
      </c>
      <c r="H778" s="2" t="s">
        <v>74</v>
      </c>
      <c r="I778" s="2" t="s">
        <v>1607</v>
      </c>
      <c r="J778" s="2" t="s">
        <v>1135</v>
      </c>
      <c r="K778" s="2" t="s">
        <v>74</v>
      </c>
      <c r="L778" s="2" t="s">
        <v>74</v>
      </c>
      <c r="M778" s="2" t="s">
        <v>74</v>
      </c>
      <c r="N778" s="2" t="s">
        <v>74</v>
      </c>
      <c r="O778" s="2" t="s">
        <v>74</v>
      </c>
      <c r="P778" s="2" t="s">
        <v>74</v>
      </c>
      <c r="Q778" s="2" t="s">
        <v>74</v>
      </c>
      <c r="R778" s="2" t="s">
        <v>74</v>
      </c>
      <c r="S778" s="2" t="s">
        <v>74</v>
      </c>
      <c r="T778" s="2" t="s">
        <v>74</v>
      </c>
      <c r="U778" s="2" t="s">
        <v>74</v>
      </c>
      <c r="V778" s="5" t="s">
        <v>1608</v>
      </c>
      <c r="W778" s="2" t="s">
        <v>74</v>
      </c>
      <c r="X778" s="2" t="s">
        <v>74</v>
      </c>
      <c r="Y778" s="2" t="s">
        <v>74</v>
      </c>
      <c r="Z778" s="2" t="s">
        <v>74</v>
      </c>
      <c r="AA778" s="2" t="s">
        <v>1609</v>
      </c>
      <c r="AB778" s="2" t="s">
        <v>1610</v>
      </c>
      <c r="AC778" s="2" t="s">
        <v>74</v>
      </c>
      <c r="AD778" s="2" t="s">
        <v>74</v>
      </c>
      <c r="AE778" s="2" t="s">
        <v>74</v>
      </c>
      <c r="AF778" s="2" t="s">
        <v>74</v>
      </c>
      <c r="AG778" s="2" t="s">
        <v>74</v>
      </c>
      <c r="AH778" s="2" t="s">
        <v>74</v>
      </c>
      <c r="AI778" s="2" t="s">
        <v>74</v>
      </c>
      <c r="AJ778" s="2" t="s">
        <v>74</v>
      </c>
      <c r="AK778" s="2" t="s">
        <v>74</v>
      </c>
      <c r="AL778" s="2" t="s">
        <v>74</v>
      </c>
      <c r="AM778" s="2" t="s">
        <v>74</v>
      </c>
      <c r="AN778" s="2" t="s">
        <v>74</v>
      </c>
      <c r="AO778" s="2" t="s">
        <v>1137</v>
      </c>
      <c r="AP778" s="2" t="s">
        <v>74</v>
      </c>
      <c r="AQ778" s="2" t="s">
        <v>74</v>
      </c>
      <c r="AR778" s="2" t="s">
        <v>74</v>
      </c>
      <c r="AS778" s="2" t="s">
        <v>74</v>
      </c>
      <c r="AT778" s="2" t="s">
        <v>1611</v>
      </c>
      <c r="AU778" s="2">
        <v>1992</v>
      </c>
      <c r="AV778" s="2">
        <v>23</v>
      </c>
      <c r="AW778" s="2">
        <v>1</v>
      </c>
      <c r="AX778" s="2" t="s">
        <v>74</v>
      </c>
      <c r="AY778" s="2" t="s">
        <v>74</v>
      </c>
      <c r="AZ778" s="2" t="s">
        <v>74</v>
      </c>
      <c r="BA778" s="2" t="s">
        <v>74</v>
      </c>
      <c r="BB778" s="2">
        <v>17</v>
      </c>
      <c r="BC778" s="2">
        <v>23</v>
      </c>
      <c r="BD778" s="2" t="s">
        <v>74</v>
      </c>
      <c r="BE778" s="2" t="s">
        <v>1612</v>
      </c>
      <c r="BF778" s="2" t="str">
        <f>HYPERLINK("http://dx.doi.org/10.2307/3676422","http://dx.doi.org/10.2307/3676422")</f>
        <v>http://dx.doi.org/10.2307/3676422</v>
      </c>
      <c r="BG778" s="2" t="s">
        <v>74</v>
      </c>
      <c r="BH778" s="2" t="s">
        <v>74</v>
      </c>
      <c r="BI778" s="2" t="s">
        <v>74</v>
      </c>
      <c r="BJ778" s="2" t="s">
        <v>74</v>
      </c>
      <c r="BK778" s="2" t="s">
        <v>74</v>
      </c>
      <c r="BL778" s="2" t="s">
        <v>74</v>
      </c>
      <c r="BM778" s="2" t="s">
        <v>74</v>
      </c>
      <c r="BN778" s="2" t="s">
        <v>74</v>
      </c>
      <c r="BO778" s="2" t="s">
        <v>74</v>
      </c>
      <c r="BP778" s="2" t="s">
        <v>74</v>
      </c>
      <c r="BQ778" s="2" t="s">
        <v>74</v>
      </c>
      <c r="BR778" s="2" t="s">
        <v>74</v>
      </c>
      <c r="BS778" s="2" t="s">
        <v>1613</v>
      </c>
      <c r="BT778" s="2" t="str">
        <f>HYPERLINK("https%3A%2F%2Fwww.webofscience.com%2Fwos%2Fwoscc%2Ffull-record%2FWOS:A1992HN98800004","View Full Record in Web of Science")</f>
        <v>View Full Record in Web of Science</v>
      </c>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row>
    <row r="779" spans="1:314" s="1" customFormat="1" x14ac:dyDescent="0.4">
      <c r="A779" s="2" t="s">
        <v>72</v>
      </c>
      <c r="B779" s="2" t="s">
        <v>8412</v>
      </c>
      <c r="C779" s="2" t="s">
        <v>74</v>
      </c>
      <c r="D779" s="2" t="s">
        <v>74</v>
      </c>
      <c r="E779" s="2" t="s">
        <v>74</v>
      </c>
      <c r="F779" s="2" t="s">
        <v>8413</v>
      </c>
      <c r="G779" s="2" t="s">
        <v>74</v>
      </c>
      <c r="H779" s="2" t="s">
        <v>74</v>
      </c>
      <c r="I779" s="2" t="s">
        <v>8414</v>
      </c>
      <c r="J779" s="2" t="s">
        <v>1656</v>
      </c>
      <c r="K779" s="2" t="s">
        <v>74</v>
      </c>
      <c r="L779" s="2" t="s">
        <v>74</v>
      </c>
      <c r="M779" s="2" t="s">
        <v>74</v>
      </c>
      <c r="N779" s="2" t="s">
        <v>74</v>
      </c>
      <c r="O779" s="2" t="s">
        <v>74</v>
      </c>
      <c r="P779" s="2" t="s">
        <v>74</v>
      </c>
      <c r="Q779" s="2" t="s">
        <v>74</v>
      </c>
      <c r="R779" s="2" t="s">
        <v>74</v>
      </c>
      <c r="S779" s="2" t="s">
        <v>74</v>
      </c>
      <c r="T779" s="2" t="s">
        <v>74</v>
      </c>
      <c r="U779" s="2" t="s">
        <v>74</v>
      </c>
      <c r="V779" s="5" t="s">
        <v>8415</v>
      </c>
      <c r="W779" s="2" t="s">
        <v>74</v>
      </c>
      <c r="X779" s="2" t="s">
        <v>74</v>
      </c>
      <c r="Y779" s="2" t="s">
        <v>74</v>
      </c>
      <c r="Z779" s="2" t="s">
        <v>74</v>
      </c>
      <c r="AA779" s="2" t="s">
        <v>8416</v>
      </c>
      <c r="AB779" s="2" t="s">
        <v>8417</v>
      </c>
      <c r="AC779" s="2" t="s">
        <v>74</v>
      </c>
      <c r="AD779" s="2" t="s">
        <v>74</v>
      </c>
      <c r="AE779" s="2" t="s">
        <v>74</v>
      </c>
      <c r="AF779" s="2" t="s">
        <v>74</v>
      </c>
      <c r="AG779" s="2" t="s">
        <v>74</v>
      </c>
      <c r="AH779" s="2" t="s">
        <v>74</v>
      </c>
      <c r="AI779" s="2" t="s">
        <v>74</v>
      </c>
      <c r="AJ779" s="2" t="s">
        <v>74</v>
      </c>
      <c r="AK779" s="2" t="s">
        <v>74</v>
      </c>
      <c r="AL779" s="2" t="s">
        <v>74</v>
      </c>
      <c r="AM779" s="2" t="s">
        <v>74</v>
      </c>
      <c r="AN779" s="2" t="s">
        <v>74</v>
      </c>
      <c r="AO779" s="2" t="s">
        <v>1658</v>
      </c>
      <c r="AP779" s="2" t="s">
        <v>1659</v>
      </c>
      <c r="AQ779" s="2" t="s">
        <v>74</v>
      </c>
      <c r="AR779" s="2" t="s">
        <v>74</v>
      </c>
      <c r="AS779" s="2" t="s">
        <v>74</v>
      </c>
      <c r="AT779" s="2" t="s">
        <v>8418</v>
      </c>
      <c r="AU779" s="2">
        <v>2023</v>
      </c>
      <c r="AV779" s="2">
        <v>5285</v>
      </c>
      <c r="AW779" s="2">
        <v>2</v>
      </c>
      <c r="AX779" s="2" t="s">
        <v>74</v>
      </c>
      <c r="AY779" s="2" t="s">
        <v>74</v>
      </c>
      <c r="AZ779" s="2" t="s">
        <v>74</v>
      </c>
      <c r="BA779" s="2" t="s">
        <v>74</v>
      </c>
      <c r="BB779" s="2">
        <v>201</v>
      </c>
      <c r="BC779" s="2">
        <v>251</v>
      </c>
      <c r="BD779" s="2" t="s">
        <v>74</v>
      </c>
      <c r="BE779" s="2" t="s">
        <v>8419</v>
      </c>
      <c r="BF779" s="2" t="str">
        <f>HYPERLINK("http://dx.doi.org/10.11646/zootaxa.5285.2.1","http://dx.doi.org/10.11646/zootaxa.5285.2.1")</f>
        <v>http://dx.doi.org/10.11646/zootaxa.5285.2.1</v>
      </c>
      <c r="BG779" s="2" t="s">
        <v>74</v>
      </c>
      <c r="BH779" s="2" t="s">
        <v>74</v>
      </c>
      <c r="BI779" s="2" t="s">
        <v>74</v>
      </c>
      <c r="BJ779" s="2" t="s">
        <v>74</v>
      </c>
      <c r="BK779" s="2" t="s">
        <v>74</v>
      </c>
      <c r="BL779" s="2" t="s">
        <v>74</v>
      </c>
      <c r="BM779" s="2" t="s">
        <v>74</v>
      </c>
      <c r="BN779" s="2">
        <v>37518708</v>
      </c>
      <c r="BO779" s="2" t="s">
        <v>74</v>
      </c>
      <c r="BP779" s="2" t="s">
        <v>74</v>
      </c>
      <c r="BQ779" s="2" t="s">
        <v>74</v>
      </c>
      <c r="BR779" s="2" t="s">
        <v>74</v>
      </c>
      <c r="BS779" s="2" t="s">
        <v>8420</v>
      </c>
      <c r="BT779" s="2" t="str">
        <f>HYPERLINK("https%3A%2F%2Fwww.webofscience.com%2Fwos%2Fwoscc%2Ffull-record%2FWOS:000996486900001","View Full Record in Web of Science")</f>
        <v>View Full Record in Web of Science</v>
      </c>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row>
    <row r="780" spans="1:314" s="2" customFormat="1" x14ac:dyDescent="0.4">
      <c r="A780" s="2" t="s">
        <v>72</v>
      </c>
      <c r="B780" s="2" t="s">
        <v>8716</v>
      </c>
      <c r="C780" s="2" t="s">
        <v>74</v>
      </c>
      <c r="D780" s="2" t="s">
        <v>74</v>
      </c>
      <c r="E780" s="2" t="s">
        <v>74</v>
      </c>
      <c r="F780" s="2" t="s">
        <v>8717</v>
      </c>
      <c r="G780" s="2" t="s">
        <v>74</v>
      </c>
      <c r="H780" s="2" t="s">
        <v>74</v>
      </c>
      <c r="I780" s="2" t="s">
        <v>8718</v>
      </c>
      <c r="J780" s="2" t="s">
        <v>1112</v>
      </c>
      <c r="K780" s="2" t="s">
        <v>74</v>
      </c>
      <c r="L780" s="2" t="s">
        <v>74</v>
      </c>
      <c r="M780" s="2" t="s">
        <v>74</v>
      </c>
      <c r="N780" s="2" t="s">
        <v>74</v>
      </c>
      <c r="O780" s="2" t="s">
        <v>74</v>
      </c>
      <c r="P780" s="2" t="s">
        <v>74</v>
      </c>
      <c r="Q780" s="2" t="s">
        <v>74</v>
      </c>
      <c r="R780" s="2" t="s">
        <v>74</v>
      </c>
      <c r="S780" s="2" t="s">
        <v>74</v>
      </c>
      <c r="T780" s="2" t="s">
        <v>74</v>
      </c>
      <c r="U780" s="2" t="s">
        <v>74</v>
      </c>
      <c r="V780" s="5" t="s">
        <v>8719</v>
      </c>
      <c r="W780" s="2" t="s">
        <v>74</v>
      </c>
      <c r="X780" s="2" t="s">
        <v>74</v>
      </c>
      <c r="Y780" s="2" t="s">
        <v>74</v>
      </c>
      <c r="Z780" s="2" t="s">
        <v>74</v>
      </c>
      <c r="AA780" s="2" t="s">
        <v>74</v>
      </c>
      <c r="AB780" s="2" t="s">
        <v>8720</v>
      </c>
      <c r="AC780" s="2" t="s">
        <v>74</v>
      </c>
      <c r="AD780" s="2" t="s">
        <v>74</v>
      </c>
      <c r="AE780" s="2" t="s">
        <v>74</v>
      </c>
      <c r="AF780" s="2" t="s">
        <v>74</v>
      </c>
      <c r="AG780" s="2" t="s">
        <v>74</v>
      </c>
      <c r="AH780" s="2" t="s">
        <v>74</v>
      </c>
      <c r="AI780" s="2" t="s">
        <v>74</v>
      </c>
      <c r="AJ780" s="2" t="s">
        <v>74</v>
      </c>
      <c r="AK780" s="2" t="s">
        <v>74</v>
      </c>
      <c r="AL780" s="2" t="s">
        <v>74</v>
      </c>
      <c r="AM780" s="2" t="s">
        <v>74</v>
      </c>
      <c r="AN780" s="2" t="s">
        <v>74</v>
      </c>
      <c r="AO780" s="2" t="s">
        <v>1114</v>
      </c>
      <c r="AP780" s="2" t="s">
        <v>1115</v>
      </c>
      <c r="AQ780" s="2" t="s">
        <v>74</v>
      </c>
      <c r="AR780" s="2" t="s">
        <v>74</v>
      </c>
      <c r="AS780" s="2" t="s">
        <v>74</v>
      </c>
      <c r="AT780" s="2" t="s">
        <v>255</v>
      </c>
      <c r="AU780" s="2">
        <v>2019</v>
      </c>
      <c r="AV780" s="2">
        <v>210</v>
      </c>
      <c r="AW780" s="2" t="s">
        <v>74</v>
      </c>
      <c r="AX780" s="2" t="s">
        <v>74</v>
      </c>
      <c r="AY780" s="2" t="s">
        <v>74</v>
      </c>
      <c r="AZ780" s="2" t="s">
        <v>74</v>
      </c>
      <c r="BA780" s="2" t="s">
        <v>74</v>
      </c>
      <c r="BB780" s="2">
        <v>73</v>
      </c>
      <c r="BC780" s="2">
        <v>80</v>
      </c>
      <c r="BD780" s="2" t="s">
        <v>74</v>
      </c>
      <c r="BE780" s="2" t="s">
        <v>8721</v>
      </c>
      <c r="BF780" s="2" t="str">
        <f>HYPERLINK("http://dx.doi.org/10.1016/j.applanim.2018.10.011","http://dx.doi.org/10.1016/j.applanim.2018.10.011")</f>
        <v>http://dx.doi.org/10.1016/j.applanim.2018.10.011</v>
      </c>
      <c r="BG780" s="2" t="s">
        <v>74</v>
      </c>
      <c r="BH780" s="2" t="s">
        <v>74</v>
      </c>
      <c r="BI780" s="2" t="s">
        <v>74</v>
      </c>
      <c r="BJ780" s="2" t="s">
        <v>74</v>
      </c>
      <c r="BK780" s="2" t="s">
        <v>74</v>
      </c>
      <c r="BL780" s="2" t="s">
        <v>74</v>
      </c>
      <c r="BM780" s="2" t="s">
        <v>74</v>
      </c>
      <c r="BN780" s="2" t="s">
        <v>74</v>
      </c>
      <c r="BO780" s="2" t="s">
        <v>74</v>
      </c>
      <c r="BP780" s="2" t="s">
        <v>74</v>
      </c>
      <c r="BQ780" s="2" t="s">
        <v>74</v>
      </c>
      <c r="BR780" s="2" t="s">
        <v>74</v>
      </c>
      <c r="BS780" s="2" t="s">
        <v>8722</v>
      </c>
      <c r="BT780" s="2" t="str">
        <f>HYPERLINK("https%3A%2F%2Fwww.webofscience.com%2Fwos%2Fwoscc%2Ffull-record%2FWOS:000457661700010","View Full Record in Web of Science")</f>
        <v>View Full Record in Web of Science</v>
      </c>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row>
    <row r="781" spans="1:314" s="2" customFormat="1" x14ac:dyDescent="0.4">
      <c r="A781" s="2" t="s">
        <v>72</v>
      </c>
      <c r="B781" s="2" t="s">
        <v>105</v>
      </c>
      <c r="C781" s="2" t="s">
        <v>74</v>
      </c>
      <c r="D781" s="2" t="s">
        <v>74</v>
      </c>
      <c r="E781" s="2" t="s">
        <v>74</v>
      </c>
      <c r="F781" s="2" t="s">
        <v>106</v>
      </c>
      <c r="G781" s="2" t="s">
        <v>74</v>
      </c>
      <c r="H781" s="2" t="s">
        <v>74</v>
      </c>
      <c r="I781" s="2" t="s">
        <v>107</v>
      </c>
      <c r="J781" s="2" t="s">
        <v>108</v>
      </c>
      <c r="K781" s="2" t="s">
        <v>74</v>
      </c>
      <c r="L781" s="2" t="s">
        <v>74</v>
      </c>
      <c r="M781" s="2" t="s">
        <v>74</v>
      </c>
      <c r="N781" s="2" t="s">
        <v>74</v>
      </c>
      <c r="O781" s="2" t="s">
        <v>74</v>
      </c>
      <c r="P781" s="2" t="s">
        <v>74</v>
      </c>
      <c r="Q781" s="2" t="s">
        <v>74</v>
      </c>
      <c r="R781" s="2" t="s">
        <v>74</v>
      </c>
      <c r="S781" s="2" t="s">
        <v>74</v>
      </c>
      <c r="T781" s="2" t="s">
        <v>74</v>
      </c>
      <c r="U781" s="2" t="s">
        <v>74</v>
      </c>
      <c r="V781" s="5" t="s">
        <v>109</v>
      </c>
      <c r="W781" s="2" t="s">
        <v>74</v>
      </c>
      <c r="X781" s="2" t="s">
        <v>74</v>
      </c>
      <c r="Y781" s="2" t="s">
        <v>74</v>
      </c>
      <c r="Z781" s="2" t="s">
        <v>74</v>
      </c>
      <c r="AA781" s="2" t="s">
        <v>74</v>
      </c>
      <c r="AB781" s="2" t="s">
        <v>110</v>
      </c>
      <c r="AC781" s="2" t="s">
        <v>74</v>
      </c>
      <c r="AD781" s="2" t="s">
        <v>74</v>
      </c>
      <c r="AE781" s="2" t="s">
        <v>74</v>
      </c>
      <c r="AF781" s="2" t="s">
        <v>74</v>
      </c>
      <c r="AG781" s="2" t="s">
        <v>74</v>
      </c>
      <c r="AH781" s="2" t="s">
        <v>74</v>
      </c>
      <c r="AI781" s="2" t="s">
        <v>74</v>
      </c>
      <c r="AJ781" s="2" t="s">
        <v>74</v>
      </c>
      <c r="AK781" s="2" t="s">
        <v>74</v>
      </c>
      <c r="AL781" s="2" t="s">
        <v>74</v>
      </c>
      <c r="AM781" s="2" t="s">
        <v>74</v>
      </c>
      <c r="AN781" s="2" t="s">
        <v>74</v>
      </c>
      <c r="AO781" s="2" t="s">
        <v>111</v>
      </c>
      <c r="AP781" s="2" t="s">
        <v>112</v>
      </c>
      <c r="AQ781" s="2" t="s">
        <v>74</v>
      </c>
      <c r="AR781" s="2" t="s">
        <v>74</v>
      </c>
      <c r="AS781" s="2" t="s">
        <v>74</v>
      </c>
      <c r="AT781" s="2" t="s">
        <v>113</v>
      </c>
      <c r="AU781" s="2">
        <v>2018</v>
      </c>
      <c r="AV781" s="2">
        <v>285</v>
      </c>
      <c r="AW781" s="2">
        <v>1884</v>
      </c>
      <c r="AX781" s="2" t="s">
        <v>74</v>
      </c>
      <c r="AY781" s="2" t="s">
        <v>74</v>
      </c>
      <c r="AZ781" s="2" t="s">
        <v>74</v>
      </c>
      <c r="BA781" s="2" t="s">
        <v>74</v>
      </c>
      <c r="BB781" s="2" t="s">
        <v>74</v>
      </c>
      <c r="BC781" s="2" t="s">
        <v>74</v>
      </c>
      <c r="BD781" s="2">
        <v>20181248</v>
      </c>
      <c r="BE781" s="2" t="s">
        <v>114</v>
      </c>
      <c r="BF781" s="2" t="str">
        <f>HYPERLINK("http://dx.doi.org/10.1098/rspb.2018.1248","http://dx.doi.org/10.1098/rspb.2018.1248")</f>
        <v>http://dx.doi.org/10.1098/rspb.2018.1248</v>
      </c>
      <c r="BG781" s="2" t="s">
        <v>74</v>
      </c>
      <c r="BH781" s="2" t="s">
        <v>74</v>
      </c>
      <c r="BI781" s="2" t="s">
        <v>74</v>
      </c>
      <c r="BJ781" s="2" t="s">
        <v>74</v>
      </c>
      <c r="BK781" s="2" t="s">
        <v>74</v>
      </c>
      <c r="BL781" s="2" t="s">
        <v>74</v>
      </c>
      <c r="BM781" s="2" t="s">
        <v>74</v>
      </c>
      <c r="BN781" s="2">
        <v>30068684</v>
      </c>
      <c r="BO781" s="2" t="s">
        <v>74</v>
      </c>
      <c r="BP781" s="2" t="s">
        <v>74</v>
      </c>
      <c r="BQ781" s="2" t="s">
        <v>74</v>
      </c>
      <c r="BR781" s="2" t="s">
        <v>74</v>
      </c>
      <c r="BS781" s="2" t="s">
        <v>115</v>
      </c>
      <c r="BT781" s="2" t="str">
        <f>HYPERLINK("https%3A%2F%2Fwww.webofscience.com%2Fwos%2Fwoscc%2Ffull-record%2FWOS:000441725900027","View Full Record in Web of Science")</f>
        <v>View Full Record in Web of Science</v>
      </c>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row>
    <row r="782" spans="1:314" s="2" customFormat="1" x14ac:dyDescent="0.4">
      <c r="A782" s="2" t="s">
        <v>72</v>
      </c>
      <c r="B782" s="2" t="s">
        <v>168</v>
      </c>
      <c r="C782" s="2" t="s">
        <v>74</v>
      </c>
      <c r="D782" s="2" t="s">
        <v>74</v>
      </c>
      <c r="E782" s="2" t="s">
        <v>74</v>
      </c>
      <c r="F782" s="2" t="s">
        <v>169</v>
      </c>
      <c r="G782" s="2" t="s">
        <v>74</v>
      </c>
      <c r="H782" s="2" t="s">
        <v>74</v>
      </c>
      <c r="I782" s="2" t="s">
        <v>170</v>
      </c>
      <c r="J782" s="2" t="s">
        <v>171</v>
      </c>
      <c r="K782" s="2" t="s">
        <v>74</v>
      </c>
      <c r="L782" s="2" t="s">
        <v>74</v>
      </c>
      <c r="M782" s="2" t="s">
        <v>74</v>
      </c>
      <c r="N782" s="2" t="s">
        <v>74</v>
      </c>
      <c r="O782" s="2" t="s">
        <v>74</v>
      </c>
      <c r="P782" s="2" t="s">
        <v>74</v>
      </c>
      <c r="Q782" s="2" t="s">
        <v>74</v>
      </c>
      <c r="R782" s="2" t="s">
        <v>74</v>
      </c>
      <c r="S782" s="2" t="s">
        <v>74</v>
      </c>
      <c r="T782" s="2" t="s">
        <v>74</v>
      </c>
      <c r="U782" s="2" t="s">
        <v>74</v>
      </c>
      <c r="V782" s="5" t="s">
        <v>172</v>
      </c>
      <c r="W782" s="2" t="s">
        <v>74</v>
      </c>
      <c r="X782" s="2" t="s">
        <v>74</v>
      </c>
      <c r="Y782" s="2" t="s">
        <v>74</v>
      </c>
      <c r="Z782" s="2" t="s">
        <v>74</v>
      </c>
      <c r="AA782" s="2" t="s">
        <v>74</v>
      </c>
      <c r="AB782" s="2" t="s">
        <v>110</v>
      </c>
      <c r="AC782" s="2" t="s">
        <v>74</v>
      </c>
      <c r="AD782" s="2" t="s">
        <v>74</v>
      </c>
      <c r="AE782" s="2" t="s">
        <v>74</v>
      </c>
      <c r="AF782" s="2" t="s">
        <v>74</v>
      </c>
      <c r="AG782" s="2" t="s">
        <v>74</v>
      </c>
      <c r="AH782" s="2" t="s">
        <v>74</v>
      </c>
      <c r="AI782" s="2" t="s">
        <v>74</v>
      </c>
      <c r="AJ782" s="2" t="s">
        <v>74</v>
      </c>
      <c r="AK782" s="2" t="s">
        <v>74</v>
      </c>
      <c r="AL782" s="2" t="s">
        <v>74</v>
      </c>
      <c r="AM782" s="2" t="s">
        <v>74</v>
      </c>
      <c r="AN782" s="2" t="s">
        <v>74</v>
      </c>
      <c r="AO782" s="2" t="s">
        <v>173</v>
      </c>
      <c r="AP782" s="2" t="s">
        <v>174</v>
      </c>
      <c r="AQ782" s="2" t="s">
        <v>74</v>
      </c>
      <c r="AR782" s="2" t="s">
        <v>74</v>
      </c>
      <c r="AS782" s="2" t="s">
        <v>74</v>
      </c>
      <c r="AT782" s="2" t="s">
        <v>175</v>
      </c>
      <c r="AU782" s="2">
        <v>2017</v>
      </c>
      <c r="AV782" s="2">
        <v>71</v>
      </c>
      <c r="AW782" s="2">
        <v>10</v>
      </c>
      <c r="AX782" s="2" t="s">
        <v>74</v>
      </c>
      <c r="AY782" s="2" t="s">
        <v>74</v>
      </c>
      <c r="AZ782" s="2" t="s">
        <v>74</v>
      </c>
      <c r="BA782" s="2" t="s">
        <v>74</v>
      </c>
      <c r="BB782" s="2">
        <v>2428</v>
      </c>
      <c r="BC782" s="2">
        <v>2444</v>
      </c>
      <c r="BD782" s="2" t="s">
        <v>74</v>
      </c>
      <c r="BE782" s="2" t="s">
        <v>176</v>
      </c>
      <c r="BF782" s="2" t="str">
        <f>HYPERLINK("http://dx.doi.org/10.1111/evo.13321","http://dx.doi.org/10.1111/evo.13321")</f>
        <v>http://dx.doi.org/10.1111/evo.13321</v>
      </c>
      <c r="BG782" s="2" t="s">
        <v>74</v>
      </c>
      <c r="BH782" s="2" t="s">
        <v>74</v>
      </c>
      <c r="BI782" s="2" t="s">
        <v>74</v>
      </c>
      <c r="BJ782" s="2" t="s">
        <v>74</v>
      </c>
      <c r="BK782" s="2" t="s">
        <v>74</v>
      </c>
      <c r="BL782" s="2" t="s">
        <v>74</v>
      </c>
      <c r="BM782" s="2" t="s">
        <v>74</v>
      </c>
      <c r="BN782" s="2">
        <v>28776645</v>
      </c>
      <c r="BO782" s="2" t="s">
        <v>74</v>
      </c>
      <c r="BP782" s="2" t="s">
        <v>74</v>
      </c>
      <c r="BQ782" s="2" t="s">
        <v>74</v>
      </c>
      <c r="BR782" s="2" t="s">
        <v>74</v>
      </c>
      <c r="BS782" s="2" t="s">
        <v>177</v>
      </c>
      <c r="BT782" s="2" t="str">
        <f>HYPERLINK("https%3A%2F%2Fwww.webofscience.com%2Fwos%2Fwoscc%2Ffull-record%2FWOS:000412834700011","View Full Record in Web of Science")</f>
        <v>View Full Record in Web of Science</v>
      </c>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row>
    <row r="783" spans="1:314" s="2" customFormat="1" x14ac:dyDescent="0.4">
      <c r="A783" s="2" t="s">
        <v>72</v>
      </c>
      <c r="B783" s="2" t="s">
        <v>6835</v>
      </c>
      <c r="C783" s="2" t="s">
        <v>74</v>
      </c>
      <c r="D783" s="2" t="s">
        <v>74</v>
      </c>
      <c r="E783" s="2" t="s">
        <v>74</v>
      </c>
      <c r="F783" s="2" t="s">
        <v>6836</v>
      </c>
      <c r="G783" s="2" t="s">
        <v>74</v>
      </c>
      <c r="H783" s="2" t="s">
        <v>74</v>
      </c>
      <c r="I783" s="2" t="s">
        <v>6837</v>
      </c>
      <c r="J783" s="2" t="s">
        <v>1656</v>
      </c>
      <c r="K783" s="2" t="s">
        <v>74</v>
      </c>
      <c r="L783" s="2" t="s">
        <v>74</v>
      </c>
      <c r="M783" s="2" t="s">
        <v>74</v>
      </c>
      <c r="N783" s="2" t="s">
        <v>74</v>
      </c>
      <c r="O783" s="2" t="s">
        <v>74</v>
      </c>
      <c r="P783" s="2" t="s">
        <v>74</v>
      </c>
      <c r="Q783" s="2" t="s">
        <v>74</v>
      </c>
      <c r="R783" s="2" t="s">
        <v>74</v>
      </c>
      <c r="S783" s="2" t="s">
        <v>74</v>
      </c>
      <c r="T783" s="2" t="s">
        <v>74</v>
      </c>
      <c r="U783" s="2" t="s">
        <v>74</v>
      </c>
      <c r="V783" s="5" t="s">
        <v>6838</v>
      </c>
      <c r="W783" s="2" t="s">
        <v>74</v>
      </c>
      <c r="X783" s="2" t="s">
        <v>74</v>
      </c>
      <c r="Y783" s="2" t="s">
        <v>74</v>
      </c>
      <c r="Z783" s="2" t="s">
        <v>74</v>
      </c>
      <c r="AA783" s="2" t="s">
        <v>74</v>
      </c>
      <c r="AB783" s="2" t="s">
        <v>6839</v>
      </c>
      <c r="AC783" s="2" t="s">
        <v>74</v>
      </c>
      <c r="AD783" s="2" t="s">
        <v>74</v>
      </c>
      <c r="AE783" s="2" t="s">
        <v>74</v>
      </c>
      <c r="AF783" s="2" t="s">
        <v>74</v>
      </c>
      <c r="AG783" s="2" t="s">
        <v>74</v>
      </c>
      <c r="AH783" s="2" t="s">
        <v>74</v>
      </c>
      <c r="AI783" s="2" t="s">
        <v>74</v>
      </c>
      <c r="AJ783" s="2" t="s">
        <v>74</v>
      </c>
      <c r="AK783" s="2" t="s">
        <v>74</v>
      </c>
      <c r="AL783" s="2" t="s">
        <v>74</v>
      </c>
      <c r="AM783" s="2" t="s">
        <v>74</v>
      </c>
      <c r="AN783" s="2" t="s">
        <v>74</v>
      </c>
      <c r="AO783" s="2" t="s">
        <v>1658</v>
      </c>
      <c r="AP783" s="2" t="s">
        <v>1659</v>
      </c>
      <c r="AQ783" s="2" t="s">
        <v>74</v>
      </c>
      <c r="AR783" s="2" t="s">
        <v>74</v>
      </c>
      <c r="AS783" s="2" t="s">
        <v>74</v>
      </c>
      <c r="AT783" s="2" t="s">
        <v>6840</v>
      </c>
      <c r="AU783" s="2">
        <v>2019</v>
      </c>
      <c r="AV783" s="2">
        <v>4700</v>
      </c>
      <c r="AW783" s="2">
        <v>4</v>
      </c>
      <c r="AX783" s="2" t="s">
        <v>74</v>
      </c>
      <c r="AY783" s="2" t="s">
        <v>74</v>
      </c>
      <c r="AZ783" s="2" t="s">
        <v>74</v>
      </c>
      <c r="BA783" s="2" t="s">
        <v>74</v>
      </c>
      <c r="BB783" s="2">
        <v>501</v>
      </c>
      <c r="BC783" s="2">
        <v>534</v>
      </c>
      <c r="BD783" s="2" t="s">
        <v>74</v>
      </c>
      <c r="BE783" s="2" t="s">
        <v>6841</v>
      </c>
      <c r="BF783" s="2" t="str">
        <f>HYPERLINK("http://dx.doi.org/10.11646/zootaxa.4700.4.9","http://dx.doi.org/10.11646/zootaxa.4700.4.9")</f>
        <v>http://dx.doi.org/10.11646/zootaxa.4700.4.9</v>
      </c>
      <c r="BG783" s="2" t="s">
        <v>74</v>
      </c>
      <c r="BH783" s="2" t="s">
        <v>74</v>
      </c>
      <c r="BI783" s="2" t="s">
        <v>74</v>
      </c>
      <c r="BJ783" s="2" t="s">
        <v>74</v>
      </c>
      <c r="BK783" s="2" t="s">
        <v>74</v>
      </c>
      <c r="BL783" s="2" t="s">
        <v>74</v>
      </c>
      <c r="BM783" s="2" t="s">
        <v>74</v>
      </c>
      <c r="BN783" s="2">
        <v>32229960</v>
      </c>
      <c r="BO783" s="2" t="s">
        <v>74</v>
      </c>
      <c r="BP783" s="2" t="s">
        <v>74</v>
      </c>
      <c r="BQ783" s="2" t="s">
        <v>74</v>
      </c>
      <c r="BR783" s="2" t="s">
        <v>74</v>
      </c>
      <c r="BS783" s="2" t="s">
        <v>6842</v>
      </c>
      <c r="BT783" s="2" t="str">
        <f>HYPERLINK("https%3A%2F%2Fwww.webofscience.com%2Fwos%2Fwoscc%2Ffull-record%2FWOS:000498944700009","View Full Record in Web of Science")</f>
        <v>View Full Record in Web of Science</v>
      </c>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row>
    <row r="784" spans="1:314" s="2" customFormat="1" x14ac:dyDescent="0.4">
      <c r="A784" s="2" t="s">
        <v>72</v>
      </c>
      <c r="B784" s="2" t="s">
        <v>559</v>
      </c>
      <c r="C784" s="2" t="s">
        <v>74</v>
      </c>
      <c r="D784" s="2" t="s">
        <v>74</v>
      </c>
      <c r="E784" s="2" t="s">
        <v>74</v>
      </c>
      <c r="F784" s="2" t="s">
        <v>559</v>
      </c>
      <c r="G784" s="2" t="s">
        <v>74</v>
      </c>
      <c r="H784" s="2" t="s">
        <v>74</v>
      </c>
      <c r="I784" s="2" t="s">
        <v>560</v>
      </c>
      <c r="J784" s="2" t="s">
        <v>129</v>
      </c>
      <c r="K784" s="2" t="s">
        <v>74</v>
      </c>
      <c r="L784" s="2" t="s">
        <v>74</v>
      </c>
      <c r="M784" s="2" t="s">
        <v>74</v>
      </c>
      <c r="N784" s="2" t="s">
        <v>74</v>
      </c>
      <c r="O784" s="2" t="s">
        <v>74</v>
      </c>
      <c r="P784" s="2" t="s">
        <v>74</v>
      </c>
      <c r="Q784" s="2" t="s">
        <v>74</v>
      </c>
      <c r="R784" s="2" t="s">
        <v>74</v>
      </c>
      <c r="S784" s="2" t="s">
        <v>74</v>
      </c>
      <c r="T784" s="2" t="s">
        <v>74</v>
      </c>
      <c r="U784" s="2" t="s">
        <v>74</v>
      </c>
      <c r="V784" s="5" t="s">
        <v>561</v>
      </c>
      <c r="W784" s="2" t="s">
        <v>74</v>
      </c>
      <c r="X784" s="2" t="s">
        <v>74</v>
      </c>
      <c r="Y784" s="2" t="s">
        <v>74</v>
      </c>
      <c r="Z784" s="2" t="s">
        <v>74</v>
      </c>
      <c r="AA784" s="2" t="s">
        <v>74</v>
      </c>
      <c r="AB784" s="2" t="s">
        <v>74</v>
      </c>
      <c r="AC784" s="2" t="s">
        <v>74</v>
      </c>
      <c r="AD784" s="2" t="s">
        <v>74</v>
      </c>
      <c r="AE784" s="2" t="s">
        <v>74</v>
      </c>
      <c r="AF784" s="2" t="s">
        <v>74</v>
      </c>
      <c r="AG784" s="2" t="s">
        <v>74</v>
      </c>
      <c r="AH784" s="2" t="s">
        <v>74</v>
      </c>
      <c r="AI784" s="2" t="s">
        <v>74</v>
      </c>
      <c r="AJ784" s="2" t="s">
        <v>74</v>
      </c>
      <c r="AK784" s="2" t="s">
        <v>74</v>
      </c>
      <c r="AL784" s="2" t="s">
        <v>74</v>
      </c>
      <c r="AM784" s="2" t="s">
        <v>74</v>
      </c>
      <c r="AN784" s="2" t="s">
        <v>74</v>
      </c>
      <c r="AO784" s="2" t="s">
        <v>132</v>
      </c>
      <c r="AP784" s="2" t="s">
        <v>133</v>
      </c>
      <c r="AQ784" s="2" t="s">
        <v>74</v>
      </c>
      <c r="AR784" s="2" t="s">
        <v>74</v>
      </c>
      <c r="AS784" s="2" t="s">
        <v>74</v>
      </c>
      <c r="AT784" s="2" t="s">
        <v>213</v>
      </c>
      <c r="AU784" s="2">
        <v>2005</v>
      </c>
      <c r="AV784" s="2">
        <v>59</v>
      </c>
      <c r="AW784" s="2">
        <v>1</v>
      </c>
      <c r="AX784" s="2" t="s">
        <v>74</v>
      </c>
      <c r="AY784" s="2" t="s">
        <v>74</v>
      </c>
      <c r="AZ784" s="2" t="s">
        <v>74</v>
      </c>
      <c r="BA784" s="2" t="s">
        <v>74</v>
      </c>
      <c r="BB784" s="2">
        <v>51</v>
      </c>
      <c r="BC784" s="2">
        <v>57</v>
      </c>
      <c r="BD784" s="2" t="s">
        <v>74</v>
      </c>
      <c r="BE784" s="2" t="s">
        <v>562</v>
      </c>
      <c r="BF784" s="2" t="str">
        <f>HYPERLINK("http://dx.doi.org/10.1007/s00265-005-0008-9","http://dx.doi.org/10.1007/s00265-005-0008-9")</f>
        <v>http://dx.doi.org/10.1007/s00265-005-0008-9</v>
      </c>
      <c r="BG784" s="2" t="s">
        <v>74</v>
      </c>
      <c r="BH784" s="2" t="s">
        <v>74</v>
      </c>
      <c r="BI784" s="2" t="s">
        <v>74</v>
      </c>
      <c r="BJ784" s="2" t="s">
        <v>74</v>
      </c>
      <c r="BK784" s="2" t="s">
        <v>74</v>
      </c>
      <c r="BL784" s="2" t="s">
        <v>74</v>
      </c>
      <c r="BM784" s="2" t="s">
        <v>74</v>
      </c>
      <c r="BN784" s="2" t="s">
        <v>74</v>
      </c>
      <c r="BO784" s="2" t="s">
        <v>74</v>
      </c>
      <c r="BP784" s="2" t="s">
        <v>74</v>
      </c>
      <c r="BQ784" s="2" t="s">
        <v>74</v>
      </c>
      <c r="BR784" s="2" t="s">
        <v>74</v>
      </c>
      <c r="BS784" s="2" t="s">
        <v>563</v>
      </c>
      <c r="BT784" s="2" t="str">
        <f>HYPERLINK("https%3A%2F%2Fwww.webofscience.com%2Fwos%2Fwoscc%2Ffull-record%2FWOS:000233242600008","View Full Record in Web of Science")</f>
        <v>View Full Record in Web of Science</v>
      </c>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row>
    <row r="785" spans="1:314" s="2" customFormat="1" x14ac:dyDescent="0.4">
      <c r="A785" s="2" t="s">
        <v>72</v>
      </c>
      <c r="B785" s="2" t="s">
        <v>3976</v>
      </c>
      <c r="C785" s="2" t="s">
        <v>74</v>
      </c>
      <c r="D785" s="2" t="s">
        <v>74</v>
      </c>
      <c r="E785" s="2" t="s">
        <v>74</v>
      </c>
      <c r="F785" s="2" t="s">
        <v>3976</v>
      </c>
      <c r="G785" s="2" t="s">
        <v>74</v>
      </c>
      <c r="H785" s="2" t="s">
        <v>74</v>
      </c>
      <c r="I785" s="2" t="s">
        <v>3977</v>
      </c>
      <c r="J785" s="2" t="s">
        <v>108</v>
      </c>
      <c r="K785" s="2" t="s">
        <v>74</v>
      </c>
      <c r="L785" s="2" t="s">
        <v>74</v>
      </c>
      <c r="M785" s="2" t="s">
        <v>74</v>
      </c>
      <c r="N785" s="2" t="s">
        <v>74</v>
      </c>
      <c r="O785" s="2" t="s">
        <v>74</v>
      </c>
      <c r="P785" s="2" t="s">
        <v>74</v>
      </c>
      <c r="Q785" s="2" t="s">
        <v>74</v>
      </c>
      <c r="R785" s="2" t="s">
        <v>74</v>
      </c>
      <c r="S785" s="2" t="s">
        <v>74</v>
      </c>
      <c r="T785" s="2" t="s">
        <v>74</v>
      </c>
      <c r="U785" s="2" t="s">
        <v>74</v>
      </c>
      <c r="V785" s="5" t="s">
        <v>3978</v>
      </c>
      <c r="W785" s="2" t="s">
        <v>74</v>
      </c>
      <c r="X785" s="2" t="s">
        <v>74</v>
      </c>
      <c r="Y785" s="2" t="s">
        <v>74</v>
      </c>
      <c r="Z785" s="2" t="s">
        <v>74</v>
      </c>
      <c r="AA785" s="2" t="s">
        <v>74</v>
      </c>
      <c r="AB785" s="2" t="s">
        <v>3979</v>
      </c>
      <c r="AC785" s="2" t="s">
        <v>74</v>
      </c>
      <c r="AD785" s="2" t="s">
        <v>74</v>
      </c>
      <c r="AE785" s="2" t="s">
        <v>74</v>
      </c>
      <c r="AF785" s="2" t="s">
        <v>74</v>
      </c>
      <c r="AG785" s="2" t="s">
        <v>74</v>
      </c>
      <c r="AH785" s="2" t="s">
        <v>74</v>
      </c>
      <c r="AI785" s="2" t="s">
        <v>74</v>
      </c>
      <c r="AJ785" s="2" t="s">
        <v>74</v>
      </c>
      <c r="AK785" s="2" t="s">
        <v>74</v>
      </c>
      <c r="AL785" s="2" t="s">
        <v>74</v>
      </c>
      <c r="AM785" s="2" t="s">
        <v>74</v>
      </c>
      <c r="AN785" s="2" t="s">
        <v>74</v>
      </c>
      <c r="AO785" s="2" t="s">
        <v>111</v>
      </c>
      <c r="AP785" s="2" t="s">
        <v>112</v>
      </c>
      <c r="AQ785" s="2" t="s">
        <v>74</v>
      </c>
      <c r="AR785" s="2" t="s">
        <v>74</v>
      </c>
      <c r="AS785" s="2" t="s">
        <v>74</v>
      </c>
      <c r="AT785" s="2" t="s">
        <v>3980</v>
      </c>
      <c r="AU785" s="2">
        <v>2003</v>
      </c>
      <c r="AV785" s="2">
        <v>270</v>
      </c>
      <c r="AW785" s="2">
        <v>1530</v>
      </c>
      <c r="AX785" s="2" t="s">
        <v>74</v>
      </c>
      <c r="AY785" s="2" t="s">
        <v>74</v>
      </c>
      <c r="AZ785" s="2" t="s">
        <v>74</v>
      </c>
      <c r="BA785" s="2" t="s">
        <v>74</v>
      </c>
      <c r="BB785" s="2">
        <v>2271</v>
      </c>
      <c r="BC785" s="2">
        <v>2277</v>
      </c>
      <c r="BD785" s="2" t="s">
        <v>74</v>
      </c>
      <c r="BE785" s="2" t="s">
        <v>3981</v>
      </c>
      <c r="BF785" s="2" t="str">
        <f>HYPERLINK("http://dx.doi.org/10.1098/rspb.2003.2510","http://dx.doi.org/10.1098/rspb.2003.2510")</f>
        <v>http://dx.doi.org/10.1098/rspb.2003.2510</v>
      </c>
      <c r="BG785" s="2" t="s">
        <v>74</v>
      </c>
      <c r="BH785" s="2" t="s">
        <v>74</v>
      </c>
      <c r="BI785" s="2" t="s">
        <v>74</v>
      </c>
      <c r="BJ785" s="2" t="s">
        <v>74</v>
      </c>
      <c r="BK785" s="2" t="s">
        <v>74</v>
      </c>
      <c r="BL785" s="2" t="s">
        <v>74</v>
      </c>
      <c r="BM785" s="2" t="s">
        <v>74</v>
      </c>
      <c r="BN785" s="2">
        <v>14613614</v>
      </c>
      <c r="BO785" s="2" t="s">
        <v>74</v>
      </c>
      <c r="BP785" s="2" t="s">
        <v>74</v>
      </c>
      <c r="BQ785" s="2" t="s">
        <v>74</v>
      </c>
      <c r="BR785" s="2" t="s">
        <v>74</v>
      </c>
      <c r="BS785" s="2" t="s">
        <v>3982</v>
      </c>
      <c r="BT785" s="2" t="str">
        <f>HYPERLINK("https%3A%2F%2Fwww.webofscience.com%2Fwos%2Fwoscc%2Ffull-record%2FWOS:000186630800010","View Full Record in Web of Science")</f>
        <v>View Full Record in Web of Science</v>
      </c>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row>
    <row r="786" spans="1:314" s="2" customFormat="1" x14ac:dyDescent="0.4">
      <c r="A786" s="2" t="s">
        <v>72</v>
      </c>
      <c r="B786" s="2" t="s">
        <v>3746</v>
      </c>
      <c r="C786" s="2" t="s">
        <v>74</v>
      </c>
      <c r="D786" s="2" t="s">
        <v>74</v>
      </c>
      <c r="E786" s="2" t="s">
        <v>74</v>
      </c>
      <c r="F786" s="2" t="s">
        <v>3747</v>
      </c>
      <c r="G786" s="2" t="s">
        <v>74</v>
      </c>
      <c r="H786" s="2" t="s">
        <v>74</v>
      </c>
      <c r="I786" s="2" t="s">
        <v>3748</v>
      </c>
      <c r="J786" s="2" t="s">
        <v>3089</v>
      </c>
      <c r="K786" s="2" t="s">
        <v>74</v>
      </c>
      <c r="L786" s="2" t="s">
        <v>74</v>
      </c>
      <c r="M786" s="2" t="s">
        <v>74</v>
      </c>
      <c r="N786" s="2" t="s">
        <v>74</v>
      </c>
      <c r="O786" s="2" t="s">
        <v>74</v>
      </c>
      <c r="P786" s="2" t="s">
        <v>74</v>
      </c>
      <c r="Q786" s="2" t="s">
        <v>74</v>
      </c>
      <c r="R786" s="2" t="s">
        <v>74</v>
      </c>
      <c r="S786" s="2" t="s">
        <v>74</v>
      </c>
      <c r="T786" s="2" t="s">
        <v>74</v>
      </c>
      <c r="U786" s="2" t="s">
        <v>74</v>
      </c>
      <c r="V786" s="5" t="s">
        <v>3749</v>
      </c>
      <c r="W786" s="2" t="s">
        <v>74</v>
      </c>
      <c r="X786" s="2" t="s">
        <v>74</v>
      </c>
      <c r="Y786" s="2" t="s">
        <v>74</v>
      </c>
      <c r="Z786" s="2" t="s">
        <v>74</v>
      </c>
      <c r="AA786" s="2" t="s">
        <v>3750</v>
      </c>
      <c r="AB786" s="2" t="s">
        <v>74</v>
      </c>
      <c r="AC786" s="2" t="s">
        <v>74</v>
      </c>
      <c r="AD786" s="2" t="s">
        <v>74</v>
      </c>
      <c r="AE786" s="2" t="s">
        <v>74</v>
      </c>
      <c r="AF786" s="2" t="s">
        <v>74</v>
      </c>
      <c r="AG786" s="2" t="s">
        <v>74</v>
      </c>
      <c r="AH786" s="2" t="s">
        <v>74</v>
      </c>
      <c r="AI786" s="2" t="s">
        <v>74</v>
      </c>
      <c r="AJ786" s="2" t="s">
        <v>74</v>
      </c>
      <c r="AK786" s="2" t="s">
        <v>74</v>
      </c>
      <c r="AL786" s="2" t="s">
        <v>74</v>
      </c>
      <c r="AM786" s="2" t="s">
        <v>74</v>
      </c>
      <c r="AN786" s="2" t="s">
        <v>74</v>
      </c>
      <c r="AO786" s="2" t="s">
        <v>3093</v>
      </c>
      <c r="AP786" s="2" t="s">
        <v>3094</v>
      </c>
      <c r="AQ786" s="2" t="s">
        <v>74</v>
      </c>
      <c r="AR786" s="2" t="s">
        <v>74</v>
      </c>
      <c r="AS786" s="2" t="s">
        <v>74</v>
      </c>
      <c r="AT786" s="2" t="s">
        <v>74</v>
      </c>
      <c r="AU786" s="2">
        <v>2006</v>
      </c>
      <c r="AV786" s="2">
        <v>24</v>
      </c>
      <c r="AW786" s="2">
        <v>3</v>
      </c>
      <c r="AX786" s="2" t="s">
        <v>74</v>
      </c>
      <c r="AY786" s="2" t="s">
        <v>74</v>
      </c>
      <c r="AZ786" s="2" t="s">
        <v>74</v>
      </c>
      <c r="BA786" s="2" t="s">
        <v>74</v>
      </c>
      <c r="BB786" s="2">
        <v>261</v>
      </c>
      <c r="BC786" s="2">
        <v>266</v>
      </c>
      <c r="BD786" s="2" t="s">
        <v>74</v>
      </c>
      <c r="BE786" s="2" t="s">
        <v>3751</v>
      </c>
      <c r="BF786" s="2" t="str">
        <f>HYPERLINK("http://dx.doi.org/10.1007/s10164-005-0187-x","http://dx.doi.org/10.1007/s10164-005-0187-x")</f>
        <v>http://dx.doi.org/10.1007/s10164-005-0187-x</v>
      </c>
      <c r="BG786" s="2" t="s">
        <v>74</v>
      </c>
      <c r="BH786" s="2" t="s">
        <v>74</v>
      </c>
      <c r="BI786" s="2" t="s">
        <v>74</v>
      </c>
      <c r="BJ786" s="2" t="s">
        <v>74</v>
      </c>
      <c r="BK786" s="2" t="s">
        <v>74</v>
      </c>
      <c r="BL786" s="2" t="s">
        <v>74</v>
      </c>
      <c r="BM786" s="2" t="s">
        <v>74</v>
      </c>
      <c r="BN786" s="2" t="s">
        <v>74</v>
      </c>
      <c r="BO786" s="2" t="s">
        <v>74</v>
      </c>
      <c r="BP786" s="2" t="s">
        <v>74</v>
      </c>
      <c r="BQ786" s="2" t="s">
        <v>74</v>
      </c>
      <c r="BR786" s="2" t="s">
        <v>74</v>
      </c>
      <c r="BS786" s="2" t="s">
        <v>3752</v>
      </c>
      <c r="BT786" s="2" t="str">
        <f>HYPERLINK("https%3A%2F%2Fwww.webofscience.com%2Fwos%2Fwoscc%2Ffull-record%2FWOS:000239427700009","View Full Record in Web of Science")</f>
        <v>View Full Record in Web of Science</v>
      </c>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row>
    <row r="787" spans="1:314" s="2" customFormat="1" x14ac:dyDescent="0.4">
      <c r="A787" s="2" t="s">
        <v>72</v>
      </c>
      <c r="B787" s="2" t="s">
        <v>7154</v>
      </c>
      <c r="C787" s="2" t="s">
        <v>74</v>
      </c>
      <c r="D787" s="2" t="s">
        <v>74</v>
      </c>
      <c r="E787" s="2" t="s">
        <v>74</v>
      </c>
      <c r="F787" s="2" t="s">
        <v>7155</v>
      </c>
      <c r="G787" s="2" t="s">
        <v>74</v>
      </c>
      <c r="H787" s="2" t="s">
        <v>74</v>
      </c>
      <c r="I787" s="2" t="s">
        <v>7156</v>
      </c>
      <c r="J787" s="2" t="s">
        <v>610</v>
      </c>
      <c r="K787" s="2" t="s">
        <v>74</v>
      </c>
      <c r="L787" s="2" t="s">
        <v>74</v>
      </c>
      <c r="M787" s="2" t="s">
        <v>74</v>
      </c>
      <c r="N787" s="2" t="s">
        <v>74</v>
      </c>
      <c r="O787" s="2" t="s">
        <v>74</v>
      </c>
      <c r="P787" s="2" t="s">
        <v>74</v>
      </c>
      <c r="Q787" s="2" t="s">
        <v>74</v>
      </c>
      <c r="R787" s="2" t="s">
        <v>74</v>
      </c>
      <c r="S787" s="2" t="s">
        <v>74</v>
      </c>
      <c r="T787" s="2" t="s">
        <v>74</v>
      </c>
      <c r="U787" s="2" t="s">
        <v>74</v>
      </c>
      <c r="V787" s="5" t="s">
        <v>7157</v>
      </c>
      <c r="W787" s="2" t="s">
        <v>74</v>
      </c>
      <c r="X787" s="2" t="s">
        <v>74</v>
      </c>
      <c r="Y787" s="2" t="s">
        <v>74</v>
      </c>
      <c r="Z787" s="2" t="s">
        <v>74</v>
      </c>
      <c r="AA787" s="2" t="s">
        <v>7158</v>
      </c>
      <c r="AB787" s="2" t="s">
        <v>7159</v>
      </c>
      <c r="AC787" s="2" t="s">
        <v>74</v>
      </c>
      <c r="AD787" s="2" t="s">
        <v>74</v>
      </c>
      <c r="AE787" s="2" t="s">
        <v>74</v>
      </c>
      <c r="AF787" s="2" t="s">
        <v>74</v>
      </c>
      <c r="AG787" s="2" t="s">
        <v>74</v>
      </c>
      <c r="AH787" s="2" t="s">
        <v>74</v>
      </c>
      <c r="AI787" s="2" t="s">
        <v>74</v>
      </c>
      <c r="AJ787" s="2" t="s">
        <v>74</v>
      </c>
      <c r="AK787" s="2" t="s">
        <v>74</v>
      </c>
      <c r="AL787" s="2" t="s">
        <v>74</v>
      </c>
      <c r="AM787" s="2" t="s">
        <v>74</v>
      </c>
      <c r="AN787" s="2" t="s">
        <v>74</v>
      </c>
      <c r="AO787" s="2" t="s">
        <v>614</v>
      </c>
      <c r="AP787" s="2" t="s">
        <v>615</v>
      </c>
      <c r="AQ787" s="2" t="s">
        <v>74</v>
      </c>
      <c r="AR787" s="2" t="s">
        <v>74</v>
      </c>
      <c r="AS787" s="2" t="s">
        <v>74</v>
      </c>
      <c r="AT787" s="2" t="s">
        <v>102</v>
      </c>
      <c r="AU787" s="2">
        <v>2014</v>
      </c>
      <c r="AV787" s="2">
        <v>120</v>
      </c>
      <c r="AW787" s="2">
        <v>6</v>
      </c>
      <c r="AX787" s="2" t="s">
        <v>74</v>
      </c>
      <c r="AY787" s="2" t="s">
        <v>74</v>
      </c>
      <c r="AZ787" s="2" t="s">
        <v>74</v>
      </c>
      <c r="BA787" s="2" t="s">
        <v>74</v>
      </c>
      <c r="BB787" s="2">
        <v>616</v>
      </c>
      <c r="BC787" s="2">
        <v>626</v>
      </c>
      <c r="BD787" s="2" t="s">
        <v>74</v>
      </c>
      <c r="BE787" s="2" t="s">
        <v>7160</v>
      </c>
      <c r="BF787" s="2" t="str">
        <f>HYPERLINK("http://dx.doi.org/10.1111/eth.12234","http://dx.doi.org/10.1111/eth.12234")</f>
        <v>http://dx.doi.org/10.1111/eth.12234</v>
      </c>
      <c r="BG787" s="2" t="s">
        <v>74</v>
      </c>
      <c r="BH787" s="2" t="s">
        <v>74</v>
      </c>
      <c r="BI787" s="2" t="s">
        <v>74</v>
      </c>
      <c r="BJ787" s="2" t="s">
        <v>74</v>
      </c>
      <c r="BK787" s="2" t="s">
        <v>74</v>
      </c>
      <c r="BL787" s="2" t="s">
        <v>74</v>
      </c>
      <c r="BM787" s="2" t="s">
        <v>74</v>
      </c>
      <c r="BN787" s="2" t="s">
        <v>74</v>
      </c>
      <c r="BO787" s="2" t="s">
        <v>74</v>
      </c>
      <c r="BP787" s="2" t="s">
        <v>74</v>
      </c>
      <c r="BQ787" s="2" t="s">
        <v>74</v>
      </c>
      <c r="BR787" s="2" t="s">
        <v>74</v>
      </c>
      <c r="BS787" s="2" t="s">
        <v>7161</v>
      </c>
      <c r="BT787" s="2" t="str">
        <f>HYPERLINK("https%3A%2F%2Fwww.webofscience.com%2Fwos%2Fwoscc%2Ffull-record%2FWOS:000334692600010","View Full Record in Web of Science")</f>
        <v>View Full Record in Web of Science</v>
      </c>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row>
    <row r="788" spans="1:314" s="2" customFormat="1" x14ac:dyDescent="0.4">
      <c r="A788" s="2" t="s">
        <v>72</v>
      </c>
      <c r="B788" s="2" t="s">
        <v>8357</v>
      </c>
      <c r="C788" s="2" t="s">
        <v>74</v>
      </c>
      <c r="D788" s="2" t="s">
        <v>74</v>
      </c>
      <c r="E788" s="2" t="s">
        <v>74</v>
      </c>
      <c r="F788" s="2" t="s">
        <v>8358</v>
      </c>
      <c r="G788" s="2" t="s">
        <v>74</v>
      </c>
      <c r="H788" s="2" t="s">
        <v>74</v>
      </c>
      <c r="I788" s="2" t="s">
        <v>8359</v>
      </c>
      <c r="J788" s="2" t="s">
        <v>1803</v>
      </c>
      <c r="K788" s="2" t="s">
        <v>74</v>
      </c>
      <c r="L788" s="2" t="s">
        <v>74</v>
      </c>
      <c r="M788" s="2" t="s">
        <v>74</v>
      </c>
      <c r="N788" s="2" t="s">
        <v>74</v>
      </c>
      <c r="O788" s="2" t="s">
        <v>74</v>
      </c>
      <c r="P788" s="2" t="s">
        <v>74</v>
      </c>
      <c r="Q788" s="2" t="s">
        <v>74</v>
      </c>
      <c r="R788" s="2" t="s">
        <v>74</v>
      </c>
      <c r="S788" s="2" t="s">
        <v>74</v>
      </c>
      <c r="T788" s="2" t="s">
        <v>74</v>
      </c>
      <c r="U788" s="2" t="s">
        <v>74</v>
      </c>
      <c r="V788" s="5" t="s">
        <v>8360</v>
      </c>
      <c r="W788" s="2" t="s">
        <v>74</v>
      </c>
      <c r="X788" s="2" t="s">
        <v>74</v>
      </c>
      <c r="Y788" s="2" t="s">
        <v>74</v>
      </c>
      <c r="Z788" s="2" t="s">
        <v>74</v>
      </c>
      <c r="AA788" s="2" t="s">
        <v>8361</v>
      </c>
      <c r="AB788" s="2" t="s">
        <v>8362</v>
      </c>
      <c r="AC788" s="2" t="s">
        <v>74</v>
      </c>
      <c r="AD788" s="2" t="s">
        <v>74</v>
      </c>
      <c r="AE788" s="2" t="s">
        <v>74</v>
      </c>
      <c r="AF788" s="2" t="s">
        <v>74</v>
      </c>
      <c r="AG788" s="2" t="s">
        <v>74</v>
      </c>
      <c r="AH788" s="2" t="s">
        <v>74</v>
      </c>
      <c r="AI788" s="2" t="s">
        <v>74</v>
      </c>
      <c r="AJ788" s="2" t="s">
        <v>74</v>
      </c>
      <c r="AK788" s="2" t="s">
        <v>74</v>
      </c>
      <c r="AL788" s="2" t="s">
        <v>74</v>
      </c>
      <c r="AM788" s="2" t="s">
        <v>74</v>
      </c>
      <c r="AN788" s="2" t="s">
        <v>74</v>
      </c>
      <c r="AO788" s="2" t="s">
        <v>1807</v>
      </c>
      <c r="AP788" s="2" t="s">
        <v>1808</v>
      </c>
      <c r="AQ788" s="2" t="s">
        <v>74</v>
      </c>
      <c r="AR788" s="2" t="s">
        <v>74</v>
      </c>
      <c r="AS788" s="2" t="s">
        <v>74</v>
      </c>
      <c r="AT788" s="2" t="s">
        <v>175</v>
      </c>
      <c r="AU788" s="2">
        <v>2007</v>
      </c>
      <c r="AV788" s="2">
        <v>21</v>
      </c>
      <c r="AW788" s="2">
        <v>5</v>
      </c>
      <c r="AX788" s="2" t="s">
        <v>74</v>
      </c>
      <c r="AY788" s="2" t="s">
        <v>74</v>
      </c>
      <c r="AZ788" s="2" t="s">
        <v>74</v>
      </c>
      <c r="BA788" s="2" t="s">
        <v>74</v>
      </c>
      <c r="BB788" s="2">
        <v>886</v>
      </c>
      <c r="BC788" s="2">
        <v>898</v>
      </c>
      <c r="BD788" s="2" t="s">
        <v>74</v>
      </c>
      <c r="BE788" s="2" t="s">
        <v>8363</v>
      </c>
      <c r="BF788" s="2" t="str">
        <f>HYPERLINK("http://dx.doi.org/10.1111/j.1365-2435.2007.01302.x","http://dx.doi.org/10.1111/j.1365-2435.2007.01302.x")</f>
        <v>http://dx.doi.org/10.1111/j.1365-2435.2007.01302.x</v>
      </c>
      <c r="BG788" s="2" t="s">
        <v>74</v>
      </c>
      <c r="BH788" s="2" t="s">
        <v>74</v>
      </c>
      <c r="BI788" s="2" t="s">
        <v>74</v>
      </c>
      <c r="BJ788" s="2" t="s">
        <v>74</v>
      </c>
      <c r="BK788" s="2" t="s">
        <v>74</v>
      </c>
      <c r="BL788" s="2" t="s">
        <v>74</v>
      </c>
      <c r="BM788" s="2" t="s">
        <v>74</v>
      </c>
      <c r="BN788" s="2" t="s">
        <v>74</v>
      </c>
      <c r="BO788" s="2" t="s">
        <v>74</v>
      </c>
      <c r="BP788" s="2" t="s">
        <v>74</v>
      </c>
      <c r="BQ788" s="2" t="s">
        <v>74</v>
      </c>
      <c r="BR788" s="2" t="s">
        <v>74</v>
      </c>
      <c r="BS788" s="2" t="s">
        <v>8364</v>
      </c>
      <c r="BT788" s="2" t="str">
        <f>HYPERLINK("https%3A%2F%2Fwww.webofscience.com%2Fwos%2Fwoscc%2Ffull-record%2FWOS:000249165000008","View Full Record in Web of Science")</f>
        <v>View Full Record in Web of Science</v>
      </c>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row>
    <row r="789" spans="1:314" s="2" customFormat="1" x14ac:dyDescent="0.4">
      <c r="A789" s="2" t="s">
        <v>72</v>
      </c>
      <c r="B789" s="2" t="s">
        <v>5362</v>
      </c>
      <c r="C789" s="2" t="s">
        <v>74</v>
      </c>
      <c r="D789" s="2" t="s">
        <v>74</v>
      </c>
      <c r="E789" s="2" t="s">
        <v>74</v>
      </c>
      <c r="F789" s="2" t="s">
        <v>5362</v>
      </c>
      <c r="G789" s="2" t="s">
        <v>74</v>
      </c>
      <c r="H789" s="2" t="s">
        <v>74</v>
      </c>
      <c r="I789" s="2" t="s">
        <v>5363</v>
      </c>
      <c r="J789" s="2" t="s">
        <v>140</v>
      </c>
      <c r="K789" s="2" t="s">
        <v>74</v>
      </c>
      <c r="L789" s="2" t="s">
        <v>74</v>
      </c>
      <c r="M789" s="2" t="s">
        <v>74</v>
      </c>
      <c r="N789" s="2" t="s">
        <v>74</v>
      </c>
      <c r="O789" s="2" t="s">
        <v>74</v>
      </c>
      <c r="P789" s="2" t="s">
        <v>74</v>
      </c>
      <c r="Q789" s="2" t="s">
        <v>74</v>
      </c>
      <c r="R789" s="2" t="s">
        <v>74</v>
      </c>
      <c r="S789" s="2" t="s">
        <v>74</v>
      </c>
      <c r="T789" s="2" t="s">
        <v>74</v>
      </c>
      <c r="U789" s="2" t="s">
        <v>74</v>
      </c>
      <c r="V789" s="5" t="s">
        <v>5364</v>
      </c>
      <c r="W789" s="2" t="s">
        <v>74</v>
      </c>
      <c r="X789" s="2" t="s">
        <v>74</v>
      </c>
      <c r="Y789" s="2" t="s">
        <v>74</v>
      </c>
      <c r="Z789" s="2" t="s">
        <v>74</v>
      </c>
      <c r="AA789" s="2" t="s">
        <v>5365</v>
      </c>
      <c r="AB789" s="2" t="s">
        <v>5366</v>
      </c>
      <c r="AC789" s="2" t="s">
        <v>74</v>
      </c>
      <c r="AD789" s="2" t="s">
        <v>74</v>
      </c>
      <c r="AE789" s="2" t="s">
        <v>74</v>
      </c>
      <c r="AF789" s="2" t="s">
        <v>74</v>
      </c>
      <c r="AG789" s="2" t="s">
        <v>74</v>
      </c>
      <c r="AH789" s="2" t="s">
        <v>74</v>
      </c>
      <c r="AI789" s="2" t="s">
        <v>74</v>
      </c>
      <c r="AJ789" s="2" t="s">
        <v>74</v>
      </c>
      <c r="AK789" s="2" t="s">
        <v>74</v>
      </c>
      <c r="AL789" s="2" t="s">
        <v>74</v>
      </c>
      <c r="AM789" s="2" t="s">
        <v>74</v>
      </c>
      <c r="AN789" s="2" t="s">
        <v>74</v>
      </c>
      <c r="AO789" s="2" t="s">
        <v>143</v>
      </c>
      <c r="AP789" s="2" t="s">
        <v>144</v>
      </c>
      <c r="AQ789" s="2" t="s">
        <v>74</v>
      </c>
      <c r="AR789" s="2" t="s">
        <v>74</v>
      </c>
      <c r="AS789" s="2" t="s">
        <v>74</v>
      </c>
      <c r="AT789" s="2" t="s">
        <v>255</v>
      </c>
      <c r="AU789" s="2">
        <v>2006</v>
      </c>
      <c r="AV789" s="2">
        <v>71</v>
      </c>
      <c r="AW789" s="2" t="s">
        <v>74</v>
      </c>
      <c r="AX789" s="2">
        <v>1</v>
      </c>
      <c r="AY789" s="2" t="s">
        <v>74</v>
      </c>
      <c r="AZ789" s="2" t="s">
        <v>74</v>
      </c>
      <c r="BA789" s="2" t="s">
        <v>74</v>
      </c>
      <c r="BB789" s="2">
        <v>101</v>
      </c>
      <c r="BC789" s="2">
        <v>108</v>
      </c>
      <c r="BD789" s="2" t="s">
        <v>74</v>
      </c>
      <c r="BE789" s="2" t="s">
        <v>5367</v>
      </c>
      <c r="BF789" s="2" t="str">
        <f>HYPERLINK("http://dx.doi.org/10.1016/j.anbehav.2005.03.036","http://dx.doi.org/10.1016/j.anbehav.2005.03.036")</f>
        <v>http://dx.doi.org/10.1016/j.anbehav.2005.03.036</v>
      </c>
      <c r="BG789" s="2" t="s">
        <v>74</v>
      </c>
      <c r="BH789" s="2" t="s">
        <v>74</v>
      </c>
      <c r="BI789" s="2" t="s">
        <v>74</v>
      </c>
      <c r="BJ789" s="2" t="s">
        <v>74</v>
      </c>
      <c r="BK789" s="2" t="s">
        <v>74</v>
      </c>
      <c r="BL789" s="2" t="s">
        <v>74</v>
      </c>
      <c r="BM789" s="2" t="s">
        <v>74</v>
      </c>
      <c r="BN789" s="2" t="s">
        <v>74</v>
      </c>
      <c r="BO789" s="2" t="s">
        <v>74</v>
      </c>
      <c r="BP789" s="2" t="s">
        <v>74</v>
      </c>
      <c r="BQ789" s="2" t="s">
        <v>74</v>
      </c>
      <c r="BR789" s="2" t="s">
        <v>74</v>
      </c>
      <c r="BS789" s="2" t="s">
        <v>5368</v>
      </c>
      <c r="BT789" s="2" t="str">
        <f>HYPERLINK("https%3A%2F%2Fwww.webofscience.com%2Fwos%2Fwoscc%2Ffull-record%2FWOS:000234764500010","View Full Record in Web of Science")</f>
        <v>View Full Record in Web of Science</v>
      </c>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row>
    <row r="790" spans="1:314" s="2" customFormat="1" x14ac:dyDescent="0.4">
      <c r="A790" s="2" t="s">
        <v>72</v>
      </c>
      <c r="B790" s="2" t="s">
        <v>5666</v>
      </c>
      <c r="C790" s="2" t="s">
        <v>74</v>
      </c>
      <c r="D790" s="2" t="s">
        <v>74</v>
      </c>
      <c r="E790" s="2" t="s">
        <v>74</v>
      </c>
      <c r="F790" s="2" t="s">
        <v>5667</v>
      </c>
      <c r="G790" s="2" t="s">
        <v>74</v>
      </c>
      <c r="H790" s="2" t="s">
        <v>74</v>
      </c>
      <c r="I790" s="2" t="s">
        <v>5668</v>
      </c>
      <c r="J790" s="2" t="s">
        <v>88</v>
      </c>
      <c r="K790" s="2" t="s">
        <v>74</v>
      </c>
      <c r="L790" s="2" t="s">
        <v>74</v>
      </c>
      <c r="M790" s="2" t="s">
        <v>74</v>
      </c>
      <c r="N790" s="2" t="s">
        <v>74</v>
      </c>
      <c r="O790" s="2" t="s">
        <v>74</v>
      </c>
      <c r="P790" s="2" t="s">
        <v>74</v>
      </c>
      <c r="Q790" s="2" t="s">
        <v>74</v>
      </c>
      <c r="R790" s="2" t="s">
        <v>74</v>
      </c>
      <c r="S790" s="2" t="s">
        <v>74</v>
      </c>
      <c r="T790" s="2" t="s">
        <v>74</v>
      </c>
      <c r="U790" s="2" t="s">
        <v>74</v>
      </c>
      <c r="V790" s="5" t="s">
        <v>5669</v>
      </c>
      <c r="W790" s="2" t="s">
        <v>74</v>
      </c>
      <c r="X790" s="2" t="s">
        <v>74</v>
      </c>
      <c r="Y790" s="2" t="s">
        <v>74</v>
      </c>
      <c r="Z790" s="2" t="s">
        <v>74</v>
      </c>
      <c r="AA790" s="2" t="s">
        <v>74</v>
      </c>
      <c r="AB790" s="2" t="s">
        <v>5670</v>
      </c>
      <c r="AC790" s="2" t="s">
        <v>74</v>
      </c>
      <c r="AD790" s="2" t="s">
        <v>74</v>
      </c>
      <c r="AE790" s="2" t="s">
        <v>74</v>
      </c>
      <c r="AF790" s="2" t="s">
        <v>74</v>
      </c>
      <c r="AG790" s="2" t="s">
        <v>74</v>
      </c>
      <c r="AH790" s="2" t="s">
        <v>74</v>
      </c>
      <c r="AI790" s="2" t="s">
        <v>74</v>
      </c>
      <c r="AJ790" s="2" t="s">
        <v>74</v>
      </c>
      <c r="AK790" s="2" t="s">
        <v>74</v>
      </c>
      <c r="AL790" s="2" t="s">
        <v>74</v>
      </c>
      <c r="AM790" s="2" t="s">
        <v>74</v>
      </c>
      <c r="AN790" s="2" t="s">
        <v>74</v>
      </c>
      <c r="AO790" s="2" t="s">
        <v>91</v>
      </c>
      <c r="AP790" s="2" t="s">
        <v>92</v>
      </c>
      <c r="AQ790" s="2" t="s">
        <v>74</v>
      </c>
      <c r="AR790" s="2" t="s">
        <v>74</v>
      </c>
      <c r="AS790" s="2" t="s">
        <v>74</v>
      </c>
      <c r="AT790" s="2" t="s">
        <v>5044</v>
      </c>
      <c r="AU790" s="2">
        <v>2023</v>
      </c>
      <c r="AV790" s="2">
        <v>19</v>
      </c>
      <c r="AW790" s="2">
        <v>5</v>
      </c>
      <c r="AX790" s="2" t="s">
        <v>74</v>
      </c>
      <c r="AY790" s="2" t="s">
        <v>74</v>
      </c>
      <c r="AZ790" s="2" t="s">
        <v>74</v>
      </c>
      <c r="BA790" s="2" t="s">
        <v>74</v>
      </c>
      <c r="BB790" s="2" t="s">
        <v>74</v>
      </c>
      <c r="BC790" s="2" t="s">
        <v>74</v>
      </c>
      <c r="BD790" s="2">
        <v>20220490</v>
      </c>
      <c r="BE790" s="2" t="s">
        <v>5671</v>
      </c>
      <c r="BF790" s="2" t="str">
        <f>HYPERLINK("http://dx.doi.org/10.1098/rsbl.2022.0490","http://dx.doi.org/10.1098/rsbl.2022.0490")</f>
        <v>http://dx.doi.org/10.1098/rsbl.2022.0490</v>
      </c>
      <c r="BG790" s="2" t="s">
        <v>74</v>
      </c>
      <c r="BH790" s="2" t="s">
        <v>74</v>
      </c>
      <c r="BI790" s="2" t="s">
        <v>74</v>
      </c>
      <c r="BJ790" s="2" t="s">
        <v>74</v>
      </c>
      <c r="BK790" s="2" t="s">
        <v>74</v>
      </c>
      <c r="BL790" s="2" t="s">
        <v>74</v>
      </c>
      <c r="BM790" s="2" t="s">
        <v>74</v>
      </c>
      <c r="BN790" s="2">
        <v>37194257</v>
      </c>
      <c r="BO790" s="2" t="s">
        <v>74</v>
      </c>
      <c r="BP790" s="2" t="s">
        <v>74</v>
      </c>
      <c r="BQ790" s="2" t="s">
        <v>74</v>
      </c>
      <c r="BR790" s="2" t="s">
        <v>74</v>
      </c>
      <c r="BS790" s="2" t="s">
        <v>5672</v>
      </c>
      <c r="BT790" s="2" t="str">
        <f>HYPERLINK("https%3A%2F%2Fwww.webofscience.com%2Fwos%2Fwoscc%2Ffull-record%2FWOS:000988392000001","View Full Record in Web of Science")</f>
        <v>View Full Record in Web of Science</v>
      </c>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row>
    <row r="791" spans="1:314" s="7" customFormat="1" x14ac:dyDescent="0.4">
      <c r="A791" s="2" t="s">
        <v>72</v>
      </c>
      <c r="B791" s="2" t="s">
        <v>5614</v>
      </c>
      <c r="C791" s="2" t="s">
        <v>74</v>
      </c>
      <c r="D791" s="2" t="s">
        <v>74</v>
      </c>
      <c r="E791" s="2" t="s">
        <v>74</v>
      </c>
      <c r="F791" s="2" t="s">
        <v>5614</v>
      </c>
      <c r="G791" s="2" t="s">
        <v>74</v>
      </c>
      <c r="H791" s="2" t="s">
        <v>74</v>
      </c>
      <c r="I791" s="2" t="s">
        <v>5615</v>
      </c>
      <c r="J791" s="2" t="s">
        <v>344</v>
      </c>
      <c r="K791" s="2" t="s">
        <v>74</v>
      </c>
      <c r="L791" s="2" t="s">
        <v>74</v>
      </c>
      <c r="M791" s="2" t="s">
        <v>74</v>
      </c>
      <c r="N791" s="2" t="s">
        <v>74</v>
      </c>
      <c r="O791" s="2" t="s">
        <v>74</v>
      </c>
      <c r="P791" s="2" t="s">
        <v>74</v>
      </c>
      <c r="Q791" s="2" t="s">
        <v>74</v>
      </c>
      <c r="R791" s="2" t="s">
        <v>74</v>
      </c>
      <c r="S791" s="2" t="s">
        <v>74</v>
      </c>
      <c r="T791" s="2" t="s">
        <v>74</v>
      </c>
      <c r="U791" s="2" t="s">
        <v>74</v>
      </c>
      <c r="V791" s="5" t="s">
        <v>5616</v>
      </c>
      <c r="W791" s="2" t="s">
        <v>74</v>
      </c>
      <c r="X791" s="2" t="s">
        <v>74</v>
      </c>
      <c r="Y791" s="2" t="s">
        <v>74</v>
      </c>
      <c r="Z791" s="2" t="s">
        <v>74</v>
      </c>
      <c r="AA791" s="2" t="s">
        <v>74</v>
      </c>
      <c r="AB791" s="2" t="s">
        <v>74</v>
      </c>
      <c r="AC791" s="2" t="s">
        <v>74</v>
      </c>
      <c r="AD791" s="2" t="s">
        <v>74</v>
      </c>
      <c r="AE791" s="2" t="s">
        <v>74</v>
      </c>
      <c r="AF791" s="2" t="s">
        <v>74</v>
      </c>
      <c r="AG791" s="2" t="s">
        <v>74</v>
      </c>
      <c r="AH791" s="2" t="s">
        <v>74</v>
      </c>
      <c r="AI791" s="2" t="s">
        <v>74</v>
      </c>
      <c r="AJ791" s="2" t="s">
        <v>74</v>
      </c>
      <c r="AK791" s="2" t="s">
        <v>74</v>
      </c>
      <c r="AL791" s="2" t="s">
        <v>74</v>
      </c>
      <c r="AM791" s="2" t="s">
        <v>74</v>
      </c>
      <c r="AN791" s="2" t="s">
        <v>74</v>
      </c>
      <c r="AO791" s="2" t="s">
        <v>346</v>
      </c>
      <c r="AP791" s="2" t="s">
        <v>74</v>
      </c>
      <c r="AQ791" s="2" t="s">
        <v>74</v>
      </c>
      <c r="AR791" s="2" t="s">
        <v>74</v>
      </c>
      <c r="AS791" s="2" t="s">
        <v>74</v>
      </c>
      <c r="AT791" s="2" t="s">
        <v>102</v>
      </c>
      <c r="AU791" s="2">
        <v>1994</v>
      </c>
      <c r="AV791" s="2">
        <v>40</v>
      </c>
      <c r="AW791" s="2">
        <v>2</v>
      </c>
      <c r="AX791" s="2" t="s">
        <v>74</v>
      </c>
      <c r="AY791" s="2" t="s">
        <v>74</v>
      </c>
      <c r="AZ791" s="2" t="s">
        <v>74</v>
      </c>
      <c r="BA791" s="2" t="s">
        <v>74</v>
      </c>
      <c r="BB791" s="2">
        <v>175</v>
      </c>
      <c r="BC791" s="2">
        <v>188</v>
      </c>
      <c r="BD791" s="2" t="s">
        <v>74</v>
      </c>
      <c r="BE791" s="2" t="s">
        <v>5617</v>
      </c>
      <c r="BF791" s="2" t="str">
        <f>HYPERLINK("http://dx.doi.org/10.1007/BF00002544","http://dx.doi.org/10.1007/BF00002544")</f>
        <v>http://dx.doi.org/10.1007/BF00002544</v>
      </c>
      <c r="BG791" s="2" t="s">
        <v>74</v>
      </c>
      <c r="BH791" s="2" t="s">
        <v>74</v>
      </c>
      <c r="BI791" s="2" t="s">
        <v>74</v>
      </c>
      <c r="BJ791" s="2" t="s">
        <v>74</v>
      </c>
      <c r="BK791" s="2" t="s">
        <v>74</v>
      </c>
      <c r="BL791" s="2" t="s">
        <v>74</v>
      </c>
      <c r="BM791" s="2" t="s">
        <v>74</v>
      </c>
      <c r="BN791" s="2" t="s">
        <v>74</v>
      </c>
      <c r="BO791" s="2" t="s">
        <v>74</v>
      </c>
      <c r="BP791" s="2" t="s">
        <v>74</v>
      </c>
      <c r="BQ791" s="2" t="s">
        <v>74</v>
      </c>
      <c r="BR791" s="2" t="s">
        <v>74</v>
      </c>
      <c r="BS791" s="2" t="s">
        <v>5618</v>
      </c>
      <c r="BT791" s="2" t="str">
        <f>HYPERLINK("https%3A%2F%2Fwww.webofscience.com%2Fwos%2Fwoscc%2Ffull-record%2FWOS:A1994NN69200007","View Full Record in Web of Science")</f>
        <v>View Full Record in Web of Science</v>
      </c>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row>
    <row r="792" spans="1:314" s="2" customFormat="1" x14ac:dyDescent="0.4">
      <c r="A792" s="2" t="s">
        <v>72</v>
      </c>
      <c r="B792" s="2" t="s">
        <v>6231</v>
      </c>
      <c r="C792" s="2" t="s">
        <v>74</v>
      </c>
      <c r="D792" s="2" t="s">
        <v>74</v>
      </c>
      <c r="E792" s="2" t="s">
        <v>74</v>
      </c>
      <c r="F792" s="2" t="s">
        <v>6232</v>
      </c>
      <c r="G792" s="2" t="s">
        <v>74</v>
      </c>
      <c r="H792" s="2" t="s">
        <v>74</v>
      </c>
      <c r="I792" s="2" t="s">
        <v>6233</v>
      </c>
      <c r="J792" s="2" t="s">
        <v>218</v>
      </c>
      <c r="K792" s="2" t="s">
        <v>74</v>
      </c>
      <c r="L792" s="2" t="s">
        <v>74</v>
      </c>
      <c r="M792" s="2" t="s">
        <v>74</v>
      </c>
      <c r="N792" s="2" t="s">
        <v>74</v>
      </c>
      <c r="O792" s="2" t="s">
        <v>74</v>
      </c>
      <c r="P792" s="2" t="s">
        <v>74</v>
      </c>
      <c r="Q792" s="2" t="s">
        <v>74</v>
      </c>
      <c r="R792" s="2" t="s">
        <v>74</v>
      </c>
      <c r="S792" s="2" t="s">
        <v>74</v>
      </c>
      <c r="T792" s="2" t="s">
        <v>74</v>
      </c>
      <c r="U792" s="2" t="s">
        <v>74</v>
      </c>
      <c r="V792" s="5" t="s">
        <v>6234</v>
      </c>
      <c r="W792" s="2" t="s">
        <v>74</v>
      </c>
      <c r="X792" s="2" t="s">
        <v>74</v>
      </c>
      <c r="Y792" s="2" t="s">
        <v>74</v>
      </c>
      <c r="Z792" s="2" t="s">
        <v>74</v>
      </c>
      <c r="AA792" s="2" t="s">
        <v>6235</v>
      </c>
      <c r="AB792" s="2" t="s">
        <v>74</v>
      </c>
      <c r="AC792" s="2" t="s">
        <v>74</v>
      </c>
      <c r="AD792" s="2" t="s">
        <v>74</v>
      </c>
      <c r="AE792" s="2" t="s">
        <v>74</v>
      </c>
      <c r="AF792" s="2" t="s">
        <v>74</v>
      </c>
      <c r="AG792" s="2" t="s">
        <v>74</v>
      </c>
      <c r="AH792" s="2" t="s">
        <v>74</v>
      </c>
      <c r="AI792" s="2" t="s">
        <v>74</v>
      </c>
      <c r="AJ792" s="2" t="s">
        <v>74</v>
      </c>
      <c r="AK792" s="2" t="s">
        <v>74</v>
      </c>
      <c r="AL792" s="2" t="s">
        <v>74</v>
      </c>
      <c r="AM792" s="2" t="s">
        <v>74</v>
      </c>
      <c r="AN792" s="2" t="s">
        <v>74</v>
      </c>
      <c r="AO792" s="2" t="s">
        <v>221</v>
      </c>
      <c r="AP792" s="2" t="s">
        <v>222</v>
      </c>
      <c r="AQ792" s="2" t="s">
        <v>74</v>
      </c>
      <c r="AR792" s="2" t="s">
        <v>74</v>
      </c>
      <c r="AS792" s="2" t="s">
        <v>74</v>
      </c>
      <c r="AT792" s="2" t="s">
        <v>204</v>
      </c>
      <c r="AU792" s="2">
        <v>2007</v>
      </c>
      <c r="AV792" s="2">
        <v>20</v>
      </c>
      <c r="AW792" s="2">
        <v>4</v>
      </c>
      <c r="AX792" s="2" t="s">
        <v>74</v>
      </c>
      <c r="AY792" s="2" t="s">
        <v>74</v>
      </c>
      <c r="AZ792" s="2" t="s">
        <v>74</v>
      </c>
      <c r="BA792" s="2" t="s">
        <v>74</v>
      </c>
      <c r="BB792" s="2">
        <v>1637</v>
      </c>
      <c r="BC792" s="2">
        <v>1648</v>
      </c>
      <c r="BD792" s="2" t="s">
        <v>74</v>
      </c>
      <c r="BE792" s="2" t="s">
        <v>6236</v>
      </c>
      <c r="BF792" s="2" t="str">
        <f>HYPERLINK("http://dx.doi.org/10.1111/j.1420-9101.2007.01297.x","http://dx.doi.org/10.1111/j.1420-9101.2007.01297.x")</f>
        <v>http://dx.doi.org/10.1111/j.1420-9101.2007.01297.x</v>
      </c>
      <c r="BG792" s="2" t="s">
        <v>74</v>
      </c>
      <c r="BH792" s="2" t="s">
        <v>74</v>
      </c>
      <c r="BI792" s="2" t="s">
        <v>74</v>
      </c>
      <c r="BJ792" s="2" t="s">
        <v>74</v>
      </c>
      <c r="BK792" s="2" t="s">
        <v>74</v>
      </c>
      <c r="BL792" s="2" t="s">
        <v>74</v>
      </c>
      <c r="BM792" s="2" t="s">
        <v>74</v>
      </c>
      <c r="BN792" s="2">
        <v>17584256</v>
      </c>
      <c r="BO792" s="2" t="s">
        <v>74</v>
      </c>
      <c r="BP792" s="2" t="s">
        <v>74</v>
      </c>
      <c r="BQ792" s="2" t="s">
        <v>74</v>
      </c>
      <c r="BR792" s="2" t="s">
        <v>74</v>
      </c>
      <c r="BS792" s="2" t="s">
        <v>6237</v>
      </c>
      <c r="BT792" s="2" t="str">
        <f>HYPERLINK("https%3A%2F%2Fwww.webofscience.com%2Fwos%2Fwoscc%2Ffull-record%2FWOS:000248177600037","View Full Record in Web of Science")</f>
        <v>View Full Record in Web of Science</v>
      </c>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row>
    <row r="793" spans="1:314" s="2" customFormat="1" x14ac:dyDescent="0.4">
      <c r="A793" s="2" t="s">
        <v>72</v>
      </c>
      <c r="B793" s="2" t="s">
        <v>3783</v>
      </c>
      <c r="C793" s="2" t="s">
        <v>74</v>
      </c>
      <c r="D793" s="2" t="s">
        <v>74</v>
      </c>
      <c r="E793" s="2" t="s">
        <v>74</v>
      </c>
      <c r="F793" s="2" t="s">
        <v>3783</v>
      </c>
      <c r="G793" s="2" t="s">
        <v>74</v>
      </c>
      <c r="H793" s="2" t="s">
        <v>74</v>
      </c>
      <c r="I793" s="2" t="s">
        <v>3784</v>
      </c>
      <c r="J793" s="2" t="s">
        <v>3785</v>
      </c>
      <c r="K793" s="2" t="s">
        <v>74</v>
      </c>
      <c r="L793" s="2" t="s">
        <v>74</v>
      </c>
      <c r="M793" s="2" t="s">
        <v>74</v>
      </c>
      <c r="N793" s="2" t="s">
        <v>74</v>
      </c>
      <c r="O793" s="2" t="s">
        <v>74</v>
      </c>
      <c r="P793" s="2" t="s">
        <v>74</v>
      </c>
      <c r="Q793" s="2" t="s">
        <v>74</v>
      </c>
      <c r="R793" s="2" t="s">
        <v>74</v>
      </c>
      <c r="S793" s="2" t="s">
        <v>74</v>
      </c>
      <c r="T793" s="2" t="s">
        <v>74</v>
      </c>
      <c r="U793" s="2" t="s">
        <v>74</v>
      </c>
      <c r="V793" s="5" t="s">
        <v>3786</v>
      </c>
      <c r="W793" s="2" t="s">
        <v>74</v>
      </c>
      <c r="X793" s="2" t="s">
        <v>74</v>
      </c>
      <c r="Y793" s="2" t="s">
        <v>74</v>
      </c>
      <c r="Z793" s="2" t="s">
        <v>74</v>
      </c>
      <c r="AA793" s="2" t="s">
        <v>74</v>
      </c>
      <c r="AB793" s="2" t="s">
        <v>74</v>
      </c>
      <c r="AC793" s="2" t="s">
        <v>74</v>
      </c>
      <c r="AD793" s="2" t="s">
        <v>74</v>
      </c>
      <c r="AE793" s="2" t="s">
        <v>74</v>
      </c>
      <c r="AF793" s="2" t="s">
        <v>74</v>
      </c>
      <c r="AG793" s="2" t="s">
        <v>74</v>
      </c>
      <c r="AH793" s="2" t="s">
        <v>74</v>
      </c>
      <c r="AI793" s="2" t="s">
        <v>74</v>
      </c>
      <c r="AJ793" s="2" t="s">
        <v>74</v>
      </c>
      <c r="AK793" s="2" t="s">
        <v>74</v>
      </c>
      <c r="AL793" s="2" t="s">
        <v>74</v>
      </c>
      <c r="AM793" s="2" t="s">
        <v>74</v>
      </c>
      <c r="AN793" s="2" t="s">
        <v>74</v>
      </c>
      <c r="AO793" s="2" t="s">
        <v>3787</v>
      </c>
      <c r="AP793" s="2" t="s">
        <v>3788</v>
      </c>
      <c r="AQ793" s="2" t="s">
        <v>74</v>
      </c>
      <c r="AR793" s="2" t="s">
        <v>74</v>
      </c>
      <c r="AS793" s="2" t="s">
        <v>74</v>
      </c>
      <c r="AT793" s="2" t="s">
        <v>213</v>
      </c>
      <c r="AU793" s="2">
        <v>2002</v>
      </c>
      <c r="AV793" s="2">
        <v>47</v>
      </c>
      <c r="AW793" s="2">
        <v>11</v>
      </c>
      <c r="AX793" s="2" t="s">
        <v>74</v>
      </c>
      <c r="AY793" s="2" t="s">
        <v>74</v>
      </c>
      <c r="AZ793" s="2" t="s">
        <v>74</v>
      </c>
      <c r="BA793" s="2" t="s">
        <v>74</v>
      </c>
      <c r="BB793" s="2">
        <v>2039</v>
      </c>
      <c r="BC793" s="2">
        <v>2048</v>
      </c>
      <c r="BD793" s="2" t="s">
        <v>74</v>
      </c>
      <c r="BE793" s="2" t="s">
        <v>3789</v>
      </c>
      <c r="BF793" s="2" t="str">
        <f>HYPERLINK("http://dx.doi.org/10.1046/j.1365-2427.2002.00944.x","http://dx.doi.org/10.1046/j.1365-2427.2002.00944.x")</f>
        <v>http://dx.doi.org/10.1046/j.1365-2427.2002.00944.x</v>
      </c>
      <c r="BG793" s="2" t="s">
        <v>74</v>
      </c>
      <c r="BH793" s="2" t="s">
        <v>74</v>
      </c>
      <c r="BI793" s="2" t="s">
        <v>74</v>
      </c>
      <c r="BJ793" s="2" t="s">
        <v>74</v>
      </c>
      <c r="BK793" s="2" t="s">
        <v>74</v>
      </c>
      <c r="BL793" s="2" t="s">
        <v>74</v>
      </c>
      <c r="BM793" s="2" t="s">
        <v>74</v>
      </c>
      <c r="BN793" s="2" t="s">
        <v>74</v>
      </c>
      <c r="BO793" s="2" t="s">
        <v>74</v>
      </c>
      <c r="BP793" s="2" t="s">
        <v>74</v>
      </c>
      <c r="BQ793" s="2" t="s">
        <v>74</v>
      </c>
      <c r="BR793" s="2" t="s">
        <v>74</v>
      </c>
      <c r="BS793" s="2" t="s">
        <v>3790</v>
      </c>
      <c r="BT793" s="2" t="str">
        <f>HYPERLINK("https%3A%2F%2Fwww.webofscience.com%2Fwos%2Fwoscc%2Ffull-record%2FWOS:000178848300001","View Full Record in Web of Science")</f>
        <v>View Full Record in Web of Science</v>
      </c>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row>
    <row r="794" spans="1:314" s="2" customFormat="1" x14ac:dyDescent="0.4">
      <c r="A794" s="2" t="s">
        <v>72</v>
      </c>
      <c r="B794" s="2" t="s">
        <v>8452</v>
      </c>
      <c r="C794" s="2" t="s">
        <v>74</v>
      </c>
      <c r="D794" s="2" t="s">
        <v>74</v>
      </c>
      <c r="E794" s="2" t="s">
        <v>74</v>
      </c>
      <c r="F794" s="2" t="s">
        <v>8452</v>
      </c>
      <c r="G794" s="2" t="s">
        <v>74</v>
      </c>
      <c r="H794" s="2" t="s">
        <v>74</v>
      </c>
      <c r="I794" s="2" t="s">
        <v>8453</v>
      </c>
      <c r="J794" s="2" t="s">
        <v>4655</v>
      </c>
      <c r="K794" s="2" t="s">
        <v>74</v>
      </c>
      <c r="L794" s="2" t="s">
        <v>74</v>
      </c>
      <c r="M794" s="2" t="s">
        <v>74</v>
      </c>
      <c r="N794" s="2" t="s">
        <v>74</v>
      </c>
      <c r="O794" s="2" t="s">
        <v>74</v>
      </c>
      <c r="P794" s="2" t="s">
        <v>74</v>
      </c>
      <c r="Q794" s="2" t="s">
        <v>74</v>
      </c>
      <c r="R794" s="2" t="s">
        <v>74</v>
      </c>
      <c r="S794" s="2" t="s">
        <v>74</v>
      </c>
      <c r="T794" s="2" t="s">
        <v>74</v>
      </c>
      <c r="U794" s="2" t="s">
        <v>74</v>
      </c>
      <c r="V794" s="5" t="s">
        <v>8454</v>
      </c>
      <c r="W794" s="2" t="s">
        <v>74</v>
      </c>
      <c r="X794" s="2" t="s">
        <v>74</v>
      </c>
      <c r="Y794" s="2" t="s">
        <v>74</v>
      </c>
      <c r="Z794" s="2" t="s">
        <v>74</v>
      </c>
      <c r="AA794" s="2" t="s">
        <v>8455</v>
      </c>
      <c r="AB794" s="2" t="s">
        <v>8456</v>
      </c>
      <c r="AC794" s="2" t="s">
        <v>74</v>
      </c>
      <c r="AD794" s="2" t="s">
        <v>74</v>
      </c>
      <c r="AE794" s="2" t="s">
        <v>74</v>
      </c>
      <c r="AF794" s="2" t="s">
        <v>74</v>
      </c>
      <c r="AG794" s="2" t="s">
        <v>74</v>
      </c>
      <c r="AH794" s="2" t="s">
        <v>74</v>
      </c>
      <c r="AI794" s="2" t="s">
        <v>74</v>
      </c>
      <c r="AJ794" s="2" t="s">
        <v>74</v>
      </c>
      <c r="AK794" s="2" t="s">
        <v>74</v>
      </c>
      <c r="AL794" s="2" t="s">
        <v>74</v>
      </c>
      <c r="AM794" s="2" t="s">
        <v>74</v>
      </c>
      <c r="AN794" s="2" t="s">
        <v>74</v>
      </c>
      <c r="AO794" s="2" t="s">
        <v>4657</v>
      </c>
      <c r="AP794" s="2" t="s">
        <v>74</v>
      </c>
      <c r="AQ794" s="2" t="s">
        <v>74</v>
      </c>
      <c r="AR794" s="2" t="s">
        <v>74</v>
      </c>
      <c r="AS794" s="2" t="s">
        <v>74</v>
      </c>
      <c r="AT794" s="2" t="s">
        <v>123</v>
      </c>
      <c r="AU794" s="2">
        <v>2002</v>
      </c>
      <c r="AV794" s="2">
        <v>114</v>
      </c>
      <c r="AW794" s="2">
        <v>1</v>
      </c>
      <c r="AX794" s="2" t="s">
        <v>74</v>
      </c>
      <c r="AY794" s="2" t="s">
        <v>74</v>
      </c>
      <c r="AZ794" s="2" t="s">
        <v>74</v>
      </c>
      <c r="BA794" s="2" t="s">
        <v>74</v>
      </c>
      <c r="BB794" s="2">
        <v>106</v>
      </c>
      <c r="BC794" s="2">
        <v>113</v>
      </c>
      <c r="BD794" s="2" t="s">
        <v>74</v>
      </c>
      <c r="BE794" s="2" t="s">
        <v>8457</v>
      </c>
      <c r="BF794" s="2" t="str">
        <f>HYPERLINK("http://dx.doi.org/10.1676/0043-5643(2002)114[0106:OPITLW]2.0.CO;2","http://dx.doi.org/10.1676/0043-5643(2002)114[0106:OPITLW]2.0.CO;2")</f>
        <v>http://dx.doi.org/10.1676/0043-5643(2002)114[0106:OPITLW]2.0.CO;2</v>
      </c>
      <c r="BG794" s="2" t="s">
        <v>74</v>
      </c>
      <c r="BH794" s="2" t="s">
        <v>74</v>
      </c>
      <c r="BI794" s="2" t="s">
        <v>74</v>
      </c>
      <c r="BJ794" s="2" t="s">
        <v>74</v>
      </c>
      <c r="BK794" s="2" t="s">
        <v>74</v>
      </c>
      <c r="BL794" s="2" t="s">
        <v>74</v>
      </c>
      <c r="BM794" s="2" t="s">
        <v>74</v>
      </c>
      <c r="BN794" s="2" t="s">
        <v>74</v>
      </c>
      <c r="BO794" s="2" t="s">
        <v>74</v>
      </c>
      <c r="BP794" s="2" t="s">
        <v>74</v>
      </c>
      <c r="BQ794" s="2" t="s">
        <v>74</v>
      </c>
      <c r="BR794" s="2" t="s">
        <v>74</v>
      </c>
      <c r="BS794" s="2" t="s">
        <v>8458</v>
      </c>
      <c r="BT794" s="2" t="str">
        <f>HYPERLINK("https%3A%2F%2Fwww.webofscience.com%2Fwos%2Fwoscc%2Ffull-record%2FWOS:000178580800010","View Full Record in Web of Science")</f>
        <v>View Full Record in Web of Science</v>
      </c>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row>
    <row r="795" spans="1:314" s="2" customFormat="1" x14ac:dyDescent="0.4">
      <c r="A795" s="2" t="s">
        <v>72</v>
      </c>
      <c r="B795" s="2" t="s">
        <v>6940</v>
      </c>
      <c r="C795" s="2" t="s">
        <v>74</v>
      </c>
      <c r="D795" s="2" t="s">
        <v>74</v>
      </c>
      <c r="E795" s="2" t="s">
        <v>74</v>
      </c>
      <c r="F795" s="2" t="s">
        <v>6940</v>
      </c>
      <c r="G795" s="2" t="s">
        <v>74</v>
      </c>
      <c r="H795" s="2" t="s">
        <v>74</v>
      </c>
      <c r="I795" s="2" t="s">
        <v>6941</v>
      </c>
      <c r="J795" s="2" t="s">
        <v>129</v>
      </c>
      <c r="K795" s="2" t="s">
        <v>74</v>
      </c>
      <c r="L795" s="2" t="s">
        <v>74</v>
      </c>
      <c r="M795" s="2" t="s">
        <v>74</v>
      </c>
      <c r="N795" s="2" t="s">
        <v>74</v>
      </c>
      <c r="O795" s="2" t="s">
        <v>74</v>
      </c>
      <c r="P795" s="2" t="s">
        <v>74</v>
      </c>
      <c r="Q795" s="2" t="s">
        <v>74</v>
      </c>
      <c r="R795" s="2" t="s">
        <v>74</v>
      </c>
      <c r="S795" s="2" t="s">
        <v>74</v>
      </c>
      <c r="T795" s="2" t="s">
        <v>74</v>
      </c>
      <c r="U795" s="2" t="s">
        <v>74</v>
      </c>
      <c r="V795" s="5" t="s">
        <v>6942</v>
      </c>
      <c r="W795" s="2" t="s">
        <v>74</v>
      </c>
      <c r="X795" s="2" t="s">
        <v>74</v>
      </c>
      <c r="Y795" s="2" t="s">
        <v>74</v>
      </c>
      <c r="Z795" s="2" t="s">
        <v>74</v>
      </c>
      <c r="AA795" s="2" t="s">
        <v>74</v>
      </c>
      <c r="AB795" s="2" t="s">
        <v>74</v>
      </c>
      <c r="AC795" s="2" t="s">
        <v>74</v>
      </c>
      <c r="AD795" s="2" t="s">
        <v>74</v>
      </c>
      <c r="AE795" s="2" t="s">
        <v>74</v>
      </c>
      <c r="AF795" s="2" t="s">
        <v>74</v>
      </c>
      <c r="AG795" s="2" t="s">
        <v>74</v>
      </c>
      <c r="AH795" s="2" t="s">
        <v>74</v>
      </c>
      <c r="AI795" s="2" t="s">
        <v>74</v>
      </c>
      <c r="AJ795" s="2" t="s">
        <v>74</v>
      </c>
      <c r="AK795" s="2" t="s">
        <v>74</v>
      </c>
      <c r="AL795" s="2" t="s">
        <v>74</v>
      </c>
      <c r="AM795" s="2" t="s">
        <v>74</v>
      </c>
      <c r="AN795" s="2" t="s">
        <v>74</v>
      </c>
      <c r="AO795" s="2" t="s">
        <v>132</v>
      </c>
      <c r="AP795" s="2" t="s">
        <v>133</v>
      </c>
      <c r="AQ795" s="2" t="s">
        <v>74</v>
      </c>
      <c r="AR795" s="2" t="s">
        <v>74</v>
      </c>
      <c r="AS795" s="2" t="s">
        <v>74</v>
      </c>
      <c r="AT795" s="2" t="s">
        <v>74</v>
      </c>
      <c r="AU795" s="2">
        <v>1989</v>
      </c>
      <c r="AV795" s="2">
        <v>25</v>
      </c>
      <c r="AW795" s="2">
        <v>1</v>
      </c>
      <c r="AX795" s="2" t="s">
        <v>74</v>
      </c>
      <c r="AY795" s="2" t="s">
        <v>74</v>
      </c>
      <c r="AZ795" s="2" t="s">
        <v>74</v>
      </c>
      <c r="BA795" s="2" t="s">
        <v>74</v>
      </c>
      <c r="BB795" s="2">
        <v>23</v>
      </c>
      <c r="BC795" s="2">
        <v>31</v>
      </c>
      <c r="BD795" s="2" t="s">
        <v>74</v>
      </c>
      <c r="BE795" s="2" t="s">
        <v>6943</v>
      </c>
      <c r="BF795" s="2" t="str">
        <f>HYPERLINK("http://dx.doi.org/10.1007/BF00299707","http://dx.doi.org/10.1007/BF00299707")</f>
        <v>http://dx.doi.org/10.1007/BF00299707</v>
      </c>
      <c r="BG795" s="2" t="s">
        <v>74</v>
      </c>
      <c r="BH795" s="2" t="s">
        <v>74</v>
      </c>
      <c r="BI795" s="2" t="s">
        <v>74</v>
      </c>
      <c r="BJ795" s="2" t="s">
        <v>74</v>
      </c>
      <c r="BK795" s="2" t="s">
        <v>74</v>
      </c>
      <c r="BL795" s="2" t="s">
        <v>74</v>
      </c>
      <c r="BM795" s="2" t="s">
        <v>74</v>
      </c>
      <c r="BN795" s="2" t="s">
        <v>74</v>
      </c>
      <c r="BO795" s="2" t="s">
        <v>74</v>
      </c>
      <c r="BP795" s="2" t="s">
        <v>74</v>
      </c>
      <c r="BQ795" s="2" t="s">
        <v>74</v>
      </c>
      <c r="BR795" s="2" t="s">
        <v>74</v>
      </c>
      <c r="BS795" s="2" t="s">
        <v>6944</v>
      </c>
      <c r="BT795" s="2" t="str">
        <f>HYPERLINK("https%3A%2F%2Fwww.webofscience.com%2Fwos%2Fwoscc%2Ffull-record%2FWOS:A1989AJ00400003","View Full Record in Web of Science")</f>
        <v>View Full Record in Web of Science</v>
      </c>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row>
    <row r="796" spans="1:314" s="2" customFormat="1" x14ac:dyDescent="0.4">
      <c r="A796" s="2" t="s">
        <v>72</v>
      </c>
      <c r="B796" s="2" t="s">
        <v>8050</v>
      </c>
      <c r="C796" s="2" t="s">
        <v>74</v>
      </c>
      <c r="D796" s="2" t="s">
        <v>74</v>
      </c>
      <c r="E796" s="2" t="s">
        <v>74</v>
      </c>
      <c r="F796" s="2" t="s">
        <v>8051</v>
      </c>
      <c r="G796" s="2" t="s">
        <v>74</v>
      </c>
      <c r="H796" s="2" t="s">
        <v>74</v>
      </c>
      <c r="I796" s="2" t="s">
        <v>8052</v>
      </c>
      <c r="J796" s="2" t="s">
        <v>431</v>
      </c>
      <c r="K796" s="2" t="s">
        <v>74</v>
      </c>
      <c r="L796" s="2" t="s">
        <v>74</v>
      </c>
      <c r="M796" s="2" t="s">
        <v>74</v>
      </c>
      <c r="N796" s="2" t="s">
        <v>74</v>
      </c>
      <c r="O796" s="2" t="s">
        <v>74</v>
      </c>
      <c r="P796" s="2" t="s">
        <v>74</v>
      </c>
      <c r="Q796" s="2" t="s">
        <v>74</v>
      </c>
      <c r="R796" s="2" t="s">
        <v>74</v>
      </c>
      <c r="S796" s="2" t="s">
        <v>74</v>
      </c>
      <c r="T796" s="2" t="s">
        <v>74</v>
      </c>
      <c r="U796" s="2" t="s">
        <v>74</v>
      </c>
      <c r="V796" s="5" t="s">
        <v>8053</v>
      </c>
      <c r="W796" s="2" t="s">
        <v>74</v>
      </c>
      <c r="X796" s="2" t="s">
        <v>74</v>
      </c>
      <c r="Y796" s="2" t="s">
        <v>74</v>
      </c>
      <c r="Z796" s="2" t="s">
        <v>74</v>
      </c>
      <c r="AA796" s="2" t="s">
        <v>8054</v>
      </c>
      <c r="AB796" s="2" t="s">
        <v>8055</v>
      </c>
      <c r="AC796" s="2" t="s">
        <v>74</v>
      </c>
      <c r="AD796" s="2" t="s">
        <v>74</v>
      </c>
      <c r="AE796" s="2" t="s">
        <v>74</v>
      </c>
      <c r="AF796" s="2" t="s">
        <v>74</v>
      </c>
      <c r="AG796" s="2" t="s">
        <v>74</v>
      </c>
      <c r="AH796" s="2" t="s">
        <v>74</v>
      </c>
      <c r="AI796" s="2" t="s">
        <v>74</v>
      </c>
      <c r="AJ796" s="2" t="s">
        <v>74</v>
      </c>
      <c r="AK796" s="2" t="s">
        <v>74</v>
      </c>
      <c r="AL796" s="2" t="s">
        <v>74</v>
      </c>
      <c r="AM796" s="2" t="s">
        <v>74</v>
      </c>
      <c r="AN796" s="2" t="s">
        <v>74</v>
      </c>
      <c r="AO796" s="2" t="s">
        <v>1458</v>
      </c>
      <c r="AP796" s="2" t="s">
        <v>435</v>
      </c>
      <c r="AQ796" s="2" t="s">
        <v>74</v>
      </c>
      <c r="AR796" s="2" t="s">
        <v>74</v>
      </c>
      <c r="AS796" s="2" t="s">
        <v>74</v>
      </c>
      <c r="AT796" s="2" t="s">
        <v>633</v>
      </c>
      <c r="AU796" s="2">
        <v>2007</v>
      </c>
      <c r="AV796" s="2">
        <v>124</v>
      </c>
      <c r="AW796" s="2">
        <v>2</v>
      </c>
      <c r="AX796" s="2" t="s">
        <v>74</v>
      </c>
      <c r="AY796" s="2" t="s">
        <v>74</v>
      </c>
      <c r="AZ796" s="2" t="s">
        <v>74</v>
      </c>
      <c r="BA796" s="2" t="s">
        <v>74</v>
      </c>
      <c r="BB796" s="2">
        <v>619</v>
      </c>
      <c r="BC796" s="2">
        <v>627</v>
      </c>
      <c r="BD796" s="2" t="s">
        <v>74</v>
      </c>
      <c r="BE796" s="2" t="s">
        <v>8056</v>
      </c>
      <c r="BF796" s="2" t="str">
        <f>HYPERLINK("http://dx.doi.org/10.1093/auk/124.2.619","http://dx.doi.org/10.1093/auk/124.2.619")</f>
        <v>http://dx.doi.org/10.1093/auk/124.2.619</v>
      </c>
      <c r="BG796" s="2" t="s">
        <v>74</v>
      </c>
      <c r="BH796" s="2" t="s">
        <v>74</v>
      </c>
      <c r="BI796" s="2" t="s">
        <v>74</v>
      </c>
      <c r="BJ796" s="2" t="s">
        <v>74</v>
      </c>
      <c r="BK796" s="2" t="s">
        <v>74</v>
      </c>
      <c r="BL796" s="2" t="s">
        <v>74</v>
      </c>
      <c r="BM796" s="2" t="s">
        <v>74</v>
      </c>
      <c r="BN796" s="2" t="s">
        <v>74</v>
      </c>
      <c r="BO796" s="2" t="s">
        <v>74</v>
      </c>
      <c r="BP796" s="2" t="s">
        <v>74</v>
      </c>
      <c r="BQ796" s="2" t="s">
        <v>74</v>
      </c>
      <c r="BR796" s="2" t="s">
        <v>74</v>
      </c>
      <c r="BS796" s="2" t="s">
        <v>8057</v>
      </c>
      <c r="BT796" s="2" t="str">
        <f>HYPERLINK("https%3A%2F%2Fwww.webofscience.com%2Fwos%2Fwoscc%2Ffull-record%2FWOS:000246596400020","View Full Record in Web of Science")</f>
        <v>View Full Record in Web of Science</v>
      </c>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row>
    <row r="797" spans="1:314" s="2" customFormat="1" x14ac:dyDescent="0.4">
      <c r="A797" s="2" t="s">
        <v>72</v>
      </c>
      <c r="B797" s="2" t="s">
        <v>7175</v>
      </c>
      <c r="C797" s="2" t="s">
        <v>74</v>
      </c>
      <c r="D797" s="2" t="s">
        <v>74</v>
      </c>
      <c r="E797" s="2" t="s">
        <v>74</v>
      </c>
      <c r="F797" s="2" t="s">
        <v>7176</v>
      </c>
      <c r="G797" s="2" t="s">
        <v>74</v>
      </c>
      <c r="H797" s="2" t="s">
        <v>74</v>
      </c>
      <c r="I797" s="2" t="s">
        <v>7177</v>
      </c>
      <c r="J797" s="2" t="s">
        <v>763</v>
      </c>
      <c r="K797" s="2" t="s">
        <v>74</v>
      </c>
      <c r="L797" s="2" t="s">
        <v>74</v>
      </c>
      <c r="M797" s="2" t="s">
        <v>74</v>
      </c>
      <c r="N797" s="2" t="s">
        <v>74</v>
      </c>
      <c r="O797" s="2" t="s">
        <v>74</v>
      </c>
      <c r="P797" s="2" t="s">
        <v>74</v>
      </c>
      <c r="Q797" s="2" t="s">
        <v>74</v>
      </c>
      <c r="R797" s="2" t="s">
        <v>74</v>
      </c>
      <c r="S797" s="2" t="s">
        <v>74</v>
      </c>
      <c r="T797" s="2" t="s">
        <v>74</v>
      </c>
      <c r="U797" s="2" t="s">
        <v>74</v>
      </c>
      <c r="V797" s="5" t="s">
        <v>7178</v>
      </c>
      <c r="W797" s="2" t="s">
        <v>74</v>
      </c>
      <c r="X797" s="2" t="s">
        <v>74</v>
      </c>
      <c r="Y797" s="2" t="s">
        <v>74</v>
      </c>
      <c r="Z797" s="2" t="s">
        <v>74</v>
      </c>
      <c r="AA797" s="2" t="s">
        <v>7179</v>
      </c>
      <c r="AB797" s="2" t="s">
        <v>7180</v>
      </c>
      <c r="AC797" s="2" t="s">
        <v>74</v>
      </c>
      <c r="AD797" s="2" t="s">
        <v>74</v>
      </c>
      <c r="AE797" s="2" t="s">
        <v>74</v>
      </c>
      <c r="AF797" s="2" t="s">
        <v>74</v>
      </c>
      <c r="AG797" s="2" t="s">
        <v>74</v>
      </c>
      <c r="AH797" s="2" t="s">
        <v>74</v>
      </c>
      <c r="AI797" s="2" t="s">
        <v>74</v>
      </c>
      <c r="AJ797" s="2" t="s">
        <v>74</v>
      </c>
      <c r="AK797" s="2" t="s">
        <v>74</v>
      </c>
      <c r="AL797" s="2" t="s">
        <v>74</v>
      </c>
      <c r="AM797" s="2" t="s">
        <v>74</v>
      </c>
      <c r="AN797" s="2" t="s">
        <v>74</v>
      </c>
      <c r="AO797" s="2" t="s">
        <v>767</v>
      </c>
      <c r="AP797" s="2" t="s">
        <v>768</v>
      </c>
      <c r="AQ797" s="2" t="s">
        <v>74</v>
      </c>
      <c r="AR797" s="2" t="s">
        <v>74</v>
      </c>
      <c r="AS797" s="2" t="s">
        <v>74</v>
      </c>
      <c r="AT797" s="2" t="s">
        <v>102</v>
      </c>
      <c r="AU797" s="2">
        <v>2022</v>
      </c>
      <c r="AV797" s="2">
        <v>225</v>
      </c>
      <c r="AW797" s="2">
        <v>11</v>
      </c>
      <c r="AX797" s="2" t="s">
        <v>74</v>
      </c>
      <c r="AY797" s="2" t="s">
        <v>74</v>
      </c>
      <c r="AZ797" s="2" t="s">
        <v>74</v>
      </c>
      <c r="BA797" s="2" t="s">
        <v>74</v>
      </c>
      <c r="BB797" s="2" t="s">
        <v>74</v>
      </c>
      <c r="BC797" s="2" t="s">
        <v>74</v>
      </c>
      <c r="BD797" s="2" t="s">
        <v>7181</v>
      </c>
      <c r="BE797" s="2" t="s">
        <v>7182</v>
      </c>
      <c r="BF797" s="2" t="str">
        <f>HYPERLINK("http://dx.doi.org/10.1242/jeb.244317","http://dx.doi.org/10.1242/jeb.244317")</f>
        <v>http://dx.doi.org/10.1242/jeb.244317</v>
      </c>
      <c r="BG797" s="2" t="s">
        <v>74</v>
      </c>
      <c r="BH797" s="2" t="s">
        <v>74</v>
      </c>
      <c r="BI797" s="2" t="s">
        <v>74</v>
      </c>
      <c r="BJ797" s="2" t="s">
        <v>74</v>
      </c>
      <c r="BK797" s="2" t="s">
        <v>74</v>
      </c>
      <c r="BL797" s="2" t="s">
        <v>74</v>
      </c>
      <c r="BM797" s="2" t="s">
        <v>74</v>
      </c>
      <c r="BN797" s="2">
        <v>35582824</v>
      </c>
      <c r="BO797" s="2" t="s">
        <v>74</v>
      </c>
      <c r="BP797" s="2" t="s">
        <v>74</v>
      </c>
      <c r="BQ797" s="2" t="s">
        <v>74</v>
      </c>
      <c r="BR797" s="2" t="s">
        <v>74</v>
      </c>
      <c r="BS797" s="2" t="s">
        <v>7183</v>
      </c>
      <c r="BT797" s="2" t="str">
        <f>HYPERLINK("https%3A%2F%2Fwww.webofscience.com%2Fwos%2Fwoscc%2Ffull-record%2FWOS:000811278900021","View Full Record in Web of Science")</f>
        <v>View Full Record in Web of Science</v>
      </c>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row>
    <row r="798" spans="1:314" s="2" customFormat="1" x14ac:dyDescent="0.4">
      <c r="A798" s="2" t="s">
        <v>72</v>
      </c>
      <c r="B798" s="2" t="s">
        <v>7039</v>
      </c>
      <c r="C798" s="2" t="s">
        <v>74</v>
      </c>
      <c r="D798" s="2" t="s">
        <v>74</v>
      </c>
      <c r="E798" s="2" t="s">
        <v>74</v>
      </c>
      <c r="F798" s="2" t="s">
        <v>7040</v>
      </c>
      <c r="G798" s="2" t="s">
        <v>74</v>
      </c>
      <c r="H798" s="2" t="s">
        <v>74</v>
      </c>
      <c r="I798" s="2" t="s">
        <v>7041</v>
      </c>
      <c r="J798" s="2" t="s">
        <v>129</v>
      </c>
      <c r="K798" s="2" t="s">
        <v>74</v>
      </c>
      <c r="L798" s="2" t="s">
        <v>74</v>
      </c>
      <c r="M798" s="2" t="s">
        <v>74</v>
      </c>
      <c r="N798" s="2" t="s">
        <v>74</v>
      </c>
      <c r="O798" s="2" t="s">
        <v>74</v>
      </c>
      <c r="P798" s="2" t="s">
        <v>74</v>
      </c>
      <c r="Q798" s="2" t="s">
        <v>74</v>
      </c>
      <c r="R798" s="2" t="s">
        <v>74</v>
      </c>
      <c r="S798" s="2" t="s">
        <v>74</v>
      </c>
      <c r="T798" s="2" t="s">
        <v>74</v>
      </c>
      <c r="U798" s="2" t="s">
        <v>74</v>
      </c>
      <c r="V798" s="5" t="s">
        <v>7042</v>
      </c>
      <c r="W798" s="2" t="s">
        <v>74</v>
      </c>
      <c r="X798" s="2" t="s">
        <v>74</v>
      </c>
      <c r="Y798" s="2" t="s">
        <v>74</v>
      </c>
      <c r="Z798" s="2" t="s">
        <v>74</v>
      </c>
      <c r="AA798" s="2" t="s">
        <v>7043</v>
      </c>
      <c r="AB798" s="2" t="s">
        <v>7044</v>
      </c>
      <c r="AC798" s="2" t="s">
        <v>74</v>
      </c>
      <c r="AD798" s="2" t="s">
        <v>74</v>
      </c>
      <c r="AE798" s="2" t="s">
        <v>74</v>
      </c>
      <c r="AF798" s="2" t="s">
        <v>74</v>
      </c>
      <c r="AG798" s="2" t="s">
        <v>74</v>
      </c>
      <c r="AH798" s="2" t="s">
        <v>74</v>
      </c>
      <c r="AI798" s="2" t="s">
        <v>74</v>
      </c>
      <c r="AJ798" s="2" t="s">
        <v>74</v>
      </c>
      <c r="AK798" s="2" t="s">
        <v>74</v>
      </c>
      <c r="AL798" s="2" t="s">
        <v>74</v>
      </c>
      <c r="AM798" s="2" t="s">
        <v>74</v>
      </c>
      <c r="AN798" s="2" t="s">
        <v>74</v>
      </c>
      <c r="AO798" s="2" t="s">
        <v>132</v>
      </c>
      <c r="AP798" s="2" t="s">
        <v>133</v>
      </c>
      <c r="AQ798" s="2" t="s">
        <v>74</v>
      </c>
      <c r="AR798" s="2" t="s">
        <v>74</v>
      </c>
      <c r="AS798" s="2" t="s">
        <v>74</v>
      </c>
      <c r="AT798" s="2" t="s">
        <v>204</v>
      </c>
      <c r="AU798" s="2">
        <v>2019</v>
      </c>
      <c r="AV798" s="2">
        <v>73</v>
      </c>
      <c r="AW798" s="2">
        <v>7</v>
      </c>
      <c r="AX798" s="2" t="s">
        <v>74</v>
      </c>
      <c r="AY798" s="2" t="s">
        <v>74</v>
      </c>
      <c r="AZ798" s="2" t="s">
        <v>74</v>
      </c>
      <c r="BA798" s="2" t="s">
        <v>74</v>
      </c>
      <c r="BB798" s="2" t="s">
        <v>74</v>
      </c>
      <c r="BC798" s="2" t="s">
        <v>74</v>
      </c>
      <c r="BD798" s="2">
        <v>98</v>
      </c>
      <c r="BE798" s="2" t="s">
        <v>7045</v>
      </c>
      <c r="BF798" s="2" t="str">
        <f>HYPERLINK("http://dx.doi.org/10.1007/s00265-019-2710-z","http://dx.doi.org/10.1007/s00265-019-2710-z")</f>
        <v>http://dx.doi.org/10.1007/s00265-019-2710-z</v>
      </c>
      <c r="BG798" s="2" t="s">
        <v>74</v>
      </c>
      <c r="BH798" s="2" t="s">
        <v>74</v>
      </c>
      <c r="BI798" s="2" t="s">
        <v>74</v>
      </c>
      <c r="BJ798" s="2" t="s">
        <v>74</v>
      </c>
      <c r="BK798" s="2" t="s">
        <v>74</v>
      </c>
      <c r="BL798" s="2" t="s">
        <v>74</v>
      </c>
      <c r="BM798" s="2" t="s">
        <v>74</v>
      </c>
      <c r="BN798" s="2" t="s">
        <v>74</v>
      </c>
      <c r="BO798" s="2" t="s">
        <v>74</v>
      </c>
      <c r="BP798" s="2" t="s">
        <v>74</v>
      </c>
      <c r="BQ798" s="2" t="s">
        <v>74</v>
      </c>
      <c r="BR798" s="2" t="s">
        <v>74</v>
      </c>
      <c r="BS798" s="2" t="s">
        <v>7046</v>
      </c>
      <c r="BT798" s="2" t="str">
        <f>HYPERLINK("https%3A%2F%2Fwww.webofscience.com%2Fwos%2Fwoscc%2Ffull-record%2FWOS:000473131000001","View Full Record in Web of Science")</f>
        <v>View Full Record in Web of Science</v>
      </c>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row>
    <row r="799" spans="1:314" s="2" customFormat="1" x14ac:dyDescent="0.4">
      <c r="A799" s="2" t="s">
        <v>72</v>
      </c>
      <c r="B799" s="2" t="s">
        <v>4833</v>
      </c>
      <c r="C799" s="2" t="s">
        <v>74</v>
      </c>
      <c r="D799" s="2" t="s">
        <v>74</v>
      </c>
      <c r="E799" s="2" t="s">
        <v>74</v>
      </c>
      <c r="F799" s="2" t="s">
        <v>4834</v>
      </c>
      <c r="G799" s="2" t="s">
        <v>74</v>
      </c>
      <c r="H799" s="2" t="s">
        <v>74</v>
      </c>
      <c r="I799" s="2" t="s">
        <v>4835</v>
      </c>
      <c r="J799" s="2" t="s">
        <v>4836</v>
      </c>
      <c r="K799" s="2" t="s">
        <v>74</v>
      </c>
      <c r="L799" s="2" t="s">
        <v>74</v>
      </c>
      <c r="M799" s="2" t="s">
        <v>74</v>
      </c>
      <c r="N799" s="2" t="s">
        <v>74</v>
      </c>
      <c r="O799" s="2" t="s">
        <v>74</v>
      </c>
      <c r="P799" s="2" t="s">
        <v>74</v>
      </c>
      <c r="Q799" s="2" t="s">
        <v>74</v>
      </c>
      <c r="R799" s="2" t="s">
        <v>74</v>
      </c>
      <c r="S799" s="2" t="s">
        <v>74</v>
      </c>
      <c r="T799" s="2" t="s">
        <v>74</v>
      </c>
      <c r="U799" s="2" t="s">
        <v>74</v>
      </c>
      <c r="V799" s="5" t="s">
        <v>4837</v>
      </c>
      <c r="W799" s="2" t="s">
        <v>74</v>
      </c>
      <c r="X799" s="2" t="s">
        <v>74</v>
      </c>
      <c r="Y799" s="2" t="s">
        <v>74</v>
      </c>
      <c r="Z799" s="2" t="s">
        <v>74</v>
      </c>
      <c r="AA799" s="2" t="s">
        <v>4838</v>
      </c>
      <c r="AB799" s="2" t="s">
        <v>4839</v>
      </c>
      <c r="AC799" s="2" t="s">
        <v>74</v>
      </c>
      <c r="AD799" s="2" t="s">
        <v>74</v>
      </c>
      <c r="AE799" s="2" t="s">
        <v>74</v>
      </c>
      <c r="AF799" s="2" t="s">
        <v>74</v>
      </c>
      <c r="AG799" s="2" t="s">
        <v>74</v>
      </c>
      <c r="AH799" s="2" t="s">
        <v>74</v>
      </c>
      <c r="AI799" s="2" t="s">
        <v>74</v>
      </c>
      <c r="AJ799" s="2" t="s">
        <v>74</v>
      </c>
      <c r="AK799" s="2" t="s">
        <v>74</v>
      </c>
      <c r="AL799" s="2" t="s">
        <v>74</v>
      </c>
      <c r="AM799" s="2" t="s">
        <v>74</v>
      </c>
      <c r="AN799" s="2" t="s">
        <v>74</v>
      </c>
      <c r="AO799" s="2" t="s">
        <v>4840</v>
      </c>
      <c r="AP799" s="2" t="s">
        <v>74</v>
      </c>
      <c r="AQ799" s="2" t="s">
        <v>74</v>
      </c>
      <c r="AR799" s="2" t="s">
        <v>74</v>
      </c>
      <c r="AS799" s="2" t="s">
        <v>74</v>
      </c>
      <c r="AT799" s="2" t="s">
        <v>4841</v>
      </c>
      <c r="AU799" s="2">
        <v>2023</v>
      </c>
      <c r="AV799" s="2">
        <v>73</v>
      </c>
      <c r="AW799" s="2" t="s">
        <v>74</v>
      </c>
      <c r="AX799" s="2" t="s">
        <v>74</v>
      </c>
      <c r="AY799" s="2" t="s">
        <v>74</v>
      </c>
      <c r="AZ799" s="2" t="s">
        <v>74</v>
      </c>
      <c r="BA799" s="2" t="s">
        <v>74</v>
      </c>
      <c r="BB799" s="2">
        <v>1</v>
      </c>
      <c r="BC799" s="2">
        <v>21</v>
      </c>
      <c r="BD799" s="2" t="s">
        <v>74</v>
      </c>
      <c r="BE799" s="2" t="s">
        <v>4842</v>
      </c>
      <c r="BF799" s="2" t="str">
        <f>HYPERLINK("http://dx.doi.org/10.3897/vz.73.e97002","http://dx.doi.org/10.3897/vz.73.e97002")</f>
        <v>http://dx.doi.org/10.3897/vz.73.e97002</v>
      </c>
      <c r="BG799" s="2" t="s">
        <v>74</v>
      </c>
      <c r="BH799" s="2" t="s">
        <v>74</v>
      </c>
      <c r="BI799" s="2" t="s">
        <v>74</v>
      </c>
      <c r="BJ799" s="2" t="s">
        <v>74</v>
      </c>
      <c r="BK799" s="2" t="s">
        <v>74</v>
      </c>
      <c r="BL799" s="2" t="s">
        <v>74</v>
      </c>
      <c r="BM799" s="2" t="s">
        <v>74</v>
      </c>
      <c r="BN799" s="2" t="s">
        <v>74</v>
      </c>
      <c r="BO799" s="2" t="s">
        <v>74</v>
      </c>
      <c r="BP799" s="2" t="s">
        <v>74</v>
      </c>
      <c r="BQ799" s="2" t="s">
        <v>74</v>
      </c>
      <c r="BR799" s="2" t="s">
        <v>74</v>
      </c>
      <c r="BS799" s="2" t="s">
        <v>4843</v>
      </c>
      <c r="BT799" s="2" t="str">
        <f>HYPERLINK("https%3A%2F%2Fwww.webofscience.com%2Fwos%2Fwoscc%2Ffull-record%2FWOS:000960500300001","View Full Record in Web of Science")</f>
        <v>View Full Record in Web of Science</v>
      </c>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row>
    <row r="800" spans="1:314" s="2" customFormat="1" x14ac:dyDescent="0.4">
      <c r="A800" s="2" t="s">
        <v>72</v>
      </c>
      <c r="B800" s="2" t="s">
        <v>4480</v>
      </c>
      <c r="C800" s="2" t="s">
        <v>74</v>
      </c>
      <c r="D800" s="2" t="s">
        <v>74</v>
      </c>
      <c r="E800" s="2" t="s">
        <v>74</v>
      </c>
      <c r="F800" s="2" t="s">
        <v>4481</v>
      </c>
      <c r="G800" s="2" t="s">
        <v>74</v>
      </c>
      <c r="H800" s="2" t="s">
        <v>74</v>
      </c>
      <c r="I800" s="2" t="s">
        <v>4482</v>
      </c>
      <c r="J800" s="2" t="s">
        <v>2901</v>
      </c>
      <c r="K800" s="2" t="s">
        <v>74</v>
      </c>
      <c r="L800" s="2" t="s">
        <v>74</v>
      </c>
      <c r="M800" s="2" t="s">
        <v>74</v>
      </c>
      <c r="N800" s="2" t="s">
        <v>74</v>
      </c>
      <c r="O800" s="2" t="s">
        <v>74</v>
      </c>
      <c r="P800" s="2" t="s">
        <v>74</v>
      </c>
      <c r="Q800" s="2" t="s">
        <v>74</v>
      </c>
      <c r="R800" s="2" t="s">
        <v>74</v>
      </c>
      <c r="S800" s="2" t="s">
        <v>74</v>
      </c>
      <c r="T800" s="2" t="s">
        <v>74</v>
      </c>
      <c r="U800" s="2" t="s">
        <v>74</v>
      </c>
      <c r="V800" s="5" t="s">
        <v>4483</v>
      </c>
      <c r="W800" s="2" t="s">
        <v>74</v>
      </c>
      <c r="X800" s="2" t="s">
        <v>74</v>
      </c>
      <c r="Y800" s="2" t="s">
        <v>74</v>
      </c>
      <c r="Z800" s="2" t="s">
        <v>74</v>
      </c>
      <c r="AA800" s="2" t="s">
        <v>4484</v>
      </c>
      <c r="AB800" s="2" t="s">
        <v>4485</v>
      </c>
      <c r="AC800" s="2" t="s">
        <v>74</v>
      </c>
      <c r="AD800" s="2" t="s">
        <v>74</v>
      </c>
      <c r="AE800" s="2" t="s">
        <v>74</v>
      </c>
      <c r="AF800" s="2" t="s">
        <v>74</v>
      </c>
      <c r="AG800" s="2" t="s">
        <v>74</v>
      </c>
      <c r="AH800" s="2" t="s">
        <v>74</v>
      </c>
      <c r="AI800" s="2" t="s">
        <v>74</v>
      </c>
      <c r="AJ800" s="2" t="s">
        <v>74</v>
      </c>
      <c r="AK800" s="2" t="s">
        <v>74</v>
      </c>
      <c r="AL800" s="2" t="s">
        <v>74</v>
      </c>
      <c r="AM800" s="2" t="s">
        <v>74</v>
      </c>
      <c r="AN800" s="2" t="s">
        <v>74</v>
      </c>
      <c r="AO800" s="2" t="s">
        <v>2903</v>
      </c>
      <c r="AP800" s="2" t="s">
        <v>2904</v>
      </c>
      <c r="AQ800" s="2" t="s">
        <v>74</v>
      </c>
      <c r="AR800" s="2" t="s">
        <v>74</v>
      </c>
      <c r="AS800" s="2" t="s">
        <v>74</v>
      </c>
      <c r="AT800" s="2" t="s">
        <v>74</v>
      </c>
      <c r="AU800" s="2">
        <v>2018</v>
      </c>
      <c r="AV800" s="2">
        <v>30</v>
      </c>
      <c r="AW800" s="2">
        <v>4</v>
      </c>
      <c r="AX800" s="2" t="s">
        <v>74</v>
      </c>
      <c r="AY800" s="2" t="s">
        <v>74</v>
      </c>
      <c r="AZ800" s="2" t="s">
        <v>74</v>
      </c>
      <c r="BA800" s="2" t="s">
        <v>74</v>
      </c>
      <c r="BB800" s="2">
        <v>319</v>
      </c>
      <c r="BC800" s="2">
        <v>330</v>
      </c>
      <c r="BD800" s="2" t="s">
        <v>74</v>
      </c>
      <c r="BE800" s="2" t="s">
        <v>4486</v>
      </c>
      <c r="BF800" s="2" t="str">
        <f>HYPERLINK("http://dx.doi.org/10.1080/03949370.2017.1402091","http://dx.doi.org/10.1080/03949370.2017.1402091")</f>
        <v>http://dx.doi.org/10.1080/03949370.2017.1402091</v>
      </c>
      <c r="BG800" s="2" t="s">
        <v>74</v>
      </c>
      <c r="BH800" s="2" t="s">
        <v>74</v>
      </c>
      <c r="BI800" s="2" t="s">
        <v>74</v>
      </c>
      <c r="BJ800" s="2" t="s">
        <v>74</v>
      </c>
      <c r="BK800" s="2" t="s">
        <v>74</v>
      </c>
      <c r="BL800" s="2" t="s">
        <v>74</v>
      </c>
      <c r="BM800" s="2" t="s">
        <v>74</v>
      </c>
      <c r="BN800" s="2" t="s">
        <v>74</v>
      </c>
      <c r="BO800" s="2" t="s">
        <v>74</v>
      </c>
      <c r="BP800" s="2" t="s">
        <v>74</v>
      </c>
      <c r="BQ800" s="2" t="s">
        <v>74</v>
      </c>
      <c r="BR800" s="2" t="s">
        <v>74</v>
      </c>
      <c r="BS800" s="2" t="s">
        <v>4487</v>
      </c>
      <c r="BT800" s="2" t="str">
        <f>HYPERLINK("https%3A%2F%2Fwww.webofscience.com%2Fwos%2Fwoscc%2Ffull-record%2FWOS:000435677500003","View Full Record in Web of Science")</f>
        <v>View Full Record in Web of Science</v>
      </c>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row>
    <row r="801" spans="1:314" s="2" customFormat="1" x14ac:dyDescent="0.4">
      <c r="A801" s="2" t="s">
        <v>72</v>
      </c>
      <c r="B801" s="2" t="s">
        <v>4349</v>
      </c>
      <c r="C801" s="2" t="s">
        <v>74</v>
      </c>
      <c r="D801" s="2" t="s">
        <v>74</v>
      </c>
      <c r="E801" s="2" t="s">
        <v>74</v>
      </c>
      <c r="F801" s="2" t="s">
        <v>4349</v>
      </c>
      <c r="G801" s="2" t="s">
        <v>74</v>
      </c>
      <c r="H801" s="2" t="s">
        <v>74</v>
      </c>
      <c r="I801" s="2" t="s">
        <v>4350</v>
      </c>
      <c r="J801" s="2" t="s">
        <v>4351</v>
      </c>
      <c r="K801" s="2" t="s">
        <v>74</v>
      </c>
      <c r="L801" s="2" t="s">
        <v>74</v>
      </c>
      <c r="M801" s="2" t="s">
        <v>74</v>
      </c>
      <c r="N801" s="2" t="s">
        <v>74</v>
      </c>
      <c r="O801" s="2" t="s">
        <v>74</v>
      </c>
      <c r="P801" s="2" t="s">
        <v>74</v>
      </c>
      <c r="Q801" s="2" t="s">
        <v>74</v>
      </c>
      <c r="R801" s="2" t="s">
        <v>74</v>
      </c>
      <c r="S801" s="2" t="s">
        <v>74</v>
      </c>
      <c r="T801" s="2" t="s">
        <v>74</v>
      </c>
      <c r="U801" s="2" t="s">
        <v>74</v>
      </c>
      <c r="V801" s="5" t="s">
        <v>4352</v>
      </c>
      <c r="W801" s="2" t="s">
        <v>74</v>
      </c>
      <c r="X801" s="2" t="s">
        <v>74</v>
      </c>
      <c r="Y801" s="2" t="s">
        <v>74</v>
      </c>
      <c r="Z801" s="2" t="s">
        <v>74</v>
      </c>
      <c r="AA801" s="2" t="s">
        <v>4353</v>
      </c>
      <c r="AB801" s="2" t="s">
        <v>74</v>
      </c>
      <c r="AC801" s="2" t="s">
        <v>74</v>
      </c>
      <c r="AD801" s="2" t="s">
        <v>74</v>
      </c>
      <c r="AE801" s="2" t="s">
        <v>74</v>
      </c>
      <c r="AF801" s="2" t="s">
        <v>74</v>
      </c>
      <c r="AG801" s="2" t="s">
        <v>74</v>
      </c>
      <c r="AH801" s="2" t="s">
        <v>74</v>
      </c>
      <c r="AI801" s="2" t="s">
        <v>74</v>
      </c>
      <c r="AJ801" s="2" t="s">
        <v>74</v>
      </c>
      <c r="AK801" s="2" t="s">
        <v>74</v>
      </c>
      <c r="AL801" s="2" t="s">
        <v>74</v>
      </c>
      <c r="AM801" s="2" t="s">
        <v>74</v>
      </c>
      <c r="AN801" s="2" t="s">
        <v>74</v>
      </c>
      <c r="AO801" s="2" t="s">
        <v>4354</v>
      </c>
      <c r="AP801" s="2" t="s">
        <v>74</v>
      </c>
      <c r="AQ801" s="2" t="s">
        <v>74</v>
      </c>
      <c r="AR801" s="2" t="s">
        <v>74</v>
      </c>
      <c r="AS801" s="2" t="s">
        <v>74</v>
      </c>
      <c r="AT801" s="2" t="s">
        <v>255</v>
      </c>
      <c r="AU801" s="2">
        <v>1992</v>
      </c>
      <c r="AV801" s="2">
        <v>100</v>
      </c>
      <c r="AW801" s="2">
        <v>1</v>
      </c>
      <c r="AX801" s="2" t="s">
        <v>74</v>
      </c>
      <c r="AY801" s="2" t="s">
        <v>74</v>
      </c>
      <c r="AZ801" s="2" t="s">
        <v>74</v>
      </c>
      <c r="BA801" s="2" t="s">
        <v>74</v>
      </c>
      <c r="BB801" s="2">
        <v>137</v>
      </c>
      <c r="BC801" s="2">
        <v>141</v>
      </c>
      <c r="BD801" s="2" t="s">
        <v>74</v>
      </c>
      <c r="BE801" s="2" t="s">
        <v>74</v>
      </c>
      <c r="BF801" s="2" t="s">
        <v>74</v>
      </c>
      <c r="BG801" s="2" t="s">
        <v>74</v>
      </c>
      <c r="BH801" s="2" t="s">
        <v>74</v>
      </c>
      <c r="BI801" s="2" t="s">
        <v>74</v>
      </c>
      <c r="BJ801" s="2" t="s">
        <v>74</v>
      </c>
      <c r="BK801" s="2" t="s">
        <v>74</v>
      </c>
      <c r="BL801" s="2" t="s">
        <v>74</v>
      </c>
      <c r="BM801" s="2" t="s">
        <v>74</v>
      </c>
      <c r="BN801" s="2" t="s">
        <v>74</v>
      </c>
      <c r="BO801" s="2" t="s">
        <v>74</v>
      </c>
      <c r="BP801" s="2" t="s">
        <v>74</v>
      </c>
      <c r="BQ801" s="2" t="s">
        <v>74</v>
      </c>
      <c r="BR801" s="2" t="s">
        <v>74</v>
      </c>
      <c r="BS801" s="2" t="s">
        <v>4355</v>
      </c>
      <c r="BT801" s="2" t="str">
        <f>HYPERLINK("https%3A%2F%2Fwww.webofscience.com%2Fwos%2Fwoscc%2Ffull-record%2FWOS:A1992HD98800004","View Full Record in Web of Science")</f>
        <v>View Full Record in Web of Science</v>
      </c>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row>
    <row r="802" spans="1:314" s="2" customFormat="1" x14ac:dyDescent="0.4">
      <c r="A802" s="2" t="s">
        <v>72</v>
      </c>
      <c r="B802" s="2" t="s">
        <v>3000</v>
      </c>
      <c r="C802" s="2" t="s">
        <v>74</v>
      </c>
      <c r="D802" s="2" t="s">
        <v>74</v>
      </c>
      <c r="E802" s="2" t="s">
        <v>74</v>
      </c>
      <c r="F802" s="2" t="s">
        <v>3001</v>
      </c>
      <c r="G802" s="2" t="s">
        <v>74</v>
      </c>
      <c r="H802" s="2" t="s">
        <v>74</v>
      </c>
      <c r="I802" s="2" t="s">
        <v>3002</v>
      </c>
      <c r="J802" s="2" t="s">
        <v>3003</v>
      </c>
      <c r="K802" s="2" t="s">
        <v>74</v>
      </c>
      <c r="L802" s="2" t="s">
        <v>74</v>
      </c>
      <c r="M802" s="2" t="s">
        <v>74</v>
      </c>
      <c r="N802" s="2" t="s">
        <v>74</v>
      </c>
      <c r="O802" s="2" t="s">
        <v>74</v>
      </c>
      <c r="P802" s="2" t="s">
        <v>74</v>
      </c>
      <c r="Q802" s="2" t="s">
        <v>74</v>
      </c>
      <c r="R802" s="2" t="s">
        <v>74</v>
      </c>
      <c r="S802" s="2" t="s">
        <v>74</v>
      </c>
      <c r="T802" s="2" t="s">
        <v>74</v>
      </c>
      <c r="U802" s="2" t="s">
        <v>74</v>
      </c>
      <c r="V802" s="5" t="s">
        <v>3004</v>
      </c>
      <c r="W802" s="2" t="s">
        <v>74</v>
      </c>
      <c r="X802" s="2" t="s">
        <v>74</v>
      </c>
      <c r="Y802" s="2" t="s">
        <v>74</v>
      </c>
      <c r="Z802" s="2" t="s">
        <v>74</v>
      </c>
      <c r="AA802" s="2" t="s">
        <v>74</v>
      </c>
      <c r="AB802" s="2" t="s">
        <v>74</v>
      </c>
      <c r="AC802" s="2" t="s">
        <v>74</v>
      </c>
      <c r="AD802" s="2" t="s">
        <v>74</v>
      </c>
      <c r="AE802" s="2" t="s">
        <v>74</v>
      </c>
      <c r="AF802" s="2" t="s">
        <v>74</v>
      </c>
      <c r="AG802" s="2" t="s">
        <v>74</v>
      </c>
      <c r="AH802" s="2" t="s">
        <v>74</v>
      </c>
      <c r="AI802" s="2" t="s">
        <v>74</v>
      </c>
      <c r="AJ802" s="2" t="s">
        <v>74</v>
      </c>
      <c r="AK802" s="2" t="s">
        <v>74</v>
      </c>
      <c r="AL802" s="2" t="s">
        <v>74</v>
      </c>
      <c r="AM802" s="2" t="s">
        <v>74</v>
      </c>
      <c r="AN802" s="2" t="s">
        <v>74</v>
      </c>
      <c r="AO802" s="2" t="s">
        <v>3005</v>
      </c>
      <c r="AP802" s="2" t="s">
        <v>74</v>
      </c>
      <c r="AQ802" s="2" t="s">
        <v>74</v>
      </c>
      <c r="AR802" s="2" t="s">
        <v>74</v>
      </c>
      <c r="AS802" s="2" t="s">
        <v>74</v>
      </c>
      <c r="AT802" s="2" t="s">
        <v>3006</v>
      </c>
      <c r="AU802" s="2">
        <v>2010</v>
      </c>
      <c r="AV802" s="2">
        <v>64</v>
      </c>
      <c r="AW802" s="2">
        <v>2</v>
      </c>
      <c r="AX802" s="2" t="s">
        <v>74</v>
      </c>
      <c r="AY802" s="2" t="s">
        <v>74</v>
      </c>
      <c r="AZ802" s="2" t="s">
        <v>74</v>
      </c>
      <c r="BA802" s="2" t="s">
        <v>74</v>
      </c>
      <c r="BB802" s="2">
        <v>57</v>
      </c>
      <c r="BC802" s="2">
        <v>68</v>
      </c>
      <c r="BD802" s="2" t="s">
        <v>74</v>
      </c>
      <c r="BE802" s="2" t="s">
        <v>74</v>
      </c>
      <c r="BF802" s="2" t="s">
        <v>74</v>
      </c>
      <c r="BG802" s="2" t="s">
        <v>74</v>
      </c>
      <c r="BH802" s="2" t="s">
        <v>74</v>
      </c>
      <c r="BI802" s="2" t="s">
        <v>74</v>
      </c>
      <c r="BJ802" s="2" t="s">
        <v>74</v>
      </c>
      <c r="BK802" s="2" t="s">
        <v>74</v>
      </c>
      <c r="BL802" s="2" t="s">
        <v>74</v>
      </c>
      <c r="BM802" s="2" t="s">
        <v>74</v>
      </c>
      <c r="BN802" s="2" t="s">
        <v>74</v>
      </c>
      <c r="BO802" s="2" t="s">
        <v>74</v>
      </c>
      <c r="BP802" s="2" t="s">
        <v>74</v>
      </c>
      <c r="BQ802" s="2" t="s">
        <v>74</v>
      </c>
      <c r="BR802" s="2" t="s">
        <v>74</v>
      </c>
      <c r="BS802" s="2" t="s">
        <v>3007</v>
      </c>
      <c r="BT802" s="2" t="str">
        <f>HYPERLINK("https%3A%2F%2Fwww.webofscience.com%2Fwos%2Fwoscc%2Ffull-record%2FWOS:000280497600001","View Full Record in Web of Science")</f>
        <v>View Full Record in Web of Science</v>
      </c>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row>
    <row r="803" spans="1:314" s="2" customFormat="1" x14ac:dyDescent="0.4">
      <c r="A803" s="2" t="s">
        <v>72</v>
      </c>
      <c r="B803" s="2" t="s">
        <v>8088</v>
      </c>
      <c r="C803" s="2" t="s">
        <v>74</v>
      </c>
      <c r="D803" s="2" t="s">
        <v>74</v>
      </c>
      <c r="E803" s="2" t="s">
        <v>74</v>
      </c>
      <c r="F803" s="2" t="s">
        <v>8088</v>
      </c>
      <c r="G803" s="2" t="s">
        <v>74</v>
      </c>
      <c r="H803" s="2" t="s">
        <v>74</v>
      </c>
      <c r="I803" s="2" t="s">
        <v>8089</v>
      </c>
      <c r="J803" s="2" t="s">
        <v>344</v>
      </c>
      <c r="K803" s="2" t="s">
        <v>74</v>
      </c>
      <c r="L803" s="2" t="s">
        <v>74</v>
      </c>
      <c r="M803" s="2" t="s">
        <v>74</v>
      </c>
      <c r="N803" s="2" t="s">
        <v>74</v>
      </c>
      <c r="O803" s="2" t="s">
        <v>74</v>
      </c>
      <c r="P803" s="2" t="s">
        <v>74</v>
      </c>
      <c r="Q803" s="2" t="s">
        <v>74</v>
      </c>
      <c r="R803" s="2" t="s">
        <v>74</v>
      </c>
      <c r="S803" s="2" t="s">
        <v>74</v>
      </c>
      <c r="T803" s="2" t="s">
        <v>74</v>
      </c>
      <c r="U803" s="2" t="s">
        <v>74</v>
      </c>
      <c r="V803" s="5" t="s">
        <v>8090</v>
      </c>
      <c r="W803" s="2" t="s">
        <v>74</v>
      </c>
      <c r="X803" s="2" t="s">
        <v>74</v>
      </c>
      <c r="Y803" s="2" t="s">
        <v>74</v>
      </c>
      <c r="Z803" s="2" t="s">
        <v>74</v>
      </c>
      <c r="AA803" s="2" t="s">
        <v>74</v>
      </c>
      <c r="AB803" s="2" t="s">
        <v>74</v>
      </c>
      <c r="AC803" s="2" t="s">
        <v>74</v>
      </c>
      <c r="AD803" s="2" t="s">
        <v>74</v>
      </c>
      <c r="AE803" s="2" t="s">
        <v>74</v>
      </c>
      <c r="AF803" s="2" t="s">
        <v>74</v>
      </c>
      <c r="AG803" s="2" t="s">
        <v>74</v>
      </c>
      <c r="AH803" s="2" t="s">
        <v>74</v>
      </c>
      <c r="AI803" s="2" t="s">
        <v>74</v>
      </c>
      <c r="AJ803" s="2" t="s">
        <v>74</v>
      </c>
      <c r="AK803" s="2" t="s">
        <v>74</v>
      </c>
      <c r="AL803" s="2" t="s">
        <v>74</v>
      </c>
      <c r="AM803" s="2" t="s">
        <v>74</v>
      </c>
      <c r="AN803" s="2" t="s">
        <v>74</v>
      </c>
      <c r="AO803" s="2" t="s">
        <v>346</v>
      </c>
      <c r="AP803" s="2" t="s">
        <v>74</v>
      </c>
      <c r="AQ803" s="2" t="s">
        <v>74</v>
      </c>
      <c r="AR803" s="2" t="s">
        <v>74</v>
      </c>
      <c r="AS803" s="2" t="s">
        <v>74</v>
      </c>
      <c r="AT803" s="2" t="s">
        <v>213</v>
      </c>
      <c r="AU803" s="2">
        <v>1994</v>
      </c>
      <c r="AV803" s="2">
        <v>41</v>
      </c>
      <c r="AW803" s="2" t="s">
        <v>3743</v>
      </c>
      <c r="AX803" s="2" t="s">
        <v>74</v>
      </c>
      <c r="AY803" s="2" t="s">
        <v>74</v>
      </c>
      <c r="AZ803" s="2" t="s">
        <v>74</v>
      </c>
      <c r="BA803" s="2" t="s">
        <v>74</v>
      </c>
      <c r="BB803" s="2">
        <v>403</v>
      </c>
      <c r="BC803" s="2">
        <v>414</v>
      </c>
      <c r="BD803" s="2" t="s">
        <v>74</v>
      </c>
      <c r="BE803" s="2" t="s">
        <v>74</v>
      </c>
      <c r="BF803" s="2" t="s">
        <v>74</v>
      </c>
      <c r="BG803" s="2" t="s">
        <v>74</v>
      </c>
      <c r="BH803" s="2" t="s">
        <v>74</v>
      </c>
      <c r="BI803" s="2" t="s">
        <v>74</v>
      </c>
      <c r="BJ803" s="2" t="s">
        <v>74</v>
      </c>
      <c r="BK803" s="2" t="s">
        <v>74</v>
      </c>
      <c r="BL803" s="2" t="s">
        <v>74</v>
      </c>
      <c r="BM803" s="2" t="s">
        <v>74</v>
      </c>
      <c r="BN803" s="2" t="s">
        <v>74</v>
      </c>
      <c r="BO803" s="2" t="s">
        <v>74</v>
      </c>
      <c r="BP803" s="2" t="s">
        <v>74</v>
      </c>
      <c r="BQ803" s="2" t="s">
        <v>74</v>
      </c>
      <c r="BR803" s="2" t="s">
        <v>74</v>
      </c>
      <c r="BS803" s="2" t="s">
        <v>8091</v>
      </c>
      <c r="BT803" s="2" t="str">
        <f>HYPERLINK("https%3A%2F%2Fwww.webofscience.com%2Fwos%2Fwoscc%2Ffull-record%2FWOS:A1994QE85200028","View Full Record in Web of Science")</f>
        <v>View Full Record in Web of Science</v>
      </c>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row>
    <row r="804" spans="1:314" s="2" customFormat="1" x14ac:dyDescent="0.4">
      <c r="A804" s="2" t="s">
        <v>72</v>
      </c>
      <c r="B804" s="2" t="s">
        <v>8518</v>
      </c>
      <c r="C804" s="2" t="s">
        <v>74</v>
      </c>
      <c r="D804" s="2" t="s">
        <v>74</v>
      </c>
      <c r="E804" s="2" t="s">
        <v>74</v>
      </c>
      <c r="F804" s="2" t="s">
        <v>8519</v>
      </c>
      <c r="G804" s="2" t="s">
        <v>74</v>
      </c>
      <c r="H804" s="2" t="s">
        <v>74</v>
      </c>
      <c r="I804" s="2" t="s">
        <v>8520</v>
      </c>
      <c r="J804" s="2" t="s">
        <v>281</v>
      </c>
      <c r="K804" s="2" t="s">
        <v>74</v>
      </c>
      <c r="L804" s="2" t="s">
        <v>74</v>
      </c>
      <c r="M804" s="2" t="s">
        <v>74</v>
      </c>
      <c r="N804" s="2" t="s">
        <v>74</v>
      </c>
      <c r="O804" s="2" t="s">
        <v>74</v>
      </c>
      <c r="P804" s="2" t="s">
        <v>74</v>
      </c>
      <c r="Q804" s="2" t="s">
        <v>74</v>
      </c>
      <c r="R804" s="2" t="s">
        <v>74</v>
      </c>
      <c r="S804" s="2" t="s">
        <v>74</v>
      </c>
      <c r="T804" s="2" t="s">
        <v>74</v>
      </c>
      <c r="U804" s="2" t="s">
        <v>74</v>
      </c>
      <c r="V804" s="5" t="s">
        <v>8521</v>
      </c>
      <c r="W804" s="2" t="s">
        <v>74</v>
      </c>
      <c r="X804" s="2" t="s">
        <v>74</v>
      </c>
      <c r="Y804" s="2" t="s">
        <v>74</v>
      </c>
      <c r="Z804" s="2" t="s">
        <v>74</v>
      </c>
      <c r="AA804" s="2" t="s">
        <v>8522</v>
      </c>
      <c r="AB804" s="2" t="s">
        <v>8523</v>
      </c>
      <c r="AC804" s="2" t="s">
        <v>74</v>
      </c>
      <c r="AD804" s="2" t="s">
        <v>74</v>
      </c>
      <c r="AE804" s="2" t="s">
        <v>74</v>
      </c>
      <c r="AF804" s="2" t="s">
        <v>74</v>
      </c>
      <c r="AG804" s="2" t="s">
        <v>74</v>
      </c>
      <c r="AH804" s="2" t="s">
        <v>74</v>
      </c>
      <c r="AI804" s="2" t="s">
        <v>74</v>
      </c>
      <c r="AJ804" s="2" t="s">
        <v>74</v>
      </c>
      <c r="AK804" s="2" t="s">
        <v>74</v>
      </c>
      <c r="AL804" s="2" t="s">
        <v>74</v>
      </c>
      <c r="AM804" s="2" t="s">
        <v>74</v>
      </c>
      <c r="AN804" s="2" t="s">
        <v>74</v>
      </c>
      <c r="AO804" s="2" t="s">
        <v>285</v>
      </c>
      <c r="AP804" s="2" t="s">
        <v>286</v>
      </c>
      <c r="AQ804" s="2" t="s">
        <v>74</v>
      </c>
      <c r="AR804" s="2" t="s">
        <v>74</v>
      </c>
      <c r="AS804" s="2" t="s">
        <v>74</v>
      </c>
      <c r="AT804" s="2" t="s">
        <v>255</v>
      </c>
      <c r="AU804" s="2">
        <v>2020</v>
      </c>
      <c r="AV804" s="2">
        <v>23</v>
      </c>
      <c r="AW804" s="2">
        <v>1</v>
      </c>
      <c r="AX804" s="2" t="s">
        <v>74</v>
      </c>
      <c r="AY804" s="2" t="s">
        <v>74</v>
      </c>
      <c r="AZ804" s="2" t="s">
        <v>74</v>
      </c>
      <c r="BA804" s="2" t="s">
        <v>74</v>
      </c>
      <c r="BB804" s="2">
        <v>41</v>
      </c>
      <c r="BC804" s="2">
        <v>53</v>
      </c>
      <c r="BD804" s="2" t="s">
        <v>74</v>
      </c>
      <c r="BE804" s="2" t="s">
        <v>8524</v>
      </c>
      <c r="BF804" s="2" t="str">
        <f>HYPERLINK("http://dx.doi.org/10.1007/s10071-019-01313-x","http://dx.doi.org/10.1007/s10071-019-01313-x")</f>
        <v>http://dx.doi.org/10.1007/s10071-019-01313-x</v>
      </c>
      <c r="BG804" s="2" t="s">
        <v>74</v>
      </c>
      <c r="BH804" s="2" t="s">
        <v>6757</v>
      </c>
      <c r="BI804" s="2" t="s">
        <v>74</v>
      </c>
      <c r="BJ804" s="2" t="s">
        <v>74</v>
      </c>
      <c r="BK804" s="2" t="s">
        <v>74</v>
      </c>
      <c r="BL804" s="2" t="s">
        <v>74</v>
      </c>
      <c r="BM804" s="2" t="s">
        <v>74</v>
      </c>
      <c r="BN804" s="2">
        <v>31586279</v>
      </c>
      <c r="BO804" s="2" t="s">
        <v>74</v>
      </c>
      <c r="BP804" s="2" t="s">
        <v>74</v>
      </c>
      <c r="BQ804" s="2" t="s">
        <v>74</v>
      </c>
      <c r="BR804" s="2" t="s">
        <v>74</v>
      </c>
      <c r="BS804" s="2" t="s">
        <v>8525</v>
      </c>
      <c r="BT804" s="2" t="str">
        <f>HYPERLINK("https%3A%2F%2Fwww.webofscience.com%2Fwos%2Fwoscc%2Ffull-record%2FWOS:000488937600001","View Full Record in Web of Science")</f>
        <v>View Full Record in Web of Science</v>
      </c>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row>
    <row r="805" spans="1:314" s="2" customFormat="1" x14ac:dyDescent="0.4">
      <c r="A805" s="2" t="s">
        <v>72</v>
      </c>
      <c r="B805" s="2" t="s">
        <v>752</v>
      </c>
      <c r="C805" s="2" t="s">
        <v>74</v>
      </c>
      <c r="D805" s="2" t="s">
        <v>74</v>
      </c>
      <c r="E805" s="2" t="s">
        <v>74</v>
      </c>
      <c r="F805" s="2" t="s">
        <v>753</v>
      </c>
      <c r="G805" s="2" t="s">
        <v>74</v>
      </c>
      <c r="H805" s="2" t="s">
        <v>74</v>
      </c>
      <c r="I805" s="2" t="s">
        <v>754</v>
      </c>
      <c r="J805" s="2" t="s">
        <v>140</v>
      </c>
      <c r="K805" s="2" t="s">
        <v>74</v>
      </c>
      <c r="L805" s="2" t="s">
        <v>74</v>
      </c>
      <c r="M805" s="2" t="s">
        <v>74</v>
      </c>
      <c r="N805" s="2" t="s">
        <v>74</v>
      </c>
      <c r="O805" s="2" t="s">
        <v>74</v>
      </c>
      <c r="P805" s="2" t="s">
        <v>74</v>
      </c>
      <c r="Q805" s="2" t="s">
        <v>74</v>
      </c>
      <c r="R805" s="2" t="s">
        <v>74</v>
      </c>
      <c r="S805" s="2" t="s">
        <v>74</v>
      </c>
      <c r="T805" s="2" t="s">
        <v>74</v>
      </c>
      <c r="U805" s="2" t="s">
        <v>74</v>
      </c>
      <c r="V805" s="5" t="s">
        <v>755</v>
      </c>
      <c r="W805" s="2" t="s">
        <v>74</v>
      </c>
      <c r="X805" s="2" t="s">
        <v>74</v>
      </c>
      <c r="Y805" s="2" t="s">
        <v>74</v>
      </c>
      <c r="Z805" s="2" t="s">
        <v>74</v>
      </c>
      <c r="AA805" s="2" t="s">
        <v>756</v>
      </c>
      <c r="AB805" s="2" t="s">
        <v>757</v>
      </c>
      <c r="AC805" s="2" t="s">
        <v>74</v>
      </c>
      <c r="AD805" s="2" t="s">
        <v>74</v>
      </c>
      <c r="AE805" s="2" t="s">
        <v>74</v>
      </c>
      <c r="AF805" s="2" t="s">
        <v>74</v>
      </c>
      <c r="AG805" s="2" t="s">
        <v>74</v>
      </c>
      <c r="AH805" s="2" t="s">
        <v>74</v>
      </c>
      <c r="AI805" s="2" t="s">
        <v>74</v>
      </c>
      <c r="AJ805" s="2" t="s">
        <v>74</v>
      </c>
      <c r="AK805" s="2" t="s">
        <v>74</v>
      </c>
      <c r="AL805" s="2" t="s">
        <v>74</v>
      </c>
      <c r="AM805" s="2" t="s">
        <v>74</v>
      </c>
      <c r="AN805" s="2" t="s">
        <v>74</v>
      </c>
      <c r="AO805" s="2" t="s">
        <v>143</v>
      </c>
      <c r="AP805" s="2" t="s">
        <v>144</v>
      </c>
      <c r="AQ805" s="2" t="s">
        <v>74</v>
      </c>
      <c r="AR805" s="2" t="s">
        <v>74</v>
      </c>
      <c r="AS805" s="2" t="s">
        <v>74</v>
      </c>
      <c r="AT805" s="2" t="s">
        <v>352</v>
      </c>
      <c r="AU805" s="2">
        <v>2013</v>
      </c>
      <c r="AV805" s="2">
        <v>86</v>
      </c>
      <c r="AW805" s="2">
        <v>3</v>
      </c>
      <c r="AX805" s="2" t="s">
        <v>74</v>
      </c>
      <c r="AY805" s="2" t="s">
        <v>74</v>
      </c>
      <c r="AZ805" s="2" t="s">
        <v>74</v>
      </c>
      <c r="BA805" s="2" t="s">
        <v>74</v>
      </c>
      <c r="BB805" s="2">
        <v>595</v>
      </c>
      <c r="BC805" s="2">
        <v>602</v>
      </c>
      <c r="BD805" s="2" t="s">
        <v>74</v>
      </c>
      <c r="BE805" s="2" t="s">
        <v>758</v>
      </c>
      <c r="BF805" s="2" t="str">
        <f>HYPERLINK("http://dx.doi.org/10.1016/j.anbehav.2013.06.015","http://dx.doi.org/10.1016/j.anbehav.2013.06.015")</f>
        <v>http://dx.doi.org/10.1016/j.anbehav.2013.06.015</v>
      </c>
      <c r="BG805" s="2" t="s">
        <v>74</v>
      </c>
      <c r="BH805" s="2" t="s">
        <v>74</v>
      </c>
      <c r="BI805" s="2" t="s">
        <v>74</v>
      </c>
      <c r="BJ805" s="2" t="s">
        <v>74</v>
      </c>
      <c r="BK805" s="2" t="s">
        <v>74</v>
      </c>
      <c r="BL805" s="2" t="s">
        <v>74</v>
      </c>
      <c r="BM805" s="2" t="s">
        <v>74</v>
      </c>
      <c r="BN805" s="2">
        <v>24027343</v>
      </c>
      <c r="BO805" s="2" t="s">
        <v>74</v>
      </c>
      <c r="BP805" s="2" t="s">
        <v>74</v>
      </c>
      <c r="BQ805" s="2" t="s">
        <v>74</v>
      </c>
      <c r="BR805" s="2" t="s">
        <v>74</v>
      </c>
      <c r="BS805" s="2" t="s">
        <v>759</v>
      </c>
      <c r="BT805" s="2" t="str">
        <f>HYPERLINK("https%3A%2F%2Fwww.webofscience.com%2Fwos%2Fwoscc%2Ffull-record%2FWOS:000323944200016","View Full Record in Web of Science")</f>
        <v>View Full Record in Web of Science</v>
      </c>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row>
    <row r="806" spans="1:314" s="2" customFormat="1" x14ac:dyDescent="0.4">
      <c r="A806" s="2" t="s">
        <v>72</v>
      </c>
      <c r="B806" s="2" t="s">
        <v>4761</v>
      </c>
      <c r="C806" s="2" t="s">
        <v>74</v>
      </c>
      <c r="D806" s="2" t="s">
        <v>74</v>
      </c>
      <c r="E806" s="2" t="s">
        <v>74</v>
      </c>
      <c r="F806" s="2" t="s">
        <v>4762</v>
      </c>
      <c r="G806" s="2" t="s">
        <v>74</v>
      </c>
      <c r="H806" s="2" t="s">
        <v>74</v>
      </c>
      <c r="I806" s="2" t="s">
        <v>4763</v>
      </c>
      <c r="J806" s="2" t="s">
        <v>1656</v>
      </c>
      <c r="K806" s="2" t="s">
        <v>74</v>
      </c>
      <c r="L806" s="2" t="s">
        <v>74</v>
      </c>
      <c r="M806" s="2" t="s">
        <v>74</v>
      </c>
      <c r="N806" s="2" t="s">
        <v>74</v>
      </c>
      <c r="O806" s="2" t="s">
        <v>74</v>
      </c>
      <c r="P806" s="2" t="s">
        <v>74</v>
      </c>
      <c r="Q806" s="2" t="s">
        <v>74</v>
      </c>
      <c r="R806" s="2" t="s">
        <v>74</v>
      </c>
      <c r="S806" s="2" t="s">
        <v>74</v>
      </c>
      <c r="T806" s="2" t="s">
        <v>74</v>
      </c>
      <c r="U806" s="2" t="s">
        <v>74</v>
      </c>
      <c r="V806" s="5" t="s">
        <v>4764</v>
      </c>
      <c r="W806" s="2" t="s">
        <v>74</v>
      </c>
      <c r="X806" s="2" t="s">
        <v>74</v>
      </c>
      <c r="Y806" s="2" t="s">
        <v>74</v>
      </c>
      <c r="Z806" s="2" t="s">
        <v>74</v>
      </c>
      <c r="AA806" s="2" t="s">
        <v>4765</v>
      </c>
      <c r="AB806" s="2" t="s">
        <v>4766</v>
      </c>
      <c r="AC806" s="2" t="s">
        <v>74</v>
      </c>
      <c r="AD806" s="2" t="s">
        <v>74</v>
      </c>
      <c r="AE806" s="2" t="s">
        <v>74</v>
      </c>
      <c r="AF806" s="2" t="s">
        <v>74</v>
      </c>
      <c r="AG806" s="2" t="s">
        <v>74</v>
      </c>
      <c r="AH806" s="2" t="s">
        <v>74</v>
      </c>
      <c r="AI806" s="2" t="s">
        <v>74</v>
      </c>
      <c r="AJ806" s="2" t="s">
        <v>74</v>
      </c>
      <c r="AK806" s="2" t="s">
        <v>74</v>
      </c>
      <c r="AL806" s="2" t="s">
        <v>74</v>
      </c>
      <c r="AM806" s="2" t="s">
        <v>74</v>
      </c>
      <c r="AN806" s="2" t="s">
        <v>74</v>
      </c>
      <c r="AO806" s="2" t="s">
        <v>1658</v>
      </c>
      <c r="AP806" s="2" t="s">
        <v>1659</v>
      </c>
      <c r="AQ806" s="2" t="s">
        <v>74</v>
      </c>
      <c r="AR806" s="2" t="s">
        <v>74</v>
      </c>
      <c r="AS806" s="2" t="s">
        <v>74</v>
      </c>
      <c r="AT806" s="2" t="s">
        <v>3105</v>
      </c>
      <c r="AU806" s="2">
        <v>2009</v>
      </c>
      <c r="AV806" s="2" t="s">
        <v>74</v>
      </c>
      <c r="AW806" s="2">
        <v>2283</v>
      </c>
      <c r="AX806" s="2" t="s">
        <v>74</v>
      </c>
      <c r="AY806" s="2" t="s">
        <v>74</v>
      </c>
      <c r="AZ806" s="2" t="s">
        <v>74</v>
      </c>
      <c r="BA806" s="2" t="s">
        <v>74</v>
      </c>
      <c r="BB806" s="2">
        <v>16</v>
      </c>
      <c r="BC806" s="2">
        <v>28</v>
      </c>
      <c r="BD806" s="2" t="s">
        <v>74</v>
      </c>
      <c r="BE806" s="2" t="s">
        <v>4767</v>
      </c>
      <c r="BF806" s="2" t="str">
        <f>HYPERLINK("http://dx.doi.org/10.11646/zootaxa.2283.1.2","http://dx.doi.org/10.11646/zootaxa.2283.1.2")</f>
        <v>http://dx.doi.org/10.11646/zootaxa.2283.1.2</v>
      </c>
      <c r="BG806" s="2" t="s">
        <v>74</v>
      </c>
      <c r="BH806" s="2" t="s">
        <v>74</v>
      </c>
      <c r="BI806" s="2" t="s">
        <v>74</v>
      </c>
      <c r="BJ806" s="2" t="s">
        <v>74</v>
      </c>
      <c r="BK806" s="2" t="s">
        <v>74</v>
      </c>
      <c r="BL806" s="2" t="s">
        <v>74</v>
      </c>
      <c r="BM806" s="2" t="s">
        <v>74</v>
      </c>
      <c r="BN806" s="2" t="s">
        <v>74</v>
      </c>
      <c r="BO806" s="2" t="s">
        <v>74</v>
      </c>
      <c r="BP806" s="2" t="s">
        <v>74</v>
      </c>
      <c r="BQ806" s="2" t="s">
        <v>74</v>
      </c>
      <c r="BR806" s="2" t="s">
        <v>74</v>
      </c>
      <c r="BS806" s="2" t="s">
        <v>4768</v>
      </c>
      <c r="BT806" s="2" t="str">
        <f>HYPERLINK("https%3A%2F%2Fwww.webofscience.com%2Fwos%2Fwoscc%2Ffull-record%2FWOS:000271469200002","View Full Record in Web of Science")</f>
        <v>View Full Record in Web of Science</v>
      </c>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row>
    <row r="807" spans="1:314" s="2" customFormat="1" x14ac:dyDescent="0.4">
      <c r="A807" s="2" t="s">
        <v>72</v>
      </c>
      <c r="B807" s="2" t="s">
        <v>5246</v>
      </c>
      <c r="C807" s="2" t="s">
        <v>74</v>
      </c>
      <c r="D807" s="2" t="s">
        <v>74</v>
      </c>
      <c r="E807" s="2" t="s">
        <v>74</v>
      </c>
      <c r="F807" s="2" t="s">
        <v>5246</v>
      </c>
      <c r="G807" s="2" t="s">
        <v>74</v>
      </c>
      <c r="H807" s="2" t="s">
        <v>74</v>
      </c>
      <c r="I807" s="2" t="s">
        <v>5247</v>
      </c>
      <c r="J807" s="2" t="s">
        <v>218</v>
      </c>
      <c r="K807" s="2" t="s">
        <v>74</v>
      </c>
      <c r="L807" s="2" t="s">
        <v>74</v>
      </c>
      <c r="M807" s="2" t="s">
        <v>74</v>
      </c>
      <c r="N807" s="2" t="s">
        <v>74</v>
      </c>
      <c r="O807" s="2" t="s">
        <v>74</v>
      </c>
      <c r="P807" s="2" t="s">
        <v>74</v>
      </c>
      <c r="Q807" s="2" t="s">
        <v>74</v>
      </c>
      <c r="R807" s="2" t="s">
        <v>74</v>
      </c>
      <c r="S807" s="2" t="s">
        <v>74</v>
      </c>
      <c r="T807" s="2" t="s">
        <v>74</v>
      </c>
      <c r="U807" s="2" t="s">
        <v>74</v>
      </c>
      <c r="V807" s="5" t="s">
        <v>5248</v>
      </c>
      <c r="W807" s="2" t="s">
        <v>74</v>
      </c>
      <c r="X807" s="2" t="s">
        <v>74</v>
      </c>
      <c r="Y807" s="2" t="s">
        <v>74</v>
      </c>
      <c r="Z807" s="2" t="s">
        <v>74</v>
      </c>
      <c r="AA807" s="2" t="s">
        <v>74</v>
      </c>
      <c r="AB807" s="2" t="s">
        <v>74</v>
      </c>
      <c r="AC807" s="2" t="s">
        <v>74</v>
      </c>
      <c r="AD807" s="2" t="s">
        <v>74</v>
      </c>
      <c r="AE807" s="2" t="s">
        <v>74</v>
      </c>
      <c r="AF807" s="2" t="s">
        <v>74</v>
      </c>
      <c r="AG807" s="2" t="s">
        <v>74</v>
      </c>
      <c r="AH807" s="2" t="s">
        <v>74</v>
      </c>
      <c r="AI807" s="2" t="s">
        <v>74</v>
      </c>
      <c r="AJ807" s="2" t="s">
        <v>74</v>
      </c>
      <c r="AK807" s="2" t="s">
        <v>74</v>
      </c>
      <c r="AL807" s="2" t="s">
        <v>74</v>
      </c>
      <c r="AM807" s="2" t="s">
        <v>74</v>
      </c>
      <c r="AN807" s="2" t="s">
        <v>74</v>
      </c>
      <c r="AO807" s="2" t="s">
        <v>221</v>
      </c>
      <c r="AP807" s="2" t="s">
        <v>74</v>
      </c>
      <c r="AQ807" s="2" t="s">
        <v>74</v>
      </c>
      <c r="AR807" s="2" t="s">
        <v>74</v>
      </c>
      <c r="AS807" s="2" t="s">
        <v>74</v>
      </c>
      <c r="AT807" s="2" t="s">
        <v>352</v>
      </c>
      <c r="AU807" s="2">
        <v>1999</v>
      </c>
      <c r="AV807" s="2">
        <v>12</v>
      </c>
      <c r="AW807" s="2">
        <v>5</v>
      </c>
      <c r="AX807" s="2" t="s">
        <v>74</v>
      </c>
      <c r="AY807" s="2" t="s">
        <v>74</v>
      </c>
      <c r="AZ807" s="2" t="s">
        <v>74</v>
      </c>
      <c r="BA807" s="2" t="s">
        <v>74</v>
      </c>
      <c r="BB807" s="2">
        <v>936</v>
      </c>
      <c r="BC807" s="2">
        <v>950</v>
      </c>
      <c r="BD807" s="2" t="s">
        <v>74</v>
      </c>
      <c r="BE807" s="2" t="s">
        <v>5249</v>
      </c>
      <c r="BF807" s="2" t="str">
        <f>HYPERLINK("http://dx.doi.org/10.1046/j.1420-9101.1999.00111.x","http://dx.doi.org/10.1046/j.1420-9101.1999.00111.x")</f>
        <v>http://dx.doi.org/10.1046/j.1420-9101.1999.00111.x</v>
      </c>
      <c r="BG807" s="2" t="s">
        <v>74</v>
      </c>
      <c r="BH807" s="2" t="s">
        <v>74</v>
      </c>
      <c r="BI807" s="2" t="s">
        <v>74</v>
      </c>
      <c r="BJ807" s="2" t="s">
        <v>74</v>
      </c>
      <c r="BK807" s="2" t="s">
        <v>74</v>
      </c>
      <c r="BL807" s="2" t="s">
        <v>74</v>
      </c>
      <c r="BM807" s="2" t="s">
        <v>74</v>
      </c>
      <c r="BN807" s="2" t="s">
        <v>74</v>
      </c>
      <c r="BO807" s="2" t="s">
        <v>74</v>
      </c>
      <c r="BP807" s="2" t="s">
        <v>74</v>
      </c>
      <c r="BQ807" s="2" t="s">
        <v>74</v>
      </c>
      <c r="BR807" s="2" t="s">
        <v>74</v>
      </c>
      <c r="BS807" s="2" t="s">
        <v>5250</v>
      </c>
      <c r="BT807" s="2" t="str">
        <f>HYPERLINK("https%3A%2F%2Fwww.webofscience.com%2Fwos%2Fwoscc%2Ffull-record%2FWOS:000082609500011","View Full Record in Web of Science")</f>
        <v>View Full Record in Web of Science</v>
      </c>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row>
    <row r="808" spans="1:314" s="2" customFormat="1" x14ac:dyDescent="0.4">
      <c r="A808" s="2" t="s">
        <v>72</v>
      </c>
      <c r="B808" s="2" t="s">
        <v>1041</v>
      </c>
      <c r="C808" s="2" t="s">
        <v>74</v>
      </c>
      <c r="D808" s="2" t="s">
        <v>74</v>
      </c>
      <c r="E808" s="2" t="s">
        <v>74</v>
      </c>
      <c r="F808" s="2" t="s">
        <v>1042</v>
      </c>
      <c r="G808" s="2" t="s">
        <v>74</v>
      </c>
      <c r="H808" s="2" t="s">
        <v>74</v>
      </c>
      <c r="I808" s="2" t="s">
        <v>1043</v>
      </c>
      <c r="J808" s="2" t="s">
        <v>1044</v>
      </c>
      <c r="K808" s="2" t="s">
        <v>74</v>
      </c>
      <c r="L808" s="2" t="s">
        <v>74</v>
      </c>
      <c r="M808" s="2" t="s">
        <v>74</v>
      </c>
      <c r="N808" s="2" t="s">
        <v>74</v>
      </c>
      <c r="O808" s="2" t="s">
        <v>74</v>
      </c>
      <c r="P808" s="2" t="s">
        <v>74</v>
      </c>
      <c r="Q808" s="2" t="s">
        <v>74</v>
      </c>
      <c r="R808" s="2" t="s">
        <v>74</v>
      </c>
      <c r="S808" s="2" t="s">
        <v>74</v>
      </c>
      <c r="T808" s="2" t="s">
        <v>74</v>
      </c>
      <c r="U808" s="2" t="s">
        <v>74</v>
      </c>
      <c r="V808" s="5" t="s">
        <v>1045</v>
      </c>
      <c r="W808" s="2" t="s">
        <v>74</v>
      </c>
      <c r="X808" s="2" t="s">
        <v>74</v>
      </c>
      <c r="Y808" s="2" t="s">
        <v>74</v>
      </c>
      <c r="Z808" s="2" t="s">
        <v>74</v>
      </c>
      <c r="AA808" s="2" t="s">
        <v>1046</v>
      </c>
      <c r="AB808" s="2" t="s">
        <v>1047</v>
      </c>
      <c r="AC808" s="2" t="s">
        <v>74</v>
      </c>
      <c r="AD808" s="2" t="s">
        <v>74</v>
      </c>
      <c r="AE808" s="2" t="s">
        <v>74</v>
      </c>
      <c r="AF808" s="2" t="s">
        <v>74</v>
      </c>
      <c r="AG808" s="2" t="s">
        <v>74</v>
      </c>
      <c r="AH808" s="2" t="s">
        <v>74</v>
      </c>
      <c r="AI808" s="2" t="s">
        <v>74</v>
      </c>
      <c r="AJ808" s="2" t="s">
        <v>74</v>
      </c>
      <c r="AK808" s="2" t="s">
        <v>74</v>
      </c>
      <c r="AL808" s="2" t="s">
        <v>74</v>
      </c>
      <c r="AM808" s="2" t="s">
        <v>74</v>
      </c>
      <c r="AN808" s="2" t="s">
        <v>74</v>
      </c>
      <c r="AO808" s="2" t="s">
        <v>1048</v>
      </c>
      <c r="AP808" s="2" t="s">
        <v>1049</v>
      </c>
      <c r="AQ808" s="2" t="s">
        <v>74</v>
      </c>
      <c r="AR808" s="2" t="s">
        <v>74</v>
      </c>
      <c r="AS808" s="2" t="s">
        <v>74</v>
      </c>
      <c r="AT808" s="2" t="s">
        <v>134</v>
      </c>
      <c r="AU808" s="2">
        <v>2021</v>
      </c>
      <c r="AV808" s="2">
        <v>30</v>
      </c>
      <c r="AW808" s="2">
        <v>10</v>
      </c>
      <c r="AX808" s="2" t="s">
        <v>74</v>
      </c>
      <c r="AY808" s="2" t="s">
        <v>74</v>
      </c>
      <c r="AZ808" s="2" t="s">
        <v>74</v>
      </c>
      <c r="BA808" s="2" t="s">
        <v>74</v>
      </c>
      <c r="BB808" s="2">
        <v>2262</v>
      </c>
      <c r="BC808" s="2">
        <v>2284</v>
      </c>
      <c r="BD808" s="2" t="s">
        <v>74</v>
      </c>
      <c r="BE808" s="2" t="s">
        <v>1050</v>
      </c>
      <c r="BF808" s="2" t="str">
        <f>HYPERLINK("http://dx.doi.org/10.1111/mec.15901","http://dx.doi.org/10.1111/mec.15901")</f>
        <v>http://dx.doi.org/10.1111/mec.15901</v>
      </c>
      <c r="BG808" s="2" t="s">
        <v>74</v>
      </c>
      <c r="BH808" s="2" t="s">
        <v>1051</v>
      </c>
      <c r="BI808" s="2" t="s">
        <v>74</v>
      </c>
      <c r="BJ808" s="2" t="s">
        <v>74</v>
      </c>
      <c r="BK808" s="2" t="s">
        <v>74</v>
      </c>
      <c r="BL808" s="2" t="s">
        <v>74</v>
      </c>
      <c r="BM808" s="2" t="s">
        <v>74</v>
      </c>
      <c r="BN808" s="2">
        <v>33772941</v>
      </c>
      <c r="BO808" s="2" t="s">
        <v>74</v>
      </c>
      <c r="BP808" s="2" t="s">
        <v>74</v>
      </c>
      <c r="BQ808" s="2" t="s">
        <v>74</v>
      </c>
      <c r="BR808" s="2" t="s">
        <v>74</v>
      </c>
      <c r="BS808" s="2" t="s">
        <v>1052</v>
      </c>
      <c r="BT808" s="2" t="str">
        <f>HYPERLINK("https%3A%2F%2Fwww.webofscience.com%2Fwos%2Fwoscc%2Ffull-record%2FWOS:000639399300001","View Full Record in Web of Science")</f>
        <v>View Full Record in Web of Science</v>
      </c>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row>
    <row r="809" spans="1:314" s="2" customFormat="1" x14ac:dyDescent="0.4">
      <c r="A809" s="2" t="s">
        <v>72</v>
      </c>
      <c r="B809" s="2" t="s">
        <v>3717</v>
      </c>
      <c r="C809" s="2" t="s">
        <v>74</v>
      </c>
      <c r="D809" s="2" t="s">
        <v>74</v>
      </c>
      <c r="E809" s="2" t="s">
        <v>74</v>
      </c>
      <c r="F809" s="2" t="s">
        <v>3718</v>
      </c>
      <c r="G809" s="2" t="s">
        <v>74</v>
      </c>
      <c r="H809" s="2" t="s">
        <v>74</v>
      </c>
      <c r="I809" s="2" t="s">
        <v>3719</v>
      </c>
      <c r="J809" s="2" t="s">
        <v>333</v>
      </c>
      <c r="K809" s="2" t="s">
        <v>74</v>
      </c>
      <c r="L809" s="2" t="s">
        <v>74</v>
      </c>
      <c r="M809" s="2" t="s">
        <v>74</v>
      </c>
      <c r="N809" s="2" t="s">
        <v>74</v>
      </c>
      <c r="O809" s="2" t="s">
        <v>74</v>
      </c>
      <c r="P809" s="2" t="s">
        <v>74</v>
      </c>
      <c r="Q809" s="2" t="s">
        <v>74</v>
      </c>
      <c r="R809" s="2" t="s">
        <v>74</v>
      </c>
      <c r="S809" s="2" t="s">
        <v>74</v>
      </c>
      <c r="T809" s="2" t="s">
        <v>74</v>
      </c>
      <c r="U809" s="2" t="s">
        <v>74</v>
      </c>
      <c r="V809" s="5" t="s">
        <v>3720</v>
      </c>
      <c r="W809" s="2" t="s">
        <v>74</v>
      </c>
      <c r="X809" s="2" t="s">
        <v>74</v>
      </c>
      <c r="Y809" s="2" t="s">
        <v>74</v>
      </c>
      <c r="Z809" s="2" t="s">
        <v>74</v>
      </c>
      <c r="AA809" s="2" t="s">
        <v>3721</v>
      </c>
      <c r="AB809" s="2" t="s">
        <v>3722</v>
      </c>
      <c r="AC809" s="2" t="s">
        <v>74</v>
      </c>
      <c r="AD809" s="2" t="s">
        <v>74</v>
      </c>
      <c r="AE809" s="2" t="s">
        <v>74</v>
      </c>
      <c r="AF809" s="2" t="s">
        <v>74</v>
      </c>
      <c r="AG809" s="2" t="s">
        <v>74</v>
      </c>
      <c r="AH809" s="2" t="s">
        <v>74</v>
      </c>
      <c r="AI809" s="2" t="s">
        <v>74</v>
      </c>
      <c r="AJ809" s="2" t="s">
        <v>74</v>
      </c>
      <c r="AK809" s="2" t="s">
        <v>74</v>
      </c>
      <c r="AL809" s="2" t="s">
        <v>74</v>
      </c>
      <c r="AM809" s="2" t="s">
        <v>74</v>
      </c>
      <c r="AN809" s="2" t="s">
        <v>74</v>
      </c>
      <c r="AO809" s="2" t="s">
        <v>337</v>
      </c>
      <c r="AP809" s="2" t="s">
        <v>338</v>
      </c>
      <c r="AQ809" s="2" t="s">
        <v>74</v>
      </c>
      <c r="AR809" s="2" t="s">
        <v>74</v>
      </c>
      <c r="AS809" s="2" t="s">
        <v>74</v>
      </c>
      <c r="AT809" s="2" t="s">
        <v>339</v>
      </c>
      <c r="AU809" s="2">
        <v>2015</v>
      </c>
      <c r="AV809" s="2">
        <v>26</v>
      </c>
      <c r="AW809" s="2">
        <v>4</v>
      </c>
      <c r="AX809" s="2" t="s">
        <v>74</v>
      </c>
      <c r="AY809" s="2" t="s">
        <v>74</v>
      </c>
      <c r="AZ809" s="2" t="s">
        <v>74</v>
      </c>
      <c r="BA809" s="2" t="s">
        <v>74</v>
      </c>
      <c r="BB809" s="2">
        <v>1212</v>
      </c>
      <c r="BC809" s="2">
        <v>1218</v>
      </c>
      <c r="BD809" s="2" t="s">
        <v>74</v>
      </c>
      <c r="BE809" s="2" t="s">
        <v>3723</v>
      </c>
      <c r="BF809" s="2" t="str">
        <f>HYPERLINK("http://dx.doi.org/10.1093/beheco/arv068","http://dx.doi.org/10.1093/beheco/arv068")</f>
        <v>http://dx.doi.org/10.1093/beheco/arv068</v>
      </c>
      <c r="BG809" s="2" t="s">
        <v>74</v>
      </c>
      <c r="BH809" s="2" t="s">
        <v>74</v>
      </c>
      <c r="BI809" s="2" t="s">
        <v>74</v>
      </c>
      <c r="BJ809" s="2" t="s">
        <v>74</v>
      </c>
      <c r="BK809" s="2" t="s">
        <v>74</v>
      </c>
      <c r="BL809" s="2" t="s">
        <v>74</v>
      </c>
      <c r="BM809" s="2" t="s">
        <v>74</v>
      </c>
      <c r="BN809" s="2" t="s">
        <v>74</v>
      </c>
      <c r="BO809" s="2" t="s">
        <v>74</v>
      </c>
      <c r="BP809" s="2" t="s">
        <v>74</v>
      </c>
      <c r="BQ809" s="2" t="s">
        <v>74</v>
      </c>
      <c r="BR809" s="2" t="s">
        <v>74</v>
      </c>
      <c r="BS809" s="2" t="s">
        <v>3724</v>
      </c>
      <c r="BT809" s="2" t="str">
        <f>HYPERLINK("https%3A%2F%2Fwww.webofscience.com%2Fwos%2Fwoscc%2Ffull-record%2FWOS:000358171600034","View Full Record in Web of Science")</f>
        <v>View Full Record in Web of Science</v>
      </c>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row>
    <row r="810" spans="1:314" s="2" customFormat="1" x14ac:dyDescent="0.4">
      <c r="A810" s="2" t="s">
        <v>72</v>
      </c>
      <c r="B810" s="2" t="s">
        <v>2381</v>
      </c>
      <c r="C810" s="2" t="s">
        <v>74</v>
      </c>
      <c r="D810" s="2" t="s">
        <v>74</v>
      </c>
      <c r="E810" s="2" t="s">
        <v>74</v>
      </c>
      <c r="F810" s="2" t="s">
        <v>2381</v>
      </c>
      <c r="G810" s="2" t="s">
        <v>74</v>
      </c>
      <c r="H810" s="2" t="s">
        <v>74</v>
      </c>
      <c r="I810" s="2" t="s">
        <v>2382</v>
      </c>
      <c r="J810" s="2" t="s">
        <v>77</v>
      </c>
      <c r="K810" s="2" t="s">
        <v>74</v>
      </c>
      <c r="L810" s="2" t="s">
        <v>74</v>
      </c>
      <c r="M810" s="2" t="s">
        <v>74</v>
      </c>
      <c r="N810" s="2" t="s">
        <v>74</v>
      </c>
      <c r="O810" s="2" t="s">
        <v>74</v>
      </c>
      <c r="P810" s="2" t="s">
        <v>74</v>
      </c>
      <c r="Q810" s="2" t="s">
        <v>74</v>
      </c>
      <c r="R810" s="2" t="s">
        <v>74</v>
      </c>
      <c r="S810" s="2" t="s">
        <v>74</v>
      </c>
      <c r="T810" s="2" t="s">
        <v>74</v>
      </c>
      <c r="U810" s="2" t="s">
        <v>74</v>
      </c>
      <c r="V810" s="5" t="s">
        <v>2383</v>
      </c>
      <c r="W810" s="2" t="s">
        <v>74</v>
      </c>
      <c r="X810" s="2" t="s">
        <v>74</v>
      </c>
      <c r="Y810" s="2" t="s">
        <v>74</v>
      </c>
      <c r="Z810" s="2" t="s">
        <v>74</v>
      </c>
      <c r="AA810" s="2" t="s">
        <v>74</v>
      </c>
      <c r="AB810" s="2" t="s">
        <v>74</v>
      </c>
      <c r="AC810" s="2" t="s">
        <v>74</v>
      </c>
      <c r="AD810" s="2" t="s">
        <v>74</v>
      </c>
      <c r="AE810" s="2" t="s">
        <v>74</v>
      </c>
      <c r="AF810" s="2" t="s">
        <v>74</v>
      </c>
      <c r="AG810" s="2" t="s">
        <v>74</v>
      </c>
      <c r="AH810" s="2" t="s">
        <v>74</v>
      </c>
      <c r="AI810" s="2" t="s">
        <v>74</v>
      </c>
      <c r="AJ810" s="2" t="s">
        <v>74</v>
      </c>
      <c r="AK810" s="2" t="s">
        <v>74</v>
      </c>
      <c r="AL810" s="2" t="s">
        <v>74</v>
      </c>
      <c r="AM810" s="2" t="s">
        <v>74</v>
      </c>
      <c r="AN810" s="2" t="s">
        <v>74</v>
      </c>
      <c r="AO810" s="2" t="s">
        <v>81</v>
      </c>
      <c r="AP810" s="2" t="s">
        <v>82</v>
      </c>
      <c r="AQ810" s="2" t="s">
        <v>74</v>
      </c>
      <c r="AR810" s="2" t="s">
        <v>74</v>
      </c>
      <c r="AS810" s="2" t="s">
        <v>74</v>
      </c>
      <c r="AT810" s="2" t="s">
        <v>74</v>
      </c>
      <c r="AU810" s="2">
        <v>1977</v>
      </c>
      <c r="AV810" s="2">
        <v>62</v>
      </c>
      <c r="AW810" s="2" t="s">
        <v>74</v>
      </c>
      <c r="AX810" s="2" t="s">
        <v>1276</v>
      </c>
      <c r="AY810" s="2" t="s">
        <v>74</v>
      </c>
      <c r="AZ810" s="2" t="s">
        <v>74</v>
      </c>
      <c r="BA810" s="2" t="s">
        <v>74</v>
      </c>
      <c r="BB810" s="2">
        <v>314</v>
      </c>
      <c r="BC810" s="2">
        <v>321</v>
      </c>
      <c r="BD810" s="2" t="s">
        <v>74</v>
      </c>
      <c r="BE810" s="2" t="s">
        <v>2384</v>
      </c>
      <c r="BF810" s="2" t="str">
        <f>HYPERLINK("http://dx.doi.org/10.1163/156853977X00162","http://dx.doi.org/10.1163/156853977X00162")</f>
        <v>http://dx.doi.org/10.1163/156853977X00162</v>
      </c>
      <c r="BG810" s="2" t="s">
        <v>74</v>
      </c>
      <c r="BH810" s="2" t="s">
        <v>74</v>
      </c>
      <c r="BI810" s="2" t="s">
        <v>74</v>
      </c>
      <c r="BJ810" s="2" t="s">
        <v>74</v>
      </c>
      <c r="BK810" s="2" t="s">
        <v>74</v>
      </c>
      <c r="BL810" s="2" t="s">
        <v>74</v>
      </c>
      <c r="BM810" s="2" t="s">
        <v>74</v>
      </c>
      <c r="BN810" s="2" t="s">
        <v>74</v>
      </c>
      <c r="BO810" s="2" t="s">
        <v>74</v>
      </c>
      <c r="BP810" s="2" t="s">
        <v>74</v>
      </c>
      <c r="BQ810" s="2" t="s">
        <v>74</v>
      </c>
      <c r="BR810" s="2" t="s">
        <v>74</v>
      </c>
      <c r="BS810" s="2" t="s">
        <v>2385</v>
      </c>
      <c r="BT810" s="2" t="str">
        <f>HYPERLINK("https%3A%2F%2Fwww.webofscience.com%2Fwos%2Fwoscc%2Ffull-record%2FWOS:A1977EA46300006","View Full Record in Web of Science")</f>
        <v>View Full Record in Web of Science</v>
      </c>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row>
    <row r="811" spans="1:314" s="2" customFormat="1" x14ac:dyDescent="0.4">
      <c r="A811" s="2" t="s">
        <v>72</v>
      </c>
      <c r="B811" s="2" t="s">
        <v>7635</v>
      </c>
      <c r="C811" s="2" t="s">
        <v>74</v>
      </c>
      <c r="D811" s="2" t="s">
        <v>74</v>
      </c>
      <c r="E811" s="2" t="s">
        <v>74</v>
      </c>
      <c r="F811" s="2" t="s">
        <v>7636</v>
      </c>
      <c r="G811" s="2" t="s">
        <v>74</v>
      </c>
      <c r="H811" s="2" t="s">
        <v>74</v>
      </c>
      <c r="I811" s="2" t="s">
        <v>7637</v>
      </c>
      <c r="J811" s="2" t="s">
        <v>3100</v>
      </c>
      <c r="K811" s="2" t="s">
        <v>74</v>
      </c>
      <c r="L811" s="2" t="s">
        <v>74</v>
      </c>
      <c r="M811" s="2" t="s">
        <v>74</v>
      </c>
      <c r="N811" s="2" t="s">
        <v>74</v>
      </c>
      <c r="O811" s="2" t="s">
        <v>74</v>
      </c>
      <c r="P811" s="2" t="s">
        <v>74</v>
      </c>
      <c r="Q811" s="2" t="s">
        <v>74</v>
      </c>
      <c r="R811" s="2" t="s">
        <v>74</v>
      </c>
      <c r="S811" s="2" t="s">
        <v>74</v>
      </c>
      <c r="T811" s="2" t="s">
        <v>74</v>
      </c>
      <c r="U811" s="2" t="s">
        <v>74</v>
      </c>
      <c r="V811" s="5" t="s">
        <v>7638</v>
      </c>
      <c r="W811" s="2" t="s">
        <v>74</v>
      </c>
      <c r="X811" s="2" t="s">
        <v>74</v>
      </c>
      <c r="Y811" s="2" t="s">
        <v>74</v>
      </c>
      <c r="Z811" s="2" t="s">
        <v>74</v>
      </c>
      <c r="AA811" s="2" t="s">
        <v>74</v>
      </c>
      <c r="AB811" s="2" t="s">
        <v>7639</v>
      </c>
      <c r="AC811" s="2" t="s">
        <v>74</v>
      </c>
      <c r="AD811" s="2" t="s">
        <v>74</v>
      </c>
      <c r="AE811" s="2" t="s">
        <v>74</v>
      </c>
      <c r="AF811" s="2" t="s">
        <v>74</v>
      </c>
      <c r="AG811" s="2" t="s">
        <v>74</v>
      </c>
      <c r="AH811" s="2" t="s">
        <v>74</v>
      </c>
      <c r="AI811" s="2" t="s">
        <v>74</v>
      </c>
      <c r="AJ811" s="2" t="s">
        <v>74</v>
      </c>
      <c r="AK811" s="2" t="s">
        <v>74</v>
      </c>
      <c r="AL811" s="2" t="s">
        <v>74</v>
      </c>
      <c r="AM811" s="2" t="s">
        <v>74</v>
      </c>
      <c r="AN811" s="2" t="s">
        <v>74</v>
      </c>
      <c r="AO811" s="2" t="s">
        <v>74</v>
      </c>
      <c r="AP811" s="2" t="s">
        <v>3104</v>
      </c>
      <c r="AQ811" s="2" t="s">
        <v>74</v>
      </c>
      <c r="AR811" s="2" t="s">
        <v>74</v>
      </c>
      <c r="AS811" s="2" t="s">
        <v>74</v>
      </c>
      <c r="AT811" s="2" t="s">
        <v>7640</v>
      </c>
      <c r="AU811" s="2">
        <v>2023</v>
      </c>
      <c r="AV811" s="2">
        <v>9</v>
      </c>
      <c r="AW811" s="2" t="s">
        <v>74</v>
      </c>
      <c r="AX811" s="2" t="s">
        <v>74</v>
      </c>
      <c r="AY811" s="2" t="s">
        <v>74</v>
      </c>
      <c r="AZ811" s="2" t="s">
        <v>74</v>
      </c>
      <c r="BA811" s="2" t="s">
        <v>74</v>
      </c>
      <c r="BB811" s="2" t="s">
        <v>74</v>
      </c>
      <c r="BC811" s="2" t="s">
        <v>74</v>
      </c>
      <c r="BD811" s="2">
        <v>1070206</v>
      </c>
      <c r="BE811" s="2" t="s">
        <v>7641</v>
      </c>
      <c r="BF811" s="2" t="str">
        <f>HYPERLINK("http://dx.doi.org/10.3389/fvets.2022.1070206","http://dx.doi.org/10.3389/fvets.2022.1070206")</f>
        <v>http://dx.doi.org/10.3389/fvets.2022.1070206</v>
      </c>
      <c r="BG811" s="2" t="s">
        <v>74</v>
      </c>
      <c r="BH811" s="2" t="s">
        <v>74</v>
      </c>
      <c r="BI811" s="2" t="s">
        <v>74</v>
      </c>
      <c r="BJ811" s="2" t="s">
        <v>74</v>
      </c>
      <c r="BK811" s="2" t="s">
        <v>74</v>
      </c>
      <c r="BL811" s="2" t="s">
        <v>74</v>
      </c>
      <c r="BM811" s="2" t="s">
        <v>74</v>
      </c>
      <c r="BN811" s="2">
        <v>36713853</v>
      </c>
      <c r="BO811" s="2" t="s">
        <v>74</v>
      </c>
      <c r="BP811" s="2" t="s">
        <v>74</v>
      </c>
      <c r="BQ811" s="2" t="s">
        <v>74</v>
      </c>
      <c r="BR811" s="2" t="s">
        <v>74</v>
      </c>
      <c r="BS811" s="2" t="s">
        <v>7642</v>
      </c>
      <c r="BT811" s="2" t="str">
        <f>HYPERLINK("https%3A%2F%2Fwww.webofscience.com%2Fwos%2Fwoscc%2Ffull-record%2FWOS:000920676700001","View Full Record in Web of Science")</f>
        <v>View Full Record in Web of Science</v>
      </c>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row>
    <row r="812" spans="1:314" s="2" customFormat="1" x14ac:dyDescent="0.4">
      <c r="A812" s="2" t="s">
        <v>72</v>
      </c>
      <c r="B812" s="2" t="s">
        <v>3578</v>
      </c>
      <c r="C812" s="2" t="s">
        <v>74</v>
      </c>
      <c r="D812" s="2" t="s">
        <v>74</v>
      </c>
      <c r="E812" s="2" t="s">
        <v>74</v>
      </c>
      <c r="F812" s="2" t="s">
        <v>3579</v>
      </c>
      <c r="G812" s="2" t="s">
        <v>74</v>
      </c>
      <c r="H812" s="2" t="s">
        <v>74</v>
      </c>
      <c r="I812" s="2" t="s">
        <v>3580</v>
      </c>
      <c r="J812" s="2" t="s">
        <v>201</v>
      </c>
      <c r="K812" s="2" t="s">
        <v>74</v>
      </c>
      <c r="L812" s="2" t="s">
        <v>74</v>
      </c>
      <c r="M812" s="2" t="s">
        <v>74</v>
      </c>
      <c r="N812" s="2" t="s">
        <v>74</v>
      </c>
      <c r="O812" s="2" t="s">
        <v>74</v>
      </c>
      <c r="P812" s="2" t="s">
        <v>74</v>
      </c>
      <c r="Q812" s="2" t="s">
        <v>74</v>
      </c>
      <c r="R812" s="2" t="s">
        <v>74</v>
      </c>
      <c r="S812" s="2" t="s">
        <v>74</v>
      </c>
      <c r="T812" s="2" t="s">
        <v>74</v>
      </c>
      <c r="U812" s="2" t="s">
        <v>74</v>
      </c>
      <c r="V812" s="5" t="s">
        <v>3581</v>
      </c>
      <c r="W812" s="2" t="s">
        <v>74</v>
      </c>
      <c r="X812" s="2" t="s">
        <v>74</v>
      </c>
      <c r="Y812" s="2" t="s">
        <v>74</v>
      </c>
      <c r="Z812" s="2" t="s">
        <v>74</v>
      </c>
      <c r="AA812" s="2" t="s">
        <v>74</v>
      </c>
      <c r="AB812" s="2" t="s">
        <v>3582</v>
      </c>
      <c r="AC812" s="2" t="s">
        <v>74</v>
      </c>
      <c r="AD812" s="2" t="s">
        <v>74</v>
      </c>
      <c r="AE812" s="2" t="s">
        <v>74</v>
      </c>
      <c r="AF812" s="2" t="s">
        <v>74</v>
      </c>
      <c r="AG812" s="2" t="s">
        <v>74</v>
      </c>
      <c r="AH812" s="2" t="s">
        <v>74</v>
      </c>
      <c r="AI812" s="2" t="s">
        <v>74</v>
      </c>
      <c r="AJ812" s="2" t="s">
        <v>74</v>
      </c>
      <c r="AK812" s="2" t="s">
        <v>74</v>
      </c>
      <c r="AL812" s="2" t="s">
        <v>74</v>
      </c>
      <c r="AM812" s="2" t="s">
        <v>74</v>
      </c>
      <c r="AN812" s="2" t="s">
        <v>74</v>
      </c>
      <c r="AO812" s="2" t="s">
        <v>203</v>
      </c>
      <c r="AP812" s="2" t="s">
        <v>1192</v>
      </c>
      <c r="AQ812" s="2" t="s">
        <v>74</v>
      </c>
      <c r="AR812" s="2" t="s">
        <v>74</v>
      </c>
      <c r="AS812" s="2" t="s">
        <v>74</v>
      </c>
      <c r="AT812" s="2" t="s">
        <v>204</v>
      </c>
      <c r="AU812" s="2">
        <v>2020</v>
      </c>
      <c r="AV812" s="2">
        <v>97</v>
      </c>
      <c r="AW812" s="2">
        <v>1</v>
      </c>
      <c r="AX812" s="2" t="s">
        <v>74</v>
      </c>
      <c r="AY812" s="2" t="s">
        <v>74</v>
      </c>
      <c r="AZ812" s="2" t="s">
        <v>74</v>
      </c>
      <c r="BA812" s="2" t="s">
        <v>74</v>
      </c>
      <c r="BB812" s="2">
        <v>75</v>
      </c>
      <c r="BC812" s="2">
        <v>82</v>
      </c>
      <c r="BD812" s="2" t="s">
        <v>74</v>
      </c>
      <c r="BE812" s="2" t="s">
        <v>3583</v>
      </c>
      <c r="BF812" s="2" t="str">
        <f>HYPERLINK("http://dx.doi.org/10.1111/jfb.14327","http://dx.doi.org/10.1111/jfb.14327")</f>
        <v>http://dx.doi.org/10.1111/jfb.14327</v>
      </c>
      <c r="BG812" s="2" t="s">
        <v>74</v>
      </c>
      <c r="BH812" s="2" t="s">
        <v>3584</v>
      </c>
      <c r="BI812" s="2" t="s">
        <v>74</v>
      </c>
      <c r="BJ812" s="2" t="s">
        <v>74</v>
      </c>
      <c r="BK812" s="2" t="s">
        <v>74</v>
      </c>
      <c r="BL812" s="2" t="s">
        <v>74</v>
      </c>
      <c r="BM812" s="2" t="s">
        <v>74</v>
      </c>
      <c r="BN812" s="2">
        <v>32291745</v>
      </c>
      <c r="BO812" s="2" t="s">
        <v>74</v>
      </c>
      <c r="BP812" s="2" t="s">
        <v>74</v>
      </c>
      <c r="BQ812" s="2" t="s">
        <v>74</v>
      </c>
      <c r="BR812" s="2" t="s">
        <v>74</v>
      </c>
      <c r="BS812" s="2" t="s">
        <v>3585</v>
      </c>
      <c r="BT812" s="2" t="str">
        <f>HYPERLINK("https%3A%2F%2Fwww.webofscience.com%2Fwos%2Fwoscc%2Ffull-record%2FWOS:000550050100001","View Full Record in Web of Science")</f>
        <v>View Full Record in Web of Science</v>
      </c>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row>
    <row r="813" spans="1:314" s="2" customFormat="1" x14ac:dyDescent="0.4">
      <c r="A813" s="2" t="s">
        <v>72</v>
      </c>
      <c r="B813" s="2" t="s">
        <v>6559</v>
      </c>
      <c r="C813" s="2" t="s">
        <v>74</v>
      </c>
      <c r="D813" s="2" t="s">
        <v>74</v>
      </c>
      <c r="E813" s="2" t="s">
        <v>74</v>
      </c>
      <c r="F813" s="2" t="s">
        <v>6559</v>
      </c>
      <c r="G813" s="2" t="s">
        <v>74</v>
      </c>
      <c r="H813" s="2" t="s">
        <v>74</v>
      </c>
      <c r="I813" s="2" t="s">
        <v>6560</v>
      </c>
      <c r="J813" s="2" t="s">
        <v>1673</v>
      </c>
      <c r="K813" s="2" t="s">
        <v>74</v>
      </c>
      <c r="L813" s="2" t="s">
        <v>74</v>
      </c>
      <c r="M813" s="2" t="s">
        <v>74</v>
      </c>
      <c r="N813" s="2" t="s">
        <v>74</v>
      </c>
      <c r="O813" s="2" t="s">
        <v>74</v>
      </c>
      <c r="P813" s="2" t="s">
        <v>74</v>
      </c>
      <c r="Q813" s="2" t="s">
        <v>74</v>
      </c>
      <c r="R813" s="2" t="s">
        <v>74</v>
      </c>
      <c r="S813" s="2" t="s">
        <v>74</v>
      </c>
      <c r="T813" s="2" t="s">
        <v>74</v>
      </c>
      <c r="U813" s="2" t="s">
        <v>74</v>
      </c>
      <c r="V813" s="5" t="s">
        <v>6561</v>
      </c>
      <c r="W813" s="2" t="s">
        <v>74</v>
      </c>
      <c r="X813" s="2" t="s">
        <v>74</v>
      </c>
      <c r="Y813" s="2" t="s">
        <v>74</v>
      </c>
      <c r="Z813" s="2" t="s">
        <v>74</v>
      </c>
      <c r="AA813" s="2" t="s">
        <v>74</v>
      </c>
      <c r="AB813" s="2" t="s">
        <v>74</v>
      </c>
      <c r="AC813" s="2" t="s">
        <v>74</v>
      </c>
      <c r="AD813" s="2" t="s">
        <v>74</v>
      </c>
      <c r="AE813" s="2" t="s">
        <v>74</v>
      </c>
      <c r="AF813" s="2" t="s">
        <v>74</v>
      </c>
      <c r="AG813" s="2" t="s">
        <v>74</v>
      </c>
      <c r="AH813" s="2" t="s">
        <v>74</v>
      </c>
      <c r="AI813" s="2" t="s">
        <v>74</v>
      </c>
      <c r="AJ813" s="2" t="s">
        <v>74</v>
      </c>
      <c r="AK813" s="2" t="s">
        <v>74</v>
      </c>
      <c r="AL813" s="2" t="s">
        <v>74</v>
      </c>
      <c r="AM813" s="2" t="s">
        <v>74</v>
      </c>
      <c r="AN813" s="2" t="s">
        <v>74</v>
      </c>
      <c r="AO813" s="2" t="s">
        <v>1239</v>
      </c>
      <c r="AP813" s="2" t="s">
        <v>1675</v>
      </c>
      <c r="AQ813" s="2" t="s">
        <v>74</v>
      </c>
      <c r="AR813" s="2" t="s">
        <v>74</v>
      </c>
      <c r="AS813" s="2" t="s">
        <v>74</v>
      </c>
      <c r="AT813" s="2" t="s">
        <v>633</v>
      </c>
      <c r="AU813" s="2">
        <v>1986</v>
      </c>
      <c r="AV813" s="2">
        <v>64</v>
      </c>
      <c r="AW813" s="2">
        <v>4</v>
      </c>
      <c r="AX813" s="2" t="s">
        <v>74</v>
      </c>
      <c r="AY813" s="2" t="s">
        <v>74</v>
      </c>
      <c r="AZ813" s="2" t="s">
        <v>74</v>
      </c>
      <c r="BA813" s="2" t="s">
        <v>74</v>
      </c>
      <c r="BB813" s="2">
        <v>867</v>
      </c>
      <c r="BC813" s="2">
        <v>874</v>
      </c>
      <c r="BD813" s="2" t="s">
        <v>74</v>
      </c>
      <c r="BE813" s="2" t="s">
        <v>6562</v>
      </c>
      <c r="BF813" s="2" t="str">
        <f>HYPERLINK("http://dx.doi.org/10.1139/z86-130","http://dx.doi.org/10.1139/z86-130")</f>
        <v>http://dx.doi.org/10.1139/z86-130</v>
      </c>
      <c r="BG813" s="2" t="s">
        <v>74</v>
      </c>
      <c r="BH813" s="2" t="s">
        <v>74</v>
      </c>
      <c r="BI813" s="2" t="s">
        <v>74</v>
      </c>
      <c r="BJ813" s="2" t="s">
        <v>74</v>
      </c>
      <c r="BK813" s="2" t="s">
        <v>74</v>
      </c>
      <c r="BL813" s="2" t="s">
        <v>74</v>
      </c>
      <c r="BM813" s="2" t="s">
        <v>74</v>
      </c>
      <c r="BN813" s="2" t="s">
        <v>74</v>
      </c>
      <c r="BO813" s="2" t="s">
        <v>74</v>
      </c>
      <c r="BP813" s="2" t="s">
        <v>74</v>
      </c>
      <c r="BQ813" s="2" t="s">
        <v>74</v>
      </c>
      <c r="BR813" s="2" t="s">
        <v>74</v>
      </c>
      <c r="BS813" s="2" t="s">
        <v>6563</v>
      </c>
      <c r="BT813" s="2" t="str">
        <f>HYPERLINK("https%3A%2F%2Fwww.webofscience.com%2Fwos%2Fwoscc%2Ffull-record%2FWOS:A1986C507200011","View Full Record in Web of Science")</f>
        <v>View Full Record in Web of Science</v>
      </c>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row>
    <row r="814" spans="1:314" s="2" customFormat="1" x14ac:dyDescent="0.4">
      <c r="A814" s="2" t="s">
        <v>72</v>
      </c>
      <c r="B814" s="2" t="s">
        <v>1740</v>
      </c>
      <c r="C814" s="2" t="s">
        <v>74</v>
      </c>
      <c r="D814" s="2" t="s">
        <v>74</v>
      </c>
      <c r="E814" s="2" t="s">
        <v>74</v>
      </c>
      <c r="F814" s="2" t="s">
        <v>1741</v>
      </c>
      <c r="G814" s="2" t="s">
        <v>74</v>
      </c>
      <c r="H814" s="2" t="s">
        <v>74</v>
      </c>
      <c r="I814" s="2" t="s">
        <v>1742</v>
      </c>
      <c r="J814" s="2" t="s">
        <v>1743</v>
      </c>
      <c r="K814" s="2" t="s">
        <v>74</v>
      </c>
      <c r="L814" s="2" t="s">
        <v>74</v>
      </c>
      <c r="M814" s="2" t="s">
        <v>74</v>
      </c>
      <c r="N814" s="2" t="s">
        <v>74</v>
      </c>
      <c r="O814" s="2" t="s">
        <v>74</v>
      </c>
      <c r="P814" s="2" t="s">
        <v>74</v>
      </c>
      <c r="Q814" s="2" t="s">
        <v>74</v>
      </c>
      <c r="R814" s="2" t="s">
        <v>74</v>
      </c>
      <c r="S814" s="2" t="s">
        <v>74</v>
      </c>
      <c r="T814" s="2" t="s">
        <v>74</v>
      </c>
      <c r="U814" s="2" t="s">
        <v>74</v>
      </c>
      <c r="V814" s="5" t="s">
        <v>1744</v>
      </c>
      <c r="W814" s="2" t="s">
        <v>74</v>
      </c>
      <c r="X814" s="2" t="s">
        <v>74</v>
      </c>
      <c r="Y814" s="2" t="s">
        <v>74</v>
      </c>
      <c r="Z814" s="2" t="s">
        <v>74</v>
      </c>
      <c r="AA814" s="2" t="s">
        <v>1745</v>
      </c>
      <c r="AB814" s="2" t="s">
        <v>74</v>
      </c>
      <c r="AC814" s="2" t="s">
        <v>74</v>
      </c>
      <c r="AD814" s="2" t="s">
        <v>74</v>
      </c>
      <c r="AE814" s="2" t="s">
        <v>74</v>
      </c>
      <c r="AF814" s="2" t="s">
        <v>74</v>
      </c>
      <c r="AG814" s="2" t="s">
        <v>74</v>
      </c>
      <c r="AH814" s="2" t="s">
        <v>74</v>
      </c>
      <c r="AI814" s="2" t="s">
        <v>74</v>
      </c>
      <c r="AJ814" s="2" t="s">
        <v>74</v>
      </c>
      <c r="AK814" s="2" t="s">
        <v>74</v>
      </c>
      <c r="AL814" s="2" t="s">
        <v>74</v>
      </c>
      <c r="AM814" s="2" t="s">
        <v>74</v>
      </c>
      <c r="AN814" s="2" t="s">
        <v>74</v>
      </c>
      <c r="AO814" s="2" t="s">
        <v>1746</v>
      </c>
      <c r="AP814" s="2" t="s">
        <v>74</v>
      </c>
      <c r="AQ814" s="2" t="s">
        <v>74</v>
      </c>
      <c r="AR814" s="2" t="s">
        <v>74</v>
      </c>
      <c r="AS814" s="2" t="s">
        <v>74</v>
      </c>
      <c r="AT814" s="2" t="s">
        <v>255</v>
      </c>
      <c r="AU814" s="2">
        <v>2008</v>
      </c>
      <c r="AV814" s="2">
        <v>25</v>
      </c>
      <c r="AW814" s="2">
        <v>1</v>
      </c>
      <c r="AX814" s="2" t="s">
        <v>74</v>
      </c>
      <c r="AY814" s="2" t="s">
        <v>74</v>
      </c>
      <c r="AZ814" s="2" t="s">
        <v>74</v>
      </c>
      <c r="BA814" s="2" t="s">
        <v>74</v>
      </c>
      <c r="BB814" s="2">
        <v>1</v>
      </c>
      <c r="BC814" s="2">
        <v>5</v>
      </c>
      <c r="BD814" s="2" t="s">
        <v>74</v>
      </c>
      <c r="BE814" s="2" t="s">
        <v>1747</v>
      </c>
      <c r="BF814" s="2" t="str">
        <f>HYPERLINK("http://dx.doi.org/10.2108/zsj.25.1","http://dx.doi.org/10.2108/zsj.25.1")</f>
        <v>http://dx.doi.org/10.2108/zsj.25.1</v>
      </c>
      <c r="BG814" s="2" t="s">
        <v>74</v>
      </c>
      <c r="BH814" s="2" t="s">
        <v>74</v>
      </c>
      <c r="BI814" s="2" t="s">
        <v>74</v>
      </c>
      <c r="BJ814" s="2" t="s">
        <v>74</v>
      </c>
      <c r="BK814" s="2" t="s">
        <v>74</v>
      </c>
      <c r="BL814" s="2" t="s">
        <v>74</v>
      </c>
      <c r="BM814" s="2" t="s">
        <v>74</v>
      </c>
      <c r="BN814" s="2">
        <v>18275238</v>
      </c>
      <c r="BO814" s="2" t="s">
        <v>74</v>
      </c>
      <c r="BP814" s="2" t="s">
        <v>74</v>
      </c>
      <c r="BQ814" s="2" t="s">
        <v>74</v>
      </c>
      <c r="BR814" s="2" t="s">
        <v>74</v>
      </c>
      <c r="BS814" s="2" t="s">
        <v>1748</v>
      </c>
      <c r="BT814" s="2" t="str">
        <f>HYPERLINK("https%3A%2F%2Fwww.webofscience.com%2Fwos%2Fwoscc%2Ffull-record%2FWOS:000256943500001","View Full Record in Web of Science")</f>
        <v>View Full Record in Web of Science</v>
      </c>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row>
    <row r="815" spans="1:314" s="2" customFormat="1" x14ac:dyDescent="0.4">
      <c r="A815" s="2" t="s">
        <v>72</v>
      </c>
      <c r="B815" s="2" t="s">
        <v>6175</v>
      </c>
      <c r="C815" s="2" t="s">
        <v>74</v>
      </c>
      <c r="D815" s="2" t="s">
        <v>74</v>
      </c>
      <c r="E815" s="2" t="s">
        <v>74</v>
      </c>
      <c r="F815" s="2" t="s">
        <v>6176</v>
      </c>
      <c r="G815" s="2" t="s">
        <v>74</v>
      </c>
      <c r="H815" s="2" t="s">
        <v>74</v>
      </c>
      <c r="I815" s="2" t="s">
        <v>6177</v>
      </c>
      <c r="J815" s="2" t="s">
        <v>5577</v>
      </c>
      <c r="K815" s="2" t="s">
        <v>74</v>
      </c>
      <c r="L815" s="2" t="s">
        <v>74</v>
      </c>
      <c r="M815" s="2" t="s">
        <v>74</v>
      </c>
      <c r="N815" s="2" t="s">
        <v>74</v>
      </c>
      <c r="O815" s="2" t="s">
        <v>74</v>
      </c>
      <c r="P815" s="2" t="s">
        <v>74</v>
      </c>
      <c r="Q815" s="2" t="s">
        <v>74</v>
      </c>
      <c r="R815" s="2" t="s">
        <v>74</v>
      </c>
      <c r="S815" s="2" t="s">
        <v>74</v>
      </c>
      <c r="T815" s="2" t="s">
        <v>74</v>
      </c>
      <c r="U815" s="2" t="s">
        <v>74</v>
      </c>
      <c r="V815" s="5" t="s">
        <v>6178</v>
      </c>
      <c r="W815" s="2" t="s">
        <v>74</v>
      </c>
      <c r="X815" s="2" t="s">
        <v>74</v>
      </c>
      <c r="Y815" s="2" t="s">
        <v>74</v>
      </c>
      <c r="Z815" s="2" t="s">
        <v>74</v>
      </c>
      <c r="AA815" s="2" t="s">
        <v>6179</v>
      </c>
      <c r="AB815" s="2" t="s">
        <v>6180</v>
      </c>
      <c r="AC815" s="2" t="s">
        <v>74</v>
      </c>
      <c r="AD815" s="2" t="s">
        <v>74</v>
      </c>
      <c r="AE815" s="2" t="s">
        <v>74</v>
      </c>
      <c r="AF815" s="2" t="s">
        <v>74</v>
      </c>
      <c r="AG815" s="2" t="s">
        <v>74</v>
      </c>
      <c r="AH815" s="2" t="s">
        <v>74</v>
      </c>
      <c r="AI815" s="2" t="s">
        <v>74</v>
      </c>
      <c r="AJ815" s="2" t="s">
        <v>74</v>
      </c>
      <c r="AK815" s="2" t="s">
        <v>74</v>
      </c>
      <c r="AL815" s="2" t="s">
        <v>74</v>
      </c>
      <c r="AM815" s="2" t="s">
        <v>74</v>
      </c>
      <c r="AN815" s="2" t="s">
        <v>74</v>
      </c>
      <c r="AO815" s="2" t="s">
        <v>5579</v>
      </c>
      <c r="AP815" s="2" t="s">
        <v>74</v>
      </c>
      <c r="AQ815" s="2" t="s">
        <v>74</v>
      </c>
      <c r="AR815" s="2" t="s">
        <v>74</v>
      </c>
      <c r="AS815" s="2" t="s">
        <v>74</v>
      </c>
      <c r="AT815" s="2" t="s">
        <v>255</v>
      </c>
      <c r="AU815" s="2">
        <v>2018</v>
      </c>
      <c r="AV815" s="2">
        <v>97</v>
      </c>
      <c r="AW815" s="2">
        <v>1</v>
      </c>
      <c r="AX815" s="2" t="s">
        <v>74</v>
      </c>
      <c r="AY815" s="2" t="s">
        <v>74</v>
      </c>
      <c r="AZ815" s="2" t="s">
        <v>74</v>
      </c>
      <c r="BA815" s="2" t="s">
        <v>74</v>
      </c>
      <c r="BB815" s="2">
        <v>56</v>
      </c>
      <c r="BC815" s="2">
        <v>66</v>
      </c>
      <c r="BD815" s="2" t="s">
        <v>74</v>
      </c>
      <c r="BE815" s="2" t="s">
        <v>6181</v>
      </c>
      <c r="BF815" s="2" t="str">
        <f>HYPERLINK("http://dx.doi.org/10.7868/S0044513418010051","http://dx.doi.org/10.7868/S0044513418010051")</f>
        <v>http://dx.doi.org/10.7868/S0044513418010051</v>
      </c>
      <c r="BG815" s="2" t="s">
        <v>74</v>
      </c>
      <c r="BH815" s="2" t="s">
        <v>74</v>
      </c>
      <c r="BI815" s="2" t="s">
        <v>74</v>
      </c>
      <c r="BJ815" s="2" t="s">
        <v>74</v>
      </c>
      <c r="BK815" s="2" t="s">
        <v>74</v>
      </c>
      <c r="BL815" s="2" t="s">
        <v>74</v>
      </c>
      <c r="BM815" s="2" t="s">
        <v>74</v>
      </c>
      <c r="BN815" s="2" t="s">
        <v>74</v>
      </c>
      <c r="BO815" s="2" t="s">
        <v>74</v>
      </c>
      <c r="BP815" s="2" t="s">
        <v>74</v>
      </c>
      <c r="BQ815" s="2" t="s">
        <v>74</v>
      </c>
      <c r="BR815" s="2" t="s">
        <v>74</v>
      </c>
      <c r="BS815" s="2" t="s">
        <v>6182</v>
      </c>
      <c r="BT815" s="2" t="str">
        <f>HYPERLINK("https%3A%2F%2Fwww.webofscience.com%2Fwos%2Fwoscc%2Ffull-record%2FWOS:000429884500005","View Full Record in Web of Science")</f>
        <v>View Full Record in Web of Science</v>
      </c>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row>
    <row r="816" spans="1:314" s="2" customFormat="1" x14ac:dyDescent="0.4">
      <c r="A816" s="2" t="s">
        <v>72</v>
      </c>
      <c r="B816" s="2" t="s">
        <v>3039</v>
      </c>
      <c r="C816" s="2" t="s">
        <v>74</v>
      </c>
      <c r="D816" s="2" t="s">
        <v>74</v>
      </c>
      <c r="E816" s="2" t="s">
        <v>74</v>
      </c>
      <c r="F816" s="2" t="s">
        <v>3040</v>
      </c>
      <c r="G816" s="2" t="s">
        <v>74</v>
      </c>
      <c r="H816" s="2" t="s">
        <v>74</v>
      </c>
      <c r="I816" s="2" t="s">
        <v>3041</v>
      </c>
      <c r="J816" s="2" t="s">
        <v>3042</v>
      </c>
      <c r="K816" s="2" t="s">
        <v>74</v>
      </c>
      <c r="L816" s="2" t="s">
        <v>74</v>
      </c>
      <c r="M816" s="2" t="s">
        <v>74</v>
      </c>
      <c r="N816" s="2" t="s">
        <v>74</v>
      </c>
      <c r="O816" s="2" t="s">
        <v>74</v>
      </c>
      <c r="P816" s="2" t="s">
        <v>74</v>
      </c>
      <c r="Q816" s="2" t="s">
        <v>74</v>
      </c>
      <c r="R816" s="2" t="s">
        <v>74</v>
      </c>
      <c r="S816" s="2" t="s">
        <v>74</v>
      </c>
      <c r="T816" s="2" t="s">
        <v>74</v>
      </c>
      <c r="U816" s="2" t="s">
        <v>74</v>
      </c>
      <c r="V816" s="5" t="s">
        <v>3043</v>
      </c>
      <c r="W816" s="2" t="s">
        <v>74</v>
      </c>
      <c r="X816" s="2" t="s">
        <v>74</v>
      </c>
      <c r="Y816" s="2" t="s">
        <v>74</v>
      </c>
      <c r="Z816" s="2" t="s">
        <v>74</v>
      </c>
      <c r="AA816" s="2" t="s">
        <v>74</v>
      </c>
      <c r="AB816" s="2" t="s">
        <v>3044</v>
      </c>
      <c r="AC816" s="2" t="s">
        <v>74</v>
      </c>
      <c r="AD816" s="2" t="s">
        <v>74</v>
      </c>
      <c r="AE816" s="2" t="s">
        <v>74</v>
      </c>
      <c r="AF816" s="2" t="s">
        <v>74</v>
      </c>
      <c r="AG816" s="2" t="s">
        <v>74</v>
      </c>
      <c r="AH816" s="2" t="s">
        <v>74</v>
      </c>
      <c r="AI816" s="2" t="s">
        <v>74</v>
      </c>
      <c r="AJ816" s="2" t="s">
        <v>74</v>
      </c>
      <c r="AK816" s="2" t="s">
        <v>74</v>
      </c>
      <c r="AL816" s="2" t="s">
        <v>74</v>
      </c>
      <c r="AM816" s="2" t="s">
        <v>74</v>
      </c>
      <c r="AN816" s="2" t="s">
        <v>74</v>
      </c>
      <c r="AO816" s="2" t="s">
        <v>1458</v>
      </c>
      <c r="AP816" s="2" t="s">
        <v>3045</v>
      </c>
      <c r="AQ816" s="2" t="s">
        <v>74</v>
      </c>
      <c r="AR816" s="2" t="s">
        <v>74</v>
      </c>
      <c r="AS816" s="2" t="s">
        <v>74</v>
      </c>
      <c r="AT816" s="2" t="s">
        <v>3046</v>
      </c>
      <c r="AU816" s="2">
        <v>2023</v>
      </c>
      <c r="AV816" s="2">
        <v>140</v>
      </c>
      <c r="AW816" s="2">
        <v>2</v>
      </c>
      <c r="AX816" s="2" t="s">
        <v>74</v>
      </c>
      <c r="AY816" s="2" t="s">
        <v>74</v>
      </c>
      <c r="AZ816" s="2" t="s">
        <v>74</v>
      </c>
      <c r="BA816" s="2" t="s">
        <v>74</v>
      </c>
      <c r="BB816" s="2" t="s">
        <v>74</v>
      </c>
      <c r="BC816" s="2" t="s">
        <v>74</v>
      </c>
      <c r="BD816" s="2" t="s">
        <v>74</v>
      </c>
      <c r="BE816" s="2" t="s">
        <v>3047</v>
      </c>
      <c r="BF816" s="2" t="str">
        <f>HYPERLINK("http://dx.doi.org/10.1093/ornithology/ukad002","http://dx.doi.org/10.1093/ornithology/ukad002")</f>
        <v>http://dx.doi.org/10.1093/ornithology/ukad002</v>
      </c>
      <c r="BG816" s="2" t="s">
        <v>74</v>
      </c>
      <c r="BH816" s="2" t="s">
        <v>3048</v>
      </c>
      <c r="BI816" s="2" t="s">
        <v>74</v>
      </c>
      <c r="BJ816" s="2" t="s">
        <v>74</v>
      </c>
      <c r="BK816" s="2" t="s">
        <v>74</v>
      </c>
      <c r="BL816" s="2" t="s">
        <v>74</v>
      </c>
      <c r="BM816" s="2" t="s">
        <v>74</v>
      </c>
      <c r="BN816" s="2" t="s">
        <v>74</v>
      </c>
      <c r="BO816" s="2" t="s">
        <v>74</v>
      </c>
      <c r="BP816" s="2" t="s">
        <v>74</v>
      </c>
      <c r="BQ816" s="2" t="s">
        <v>74</v>
      </c>
      <c r="BR816" s="2" t="s">
        <v>74</v>
      </c>
      <c r="BS816" s="2" t="s">
        <v>3049</v>
      </c>
      <c r="BT816" s="2" t="str">
        <f>HYPERLINK("https%3A%2F%2Fwww.webofscience.com%2Fwos%2Fwoscc%2Ffull-record%2FWOS:000959502700001","View Full Record in Web of Science")</f>
        <v>View Full Record in Web of Science</v>
      </c>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row>
    <row r="817" spans="1:314" s="2" customFormat="1" x14ac:dyDescent="0.4">
      <c r="A817" s="2" t="s">
        <v>72</v>
      </c>
      <c r="B817" s="2" t="s">
        <v>73</v>
      </c>
      <c r="C817" s="2" t="s">
        <v>74</v>
      </c>
      <c r="D817" s="2" t="s">
        <v>74</v>
      </c>
      <c r="E817" s="2" t="s">
        <v>74</v>
      </c>
      <c r="F817" s="2" t="s">
        <v>75</v>
      </c>
      <c r="G817" s="2" t="s">
        <v>74</v>
      </c>
      <c r="H817" s="2" t="s">
        <v>74</v>
      </c>
      <c r="I817" s="2" t="s">
        <v>76</v>
      </c>
      <c r="J817" s="2" t="s">
        <v>77</v>
      </c>
      <c r="K817" s="2" t="s">
        <v>74</v>
      </c>
      <c r="L817" s="2" t="s">
        <v>74</v>
      </c>
      <c r="M817" s="2" t="s">
        <v>74</v>
      </c>
      <c r="N817" s="2" t="s">
        <v>74</v>
      </c>
      <c r="O817" s="2" t="s">
        <v>74</v>
      </c>
      <c r="P817" s="2" t="s">
        <v>74</v>
      </c>
      <c r="Q817" s="2" t="s">
        <v>74</v>
      </c>
      <c r="R817" s="2" t="s">
        <v>74</v>
      </c>
      <c r="S817" s="2" t="s">
        <v>74</v>
      </c>
      <c r="T817" s="2" t="s">
        <v>74</v>
      </c>
      <c r="U817" s="2" t="s">
        <v>74</v>
      </c>
      <c r="V817" s="5" t="s">
        <v>78</v>
      </c>
      <c r="W817" s="2" t="s">
        <v>74</v>
      </c>
      <c r="X817" s="2" t="s">
        <v>74</v>
      </c>
      <c r="Y817" s="2" t="s">
        <v>74</v>
      </c>
      <c r="Z817" s="2" t="s">
        <v>74</v>
      </c>
      <c r="AA817" s="2" t="s">
        <v>79</v>
      </c>
      <c r="AB817" s="2" t="s">
        <v>80</v>
      </c>
      <c r="AC817" s="2" t="s">
        <v>74</v>
      </c>
      <c r="AD817" s="2" t="s">
        <v>74</v>
      </c>
      <c r="AE817" s="2" t="s">
        <v>74</v>
      </c>
      <c r="AF817" s="2" t="s">
        <v>74</v>
      </c>
      <c r="AG817" s="2" t="s">
        <v>74</v>
      </c>
      <c r="AH817" s="2" t="s">
        <v>74</v>
      </c>
      <c r="AI817" s="2" t="s">
        <v>74</v>
      </c>
      <c r="AJ817" s="2" t="s">
        <v>74</v>
      </c>
      <c r="AK817" s="2" t="s">
        <v>74</v>
      </c>
      <c r="AL817" s="2" t="s">
        <v>74</v>
      </c>
      <c r="AM817" s="2" t="s">
        <v>74</v>
      </c>
      <c r="AN817" s="2" t="s">
        <v>74</v>
      </c>
      <c r="AO817" s="2" t="s">
        <v>81</v>
      </c>
      <c r="AP817" s="2" t="s">
        <v>82</v>
      </c>
      <c r="AQ817" s="2" t="s">
        <v>74</v>
      </c>
      <c r="AR817" s="2" t="s">
        <v>74</v>
      </c>
      <c r="AS817" s="2" t="s">
        <v>74</v>
      </c>
      <c r="AT817" s="2" t="s">
        <v>74</v>
      </c>
      <c r="AU817" s="2">
        <v>2009</v>
      </c>
      <c r="AV817" s="2">
        <v>146</v>
      </c>
      <c r="AW817" s="2" t="s">
        <v>74</v>
      </c>
      <c r="AX817" s="2">
        <v>6</v>
      </c>
      <c r="AY817" s="2" t="s">
        <v>74</v>
      </c>
      <c r="AZ817" s="2" t="s">
        <v>74</v>
      </c>
      <c r="BA817" s="2" t="s">
        <v>74</v>
      </c>
      <c r="BB817" s="2">
        <v>741</v>
      </c>
      <c r="BC817" s="2">
        <v>756</v>
      </c>
      <c r="BD817" s="2" t="s">
        <v>74</v>
      </c>
      <c r="BE817" s="2" t="s">
        <v>83</v>
      </c>
      <c r="BF817" s="2" t="str">
        <f>HYPERLINK("http://dx.doi.org/10.1163/156853909X446181","http://dx.doi.org/10.1163/156853909X446181")</f>
        <v>http://dx.doi.org/10.1163/156853909X446181</v>
      </c>
      <c r="BG817" s="2" t="s">
        <v>74</v>
      </c>
      <c r="BH817" s="2" t="s">
        <v>74</v>
      </c>
      <c r="BI817" s="2" t="s">
        <v>74</v>
      </c>
      <c r="BJ817" s="2" t="s">
        <v>74</v>
      </c>
      <c r="BK817" s="2" t="s">
        <v>74</v>
      </c>
      <c r="BL817" s="2" t="s">
        <v>74</v>
      </c>
      <c r="BM817" s="2" t="s">
        <v>74</v>
      </c>
      <c r="BN817" s="2" t="s">
        <v>74</v>
      </c>
      <c r="BO817" s="2" t="s">
        <v>74</v>
      </c>
      <c r="BP817" s="2" t="s">
        <v>74</v>
      </c>
      <c r="BQ817" s="2" t="s">
        <v>74</v>
      </c>
      <c r="BR817" s="2" t="s">
        <v>74</v>
      </c>
      <c r="BS817" s="2" t="s">
        <v>84</v>
      </c>
      <c r="BT817" s="2" t="str">
        <f>HYPERLINK("https%3A%2F%2Fwww.webofscience.com%2Fwos%2Fwoscc%2Ffull-record%2FWOS:000267018400002","View Full Record in Web of Science")</f>
        <v>View Full Record in Web of Science</v>
      </c>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row>
    <row r="818" spans="1:314" s="2" customFormat="1" x14ac:dyDescent="0.4">
      <c r="A818" s="2" t="s">
        <v>72</v>
      </c>
      <c r="B818" s="2" t="s">
        <v>6919</v>
      </c>
      <c r="C818" s="2" t="s">
        <v>74</v>
      </c>
      <c r="D818" s="2" t="s">
        <v>74</v>
      </c>
      <c r="E818" s="2" t="s">
        <v>74</v>
      </c>
      <c r="F818" s="2" t="s">
        <v>6919</v>
      </c>
      <c r="G818" s="2" t="s">
        <v>74</v>
      </c>
      <c r="H818" s="2" t="s">
        <v>74</v>
      </c>
      <c r="I818" s="2" t="s">
        <v>7268</v>
      </c>
      <c r="J818" s="2" t="s">
        <v>140</v>
      </c>
      <c r="K818" s="2" t="s">
        <v>74</v>
      </c>
      <c r="L818" s="2" t="s">
        <v>74</v>
      </c>
      <c r="M818" s="2" t="s">
        <v>74</v>
      </c>
      <c r="N818" s="2" t="s">
        <v>74</v>
      </c>
      <c r="O818" s="2" t="s">
        <v>74</v>
      </c>
      <c r="P818" s="2" t="s">
        <v>74</v>
      </c>
      <c r="Q818" s="2" t="s">
        <v>74</v>
      </c>
      <c r="R818" s="2" t="s">
        <v>74</v>
      </c>
      <c r="S818" s="2" t="s">
        <v>74</v>
      </c>
      <c r="T818" s="2" t="s">
        <v>74</v>
      </c>
      <c r="U818" s="2" t="s">
        <v>74</v>
      </c>
      <c r="V818" s="5" t="s">
        <v>7269</v>
      </c>
      <c r="W818" s="2" t="s">
        <v>74</v>
      </c>
      <c r="X818" s="2" t="s">
        <v>74</v>
      </c>
      <c r="Y818" s="2" t="s">
        <v>74</v>
      </c>
      <c r="Z818" s="2" t="s">
        <v>74</v>
      </c>
      <c r="AA818" s="2" t="s">
        <v>1295</v>
      </c>
      <c r="AB818" s="2" t="s">
        <v>6922</v>
      </c>
      <c r="AC818" s="2" t="s">
        <v>74</v>
      </c>
      <c r="AD818" s="2" t="s">
        <v>74</v>
      </c>
      <c r="AE818" s="2" t="s">
        <v>74</v>
      </c>
      <c r="AF818" s="2" t="s">
        <v>74</v>
      </c>
      <c r="AG818" s="2" t="s">
        <v>74</v>
      </c>
      <c r="AH818" s="2" t="s">
        <v>74</v>
      </c>
      <c r="AI818" s="2" t="s">
        <v>74</v>
      </c>
      <c r="AJ818" s="2" t="s">
        <v>74</v>
      </c>
      <c r="AK818" s="2" t="s">
        <v>74</v>
      </c>
      <c r="AL818" s="2" t="s">
        <v>74</v>
      </c>
      <c r="AM818" s="2" t="s">
        <v>74</v>
      </c>
      <c r="AN818" s="2" t="s">
        <v>74</v>
      </c>
      <c r="AO818" s="2" t="s">
        <v>143</v>
      </c>
      <c r="AP818" s="2" t="s">
        <v>74</v>
      </c>
      <c r="AQ818" s="2" t="s">
        <v>74</v>
      </c>
      <c r="AR818" s="2" t="s">
        <v>74</v>
      </c>
      <c r="AS818" s="2" t="s">
        <v>74</v>
      </c>
      <c r="AT818" s="2" t="s">
        <v>102</v>
      </c>
      <c r="AU818" s="2">
        <v>2000</v>
      </c>
      <c r="AV818" s="2">
        <v>59</v>
      </c>
      <c r="AW818" s="2" t="s">
        <v>74</v>
      </c>
      <c r="AX818" s="2">
        <v>6</v>
      </c>
      <c r="AY818" s="2" t="s">
        <v>74</v>
      </c>
      <c r="AZ818" s="2" t="s">
        <v>74</v>
      </c>
      <c r="BA818" s="2" t="s">
        <v>74</v>
      </c>
      <c r="BB818" s="2">
        <v>1095</v>
      </c>
      <c r="BC818" s="2">
        <v>1101</v>
      </c>
      <c r="BD818" s="2" t="s">
        <v>74</v>
      </c>
      <c r="BE818" s="2" t="s">
        <v>7270</v>
      </c>
      <c r="BF818" s="2" t="str">
        <f>HYPERLINK("http://dx.doi.org/10.1006/anbe.2000.1401","http://dx.doi.org/10.1006/anbe.2000.1401")</f>
        <v>http://dx.doi.org/10.1006/anbe.2000.1401</v>
      </c>
      <c r="BG818" s="2" t="s">
        <v>74</v>
      </c>
      <c r="BH818" s="2" t="s">
        <v>74</v>
      </c>
      <c r="BI818" s="2" t="s">
        <v>74</v>
      </c>
      <c r="BJ818" s="2" t="s">
        <v>74</v>
      </c>
      <c r="BK818" s="2" t="s">
        <v>74</v>
      </c>
      <c r="BL818" s="2" t="s">
        <v>74</v>
      </c>
      <c r="BM818" s="2" t="s">
        <v>74</v>
      </c>
      <c r="BN818" s="2">
        <v>10877887</v>
      </c>
      <c r="BO818" s="2" t="s">
        <v>74</v>
      </c>
      <c r="BP818" s="2" t="s">
        <v>74</v>
      </c>
      <c r="BQ818" s="2" t="s">
        <v>74</v>
      </c>
      <c r="BR818" s="2" t="s">
        <v>74</v>
      </c>
      <c r="BS818" s="2" t="s">
        <v>7271</v>
      </c>
      <c r="BT818" s="2" t="str">
        <f>HYPERLINK("https%3A%2F%2Fwww.webofscience.com%2Fwos%2Fwoscc%2Ffull-record%2FWOS:000088220000003","View Full Record in Web of Science")</f>
        <v>View Full Record in Web of Science</v>
      </c>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row>
    <row r="819" spans="1:314" s="2" customFormat="1" x14ac:dyDescent="0.4">
      <c r="A819" s="2" t="s">
        <v>72</v>
      </c>
      <c r="B819" s="2" t="s">
        <v>8584</v>
      </c>
      <c r="C819" s="2" t="s">
        <v>74</v>
      </c>
      <c r="D819" s="2" t="s">
        <v>74</v>
      </c>
      <c r="E819" s="2" t="s">
        <v>74</v>
      </c>
      <c r="F819" s="2" t="s">
        <v>8584</v>
      </c>
      <c r="G819" s="2" t="s">
        <v>74</v>
      </c>
      <c r="H819" s="2" t="s">
        <v>74</v>
      </c>
      <c r="I819" s="2" t="s">
        <v>8585</v>
      </c>
      <c r="J819" s="2" t="s">
        <v>1112</v>
      </c>
      <c r="K819" s="2" t="s">
        <v>74</v>
      </c>
      <c r="L819" s="2" t="s">
        <v>74</v>
      </c>
      <c r="M819" s="2" t="s">
        <v>74</v>
      </c>
      <c r="N819" s="2" t="s">
        <v>74</v>
      </c>
      <c r="O819" s="2" t="s">
        <v>74</v>
      </c>
      <c r="P819" s="2" t="s">
        <v>74</v>
      </c>
      <c r="Q819" s="2" t="s">
        <v>74</v>
      </c>
      <c r="R819" s="2" t="s">
        <v>74</v>
      </c>
      <c r="S819" s="2" t="s">
        <v>74</v>
      </c>
      <c r="T819" s="2" t="s">
        <v>74</v>
      </c>
      <c r="U819" s="2" t="s">
        <v>74</v>
      </c>
      <c r="V819" s="5" t="s">
        <v>8586</v>
      </c>
      <c r="W819" s="2" t="s">
        <v>74</v>
      </c>
      <c r="X819" s="2" t="s">
        <v>74</v>
      </c>
      <c r="Y819" s="2" t="s">
        <v>74</v>
      </c>
      <c r="Z819" s="2" t="s">
        <v>74</v>
      </c>
      <c r="AA819" s="2" t="s">
        <v>74</v>
      </c>
      <c r="AB819" s="2" t="s">
        <v>8587</v>
      </c>
      <c r="AC819" s="2" t="s">
        <v>74</v>
      </c>
      <c r="AD819" s="2" t="s">
        <v>74</v>
      </c>
      <c r="AE819" s="2" t="s">
        <v>74</v>
      </c>
      <c r="AF819" s="2" t="s">
        <v>74</v>
      </c>
      <c r="AG819" s="2" t="s">
        <v>74</v>
      </c>
      <c r="AH819" s="2" t="s">
        <v>74</v>
      </c>
      <c r="AI819" s="2" t="s">
        <v>74</v>
      </c>
      <c r="AJ819" s="2" t="s">
        <v>74</v>
      </c>
      <c r="AK819" s="2" t="s">
        <v>74</v>
      </c>
      <c r="AL819" s="2" t="s">
        <v>74</v>
      </c>
      <c r="AM819" s="2" t="s">
        <v>74</v>
      </c>
      <c r="AN819" s="2" t="s">
        <v>74</v>
      </c>
      <c r="AO819" s="2" t="s">
        <v>1114</v>
      </c>
      <c r="AP819" s="2" t="s">
        <v>74</v>
      </c>
      <c r="AQ819" s="2" t="s">
        <v>74</v>
      </c>
      <c r="AR819" s="2" t="s">
        <v>74</v>
      </c>
      <c r="AS819" s="2" t="s">
        <v>74</v>
      </c>
      <c r="AT819" s="2" t="s">
        <v>8588</v>
      </c>
      <c r="AU819" s="2">
        <v>2000</v>
      </c>
      <c r="AV819" s="2">
        <v>67</v>
      </c>
      <c r="AW819" s="2">
        <v>4</v>
      </c>
      <c r="AX819" s="2" t="s">
        <v>74</v>
      </c>
      <c r="AY819" s="2" t="s">
        <v>74</v>
      </c>
      <c r="AZ819" s="2" t="s">
        <v>74</v>
      </c>
      <c r="BA819" s="2" t="s">
        <v>74</v>
      </c>
      <c r="BB819" s="2">
        <v>307</v>
      </c>
      <c r="BC819" s="2">
        <v>320</v>
      </c>
      <c r="BD819" s="2" t="s">
        <v>74</v>
      </c>
      <c r="BE819" s="2" t="s">
        <v>8589</v>
      </c>
      <c r="BF819" s="2" t="str">
        <f>HYPERLINK("http://dx.doi.org/10.1016/S0168-1591(99)00123-9","http://dx.doi.org/10.1016/S0168-1591(99)00123-9")</f>
        <v>http://dx.doi.org/10.1016/S0168-1591(99)00123-9</v>
      </c>
      <c r="BG819" s="2" t="s">
        <v>74</v>
      </c>
      <c r="BH819" s="2" t="s">
        <v>74</v>
      </c>
      <c r="BI819" s="2" t="s">
        <v>74</v>
      </c>
      <c r="BJ819" s="2" t="s">
        <v>74</v>
      </c>
      <c r="BK819" s="2" t="s">
        <v>74</v>
      </c>
      <c r="BL819" s="2" t="s">
        <v>74</v>
      </c>
      <c r="BM819" s="2" t="s">
        <v>74</v>
      </c>
      <c r="BN819" s="2">
        <v>10760610</v>
      </c>
      <c r="BO819" s="2" t="s">
        <v>74</v>
      </c>
      <c r="BP819" s="2" t="s">
        <v>74</v>
      </c>
      <c r="BQ819" s="2" t="s">
        <v>74</v>
      </c>
      <c r="BR819" s="2" t="s">
        <v>74</v>
      </c>
      <c r="BS819" s="2" t="s">
        <v>8590</v>
      </c>
      <c r="BT819" s="2" t="str">
        <f>HYPERLINK("https%3A%2F%2Fwww.webofscience.com%2Fwos%2Fwoscc%2Ffull-record%2FWOS:000086528100004","View Full Record in Web of Science")</f>
        <v>View Full Record in Web of Science</v>
      </c>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row>
    <row r="820" spans="1:314" s="2" customFormat="1" x14ac:dyDescent="0.4">
      <c r="A820" s="2" t="s">
        <v>72</v>
      </c>
      <c r="B820" s="2" t="s">
        <v>7784</v>
      </c>
      <c r="C820" s="2" t="s">
        <v>74</v>
      </c>
      <c r="D820" s="2" t="s">
        <v>74</v>
      </c>
      <c r="E820" s="2" t="s">
        <v>74</v>
      </c>
      <c r="F820" s="2" t="s">
        <v>7785</v>
      </c>
      <c r="G820" s="2" t="s">
        <v>74</v>
      </c>
      <c r="H820" s="2" t="s">
        <v>74</v>
      </c>
      <c r="I820" s="2" t="s">
        <v>7786</v>
      </c>
      <c r="J820" s="2" t="s">
        <v>5937</v>
      </c>
      <c r="K820" s="2" t="s">
        <v>74</v>
      </c>
      <c r="L820" s="2" t="s">
        <v>74</v>
      </c>
      <c r="M820" s="2" t="s">
        <v>74</v>
      </c>
      <c r="N820" s="2" t="s">
        <v>74</v>
      </c>
      <c r="O820" s="2" t="s">
        <v>74</v>
      </c>
      <c r="P820" s="2" t="s">
        <v>74</v>
      </c>
      <c r="Q820" s="2" t="s">
        <v>74</v>
      </c>
      <c r="R820" s="2" t="s">
        <v>74</v>
      </c>
      <c r="S820" s="2" t="s">
        <v>74</v>
      </c>
      <c r="T820" s="2" t="s">
        <v>74</v>
      </c>
      <c r="U820" s="2" t="s">
        <v>74</v>
      </c>
      <c r="V820" s="5" t="s">
        <v>7787</v>
      </c>
      <c r="W820" s="2" t="s">
        <v>74</v>
      </c>
      <c r="X820" s="2" t="s">
        <v>74</v>
      </c>
      <c r="Y820" s="2" t="s">
        <v>74</v>
      </c>
      <c r="Z820" s="2" t="s">
        <v>74</v>
      </c>
      <c r="AA820" s="2" t="s">
        <v>7788</v>
      </c>
      <c r="AB820" s="2" t="s">
        <v>7789</v>
      </c>
      <c r="AC820" s="2" t="s">
        <v>74</v>
      </c>
      <c r="AD820" s="2" t="s">
        <v>74</v>
      </c>
      <c r="AE820" s="2" t="s">
        <v>74</v>
      </c>
      <c r="AF820" s="2" t="s">
        <v>74</v>
      </c>
      <c r="AG820" s="2" t="s">
        <v>74</v>
      </c>
      <c r="AH820" s="2" t="s">
        <v>74</v>
      </c>
      <c r="AI820" s="2" t="s">
        <v>74</v>
      </c>
      <c r="AJ820" s="2" t="s">
        <v>74</v>
      </c>
      <c r="AK820" s="2" t="s">
        <v>74</v>
      </c>
      <c r="AL820" s="2" t="s">
        <v>74</v>
      </c>
      <c r="AM820" s="2" t="s">
        <v>74</v>
      </c>
      <c r="AN820" s="2" t="s">
        <v>74</v>
      </c>
      <c r="AO820" s="2" t="s">
        <v>5941</v>
      </c>
      <c r="AP820" s="2" t="s">
        <v>74</v>
      </c>
      <c r="AQ820" s="2" t="s">
        <v>74</v>
      </c>
      <c r="AR820" s="2" t="s">
        <v>74</v>
      </c>
      <c r="AS820" s="2" t="s">
        <v>74</v>
      </c>
      <c r="AT820" s="2" t="s">
        <v>134</v>
      </c>
      <c r="AU820" s="2">
        <v>2020</v>
      </c>
      <c r="AV820" s="2">
        <v>10</v>
      </c>
      <c r="AW820" s="2">
        <v>5</v>
      </c>
      <c r="AX820" s="2" t="s">
        <v>74</v>
      </c>
      <c r="AY820" s="2" t="s">
        <v>74</v>
      </c>
      <c r="AZ820" s="2" t="s">
        <v>74</v>
      </c>
      <c r="BA820" s="2" t="s">
        <v>74</v>
      </c>
      <c r="BB820" s="2" t="s">
        <v>74</v>
      </c>
      <c r="BC820" s="2" t="s">
        <v>74</v>
      </c>
      <c r="BD820" s="2">
        <v>755</v>
      </c>
      <c r="BE820" s="2" t="s">
        <v>7790</v>
      </c>
      <c r="BF820" s="2" t="str">
        <f>HYPERLINK("http://dx.doi.org/10.3390/ani10050755","http://dx.doi.org/10.3390/ani10050755")</f>
        <v>http://dx.doi.org/10.3390/ani10050755</v>
      </c>
      <c r="BG820" s="2" t="s">
        <v>74</v>
      </c>
      <c r="BH820" s="2" t="s">
        <v>74</v>
      </c>
      <c r="BI820" s="2" t="s">
        <v>74</v>
      </c>
      <c r="BJ820" s="2" t="s">
        <v>74</v>
      </c>
      <c r="BK820" s="2" t="s">
        <v>74</v>
      </c>
      <c r="BL820" s="2" t="s">
        <v>74</v>
      </c>
      <c r="BM820" s="2" t="s">
        <v>74</v>
      </c>
      <c r="BN820" s="2">
        <v>32357412</v>
      </c>
      <c r="BO820" s="2" t="s">
        <v>74</v>
      </c>
      <c r="BP820" s="2" t="s">
        <v>74</v>
      </c>
      <c r="BQ820" s="2" t="s">
        <v>74</v>
      </c>
      <c r="BR820" s="2" t="s">
        <v>74</v>
      </c>
      <c r="BS820" s="2" t="s">
        <v>7791</v>
      </c>
      <c r="BT820" s="2" t="str">
        <f>HYPERLINK("https%3A%2F%2Fwww.webofscience.com%2Fwos%2Fwoscc%2Ffull-record%2FWOS:000540228300006","View Full Record in Web of Science")</f>
        <v>View Full Record in Web of Science</v>
      </c>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row>
    <row r="821" spans="1:314" s="2" customFormat="1" x14ac:dyDescent="0.4">
      <c r="A821" s="2" t="s">
        <v>72</v>
      </c>
      <c r="B821" s="2" t="s">
        <v>5177</v>
      </c>
      <c r="C821" s="2" t="s">
        <v>74</v>
      </c>
      <c r="D821" s="2" t="s">
        <v>74</v>
      </c>
      <c r="E821" s="2" t="s">
        <v>74</v>
      </c>
      <c r="F821" s="2" t="s">
        <v>5178</v>
      </c>
      <c r="G821" s="2" t="s">
        <v>74</v>
      </c>
      <c r="H821" s="2" t="s">
        <v>74</v>
      </c>
      <c r="I821" s="2" t="s">
        <v>5179</v>
      </c>
      <c r="J821" s="2" t="s">
        <v>5180</v>
      </c>
      <c r="K821" s="2" t="s">
        <v>74</v>
      </c>
      <c r="L821" s="2" t="s">
        <v>74</v>
      </c>
      <c r="M821" s="2" t="s">
        <v>74</v>
      </c>
      <c r="N821" s="2" t="s">
        <v>74</v>
      </c>
      <c r="O821" s="2" t="s">
        <v>74</v>
      </c>
      <c r="P821" s="2" t="s">
        <v>74</v>
      </c>
      <c r="Q821" s="2" t="s">
        <v>74</v>
      </c>
      <c r="R821" s="2" t="s">
        <v>74</v>
      </c>
      <c r="S821" s="2" t="s">
        <v>74</v>
      </c>
      <c r="T821" s="2" t="s">
        <v>74</v>
      </c>
      <c r="U821" s="2" t="s">
        <v>74</v>
      </c>
      <c r="V821" s="5" t="s">
        <v>5181</v>
      </c>
      <c r="W821" s="2" t="s">
        <v>74</v>
      </c>
      <c r="X821" s="2" t="s">
        <v>74</v>
      </c>
      <c r="Y821" s="2" t="s">
        <v>74</v>
      </c>
      <c r="Z821" s="2" t="s">
        <v>74</v>
      </c>
      <c r="AA821" s="2" t="s">
        <v>5182</v>
      </c>
      <c r="AB821" s="2" t="s">
        <v>5183</v>
      </c>
      <c r="AC821" s="2" t="s">
        <v>74</v>
      </c>
      <c r="AD821" s="2" t="s">
        <v>74</v>
      </c>
      <c r="AE821" s="2" t="s">
        <v>74</v>
      </c>
      <c r="AF821" s="2" t="s">
        <v>74</v>
      </c>
      <c r="AG821" s="2" t="s">
        <v>74</v>
      </c>
      <c r="AH821" s="2" t="s">
        <v>74</v>
      </c>
      <c r="AI821" s="2" t="s">
        <v>74</v>
      </c>
      <c r="AJ821" s="2" t="s">
        <v>74</v>
      </c>
      <c r="AK821" s="2" t="s">
        <v>74</v>
      </c>
      <c r="AL821" s="2" t="s">
        <v>74</v>
      </c>
      <c r="AM821" s="2" t="s">
        <v>74</v>
      </c>
      <c r="AN821" s="2" t="s">
        <v>74</v>
      </c>
      <c r="AO821" s="2" t="s">
        <v>5184</v>
      </c>
      <c r="AP821" s="2" t="s">
        <v>5185</v>
      </c>
      <c r="AQ821" s="2" t="s">
        <v>74</v>
      </c>
      <c r="AR821" s="2" t="s">
        <v>74</v>
      </c>
      <c r="AS821" s="2" t="s">
        <v>74</v>
      </c>
      <c r="AT821" s="2" t="s">
        <v>145</v>
      </c>
      <c r="AU821" s="2">
        <v>2021</v>
      </c>
      <c r="AV821" s="2">
        <v>40</v>
      </c>
      <c r="AW821" s="2">
        <v>2</v>
      </c>
      <c r="AX821" s="2" t="s">
        <v>74</v>
      </c>
      <c r="AY821" s="2" t="s">
        <v>74</v>
      </c>
      <c r="AZ821" s="2" t="s">
        <v>74</v>
      </c>
      <c r="BA821" s="2" t="s">
        <v>74</v>
      </c>
      <c r="BB821" s="2">
        <v>182</v>
      </c>
      <c r="BC821" s="2">
        <v>189</v>
      </c>
      <c r="BD821" s="2" t="s">
        <v>74</v>
      </c>
      <c r="BE821" s="2" t="s">
        <v>5186</v>
      </c>
      <c r="BF821" s="2" t="str">
        <f>HYPERLINK("http://dx.doi.org/10.5358/hsj.40.182","http://dx.doi.org/10.5358/hsj.40.182")</f>
        <v>http://dx.doi.org/10.5358/hsj.40.182</v>
      </c>
      <c r="BG821" s="2" t="s">
        <v>74</v>
      </c>
      <c r="BH821" s="2" t="s">
        <v>74</v>
      </c>
      <c r="BI821" s="2" t="s">
        <v>74</v>
      </c>
      <c r="BJ821" s="2" t="s">
        <v>74</v>
      </c>
      <c r="BK821" s="2" t="s">
        <v>74</v>
      </c>
      <c r="BL821" s="2" t="s">
        <v>74</v>
      </c>
      <c r="BM821" s="2" t="s">
        <v>74</v>
      </c>
      <c r="BN821" s="2" t="s">
        <v>74</v>
      </c>
      <c r="BO821" s="2" t="s">
        <v>74</v>
      </c>
      <c r="BP821" s="2" t="s">
        <v>74</v>
      </c>
      <c r="BQ821" s="2" t="s">
        <v>74</v>
      </c>
      <c r="BR821" s="2" t="s">
        <v>74</v>
      </c>
      <c r="BS821" s="2" t="s">
        <v>5187</v>
      </c>
      <c r="BT821" s="2" t="str">
        <f>HYPERLINK("https%3A%2F%2Fwww.webofscience.com%2Fwos%2Fwoscc%2Ffull-record%2FWOS:000697316900008","View Full Record in Web of Science")</f>
        <v>View Full Record in Web of Science</v>
      </c>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row>
    <row r="822" spans="1:314" s="2" customFormat="1" x14ac:dyDescent="0.4">
      <c r="A822" s="2" t="s">
        <v>72</v>
      </c>
      <c r="B822" s="2" t="s">
        <v>2245</v>
      </c>
      <c r="C822" s="2" t="s">
        <v>74</v>
      </c>
      <c r="D822" s="2" t="s">
        <v>74</v>
      </c>
      <c r="E822" s="2" t="s">
        <v>74</v>
      </c>
      <c r="F822" s="2" t="s">
        <v>2246</v>
      </c>
      <c r="G822" s="2" t="s">
        <v>74</v>
      </c>
      <c r="H822" s="2" t="s">
        <v>74</v>
      </c>
      <c r="I822" s="2" t="s">
        <v>2247</v>
      </c>
      <c r="J822" s="2" t="s">
        <v>2248</v>
      </c>
      <c r="K822" s="2" t="s">
        <v>74</v>
      </c>
      <c r="L822" s="2" t="s">
        <v>74</v>
      </c>
      <c r="M822" s="2" t="s">
        <v>74</v>
      </c>
      <c r="N822" s="2" t="s">
        <v>74</v>
      </c>
      <c r="O822" s="2" t="s">
        <v>74</v>
      </c>
      <c r="P822" s="2" t="s">
        <v>74</v>
      </c>
      <c r="Q822" s="2" t="s">
        <v>74</v>
      </c>
      <c r="R822" s="2" t="s">
        <v>74</v>
      </c>
      <c r="S822" s="2" t="s">
        <v>74</v>
      </c>
      <c r="T822" s="2" t="s">
        <v>74</v>
      </c>
      <c r="U822" s="2" t="s">
        <v>74</v>
      </c>
      <c r="V822" s="5" t="s">
        <v>2249</v>
      </c>
      <c r="W822" s="2" t="s">
        <v>74</v>
      </c>
      <c r="X822" s="2" t="s">
        <v>74</v>
      </c>
      <c r="Y822" s="2" t="s">
        <v>74</v>
      </c>
      <c r="Z822" s="2" t="s">
        <v>74</v>
      </c>
      <c r="AA822" s="2" t="s">
        <v>74</v>
      </c>
      <c r="AB822" s="2" t="s">
        <v>2250</v>
      </c>
      <c r="AC822" s="2" t="s">
        <v>74</v>
      </c>
      <c r="AD822" s="2" t="s">
        <v>74</v>
      </c>
      <c r="AE822" s="2" t="s">
        <v>74</v>
      </c>
      <c r="AF822" s="2" t="s">
        <v>74</v>
      </c>
      <c r="AG822" s="2" t="s">
        <v>74</v>
      </c>
      <c r="AH822" s="2" t="s">
        <v>74</v>
      </c>
      <c r="AI822" s="2" t="s">
        <v>74</v>
      </c>
      <c r="AJ822" s="2" t="s">
        <v>74</v>
      </c>
      <c r="AK822" s="2" t="s">
        <v>74</v>
      </c>
      <c r="AL822" s="2" t="s">
        <v>74</v>
      </c>
      <c r="AM822" s="2" t="s">
        <v>74</v>
      </c>
      <c r="AN822" s="2" t="s">
        <v>74</v>
      </c>
      <c r="AO822" s="2" t="s">
        <v>2251</v>
      </c>
      <c r="AP822" s="2" t="s">
        <v>2252</v>
      </c>
      <c r="AQ822" s="2" t="s">
        <v>74</v>
      </c>
      <c r="AR822" s="2" t="s">
        <v>74</v>
      </c>
      <c r="AS822" s="2" t="s">
        <v>74</v>
      </c>
      <c r="AT822" s="2" t="s">
        <v>74</v>
      </c>
      <c r="AU822" s="2">
        <v>2011</v>
      </c>
      <c r="AV822" s="2">
        <v>14</v>
      </c>
      <c r="AW822" s="2">
        <v>4</v>
      </c>
      <c r="AX822" s="2" t="s">
        <v>74</v>
      </c>
      <c r="AY822" s="2" t="s">
        <v>74</v>
      </c>
      <c r="AZ822" s="2" t="s">
        <v>74</v>
      </c>
      <c r="BA822" s="2" t="s">
        <v>74</v>
      </c>
      <c r="BB822" s="2">
        <v>340</v>
      </c>
      <c r="BC822" s="2">
        <v>360</v>
      </c>
      <c r="BD822" s="2" t="s">
        <v>74</v>
      </c>
      <c r="BE822" s="2" t="s">
        <v>2253</v>
      </c>
      <c r="BF822" s="2" t="str">
        <f>HYPERLINK("http://dx.doi.org/10.1080/10888705.2011.600664","http://dx.doi.org/10.1080/10888705.2011.600664")</f>
        <v>http://dx.doi.org/10.1080/10888705.2011.600664</v>
      </c>
      <c r="BG822" s="2" t="s">
        <v>74</v>
      </c>
      <c r="BH822" s="2" t="s">
        <v>74</v>
      </c>
      <c r="BI822" s="2" t="s">
        <v>74</v>
      </c>
      <c r="BJ822" s="2" t="s">
        <v>74</v>
      </c>
      <c r="BK822" s="2" t="s">
        <v>74</v>
      </c>
      <c r="BL822" s="2" t="s">
        <v>74</v>
      </c>
      <c r="BM822" s="2" t="s">
        <v>74</v>
      </c>
      <c r="BN822" s="2">
        <v>21932947</v>
      </c>
      <c r="BO822" s="2" t="s">
        <v>74</v>
      </c>
      <c r="BP822" s="2" t="s">
        <v>74</v>
      </c>
      <c r="BQ822" s="2" t="s">
        <v>74</v>
      </c>
      <c r="BR822" s="2" t="s">
        <v>74</v>
      </c>
      <c r="BS822" s="2" t="s">
        <v>2254</v>
      </c>
      <c r="BT822" s="2" t="str">
        <f>HYPERLINK("https%3A%2F%2Fwww.webofscience.com%2Fwos%2Fwoscc%2Ffull-record%2FWOS:000296232000005","View Full Record in Web of Science")</f>
        <v>View Full Record in Web of Science</v>
      </c>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row>
    <row r="823" spans="1:314" s="1" customFormat="1" x14ac:dyDescent="0.4">
      <c r="A823" s="2" t="s">
        <v>72</v>
      </c>
      <c r="B823" s="2" t="s">
        <v>5752</v>
      </c>
      <c r="C823" s="2" t="s">
        <v>74</v>
      </c>
      <c r="D823" s="2" t="s">
        <v>74</v>
      </c>
      <c r="E823" s="2" t="s">
        <v>74</v>
      </c>
      <c r="F823" s="2" t="s">
        <v>5753</v>
      </c>
      <c r="G823" s="2" t="s">
        <v>74</v>
      </c>
      <c r="H823" s="2" t="s">
        <v>74</v>
      </c>
      <c r="I823" s="2" t="s">
        <v>5754</v>
      </c>
      <c r="J823" s="2" t="s">
        <v>192</v>
      </c>
      <c r="K823" s="2" t="s">
        <v>74</v>
      </c>
      <c r="L823" s="2" t="s">
        <v>74</v>
      </c>
      <c r="M823" s="2" t="s">
        <v>74</v>
      </c>
      <c r="N823" s="2" t="s">
        <v>74</v>
      </c>
      <c r="O823" s="2" t="s">
        <v>74</v>
      </c>
      <c r="P823" s="2" t="s">
        <v>74</v>
      </c>
      <c r="Q823" s="2" t="s">
        <v>74</v>
      </c>
      <c r="R823" s="2" t="s">
        <v>74</v>
      </c>
      <c r="S823" s="2" t="s">
        <v>74</v>
      </c>
      <c r="T823" s="2" t="s">
        <v>74</v>
      </c>
      <c r="U823" s="2" t="s">
        <v>74</v>
      </c>
      <c r="V823" s="5" t="s">
        <v>5755</v>
      </c>
      <c r="W823" s="2" t="s">
        <v>74</v>
      </c>
      <c r="X823" s="2" t="s">
        <v>74</v>
      </c>
      <c r="Y823" s="2" t="s">
        <v>74</v>
      </c>
      <c r="Z823" s="2" t="s">
        <v>74</v>
      </c>
      <c r="AA823" s="2" t="s">
        <v>5756</v>
      </c>
      <c r="AB823" s="2" t="s">
        <v>5757</v>
      </c>
      <c r="AC823" s="2" t="s">
        <v>74</v>
      </c>
      <c r="AD823" s="2" t="s">
        <v>74</v>
      </c>
      <c r="AE823" s="2" t="s">
        <v>74</v>
      </c>
      <c r="AF823" s="2" t="s">
        <v>74</v>
      </c>
      <c r="AG823" s="2" t="s">
        <v>74</v>
      </c>
      <c r="AH823" s="2" t="s">
        <v>74</v>
      </c>
      <c r="AI823" s="2" t="s">
        <v>74</v>
      </c>
      <c r="AJ823" s="2" t="s">
        <v>74</v>
      </c>
      <c r="AK823" s="2" t="s">
        <v>74</v>
      </c>
      <c r="AL823" s="2" t="s">
        <v>74</v>
      </c>
      <c r="AM823" s="2" t="s">
        <v>74</v>
      </c>
      <c r="AN823" s="2" t="s">
        <v>74</v>
      </c>
      <c r="AO823" s="2" t="s">
        <v>195</v>
      </c>
      <c r="AP823" s="2" t="s">
        <v>196</v>
      </c>
      <c r="AQ823" s="2" t="s">
        <v>74</v>
      </c>
      <c r="AR823" s="2" t="s">
        <v>74</v>
      </c>
      <c r="AS823" s="2" t="s">
        <v>74</v>
      </c>
      <c r="AT823" s="2" t="s">
        <v>633</v>
      </c>
      <c r="AU823" s="2">
        <v>2015</v>
      </c>
      <c r="AV823" s="2">
        <v>748</v>
      </c>
      <c r="AW823" s="2">
        <v>1</v>
      </c>
      <c r="AX823" s="2" t="s">
        <v>74</v>
      </c>
      <c r="AY823" s="2" t="s">
        <v>74</v>
      </c>
      <c r="AZ823" s="2" t="s">
        <v>74</v>
      </c>
      <c r="BA823" s="2" t="s">
        <v>74</v>
      </c>
      <c r="BB823" s="2">
        <v>233</v>
      </c>
      <c r="BC823" s="2">
        <v>257</v>
      </c>
      <c r="BD823" s="2" t="s">
        <v>74</v>
      </c>
      <c r="BE823" s="2" t="s">
        <v>5758</v>
      </c>
      <c r="BF823" s="2" t="str">
        <f>HYPERLINK("http://dx.doi.org/10.1007/s10750-014-2081-4","http://dx.doi.org/10.1007/s10750-014-2081-4")</f>
        <v>http://dx.doi.org/10.1007/s10750-014-2081-4</v>
      </c>
      <c r="BG823" s="2" t="s">
        <v>74</v>
      </c>
      <c r="BH823" s="2" t="s">
        <v>74</v>
      </c>
      <c r="BI823" s="2" t="s">
        <v>74</v>
      </c>
      <c r="BJ823" s="2" t="s">
        <v>74</v>
      </c>
      <c r="BK823" s="2" t="s">
        <v>74</v>
      </c>
      <c r="BL823" s="2" t="s">
        <v>74</v>
      </c>
      <c r="BM823" s="2" t="s">
        <v>74</v>
      </c>
      <c r="BN823" s="2" t="s">
        <v>74</v>
      </c>
      <c r="BO823" s="2" t="s">
        <v>74</v>
      </c>
      <c r="BP823" s="2" t="s">
        <v>74</v>
      </c>
      <c r="BQ823" s="2" t="s">
        <v>74</v>
      </c>
      <c r="BR823" s="2" t="s">
        <v>74</v>
      </c>
      <c r="BS823" s="2" t="s">
        <v>5759</v>
      </c>
      <c r="BT823" s="2" t="str">
        <f>HYPERLINK("https%3A%2F%2Fwww.webofscience.com%2Fwos%2Fwoscc%2Ffull-record%2FWOS:000349968000016","View Full Record in Web of Science")</f>
        <v>View Full Record in Web of Science</v>
      </c>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row>
    <row r="824" spans="1:314" s="2" customFormat="1" x14ac:dyDescent="0.4">
      <c r="A824" s="2" t="s">
        <v>72</v>
      </c>
      <c r="B824" s="2" t="s">
        <v>4686</v>
      </c>
      <c r="C824" s="2" t="s">
        <v>74</v>
      </c>
      <c r="D824" s="2" t="s">
        <v>74</v>
      </c>
      <c r="E824" s="2" t="s">
        <v>74</v>
      </c>
      <c r="F824" s="2" t="s">
        <v>4687</v>
      </c>
      <c r="G824" s="2" t="s">
        <v>74</v>
      </c>
      <c r="H824" s="2" t="s">
        <v>74</v>
      </c>
      <c r="I824" s="2" t="s">
        <v>4688</v>
      </c>
      <c r="J824" s="2" t="s">
        <v>576</v>
      </c>
      <c r="K824" s="2" t="s">
        <v>74</v>
      </c>
      <c r="L824" s="2" t="s">
        <v>74</v>
      </c>
      <c r="M824" s="2" t="s">
        <v>74</v>
      </c>
      <c r="N824" s="2" t="s">
        <v>74</v>
      </c>
      <c r="O824" s="2" t="s">
        <v>74</v>
      </c>
      <c r="P824" s="2" t="s">
        <v>74</v>
      </c>
      <c r="Q824" s="2" t="s">
        <v>74</v>
      </c>
      <c r="R824" s="2" t="s">
        <v>74</v>
      </c>
      <c r="S824" s="2" t="s">
        <v>74</v>
      </c>
      <c r="T824" s="2" t="s">
        <v>74</v>
      </c>
      <c r="U824" s="2" t="s">
        <v>74</v>
      </c>
      <c r="V824" s="5" t="s">
        <v>4689</v>
      </c>
      <c r="W824" s="2" t="s">
        <v>74</v>
      </c>
      <c r="X824" s="2" t="s">
        <v>74</v>
      </c>
      <c r="Y824" s="2" t="s">
        <v>74</v>
      </c>
      <c r="Z824" s="2" t="s">
        <v>74</v>
      </c>
      <c r="AA824" s="2" t="s">
        <v>74</v>
      </c>
      <c r="AB824" s="2" t="s">
        <v>4690</v>
      </c>
      <c r="AC824" s="2" t="s">
        <v>74</v>
      </c>
      <c r="AD824" s="2" t="s">
        <v>74</v>
      </c>
      <c r="AE824" s="2" t="s">
        <v>74</v>
      </c>
      <c r="AF824" s="2" t="s">
        <v>74</v>
      </c>
      <c r="AG824" s="2" t="s">
        <v>74</v>
      </c>
      <c r="AH824" s="2" t="s">
        <v>74</v>
      </c>
      <c r="AI824" s="2" t="s">
        <v>74</v>
      </c>
      <c r="AJ824" s="2" t="s">
        <v>74</v>
      </c>
      <c r="AK824" s="2" t="s">
        <v>74</v>
      </c>
      <c r="AL824" s="2" t="s">
        <v>74</v>
      </c>
      <c r="AM824" s="2" t="s">
        <v>74</v>
      </c>
      <c r="AN824" s="2" t="s">
        <v>74</v>
      </c>
      <c r="AO824" s="2" t="s">
        <v>579</v>
      </c>
      <c r="AP824" s="2" t="s">
        <v>580</v>
      </c>
      <c r="AQ824" s="2" t="s">
        <v>74</v>
      </c>
      <c r="AR824" s="2" t="s">
        <v>74</v>
      </c>
      <c r="AS824" s="2" t="s">
        <v>74</v>
      </c>
      <c r="AT824" s="2" t="s">
        <v>204</v>
      </c>
      <c r="AU824" s="2">
        <v>2010</v>
      </c>
      <c r="AV824" s="2">
        <v>24</v>
      </c>
      <c r="AW824" s="2">
        <v>4</v>
      </c>
      <c r="AX824" s="2" t="s">
        <v>74</v>
      </c>
      <c r="AY824" s="2" t="s">
        <v>74</v>
      </c>
      <c r="AZ824" s="2" t="s">
        <v>74</v>
      </c>
      <c r="BA824" s="2" t="s">
        <v>74</v>
      </c>
      <c r="BB824" s="2">
        <v>731</v>
      </c>
      <c r="BC824" s="2">
        <v>748</v>
      </c>
      <c r="BD824" s="2" t="s">
        <v>74</v>
      </c>
      <c r="BE824" s="2" t="s">
        <v>4691</v>
      </c>
      <c r="BF824" s="2" t="str">
        <f>HYPERLINK("http://dx.doi.org/10.1007/s10682-009-9330-4","http://dx.doi.org/10.1007/s10682-009-9330-4")</f>
        <v>http://dx.doi.org/10.1007/s10682-009-9330-4</v>
      </c>
      <c r="BG824" s="2" t="s">
        <v>74</v>
      </c>
      <c r="BH824" s="2" t="s">
        <v>74</v>
      </c>
      <c r="BI824" s="2" t="s">
        <v>74</v>
      </c>
      <c r="BJ824" s="2" t="s">
        <v>74</v>
      </c>
      <c r="BK824" s="2" t="s">
        <v>74</v>
      </c>
      <c r="BL824" s="2" t="s">
        <v>74</v>
      </c>
      <c r="BM824" s="2" t="s">
        <v>74</v>
      </c>
      <c r="BN824" s="2" t="s">
        <v>74</v>
      </c>
      <c r="BO824" s="2" t="s">
        <v>74</v>
      </c>
      <c r="BP824" s="2" t="s">
        <v>74</v>
      </c>
      <c r="BQ824" s="2" t="s">
        <v>74</v>
      </c>
      <c r="BR824" s="2" t="s">
        <v>74</v>
      </c>
      <c r="BS824" s="2" t="s">
        <v>4692</v>
      </c>
      <c r="BT824" s="2" t="str">
        <f>HYPERLINK("https%3A%2F%2Fwww.webofscience.com%2Fwos%2Fwoscc%2Ffull-record%2FWOS:000278833400007","View Full Record in Web of Science")</f>
        <v>View Full Record in Web of Science</v>
      </c>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row>
    <row r="825" spans="1:314" s="2" customFormat="1" x14ac:dyDescent="0.4">
      <c r="A825" s="2" t="s">
        <v>72</v>
      </c>
      <c r="B825" s="2" t="s">
        <v>5490</v>
      </c>
      <c r="C825" s="2" t="s">
        <v>74</v>
      </c>
      <c r="D825" s="2" t="s">
        <v>74</v>
      </c>
      <c r="E825" s="2" t="s">
        <v>74</v>
      </c>
      <c r="F825" s="2" t="s">
        <v>5491</v>
      </c>
      <c r="G825" s="2" t="s">
        <v>74</v>
      </c>
      <c r="H825" s="2" t="s">
        <v>74</v>
      </c>
      <c r="I825" s="2" t="s">
        <v>5492</v>
      </c>
      <c r="J825" s="2" t="s">
        <v>408</v>
      </c>
      <c r="K825" s="2" t="s">
        <v>74</v>
      </c>
      <c r="L825" s="2" t="s">
        <v>74</v>
      </c>
      <c r="M825" s="2" t="s">
        <v>74</v>
      </c>
      <c r="N825" s="2" t="s">
        <v>74</v>
      </c>
      <c r="O825" s="2" t="s">
        <v>74</v>
      </c>
      <c r="P825" s="2" t="s">
        <v>74</v>
      </c>
      <c r="Q825" s="2" t="s">
        <v>74</v>
      </c>
      <c r="R825" s="2" t="s">
        <v>74</v>
      </c>
      <c r="S825" s="2" t="s">
        <v>74</v>
      </c>
      <c r="T825" s="2" t="s">
        <v>74</v>
      </c>
      <c r="U825" s="2" t="s">
        <v>74</v>
      </c>
      <c r="V825" s="5" t="s">
        <v>5493</v>
      </c>
      <c r="W825" s="2" t="s">
        <v>74</v>
      </c>
      <c r="X825" s="2" t="s">
        <v>74</v>
      </c>
      <c r="Y825" s="2" t="s">
        <v>74</v>
      </c>
      <c r="Z825" s="2" t="s">
        <v>74</v>
      </c>
      <c r="AA825" s="2" t="s">
        <v>74</v>
      </c>
      <c r="AB825" s="2" t="s">
        <v>5494</v>
      </c>
      <c r="AC825" s="2" t="s">
        <v>74</v>
      </c>
      <c r="AD825" s="2" t="s">
        <v>74</v>
      </c>
      <c r="AE825" s="2" t="s">
        <v>74</v>
      </c>
      <c r="AF825" s="2" t="s">
        <v>74</v>
      </c>
      <c r="AG825" s="2" t="s">
        <v>74</v>
      </c>
      <c r="AH825" s="2" t="s">
        <v>74</v>
      </c>
      <c r="AI825" s="2" t="s">
        <v>74</v>
      </c>
      <c r="AJ825" s="2" t="s">
        <v>74</v>
      </c>
      <c r="AK825" s="2" t="s">
        <v>74</v>
      </c>
      <c r="AL825" s="2" t="s">
        <v>74</v>
      </c>
      <c r="AM825" s="2" t="s">
        <v>74</v>
      </c>
      <c r="AN825" s="2" t="s">
        <v>74</v>
      </c>
      <c r="AO825" s="2" t="s">
        <v>412</v>
      </c>
      <c r="AP825" s="2" t="s">
        <v>413</v>
      </c>
      <c r="AQ825" s="2" t="s">
        <v>74</v>
      </c>
      <c r="AR825" s="2" t="s">
        <v>74</v>
      </c>
      <c r="AS825" s="2" t="s">
        <v>74</v>
      </c>
      <c r="AT825" s="2" t="s">
        <v>5495</v>
      </c>
      <c r="AU825" s="2">
        <v>2022</v>
      </c>
      <c r="AV825" s="2">
        <v>135</v>
      </c>
      <c r="AW825" s="2">
        <v>3</v>
      </c>
      <c r="AX825" s="2" t="s">
        <v>74</v>
      </c>
      <c r="AY825" s="2" t="s">
        <v>74</v>
      </c>
      <c r="AZ825" s="2" t="s">
        <v>74</v>
      </c>
      <c r="BA825" s="2" t="s">
        <v>74</v>
      </c>
      <c r="BB825" s="2">
        <v>447</v>
      </c>
      <c r="BC825" s="2">
        <v>461</v>
      </c>
      <c r="BD825" s="2" t="s">
        <v>74</v>
      </c>
      <c r="BE825" s="2" t="s">
        <v>5496</v>
      </c>
      <c r="BF825" s="2" t="str">
        <f>HYPERLINK("http://dx.doi.org/10.1093/biolinnean/blab166","http://dx.doi.org/10.1093/biolinnean/blab166")</f>
        <v>http://dx.doi.org/10.1093/biolinnean/blab166</v>
      </c>
      <c r="BG825" s="2" t="s">
        <v>74</v>
      </c>
      <c r="BH825" s="2" t="s">
        <v>5497</v>
      </c>
      <c r="BI825" s="2" t="s">
        <v>74</v>
      </c>
      <c r="BJ825" s="2" t="s">
        <v>74</v>
      </c>
      <c r="BK825" s="2" t="s">
        <v>74</v>
      </c>
      <c r="BL825" s="2" t="s">
        <v>74</v>
      </c>
      <c r="BM825" s="2" t="s">
        <v>74</v>
      </c>
      <c r="BN825" s="2" t="s">
        <v>74</v>
      </c>
      <c r="BO825" s="2" t="s">
        <v>74</v>
      </c>
      <c r="BP825" s="2" t="s">
        <v>74</v>
      </c>
      <c r="BQ825" s="2" t="s">
        <v>74</v>
      </c>
      <c r="BR825" s="2" t="s">
        <v>74</v>
      </c>
      <c r="BS825" s="2" t="s">
        <v>5498</v>
      </c>
      <c r="BT825" s="2" t="str">
        <f>HYPERLINK("https%3A%2F%2Fwww.webofscience.com%2Fwos%2Fwoscc%2Ffull-record%2FWOS:000754842400003","View Full Record in Web of Science")</f>
        <v>View Full Record in Web of Science</v>
      </c>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row>
    <row r="826" spans="1:314" s="2" customFormat="1" x14ac:dyDescent="0.4">
      <c r="A826" s="2" t="s">
        <v>72</v>
      </c>
      <c r="B826" s="2" t="s">
        <v>8082</v>
      </c>
      <c r="C826" s="2" t="s">
        <v>74</v>
      </c>
      <c r="D826" s="2" t="s">
        <v>74</v>
      </c>
      <c r="E826" s="2" t="s">
        <v>74</v>
      </c>
      <c r="F826" s="2" t="s">
        <v>8083</v>
      </c>
      <c r="G826" s="2" t="s">
        <v>74</v>
      </c>
      <c r="H826" s="2" t="s">
        <v>74</v>
      </c>
      <c r="I826" s="2" t="s">
        <v>8084</v>
      </c>
      <c r="J826" s="2" t="s">
        <v>691</v>
      </c>
      <c r="K826" s="2" t="s">
        <v>74</v>
      </c>
      <c r="L826" s="2" t="s">
        <v>74</v>
      </c>
      <c r="M826" s="2" t="s">
        <v>74</v>
      </c>
      <c r="N826" s="2" t="s">
        <v>74</v>
      </c>
      <c r="O826" s="2" t="s">
        <v>74</v>
      </c>
      <c r="P826" s="2" t="s">
        <v>74</v>
      </c>
      <c r="Q826" s="2" t="s">
        <v>74</v>
      </c>
      <c r="R826" s="2" t="s">
        <v>74</v>
      </c>
      <c r="S826" s="2" t="s">
        <v>74</v>
      </c>
      <c r="T826" s="2" t="s">
        <v>74</v>
      </c>
      <c r="U826" s="2" t="s">
        <v>74</v>
      </c>
      <c r="V826" s="5" t="s">
        <v>8085</v>
      </c>
      <c r="W826" s="2" t="s">
        <v>74</v>
      </c>
      <c r="X826" s="2" t="s">
        <v>74</v>
      </c>
      <c r="Y826" s="2" t="s">
        <v>74</v>
      </c>
      <c r="Z826" s="2" t="s">
        <v>74</v>
      </c>
      <c r="AA826" s="2" t="s">
        <v>3355</v>
      </c>
      <c r="AB826" s="2" t="s">
        <v>3356</v>
      </c>
      <c r="AC826" s="2" t="s">
        <v>74</v>
      </c>
      <c r="AD826" s="2" t="s">
        <v>74</v>
      </c>
      <c r="AE826" s="2" t="s">
        <v>74</v>
      </c>
      <c r="AF826" s="2" t="s">
        <v>74</v>
      </c>
      <c r="AG826" s="2" t="s">
        <v>74</v>
      </c>
      <c r="AH826" s="2" t="s">
        <v>74</v>
      </c>
      <c r="AI826" s="2" t="s">
        <v>74</v>
      </c>
      <c r="AJ826" s="2" t="s">
        <v>74</v>
      </c>
      <c r="AK826" s="2" t="s">
        <v>74</v>
      </c>
      <c r="AL826" s="2" t="s">
        <v>74</v>
      </c>
      <c r="AM826" s="2" t="s">
        <v>74</v>
      </c>
      <c r="AN826" s="2" t="s">
        <v>74</v>
      </c>
      <c r="AO826" s="2" t="s">
        <v>695</v>
      </c>
      <c r="AP826" s="2" t="s">
        <v>74</v>
      </c>
      <c r="AQ826" s="2" t="s">
        <v>74</v>
      </c>
      <c r="AR826" s="2" t="s">
        <v>74</v>
      </c>
      <c r="AS826" s="2" t="s">
        <v>74</v>
      </c>
      <c r="AT826" s="2" t="s">
        <v>113</v>
      </c>
      <c r="AU826" s="2">
        <v>2007</v>
      </c>
      <c r="AV826" s="2">
        <v>91</v>
      </c>
      <c r="AW826" s="2">
        <v>5</v>
      </c>
      <c r="AX826" s="2" t="s">
        <v>74</v>
      </c>
      <c r="AY826" s="2" t="s">
        <v>74</v>
      </c>
      <c r="AZ826" s="2" t="s">
        <v>74</v>
      </c>
      <c r="BA826" s="2" t="s">
        <v>74</v>
      </c>
      <c r="BB826" s="2">
        <v>531</v>
      </c>
      <c r="BC826" s="2">
        <v>534</v>
      </c>
      <c r="BD826" s="2" t="s">
        <v>74</v>
      </c>
      <c r="BE826" s="2" t="s">
        <v>8086</v>
      </c>
      <c r="BF826" s="2" t="str">
        <f>HYPERLINK("http://dx.doi.org/10.1016/j.physbeh.2007.04.025","http://dx.doi.org/10.1016/j.physbeh.2007.04.025")</f>
        <v>http://dx.doi.org/10.1016/j.physbeh.2007.04.025</v>
      </c>
      <c r="BG826" s="2" t="s">
        <v>74</v>
      </c>
      <c r="BH826" s="2" t="s">
        <v>74</v>
      </c>
      <c r="BI826" s="2" t="s">
        <v>74</v>
      </c>
      <c r="BJ826" s="2" t="s">
        <v>74</v>
      </c>
      <c r="BK826" s="2" t="s">
        <v>74</v>
      </c>
      <c r="BL826" s="2" t="s">
        <v>74</v>
      </c>
      <c r="BM826" s="2" t="s">
        <v>74</v>
      </c>
      <c r="BN826" s="2">
        <v>17521685</v>
      </c>
      <c r="BO826" s="2" t="s">
        <v>74</v>
      </c>
      <c r="BP826" s="2" t="s">
        <v>74</v>
      </c>
      <c r="BQ826" s="2" t="s">
        <v>74</v>
      </c>
      <c r="BR826" s="2" t="s">
        <v>74</v>
      </c>
      <c r="BS826" s="2" t="s">
        <v>8087</v>
      </c>
      <c r="BT826" s="2" t="str">
        <f>HYPERLINK("https%3A%2F%2Fwww.webofscience.com%2Fwos%2Fwoscc%2Ffull-record%2FWOS:000249944700009","View Full Record in Web of Science")</f>
        <v>View Full Record in Web of Science</v>
      </c>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row>
    <row r="827" spans="1:314" s="2" customFormat="1" x14ac:dyDescent="0.4">
      <c r="A827" s="2" t="s">
        <v>72</v>
      </c>
      <c r="B827" s="2" t="s">
        <v>1516</v>
      </c>
      <c r="C827" s="2" t="s">
        <v>74</v>
      </c>
      <c r="D827" s="2" t="s">
        <v>74</v>
      </c>
      <c r="E827" s="2" t="s">
        <v>74</v>
      </c>
      <c r="F827" s="2" t="s">
        <v>1517</v>
      </c>
      <c r="G827" s="2" t="s">
        <v>74</v>
      </c>
      <c r="H827" s="2" t="s">
        <v>74</v>
      </c>
      <c r="I827" s="2" t="s">
        <v>1518</v>
      </c>
      <c r="J827" s="2" t="s">
        <v>763</v>
      </c>
      <c r="K827" s="2" t="s">
        <v>74</v>
      </c>
      <c r="L827" s="2" t="s">
        <v>74</v>
      </c>
      <c r="M827" s="2" t="s">
        <v>74</v>
      </c>
      <c r="N827" s="2" t="s">
        <v>74</v>
      </c>
      <c r="O827" s="2" t="s">
        <v>74</v>
      </c>
      <c r="P827" s="2" t="s">
        <v>74</v>
      </c>
      <c r="Q827" s="2" t="s">
        <v>74</v>
      </c>
      <c r="R827" s="2" t="s">
        <v>74</v>
      </c>
      <c r="S827" s="2" t="s">
        <v>74</v>
      </c>
      <c r="T827" s="2" t="s">
        <v>74</v>
      </c>
      <c r="U827" s="2" t="s">
        <v>74</v>
      </c>
      <c r="V827" s="5" t="s">
        <v>1519</v>
      </c>
      <c r="W827" s="2" t="s">
        <v>74</v>
      </c>
      <c r="X827" s="2" t="s">
        <v>74</v>
      </c>
      <c r="Y827" s="2" t="s">
        <v>74</v>
      </c>
      <c r="Z827" s="2" t="s">
        <v>74</v>
      </c>
      <c r="AA827" s="2" t="s">
        <v>1520</v>
      </c>
      <c r="AB827" s="2" t="s">
        <v>1521</v>
      </c>
      <c r="AC827" s="2" t="s">
        <v>74</v>
      </c>
      <c r="AD827" s="2" t="s">
        <v>74</v>
      </c>
      <c r="AE827" s="2" t="s">
        <v>74</v>
      </c>
      <c r="AF827" s="2" t="s">
        <v>74</v>
      </c>
      <c r="AG827" s="2" t="s">
        <v>74</v>
      </c>
      <c r="AH827" s="2" t="s">
        <v>74</v>
      </c>
      <c r="AI827" s="2" t="s">
        <v>74</v>
      </c>
      <c r="AJ827" s="2" t="s">
        <v>74</v>
      </c>
      <c r="AK827" s="2" t="s">
        <v>74</v>
      </c>
      <c r="AL827" s="2" t="s">
        <v>74</v>
      </c>
      <c r="AM827" s="2" t="s">
        <v>74</v>
      </c>
      <c r="AN827" s="2" t="s">
        <v>74</v>
      </c>
      <c r="AO827" s="2" t="s">
        <v>767</v>
      </c>
      <c r="AP827" s="2" t="s">
        <v>74</v>
      </c>
      <c r="AQ827" s="2" t="s">
        <v>74</v>
      </c>
      <c r="AR827" s="2" t="s">
        <v>74</v>
      </c>
      <c r="AS827" s="2" t="s">
        <v>74</v>
      </c>
      <c r="AT827" s="2" t="s">
        <v>964</v>
      </c>
      <c r="AU827" s="2">
        <v>2012</v>
      </c>
      <c r="AV827" s="2">
        <v>215</v>
      </c>
      <c r="AW827" s="2">
        <v>4</v>
      </c>
      <c r="AX827" s="2" t="s">
        <v>74</v>
      </c>
      <c r="AY827" s="2" t="s">
        <v>74</v>
      </c>
      <c r="AZ827" s="2" t="s">
        <v>74</v>
      </c>
      <c r="BA827" s="2" t="s">
        <v>74</v>
      </c>
      <c r="BB827" s="2">
        <v>575</v>
      </c>
      <c r="BC827" s="2">
        <v>577</v>
      </c>
      <c r="BD827" s="2" t="s">
        <v>74</v>
      </c>
      <c r="BE827" s="2" t="s">
        <v>1522</v>
      </c>
      <c r="BF827" s="2" t="str">
        <f>HYPERLINK("http://dx.doi.org/10.1242/jeb.059352","http://dx.doi.org/10.1242/jeb.059352")</f>
        <v>http://dx.doi.org/10.1242/jeb.059352</v>
      </c>
      <c r="BG827" s="2" t="s">
        <v>74</v>
      </c>
      <c r="BH827" s="2" t="s">
        <v>74</v>
      </c>
      <c r="BI827" s="2" t="s">
        <v>74</v>
      </c>
      <c r="BJ827" s="2" t="s">
        <v>74</v>
      </c>
      <c r="BK827" s="2" t="s">
        <v>74</v>
      </c>
      <c r="BL827" s="2" t="s">
        <v>74</v>
      </c>
      <c r="BM827" s="2" t="s">
        <v>74</v>
      </c>
      <c r="BN827" s="2">
        <v>22279063</v>
      </c>
      <c r="BO827" s="2" t="s">
        <v>74</v>
      </c>
      <c r="BP827" s="2" t="s">
        <v>74</v>
      </c>
      <c r="BQ827" s="2" t="s">
        <v>74</v>
      </c>
      <c r="BR827" s="2" t="s">
        <v>74</v>
      </c>
      <c r="BS827" s="2" t="s">
        <v>1523</v>
      </c>
      <c r="BT827" s="2" t="str">
        <f>HYPERLINK("https%3A%2F%2Fwww.webofscience.com%2Fwos%2Fwoscc%2Ffull-record%2FWOS:000300185900006","View Full Record in Web of Science")</f>
        <v>View Full Record in Web of Science</v>
      </c>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row>
    <row r="828" spans="1:314" s="2" customFormat="1" x14ac:dyDescent="0.4">
      <c r="A828" s="2" t="s">
        <v>72</v>
      </c>
      <c r="B828" s="2" t="s">
        <v>4121</v>
      </c>
      <c r="C828" s="2" t="s">
        <v>74</v>
      </c>
      <c r="D828" s="2" t="s">
        <v>74</v>
      </c>
      <c r="E828" s="2" t="s">
        <v>74</v>
      </c>
      <c r="F828" s="2" t="s">
        <v>4122</v>
      </c>
      <c r="G828" s="2" t="s">
        <v>74</v>
      </c>
      <c r="H828" s="2" t="s">
        <v>74</v>
      </c>
      <c r="I828" s="2" t="s">
        <v>4123</v>
      </c>
      <c r="J828" s="2" t="s">
        <v>140</v>
      </c>
      <c r="K828" s="2" t="s">
        <v>74</v>
      </c>
      <c r="L828" s="2" t="s">
        <v>74</v>
      </c>
      <c r="M828" s="2" t="s">
        <v>74</v>
      </c>
      <c r="N828" s="2" t="s">
        <v>74</v>
      </c>
      <c r="O828" s="2" t="s">
        <v>74</v>
      </c>
      <c r="P828" s="2" t="s">
        <v>74</v>
      </c>
      <c r="Q828" s="2" t="s">
        <v>74</v>
      </c>
      <c r="R828" s="2" t="s">
        <v>74</v>
      </c>
      <c r="S828" s="2" t="s">
        <v>74</v>
      </c>
      <c r="T828" s="2" t="s">
        <v>74</v>
      </c>
      <c r="U828" s="2" t="s">
        <v>74</v>
      </c>
      <c r="V828" s="5" t="s">
        <v>4124</v>
      </c>
      <c r="W828" s="2" t="s">
        <v>74</v>
      </c>
      <c r="X828" s="2" t="s">
        <v>74</v>
      </c>
      <c r="Y828" s="2" t="s">
        <v>74</v>
      </c>
      <c r="Z828" s="2" t="s">
        <v>74</v>
      </c>
      <c r="AA828" s="2" t="s">
        <v>4125</v>
      </c>
      <c r="AB828" s="2" t="s">
        <v>4126</v>
      </c>
      <c r="AC828" s="2" t="s">
        <v>74</v>
      </c>
      <c r="AD828" s="2" t="s">
        <v>74</v>
      </c>
      <c r="AE828" s="2" t="s">
        <v>74</v>
      </c>
      <c r="AF828" s="2" t="s">
        <v>74</v>
      </c>
      <c r="AG828" s="2" t="s">
        <v>74</v>
      </c>
      <c r="AH828" s="2" t="s">
        <v>74</v>
      </c>
      <c r="AI828" s="2" t="s">
        <v>74</v>
      </c>
      <c r="AJ828" s="2" t="s">
        <v>74</v>
      </c>
      <c r="AK828" s="2" t="s">
        <v>74</v>
      </c>
      <c r="AL828" s="2" t="s">
        <v>74</v>
      </c>
      <c r="AM828" s="2" t="s">
        <v>74</v>
      </c>
      <c r="AN828" s="2" t="s">
        <v>74</v>
      </c>
      <c r="AO828" s="2" t="s">
        <v>143</v>
      </c>
      <c r="AP828" s="2" t="s">
        <v>144</v>
      </c>
      <c r="AQ828" s="2" t="s">
        <v>74</v>
      </c>
      <c r="AR828" s="2" t="s">
        <v>74</v>
      </c>
      <c r="AS828" s="2" t="s">
        <v>74</v>
      </c>
      <c r="AT828" s="2" t="s">
        <v>964</v>
      </c>
      <c r="AU828" s="2">
        <v>2009</v>
      </c>
      <c r="AV828" s="2">
        <v>77</v>
      </c>
      <c r="AW828" s="2">
        <v>2</v>
      </c>
      <c r="AX828" s="2" t="s">
        <v>74</v>
      </c>
      <c r="AY828" s="2" t="s">
        <v>74</v>
      </c>
      <c r="AZ828" s="2" t="s">
        <v>74</v>
      </c>
      <c r="BA828" s="2" t="s">
        <v>74</v>
      </c>
      <c r="BB828" s="2">
        <v>419</v>
      </c>
      <c r="BC828" s="2">
        <v>424</v>
      </c>
      <c r="BD828" s="2" t="s">
        <v>74</v>
      </c>
      <c r="BE828" s="2" t="s">
        <v>4127</v>
      </c>
      <c r="BF828" s="2" t="str">
        <f>HYPERLINK("http://dx.doi.org/10.1016/j.anbehav.2008.10.017","http://dx.doi.org/10.1016/j.anbehav.2008.10.017")</f>
        <v>http://dx.doi.org/10.1016/j.anbehav.2008.10.017</v>
      </c>
      <c r="BG828" s="2" t="s">
        <v>74</v>
      </c>
      <c r="BH828" s="2" t="s">
        <v>74</v>
      </c>
      <c r="BI828" s="2" t="s">
        <v>74</v>
      </c>
      <c r="BJ828" s="2" t="s">
        <v>74</v>
      </c>
      <c r="BK828" s="2" t="s">
        <v>74</v>
      </c>
      <c r="BL828" s="2" t="s">
        <v>74</v>
      </c>
      <c r="BM828" s="2" t="s">
        <v>74</v>
      </c>
      <c r="BN828" s="2" t="s">
        <v>74</v>
      </c>
      <c r="BO828" s="2" t="s">
        <v>74</v>
      </c>
      <c r="BP828" s="2" t="s">
        <v>74</v>
      </c>
      <c r="BQ828" s="2" t="s">
        <v>74</v>
      </c>
      <c r="BR828" s="2" t="s">
        <v>74</v>
      </c>
      <c r="BS828" s="2" t="s">
        <v>4128</v>
      </c>
      <c r="BT828" s="2" t="str">
        <f>HYPERLINK("https%3A%2F%2Fwww.webofscience.com%2Fwos%2Fwoscc%2Ffull-record%2FWOS:000262709400018","View Full Record in Web of Science")</f>
        <v>View Full Record in Web of Science</v>
      </c>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row>
    <row r="829" spans="1:314" s="2" customFormat="1" x14ac:dyDescent="0.4">
      <c r="A829" s="2" t="s">
        <v>72</v>
      </c>
      <c r="B829" s="2" t="s">
        <v>7412</v>
      </c>
      <c r="C829" s="2" t="s">
        <v>74</v>
      </c>
      <c r="D829" s="2" t="s">
        <v>74</v>
      </c>
      <c r="E829" s="2" t="s">
        <v>74</v>
      </c>
      <c r="F829" s="2" t="s">
        <v>7413</v>
      </c>
      <c r="G829" s="2" t="s">
        <v>74</v>
      </c>
      <c r="H829" s="2" t="s">
        <v>74</v>
      </c>
      <c r="I829" s="2" t="s">
        <v>7414</v>
      </c>
      <c r="J829" s="2" t="s">
        <v>5454</v>
      </c>
      <c r="K829" s="2" t="s">
        <v>74</v>
      </c>
      <c r="L829" s="2" t="s">
        <v>74</v>
      </c>
      <c r="M829" s="2" t="s">
        <v>74</v>
      </c>
      <c r="N829" s="2" t="s">
        <v>74</v>
      </c>
      <c r="O829" s="2" t="s">
        <v>74</v>
      </c>
      <c r="P829" s="2" t="s">
        <v>74</v>
      </c>
      <c r="Q829" s="2" t="s">
        <v>74</v>
      </c>
      <c r="R829" s="2" t="s">
        <v>74</v>
      </c>
      <c r="S829" s="2" t="s">
        <v>74</v>
      </c>
      <c r="T829" s="2" t="s">
        <v>74</v>
      </c>
      <c r="U829" s="2" t="s">
        <v>74</v>
      </c>
      <c r="V829" s="5" t="s">
        <v>7415</v>
      </c>
      <c r="W829" s="2" t="s">
        <v>74</v>
      </c>
      <c r="X829" s="2" t="s">
        <v>74</v>
      </c>
      <c r="Y829" s="2" t="s">
        <v>74</v>
      </c>
      <c r="Z829" s="2" t="s">
        <v>74</v>
      </c>
      <c r="AA829" s="2" t="s">
        <v>74</v>
      </c>
      <c r="AB829" s="2" t="s">
        <v>74</v>
      </c>
      <c r="AC829" s="2" t="s">
        <v>74</v>
      </c>
      <c r="AD829" s="2" t="s">
        <v>74</v>
      </c>
      <c r="AE829" s="2" t="s">
        <v>74</v>
      </c>
      <c r="AF829" s="2" t="s">
        <v>74</v>
      </c>
      <c r="AG829" s="2" t="s">
        <v>74</v>
      </c>
      <c r="AH829" s="2" t="s">
        <v>74</v>
      </c>
      <c r="AI829" s="2" t="s">
        <v>74</v>
      </c>
      <c r="AJ829" s="2" t="s">
        <v>74</v>
      </c>
      <c r="AK829" s="2" t="s">
        <v>74</v>
      </c>
      <c r="AL829" s="2" t="s">
        <v>74</v>
      </c>
      <c r="AM829" s="2" t="s">
        <v>74</v>
      </c>
      <c r="AN829" s="2" t="s">
        <v>74</v>
      </c>
      <c r="AO829" s="2" t="s">
        <v>5458</v>
      </c>
      <c r="AP829" s="2" t="s">
        <v>7416</v>
      </c>
      <c r="AQ829" s="2" t="s">
        <v>74</v>
      </c>
      <c r="AR829" s="2" t="s">
        <v>74</v>
      </c>
      <c r="AS829" s="2" t="s">
        <v>74</v>
      </c>
      <c r="AT829" s="2" t="s">
        <v>102</v>
      </c>
      <c r="AU829" s="2">
        <v>2021</v>
      </c>
      <c r="AV829" s="2">
        <v>96</v>
      </c>
      <c r="AW829" s="2" t="s">
        <v>74</v>
      </c>
      <c r="AX829" s="2" t="s">
        <v>74</v>
      </c>
      <c r="AY829" s="2" t="s">
        <v>74</v>
      </c>
      <c r="AZ829" s="2" t="s">
        <v>74</v>
      </c>
      <c r="BA829" s="2" t="s">
        <v>74</v>
      </c>
      <c r="BB829" s="2" t="s">
        <v>74</v>
      </c>
      <c r="BC829" s="2" t="s">
        <v>74</v>
      </c>
      <c r="BD829" s="2">
        <v>104265</v>
      </c>
      <c r="BE829" s="2" t="s">
        <v>7417</v>
      </c>
      <c r="BF829" s="2" t="str">
        <f>HYPERLINK("http://dx.doi.org/10.1016/j.bse.2021.104265","http://dx.doi.org/10.1016/j.bse.2021.104265")</f>
        <v>http://dx.doi.org/10.1016/j.bse.2021.104265</v>
      </c>
      <c r="BG829" s="2" t="s">
        <v>74</v>
      </c>
      <c r="BH829" s="2" t="s">
        <v>236</v>
      </c>
      <c r="BI829" s="2" t="s">
        <v>74</v>
      </c>
      <c r="BJ829" s="2" t="s">
        <v>74</v>
      </c>
      <c r="BK829" s="2" t="s">
        <v>74</v>
      </c>
      <c r="BL829" s="2" t="s">
        <v>74</v>
      </c>
      <c r="BM829" s="2" t="s">
        <v>74</v>
      </c>
      <c r="BN829" s="2" t="s">
        <v>74</v>
      </c>
      <c r="BO829" s="2" t="s">
        <v>74</v>
      </c>
      <c r="BP829" s="2" t="s">
        <v>74</v>
      </c>
      <c r="BQ829" s="2" t="s">
        <v>74</v>
      </c>
      <c r="BR829" s="2" t="s">
        <v>74</v>
      </c>
      <c r="BS829" s="2" t="s">
        <v>7418</v>
      </c>
      <c r="BT829" s="2" t="str">
        <f>HYPERLINK("https%3A%2F%2Fwww.webofscience.com%2Fwos%2Fwoscc%2Ffull-record%2FWOS:000653443100011","View Full Record in Web of Science")</f>
        <v>View Full Record in Web of Science</v>
      </c>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row>
    <row r="830" spans="1:314" s="2" customFormat="1" x14ac:dyDescent="0.4">
      <c r="A830" s="2" t="s">
        <v>72</v>
      </c>
      <c r="B830" s="2" t="s">
        <v>4014</v>
      </c>
      <c r="C830" s="2" t="s">
        <v>74</v>
      </c>
      <c r="D830" s="2" t="s">
        <v>74</v>
      </c>
      <c r="E830" s="2" t="s">
        <v>74</v>
      </c>
      <c r="F830" s="2" t="s">
        <v>4015</v>
      </c>
      <c r="G830" s="2" t="s">
        <v>74</v>
      </c>
      <c r="H830" s="2" t="s">
        <v>74</v>
      </c>
      <c r="I830" s="2" t="s">
        <v>4016</v>
      </c>
      <c r="J830" s="2" t="s">
        <v>610</v>
      </c>
      <c r="K830" s="2" t="s">
        <v>74</v>
      </c>
      <c r="L830" s="2" t="s">
        <v>74</v>
      </c>
      <c r="M830" s="2" t="s">
        <v>74</v>
      </c>
      <c r="N830" s="2" t="s">
        <v>74</v>
      </c>
      <c r="O830" s="2" t="s">
        <v>74</v>
      </c>
      <c r="P830" s="2" t="s">
        <v>74</v>
      </c>
      <c r="Q830" s="2" t="s">
        <v>74</v>
      </c>
      <c r="R830" s="2" t="s">
        <v>74</v>
      </c>
      <c r="S830" s="2" t="s">
        <v>74</v>
      </c>
      <c r="T830" s="2" t="s">
        <v>74</v>
      </c>
      <c r="U830" s="2" t="s">
        <v>74</v>
      </c>
      <c r="V830" s="5" t="s">
        <v>4017</v>
      </c>
      <c r="W830" s="2" t="s">
        <v>74</v>
      </c>
      <c r="X830" s="2" t="s">
        <v>74</v>
      </c>
      <c r="Y830" s="2" t="s">
        <v>74</v>
      </c>
      <c r="Z830" s="2" t="s">
        <v>74</v>
      </c>
      <c r="AA830" s="2" t="s">
        <v>74</v>
      </c>
      <c r="AB830" s="2" t="s">
        <v>4018</v>
      </c>
      <c r="AC830" s="2" t="s">
        <v>74</v>
      </c>
      <c r="AD830" s="2" t="s">
        <v>74</v>
      </c>
      <c r="AE830" s="2" t="s">
        <v>74</v>
      </c>
      <c r="AF830" s="2" t="s">
        <v>74</v>
      </c>
      <c r="AG830" s="2" t="s">
        <v>74</v>
      </c>
      <c r="AH830" s="2" t="s">
        <v>74</v>
      </c>
      <c r="AI830" s="2" t="s">
        <v>74</v>
      </c>
      <c r="AJ830" s="2" t="s">
        <v>74</v>
      </c>
      <c r="AK830" s="2" t="s">
        <v>74</v>
      </c>
      <c r="AL830" s="2" t="s">
        <v>74</v>
      </c>
      <c r="AM830" s="2" t="s">
        <v>74</v>
      </c>
      <c r="AN830" s="2" t="s">
        <v>74</v>
      </c>
      <c r="AO830" s="2" t="s">
        <v>614</v>
      </c>
      <c r="AP830" s="2" t="s">
        <v>615</v>
      </c>
      <c r="AQ830" s="2" t="s">
        <v>74</v>
      </c>
      <c r="AR830" s="2" t="s">
        <v>74</v>
      </c>
      <c r="AS830" s="2" t="s">
        <v>74</v>
      </c>
      <c r="AT830" s="2" t="s">
        <v>352</v>
      </c>
      <c r="AU830" s="2">
        <v>2018</v>
      </c>
      <c r="AV830" s="2">
        <v>124</v>
      </c>
      <c r="AW830" s="2">
        <v>9</v>
      </c>
      <c r="AX830" s="2" t="s">
        <v>74</v>
      </c>
      <c r="AY830" s="2" t="s">
        <v>74</v>
      </c>
      <c r="AZ830" s="2" t="s">
        <v>74</v>
      </c>
      <c r="BA830" s="2" t="s">
        <v>74</v>
      </c>
      <c r="BB830" s="2">
        <v>684</v>
      </c>
      <c r="BC830" s="2">
        <v>690</v>
      </c>
      <c r="BD830" s="2" t="s">
        <v>74</v>
      </c>
      <c r="BE830" s="2" t="s">
        <v>4019</v>
      </c>
      <c r="BF830" s="2" t="str">
        <f>HYPERLINK("http://dx.doi.org/10.1111/eth.12801","http://dx.doi.org/10.1111/eth.12801")</f>
        <v>http://dx.doi.org/10.1111/eth.12801</v>
      </c>
      <c r="BG830" s="2" t="s">
        <v>74</v>
      </c>
      <c r="BH830" s="2" t="s">
        <v>74</v>
      </c>
      <c r="BI830" s="2" t="s">
        <v>74</v>
      </c>
      <c r="BJ830" s="2" t="s">
        <v>74</v>
      </c>
      <c r="BK830" s="2" t="s">
        <v>74</v>
      </c>
      <c r="BL830" s="2" t="s">
        <v>74</v>
      </c>
      <c r="BM830" s="2" t="s">
        <v>74</v>
      </c>
      <c r="BN830" s="2" t="s">
        <v>74</v>
      </c>
      <c r="BO830" s="2" t="s">
        <v>74</v>
      </c>
      <c r="BP830" s="2" t="s">
        <v>74</v>
      </c>
      <c r="BQ830" s="2" t="s">
        <v>74</v>
      </c>
      <c r="BR830" s="2" t="s">
        <v>74</v>
      </c>
      <c r="BS830" s="2" t="s">
        <v>4020</v>
      </c>
      <c r="BT830" s="2" t="str">
        <f>HYPERLINK("https%3A%2F%2Fwww.webofscience.com%2Fwos%2Fwoscc%2Ffull-record%2FWOS:000440649700008","View Full Record in Web of Science")</f>
        <v>View Full Record in Web of Science</v>
      </c>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row>
    <row r="831" spans="1:314" s="1" customFormat="1" x14ac:dyDescent="0.4">
      <c r="A831" s="2" t="s">
        <v>72</v>
      </c>
      <c r="B831" s="2" t="s">
        <v>4445</v>
      </c>
      <c r="C831" s="2" t="s">
        <v>74</v>
      </c>
      <c r="D831" s="2" t="s">
        <v>74</v>
      </c>
      <c r="E831" s="2" t="s">
        <v>74</v>
      </c>
      <c r="F831" s="2" t="s">
        <v>4446</v>
      </c>
      <c r="G831" s="2" t="s">
        <v>74</v>
      </c>
      <c r="H831" s="2" t="s">
        <v>74</v>
      </c>
      <c r="I831" s="2" t="s">
        <v>4447</v>
      </c>
      <c r="J831" s="2" t="s">
        <v>129</v>
      </c>
      <c r="K831" s="2" t="s">
        <v>74</v>
      </c>
      <c r="L831" s="2" t="s">
        <v>74</v>
      </c>
      <c r="M831" s="2" t="s">
        <v>74</v>
      </c>
      <c r="N831" s="2" t="s">
        <v>74</v>
      </c>
      <c r="O831" s="2" t="s">
        <v>74</v>
      </c>
      <c r="P831" s="2" t="s">
        <v>74</v>
      </c>
      <c r="Q831" s="2" t="s">
        <v>74</v>
      </c>
      <c r="R831" s="2" t="s">
        <v>74</v>
      </c>
      <c r="S831" s="2" t="s">
        <v>74</v>
      </c>
      <c r="T831" s="2" t="s">
        <v>74</v>
      </c>
      <c r="U831" s="2" t="s">
        <v>74</v>
      </c>
      <c r="V831" s="5" t="s">
        <v>4448</v>
      </c>
      <c r="W831" s="2" t="s">
        <v>74</v>
      </c>
      <c r="X831" s="2" t="s">
        <v>74</v>
      </c>
      <c r="Y831" s="2" t="s">
        <v>74</v>
      </c>
      <c r="Z831" s="2" t="s">
        <v>74</v>
      </c>
      <c r="AA831" s="2" t="s">
        <v>4449</v>
      </c>
      <c r="AB831" s="2" t="s">
        <v>4450</v>
      </c>
      <c r="AC831" s="2" t="s">
        <v>74</v>
      </c>
      <c r="AD831" s="2" t="s">
        <v>74</v>
      </c>
      <c r="AE831" s="2" t="s">
        <v>74</v>
      </c>
      <c r="AF831" s="2" t="s">
        <v>74</v>
      </c>
      <c r="AG831" s="2" t="s">
        <v>74</v>
      </c>
      <c r="AH831" s="2" t="s">
        <v>74</v>
      </c>
      <c r="AI831" s="2" t="s">
        <v>74</v>
      </c>
      <c r="AJ831" s="2" t="s">
        <v>74</v>
      </c>
      <c r="AK831" s="2" t="s">
        <v>74</v>
      </c>
      <c r="AL831" s="2" t="s">
        <v>74</v>
      </c>
      <c r="AM831" s="2" t="s">
        <v>74</v>
      </c>
      <c r="AN831" s="2" t="s">
        <v>74</v>
      </c>
      <c r="AO831" s="2" t="s">
        <v>132</v>
      </c>
      <c r="AP831" s="2" t="s">
        <v>133</v>
      </c>
      <c r="AQ831" s="2" t="s">
        <v>74</v>
      </c>
      <c r="AR831" s="2" t="s">
        <v>74</v>
      </c>
      <c r="AS831" s="2" t="s">
        <v>74</v>
      </c>
      <c r="AT831" s="2" t="s">
        <v>352</v>
      </c>
      <c r="AU831" s="2">
        <v>2013</v>
      </c>
      <c r="AV831" s="2">
        <v>67</v>
      </c>
      <c r="AW831" s="2">
        <v>9</v>
      </c>
      <c r="AX831" s="2" t="s">
        <v>74</v>
      </c>
      <c r="AY831" s="2" t="s">
        <v>74</v>
      </c>
      <c r="AZ831" s="2" t="s">
        <v>848</v>
      </c>
      <c r="BA831" s="2" t="s">
        <v>74</v>
      </c>
      <c r="BB831" s="2">
        <v>1513</v>
      </c>
      <c r="BC831" s="2">
        <v>1522</v>
      </c>
      <c r="BD831" s="2" t="s">
        <v>74</v>
      </c>
      <c r="BE831" s="2" t="s">
        <v>4451</v>
      </c>
      <c r="BF831" s="2" t="str">
        <f>HYPERLINK("http://dx.doi.org/10.1007/s00265-013-1535-4","http://dx.doi.org/10.1007/s00265-013-1535-4")</f>
        <v>http://dx.doi.org/10.1007/s00265-013-1535-4</v>
      </c>
      <c r="BG831" s="2" t="s">
        <v>74</v>
      </c>
      <c r="BH831" s="2" t="s">
        <v>74</v>
      </c>
      <c r="BI831" s="2" t="s">
        <v>74</v>
      </c>
      <c r="BJ831" s="2" t="s">
        <v>74</v>
      </c>
      <c r="BK831" s="2" t="s">
        <v>74</v>
      </c>
      <c r="BL831" s="2" t="s">
        <v>74</v>
      </c>
      <c r="BM831" s="2" t="s">
        <v>74</v>
      </c>
      <c r="BN831" s="2" t="s">
        <v>74</v>
      </c>
      <c r="BO831" s="2" t="s">
        <v>74</v>
      </c>
      <c r="BP831" s="2" t="s">
        <v>74</v>
      </c>
      <c r="BQ831" s="2" t="s">
        <v>74</v>
      </c>
      <c r="BR831" s="2" t="s">
        <v>74</v>
      </c>
      <c r="BS831" s="2" t="s">
        <v>4452</v>
      </c>
      <c r="BT831" s="2" t="str">
        <f>HYPERLINK("https%3A%2F%2Fwww.webofscience.com%2Fwos%2Fwoscc%2Ffull-record%2FWOS:000323103400013","View Full Record in Web of Science")</f>
        <v>View Full Record in Web of Science</v>
      </c>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row>
    <row r="832" spans="1:314" s="2" customFormat="1" x14ac:dyDescent="0.4">
      <c r="A832" s="2" t="s">
        <v>72</v>
      </c>
      <c r="B832" s="2" t="s">
        <v>8459</v>
      </c>
      <c r="C832" s="2" t="s">
        <v>74</v>
      </c>
      <c r="D832" s="2" t="s">
        <v>74</v>
      </c>
      <c r="E832" s="2" t="s">
        <v>74</v>
      </c>
      <c r="F832" s="2" t="s">
        <v>8459</v>
      </c>
      <c r="G832" s="2" t="s">
        <v>74</v>
      </c>
      <c r="H832" s="2" t="s">
        <v>74</v>
      </c>
      <c r="I832" s="2" t="s">
        <v>8460</v>
      </c>
      <c r="J832" s="2" t="s">
        <v>8461</v>
      </c>
      <c r="K832" s="2" t="s">
        <v>74</v>
      </c>
      <c r="L832" s="2" t="s">
        <v>74</v>
      </c>
      <c r="M832" s="2" t="s">
        <v>74</v>
      </c>
      <c r="N832" s="2" t="s">
        <v>74</v>
      </c>
      <c r="O832" s="2" t="s">
        <v>74</v>
      </c>
      <c r="P832" s="2" t="s">
        <v>74</v>
      </c>
      <c r="Q832" s="2" t="s">
        <v>74</v>
      </c>
      <c r="R832" s="2" t="s">
        <v>74</v>
      </c>
      <c r="S832" s="2" t="s">
        <v>74</v>
      </c>
      <c r="T832" s="2" t="s">
        <v>74</v>
      </c>
      <c r="U832" s="2" t="s">
        <v>74</v>
      </c>
      <c r="V832" s="5" t="s">
        <v>8462</v>
      </c>
      <c r="W832" s="2" t="s">
        <v>74</v>
      </c>
      <c r="X832" s="2" t="s">
        <v>74</v>
      </c>
      <c r="Y832" s="2" t="s">
        <v>74</v>
      </c>
      <c r="Z832" s="2" t="s">
        <v>74</v>
      </c>
      <c r="AA832" s="2" t="s">
        <v>74</v>
      </c>
      <c r="AB832" s="2" t="s">
        <v>74</v>
      </c>
      <c r="AC832" s="2" t="s">
        <v>74</v>
      </c>
      <c r="AD832" s="2" t="s">
        <v>74</v>
      </c>
      <c r="AE832" s="2" t="s">
        <v>74</v>
      </c>
      <c r="AF832" s="2" t="s">
        <v>74</v>
      </c>
      <c r="AG832" s="2" t="s">
        <v>74</v>
      </c>
      <c r="AH832" s="2" t="s">
        <v>74</v>
      </c>
      <c r="AI832" s="2" t="s">
        <v>74</v>
      </c>
      <c r="AJ832" s="2" t="s">
        <v>74</v>
      </c>
      <c r="AK832" s="2" t="s">
        <v>74</v>
      </c>
      <c r="AL832" s="2" t="s">
        <v>74</v>
      </c>
      <c r="AM832" s="2" t="s">
        <v>74</v>
      </c>
      <c r="AN832" s="2" t="s">
        <v>74</v>
      </c>
      <c r="AO832" s="2" t="s">
        <v>8463</v>
      </c>
      <c r="AP832" s="2" t="s">
        <v>74</v>
      </c>
      <c r="AQ832" s="2" t="s">
        <v>74</v>
      </c>
      <c r="AR832" s="2" t="s">
        <v>74</v>
      </c>
      <c r="AS832" s="2" t="s">
        <v>74</v>
      </c>
      <c r="AT832" s="2" t="s">
        <v>74</v>
      </c>
      <c r="AU832" s="2">
        <v>1988</v>
      </c>
      <c r="AV832" s="2">
        <v>15</v>
      </c>
      <c r="AW832" s="2">
        <v>5</v>
      </c>
      <c r="AX832" s="2" t="s">
        <v>74</v>
      </c>
      <c r="AY832" s="2" t="s">
        <v>74</v>
      </c>
      <c r="AZ832" s="2" t="s">
        <v>74</v>
      </c>
      <c r="BA832" s="2" t="s">
        <v>74</v>
      </c>
      <c r="BB832" s="2">
        <v>541</v>
      </c>
      <c r="BC832" s="2">
        <v>560</v>
      </c>
      <c r="BD832" s="2" t="s">
        <v>74</v>
      </c>
      <c r="BE832" s="2" t="s">
        <v>74</v>
      </c>
      <c r="BF832" s="2" t="s">
        <v>74</v>
      </c>
      <c r="BG832" s="2" t="s">
        <v>74</v>
      </c>
      <c r="BH832" s="2" t="s">
        <v>74</v>
      </c>
      <c r="BI832" s="2" t="s">
        <v>74</v>
      </c>
      <c r="BJ832" s="2" t="s">
        <v>74</v>
      </c>
      <c r="BK832" s="2" t="s">
        <v>74</v>
      </c>
      <c r="BL832" s="2" t="s">
        <v>74</v>
      </c>
      <c r="BM832" s="2" t="s">
        <v>74</v>
      </c>
      <c r="BN832" s="2" t="s">
        <v>74</v>
      </c>
      <c r="BO832" s="2" t="s">
        <v>74</v>
      </c>
      <c r="BP832" s="2" t="s">
        <v>74</v>
      </c>
      <c r="BQ832" s="2" t="s">
        <v>74</v>
      </c>
      <c r="BR832" s="2" t="s">
        <v>74</v>
      </c>
      <c r="BS832" s="2" t="s">
        <v>8464</v>
      </c>
      <c r="BT832" s="2" t="str">
        <f>HYPERLINK("https%3A%2F%2Fwww.webofscience.com%2Fwos%2Fwoscc%2Ffull-record%2FWOS:A1988U589900008","View Full Record in Web of Science")</f>
        <v>View Full Record in Web of Science</v>
      </c>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row>
    <row r="833" spans="1:314" s="2" customFormat="1" x14ac:dyDescent="0.4">
      <c r="A833" s="2" t="s">
        <v>72</v>
      </c>
      <c r="B833" s="2" t="s">
        <v>3050</v>
      </c>
      <c r="C833" s="2" t="s">
        <v>74</v>
      </c>
      <c r="D833" s="2" t="s">
        <v>74</v>
      </c>
      <c r="E833" s="2" t="s">
        <v>74</v>
      </c>
      <c r="F833" s="2" t="s">
        <v>3051</v>
      </c>
      <c r="G833" s="2" t="s">
        <v>74</v>
      </c>
      <c r="H833" s="2" t="s">
        <v>74</v>
      </c>
      <c r="I833" s="2" t="s">
        <v>3052</v>
      </c>
      <c r="J833" s="2" t="s">
        <v>775</v>
      </c>
      <c r="K833" s="2" t="s">
        <v>74</v>
      </c>
      <c r="L833" s="2" t="s">
        <v>74</v>
      </c>
      <c r="M833" s="2" t="s">
        <v>74</v>
      </c>
      <c r="N833" s="2" t="s">
        <v>74</v>
      </c>
      <c r="O833" s="2" t="s">
        <v>74</v>
      </c>
      <c r="P833" s="2" t="s">
        <v>74</v>
      </c>
      <c r="Q833" s="2" t="s">
        <v>74</v>
      </c>
      <c r="R833" s="2" t="s">
        <v>74</v>
      </c>
      <c r="S833" s="2" t="s">
        <v>74</v>
      </c>
      <c r="T833" s="2" t="s">
        <v>74</v>
      </c>
      <c r="U833" s="2" t="s">
        <v>74</v>
      </c>
      <c r="V833" s="5" t="s">
        <v>3053</v>
      </c>
      <c r="W833" s="2" t="s">
        <v>74</v>
      </c>
      <c r="X833" s="2" t="s">
        <v>74</v>
      </c>
      <c r="Y833" s="2" t="s">
        <v>74</v>
      </c>
      <c r="Z833" s="2" t="s">
        <v>74</v>
      </c>
      <c r="AA833" s="2" t="s">
        <v>74</v>
      </c>
      <c r="AB833" s="2" t="s">
        <v>3054</v>
      </c>
      <c r="AC833" s="2" t="s">
        <v>74</v>
      </c>
      <c r="AD833" s="2" t="s">
        <v>74</v>
      </c>
      <c r="AE833" s="2" t="s">
        <v>74</v>
      </c>
      <c r="AF833" s="2" t="s">
        <v>74</v>
      </c>
      <c r="AG833" s="2" t="s">
        <v>74</v>
      </c>
      <c r="AH833" s="2" t="s">
        <v>74</v>
      </c>
      <c r="AI833" s="2" t="s">
        <v>74</v>
      </c>
      <c r="AJ833" s="2" t="s">
        <v>74</v>
      </c>
      <c r="AK833" s="2" t="s">
        <v>74</v>
      </c>
      <c r="AL833" s="2" t="s">
        <v>74</v>
      </c>
      <c r="AM833" s="2" t="s">
        <v>74</v>
      </c>
      <c r="AN833" s="2" t="s">
        <v>74</v>
      </c>
      <c r="AO833" s="2" t="s">
        <v>778</v>
      </c>
      <c r="AP833" s="2" t="s">
        <v>779</v>
      </c>
      <c r="AQ833" s="2" t="s">
        <v>74</v>
      </c>
      <c r="AR833" s="2" t="s">
        <v>74</v>
      </c>
      <c r="AS833" s="2" t="s">
        <v>74</v>
      </c>
      <c r="AT833" s="2" t="s">
        <v>2296</v>
      </c>
      <c r="AU833" s="2">
        <v>2024</v>
      </c>
      <c r="AV833" s="2">
        <v>70</v>
      </c>
      <c r="AW833" s="2">
        <v>1</v>
      </c>
      <c r="AX833" s="2" t="s">
        <v>74</v>
      </c>
      <c r="AY833" s="2" t="s">
        <v>74</v>
      </c>
      <c r="AZ833" s="2" t="s">
        <v>74</v>
      </c>
      <c r="BA833" s="2" t="s">
        <v>74</v>
      </c>
      <c r="BB833" s="2">
        <v>79</v>
      </c>
      <c r="BC833" s="2">
        <v>86</v>
      </c>
      <c r="BD833" s="2" t="s">
        <v>74</v>
      </c>
      <c r="BE833" s="2" t="s">
        <v>3055</v>
      </c>
      <c r="BF833" s="2" t="str">
        <f>HYPERLINK("http://dx.doi.org/10.1093/cz/zoac099","http://dx.doi.org/10.1093/cz/zoac099")</f>
        <v>http://dx.doi.org/10.1093/cz/zoac099</v>
      </c>
      <c r="BG833" s="2" t="s">
        <v>74</v>
      </c>
      <c r="BH833" s="2" t="s">
        <v>3048</v>
      </c>
      <c r="BI833" s="2" t="s">
        <v>74</v>
      </c>
      <c r="BJ833" s="2" t="s">
        <v>74</v>
      </c>
      <c r="BK833" s="2" t="s">
        <v>74</v>
      </c>
      <c r="BL833" s="2" t="s">
        <v>74</v>
      </c>
      <c r="BM833" s="2" t="s">
        <v>74</v>
      </c>
      <c r="BN833" s="2">
        <v>38476140</v>
      </c>
      <c r="BO833" s="2" t="s">
        <v>74</v>
      </c>
      <c r="BP833" s="2" t="s">
        <v>74</v>
      </c>
      <c r="BQ833" s="2" t="s">
        <v>74</v>
      </c>
      <c r="BR833" s="2" t="s">
        <v>74</v>
      </c>
      <c r="BS833" s="2" t="s">
        <v>3056</v>
      </c>
      <c r="BT833" s="2" t="str">
        <f>HYPERLINK("https%3A%2F%2Fwww.webofscience.com%2Fwos%2Fwoscc%2Ffull-record%2FWOS:000941847900001","View Full Record in Web of Science")</f>
        <v>View Full Record in Web of Science</v>
      </c>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row>
    <row r="834" spans="1:314" s="2" customFormat="1" x14ac:dyDescent="0.4">
      <c r="A834" s="2" t="s">
        <v>72</v>
      </c>
      <c r="B834" s="2" t="s">
        <v>1653</v>
      </c>
      <c r="C834" s="2" t="s">
        <v>74</v>
      </c>
      <c r="D834" s="2" t="s">
        <v>74</v>
      </c>
      <c r="E834" s="2" t="s">
        <v>74</v>
      </c>
      <c r="F834" s="2" t="s">
        <v>1654</v>
      </c>
      <c r="G834" s="2" t="s">
        <v>74</v>
      </c>
      <c r="H834" s="2" t="s">
        <v>74</v>
      </c>
      <c r="I834" s="2" t="s">
        <v>1655</v>
      </c>
      <c r="J834" s="2" t="s">
        <v>1656</v>
      </c>
      <c r="K834" s="2" t="s">
        <v>74</v>
      </c>
      <c r="L834" s="2" t="s">
        <v>74</v>
      </c>
      <c r="M834" s="2" t="s">
        <v>74</v>
      </c>
      <c r="N834" s="2" t="s">
        <v>74</v>
      </c>
      <c r="O834" s="2" t="s">
        <v>74</v>
      </c>
      <c r="P834" s="2" t="s">
        <v>74</v>
      </c>
      <c r="Q834" s="2" t="s">
        <v>74</v>
      </c>
      <c r="R834" s="2" t="s">
        <v>74</v>
      </c>
      <c r="S834" s="2" t="s">
        <v>74</v>
      </c>
      <c r="T834" s="2" t="s">
        <v>74</v>
      </c>
      <c r="U834" s="2" t="s">
        <v>74</v>
      </c>
      <c r="V834" s="5" t="s">
        <v>1657</v>
      </c>
      <c r="W834" s="2" t="s">
        <v>74</v>
      </c>
      <c r="X834" s="2" t="s">
        <v>74</v>
      </c>
      <c r="Y834" s="2" t="s">
        <v>74</v>
      </c>
      <c r="Z834" s="2" t="s">
        <v>74</v>
      </c>
      <c r="AA834" s="2" t="s">
        <v>74</v>
      </c>
      <c r="AB834" s="2" t="s">
        <v>74</v>
      </c>
      <c r="AC834" s="2" t="s">
        <v>74</v>
      </c>
      <c r="AD834" s="2" t="s">
        <v>74</v>
      </c>
      <c r="AE834" s="2" t="s">
        <v>74</v>
      </c>
      <c r="AF834" s="2" t="s">
        <v>74</v>
      </c>
      <c r="AG834" s="2" t="s">
        <v>74</v>
      </c>
      <c r="AH834" s="2" t="s">
        <v>74</v>
      </c>
      <c r="AI834" s="2" t="s">
        <v>74</v>
      </c>
      <c r="AJ834" s="2" t="s">
        <v>74</v>
      </c>
      <c r="AK834" s="2" t="s">
        <v>74</v>
      </c>
      <c r="AL834" s="2" t="s">
        <v>74</v>
      </c>
      <c r="AM834" s="2" t="s">
        <v>74</v>
      </c>
      <c r="AN834" s="2" t="s">
        <v>74</v>
      </c>
      <c r="AO834" s="2" t="s">
        <v>1658</v>
      </c>
      <c r="AP834" s="2" t="s">
        <v>1659</v>
      </c>
      <c r="AQ834" s="2" t="s">
        <v>74</v>
      </c>
      <c r="AR834" s="2" t="s">
        <v>74</v>
      </c>
      <c r="AS834" s="2" t="s">
        <v>74</v>
      </c>
      <c r="AT834" s="2" t="s">
        <v>1660</v>
      </c>
      <c r="AU834" s="2">
        <v>2013</v>
      </c>
      <c r="AV834" s="2">
        <v>3608</v>
      </c>
      <c r="AW834" s="2">
        <v>5</v>
      </c>
      <c r="AX834" s="2" t="s">
        <v>74</v>
      </c>
      <c r="AY834" s="2" t="s">
        <v>74</v>
      </c>
      <c r="AZ834" s="2" t="s">
        <v>74</v>
      </c>
      <c r="BA834" s="2" t="s">
        <v>74</v>
      </c>
      <c r="BB834" s="2">
        <v>328</v>
      </c>
      <c r="BC834" s="2">
        <v>344</v>
      </c>
      <c r="BD834" s="2" t="s">
        <v>74</v>
      </c>
      <c r="BE834" s="2" t="s">
        <v>1661</v>
      </c>
      <c r="BF834" s="2" t="str">
        <f>HYPERLINK("http://dx.doi.org/10.11646/zootaxa.3608.5.2","http://dx.doi.org/10.11646/zootaxa.3608.5.2")</f>
        <v>http://dx.doi.org/10.11646/zootaxa.3608.5.2</v>
      </c>
      <c r="BG834" s="2" t="s">
        <v>74</v>
      </c>
      <c r="BH834" s="2" t="s">
        <v>74</v>
      </c>
      <c r="BI834" s="2" t="s">
        <v>74</v>
      </c>
      <c r="BJ834" s="2" t="s">
        <v>74</v>
      </c>
      <c r="BK834" s="2" t="s">
        <v>74</v>
      </c>
      <c r="BL834" s="2" t="s">
        <v>74</v>
      </c>
      <c r="BM834" s="2" t="s">
        <v>74</v>
      </c>
      <c r="BN834" s="2">
        <v>24614474</v>
      </c>
      <c r="BO834" s="2" t="s">
        <v>74</v>
      </c>
      <c r="BP834" s="2" t="s">
        <v>74</v>
      </c>
      <c r="BQ834" s="2" t="s">
        <v>74</v>
      </c>
      <c r="BR834" s="2" t="s">
        <v>74</v>
      </c>
      <c r="BS834" s="2" t="s">
        <v>1662</v>
      </c>
      <c r="BT834" s="2" t="str">
        <f>HYPERLINK("https%3A%2F%2Fwww.webofscience.com%2Fwos%2Fwoscc%2Ffull-record%2FWOS:000313804500002","View Full Record in Web of Science")</f>
        <v>View Full Record in Web of Science</v>
      </c>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row>
    <row r="835" spans="1:314" s="2" customFormat="1" x14ac:dyDescent="0.4">
      <c r="A835" s="2" t="s">
        <v>72</v>
      </c>
      <c r="B835" s="2" t="s">
        <v>782</v>
      </c>
      <c r="C835" s="2" t="s">
        <v>74</v>
      </c>
      <c r="D835" s="2" t="s">
        <v>74</v>
      </c>
      <c r="E835" s="2" t="s">
        <v>74</v>
      </c>
      <c r="F835" s="2" t="s">
        <v>783</v>
      </c>
      <c r="G835" s="2" t="s">
        <v>74</v>
      </c>
      <c r="H835" s="2" t="s">
        <v>74</v>
      </c>
      <c r="I835" s="2" t="s">
        <v>784</v>
      </c>
      <c r="J835" s="2" t="s">
        <v>785</v>
      </c>
      <c r="K835" s="2" t="s">
        <v>74</v>
      </c>
      <c r="L835" s="2" t="s">
        <v>74</v>
      </c>
      <c r="M835" s="2" t="s">
        <v>74</v>
      </c>
      <c r="N835" s="2" t="s">
        <v>74</v>
      </c>
      <c r="O835" s="2" t="s">
        <v>74</v>
      </c>
      <c r="P835" s="2" t="s">
        <v>74</v>
      </c>
      <c r="Q835" s="2" t="s">
        <v>74</v>
      </c>
      <c r="R835" s="2" t="s">
        <v>74</v>
      </c>
      <c r="S835" s="2" t="s">
        <v>74</v>
      </c>
      <c r="T835" s="2" t="s">
        <v>74</v>
      </c>
      <c r="U835" s="2" t="s">
        <v>74</v>
      </c>
      <c r="V835" s="5" t="s">
        <v>786</v>
      </c>
      <c r="W835" s="2" t="s">
        <v>74</v>
      </c>
      <c r="X835" s="2" t="s">
        <v>74</v>
      </c>
      <c r="Y835" s="2" t="s">
        <v>74</v>
      </c>
      <c r="Z835" s="2" t="s">
        <v>74</v>
      </c>
      <c r="AA835" s="2" t="s">
        <v>74</v>
      </c>
      <c r="AB835" s="2" t="s">
        <v>74</v>
      </c>
      <c r="AC835" s="2" t="s">
        <v>74</v>
      </c>
      <c r="AD835" s="2" t="s">
        <v>74</v>
      </c>
      <c r="AE835" s="2" t="s">
        <v>74</v>
      </c>
      <c r="AF835" s="2" t="s">
        <v>74</v>
      </c>
      <c r="AG835" s="2" t="s">
        <v>74</v>
      </c>
      <c r="AH835" s="2" t="s">
        <v>74</v>
      </c>
      <c r="AI835" s="2" t="s">
        <v>74</v>
      </c>
      <c r="AJ835" s="2" t="s">
        <v>74</v>
      </c>
      <c r="AK835" s="2" t="s">
        <v>74</v>
      </c>
      <c r="AL835" s="2" t="s">
        <v>74</v>
      </c>
      <c r="AM835" s="2" t="s">
        <v>74</v>
      </c>
      <c r="AN835" s="2" t="s">
        <v>74</v>
      </c>
      <c r="AO835" s="2" t="s">
        <v>74</v>
      </c>
      <c r="AP835" s="2" t="s">
        <v>787</v>
      </c>
      <c r="AQ835" s="2" t="s">
        <v>74</v>
      </c>
      <c r="AR835" s="2" t="s">
        <v>74</v>
      </c>
      <c r="AS835" s="2" t="s">
        <v>74</v>
      </c>
      <c r="AT835" s="2" t="s">
        <v>788</v>
      </c>
      <c r="AU835" s="2">
        <v>2010</v>
      </c>
      <c r="AV835" s="2">
        <v>10</v>
      </c>
      <c r="AW835" s="2" t="s">
        <v>74</v>
      </c>
      <c r="AX835" s="2" t="s">
        <v>74</v>
      </c>
      <c r="AY835" s="2" t="s">
        <v>74</v>
      </c>
      <c r="AZ835" s="2" t="s">
        <v>74</v>
      </c>
      <c r="BA835" s="2" t="s">
        <v>74</v>
      </c>
      <c r="BB835" s="2" t="s">
        <v>74</v>
      </c>
      <c r="BC835" s="2" t="s">
        <v>74</v>
      </c>
      <c r="BD835" s="2">
        <v>109</v>
      </c>
      <c r="BE835" s="2" t="s">
        <v>789</v>
      </c>
      <c r="BF835" s="2" t="str">
        <f>HYPERLINK("http://dx.doi.org/10.1673/031.010.10901","http://dx.doi.org/10.1673/031.010.10901")</f>
        <v>http://dx.doi.org/10.1673/031.010.10901</v>
      </c>
      <c r="BG835" s="2" t="s">
        <v>74</v>
      </c>
      <c r="BH835" s="2" t="s">
        <v>74</v>
      </c>
      <c r="BI835" s="2" t="s">
        <v>74</v>
      </c>
      <c r="BJ835" s="2" t="s">
        <v>74</v>
      </c>
      <c r="BK835" s="2" t="s">
        <v>74</v>
      </c>
      <c r="BL835" s="2" t="s">
        <v>74</v>
      </c>
      <c r="BM835" s="2" t="s">
        <v>74</v>
      </c>
      <c r="BN835" s="2">
        <v>20874396</v>
      </c>
      <c r="BO835" s="2" t="s">
        <v>74</v>
      </c>
      <c r="BP835" s="2" t="s">
        <v>74</v>
      </c>
      <c r="BQ835" s="2" t="s">
        <v>74</v>
      </c>
      <c r="BR835" s="2" t="s">
        <v>74</v>
      </c>
      <c r="BS835" s="2" t="s">
        <v>790</v>
      </c>
      <c r="BT835" s="2" t="str">
        <f>HYPERLINK("https%3A%2F%2Fwww.webofscience.com%2Fwos%2Fwoscc%2Ffull-record%2FWOS:000280095500007","View Full Record in Web of Science")</f>
        <v>View Full Record in Web of Science</v>
      </c>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row>
    <row r="836" spans="1:314" s="2" customFormat="1" x14ac:dyDescent="0.4">
      <c r="A836" s="2" t="s">
        <v>72</v>
      </c>
      <c r="B836" s="2" t="s">
        <v>6032</v>
      </c>
      <c r="C836" s="2" t="s">
        <v>74</v>
      </c>
      <c r="D836" s="2" t="s">
        <v>74</v>
      </c>
      <c r="E836" s="2" t="s">
        <v>74</v>
      </c>
      <c r="F836" s="2" t="s">
        <v>6032</v>
      </c>
      <c r="G836" s="2" t="s">
        <v>74</v>
      </c>
      <c r="H836" s="2" t="s">
        <v>74</v>
      </c>
      <c r="I836" s="2" t="s">
        <v>6033</v>
      </c>
      <c r="J836" s="2" t="s">
        <v>3238</v>
      </c>
      <c r="K836" s="2" t="s">
        <v>74</v>
      </c>
      <c r="L836" s="2" t="s">
        <v>74</v>
      </c>
      <c r="M836" s="2" t="s">
        <v>74</v>
      </c>
      <c r="N836" s="2" t="s">
        <v>74</v>
      </c>
      <c r="O836" s="2" t="s">
        <v>74</v>
      </c>
      <c r="P836" s="2" t="s">
        <v>74</v>
      </c>
      <c r="Q836" s="2" t="s">
        <v>74</v>
      </c>
      <c r="R836" s="2" t="s">
        <v>74</v>
      </c>
      <c r="S836" s="2" t="s">
        <v>74</v>
      </c>
      <c r="T836" s="2" t="s">
        <v>74</v>
      </c>
      <c r="U836" s="2" t="s">
        <v>74</v>
      </c>
      <c r="V836" s="5" t="s">
        <v>6034</v>
      </c>
      <c r="W836" s="2" t="s">
        <v>74</v>
      </c>
      <c r="X836" s="2" t="s">
        <v>74</v>
      </c>
      <c r="Y836" s="2" t="s">
        <v>74</v>
      </c>
      <c r="Z836" s="2" t="s">
        <v>74</v>
      </c>
      <c r="AA836" s="2" t="s">
        <v>6035</v>
      </c>
      <c r="AB836" s="2" t="s">
        <v>6036</v>
      </c>
      <c r="AC836" s="2" t="s">
        <v>74</v>
      </c>
      <c r="AD836" s="2" t="s">
        <v>74</v>
      </c>
      <c r="AE836" s="2" t="s">
        <v>74</v>
      </c>
      <c r="AF836" s="2" t="s">
        <v>74</v>
      </c>
      <c r="AG836" s="2" t="s">
        <v>74</v>
      </c>
      <c r="AH836" s="2" t="s">
        <v>74</v>
      </c>
      <c r="AI836" s="2" t="s">
        <v>74</v>
      </c>
      <c r="AJ836" s="2" t="s">
        <v>74</v>
      </c>
      <c r="AK836" s="2" t="s">
        <v>74</v>
      </c>
      <c r="AL836" s="2" t="s">
        <v>74</v>
      </c>
      <c r="AM836" s="2" t="s">
        <v>74</v>
      </c>
      <c r="AN836" s="2" t="s">
        <v>74</v>
      </c>
      <c r="AO836" s="2" t="s">
        <v>3240</v>
      </c>
      <c r="AP836" s="2" t="s">
        <v>3241</v>
      </c>
      <c r="AQ836" s="2" t="s">
        <v>74</v>
      </c>
      <c r="AR836" s="2" t="s">
        <v>74</v>
      </c>
      <c r="AS836" s="2" t="s">
        <v>74</v>
      </c>
      <c r="AT836" s="2" t="s">
        <v>123</v>
      </c>
      <c r="AU836" s="2">
        <v>1990</v>
      </c>
      <c r="AV836" s="2">
        <v>83</v>
      </c>
      <c r="AW836" s="2">
        <v>2</v>
      </c>
      <c r="AX836" s="2" t="s">
        <v>74</v>
      </c>
      <c r="AY836" s="2" t="s">
        <v>74</v>
      </c>
      <c r="AZ836" s="2" t="s">
        <v>74</v>
      </c>
      <c r="BA836" s="2" t="s">
        <v>74</v>
      </c>
      <c r="BB836" s="2">
        <v>171</v>
      </c>
      <c r="BC836" s="2">
        <v>188</v>
      </c>
      <c r="BD836" s="2" t="s">
        <v>74</v>
      </c>
      <c r="BE836" s="2" t="s">
        <v>6037</v>
      </c>
      <c r="BF836" s="2" t="str">
        <f>HYPERLINK("http://dx.doi.org/10.1093/aesa/83.2.171","http://dx.doi.org/10.1093/aesa/83.2.171")</f>
        <v>http://dx.doi.org/10.1093/aesa/83.2.171</v>
      </c>
      <c r="BG836" s="2" t="s">
        <v>74</v>
      </c>
      <c r="BH836" s="2" t="s">
        <v>74</v>
      </c>
      <c r="BI836" s="2" t="s">
        <v>74</v>
      </c>
      <c r="BJ836" s="2" t="s">
        <v>74</v>
      </c>
      <c r="BK836" s="2" t="s">
        <v>74</v>
      </c>
      <c r="BL836" s="2" t="s">
        <v>74</v>
      </c>
      <c r="BM836" s="2" t="s">
        <v>74</v>
      </c>
      <c r="BN836" s="2" t="s">
        <v>74</v>
      </c>
      <c r="BO836" s="2" t="s">
        <v>74</v>
      </c>
      <c r="BP836" s="2" t="s">
        <v>74</v>
      </c>
      <c r="BQ836" s="2" t="s">
        <v>74</v>
      </c>
      <c r="BR836" s="2" t="s">
        <v>74</v>
      </c>
      <c r="BS836" s="2" t="s">
        <v>6038</v>
      </c>
      <c r="BT836" s="2" t="str">
        <f>HYPERLINK("https%3A%2F%2Fwww.webofscience.com%2Fwos%2Fwoscc%2Ffull-record%2FWOS:A1990CQ89800007","View Full Record in Web of Science")</f>
        <v>View Full Record in Web of Science</v>
      </c>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row>
    <row r="837" spans="1:314" s="2" customFormat="1" x14ac:dyDescent="0.4">
      <c r="A837" s="2" t="s">
        <v>72</v>
      </c>
      <c r="B837" s="2" t="s">
        <v>4854</v>
      </c>
      <c r="C837" s="2" t="s">
        <v>74</v>
      </c>
      <c r="D837" s="2" t="s">
        <v>74</v>
      </c>
      <c r="E837" s="2" t="s">
        <v>74</v>
      </c>
      <c r="F837" s="2" t="s">
        <v>4855</v>
      </c>
      <c r="G837" s="2" t="s">
        <v>74</v>
      </c>
      <c r="H837" s="2" t="s">
        <v>74</v>
      </c>
      <c r="I837" s="2" t="s">
        <v>4856</v>
      </c>
      <c r="J837" s="2" t="s">
        <v>299</v>
      </c>
      <c r="K837" s="2" t="s">
        <v>74</v>
      </c>
      <c r="L837" s="2" t="s">
        <v>74</v>
      </c>
      <c r="M837" s="2" t="s">
        <v>74</v>
      </c>
      <c r="N837" s="2" t="s">
        <v>74</v>
      </c>
      <c r="O837" s="2" t="s">
        <v>74</v>
      </c>
      <c r="P837" s="2" t="s">
        <v>74</v>
      </c>
      <c r="Q837" s="2" t="s">
        <v>74</v>
      </c>
      <c r="R837" s="2" t="s">
        <v>74</v>
      </c>
      <c r="S837" s="2" t="s">
        <v>74</v>
      </c>
      <c r="T837" s="2" t="s">
        <v>74</v>
      </c>
      <c r="U837" s="2" t="s">
        <v>74</v>
      </c>
      <c r="V837" s="5" t="s">
        <v>4857</v>
      </c>
      <c r="W837" s="2" t="s">
        <v>74</v>
      </c>
      <c r="X837" s="2" t="s">
        <v>74</v>
      </c>
      <c r="Y837" s="2" t="s">
        <v>74</v>
      </c>
      <c r="Z837" s="2" t="s">
        <v>74</v>
      </c>
      <c r="AA837" s="2" t="s">
        <v>4858</v>
      </c>
      <c r="AB837" s="2" t="s">
        <v>4859</v>
      </c>
      <c r="AC837" s="2" t="s">
        <v>74</v>
      </c>
      <c r="AD837" s="2" t="s">
        <v>74</v>
      </c>
      <c r="AE837" s="2" t="s">
        <v>74</v>
      </c>
      <c r="AF837" s="2" t="s">
        <v>74</v>
      </c>
      <c r="AG837" s="2" t="s">
        <v>74</v>
      </c>
      <c r="AH837" s="2" t="s">
        <v>74</v>
      </c>
      <c r="AI837" s="2" t="s">
        <v>74</v>
      </c>
      <c r="AJ837" s="2" t="s">
        <v>74</v>
      </c>
      <c r="AK837" s="2" t="s">
        <v>74</v>
      </c>
      <c r="AL837" s="2" t="s">
        <v>74</v>
      </c>
      <c r="AM837" s="2" t="s">
        <v>74</v>
      </c>
      <c r="AN837" s="2" t="s">
        <v>74</v>
      </c>
      <c r="AO837" s="2" t="s">
        <v>303</v>
      </c>
      <c r="AP837" s="2" t="s">
        <v>304</v>
      </c>
      <c r="AQ837" s="2" t="s">
        <v>74</v>
      </c>
      <c r="AR837" s="2" t="s">
        <v>74</v>
      </c>
      <c r="AS837" s="2" t="s">
        <v>74</v>
      </c>
      <c r="AT837" s="2" t="s">
        <v>305</v>
      </c>
      <c r="AU837" s="2">
        <v>2016</v>
      </c>
      <c r="AV837" s="2">
        <v>47</v>
      </c>
      <c r="AW837" s="2">
        <v>12</v>
      </c>
      <c r="AX837" s="2" t="s">
        <v>74</v>
      </c>
      <c r="AY837" s="2" t="s">
        <v>74</v>
      </c>
      <c r="AZ837" s="2" t="s">
        <v>74</v>
      </c>
      <c r="BA837" s="2" t="s">
        <v>74</v>
      </c>
      <c r="BB837" s="2">
        <v>4015</v>
      </c>
      <c r="BC837" s="2">
        <v>4023</v>
      </c>
      <c r="BD837" s="2" t="s">
        <v>74</v>
      </c>
      <c r="BE837" s="2" t="s">
        <v>4860</v>
      </c>
      <c r="BF837" s="2" t="str">
        <f>HYPERLINK("http://dx.doi.org/10.1111/are.12854","http://dx.doi.org/10.1111/are.12854")</f>
        <v>http://dx.doi.org/10.1111/are.12854</v>
      </c>
      <c r="BG837" s="2" t="s">
        <v>74</v>
      </c>
      <c r="BH837" s="2" t="s">
        <v>74</v>
      </c>
      <c r="BI837" s="2" t="s">
        <v>74</v>
      </c>
      <c r="BJ837" s="2" t="s">
        <v>74</v>
      </c>
      <c r="BK837" s="2" t="s">
        <v>74</v>
      </c>
      <c r="BL837" s="2" t="s">
        <v>74</v>
      </c>
      <c r="BM837" s="2" t="s">
        <v>74</v>
      </c>
      <c r="BN837" s="2" t="s">
        <v>74</v>
      </c>
      <c r="BO837" s="2" t="s">
        <v>74</v>
      </c>
      <c r="BP837" s="2" t="s">
        <v>74</v>
      </c>
      <c r="BQ837" s="2" t="s">
        <v>74</v>
      </c>
      <c r="BR837" s="2" t="s">
        <v>74</v>
      </c>
      <c r="BS837" s="2" t="s">
        <v>4861</v>
      </c>
      <c r="BT837" s="2" t="str">
        <f>HYPERLINK("https%3A%2F%2Fwww.webofscience.com%2Fwos%2Fwoscc%2Ffull-record%2FWOS:000387663000031","View Full Record in Web of Science")</f>
        <v>View Full Record in Web of Science</v>
      </c>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row>
    <row r="838" spans="1:314" s="2" customFormat="1" x14ac:dyDescent="0.4">
      <c r="A838" s="2" t="s">
        <v>72</v>
      </c>
      <c r="B838" s="2" t="s">
        <v>3900</v>
      </c>
      <c r="C838" s="2" t="s">
        <v>74</v>
      </c>
      <c r="D838" s="2" t="s">
        <v>74</v>
      </c>
      <c r="E838" s="2" t="s">
        <v>74</v>
      </c>
      <c r="F838" s="2" t="s">
        <v>3900</v>
      </c>
      <c r="G838" s="2" t="s">
        <v>74</v>
      </c>
      <c r="H838" s="2" t="s">
        <v>74</v>
      </c>
      <c r="I838" s="2" t="s">
        <v>3901</v>
      </c>
      <c r="J838" s="2" t="s">
        <v>108</v>
      </c>
      <c r="K838" s="2" t="s">
        <v>74</v>
      </c>
      <c r="L838" s="2" t="s">
        <v>74</v>
      </c>
      <c r="M838" s="2" t="s">
        <v>74</v>
      </c>
      <c r="N838" s="2" t="s">
        <v>74</v>
      </c>
      <c r="O838" s="2" t="s">
        <v>74</v>
      </c>
      <c r="P838" s="2" t="s">
        <v>74</v>
      </c>
      <c r="Q838" s="2" t="s">
        <v>74</v>
      </c>
      <c r="R838" s="2" t="s">
        <v>74</v>
      </c>
      <c r="S838" s="2" t="s">
        <v>74</v>
      </c>
      <c r="T838" s="2" t="s">
        <v>74</v>
      </c>
      <c r="U838" s="2" t="s">
        <v>74</v>
      </c>
      <c r="V838" s="5" t="s">
        <v>3902</v>
      </c>
      <c r="W838" s="2" t="s">
        <v>74</v>
      </c>
      <c r="X838" s="2" t="s">
        <v>74</v>
      </c>
      <c r="Y838" s="2" t="s">
        <v>74</v>
      </c>
      <c r="Z838" s="2" t="s">
        <v>74</v>
      </c>
      <c r="AA838" s="2" t="s">
        <v>74</v>
      </c>
      <c r="AB838" s="2" t="s">
        <v>74</v>
      </c>
      <c r="AC838" s="2" t="s">
        <v>74</v>
      </c>
      <c r="AD838" s="2" t="s">
        <v>74</v>
      </c>
      <c r="AE838" s="2" t="s">
        <v>74</v>
      </c>
      <c r="AF838" s="2" t="s">
        <v>74</v>
      </c>
      <c r="AG838" s="2" t="s">
        <v>74</v>
      </c>
      <c r="AH838" s="2" t="s">
        <v>74</v>
      </c>
      <c r="AI838" s="2" t="s">
        <v>74</v>
      </c>
      <c r="AJ838" s="2" t="s">
        <v>74</v>
      </c>
      <c r="AK838" s="2" t="s">
        <v>74</v>
      </c>
      <c r="AL838" s="2" t="s">
        <v>74</v>
      </c>
      <c r="AM838" s="2" t="s">
        <v>74</v>
      </c>
      <c r="AN838" s="2" t="s">
        <v>74</v>
      </c>
      <c r="AO838" s="2" t="s">
        <v>111</v>
      </c>
      <c r="AP838" s="2" t="s">
        <v>74</v>
      </c>
      <c r="AQ838" s="2" t="s">
        <v>74</v>
      </c>
      <c r="AR838" s="2" t="s">
        <v>74</v>
      </c>
      <c r="AS838" s="2" t="s">
        <v>74</v>
      </c>
      <c r="AT838" s="2" t="s">
        <v>939</v>
      </c>
      <c r="AU838" s="2">
        <v>2005</v>
      </c>
      <c r="AV838" s="2">
        <v>272</v>
      </c>
      <c r="AW838" s="2">
        <v>1580</v>
      </c>
      <c r="AX838" s="2" t="s">
        <v>74</v>
      </c>
      <c r="AY838" s="2" t="s">
        <v>74</v>
      </c>
      <c r="AZ838" s="2" t="s">
        <v>74</v>
      </c>
      <c r="BA838" s="2" t="s">
        <v>74</v>
      </c>
      <c r="BB838" s="2">
        <v>2519</v>
      </c>
      <c r="BC838" s="2">
        <v>2523</v>
      </c>
      <c r="BD838" s="2" t="s">
        <v>74</v>
      </c>
      <c r="BE838" s="2" t="s">
        <v>3903</v>
      </c>
      <c r="BF838" s="2" t="str">
        <f>HYPERLINK("http://dx.doi.org/10.1098/rspb.2005.3186","http://dx.doi.org/10.1098/rspb.2005.3186")</f>
        <v>http://dx.doi.org/10.1098/rspb.2005.3186</v>
      </c>
      <c r="BG838" s="2" t="s">
        <v>74</v>
      </c>
      <c r="BH838" s="2" t="s">
        <v>74</v>
      </c>
      <c r="BI838" s="2" t="s">
        <v>74</v>
      </c>
      <c r="BJ838" s="2" t="s">
        <v>74</v>
      </c>
      <c r="BK838" s="2" t="s">
        <v>74</v>
      </c>
      <c r="BL838" s="2" t="s">
        <v>74</v>
      </c>
      <c r="BM838" s="2" t="s">
        <v>74</v>
      </c>
      <c r="BN838" s="2">
        <v>16271978</v>
      </c>
      <c r="BO838" s="2" t="s">
        <v>74</v>
      </c>
      <c r="BP838" s="2" t="s">
        <v>74</v>
      </c>
      <c r="BQ838" s="2" t="s">
        <v>74</v>
      </c>
      <c r="BR838" s="2" t="s">
        <v>74</v>
      </c>
      <c r="BS838" s="2" t="s">
        <v>3904</v>
      </c>
      <c r="BT838" s="2" t="str">
        <f>HYPERLINK("https%3A%2F%2Fwww.webofscience.com%2Fwos%2Fwoscc%2Ffull-record%2FWOS:000233751700011","View Full Record in Web of Science")</f>
        <v>View Full Record in Web of Science</v>
      </c>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row>
    <row r="839" spans="1:314" s="2" customFormat="1" x14ac:dyDescent="0.4">
      <c r="A839" s="2" t="s">
        <v>72</v>
      </c>
      <c r="B839" s="2" t="s">
        <v>2935</v>
      </c>
      <c r="C839" s="2" t="s">
        <v>74</v>
      </c>
      <c r="D839" s="2" t="s">
        <v>74</v>
      </c>
      <c r="E839" s="2" t="s">
        <v>74</v>
      </c>
      <c r="F839" s="2" t="s">
        <v>2935</v>
      </c>
      <c r="G839" s="2" t="s">
        <v>74</v>
      </c>
      <c r="H839" s="2" t="s">
        <v>74</v>
      </c>
      <c r="I839" s="2" t="s">
        <v>2936</v>
      </c>
      <c r="J839" s="2" t="s">
        <v>2191</v>
      </c>
      <c r="K839" s="2" t="s">
        <v>74</v>
      </c>
      <c r="L839" s="2" t="s">
        <v>74</v>
      </c>
      <c r="M839" s="2" t="s">
        <v>74</v>
      </c>
      <c r="N839" s="2" t="s">
        <v>74</v>
      </c>
      <c r="O839" s="2" t="s">
        <v>74</v>
      </c>
      <c r="P839" s="2" t="s">
        <v>74</v>
      </c>
      <c r="Q839" s="2" t="s">
        <v>74</v>
      </c>
      <c r="R839" s="2" t="s">
        <v>74</v>
      </c>
      <c r="S839" s="2" t="s">
        <v>74</v>
      </c>
      <c r="T839" s="2" t="s">
        <v>74</v>
      </c>
      <c r="U839" s="2" t="s">
        <v>74</v>
      </c>
      <c r="V839" s="5" t="s">
        <v>2937</v>
      </c>
      <c r="W839" s="2" t="s">
        <v>74</v>
      </c>
      <c r="X839" s="2" t="s">
        <v>74</v>
      </c>
      <c r="Y839" s="2" t="s">
        <v>74</v>
      </c>
      <c r="Z839" s="2" t="s">
        <v>74</v>
      </c>
      <c r="AA839" s="2" t="s">
        <v>74</v>
      </c>
      <c r="AB839" s="2" t="s">
        <v>74</v>
      </c>
      <c r="AC839" s="2" t="s">
        <v>74</v>
      </c>
      <c r="AD839" s="2" t="s">
        <v>74</v>
      </c>
      <c r="AE839" s="2" t="s">
        <v>74</v>
      </c>
      <c r="AF839" s="2" t="s">
        <v>74</v>
      </c>
      <c r="AG839" s="2" t="s">
        <v>74</v>
      </c>
      <c r="AH839" s="2" t="s">
        <v>74</v>
      </c>
      <c r="AI839" s="2" t="s">
        <v>74</v>
      </c>
      <c r="AJ839" s="2" t="s">
        <v>74</v>
      </c>
      <c r="AK839" s="2" t="s">
        <v>74</v>
      </c>
      <c r="AL839" s="2" t="s">
        <v>74</v>
      </c>
      <c r="AM839" s="2" t="s">
        <v>74</v>
      </c>
      <c r="AN839" s="2" t="s">
        <v>74</v>
      </c>
      <c r="AO839" s="2" t="s">
        <v>2193</v>
      </c>
      <c r="AP839" s="2" t="s">
        <v>2194</v>
      </c>
      <c r="AQ839" s="2" t="s">
        <v>74</v>
      </c>
      <c r="AR839" s="2" t="s">
        <v>74</v>
      </c>
      <c r="AS839" s="2" t="s">
        <v>74</v>
      </c>
      <c r="AT839" s="2" t="s">
        <v>255</v>
      </c>
      <c r="AU839" s="2">
        <v>2005</v>
      </c>
      <c r="AV839" s="2">
        <v>32</v>
      </c>
      <c r="AW839" s="2">
        <v>2</v>
      </c>
      <c r="AX839" s="2" t="s">
        <v>74</v>
      </c>
      <c r="AY839" s="2" t="s">
        <v>74</v>
      </c>
      <c r="AZ839" s="2" t="s">
        <v>74</v>
      </c>
      <c r="BA839" s="2" t="s">
        <v>74</v>
      </c>
      <c r="BB839" s="2">
        <v>277</v>
      </c>
      <c r="BC839" s="2">
        <v>284</v>
      </c>
      <c r="BD839" s="2" t="s">
        <v>74</v>
      </c>
      <c r="BE839" s="2" t="s">
        <v>2938</v>
      </c>
      <c r="BF839" s="2" t="str">
        <f>HYPERLINK("http://dx.doi.org/10.1016/j.aquaeng.2004.04.004","http://dx.doi.org/10.1016/j.aquaeng.2004.04.004")</f>
        <v>http://dx.doi.org/10.1016/j.aquaeng.2004.04.004</v>
      </c>
      <c r="BG839" s="2" t="s">
        <v>74</v>
      </c>
      <c r="BH839" s="2" t="s">
        <v>74</v>
      </c>
      <c r="BI839" s="2" t="s">
        <v>74</v>
      </c>
      <c r="BJ839" s="2" t="s">
        <v>74</v>
      </c>
      <c r="BK839" s="2" t="s">
        <v>74</v>
      </c>
      <c r="BL839" s="2" t="s">
        <v>74</v>
      </c>
      <c r="BM839" s="2" t="s">
        <v>74</v>
      </c>
      <c r="BN839" s="2" t="s">
        <v>74</v>
      </c>
      <c r="BO839" s="2" t="s">
        <v>74</v>
      </c>
      <c r="BP839" s="2" t="s">
        <v>74</v>
      </c>
      <c r="BQ839" s="2" t="s">
        <v>74</v>
      </c>
      <c r="BR839" s="2" t="s">
        <v>74</v>
      </c>
      <c r="BS839" s="2" t="s">
        <v>2939</v>
      </c>
      <c r="BT839" s="2" t="str">
        <f>HYPERLINK("https%3A%2F%2Fwww.webofscience.com%2Fwos%2Fwoscc%2Ffull-record%2FWOS:000226462600001","View Full Record in Web of Science")</f>
        <v>View Full Record in Web of Science</v>
      </c>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row>
    <row r="840" spans="1:314" s="2" customFormat="1" x14ac:dyDescent="0.4">
      <c r="A840" s="2" t="s">
        <v>72</v>
      </c>
      <c r="B840" s="2" t="s">
        <v>7701</v>
      </c>
      <c r="C840" s="2" t="s">
        <v>74</v>
      </c>
      <c r="D840" s="2" t="s">
        <v>74</v>
      </c>
      <c r="E840" s="2" t="s">
        <v>74</v>
      </c>
      <c r="F840" s="2" t="s">
        <v>7701</v>
      </c>
      <c r="G840" s="2" t="s">
        <v>74</v>
      </c>
      <c r="H840" s="2" t="s">
        <v>74</v>
      </c>
      <c r="I840" s="2" t="s">
        <v>7702</v>
      </c>
      <c r="J840" s="2" t="s">
        <v>108</v>
      </c>
      <c r="K840" s="2" t="s">
        <v>74</v>
      </c>
      <c r="L840" s="2" t="s">
        <v>74</v>
      </c>
      <c r="M840" s="2" t="s">
        <v>74</v>
      </c>
      <c r="N840" s="2" t="s">
        <v>74</v>
      </c>
      <c r="O840" s="2" t="s">
        <v>74</v>
      </c>
      <c r="P840" s="2" t="s">
        <v>74</v>
      </c>
      <c r="Q840" s="2" t="s">
        <v>74</v>
      </c>
      <c r="R840" s="2" t="s">
        <v>74</v>
      </c>
      <c r="S840" s="2" t="s">
        <v>74</v>
      </c>
      <c r="T840" s="2" t="s">
        <v>74</v>
      </c>
      <c r="U840" s="2" t="s">
        <v>74</v>
      </c>
      <c r="V840" s="5" t="s">
        <v>7703</v>
      </c>
      <c r="W840" s="2" t="s">
        <v>74</v>
      </c>
      <c r="X840" s="2" t="s">
        <v>74</v>
      </c>
      <c r="Y840" s="2" t="s">
        <v>74</v>
      </c>
      <c r="Z840" s="2" t="s">
        <v>74</v>
      </c>
      <c r="AA840" s="2" t="s">
        <v>74</v>
      </c>
      <c r="AB840" s="2" t="s">
        <v>74</v>
      </c>
      <c r="AC840" s="2" t="s">
        <v>74</v>
      </c>
      <c r="AD840" s="2" t="s">
        <v>74</v>
      </c>
      <c r="AE840" s="2" t="s">
        <v>74</v>
      </c>
      <c r="AF840" s="2" t="s">
        <v>74</v>
      </c>
      <c r="AG840" s="2" t="s">
        <v>74</v>
      </c>
      <c r="AH840" s="2" t="s">
        <v>74</v>
      </c>
      <c r="AI840" s="2" t="s">
        <v>74</v>
      </c>
      <c r="AJ840" s="2" t="s">
        <v>74</v>
      </c>
      <c r="AK840" s="2" t="s">
        <v>74</v>
      </c>
      <c r="AL840" s="2" t="s">
        <v>74</v>
      </c>
      <c r="AM840" s="2" t="s">
        <v>74</v>
      </c>
      <c r="AN840" s="2" t="s">
        <v>74</v>
      </c>
      <c r="AO840" s="2" t="s">
        <v>111</v>
      </c>
      <c r="AP840" s="2" t="s">
        <v>74</v>
      </c>
      <c r="AQ840" s="2" t="s">
        <v>74</v>
      </c>
      <c r="AR840" s="2" t="s">
        <v>74</v>
      </c>
      <c r="AS840" s="2" t="s">
        <v>74</v>
      </c>
      <c r="AT840" s="2" t="s">
        <v>2345</v>
      </c>
      <c r="AU840" s="2">
        <v>1998</v>
      </c>
      <c r="AV840" s="2">
        <v>265</v>
      </c>
      <c r="AW840" s="2">
        <v>1399</v>
      </c>
      <c r="AX840" s="2" t="s">
        <v>74</v>
      </c>
      <c r="AY840" s="2" t="s">
        <v>74</v>
      </c>
      <c r="AZ840" s="2" t="s">
        <v>74</v>
      </c>
      <c r="BA840" s="2" t="s">
        <v>74</v>
      </c>
      <c r="BB840" s="2">
        <v>861</v>
      </c>
      <c r="BC840" s="2">
        <v>867</v>
      </c>
      <c r="BD840" s="2" t="s">
        <v>74</v>
      </c>
      <c r="BE840" s="2" t="s">
        <v>7704</v>
      </c>
      <c r="BF840" s="2" t="str">
        <f>HYPERLINK("http://dx.doi.org/10.1098/rspb.1998.0371","http://dx.doi.org/10.1098/rspb.1998.0371")</f>
        <v>http://dx.doi.org/10.1098/rspb.1998.0371</v>
      </c>
      <c r="BG840" s="2" t="s">
        <v>74</v>
      </c>
      <c r="BH840" s="2" t="s">
        <v>74</v>
      </c>
      <c r="BI840" s="2" t="s">
        <v>74</v>
      </c>
      <c r="BJ840" s="2" t="s">
        <v>74</v>
      </c>
      <c r="BK840" s="2" t="s">
        <v>74</v>
      </c>
      <c r="BL840" s="2" t="s">
        <v>74</v>
      </c>
      <c r="BM840" s="2" t="s">
        <v>74</v>
      </c>
      <c r="BN840" s="2" t="s">
        <v>74</v>
      </c>
      <c r="BO840" s="2" t="s">
        <v>74</v>
      </c>
      <c r="BP840" s="2" t="s">
        <v>74</v>
      </c>
      <c r="BQ840" s="2" t="s">
        <v>74</v>
      </c>
      <c r="BR840" s="2" t="s">
        <v>74</v>
      </c>
      <c r="BS840" s="2" t="s">
        <v>7705</v>
      </c>
      <c r="BT840" s="2" t="str">
        <f>HYPERLINK("https%3A%2F%2Fwww.webofscience.com%2Fwos%2Fwoscc%2Ffull-record%2FWOS:000073948500004","View Full Record in Web of Science")</f>
        <v>View Full Record in Web of Science</v>
      </c>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row>
    <row r="841" spans="1:314" s="2" customFormat="1" x14ac:dyDescent="0.4">
      <c r="A841" s="2" t="s">
        <v>72</v>
      </c>
      <c r="B841" s="2" t="s">
        <v>960</v>
      </c>
      <c r="C841" s="2" t="s">
        <v>74</v>
      </c>
      <c r="D841" s="2" t="s">
        <v>74</v>
      </c>
      <c r="E841" s="2" t="s">
        <v>74</v>
      </c>
      <c r="F841" s="2" t="s">
        <v>961</v>
      </c>
      <c r="G841" s="2" t="s">
        <v>74</v>
      </c>
      <c r="H841" s="2" t="s">
        <v>74</v>
      </c>
      <c r="I841" s="2" t="s">
        <v>962</v>
      </c>
      <c r="J841" s="2" t="s">
        <v>171</v>
      </c>
      <c r="K841" s="2" t="s">
        <v>74</v>
      </c>
      <c r="L841" s="2" t="s">
        <v>74</v>
      </c>
      <c r="M841" s="2" t="s">
        <v>74</v>
      </c>
      <c r="N841" s="2" t="s">
        <v>74</v>
      </c>
      <c r="O841" s="2" t="s">
        <v>74</v>
      </c>
      <c r="P841" s="2" t="s">
        <v>74</v>
      </c>
      <c r="Q841" s="2" t="s">
        <v>74</v>
      </c>
      <c r="R841" s="2" t="s">
        <v>74</v>
      </c>
      <c r="S841" s="2" t="s">
        <v>74</v>
      </c>
      <c r="T841" s="2" t="s">
        <v>74</v>
      </c>
      <c r="U841" s="2" t="s">
        <v>74</v>
      </c>
      <c r="V841" s="5" t="s">
        <v>963</v>
      </c>
      <c r="W841" s="2" t="s">
        <v>74</v>
      </c>
      <c r="X841" s="2" t="s">
        <v>74</v>
      </c>
      <c r="Y841" s="2" t="s">
        <v>74</v>
      </c>
      <c r="Z841" s="2" t="s">
        <v>74</v>
      </c>
      <c r="AA841" s="2" t="s">
        <v>74</v>
      </c>
      <c r="AB841" s="2" t="s">
        <v>74</v>
      </c>
      <c r="AC841" s="2" t="s">
        <v>74</v>
      </c>
      <c r="AD841" s="2" t="s">
        <v>74</v>
      </c>
      <c r="AE841" s="2" t="s">
        <v>74</v>
      </c>
      <c r="AF841" s="2" t="s">
        <v>74</v>
      </c>
      <c r="AG841" s="2" t="s">
        <v>74</v>
      </c>
      <c r="AH841" s="2" t="s">
        <v>74</v>
      </c>
      <c r="AI841" s="2" t="s">
        <v>74</v>
      </c>
      <c r="AJ841" s="2" t="s">
        <v>74</v>
      </c>
      <c r="AK841" s="2" t="s">
        <v>74</v>
      </c>
      <c r="AL841" s="2" t="s">
        <v>74</v>
      </c>
      <c r="AM841" s="2" t="s">
        <v>74</v>
      </c>
      <c r="AN841" s="2" t="s">
        <v>74</v>
      </c>
      <c r="AO841" s="2" t="s">
        <v>173</v>
      </c>
      <c r="AP841" s="2" t="s">
        <v>174</v>
      </c>
      <c r="AQ841" s="2" t="s">
        <v>74</v>
      </c>
      <c r="AR841" s="2" t="s">
        <v>74</v>
      </c>
      <c r="AS841" s="2" t="s">
        <v>74</v>
      </c>
      <c r="AT841" s="2" t="s">
        <v>964</v>
      </c>
      <c r="AU841" s="2">
        <v>2010</v>
      </c>
      <c r="AV841" s="2">
        <v>64</v>
      </c>
      <c r="AW841" s="2">
        <v>2</v>
      </c>
      <c r="AX841" s="2" t="s">
        <v>74</v>
      </c>
      <c r="AY841" s="2" t="s">
        <v>74</v>
      </c>
      <c r="AZ841" s="2" t="s">
        <v>74</v>
      </c>
      <c r="BA841" s="2" t="s">
        <v>74</v>
      </c>
      <c r="BB841" s="2">
        <v>324</v>
      </c>
      <c r="BC841" s="2">
        <v>335</v>
      </c>
      <c r="BD841" s="2" t="s">
        <v>74</v>
      </c>
      <c r="BE841" s="2" t="s">
        <v>965</v>
      </c>
      <c r="BF841" s="2" t="str">
        <f>HYPERLINK("http://dx.doi.org/10.1111/j.1558-5646.2009.00827.x","http://dx.doi.org/10.1111/j.1558-5646.2009.00827.x")</f>
        <v>http://dx.doi.org/10.1111/j.1558-5646.2009.00827.x</v>
      </c>
      <c r="BG841" s="2" t="s">
        <v>74</v>
      </c>
      <c r="BH841" s="2" t="s">
        <v>74</v>
      </c>
      <c r="BI841" s="2" t="s">
        <v>74</v>
      </c>
      <c r="BJ841" s="2" t="s">
        <v>74</v>
      </c>
      <c r="BK841" s="2" t="s">
        <v>74</v>
      </c>
      <c r="BL841" s="2" t="s">
        <v>74</v>
      </c>
      <c r="BM841" s="2" t="s">
        <v>74</v>
      </c>
      <c r="BN841" s="2">
        <v>19703221</v>
      </c>
      <c r="BO841" s="2" t="s">
        <v>74</v>
      </c>
      <c r="BP841" s="2" t="s">
        <v>74</v>
      </c>
      <c r="BQ841" s="2" t="s">
        <v>74</v>
      </c>
      <c r="BR841" s="2" t="s">
        <v>74</v>
      </c>
      <c r="BS841" s="2" t="s">
        <v>966</v>
      </c>
      <c r="BT841" s="2" t="str">
        <f>HYPERLINK("https%3A%2F%2Fwww.webofscience.com%2Fwos%2Fwoscc%2Ffull-record%2FWOS:000273821700003","View Full Record in Web of Science")</f>
        <v>View Full Record in Web of Science</v>
      </c>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row>
    <row r="842" spans="1:314" s="2" customFormat="1" x14ac:dyDescent="0.4">
      <c r="A842" s="2" t="s">
        <v>72</v>
      </c>
      <c r="B842" s="2" t="s">
        <v>8297</v>
      </c>
      <c r="C842" s="2" t="s">
        <v>74</v>
      </c>
      <c r="D842" s="2" t="s">
        <v>74</v>
      </c>
      <c r="E842" s="2" t="s">
        <v>74</v>
      </c>
      <c r="F842" s="2" t="s">
        <v>8298</v>
      </c>
      <c r="G842" s="2" t="s">
        <v>74</v>
      </c>
      <c r="H842" s="2" t="s">
        <v>74</v>
      </c>
      <c r="I842" s="2" t="s">
        <v>8299</v>
      </c>
      <c r="J842" s="2" t="s">
        <v>7393</v>
      </c>
      <c r="K842" s="2" t="s">
        <v>74</v>
      </c>
      <c r="L842" s="2" t="s">
        <v>74</v>
      </c>
      <c r="M842" s="2" t="s">
        <v>74</v>
      </c>
      <c r="N842" s="2" t="s">
        <v>74</v>
      </c>
      <c r="O842" s="2" t="s">
        <v>74</v>
      </c>
      <c r="P842" s="2" t="s">
        <v>74</v>
      </c>
      <c r="Q842" s="2" t="s">
        <v>74</v>
      </c>
      <c r="R842" s="2" t="s">
        <v>74</v>
      </c>
      <c r="S842" s="2" t="s">
        <v>74</v>
      </c>
      <c r="T842" s="2" t="s">
        <v>74</v>
      </c>
      <c r="U842" s="2" t="s">
        <v>74</v>
      </c>
      <c r="V842" s="5" t="s">
        <v>8300</v>
      </c>
      <c r="W842" s="2" t="s">
        <v>74</v>
      </c>
      <c r="X842" s="2" t="s">
        <v>74</v>
      </c>
      <c r="Y842" s="2" t="s">
        <v>74</v>
      </c>
      <c r="Z842" s="2" t="s">
        <v>74</v>
      </c>
      <c r="AA842" s="2" t="s">
        <v>8301</v>
      </c>
      <c r="AB842" s="2" t="s">
        <v>8302</v>
      </c>
      <c r="AC842" s="2" t="s">
        <v>74</v>
      </c>
      <c r="AD842" s="2" t="s">
        <v>74</v>
      </c>
      <c r="AE842" s="2" t="s">
        <v>74</v>
      </c>
      <c r="AF842" s="2" t="s">
        <v>74</v>
      </c>
      <c r="AG842" s="2" t="s">
        <v>74</v>
      </c>
      <c r="AH842" s="2" t="s">
        <v>74</v>
      </c>
      <c r="AI842" s="2" t="s">
        <v>74</v>
      </c>
      <c r="AJ842" s="2" t="s">
        <v>74</v>
      </c>
      <c r="AK842" s="2" t="s">
        <v>74</v>
      </c>
      <c r="AL842" s="2" t="s">
        <v>74</v>
      </c>
      <c r="AM842" s="2" t="s">
        <v>74</v>
      </c>
      <c r="AN842" s="2" t="s">
        <v>74</v>
      </c>
      <c r="AO842" s="2" t="s">
        <v>7397</v>
      </c>
      <c r="AP842" s="2" t="s">
        <v>7398</v>
      </c>
      <c r="AQ842" s="2" t="s">
        <v>74</v>
      </c>
      <c r="AR842" s="2" t="s">
        <v>74</v>
      </c>
      <c r="AS842" s="2" t="s">
        <v>74</v>
      </c>
      <c r="AT842" s="2" t="s">
        <v>964</v>
      </c>
      <c r="AU842" s="2">
        <v>2021</v>
      </c>
      <c r="AV842" s="2">
        <v>109</v>
      </c>
      <c r="AW842" s="2">
        <v>2</v>
      </c>
      <c r="AX842" s="2" t="s">
        <v>74</v>
      </c>
      <c r="AY842" s="2" t="s">
        <v>74</v>
      </c>
      <c r="AZ842" s="2" t="s">
        <v>74</v>
      </c>
      <c r="BA842" s="2" t="s">
        <v>74</v>
      </c>
      <c r="BB842" s="2">
        <v>939</v>
      </c>
      <c r="BC842" s="2">
        <v>951</v>
      </c>
      <c r="BD842" s="2" t="s">
        <v>74</v>
      </c>
      <c r="BE842" s="2" t="s">
        <v>8303</v>
      </c>
      <c r="BF842" s="2" t="str">
        <f>HYPERLINK("http://dx.doi.org/10.1111/1365-2745.13520","http://dx.doi.org/10.1111/1365-2745.13520")</f>
        <v>http://dx.doi.org/10.1111/1365-2745.13520</v>
      </c>
      <c r="BG842" s="2" t="s">
        <v>74</v>
      </c>
      <c r="BH842" s="2" t="s">
        <v>8304</v>
      </c>
      <c r="BI842" s="2" t="s">
        <v>74</v>
      </c>
      <c r="BJ842" s="2" t="s">
        <v>74</v>
      </c>
      <c r="BK842" s="2" t="s">
        <v>74</v>
      </c>
      <c r="BL842" s="2" t="s">
        <v>74</v>
      </c>
      <c r="BM842" s="2" t="s">
        <v>74</v>
      </c>
      <c r="BN842" s="2" t="s">
        <v>74</v>
      </c>
      <c r="BO842" s="2" t="s">
        <v>74</v>
      </c>
      <c r="BP842" s="2" t="s">
        <v>74</v>
      </c>
      <c r="BQ842" s="2" t="s">
        <v>74</v>
      </c>
      <c r="BR842" s="2" t="s">
        <v>74</v>
      </c>
      <c r="BS842" s="2" t="s">
        <v>8305</v>
      </c>
      <c r="BT842" s="2" t="str">
        <f>HYPERLINK("https%3A%2F%2Fwww.webofscience.com%2Fwos%2Fwoscc%2Ffull-record%2FWOS:000583496000001","View Full Record in Web of Science")</f>
        <v>View Full Record in Web of Science</v>
      </c>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row>
    <row r="843" spans="1:314" s="2" customFormat="1" x14ac:dyDescent="0.4">
      <c r="A843" s="2" t="s">
        <v>72</v>
      </c>
      <c r="B843" s="2" t="s">
        <v>8512</v>
      </c>
      <c r="C843" s="2" t="s">
        <v>74</v>
      </c>
      <c r="D843" s="2" t="s">
        <v>74</v>
      </c>
      <c r="E843" s="2" t="s">
        <v>74</v>
      </c>
      <c r="F843" s="2" t="s">
        <v>8512</v>
      </c>
      <c r="G843" s="2" t="s">
        <v>74</v>
      </c>
      <c r="H843" s="2" t="s">
        <v>74</v>
      </c>
      <c r="I843" s="2" t="s">
        <v>8513</v>
      </c>
      <c r="J843" s="2" t="s">
        <v>140</v>
      </c>
      <c r="K843" s="2" t="s">
        <v>74</v>
      </c>
      <c r="L843" s="2" t="s">
        <v>74</v>
      </c>
      <c r="M843" s="2" t="s">
        <v>74</v>
      </c>
      <c r="N843" s="2" t="s">
        <v>74</v>
      </c>
      <c r="O843" s="2" t="s">
        <v>74</v>
      </c>
      <c r="P843" s="2" t="s">
        <v>74</v>
      </c>
      <c r="Q843" s="2" t="s">
        <v>74</v>
      </c>
      <c r="R843" s="2" t="s">
        <v>74</v>
      </c>
      <c r="S843" s="2" t="s">
        <v>74</v>
      </c>
      <c r="T843" s="2" t="s">
        <v>74</v>
      </c>
      <c r="U843" s="2" t="s">
        <v>74</v>
      </c>
      <c r="V843" s="5" t="s">
        <v>8514</v>
      </c>
      <c r="W843" s="2" t="s">
        <v>74</v>
      </c>
      <c r="X843" s="2" t="s">
        <v>74</v>
      </c>
      <c r="Y843" s="2" t="s">
        <v>74</v>
      </c>
      <c r="Z843" s="2" t="s">
        <v>74</v>
      </c>
      <c r="AA843" s="2" t="s">
        <v>74</v>
      </c>
      <c r="AB843" s="2" t="s">
        <v>8515</v>
      </c>
      <c r="AC843" s="2" t="s">
        <v>74</v>
      </c>
      <c r="AD843" s="2" t="s">
        <v>74</v>
      </c>
      <c r="AE843" s="2" t="s">
        <v>74</v>
      </c>
      <c r="AF843" s="2" t="s">
        <v>74</v>
      </c>
      <c r="AG843" s="2" t="s">
        <v>74</v>
      </c>
      <c r="AH843" s="2" t="s">
        <v>74</v>
      </c>
      <c r="AI843" s="2" t="s">
        <v>74</v>
      </c>
      <c r="AJ843" s="2" t="s">
        <v>74</v>
      </c>
      <c r="AK843" s="2" t="s">
        <v>74</v>
      </c>
      <c r="AL843" s="2" t="s">
        <v>74</v>
      </c>
      <c r="AM843" s="2" t="s">
        <v>74</v>
      </c>
      <c r="AN843" s="2" t="s">
        <v>74</v>
      </c>
      <c r="AO843" s="2" t="s">
        <v>143</v>
      </c>
      <c r="AP843" s="2" t="s">
        <v>144</v>
      </c>
      <c r="AQ843" s="2" t="s">
        <v>74</v>
      </c>
      <c r="AR843" s="2" t="s">
        <v>74</v>
      </c>
      <c r="AS843" s="2" t="s">
        <v>74</v>
      </c>
      <c r="AT843" s="2" t="s">
        <v>175</v>
      </c>
      <c r="AU843" s="2">
        <v>1997</v>
      </c>
      <c r="AV843" s="2">
        <v>54</v>
      </c>
      <c r="AW843" s="2" t="s">
        <v>74</v>
      </c>
      <c r="AX843" s="2">
        <v>4</v>
      </c>
      <c r="AY843" s="2" t="s">
        <v>74</v>
      </c>
      <c r="AZ843" s="2" t="s">
        <v>74</v>
      </c>
      <c r="BA843" s="2" t="s">
        <v>74</v>
      </c>
      <c r="BB843" s="2">
        <v>893</v>
      </c>
      <c r="BC843" s="2">
        <v>899</v>
      </c>
      <c r="BD843" s="2" t="s">
        <v>74</v>
      </c>
      <c r="BE843" s="2" t="s">
        <v>8516</v>
      </c>
      <c r="BF843" s="2" t="str">
        <f>HYPERLINK("http://dx.doi.org/10.1006/anbe.1997.0514","http://dx.doi.org/10.1006/anbe.1997.0514")</f>
        <v>http://dx.doi.org/10.1006/anbe.1997.0514</v>
      </c>
      <c r="BG843" s="2" t="s">
        <v>74</v>
      </c>
      <c r="BH843" s="2" t="s">
        <v>74</v>
      </c>
      <c r="BI843" s="2" t="s">
        <v>74</v>
      </c>
      <c r="BJ843" s="2" t="s">
        <v>74</v>
      </c>
      <c r="BK843" s="2" t="s">
        <v>74</v>
      </c>
      <c r="BL843" s="2" t="s">
        <v>74</v>
      </c>
      <c r="BM843" s="2" t="s">
        <v>74</v>
      </c>
      <c r="BN843" s="2">
        <v>9344442</v>
      </c>
      <c r="BO843" s="2" t="s">
        <v>74</v>
      </c>
      <c r="BP843" s="2" t="s">
        <v>74</v>
      </c>
      <c r="BQ843" s="2" t="s">
        <v>74</v>
      </c>
      <c r="BR843" s="2" t="s">
        <v>74</v>
      </c>
      <c r="BS843" s="2" t="s">
        <v>8517</v>
      </c>
      <c r="BT843" s="2" t="str">
        <f>HYPERLINK("https%3A%2F%2Fwww.webofscience.com%2Fwos%2Fwoscc%2Ffull-record%2FWOS:A1997YE30600013","View Full Record in Web of Science")</f>
        <v>View Full Record in Web of Science</v>
      </c>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row>
    <row r="844" spans="1:314" s="2" customFormat="1" x14ac:dyDescent="0.4">
      <c r="A844" s="2" t="s">
        <v>72</v>
      </c>
      <c r="B844" s="2" t="s">
        <v>4053</v>
      </c>
      <c r="C844" s="2" t="s">
        <v>74</v>
      </c>
      <c r="D844" s="2" t="s">
        <v>74</v>
      </c>
      <c r="E844" s="2" t="s">
        <v>74</v>
      </c>
      <c r="F844" s="2" t="s">
        <v>4054</v>
      </c>
      <c r="G844" s="2" t="s">
        <v>74</v>
      </c>
      <c r="H844" s="2" t="s">
        <v>74</v>
      </c>
      <c r="I844" s="2" t="s">
        <v>4055</v>
      </c>
      <c r="J844" s="2" t="s">
        <v>3190</v>
      </c>
      <c r="K844" s="2" t="s">
        <v>74</v>
      </c>
      <c r="L844" s="2" t="s">
        <v>74</v>
      </c>
      <c r="M844" s="2" t="s">
        <v>74</v>
      </c>
      <c r="N844" s="2" t="s">
        <v>74</v>
      </c>
      <c r="O844" s="2" t="s">
        <v>74</v>
      </c>
      <c r="P844" s="2" t="s">
        <v>74</v>
      </c>
      <c r="Q844" s="2" t="s">
        <v>74</v>
      </c>
      <c r="R844" s="2" t="s">
        <v>74</v>
      </c>
      <c r="S844" s="2" t="s">
        <v>74</v>
      </c>
      <c r="T844" s="2" t="s">
        <v>74</v>
      </c>
      <c r="U844" s="2" t="s">
        <v>74</v>
      </c>
      <c r="V844" s="5" t="s">
        <v>4056</v>
      </c>
      <c r="W844" s="2" t="s">
        <v>74</v>
      </c>
      <c r="X844" s="2" t="s">
        <v>74</v>
      </c>
      <c r="Y844" s="2" t="s">
        <v>74</v>
      </c>
      <c r="Z844" s="2" t="s">
        <v>74</v>
      </c>
      <c r="AA844" s="2" t="s">
        <v>4057</v>
      </c>
      <c r="AB844" s="2" t="s">
        <v>4058</v>
      </c>
      <c r="AC844" s="2" t="s">
        <v>74</v>
      </c>
      <c r="AD844" s="2" t="s">
        <v>74</v>
      </c>
      <c r="AE844" s="2" t="s">
        <v>74</v>
      </c>
      <c r="AF844" s="2" t="s">
        <v>74</v>
      </c>
      <c r="AG844" s="2" t="s">
        <v>74</v>
      </c>
      <c r="AH844" s="2" t="s">
        <v>74</v>
      </c>
      <c r="AI844" s="2" t="s">
        <v>74</v>
      </c>
      <c r="AJ844" s="2" t="s">
        <v>74</v>
      </c>
      <c r="AK844" s="2" t="s">
        <v>74</v>
      </c>
      <c r="AL844" s="2" t="s">
        <v>74</v>
      </c>
      <c r="AM844" s="2" t="s">
        <v>74</v>
      </c>
      <c r="AN844" s="2" t="s">
        <v>74</v>
      </c>
      <c r="AO844" s="2" t="s">
        <v>3193</v>
      </c>
      <c r="AP844" s="2" t="s">
        <v>3194</v>
      </c>
      <c r="AQ844" s="2" t="s">
        <v>74</v>
      </c>
      <c r="AR844" s="2" t="s">
        <v>74</v>
      </c>
      <c r="AS844" s="2" t="s">
        <v>74</v>
      </c>
      <c r="AT844" s="2" t="s">
        <v>213</v>
      </c>
      <c r="AU844" s="2">
        <v>2016</v>
      </c>
      <c r="AV844" s="2">
        <v>45</v>
      </c>
      <c r="AW844" s="2">
        <v>6</v>
      </c>
      <c r="AX844" s="2" t="s">
        <v>74</v>
      </c>
      <c r="AY844" s="2" t="s">
        <v>74</v>
      </c>
      <c r="AZ844" s="2" t="s">
        <v>74</v>
      </c>
      <c r="BA844" s="2" t="s">
        <v>74</v>
      </c>
      <c r="BB844" s="2">
        <v>509</v>
      </c>
      <c r="BC844" s="2">
        <v>518</v>
      </c>
      <c r="BD844" s="2" t="s">
        <v>74</v>
      </c>
      <c r="BE844" s="2" t="s">
        <v>4059</v>
      </c>
      <c r="BF844" s="2" t="str">
        <f>HYPERLINK("http://dx.doi.org/10.1016/j.asd.2016.10.008","http://dx.doi.org/10.1016/j.asd.2016.10.008")</f>
        <v>http://dx.doi.org/10.1016/j.asd.2016.10.008</v>
      </c>
      <c r="BG844" s="2" t="s">
        <v>74</v>
      </c>
      <c r="BH844" s="2" t="s">
        <v>74</v>
      </c>
      <c r="BI844" s="2" t="s">
        <v>74</v>
      </c>
      <c r="BJ844" s="2" t="s">
        <v>74</v>
      </c>
      <c r="BK844" s="2" t="s">
        <v>74</v>
      </c>
      <c r="BL844" s="2" t="s">
        <v>74</v>
      </c>
      <c r="BM844" s="2" t="s">
        <v>74</v>
      </c>
      <c r="BN844" s="2">
        <v>27725254</v>
      </c>
      <c r="BO844" s="2" t="s">
        <v>74</v>
      </c>
      <c r="BP844" s="2" t="s">
        <v>74</v>
      </c>
      <c r="BQ844" s="2" t="s">
        <v>74</v>
      </c>
      <c r="BR844" s="2" t="s">
        <v>74</v>
      </c>
      <c r="BS844" s="2" t="s">
        <v>4060</v>
      </c>
      <c r="BT844" s="2" t="str">
        <f>HYPERLINK("https%3A%2F%2Fwww.webofscience.com%2Fwos%2Fwoscc%2Ffull-record%2FWOS:000389092000001","View Full Record in Web of Science")</f>
        <v>View Full Record in Web of Science</v>
      </c>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row>
    <row r="845" spans="1:314" s="2" customFormat="1" x14ac:dyDescent="0.4">
      <c r="A845" s="2" t="s">
        <v>72</v>
      </c>
      <c r="B845" s="2" t="s">
        <v>2001</v>
      </c>
      <c r="C845" s="2" t="s">
        <v>74</v>
      </c>
      <c r="D845" s="2" t="s">
        <v>74</v>
      </c>
      <c r="E845" s="2" t="s">
        <v>74</v>
      </c>
      <c r="F845" s="2" t="s">
        <v>2002</v>
      </c>
      <c r="G845" s="2" t="s">
        <v>74</v>
      </c>
      <c r="H845" s="2" t="s">
        <v>74</v>
      </c>
      <c r="I845" s="2" t="s">
        <v>2003</v>
      </c>
      <c r="J845" s="2" t="s">
        <v>610</v>
      </c>
      <c r="K845" s="2" t="s">
        <v>74</v>
      </c>
      <c r="L845" s="2" t="s">
        <v>74</v>
      </c>
      <c r="M845" s="2" t="s">
        <v>74</v>
      </c>
      <c r="N845" s="2" t="s">
        <v>74</v>
      </c>
      <c r="O845" s="2" t="s">
        <v>74</v>
      </c>
      <c r="P845" s="2" t="s">
        <v>74</v>
      </c>
      <c r="Q845" s="2" t="s">
        <v>74</v>
      </c>
      <c r="R845" s="2" t="s">
        <v>74</v>
      </c>
      <c r="S845" s="2" t="s">
        <v>74</v>
      </c>
      <c r="T845" s="2" t="s">
        <v>74</v>
      </c>
      <c r="U845" s="2" t="s">
        <v>74</v>
      </c>
      <c r="V845" s="5" t="s">
        <v>2004</v>
      </c>
      <c r="W845" s="2" t="s">
        <v>74</v>
      </c>
      <c r="X845" s="2" t="s">
        <v>74</v>
      </c>
      <c r="Y845" s="2" t="s">
        <v>74</v>
      </c>
      <c r="Z845" s="2" t="s">
        <v>74</v>
      </c>
      <c r="AA845" s="2" t="s">
        <v>74</v>
      </c>
      <c r="AB845" s="2" t="s">
        <v>90</v>
      </c>
      <c r="AC845" s="2" t="s">
        <v>74</v>
      </c>
      <c r="AD845" s="2" t="s">
        <v>74</v>
      </c>
      <c r="AE845" s="2" t="s">
        <v>74</v>
      </c>
      <c r="AF845" s="2" t="s">
        <v>74</v>
      </c>
      <c r="AG845" s="2" t="s">
        <v>74</v>
      </c>
      <c r="AH845" s="2" t="s">
        <v>74</v>
      </c>
      <c r="AI845" s="2" t="s">
        <v>74</v>
      </c>
      <c r="AJ845" s="2" t="s">
        <v>74</v>
      </c>
      <c r="AK845" s="2" t="s">
        <v>74</v>
      </c>
      <c r="AL845" s="2" t="s">
        <v>74</v>
      </c>
      <c r="AM845" s="2" t="s">
        <v>74</v>
      </c>
      <c r="AN845" s="2" t="s">
        <v>74</v>
      </c>
      <c r="AO845" s="2" t="s">
        <v>614</v>
      </c>
      <c r="AP845" s="2" t="s">
        <v>615</v>
      </c>
      <c r="AQ845" s="2" t="s">
        <v>74</v>
      </c>
      <c r="AR845" s="2" t="s">
        <v>74</v>
      </c>
      <c r="AS845" s="2" t="s">
        <v>74</v>
      </c>
      <c r="AT845" s="2" t="s">
        <v>102</v>
      </c>
      <c r="AU845" s="2">
        <v>2022</v>
      </c>
      <c r="AV845" s="2">
        <v>128</v>
      </c>
      <c r="AW845" s="2">
        <v>6</v>
      </c>
      <c r="AX845" s="2" t="s">
        <v>74</v>
      </c>
      <c r="AY845" s="2" t="s">
        <v>74</v>
      </c>
      <c r="AZ845" s="2" t="s">
        <v>74</v>
      </c>
      <c r="BA845" s="2" t="s">
        <v>74</v>
      </c>
      <c r="BB845" s="2">
        <v>482</v>
      </c>
      <c r="BC845" s="2">
        <v>488</v>
      </c>
      <c r="BD845" s="2" t="s">
        <v>74</v>
      </c>
      <c r="BE845" s="2" t="s">
        <v>2005</v>
      </c>
      <c r="BF845" s="2" t="str">
        <f>HYPERLINK("http://dx.doi.org/10.1111/eth.13282","http://dx.doi.org/10.1111/eth.13282")</f>
        <v>http://dx.doi.org/10.1111/eth.13282</v>
      </c>
      <c r="BG845" s="2" t="s">
        <v>74</v>
      </c>
      <c r="BH845" s="2" t="s">
        <v>2006</v>
      </c>
      <c r="BI845" s="2" t="s">
        <v>74</v>
      </c>
      <c r="BJ845" s="2" t="s">
        <v>74</v>
      </c>
      <c r="BK845" s="2" t="s">
        <v>74</v>
      </c>
      <c r="BL845" s="2" t="s">
        <v>74</v>
      </c>
      <c r="BM845" s="2" t="s">
        <v>74</v>
      </c>
      <c r="BN845" s="2" t="s">
        <v>74</v>
      </c>
      <c r="BO845" s="2" t="s">
        <v>74</v>
      </c>
      <c r="BP845" s="2" t="s">
        <v>74</v>
      </c>
      <c r="BQ845" s="2" t="s">
        <v>74</v>
      </c>
      <c r="BR845" s="2" t="s">
        <v>74</v>
      </c>
      <c r="BS845" s="2" t="s">
        <v>2007</v>
      </c>
      <c r="BT845" s="2" t="str">
        <f>HYPERLINK("https%3A%2F%2Fwww.webofscience.com%2Fwos%2Fwoscc%2Ffull-record%2FWOS:000781080500001","View Full Record in Web of Science")</f>
        <v>View Full Record in Web of Science</v>
      </c>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row>
    <row r="846" spans="1:314" s="2" customFormat="1" x14ac:dyDescent="0.4">
      <c r="A846" s="2" t="s">
        <v>72</v>
      </c>
      <c r="B846" s="2" t="s">
        <v>1093</v>
      </c>
      <c r="C846" s="2" t="s">
        <v>74</v>
      </c>
      <c r="D846" s="2" t="s">
        <v>74</v>
      </c>
      <c r="E846" s="2" t="s">
        <v>74</v>
      </c>
      <c r="F846" s="2" t="s">
        <v>1094</v>
      </c>
      <c r="G846" s="2" t="s">
        <v>74</v>
      </c>
      <c r="H846" s="2" t="s">
        <v>74</v>
      </c>
      <c r="I846" s="2" t="s">
        <v>1095</v>
      </c>
      <c r="J846" s="2" t="s">
        <v>1096</v>
      </c>
      <c r="K846" s="2" t="s">
        <v>74</v>
      </c>
      <c r="L846" s="2" t="s">
        <v>74</v>
      </c>
      <c r="M846" s="2" t="s">
        <v>74</v>
      </c>
      <c r="N846" s="2" t="s">
        <v>74</v>
      </c>
      <c r="O846" s="2" t="s">
        <v>74</v>
      </c>
      <c r="P846" s="2" t="s">
        <v>74</v>
      </c>
      <c r="Q846" s="2" t="s">
        <v>74</v>
      </c>
      <c r="R846" s="2" t="s">
        <v>74</v>
      </c>
      <c r="S846" s="2" t="s">
        <v>74</v>
      </c>
      <c r="T846" s="2" t="s">
        <v>74</v>
      </c>
      <c r="U846" s="2" t="s">
        <v>74</v>
      </c>
      <c r="V846" s="5" t="s">
        <v>1097</v>
      </c>
      <c r="W846" s="2" t="s">
        <v>74</v>
      </c>
      <c r="X846" s="2" t="s">
        <v>74</v>
      </c>
      <c r="Y846" s="2" t="s">
        <v>74</v>
      </c>
      <c r="Z846" s="2" t="s">
        <v>74</v>
      </c>
      <c r="AA846" s="2" t="s">
        <v>74</v>
      </c>
      <c r="AB846" s="2" t="s">
        <v>90</v>
      </c>
      <c r="AC846" s="2" t="s">
        <v>74</v>
      </c>
      <c r="AD846" s="2" t="s">
        <v>74</v>
      </c>
      <c r="AE846" s="2" t="s">
        <v>74</v>
      </c>
      <c r="AF846" s="2" t="s">
        <v>74</v>
      </c>
      <c r="AG846" s="2" t="s">
        <v>74</v>
      </c>
      <c r="AH846" s="2" t="s">
        <v>74</v>
      </c>
      <c r="AI846" s="2" t="s">
        <v>74</v>
      </c>
      <c r="AJ846" s="2" t="s">
        <v>74</v>
      </c>
      <c r="AK846" s="2" t="s">
        <v>74</v>
      </c>
      <c r="AL846" s="2" t="s">
        <v>74</v>
      </c>
      <c r="AM846" s="2" t="s">
        <v>74</v>
      </c>
      <c r="AN846" s="2" t="s">
        <v>74</v>
      </c>
      <c r="AO846" s="2" t="s">
        <v>1098</v>
      </c>
      <c r="AP846" s="2" t="s">
        <v>1099</v>
      </c>
      <c r="AQ846" s="2" t="s">
        <v>74</v>
      </c>
      <c r="AR846" s="2" t="s">
        <v>74</v>
      </c>
      <c r="AS846" s="2" t="s">
        <v>74</v>
      </c>
      <c r="AT846" s="2" t="s">
        <v>255</v>
      </c>
      <c r="AU846" s="2">
        <v>2012</v>
      </c>
      <c r="AV846" s="2">
        <v>21</v>
      </c>
      <c r="AW846" s="2">
        <v>1</v>
      </c>
      <c r="AX846" s="2" t="s">
        <v>74</v>
      </c>
      <c r="AY846" s="2" t="s">
        <v>74</v>
      </c>
      <c r="AZ846" s="2" t="s">
        <v>74</v>
      </c>
      <c r="BA846" s="2" t="s">
        <v>74</v>
      </c>
      <c r="BB846" s="2">
        <v>34</v>
      </c>
      <c r="BC846" s="2">
        <v>41</v>
      </c>
      <c r="BD846" s="2" t="s">
        <v>74</v>
      </c>
      <c r="BE846" s="2" t="s">
        <v>1100</v>
      </c>
      <c r="BF846" s="2" t="str">
        <f>HYPERLINK("http://dx.doi.org/10.1111/j.1600-0633.2011.00520.x","http://dx.doi.org/10.1111/j.1600-0633.2011.00520.x")</f>
        <v>http://dx.doi.org/10.1111/j.1600-0633.2011.00520.x</v>
      </c>
      <c r="BG846" s="2" t="s">
        <v>74</v>
      </c>
      <c r="BH846" s="2" t="s">
        <v>74</v>
      </c>
      <c r="BI846" s="2" t="s">
        <v>74</v>
      </c>
      <c r="BJ846" s="2" t="s">
        <v>74</v>
      </c>
      <c r="BK846" s="2" t="s">
        <v>74</v>
      </c>
      <c r="BL846" s="2" t="s">
        <v>74</v>
      </c>
      <c r="BM846" s="2" t="s">
        <v>74</v>
      </c>
      <c r="BN846" s="2" t="s">
        <v>74</v>
      </c>
      <c r="BO846" s="2" t="s">
        <v>74</v>
      </c>
      <c r="BP846" s="2" t="s">
        <v>74</v>
      </c>
      <c r="BQ846" s="2" t="s">
        <v>74</v>
      </c>
      <c r="BR846" s="2" t="s">
        <v>74</v>
      </c>
      <c r="BS846" s="2" t="s">
        <v>1101</v>
      </c>
      <c r="BT846" s="2" t="str">
        <f>HYPERLINK("https%3A%2F%2Fwww.webofscience.com%2Fwos%2Fwoscc%2Ffull-record%2FWOS:000297634700004","View Full Record in Web of Science")</f>
        <v>View Full Record in Web of Science</v>
      </c>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row>
    <row r="847" spans="1:314" s="2" customFormat="1" x14ac:dyDescent="0.4">
      <c r="A847" s="2" t="s">
        <v>72</v>
      </c>
      <c r="B847" s="2" t="s">
        <v>85</v>
      </c>
      <c r="C847" s="2" t="s">
        <v>74</v>
      </c>
      <c r="D847" s="2" t="s">
        <v>74</v>
      </c>
      <c r="E847" s="2" t="s">
        <v>74</v>
      </c>
      <c r="F847" s="2" t="s">
        <v>86</v>
      </c>
      <c r="G847" s="2" t="s">
        <v>74</v>
      </c>
      <c r="H847" s="2" t="s">
        <v>74</v>
      </c>
      <c r="I847" s="2" t="s">
        <v>87</v>
      </c>
      <c r="J847" s="2" t="s">
        <v>88</v>
      </c>
      <c r="K847" s="2" t="s">
        <v>74</v>
      </c>
      <c r="L847" s="2" t="s">
        <v>74</v>
      </c>
      <c r="M847" s="2" t="s">
        <v>74</v>
      </c>
      <c r="N847" s="2" t="s">
        <v>74</v>
      </c>
      <c r="O847" s="2" t="s">
        <v>74</v>
      </c>
      <c r="P847" s="2" t="s">
        <v>74</v>
      </c>
      <c r="Q847" s="2" t="s">
        <v>74</v>
      </c>
      <c r="R847" s="2" t="s">
        <v>74</v>
      </c>
      <c r="S847" s="2" t="s">
        <v>74</v>
      </c>
      <c r="T847" s="2" t="s">
        <v>74</v>
      </c>
      <c r="U847" s="2" t="s">
        <v>74</v>
      </c>
      <c r="V847" s="5" t="s">
        <v>89</v>
      </c>
      <c r="W847" s="2" t="s">
        <v>74</v>
      </c>
      <c r="X847" s="2" t="s">
        <v>74</v>
      </c>
      <c r="Y847" s="2" t="s">
        <v>74</v>
      </c>
      <c r="Z847" s="2" t="s">
        <v>74</v>
      </c>
      <c r="AA847" s="2" t="s">
        <v>74</v>
      </c>
      <c r="AB847" s="2" t="s">
        <v>90</v>
      </c>
      <c r="AC847" s="2" t="s">
        <v>74</v>
      </c>
      <c r="AD847" s="2" t="s">
        <v>74</v>
      </c>
      <c r="AE847" s="2" t="s">
        <v>74</v>
      </c>
      <c r="AF847" s="2" t="s">
        <v>74</v>
      </c>
      <c r="AG847" s="2" t="s">
        <v>74</v>
      </c>
      <c r="AH847" s="2" t="s">
        <v>74</v>
      </c>
      <c r="AI847" s="2" t="s">
        <v>74</v>
      </c>
      <c r="AJ847" s="2" t="s">
        <v>74</v>
      </c>
      <c r="AK847" s="2" t="s">
        <v>74</v>
      </c>
      <c r="AL847" s="2" t="s">
        <v>74</v>
      </c>
      <c r="AM847" s="2" t="s">
        <v>74</v>
      </c>
      <c r="AN847" s="2" t="s">
        <v>74</v>
      </c>
      <c r="AO847" s="2" t="s">
        <v>91</v>
      </c>
      <c r="AP847" s="2" t="s">
        <v>92</v>
      </c>
      <c r="AQ847" s="2" t="s">
        <v>74</v>
      </c>
      <c r="AR847" s="2" t="s">
        <v>74</v>
      </c>
      <c r="AS847" s="2" t="s">
        <v>74</v>
      </c>
      <c r="AT847" s="2" t="s">
        <v>93</v>
      </c>
      <c r="AU847" s="2">
        <v>2008</v>
      </c>
      <c r="AV847" s="2">
        <v>4</v>
      </c>
      <c r="AW847" s="2">
        <v>2</v>
      </c>
      <c r="AX847" s="2" t="s">
        <v>74</v>
      </c>
      <c r="AY847" s="2" t="s">
        <v>74</v>
      </c>
      <c r="AZ847" s="2" t="s">
        <v>74</v>
      </c>
      <c r="BA847" s="2" t="s">
        <v>74</v>
      </c>
      <c r="BB847" s="2">
        <v>156</v>
      </c>
      <c r="BC847" s="2">
        <v>159</v>
      </c>
      <c r="BD847" s="2" t="s">
        <v>74</v>
      </c>
      <c r="BE847" s="2" t="s">
        <v>94</v>
      </c>
      <c r="BF847" s="2" t="str">
        <f>HYPERLINK("http://dx.doi.org/10.1098/rsbl.2007.0581","http://dx.doi.org/10.1098/rsbl.2007.0581")</f>
        <v>http://dx.doi.org/10.1098/rsbl.2007.0581</v>
      </c>
      <c r="BG847" s="2" t="s">
        <v>74</v>
      </c>
      <c r="BH847" s="2" t="s">
        <v>74</v>
      </c>
      <c r="BI847" s="2" t="s">
        <v>74</v>
      </c>
      <c r="BJ847" s="2" t="s">
        <v>74</v>
      </c>
      <c r="BK847" s="2" t="s">
        <v>74</v>
      </c>
      <c r="BL847" s="2" t="s">
        <v>74</v>
      </c>
      <c r="BM847" s="2" t="s">
        <v>74</v>
      </c>
      <c r="BN847" s="2">
        <v>18230585</v>
      </c>
      <c r="BO847" s="2" t="s">
        <v>74</v>
      </c>
      <c r="BP847" s="2" t="s">
        <v>74</v>
      </c>
      <c r="BQ847" s="2" t="s">
        <v>74</v>
      </c>
      <c r="BR847" s="2" t="s">
        <v>74</v>
      </c>
      <c r="BS847" s="2" t="s">
        <v>95</v>
      </c>
      <c r="BT847" s="2" t="str">
        <f>HYPERLINK("https%3A%2F%2Fwww.webofscience.com%2Fwos%2Fwoscc%2Ffull-record%2FWOS:000254353200005","View Full Record in Web of Science")</f>
        <v>View Full Record in Web of Science</v>
      </c>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row>
    <row r="848" spans="1:314" s="2" customFormat="1" x14ac:dyDescent="0.4">
      <c r="A848" s="2" t="s">
        <v>72</v>
      </c>
      <c r="B848" s="2" t="s">
        <v>428</v>
      </c>
      <c r="C848" s="2" t="s">
        <v>74</v>
      </c>
      <c r="D848" s="2" t="s">
        <v>74</v>
      </c>
      <c r="E848" s="2" t="s">
        <v>74</v>
      </c>
      <c r="F848" s="2" t="s">
        <v>429</v>
      </c>
      <c r="G848" s="2" t="s">
        <v>74</v>
      </c>
      <c r="H848" s="2" t="s">
        <v>74</v>
      </c>
      <c r="I848" s="2" t="s">
        <v>430</v>
      </c>
      <c r="J848" s="2" t="s">
        <v>431</v>
      </c>
      <c r="K848" s="2" t="s">
        <v>74</v>
      </c>
      <c r="L848" s="2" t="s">
        <v>74</v>
      </c>
      <c r="M848" s="2" t="s">
        <v>74</v>
      </c>
      <c r="N848" s="2" t="s">
        <v>74</v>
      </c>
      <c r="O848" s="2" t="s">
        <v>74</v>
      </c>
      <c r="P848" s="2" t="s">
        <v>74</v>
      </c>
      <c r="Q848" s="2" t="s">
        <v>74</v>
      </c>
      <c r="R848" s="2" t="s">
        <v>74</v>
      </c>
      <c r="S848" s="2" t="s">
        <v>74</v>
      </c>
      <c r="T848" s="2" t="s">
        <v>74</v>
      </c>
      <c r="U848" s="2" t="s">
        <v>74</v>
      </c>
      <c r="V848" s="5" t="s">
        <v>432</v>
      </c>
      <c r="W848" s="2" t="s">
        <v>74</v>
      </c>
      <c r="X848" s="2" t="s">
        <v>74</v>
      </c>
      <c r="Y848" s="2" t="s">
        <v>74</v>
      </c>
      <c r="Z848" s="2" t="s">
        <v>74</v>
      </c>
      <c r="AA848" s="2" t="s">
        <v>433</v>
      </c>
      <c r="AB848" s="2" t="s">
        <v>434</v>
      </c>
      <c r="AC848" s="2" t="s">
        <v>74</v>
      </c>
      <c r="AD848" s="2" t="s">
        <v>74</v>
      </c>
      <c r="AE848" s="2" t="s">
        <v>74</v>
      </c>
      <c r="AF848" s="2" t="s">
        <v>74</v>
      </c>
      <c r="AG848" s="2" t="s">
        <v>74</v>
      </c>
      <c r="AH848" s="2" t="s">
        <v>74</v>
      </c>
      <c r="AI848" s="2" t="s">
        <v>74</v>
      </c>
      <c r="AJ848" s="2" t="s">
        <v>74</v>
      </c>
      <c r="AK848" s="2" t="s">
        <v>74</v>
      </c>
      <c r="AL848" s="2" t="s">
        <v>74</v>
      </c>
      <c r="AM848" s="2" t="s">
        <v>74</v>
      </c>
      <c r="AN848" s="2" t="s">
        <v>74</v>
      </c>
      <c r="AO848" s="2" t="s">
        <v>74</v>
      </c>
      <c r="AP848" s="2" t="s">
        <v>435</v>
      </c>
      <c r="AQ848" s="2" t="s">
        <v>74</v>
      </c>
      <c r="AR848" s="2" t="s">
        <v>74</v>
      </c>
      <c r="AS848" s="2" t="s">
        <v>74</v>
      </c>
      <c r="AT848" s="2" t="s">
        <v>204</v>
      </c>
      <c r="AU848" s="2">
        <v>2011</v>
      </c>
      <c r="AV848" s="2">
        <v>128</v>
      </c>
      <c r="AW848" s="2">
        <v>3</v>
      </c>
      <c r="AX848" s="2" t="s">
        <v>74</v>
      </c>
      <c r="AY848" s="2" t="s">
        <v>74</v>
      </c>
      <c r="AZ848" s="2" t="s">
        <v>74</v>
      </c>
      <c r="BA848" s="2" t="s">
        <v>74</v>
      </c>
      <c r="BB848" s="2">
        <v>497</v>
      </c>
      <c r="BC848" s="2">
        <v>505</v>
      </c>
      <c r="BD848" s="2" t="s">
        <v>74</v>
      </c>
      <c r="BE848" s="2" t="s">
        <v>436</v>
      </c>
      <c r="BF848" s="2" t="str">
        <f>HYPERLINK("http://dx.doi.org/10.1525/auk.2011.11085","http://dx.doi.org/10.1525/auk.2011.11085")</f>
        <v>http://dx.doi.org/10.1525/auk.2011.11085</v>
      </c>
      <c r="BG848" s="2" t="s">
        <v>74</v>
      </c>
      <c r="BH848" s="2" t="s">
        <v>74</v>
      </c>
      <c r="BI848" s="2" t="s">
        <v>74</v>
      </c>
      <c r="BJ848" s="2" t="s">
        <v>74</v>
      </c>
      <c r="BK848" s="2" t="s">
        <v>74</v>
      </c>
      <c r="BL848" s="2" t="s">
        <v>74</v>
      </c>
      <c r="BM848" s="2" t="s">
        <v>74</v>
      </c>
      <c r="BN848" s="2" t="s">
        <v>74</v>
      </c>
      <c r="BO848" s="2" t="s">
        <v>74</v>
      </c>
      <c r="BP848" s="2" t="s">
        <v>74</v>
      </c>
      <c r="BQ848" s="2" t="s">
        <v>74</v>
      </c>
      <c r="BR848" s="2" t="s">
        <v>74</v>
      </c>
      <c r="BS848" s="2" t="s">
        <v>437</v>
      </c>
      <c r="BT848" s="2" t="str">
        <f>HYPERLINK("https%3A%2F%2Fwww.webofscience.com%2Fwos%2Fwoscc%2Ffull-record%2FWOS:000293307300007","View Full Record in Web of Science")</f>
        <v>View Full Record in Web of Science</v>
      </c>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row>
    <row r="849" spans="1:314" s="2" customFormat="1" x14ac:dyDescent="0.4">
      <c r="A849" s="2" t="s">
        <v>72</v>
      </c>
      <c r="B849" s="2" t="s">
        <v>7093</v>
      </c>
      <c r="C849" s="2" t="s">
        <v>74</v>
      </c>
      <c r="D849" s="2" t="s">
        <v>74</v>
      </c>
      <c r="E849" s="2" t="s">
        <v>74</v>
      </c>
      <c r="F849" s="2" t="s">
        <v>7093</v>
      </c>
      <c r="G849" s="2" t="s">
        <v>74</v>
      </c>
      <c r="H849" s="2" t="s">
        <v>74</v>
      </c>
      <c r="I849" s="2" t="s">
        <v>7094</v>
      </c>
      <c r="J849" s="2" t="s">
        <v>1526</v>
      </c>
      <c r="K849" s="2" t="s">
        <v>74</v>
      </c>
      <c r="L849" s="2" t="s">
        <v>74</v>
      </c>
      <c r="M849" s="2" t="s">
        <v>74</v>
      </c>
      <c r="N849" s="2" t="s">
        <v>74</v>
      </c>
      <c r="O849" s="2" t="s">
        <v>74</v>
      </c>
      <c r="P849" s="2" t="s">
        <v>74</v>
      </c>
      <c r="Q849" s="2" t="s">
        <v>74</v>
      </c>
      <c r="R849" s="2" t="s">
        <v>74</v>
      </c>
      <c r="S849" s="2" t="s">
        <v>74</v>
      </c>
      <c r="T849" s="2" t="s">
        <v>74</v>
      </c>
      <c r="U849" s="2" t="s">
        <v>74</v>
      </c>
      <c r="V849" s="5" t="s">
        <v>7095</v>
      </c>
      <c r="W849" s="2" t="s">
        <v>74</v>
      </c>
      <c r="X849" s="2" t="s">
        <v>74</v>
      </c>
      <c r="Y849" s="2" t="s">
        <v>74</v>
      </c>
      <c r="Z849" s="2" t="s">
        <v>74</v>
      </c>
      <c r="AA849" s="2" t="s">
        <v>74</v>
      </c>
      <c r="AB849" s="2" t="s">
        <v>74</v>
      </c>
      <c r="AC849" s="2" t="s">
        <v>74</v>
      </c>
      <c r="AD849" s="2" t="s">
        <v>74</v>
      </c>
      <c r="AE849" s="2" t="s">
        <v>74</v>
      </c>
      <c r="AF849" s="2" t="s">
        <v>74</v>
      </c>
      <c r="AG849" s="2" t="s">
        <v>74</v>
      </c>
      <c r="AH849" s="2" t="s">
        <v>74</v>
      </c>
      <c r="AI849" s="2" t="s">
        <v>74</v>
      </c>
      <c r="AJ849" s="2" t="s">
        <v>74</v>
      </c>
      <c r="AK849" s="2" t="s">
        <v>74</v>
      </c>
      <c r="AL849" s="2" t="s">
        <v>74</v>
      </c>
      <c r="AM849" s="2" t="s">
        <v>74</v>
      </c>
      <c r="AN849" s="2" t="s">
        <v>74</v>
      </c>
      <c r="AO849" s="2" t="s">
        <v>74</v>
      </c>
      <c r="AP849" s="2" t="s">
        <v>2131</v>
      </c>
      <c r="AQ849" s="2" t="s">
        <v>74</v>
      </c>
      <c r="AR849" s="2" t="s">
        <v>74</v>
      </c>
      <c r="AS849" s="2" t="s">
        <v>74</v>
      </c>
      <c r="AT849" s="2" t="s">
        <v>74</v>
      </c>
      <c r="AU849" s="2">
        <v>1979</v>
      </c>
      <c r="AV849" s="2">
        <v>81</v>
      </c>
      <c r="AW849" s="2">
        <v>3</v>
      </c>
      <c r="AX849" s="2" t="s">
        <v>74</v>
      </c>
      <c r="AY849" s="2" t="s">
        <v>74</v>
      </c>
      <c r="AZ849" s="2" t="s">
        <v>74</v>
      </c>
      <c r="BA849" s="2" t="s">
        <v>74</v>
      </c>
      <c r="BB849" s="2">
        <v>278</v>
      </c>
      <c r="BC849" s="2">
        <v>285</v>
      </c>
      <c r="BD849" s="2" t="s">
        <v>74</v>
      </c>
      <c r="BE849" s="2" t="s">
        <v>7096</v>
      </c>
      <c r="BF849" s="2" t="str">
        <f>HYPERLINK("http://dx.doi.org/10.2307/1367633","http://dx.doi.org/10.2307/1367633")</f>
        <v>http://dx.doi.org/10.2307/1367633</v>
      </c>
      <c r="BG849" s="2" t="s">
        <v>74</v>
      </c>
      <c r="BH849" s="2" t="s">
        <v>74</v>
      </c>
      <c r="BI849" s="2" t="s">
        <v>74</v>
      </c>
      <c r="BJ849" s="2" t="s">
        <v>74</v>
      </c>
      <c r="BK849" s="2" t="s">
        <v>74</v>
      </c>
      <c r="BL849" s="2" t="s">
        <v>74</v>
      </c>
      <c r="BM849" s="2" t="s">
        <v>74</v>
      </c>
      <c r="BN849" s="2" t="s">
        <v>74</v>
      </c>
      <c r="BO849" s="2" t="s">
        <v>74</v>
      </c>
      <c r="BP849" s="2" t="s">
        <v>74</v>
      </c>
      <c r="BQ849" s="2" t="s">
        <v>74</v>
      </c>
      <c r="BR849" s="2" t="s">
        <v>74</v>
      </c>
      <c r="BS849" s="2" t="s">
        <v>7097</v>
      </c>
      <c r="BT849" s="2" t="str">
        <f>HYPERLINK("https%3A%2F%2Fwww.webofscience.com%2Fwos%2Fwoscc%2Ffull-record%2FWOS:A1979HS58400009","View Full Record in Web of Science")</f>
        <v>View Full Record in Web of Science</v>
      </c>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row>
    <row r="850" spans="1:314" s="2" customFormat="1" x14ac:dyDescent="0.4">
      <c r="A850" s="2" t="s">
        <v>72</v>
      </c>
      <c r="B850" s="2" t="s">
        <v>7353</v>
      </c>
      <c r="C850" s="2" t="s">
        <v>74</v>
      </c>
      <c r="D850" s="2" t="s">
        <v>74</v>
      </c>
      <c r="E850" s="2" t="s">
        <v>74</v>
      </c>
      <c r="F850" s="2" t="s">
        <v>7354</v>
      </c>
      <c r="G850" s="2" t="s">
        <v>74</v>
      </c>
      <c r="H850" s="2" t="s">
        <v>74</v>
      </c>
      <c r="I850" s="2" t="s">
        <v>7355</v>
      </c>
      <c r="J850" s="2" t="s">
        <v>140</v>
      </c>
      <c r="K850" s="2" t="s">
        <v>74</v>
      </c>
      <c r="L850" s="2" t="s">
        <v>74</v>
      </c>
      <c r="M850" s="2" t="s">
        <v>74</v>
      </c>
      <c r="N850" s="2" t="s">
        <v>74</v>
      </c>
      <c r="O850" s="2" t="s">
        <v>74</v>
      </c>
      <c r="P850" s="2" t="s">
        <v>74</v>
      </c>
      <c r="Q850" s="2" t="s">
        <v>74</v>
      </c>
      <c r="R850" s="2" t="s">
        <v>74</v>
      </c>
      <c r="S850" s="2" t="s">
        <v>74</v>
      </c>
      <c r="T850" s="2" t="s">
        <v>74</v>
      </c>
      <c r="U850" s="2" t="s">
        <v>74</v>
      </c>
      <c r="V850" s="5" t="s">
        <v>7356</v>
      </c>
      <c r="W850" s="2" t="s">
        <v>74</v>
      </c>
      <c r="X850" s="2" t="s">
        <v>74</v>
      </c>
      <c r="Y850" s="2" t="s">
        <v>74</v>
      </c>
      <c r="Z850" s="2" t="s">
        <v>74</v>
      </c>
      <c r="AA850" s="2" t="s">
        <v>74</v>
      </c>
      <c r="AB850" s="2" t="s">
        <v>74</v>
      </c>
      <c r="AC850" s="2" t="s">
        <v>74</v>
      </c>
      <c r="AD850" s="2" t="s">
        <v>74</v>
      </c>
      <c r="AE850" s="2" t="s">
        <v>74</v>
      </c>
      <c r="AF850" s="2" t="s">
        <v>74</v>
      </c>
      <c r="AG850" s="2" t="s">
        <v>74</v>
      </c>
      <c r="AH850" s="2" t="s">
        <v>74</v>
      </c>
      <c r="AI850" s="2" t="s">
        <v>74</v>
      </c>
      <c r="AJ850" s="2" t="s">
        <v>74</v>
      </c>
      <c r="AK850" s="2" t="s">
        <v>74</v>
      </c>
      <c r="AL850" s="2" t="s">
        <v>74</v>
      </c>
      <c r="AM850" s="2" t="s">
        <v>74</v>
      </c>
      <c r="AN850" s="2" t="s">
        <v>74</v>
      </c>
      <c r="AO850" s="2" t="s">
        <v>143</v>
      </c>
      <c r="AP850" s="2" t="s">
        <v>144</v>
      </c>
      <c r="AQ850" s="2" t="s">
        <v>74</v>
      </c>
      <c r="AR850" s="2" t="s">
        <v>74</v>
      </c>
      <c r="AS850" s="2" t="s">
        <v>74</v>
      </c>
      <c r="AT850" s="2" t="s">
        <v>255</v>
      </c>
      <c r="AU850" s="2">
        <v>2007</v>
      </c>
      <c r="AV850" s="2">
        <v>73</v>
      </c>
      <c r="AW850" s="2" t="s">
        <v>74</v>
      </c>
      <c r="AX850" s="2">
        <v>1</v>
      </c>
      <c r="AY850" s="2" t="s">
        <v>74</v>
      </c>
      <c r="AZ850" s="2" t="s">
        <v>74</v>
      </c>
      <c r="BA850" s="2" t="s">
        <v>74</v>
      </c>
      <c r="BB850" s="2">
        <v>55</v>
      </c>
      <c r="BC850" s="2">
        <v>63</v>
      </c>
      <c r="BD850" s="2" t="s">
        <v>74</v>
      </c>
      <c r="BE850" s="2" t="s">
        <v>7357</v>
      </c>
      <c r="BF850" s="2" t="str">
        <f>HYPERLINK("http://dx.doi.org/10.1016/j.anbehav.2006.06.005","http://dx.doi.org/10.1016/j.anbehav.2006.06.005")</f>
        <v>http://dx.doi.org/10.1016/j.anbehav.2006.06.005</v>
      </c>
      <c r="BG850" s="2" t="s">
        <v>74</v>
      </c>
      <c r="BH850" s="2" t="s">
        <v>74</v>
      </c>
      <c r="BI850" s="2" t="s">
        <v>74</v>
      </c>
      <c r="BJ850" s="2" t="s">
        <v>74</v>
      </c>
      <c r="BK850" s="2" t="s">
        <v>74</v>
      </c>
      <c r="BL850" s="2" t="s">
        <v>74</v>
      </c>
      <c r="BM850" s="2" t="s">
        <v>74</v>
      </c>
      <c r="BN850" s="2" t="s">
        <v>74</v>
      </c>
      <c r="BO850" s="2" t="s">
        <v>74</v>
      </c>
      <c r="BP850" s="2" t="s">
        <v>74</v>
      </c>
      <c r="BQ850" s="2" t="s">
        <v>74</v>
      </c>
      <c r="BR850" s="2" t="s">
        <v>74</v>
      </c>
      <c r="BS850" s="2" t="s">
        <v>7358</v>
      </c>
      <c r="BT850" s="2" t="str">
        <f>HYPERLINK("https%3A%2F%2Fwww.webofscience.com%2Fwos%2Fwoscc%2Ffull-record%2FWOS:000243735000006","View Full Record in Web of Science")</f>
        <v>View Full Record in Web of Science</v>
      </c>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row>
    <row r="851" spans="1:314" s="1" customFormat="1" x14ac:dyDescent="0.4">
      <c r="A851" s="2" t="s">
        <v>72</v>
      </c>
      <c r="B851" s="2" t="s">
        <v>7367</v>
      </c>
      <c r="C851" s="2" t="s">
        <v>74</v>
      </c>
      <c r="D851" s="2" t="s">
        <v>74</v>
      </c>
      <c r="E851" s="2" t="s">
        <v>74</v>
      </c>
      <c r="F851" s="2" t="s">
        <v>7368</v>
      </c>
      <c r="G851" s="2" t="s">
        <v>74</v>
      </c>
      <c r="H851" s="2" t="s">
        <v>74</v>
      </c>
      <c r="I851" s="2" t="s">
        <v>7369</v>
      </c>
      <c r="J851" s="2" t="s">
        <v>344</v>
      </c>
      <c r="K851" s="2" t="s">
        <v>74</v>
      </c>
      <c r="L851" s="2" t="s">
        <v>74</v>
      </c>
      <c r="M851" s="2" t="s">
        <v>74</v>
      </c>
      <c r="N851" s="2" t="s">
        <v>74</v>
      </c>
      <c r="O851" s="2" t="s">
        <v>74</v>
      </c>
      <c r="P851" s="2" t="s">
        <v>74</v>
      </c>
      <c r="Q851" s="2" t="s">
        <v>74</v>
      </c>
      <c r="R851" s="2" t="s">
        <v>74</v>
      </c>
      <c r="S851" s="2" t="s">
        <v>74</v>
      </c>
      <c r="T851" s="2" t="s">
        <v>74</v>
      </c>
      <c r="U851" s="2" t="s">
        <v>74</v>
      </c>
      <c r="V851" s="5" t="s">
        <v>7370</v>
      </c>
      <c r="W851" s="2" t="s">
        <v>74</v>
      </c>
      <c r="X851" s="2" t="s">
        <v>74</v>
      </c>
      <c r="Y851" s="2" t="s">
        <v>74</v>
      </c>
      <c r="Z851" s="2" t="s">
        <v>74</v>
      </c>
      <c r="AA851" s="2" t="s">
        <v>74</v>
      </c>
      <c r="AB851" s="2" t="s">
        <v>74</v>
      </c>
      <c r="AC851" s="2" t="s">
        <v>74</v>
      </c>
      <c r="AD851" s="2" t="s">
        <v>74</v>
      </c>
      <c r="AE851" s="2" t="s">
        <v>74</v>
      </c>
      <c r="AF851" s="2" t="s">
        <v>74</v>
      </c>
      <c r="AG851" s="2" t="s">
        <v>74</v>
      </c>
      <c r="AH851" s="2" t="s">
        <v>74</v>
      </c>
      <c r="AI851" s="2" t="s">
        <v>74</v>
      </c>
      <c r="AJ851" s="2" t="s">
        <v>74</v>
      </c>
      <c r="AK851" s="2" t="s">
        <v>74</v>
      </c>
      <c r="AL851" s="2" t="s">
        <v>74</v>
      </c>
      <c r="AM851" s="2" t="s">
        <v>74</v>
      </c>
      <c r="AN851" s="2" t="s">
        <v>74</v>
      </c>
      <c r="AO851" s="2" t="s">
        <v>346</v>
      </c>
      <c r="AP851" s="2" t="s">
        <v>6569</v>
      </c>
      <c r="AQ851" s="2" t="s">
        <v>74</v>
      </c>
      <c r="AR851" s="2" t="s">
        <v>74</v>
      </c>
      <c r="AS851" s="2" t="s">
        <v>74</v>
      </c>
      <c r="AT851" s="2" t="s">
        <v>145</v>
      </c>
      <c r="AU851" s="2">
        <v>2022</v>
      </c>
      <c r="AV851" s="2">
        <v>105</v>
      </c>
      <c r="AW851" s="2">
        <v>8</v>
      </c>
      <c r="AX851" s="2" t="s">
        <v>74</v>
      </c>
      <c r="AY851" s="2" t="s">
        <v>74</v>
      </c>
      <c r="AZ851" s="2" t="s">
        <v>74</v>
      </c>
      <c r="BA851" s="2" t="s">
        <v>74</v>
      </c>
      <c r="BB851" s="2">
        <v>1129</v>
      </c>
      <c r="BC851" s="2">
        <v>1137</v>
      </c>
      <c r="BD851" s="2" t="s">
        <v>74</v>
      </c>
      <c r="BE851" s="2" t="s">
        <v>7371</v>
      </c>
      <c r="BF851" s="2" t="str">
        <f>HYPERLINK("http://dx.doi.org/10.1007/s10641-022-01313-w","http://dx.doi.org/10.1007/s10641-022-01313-w")</f>
        <v>http://dx.doi.org/10.1007/s10641-022-01313-w</v>
      </c>
      <c r="BG851" s="2" t="s">
        <v>74</v>
      </c>
      <c r="BH851" s="2" t="s">
        <v>307</v>
      </c>
      <c r="BI851" s="2" t="s">
        <v>74</v>
      </c>
      <c r="BJ851" s="2" t="s">
        <v>74</v>
      </c>
      <c r="BK851" s="2" t="s">
        <v>74</v>
      </c>
      <c r="BL851" s="2" t="s">
        <v>74</v>
      </c>
      <c r="BM851" s="2" t="s">
        <v>74</v>
      </c>
      <c r="BN851" s="2" t="s">
        <v>74</v>
      </c>
      <c r="BO851" s="2" t="s">
        <v>74</v>
      </c>
      <c r="BP851" s="2" t="s">
        <v>74</v>
      </c>
      <c r="BQ851" s="2" t="s">
        <v>74</v>
      </c>
      <c r="BR851" s="2" t="s">
        <v>74</v>
      </c>
      <c r="BS851" s="2" t="s">
        <v>7372</v>
      </c>
      <c r="BT851" s="2" t="str">
        <f>HYPERLINK("https%3A%2F%2Fwww.webofscience.com%2Fwos%2Fwoscc%2Ffull-record%2FWOS:000836521600001","View Full Record in Web of Science")</f>
        <v>View Full Record in Web of Science</v>
      </c>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row>
    <row r="852" spans="1:314" s="1" customFormat="1" x14ac:dyDescent="0.4">
      <c r="A852" s="2" t="s">
        <v>72</v>
      </c>
      <c r="B852" s="2" t="s">
        <v>8674</v>
      </c>
      <c r="C852" s="2" t="s">
        <v>74</v>
      </c>
      <c r="D852" s="2" t="s">
        <v>74</v>
      </c>
      <c r="E852" s="2" t="s">
        <v>74</v>
      </c>
      <c r="F852" s="2" t="s">
        <v>8675</v>
      </c>
      <c r="G852" s="2" t="s">
        <v>74</v>
      </c>
      <c r="H852" s="2" t="s">
        <v>74</v>
      </c>
      <c r="I852" s="2" t="s">
        <v>8676</v>
      </c>
      <c r="J852" s="2" t="s">
        <v>5881</v>
      </c>
      <c r="K852" s="2" t="s">
        <v>74</v>
      </c>
      <c r="L852" s="2" t="s">
        <v>74</v>
      </c>
      <c r="M852" s="2" t="s">
        <v>74</v>
      </c>
      <c r="N852" s="2" t="s">
        <v>74</v>
      </c>
      <c r="O852" s="2" t="s">
        <v>74</v>
      </c>
      <c r="P852" s="2" t="s">
        <v>74</v>
      </c>
      <c r="Q852" s="2" t="s">
        <v>74</v>
      </c>
      <c r="R852" s="2" t="s">
        <v>74</v>
      </c>
      <c r="S852" s="2" t="s">
        <v>74</v>
      </c>
      <c r="T852" s="2" t="s">
        <v>74</v>
      </c>
      <c r="U852" s="2" t="s">
        <v>74</v>
      </c>
      <c r="V852" s="5" t="s">
        <v>8677</v>
      </c>
      <c r="W852" s="2" t="s">
        <v>74</v>
      </c>
      <c r="X852" s="2" t="s">
        <v>74</v>
      </c>
      <c r="Y852" s="2" t="s">
        <v>74</v>
      </c>
      <c r="Z852" s="2" t="s">
        <v>74</v>
      </c>
      <c r="AA852" s="2" t="s">
        <v>8678</v>
      </c>
      <c r="AB852" s="2" t="s">
        <v>8679</v>
      </c>
      <c r="AC852" s="2" t="s">
        <v>74</v>
      </c>
      <c r="AD852" s="2" t="s">
        <v>74</v>
      </c>
      <c r="AE852" s="2" t="s">
        <v>74</v>
      </c>
      <c r="AF852" s="2" t="s">
        <v>74</v>
      </c>
      <c r="AG852" s="2" t="s">
        <v>74</v>
      </c>
      <c r="AH852" s="2" t="s">
        <v>74</v>
      </c>
      <c r="AI852" s="2" t="s">
        <v>74</v>
      </c>
      <c r="AJ852" s="2" t="s">
        <v>74</v>
      </c>
      <c r="AK852" s="2" t="s">
        <v>74</v>
      </c>
      <c r="AL852" s="2" t="s">
        <v>74</v>
      </c>
      <c r="AM852" s="2" t="s">
        <v>74</v>
      </c>
      <c r="AN852" s="2" t="s">
        <v>74</v>
      </c>
      <c r="AO852" s="2" t="s">
        <v>5885</v>
      </c>
      <c r="AP852" s="2" t="s">
        <v>5886</v>
      </c>
      <c r="AQ852" s="2" t="s">
        <v>74</v>
      </c>
      <c r="AR852" s="2" t="s">
        <v>74</v>
      </c>
      <c r="AS852" s="2" t="s">
        <v>74</v>
      </c>
      <c r="AT852" s="2" t="s">
        <v>4817</v>
      </c>
      <c r="AU852" s="2">
        <v>2015</v>
      </c>
      <c r="AV852" s="2">
        <v>82</v>
      </c>
      <c r="AW852" s="2">
        <v>2</v>
      </c>
      <c r="AX852" s="2" t="s">
        <v>74</v>
      </c>
      <c r="AY852" s="2" t="s">
        <v>74</v>
      </c>
      <c r="AZ852" s="2" t="s">
        <v>74</v>
      </c>
      <c r="BA852" s="2" t="s">
        <v>74</v>
      </c>
      <c r="BB852" s="2">
        <v>202</v>
      </c>
      <c r="BC852" s="2">
        <v>211</v>
      </c>
      <c r="BD852" s="2" t="s">
        <v>74</v>
      </c>
      <c r="BE852" s="2" t="s">
        <v>8680</v>
      </c>
      <c r="BF852" s="2" t="str">
        <f>HYPERLINK("http://dx.doi.org/10.1080/11250003.2015.1018852","http://dx.doi.org/10.1080/11250003.2015.1018852")</f>
        <v>http://dx.doi.org/10.1080/11250003.2015.1018852</v>
      </c>
      <c r="BG852" s="2" t="s">
        <v>74</v>
      </c>
      <c r="BH852" s="2" t="s">
        <v>74</v>
      </c>
      <c r="BI852" s="2" t="s">
        <v>74</v>
      </c>
      <c r="BJ852" s="2" t="s">
        <v>74</v>
      </c>
      <c r="BK852" s="2" t="s">
        <v>74</v>
      </c>
      <c r="BL852" s="2" t="s">
        <v>74</v>
      </c>
      <c r="BM852" s="2" t="s">
        <v>74</v>
      </c>
      <c r="BN852" s="2" t="s">
        <v>74</v>
      </c>
      <c r="BO852" s="2" t="s">
        <v>74</v>
      </c>
      <c r="BP852" s="2" t="s">
        <v>74</v>
      </c>
      <c r="BQ852" s="2" t="s">
        <v>74</v>
      </c>
      <c r="BR852" s="2" t="s">
        <v>74</v>
      </c>
      <c r="BS852" s="2" t="s">
        <v>8681</v>
      </c>
      <c r="BT852" s="2" t="str">
        <f>HYPERLINK("https%3A%2F%2Fwww.webofscience.com%2Fwos%2Fwoscc%2Ffull-record%2FWOS:000353501900009","View Full Record in Web of Science")</f>
        <v>View Full Record in Web of Science</v>
      </c>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row>
    <row r="853" spans="1:314" s="2" customFormat="1" x14ac:dyDescent="0.4">
      <c r="A853" s="2" t="s">
        <v>72</v>
      </c>
      <c r="B853" s="2" t="s">
        <v>7419</v>
      </c>
      <c r="C853" s="2" t="s">
        <v>74</v>
      </c>
      <c r="D853" s="2" t="s">
        <v>74</v>
      </c>
      <c r="E853" s="2" t="s">
        <v>74</v>
      </c>
      <c r="F853" s="2" t="s">
        <v>7420</v>
      </c>
      <c r="G853" s="2" t="s">
        <v>74</v>
      </c>
      <c r="H853" s="2" t="s">
        <v>74</v>
      </c>
      <c r="I853" s="2" t="s">
        <v>7421</v>
      </c>
      <c r="J853" s="2" t="s">
        <v>7422</v>
      </c>
      <c r="K853" s="2" t="s">
        <v>74</v>
      </c>
      <c r="L853" s="2" t="s">
        <v>74</v>
      </c>
      <c r="M853" s="2" t="s">
        <v>74</v>
      </c>
      <c r="N853" s="2" t="s">
        <v>74</v>
      </c>
      <c r="O853" s="2" t="s">
        <v>74</v>
      </c>
      <c r="P853" s="2" t="s">
        <v>74</v>
      </c>
      <c r="Q853" s="2" t="s">
        <v>74</v>
      </c>
      <c r="R853" s="2" t="s">
        <v>74</v>
      </c>
      <c r="S853" s="2" t="s">
        <v>74</v>
      </c>
      <c r="T853" s="2" t="s">
        <v>74</v>
      </c>
      <c r="U853" s="2" t="s">
        <v>74</v>
      </c>
      <c r="V853" s="5" t="s">
        <v>7423</v>
      </c>
      <c r="W853" s="2" t="s">
        <v>74</v>
      </c>
      <c r="X853" s="2" t="s">
        <v>74</v>
      </c>
      <c r="Y853" s="2" t="s">
        <v>74</v>
      </c>
      <c r="Z853" s="2" t="s">
        <v>74</v>
      </c>
      <c r="AA853" s="2" t="s">
        <v>7424</v>
      </c>
      <c r="AB853" s="2" t="s">
        <v>7425</v>
      </c>
      <c r="AC853" s="2" t="s">
        <v>74</v>
      </c>
      <c r="AD853" s="2" t="s">
        <v>74</v>
      </c>
      <c r="AE853" s="2" t="s">
        <v>74</v>
      </c>
      <c r="AF853" s="2" t="s">
        <v>74</v>
      </c>
      <c r="AG853" s="2" t="s">
        <v>74</v>
      </c>
      <c r="AH853" s="2" t="s">
        <v>74</v>
      </c>
      <c r="AI853" s="2" t="s">
        <v>74</v>
      </c>
      <c r="AJ853" s="2" t="s">
        <v>74</v>
      </c>
      <c r="AK853" s="2" t="s">
        <v>74</v>
      </c>
      <c r="AL853" s="2" t="s">
        <v>74</v>
      </c>
      <c r="AM853" s="2" t="s">
        <v>74</v>
      </c>
      <c r="AN853" s="2" t="s">
        <v>74</v>
      </c>
      <c r="AO853" s="2" t="s">
        <v>7426</v>
      </c>
      <c r="AP853" s="2" t="s">
        <v>7427</v>
      </c>
      <c r="AQ853" s="2" t="s">
        <v>74</v>
      </c>
      <c r="AR853" s="2" t="s">
        <v>74</v>
      </c>
      <c r="AS853" s="2" t="s">
        <v>74</v>
      </c>
      <c r="AT853" s="2" t="s">
        <v>255</v>
      </c>
      <c r="AU853" s="2">
        <v>2020</v>
      </c>
      <c r="AV853" s="2">
        <v>31</v>
      </c>
      <c r="AW853" s="2" t="s">
        <v>7428</v>
      </c>
      <c r="AX853" s="2" t="s">
        <v>74</v>
      </c>
      <c r="AY853" s="2" t="s">
        <v>74</v>
      </c>
      <c r="AZ853" s="2" t="s">
        <v>74</v>
      </c>
      <c r="BA853" s="2" t="s">
        <v>74</v>
      </c>
      <c r="BB853" s="2" t="s">
        <v>74</v>
      </c>
      <c r="BC853" s="2" t="s">
        <v>74</v>
      </c>
      <c r="BD853" s="2" t="s">
        <v>7429</v>
      </c>
      <c r="BE853" s="2" t="s">
        <v>7430</v>
      </c>
      <c r="BF853" s="2" t="str">
        <f>HYPERLINK("http://dx.doi.org/10.2192/URSUS-D-19-00027.1","http://dx.doi.org/10.2192/URSUS-D-19-00027.1")</f>
        <v>http://dx.doi.org/10.2192/URSUS-D-19-00027.1</v>
      </c>
      <c r="BG853" s="2" t="s">
        <v>74</v>
      </c>
      <c r="BH853" s="2" t="s">
        <v>74</v>
      </c>
      <c r="BI853" s="2" t="s">
        <v>74</v>
      </c>
      <c r="BJ853" s="2" t="s">
        <v>74</v>
      </c>
      <c r="BK853" s="2" t="s">
        <v>74</v>
      </c>
      <c r="BL853" s="2" t="s">
        <v>74</v>
      </c>
      <c r="BM853" s="2" t="s">
        <v>74</v>
      </c>
      <c r="BN853" s="2" t="s">
        <v>74</v>
      </c>
      <c r="BO853" s="2" t="s">
        <v>74</v>
      </c>
      <c r="BP853" s="2" t="s">
        <v>74</v>
      </c>
      <c r="BQ853" s="2" t="s">
        <v>74</v>
      </c>
      <c r="BR853" s="2" t="s">
        <v>74</v>
      </c>
      <c r="BS853" s="2" t="s">
        <v>7431</v>
      </c>
      <c r="BT853" s="2" t="str">
        <f>HYPERLINK("https%3A%2F%2Fwww.webofscience.com%2Fwos%2Fwoscc%2Ffull-record%2FWOS:000610555300001","View Full Record in Web of Science")</f>
        <v>View Full Record in Web of Science</v>
      </c>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row>
    <row r="854" spans="1:314" s="2" customFormat="1" x14ac:dyDescent="0.4">
      <c r="A854" s="2" t="s">
        <v>72</v>
      </c>
      <c r="B854" s="2" t="s">
        <v>8285</v>
      </c>
      <c r="C854" s="2" t="s">
        <v>74</v>
      </c>
      <c r="D854" s="2" t="s">
        <v>74</v>
      </c>
      <c r="E854" s="2" t="s">
        <v>74</v>
      </c>
      <c r="F854" s="2" t="s">
        <v>8286</v>
      </c>
      <c r="G854" s="2" t="s">
        <v>74</v>
      </c>
      <c r="H854" s="2" t="s">
        <v>74</v>
      </c>
      <c r="I854" s="2" t="s">
        <v>8287</v>
      </c>
      <c r="J854" s="2" t="s">
        <v>129</v>
      </c>
      <c r="K854" s="2" t="s">
        <v>74</v>
      </c>
      <c r="L854" s="2" t="s">
        <v>74</v>
      </c>
      <c r="M854" s="2" t="s">
        <v>74</v>
      </c>
      <c r="N854" s="2" t="s">
        <v>74</v>
      </c>
      <c r="O854" s="2" t="s">
        <v>74</v>
      </c>
      <c r="P854" s="2" t="s">
        <v>74</v>
      </c>
      <c r="Q854" s="2" t="s">
        <v>74</v>
      </c>
      <c r="R854" s="2" t="s">
        <v>74</v>
      </c>
      <c r="S854" s="2" t="s">
        <v>74</v>
      </c>
      <c r="T854" s="2" t="s">
        <v>74</v>
      </c>
      <c r="U854" s="2" t="s">
        <v>74</v>
      </c>
      <c r="V854" s="5" t="s">
        <v>8288</v>
      </c>
      <c r="W854" s="2" t="s">
        <v>74</v>
      </c>
      <c r="X854" s="2" t="s">
        <v>74</v>
      </c>
      <c r="Y854" s="2" t="s">
        <v>74</v>
      </c>
      <c r="Z854" s="2" t="s">
        <v>74</v>
      </c>
      <c r="AA854" s="2" t="s">
        <v>74</v>
      </c>
      <c r="AB854" s="2" t="s">
        <v>8289</v>
      </c>
      <c r="AC854" s="2" t="s">
        <v>74</v>
      </c>
      <c r="AD854" s="2" t="s">
        <v>74</v>
      </c>
      <c r="AE854" s="2" t="s">
        <v>74</v>
      </c>
      <c r="AF854" s="2" t="s">
        <v>74</v>
      </c>
      <c r="AG854" s="2" t="s">
        <v>74</v>
      </c>
      <c r="AH854" s="2" t="s">
        <v>74</v>
      </c>
      <c r="AI854" s="2" t="s">
        <v>74</v>
      </c>
      <c r="AJ854" s="2" t="s">
        <v>74</v>
      </c>
      <c r="AK854" s="2" t="s">
        <v>74</v>
      </c>
      <c r="AL854" s="2" t="s">
        <v>74</v>
      </c>
      <c r="AM854" s="2" t="s">
        <v>74</v>
      </c>
      <c r="AN854" s="2" t="s">
        <v>74</v>
      </c>
      <c r="AO854" s="2" t="s">
        <v>132</v>
      </c>
      <c r="AP854" s="2" t="s">
        <v>133</v>
      </c>
      <c r="AQ854" s="2" t="s">
        <v>74</v>
      </c>
      <c r="AR854" s="2" t="s">
        <v>74</v>
      </c>
      <c r="AS854" s="2" t="s">
        <v>74</v>
      </c>
      <c r="AT854" s="2" t="s">
        <v>134</v>
      </c>
      <c r="AU854" s="2">
        <v>2019</v>
      </c>
      <c r="AV854" s="2">
        <v>73</v>
      </c>
      <c r="AW854" s="2">
        <v>5</v>
      </c>
      <c r="AX854" s="2" t="s">
        <v>74</v>
      </c>
      <c r="AY854" s="2" t="s">
        <v>74</v>
      </c>
      <c r="AZ854" s="2" t="s">
        <v>74</v>
      </c>
      <c r="BA854" s="2" t="s">
        <v>74</v>
      </c>
      <c r="BB854" s="2" t="s">
        <v>74</v>
      </c>
      <c r="BC854" s="2" t="s">
        <v>74</v>
      </c>
      <c r="BD854" s="2">
        <v>61</v>
      </c>
      <c r="BE854" s="2" t="s">
        <v>8290</v>
      </c>
      <c r="BF854" s="2" t="str">
        <f>HYPERLINK("http://dx.doi.org/10.1007/s00265-019-2670-3","http://dx.doi.org/10.1007/s00265-019-2670-3")</f>
        <v>http://dx.doi.org/10.1007/s00265-019-2670-3</v>
      </c>
      <c r="BG854" s="2" t="s">
        <v>74</v>
      </c>
      <c r="BH854" s="2" t="s">
        <v>74</v>
      </c>
      <c r="BI854" s="2" t="s">
        <v>74</v>
      </c>
      <c r="BJ854" s="2" t="s">
        <v>74</v>
      </c>
      <c r="BK854" s="2" t="s">
        <v>74</v>
      </c>
      <c r="BL854" s="2" t="s">
        <v>74</v>
      </c>
      <c r="BM854" s="2" t="s">
        <v>74</v>
      </c>
      <c r="BN854" s="2" t="s">
        <v>74</v>
      </c>
      <c r="BO854" s="2" t="s">
        <v>74</v>
      </c>
      <c r="BP854" s="2" t="s">
        <v>74</v>
      </c>
      <c r="BQ854" s="2" t="s">
        <v>74</v>
      </c>
      <c r="BR854" s="2" t="s">
        <v>74</v>
      </c>
      <c r="BS854" s="2" t="s">
        <v>8291</v>
      </c>
      <c r="BT854" s="2" t="str">
        <f>HYPERLINK("https%3A%2F%2Fwww.webofscience.com%2Fwos%2Fwoscc%2Ffull-record%2FWOS:000465553400001","View Full Record in Web of Science")</f>
        <v>View Full Record in Web of Science</v>
      </c>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row>
    <row r="855" spans="1:314" s="2" customFormat="1" x14ac:dyDescent="0.4">
      <c r="A855" s="2" t="s">
        <v>72</v>
      </c>
      <c r="B855" s="2" t="s">
        <v>536</v>
      </c>
      <c r="C855" s="2" t="s">
        <v>74</v>
      </c>
      <c r="D855" s="2" t="s">
        <v>74</v>
      </c>
      <c r="E855" s="2" t="s">
        <v>74</v>
      </c>
      <c r="F855" s="2" t="s">
        <v>537</v>
      </c>
      <c r="G855" s="2" t="s">
        <v>74</v>
      </c>
      <c r="H855" s="2" t="s">
        <v>74</v>
      </c>
      <c r="I855" s="2" t="s">
        <v>538</v>
      </c>
      <c r="J855" s="2" t="s">
        <v>539</v>
      </c>
      <c r="K855" s="2" t="s">
        <v>74</v>
      </c>
      <c r="L855" s="2" t="s">
        <v>74</v>
      </c>
      <c r="M855" s="2" t="s">
        <v>74</v>
      </c>
      <c r="N855" s="2" t="s">
        <v>74</v>
      </c>
      <c r="O855" s="2" t="s">
        <v>74</v>
      </c>
      <c r="P855" s="2" t="s">
        <v>74</v>
      </c>
      <c r="Q855" s="2" t="s">
        <v>74</v>
      </c>
      <c r="R855" s="2" t="s">
        <v>74</v>
      </c>
      <c r="S855" s="2" t="s">
        <v>74</v>
      </c>
      <c r="T855" s="2" t="s">
        <v>74</v>
      </c>
      <c r="U855" s="2" t="s">
        <v>74</v>
      </c>
      <c r="V855" s="5" t="s">
        <v>540</v>
      </c>
      <c r="W855" s="2" t="s">
        <v>74</v>
      </c>
      <c r="X855" s="2" t="s">
        <v>74</v>
      </c>
      <c r="Y855" s="2" t="s">
        <v>74</v>
      </c>
      <c r="Z855" s="2" t="s">
        <v>74</v>
      </c>
      <c r="AA855" s="2" t="s">
        <v>74</v>
      </c>
      <c r="AB855" s="2" t="s">
        <v>74</v>
      </c>
      <c r="AC855" s="2" t="s">
        <v>74</v>
      </c>
      <c r="AD855" s="2" t="s">
        <v>74</v>
      </c>
      <c r="AE855" s="2" t="s">
        <v>74</v>
      </c>
      <c r="AF855" s="2" t="s">
        <v>74</v>
      </c>
      <c r="AG855" s="2" t="s">
        <v>74</v>
      </c>
      <c r="AH855" s="2" t="s">
        <v>74</v>
      </c>
      <c r="AI855" s="2" t="s">
        <v>74</v>
      </c>
      <c r="AJ855" s="2" t="s">
        <v>74</v>
      </c>
      <c r="AK855" s="2" t="s">
        <v>74</v>
      </c>
      <c r="AL855" s="2" t="s">
        <v>74</v>
      </c>
      <c r="AM855" s="2" t="s">
        <v>74</v>
      </c>
      <c r="AN855" s="2" t="s">
        <v>74</v>
      </c>
      <c r="AO855" s="2" t="s">
        <v>541</v>
      </c>
      <c r="AP855" s="2" t="s">
        <v>74</v>
      </c>
      <c r="AQ855" s="2" t="s">
        <v>74</v>
      </c>
      <c r="AR855" s="2" t="s">
        <v>74</v>
      </c>
      <c r="AS855" s="2" t="s">
        <v>74</v>
      </c>
      <c r="AT855" s="2" t="s">
        <v>74</v>
      </c>
      <c r="AU855" s="2">
        <v>2009</v>
      </c>
      <c r="AV855" s="2">
        <v>8</v>
      </c>
      <c r="AW855" s="2">
        <v>2</v>
      </c>
      <c r="AX855" s="2" t="s">
        <v>74</v>
      </c>
      <c r="AY855" s="2" t="s">
        <v>74</v>
      </c>
      <c r="AZ855" s="2" t="s">
        <v>74</v>
      </c>
      <c r="BA855" s="2" t="s">
        <v>74</v>
      </c>
      <c r="BB855" s="2">
        <v>336</v>
      </c>
      <c r="BC855" s="2">
        <v>342</v>
      </c>
      <c r="BD855" s="2" t="s">
        <v>74</v>
      </c>
      <c r="BE855" s="2" t="s">
        <v>74</v>
      </c>
      <c r="BF855" s="2" t="s">
        <v>74</v>
      </c>
      <c r="BG855" s="2" t="s">
        <v>74</v>
      </c>
      <c r="BH855" s="2" t="s">
        <v>74</v>
      </c>
      <c r="BI855" s="2" t="s">
        <v>74</v>
      </c>
      <c r="BJ855" s="2" t="s">
        <v>74</v>
      </c>
      <c r="BK855" s="2" t="s">
        <v>74</v>
      </c>
      <c r="BL855" s="2" t="s">
        <v>74</v>
      </c>
      <c r="BM855" s="2" t="s">
        <v>74</v>
      </c>
      <c r="BN855" s="2" t="s">
        <v>74</v>
      </c>
      <c r="BO855" s="2" t="s">
        <v>74</v>
      </c>
      <c r="BP855" s="2" t="s">
        <v>74</v>
      </c>
      <c r="BQ855" s="2" t="s">
        <v>74</v>
      </c>
      <c r="BR855" s="2" t="s">
        <v>74</v>
      </c>
      <c r="BS855" s="2" t="s">
        <v>542</v>
      </c>
      <c r="BT855" s="2" t="str">
        <f>HYPERLINK("https%3A%2F%2Fwww.webofscience.com%2Fwos%2Fwoscc%2Ffull-record%2FWOS:000264104700027","View Full Record in Web of Science")</f>
        <v>View Full Record in Web of Science</v>
      </c>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row>
    <row r="856" spans="1:314" s="2" customFormat="1" x14ac:dyDescent="0.4">
      <c r="A856" s="2" t="s">
        <v>72</v>
      </c>
      <c r="B856" s="2" t="s">
        <v>7162</v>
      </c>
      <c r="C856" s="2" t="s">
        <v>74</v>
      </c>
      <c r="D856" s="2" t="s">
        <v>74</v>
      </c>
      <c r="E856" s="2" t="s">
        <v>74</v>
      </c>
      <c r="F856" s="2" t="s">
        <v>7163</v>
      </c>
      <c r="G856" s="2" t="s">
        <v>74</v>
      </c>
      <c r="H856" s="2" t="s">
        <v>74</v>
      </c>
      <c r="I856" s="2" t="s">
        <v>7164</v>
      </c>
      <c r="J856" s="2" t="s">
        <v>281</v>
      </c>
      <c r="K856" s="2" t="s">
        <v>74</v>
      </c>
      <c r="L856" s="2" t="s">
        <v>74</v>
      </c>
      <c r="M856" s="2" t="s">
        <v>74</v>
      </c>
      <c r="N856" s="2" t="s">
        <v>74</v>
      </c>
      <c r="O856" s="2" t="s">
        <v>74</v>
      </c>
      <c r="P856" s="2" t="s">
        <v>74</v>
      </c>
      <c r="Q856" s="2" t="s">
        <v>74</v>
      </c>
      <c r="R856" s="2" t="s">
        <v>74</v>
      </c>
      <c r="S856" s="2" t="s">
        <v>74</v>
      </c>
      <c r="T856" s="2" t="s">
        <v>74</v>
      </c>
      <c r="U856" s="2" t="s">
        <v>74</v>
      </c>
      <c r="V856" s="5" t="s">
        <v>7165</v>
      </c>
      <c r="W856" s="2" t="s">
        <v>74</v>
      </c>
      <c r="X856" s="2" t="s">
        <v>74</v>
      </c>
      <c r="Y856" s="2" t="s">
        <v>74</v>
      </c>
      <c r="Z856" s="2" t="s">
        <v>74</v>
      </c>
      <c r="AA856" s="2" t="s">
        <v>74</v>
      </c>
      <c r="AB856" s="2" t="s">
        <v>7166</v>
      </c>
      <c r="AC856" s="2" t="s">
        <v>74</v>
      </c>
      <c r="AD856" s="2" t="s">
        <v>74</v>
      </c>
      <c r="AE856" s="2" t="s">
        <v>74</v>
      </c>
      <c r="AF856" s="2" t="s">
        <v>74</v>
      </c>
      <c r="AG856" s="2" t="s">
        <v>74</v>
      </c>
      <c r="AH856" s="2" t="s">
        <v>74</v>
      </c>
      <c r="AI856" s="2" t="s">
        <v>74</v>
      </c>
      <c r="AJ856" s="2" t="s">
        <v>74</v>
      </c>
      <c r="AK856" s="2" t="s">
        <v>74</v>
      </c>
      <c r="AL856" s="2" t="s">
        <v>74</v>
      </c>
      <c r="AM856" s="2" t="s">
        <v>74</v>
      </c>
      <c r="AN856" s="2" t="s">
        <v>74</v>
      </c>
      <c r="AO856" s="2" t="s">
        <v>285</v>
      </c>
      <c r="AP856" s="2" t="s">
        <v>286</v>
      </c>
      <c r="AQ856" s="2" t="s">
        <v>74</v>
      </c>
      <c r="AR856" s="2" t="s">
        <v>74</v>
      </c>
      <c r="AS856" s="2" t="s">
        <v>74</v>
      </c>
      <c r="AT856" s="2" t="s">
        <v>123</v>
      </c>
      <c r="AU856" s="2">
        <v>2013</v>
      </c>
      <c r="AV856" s="2">
        <v>16</v>
      </c>
      <c r="AW856" s="2">
        <v>2</v>
      </c>
      <c r="AX856" s="2" t="s">
        <v>74</v>
      </c>
      <c r="AY856" s="2" t="s">
        <v>74</v>
      </c>
      <c r="AZ856" s="2" t="s">
        <v>74</v>
      </c>
      <c r="BA856" s="2" t="s">
        <v>74</v>
      </c>
      <c r="BB856" s="2">
        <v>197</v>
      </c>
      <c r="BC856" s="2">
        <v>210</v>
      </c>
      <c r="BD856" s="2" t="s">
        <v>74</v>
      </c>
      <c r="BE856" s="2" t="s">
        <v>7167</v>
      </c>
      <c r="BF856" s="2" t="str">
        <f>HYPERLINK("http://dx.doi.org/10.1007/s10071-012-0564-0","http://dx.doi.org/10.1007/s10071-012-0564-0")</f>
        <v>http://dx.doi.org/10.1007/s10071-012-0564-0</v>
      </c>
      <c r="BG856" s="2" t="s">
        <v>74</v>
      </c>
      <c r="BH856" s="2" t="s">
        <v>74</v>
      </c>
      <c r="BI856" s="2" t="s">
        <v>74</v>
      </c>
      <c r="BJ856" s="2" t="s">
        <v>74</v>
      </c>
      <c r="BK856" s="2" t="s">
        <v>74</v>
      </c>
      <c r="BL856" s="2" t="s">
        <v>74</v>
      </c>
      <c r="BM856" s="2" t="s">
        <v>74</v>
      </c>
      <c r="BN856" s="2">
        <v>23065183</v>
      </c>
      <c r="BO856" s="2" t="s">
        <v>74</v>
      </c>
      <c r="BP856" s="2" t="s">
        <v>74</v>
      </c>
      <c r="BQ856" s="2" t="s">
        <v>74</v>
      </c>
      <c r="BR856" s="2" t="s">
        <v>74</v>
      </c>
      <c r="BS856" s="2" t="s">
        <v>7168</v>
      </c>
      <c r="BT856" s="2" t="str">
        <f>HYPERLINK("https%3A%2F%2Fwww.webofscience.com%2Fwos%2Fwoscc%2Ffull-record%2FWOS:000315035100005","View Full Record in Web of Science")</f>
        <v>View Full Record in Web of Science</v>
      </c>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row>
    <row r="857" spans="1:314" s="2" customFormat="1" x14ac:dyDescent="0.4">
      <c r="A857" s="2" t="s">
        <v>6684</v>
      </c>
      <c r="B857" s="2" t="s">
        <v>8237</v>
      </c>
      <c r="C857" s="2" t="s">
        <v>74</v>
      </c>
      <c r="D857" s="2" t="s">
        <v>8238</v>
      </c>
      <c r="E857" s="2" t="s">
        <v>74</v>
      </c>
      <c r="F857" s="2" t="s">
        <v>8237</v>
      </c>
      <c r="G857" s="2" t="s">
        <v>74</v>
      </c>
      <c r="H857" s="2" t="s">
        <v>74</v>
      </c>
      <c r="I857" s="2" t="s">
        <v>8239</v>
      </c>
      <c r="J857" s="2" t="s">
        <v>8240</v>
      </c>
      <c r="K857" s="2" t="s">
        <v>8241</v>
      </c>
      <c r="L857" s="2" t="s">
        <v>74</v>
      </c>
      <c r="M857" s="2" t="s">
        <v>74</v>
      </c>
      <c r="N857" s="2" t="s">
        <v>74</v>
      </c>
      <c r="O857" s="2" t="s">
        <v>74</v>
      </c>
      <c r="P857" s="2" t="s">
        <v>74</v>
      </c>
      <c r="Q857" s="2" t="s">
        <v>74</v>
      </c>
      <c r="R857" s="2" t="s">
        <v>74</v>
      </c>
      <c r="S857" s="2" t="s">
        <v>74</v>
      </c>
      <c r="T857" s="2" t="s">
        <v>74</v>
      </c>
      <c r="U857" s="2" t="s">
        <v>74</v>
      </c>
      <c r="V857" s="5" t="s">
        <v>8242</v>
      </c>
      <c r="W857" s="2" t="s">
        <v>74</v>
      </c>
      <c r="X857" s="2" t="s">
        <v>74</v>
      </c>
      <c r="Y857" s="2" t="s">
        <v>74</v>
      </c>
      <c r="Z857" s="2" t="s">
        <v>74</v>
      </c>
      <c r="AA857" s="2" t="s">
        <v>8243</v>
      </c>
      <c r="AB857" s="2" t="s">
        <v>74</v>
      </c>
      <c r="AC857" s="2" t="s">
        <v>74</v>
      </c>
      <c r="AD857" s="2" t="s">
        <v>74</v>
      </c>
      <c r="AE857" s="2" t="s">
        <v>74</v>
      </c>
      <c r="AF857" s="2" t="s">
        <v>74</v>
      </c>
      <c r="AG857" s="2" t="s">
        <v>74</v>
      </c>
      <c r="AH857" s="2" t="s">
        <v>74</v>
      </c>
      <c r="AI857" s="2" t="s">
        <v>74</v>
      </c>
      <c r="AJ857" s="2" t="s">
        <v>74</v>
      </c>
      <c r="AK857" s="2" t="s">
        <v>74</v>
      </c>
      <c r="AL857" s="2" t="s">
        <v>74</v>
      </c>
      <c r="AM857" s="2" t="s">
        <v>74</v>
      </c>
      <c r="AN857" s="2" t="s">
        <v>74</v>
      </c>
      <c r="AO857" s="2" t="s">
        <v>8244</v>
      </c>
      <c r="AP857" s="2" t="s">
        <v>74</v>
      </c>
      <c r="AQ857" s="2" t="s">
        <v>8245</v>
      </c>
      <c r="AR857" s="2" t="s">
        <v>74</v>
      </c>
      <c r="AS857" s="2" t="s">
        <v>74</v>
      </c>
      <c r="AT857" s="2" t="s">
        <v>74</v>
      </c>
      <c r="AU857" s="2">
        <v>1999</v>
      </c>
      <c r="AV857" s="2">
        <v>37</v>
      </c>
      <c r="AW857" s="2" t="s">
        <v>74</v>
      </c>
      <c r="AX857" s="2" t="s">
        <v>74</v>
      </c>
      <c r="AY857" s="2" t="s">
        <v>74</v>
      </c>
      <c r="AZ857" s="2" t="s">
        <v>74</v>
      </c>
      <c r="BA857" s="2" t="s">
        <v>74</v>
      </c>
      <c r="BB857" s="2">
        <v>129</v>
      </c>
      <c r="BC857" s="2">
        <v>152</v>
      </c>
      <c r="BD857" s="2" t="s">
        <v>74</v>
      </c>
      <c r="BE857" s="2" t="s">
        <v>74</v>
      </c>
      <c r="BF857" s="2" t="s">
        <v>74</v>
      </c>
      <c r="BG857" s="2" t="s">
        <v>74</v>
      </c>
      <c r="BH857" s="2" t="s">
        <v>74</v>
      </c>
      <c r="BI857" s="2" t="s">
        <v>74</v>
      </c>
      <c r="BJ857" s="2" t="s">
        <v>74</v>
      </c>
      <c r="BK857" s="2" t="s">
        <v>74</v>
      </c>
      <c r="BL857" s="2" t="s">
        <v>74</v>
      </c>
      <c r="BM857" s="2" t="s">
        <v>74</v>
      </c>
      <c r="BN857" s="2" t="s">
        <v>74</v>
      </c>
      <c r="BO857" s="2" t="s">
        <v>74</v>
      </c>
      <c r="BP857" s="2" t="s">
        <v>74</v>
      </c>
      <c r="BQ857" s="2" t="s">
        <v>74</v>
      </c>
      <c r="BR857" s="2" t="s">
        <v>74</v>
      </c>
      <c r="BS857" s="2" t="s">
        <v>8246</v>
      </c>
      <c r="BT857" s="2" t="str">
        <f>HYPERLINK("https%3A%2F%2Fwww.webofscience.com%2Fwos%2Fwoscc%2Ffull-record%2FWOS:000089737800004","View Full Record in Web of Science")</f>
        <v>View Full Record in Web of Science</v>
      </c>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row>
    <row r="858" spans="1:314" s="2" customFormat="1" x14ac:dyDescent="0.4">
      <c r="A858" s="2" t="s">
        <v>72</v>
      </c>
      <c r="B858" s="2" t="s">
        <v>8332</v>
      </c>
      <c r="C858" s="2" t="s">
        <v>74</v>
      </c>
      <c r="D858" s="2" t="s">
        <v>74</v>
      </c>
      <c r="E858" s="2" t="s">
        <v>74</v>
      </c>
      <c r="F858" s="2" t="s">
        <v>8333</v>
      </c>
      <c r="G858" s="2" t="s">
        <v>74</v>
      </c>
      <c r="H858" s="2" t="s">
        <v>74</v>
      </c>
      <c r="I858" s="2" t="s">
        <v>8334</v>
      </c>
      <c r="J858" s="2" t="s">
        <v>129</v>
      </c>
      <c r="K858" s="2" t="s">
        <v>74</v>
      </c>
      <c r="L858" s="2" t="s">
        <v>74</v>
      </c>
      <c r="M858" s="2" t="s">
        <v>74</v>
      </c>
      <c r="N858" s="2" t="s">
        <v>74</v>
      </c>
      <c r="O858" s="2" t="s">
        <v>74</v>
      </c>
      <c r="P858" s="2" t="s">
        <v>74</v>
      </c>
      <c r="Q858" s="2" t="s">
        <v>74</v>
      </c>
      <c r="R858" s="2" t="s">
        <v>74</v>
      </c>
      <c r="S858" s="2" t="s">
        <v>74</v>
      </c>
      <c r="T858" s="2" t="s">
        <v>74</v>
      </c>
      <c r="U858" s="2" t="s">
        <v>74</v>
      </c>
      <c r="V858" s="5" t="s">
        <v>8335</v>
      </c>
      <c r="W858" s="2" t="s">
        <v>74</v>
      </c>
      <c r="X858" s="2" t="s">
        <v>74</v>
      </c>
      <c r="Y858" s="2" t="s">
        <v>74</v>
      </c>
      <c r="Z858" s="2" t="s">
        <v>74</v>
      </c>
      <c r="AA858" s="2" t="s">
        <v>8336</v>
      </c>
      <c r="AB858" s="2" t="s">
        <v>8337</v>
      </c>
      <c r="AC858" s="2" t="s">
        <v>74</v>
      </c>
      <c r="AD858" s="2" t="s">
        <v>74</v>
      </c>
      <c r="AE858" s="2" t="s">
        <v>74</v>
      </c>
      <c r="AF858" s="2" t="s">
        <v>74</v>
      </c>
      <c r="AG858" s="2" t="s">
        <v>74</v>
      </c>
      <c r="AH858" s="2" t="s">
        <v>74</v>
      </c>
      <c r="AI858" s="2" t="s">
        <v>74</v>
      </c>
      <c r="AJ858" s="2" t="s">
        <v>74</v>
      </c>
      <c r="AK858" s="2" t="s">
        <v>74</v>
      </c>
      <c r="AL858" s="2" t="s">
        <v>74</v>
      </c>
      <c r="AM858" s="2" t="s">
        <v>74</v>
      </c>
      <c r="AN858" s="2" t="s">
        <v>74</v>
      </c>
      <c r="AO858" s="2" t="s">
        <v>132</v>
      </c>
      <c r="AP858" s="2" t="s">
        <v>133</v>
      </c>
      <c r="AQ858" s="2" t="s">
        <v>74</v>
      </c>
      <c r="AR858" s="2" t="s">
        <v>74</v>
      </c>
      <c r="AS858" s="2" t="s">
        <v>74</v>
      </c>
      <c r="AT858" s="2" t="s">
        <v>4913</v>
      </c>
      <c r="AU858" s="2">
        <v>2021</v>
      </c>
      <c r="AV858" s="2">
        <v>75</v>
      </c>
      <c r="AW858" s="2">
        <v>3</v>
      </c>
      <c r="AX858" s="2" t="s">
        <v>74</v>
      </c>
      <c r="AY858" s="2" t="s">
        <v>74</v>
      </c>
      <c r="AZ858" s="2" t="s">
        <v>74</v>
      </c>
      <c r="BA858" s="2" t="s">
        <v>74</v>
      </c>
      <c r="BB858" s="2" t="s">
        <v>74</v>
      </c>
      <c r="BC858" s="2" t="s">
        <v>74</v>
      </c>
      <c r="BD858" s="2">
        <v>51</v>
      </c>
      <c r="BE858" s="2" t="s">
        <v>8338</v>
      </c>
      <c r="BF858" s="2" t="str">
        <f>HYPERLINK("http://dx.doi.org/10.1007/s00265-021-02973-x","http://dx.doi.org/10.1007/s00265-021-02973-x")</f>
        <v>http://dx.doi.org/10.1007/s00265-021-02973-x</v>
      </c>
      <c r="BG858" s="2" t="s">
        <v>74</v>
      </c>
      <c r="BH858" s="2" t="s">
        <v>74</v>
      </c>
      <c r="BI858" s="2" t="s">
        <v>74</v>
      </c>
      <c r="BJ858" s="2" t="s">
        <v>74</v>
      </c>
      <c r="BK858" s="2" t="s">
        <v>74</v>
      </c>
      <c r="BL858" s="2" t="s">
        <v>74</v>
      </c>
      <c r="BM858" s="2" t="s">
        <v>74</v>
      </c>
      <c r="BN858" s="2" t="s">
        <v>74</v>
      </c>
      <c r="BO858" s="2" t="s">
        <v>74</v>
      </c>
      <c r="BP858" s="2" t="s">
        <v>74</v>
      </c>
      <c r="BQ858" s="2" t="s">
        <v>74</v>
      </c>
      <c r="BR858" s="2" t="s">
        <v>74</v>
      </c>
      <c r="BS858" s="2" t="s">
        <v>8339</v>
      </c>
      <c r="BT858" s="2" t="str">
        <f>HYPERLINK("https%3A%2F%2Fwww.webofscience.com%2Fwos%2Fwoscc%2Ffull-record%2FWOS:000620172500001","View Full Record in Web of Science")</f>
        <v>View Full Record in Web of Science</v>
      </c>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row>
    <row r="859" spans="1:314" s="2" customFormat="1" x14ac:dyDescent="0.4">
      <c r="A859" s="2" t="s">
        <v>72</v>
      </c>
      <c r="B859" s="2" t="s">
        <v>6699</v>
      </c>
      <c r="C859" s="2" t="s">
        <v>74</v>
      </c>
      <c r="D859" s="2" t="s">
        <v>74</v>
      </c>
      <c r="E859" s="2" t="s">
        <v>74</v>
      </c>
      <c r="F859" s="2" t="s">
        <v>6700</v>
      </c>
      <c r="G859" s="2" t="s">
        <v>74</v>
      </c>
      <c r="H859" s="2" t="s">
        <v>74</v>
      </c>
      <c r="I859" s="2" t="s">
        <v>6701</v>
      </c>
      <c r="J859" s="2" t="s">
        <v>824</v>
      </c>
      <c r="K859" s="2" t="s">
        <v>74</v>
      </c>
      <c r="L859" s="2" t="s">
        <v>74</v>
      </c>
      <c r="M859" s="2" t="s">
        <v>74</v>
      </c>
      <c r="N859" s="2" t="s">
        <v>74</v>
      </c>
      <c r="O859" s="2" t="s">
        <v>74</v>
      </c>
      <c r="P859" s="2" t="s">
        <v>74</v>
      </c>
      <c r="Q859" s="2" t="s">
        <v>74</v>
      </c>
      <c r="R859" s="2" t="s">
        <v>74</v>
      </c>
      <c r="S859" s="2" t="s">
        <v>74</v>
      </c>
      <c r="T859" s="2" t="s">
        <v>74</v>
      </c>
      <c r="U859" s="2" t="s">
        <v>74</v>
      </c>
      <c r="V859" s="5" t="s">
        <v>6702</v>
      </c>
      <c r="W859" s="2" t="s">
        <v>74</v>
      </c>
      <c r="X859" s="2" t="s">
        <v>74</v>
      </c>
      <c r="Y859" s="2" t="s">
        <v>74</v>
      </c>
      <c r="Z859" s="2" t="s">
        <v>74</v>
      </c>
      <c r="AA859" s="2" t="s">
        <v>6703</v>
      </c>
      <c r="AB859" s="2" t="s">
        <v>6704</v>
      </c>
      <c r="AC859" s="2" t="s">
        <v>74</v>
      </c>
      <c r="AD859" s="2" t="s">
        <v>74</v>
      </c>
      <c r="AE859" s="2" t="s">
        <v>74</v>
      </c>
      <c r="AF859" s="2" t="s">
        <v>74</v>
      </c>
      <c r="AG859" s="2" t="s">
        <v>74</v>
      </c>
      <c r="AH859" s="2" t="s">
        <v>74</v>
      </c>
      <c r="AI859" s="2" t="s">
        <v>74</v>
      </c>
      <c r="AJ859" s="2" t="s">
        <v>74</v>
      </c>
      <c r="AK859" s="2" t="s">
        <v>74</v>
      </c>
      <c r="AL859" s="2" t="s">
        <v>74</v>
      </c>
      <c r="AM859" s="2" t="s">
        <v>74</v>
      </c>
      <c r="AN859" s="2" t="s">
        <v>74</v>
      </c>
      <c r="AO859" s="2" t="s">
        <v>828</v>
      </c>
      <c r="AP859" s="2" t="s">
        <v>829</v>
      </c>
      <c r="AQ859" s="2" t="s">
        <v>74</v>
      </c>
      <c r="AR859" s="2" t="s">
        <v>74</v>
      </c>
      <c r="AS859" s="2" t="s">
        <v>74</v>
      </c>
      <c r="AT859" s="2" t="s">
        <v>134</v>
      </c>
      <c r="AU859" s="2">
        <v>2016</v>
      </c>
      <c r="AV859" s="2">
        <v>85</v>
      </c>
      <c r="AW859" s="2">
        <v>3</v>
      </c>
      <c r="AX859" s="2" t="s">
        <v>74</v>
      </c>
      <c r="AY859" s="2" t="s">
        <v>74</v>
      </c>
      <c r="AZ859" s="2" t="s">
        <v>74</v>
      </c>
      <c r="BA859" s="2" t="s">
        <v>74</v>
      </c>
      <c r="BB859" s="2">
        <v>798</v>
      </c>
      <c r="BC859" s="2">
        <v>805</v>
      </c>
      <c r="BD859" s="2" t="s">
        <v>74</v>
      </c>
      <c r="BE859" s="2" t="s">
        <v>6705</v>
      </c>
      <c r="BF859" s="2" t="str">
        <f>HYPERLINK("http://dx.doi.org/10.1111/1365-2656.12501","http://dx.doi.org/10.1111/1365-2656.12501")</f>
        <v>http://dx.doi.org/10.1111/1365-2656.12501</v>
      </c>
      <c r="BG859" s="2" t="s">
        <v>74</v>
      </c>
      <c r="BH859" s="2" t="s">
        <v>74</v>
      </c>
      <c r="BI859" s="2" t="s">
        <v>74</v>
      </c>
      <c r="BJ859" s="2" t="s">
        <v>74</v>
      </c>
      <c r="BK859" s="2" t="s">
        <v>74</v>
      </c>
      <c r="BL859" s="2" t="s">
        <v>74</v>
      </c>
      <c r="BM859" s="2" t="s">
        <v>74</v>
      </c>
      <c r="BN859" s="2">
        <v>26876417</v>
      </c>
      <c r="BO859" s="2" t="s">
        <v>74</v>
      </c>
      <c r="BP859" s="2" t="s">
        <v>74</v>
      </c>
      <c r="BQ859" s="2" t="s">
        <v>74</v>
      </c>
      <c r="BR859" s="2" t="s">
        <v>74</v>
      </c>
      <c r="BS859" s="2" t="s">
        <v>6706</v>
      </c>
      <c r="BT859" s="2" t="str">
        <f>HYPERLINK("https%3A%2F%2Fwww.webofscience.com%2Fwos%2Fwoscc%2Ffull-record%2FWOS:000375121400020","View Full Record in Web of Science")</f>
        <v>View Full Record in Web of Science</v>
      </c>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row>
    <row r="860" spans="1:314" s="2" customFormat="1" x14ac:dyDescent="0.4">
      <c r="A860" s="2" t="s">
        <v>72</v>
      </c>
      <c r="B860" s="2" t="s">
        <v>2455</v>
      </c>
      <c r="C860" s="2" t="s">
        <v>74</v>
      </c>
      <c r="D860" s="2" t="s">
        <v>74</v>
      </c>
      <c r="E860" s="2" t="s">
        <v>74</v>
      </c>
      <c r="F860" s="2" t="s">
        <v>2456</v>
      </c>
      <c r="G860" s="2" t="s">
        <v>74</v>
      </c>
      <c r="H860" s="2" t="s">
        <v>74</v>
      </c>
      <c r="I860" s="2" t="s">
        <v>2457</v>
      </c>
      <c r="J860" s="2" t="s">
        <v>2207</v>
      </c>
      <c r="K860" s="2" t="s">
        <v>74</v>
      </c>
      <c r="L860" s="2" t="s">
        <v>74</v>
      </c>
      <c r="M860" s="2" t="s">
        <v>74</v>
      </c>
      <c r="N860" s="2" t="s">
        <v>74</v>
      </c>
      <c r="O860" s="2" t="s">
        <v>74</v>
      </c>
      <c r="P860" s="2" t="s">
        <v>74</v>
      </c>
      <c r="Q860" s="2" t="s">
        <v>74</v>
      </c>
      <c r="R860" s="2" t="s">
        <v>74</v>
      </c>
      <c r="S860" s="2" t="s">
        <v>74</v>
      </c>
      <c r="T860" s="2" t="s">
        <v>74</v>
      </c>
      <c r="U860" s="2" t="s">
        <v>74</v>
      </c>
      <c r="V860" s="5" t="s">
        <v>2458</v>
      </c>
      <c r="W860" s="2" t="s">
        <v>74</v>
      </c>
      <c r="X860" s="2" t="s">
        <v>74</v>
      </c>
      <c r="Y860" s="2" t="s">
        <v>74</v>
      </c>
      <c r="Z860" s="2" t="s">
        <v>74</v>
      </c>
      <c r="AA860" s="2" t="s">
        <v>2459</v>
      </c>
      <c r="AB860" s="2" t="s">
        <v>2460</v>
      </c>
      <c r="AC860" s="2" t="s">
        <v>74</v>
      </c>
      <c r="AD860" s="2" t="s">
        <v>74</v>
      </c>
      <c r="AE860" s="2" t="s">
        <v>74</v>
      </c>
      <c r="AF860" s="2" t="s">
        <v>74</v>
      </c>
      <c r="AG860" s="2" t="s">
        <v>74</v>
      </c>
      <c r="AH860" s="2" t="s">
        <v>74</v>
      </c>
      <c r="AI860" s="2" t="s">
        <v>74</v>
      </c>
      <c r="AJ860" s="2" t="s">
        <v>74</v>
      </c>
      <c r="AK860" s="2" t="s">
        <v>74</v>
      </c>
      <c r="AL860" s="2" t="s">
        <v>74</v>
      </c>
      <c r="AM860" s="2" t="s">
        <v>74</v>
      </c>
      <c r="AN860" s="2" t="s">
        <v>74</v>
      </c>
      <c r="AO860" s="2" t="s">
        <v>2211</v>
      </c>
      <c r="AP860" s="2" t="s">
        <v>2461</v>
      </c>
      <c r="AQ860" s="2" t="s">
        <v>74</v>
      </c>
      <c r="AR860" s="2" t="s">
        <v>74</v>
      </c>
      <c r="AS860" s="2" t="s">
        <v>74</v>
      </c>
      <c r="AT860" s="2" t="s">
        <v>255</v>
      </c>
      <c r="AU860" s="2">
        <v>2014</v>
      </c>
      <c r="AV860" s="2">
        <v>45</v>
      </c>
      <c r="AW860" s="2">
        <v>1</v>
      </c>
      <c r="AX860" s="2" t="s">
        <v>74</v>
      </c>
      <c r="AY860" s="2" t="s">
        <v>74</v>
      </c>
      <c r="AZ860" s="2" t="s">
        <v>74</v>
      </c>
      <c r="BA860" s="2" t="s">
        <v>74</v>
      </c>
      <c r="BB860" s="2">
        <v>22</v>
      </c>
      <c r="BC860" s="2">
        <v>28</v>
      </c>
      <c r="BD860" s="2" t="s">
        <v>74</v>
      </c>
      <c r="BE860" s="2" t="s">
        <v>2462</v>
      </c>
      <c r="BF860" s="2" t="str">
        <f>HYPERLINK("http://dx.doi.org/10.1111/j.1600-048X.2013.00286.x","http://dx.doi.org/10.1111/j.1600-048X.2013.00286.x")</f>
        <v>http://dx.doi.org/10.1111/j.1600-048X.2013.00286.x</v>
      </c>
      <c r="BG860" s="2" t="s">
        <v>74</v>
      </c>
      <c r="BH860" s="2" t="s">
        <v>74</v>
      </c>
      <c r="BI860" s="2" t="s">
        <v>74</v>
      </c>
      <c r="BJ860" s="2" t="s">
        <v>74</v>
      </c>
      <c r="BK860" s="2" t="s">
        <v>74</v>
      </c>
      <c r="BL860" s="2" t="s">
        <v>74</v>
      </c>
      <c r="BM860" s="2" t="s">
        <v>74</v>
      </c>
      <c r="BN860" s="2" t="s">
        <v>74</v>
      </c>
      <c r="BO860" s="2" t="s">
        <v>74</v>
      </c>
      <c r="BP860" s="2" t="s">
        <v>74</v>
      </c>
      <c r="BQ860" s="2" t="s">
        <v>74</v>
      </c>
      <c r="BR860" s="2" t="s">
        <v>74</v>
      </c>
      <c r="BS860" s="2" t="s">
        <v>2463</v>
      </c>
      <c r="BT860" s="2" t="str">
        <f>HYPERLINK("https%3A%2F%2Fwww.webofscience.com%2Fwos%2Fwoscc%2Ffull-record%2FWOS:000329866900004","View Full Record in Web of Science")</f>
        <v>View Full Record in Web of Science</v>
      </c>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row>
    <row r="861" spans="1:314" s="2" customFormat="1" x14ac:dyDescent="0.4">
      <c r="A861" s="2" t="s">
        <v>72</v>
      </c>
      <c r="B861" s="2" t="s">
        <v>6304</v>
      </c>
      <c r="C861" s="2" t="s">
        <v>74</v>
      </c>
      <c r="D861" s="2" t="s">
        <v>74</v>
      </c>
      <c r="E861" s="2" t="s">
        <v>74</v>
      </c>
      <c r="F861" s="2" t="s">
        <v>6305</v>
      </c>
      <c r="G861" s="2" t="s">
        <v>74</v>
      </c>
      <c r="H861" s="2" t="s">
        <v>74</v>
      </c>
      <c r="I861" s="2" t="s">
        <v>6306</v>
      </c>
      <c r="J861" s="2" t="s">
        <v>654</v>
      </c>
      <c r="K861" s="2" t="s">
        <v>74</v>
      </c>
      <c r="L861" s="2" t="s">
        <v>74</v>
      </c>
      <c r="M861" s="2" t="s">
        <v>74</v>
      </c>
      <c r="N861" s="2" t="s">
        <v>74</v>
      </c>
      <c r="O861" s="2" t="s">
        <v>74</v>
      </c>
      <c r="P861" s="2" t="s">
        <v>74</v>
      </c>
      <c r="Q861" s="2" t="s">
        <v>74</v>
      </c>
      <c r="R861" s="2" t="s">
        <v>74</v>
      </c>
      <c r="S861" s="2" t="s">
        <v>74</v>
      </c>
      <c r="T861" s="2" t="s">
        <v>74</v>
      </c>
      <c r="U861" s="2" t="s">
        <v>74</v>
      </c>
      <c r="V861" s="5" t="s">
        <v>6307</v>
      </c>
      <c r="W861" s="2" t="s">
        <v>74</v>
      </c>
      <c r="X861" s="2" t="s">
        <v>74</v>
      </c>
      <c r="Y861" s="2" t="s">
        <v>74</v>
      </c>
      <c r="Z861" s="2" t="s">
        <v>74</v>
      </c>
      <c r="AA861" s="2" t="s">
        <v>6308</v>
      </c>
      <c r="AB861" s="2" t="s">
        <v>6309</v>
      </c>
      <c r="AC861" s="2" t="s">
        <v>74</v>
      </c>
      <c r="AD861" s="2" t="s">
        <v>74</v>
      </c>
      <c r="AE861" s="2" t="s">
        <v>74</v>
      </c>
      <c r="AF861" s="2" t="s">
        <v>74</v>
      </c>
      <c r="AG861" s="2" t="s">
        <v>74</v>
      </c>
      <c r="AH861" s="2" t="s">
        <v>74</v>
      </c>
      <c r="AI861" s="2" t="s">
        <v>74</v>
      </c>
      <c r="AJ861" s="2" t="s">
        <v>74</v>
      </c>
      <c r="AK861" s="2" t="s">
        <v>74</v>
      </c>
      <c r="AL861" s="2" t="s">
        <v>74</v>
      </c>
      <c r="AM861" s="2" t="s">
        <v>74</v>
      </c>
      <c r="AN861" s="2" t="s">
        <v>74</v>
      </c>
      <c r="AO861" s="2" t="s">
        <v>658</v>
      </c>
      <c r="AP861" s="2" t="s">
        <v>74</v>
      </c>
      <c r="AQ861" s="2" t="s">
        <v>74</v>
      </c>
      <c r="AR861" s="2" t="s">
        <v>74</v>
      </c>
      <c r="AS861" s="2" t="s">
        <v>74</v>
      </c>
      <c r="AT861" s="2" t="s">
        <v>134</v>
      </c>
      <c r="AU861" s="2">
        <v>2021</v>
      </c>
      <c r="AV861" s="2">
        <v>11</v>
      </c>
      <c r="AW861" s="2">
        <v>9</v>
      </c>
      <c r="AX861" s="2" t="s">
        <v>74</v>
      </c>
      <c r="AY861" s="2" t="s">
        <v>74</v>
      </c>
      <c r="AZ861" s="2" t="s">
        <v>74</v>
      </c>
      <c r="BA861" s="2" t="s">
        <v>74</v>
      </c>
      <c r="BB861" s="2">
        <v>4399</v>
      </c>
      <c r="BC861" s="2">
        <v>4412</v>
      </c>
      <c r="BD861" s="2" t="s">
        <v>74</v>
      </c>
      <c r="BE861" s="2" t="s">
        <v>6310</v>
      </c>
      <c r="BF861" s="2" t="str">
        <f>HYPERLINK("http://dx.doi.org/10.1002/ece3.7335","http://dx.doi.org/10.1002/ece3.7335")</f>
        <v>http://dx.doi.org/10.1002/ece3.7335</v>
      </c>
      <c r="BG861" s="2" t="s">
        <v>74</v>
      </c>
      <c r="BH861" s="2" t="s">
        <v>236</v>
      </c>
      <c r="BI861" s="2" t="s">
        <v>74</v>
      </c>
      <c r="BJ861" s="2" t="s">
        <v>74</v>
      </c>
      <c r="BK861" s="2" t="s">
        <v>74</v>
      </c>
      <c r="BL861" s="2" t="s">
        <v>74</v>
      </c>
      <c r="BM861" s="2" t="s">
        <v>74</v>
      </c>
      <c r="BN861" s="2">
        <v>33976818</v>
      </c>
      <c r="BO861" s="2" t="s">
        <v>74</v>
      </c>
      <c r="BP861" s="2" t="s">
        <v>74</v>
      </c>
      <c r="BQ861" s="2" t="s">
        <v>74</v>
      </c>
      <c r="BR861" s="2" t="s">
        <v>74</v>
      </c>
      <c r="BS861" s="2" t="s">
        <v>6311</v>
      </c>
      <c r="BT861" s="2" t="str">
        <f>HYPERLINK("https%3A%2F%2Fwww.webofscience.com%2Fwos%2Fwoscc%2Ffull-record%2FWOS:000629779400001","View Full Record in Web of Science")</f>
        <v>View Full Record in Web of Science</v>
      </c>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row>
    <row r="862" spans="1:314" s="2" customFormat="1" x14ac:dyDescent="0.4">
      <c r="A862" s="2" t="s">
        <v>72</v>
      </c>
      <c r="B862" s="2" t="s">
        <v>5581</v>
      </c>
      <c r="C862" s="2" t="s">
        <v>74</v>
      </c>
      <c r="D862" s="2" t="s">
        <v>74</v>
      </c>
      <c r="E862" s="2" t="s">
        <v>74</v>
      </c>
      <c r="F862" s="2" t="s">
        <v>5582</v>
      </c>
      <c r="G862" s="2" t="s">
        <v>74</v>
      </c>
      <c r="H862" s="2" t="s">
        <v>74</v>
      </c>
      <c r="I862" s="2" t="s">
        <v>5583</v>
      </c>
      <c r="J862" s="2" t="s">
        <v>2677</v>
      </c>
      <c r="K862" s="2" t="s">
        <v>74</v>
      </c>
      <c r="L862" s="2" t="s">
        <v>74</v>
      </c>
      <c r="M862" s="2" t="s">
        <v>74</v>
      </c>
      <c r="N862" s="2" t="s">
        <v>74</v>
      </c>
      <c r="O862" s="2" t="s">
        <v>74</v>
      </c>
      <c r="P862" s="2" t="s">
        <v>74</v>
      </c>
      <c r="Q862" s="2" t="s">
        <v>74</v>
      </c>
      <c r="R862" s="2" t="s">
        <v>74</v>
      </c>
      <c r="S862" s="2" t="s">
        <v>74</v>
      </c>
      <c r="T862" s="2" t="s">
        <v>74</v>
      </c>
      <c r="U862" s="2" t="s">
        <v>74</v>
      </c>
      <c r="V862" s="5" t="s">
        <v>5584</v>
      </c>
      <c r="W862" s="2" t="s">
        <v>74</v>
      </c>
      <c r="X862" s="2" t="s">
        <v>74</v>
      </c>
      <c r="Y862" s="2" t="s">
        <v>74</v>
      </c>
      <c r="Z862" s="2" t="s">
        <v>74</v>
      </c>
      <c r="AA862" s="2" t="s">
        <v>74</v>
      </c>
      <c r="AB862" s="2" t="s">
        <v>74</v>
      </c>
      <c r="AC862" s="2" t="s">
        <v>74</v>
      </c>
      <c r="AD862" s="2" t="s">
        <v>74</v>
      </c>
      <c r="AE862" s="2" t="s">
        <v>74</v>
      </c>
      <c r="AF862" s="2" t="s">
        <v>74</v>
      </c>
      <c r="AG862" s="2" t="s">
        <v>74</v>
      </c>
      <c r="AH862" s="2" t="s">
        <v>74</v>
      </c>
      <c r="AI862" s="2" t="s">
        <v>74</v>
      </c>
      <c r="AJ862" s="2" t="s">
        <v>74</v>
      </c>
      <c r="AK862" s="2" t="s">
        <v>74</v>
      </c>
      <c r="AL862" s="2" t="s">
        <v>74</v>
      </c>
      <c r="AM862" s="2" t="s">
        <v>74</v>
      </c>
      <c r="AN862" s="2" t="s">
        <v>74</v>
      </c>
      <c r="AO862" s="2" t="s">
        <v>2681</v>
      </c>
      <c r="AP862" s="2" t="s">
        <v>2682</v>
      </c>
      <c r="AQ862" s="2" t="s">
        <v>74</v>
      </c>
      <c r="AR862" s="2" t="s">
        <v>74</v>
      </c>
      <c r="AS862" s="2" t="s">
        <v>74</v>
      </c>
      <c r="AT862" s="2" t="s">
        <v>74</v>
      </c>
      <c r="AU862" s="2">
        <v>2011</v>
      </c>
      <c r="AV862" s="2">
        <v>4</v>
      </c>
      <c r="AW862" s="2">
        <v>4</v>
      </c>
      <c r="AX862" s="2" t="s">
        <v>74</v>
      </c>
      <c r="AY862" s="2" t="s">
        <v>74</v>
      </c>
      <c r="AZ862" s="2" t="s">
        <v>74</v>
      </c>
      <c r="BA862" s="2" t="s">
        <v>74</v>
      </c>
      <c r="BB862" s="2">
        <v>231</v>
      </c>
      <c r="BC862" s="2">
        <v>236</v>
      </c>
      <c r="BD862" s="2" t="s">
        <v>74</v>
      </c>
      <c r="BE862" s="2" t="s">
        <v>5585</v>
      </c>
      <c r="BF862" s="2" t="str">
        <f>HYPERLINK("http://dx.doi.org/10.3184/175815511X13228268534598","http://dx.doi.org/10.3184/175815511X13228268534598")</f>
        <v>http://dx.doi.org/10.3184/175815511X13228268534598</v>
      </c>
      <c r="BG862" s="2" t="s">
        <v>74</v>
      </c>
      <c r="BH862" s="2" t="s">
        <v>74</v>
      </c>
      <c r="BI862" s="2" t="s">
        <v>74</v>
      </c>
      <c r="BJ862" s="2" t="s">
        <v>74</v>
      </c>
      <c r="BK862" s="2" t="s">
        <v>74</v>
      </c>
      <c r="BL862" s="2" t="s">
        <v>74</v>
      </c>
      <c r="BM862" s="2" t="s">
        <v>74</v>
      </c>
      <c r="BN862" s="2" t="s">
        <v>74</v>
      </c>
      <c r="BO862" s="2" t="s">
        <v>74</v>
      </c>
      <c r="BP862" s="2" t="s">
        <v>74</v>
      </c>
      <c r="BQ862" s="2" t="s">
        <v>74</v>
      </c>
      <c r="BR862" s="2" t="s">
        <v>74</v>
      </c>
      <c r="BS862" s="2" t="s">
        <v>5586</v>
      </c>
      <c r="BT862" s="2" t="str">
        <f>HYPERLINK("https%3A%2F%2Fwww.webofscience.com%2Fwos%2Fwoscc%2Ffull-record%2FWOS:000299488300008","View Full Record in Web of Science")</f>
        <v>View Full Record in Web of Science</v>
      </c>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row>
    <row r="863" spans="1:314" s="2" customFormat="1" x14ac:dyDescent="0.4">
      <c r="A863" s="2" t="s">
        <v>72</v>
      </c>
      <c r="B863" s="2" t="s">
        <v>904</v>
      </c>
      <c r="C863" s="2" t="s">
        <v>74</v>
      </c>
      <c r="D863" s="2" t="s">
        <v>74</v>
      </c>
      <c r="E863" s="2" t="s">
        <v>74</v>
      </c>
      <c r="F863" s="2" t="s">
        <v>905</v>
      </c>
      <c r="G863" s="2" t="s">
        <v>74</v>
      </c>
      <c r="H863" s="2" t="s">
        <v>74</v>
      </c>
      <c r="I863" s="2" t="s">
        <v>906</v>
      </c>
      <c r="J863" s="2" t="s">
        <v>119</v>
      </c>
      <c r="K863" s="2" t="s">
        <v>74</v>
      </c>
      <c r="L863" s="2" t="s">
        <v>74</v>
      </c>
      <c r="M863" s="2" t="s">
        <v>74</v>
      </c>
      <c r="N863" s="2" t="s">
        <v>74</v>
      </c>
      <c r="O863" s="2" t="s">
        <v>74</v>
      </c>
      <c r="P863" s="2" t="s">
        <v>74</v>
      </c>
      <c r="Q863" s="2" t="s">
        <v>74</v>
      </c>
      <c r="R863" s="2" t="s">
        <v>74</v>
      </c>
      <c r="S863" s="2" t="s">
        <v>74</v>
      </c>
      <c r="T863" s="2" t="s">
        <v>74</v>
      </c>
      <c r="U863" s="2" t="s">
        <v>74</v>
      </c>
      <c r="V863" s="5" t="s">
        <v>907</v>
      </c>
      <c r="W863" s="2" t="s">
        <v>74</v>
      </c>
      <c r="X863" s="2" t="s">
        <v>74</v>
      </c>
      <c r="Y863" s="2" t="s">
        <v>74</v>
      </c>
      <c r="Z863" s="2" t="s">
        <v>74</v>
      </c>
      <c r="AA863" s="2" t="s">
        <v>908</v>
      </c>
      <c r="AB863" s="2" t="s">
        <v>909</v>
      </c>
      <c r="AC863" s="2" t="s">
        <v>74</v>
      </c>
      <c r="AD863" s="2" t="s">
        <v>74</v>
      </c>
      <c r="AE863" s="2" t="s">
        <v>74</v>
      </c>
      <c r="AF863" s="2" t="s">
        <v>74</v>
      </c>
      <c r="AG863" s="2" t="s">
        <v>74</v>
      </c>
      <c r="AH863" s="2" t="s">
        <v>74</v>
      </c>
      <c r="AI863" s="2" t="s">
        <v>74</v>
      </c>
      <c r="AJ863" s="2" t="s">
        <v>74</v>
      </c>
      <c r="AK863" s="2" t="s">
        <v>74</v>
      </c>
      <c r="AL863" s="2" t="s">
        <v>74</v>
      </c>
      <c r="AM863" s="2" t="s">
        <v>74</v>
      </c>
      <c r="AN863" s="2" t="s">
        <v>74</v>
      </c>
      <c r="AO863" s="2" t="s">
        <v>121</v>
      </c>
      <c r="AP863" s="2" t="s">
        <v>122</v>
      </c>
      <c r="AQ863" s="2" t="s">
        <v>74</v>
      </c>
      <c r="AR863" s="2" t="s">
        <v>74</v>
      </c>
      <c r="AS863" s="2" t="s">
        <v>74</v>
      </c>
      <c r="AT863" s="2" t="s">
        <v>102</v>
      </c>
      <c r="AU863" s="2">
        <v>2014</v>
      </c>
      <c r="AV863" s="2">
        <v>105</v>
      </c>
      <c r="AW863" s="2" t="s">
        <v>74</v>
      </c>
      <c r="AX863" s="2" t="s">
        <v>74</v>
      </c>
      <c r="AY863" s="2" t="s">
        <v>74</v>
      </c>
      <c r="AZ863" s="2" t="s">
        <v>74</v>
      </c>
      <c r="BA863" s="2" t="s">
        <v>74</v>
      </c>
      <c r="BB863" s="2">
        <v>15</v>
      </c>
      <c r="BC863" s="2">
        <v>18</v>
      </c>
      <c r="BD863" s="2" t="s">
        <v>74</v>
      </c>
      <c r="BE863" s="2" t="s">
        <v>910</v>
      </c>
      <c r="BF863" s="2" t="str">
        <f>HYPERLINK("http://dx.doi.org/10.1016/j.beproc.2014.02.003","http://dx.doi.org/10.1016/j.beproc.2014.02.003")</f>
        <v>http://dx.doi.org/10.1016/j.beproc.2014.02.003</v>
      </c>
      <c r="BG863" s="2" t="s">
        <v>74</v>
      </c>
      <c r="BH863" s="2" t="s">
        <v>74</v>
      </c>
      <c r="BI863" s="2" t="s">
        <v>74</v>
      </c>
      <c r="BJ863" s="2" t="s">
        <v>74</v>
      </c>
      <c r="BK863" s="2" t="s">
        <v>74</v>
      </c>
      <c r="BL863" s="2" t="s">
        <v>74</v>
      </c>
      <c r="BM863" s="2" t="s">
        <v>74</v>
      </c>
      <c r="BN863" s="2">
        <v>24525358</v>
      </c>
      <c r="BO863" s="2" t="s">
        <v>74</v>
      </c>
      <c r="BP863" s="2" t="s">
        <v>74</v>
      </c>
      <c r="BQ863" s="2" t="s">
        <v>74</v>
      </c>
      <c r="BR863" s="2" t="s">
        <v>74</v>
      </c>
      <c r="BS863" s="2" t="s">
        <v>911</v>
      </c>
      <c r="BT863" s="2" t="str">
        <f>HYPERLINK("https%3A%2F%2Fwww.webofscience.com%2Fwos%2Fwoscc%2Ffull-record%2FWOS:000336827500003","View Full Record in Web of Science")</f>
        <v>View Full Record in Web of Science</v>
      </c>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row>
    <row r="864" spans="1:314" s="2" customFormat="1" x14ac:dyDescent="0.4">
      <c r="A864" s="2" t="s">
        <v>72</v>
      </c>
      <c r="B864" s="2" t="s">
        <v>7054</v>
      </c>
      <c r="C864" s="2" t="s">
        <v>74</v>
      </c>
      <c r="D864" s="2" t="s">
        <v>74</v>
      </c>
      <c r="E864" s="2" t="s">
        <v>74</v>
      </c>
      <c r="F864" s="2" t="s">
        <v>7055</v>
      </c>
      <c r="G864" s="2" t="s">
        <v>74</v>
      </c>
      <c r="H864" s="2" t="s">
        <v>74</v>
      </c>
      <c r="I864" s="2" t="s">
        <v>7056</v>
      </c>
      <c r="J864" s="2" t="s">
        <v>1656</v>
      </c>
      <c r="K864" s="2" t="s">
        <v>74</v>
      </c>
      <c r="L864" s="2" t="s">
        <v>74</v>
      </c>
      <c r="M864" s="2" t="s">
        <v>74</v>
      </c>
      <c r="N864" s="2" t="s">
        <v>74</v>
      </c>
      <c r="O864" s="2" t="s">
        <v>74</v>
      </c>
      <c r="P864" s="2" t="s">
        <v>74</v>
      </c>
      <c r="Q864" s="2" t="s">
        <v>74</v>
      </c>
      <c r="R864" s="2" t="s">
        <v>74</v>
      </c>
      <c r="S864" s="2" t="s">
        <v>74</v>
      </c>
      <c r="T864" s="2" t="s">
        <v>74</v>
      </c>
      <c r="U864" s="2" t="s">
        <v>74</v>
      </c>
      <c r="V864" s="5" t="s">
        <v>7057</v>
      </c>
      <c r="W864" s="2" t="s">
        <v>74</v>
      </c>
      <c r="X864" s="2" t="s">
        <v>74</v>
      </c>
      <c r="Y864" s="2" t="s">
        <v>74</v>
      </c>
      <c r="Z864" s="2" t="s">
        <v>74</v>
      </c>
      <c r="AA864" s="2" t="s">
        <v>74</v>
      </c>
      <c r="AB864" s="2" t="s">
        <v>74</v>
      </c>
      <c r="AC864" s="2" t="s">
        <v>74</v>
      </c>
      <c r="AD864" s="2" t="s">
        <v>74</v>
      </c>
      <c r="AE864" s="2" t="s">
        <v>74</v>
      </c>
      <c r="AF864" s="2" t="s">
        <v>74</v>
      </c>
      <c r="AG864" s="2" t="s">
        <v>74</v>
      </c>
      <c r="AH864" s="2" t="s">
        <v>74</v>
      </c>
      <c r="AI864" s="2" t="s">
        <v>74</v>
      </c>
      <c r="AJ864" s="2" t="s">
        <v>74</v>
      </c>
      <c r="AK864" s="2" t="s">
        <v>74</v>
      </c>
      <c r="AL864" s="2" t="s">
        <v>74</v>
      </c>
      <c r="AM864" s="2" t="s">
        <v>74</v>
      </c>
      <c r="AN864" s="2" t="s">
        <v>74</v>
      </c>
      <c r="AO864" s="2" t="s">
        <v>1658</v>
      </c>
      <c r="AP864" s="2" t="s">
        <v>1659</v>
      </c>
      <c r="AQ864" s="2" t="s">
        <v>74</v>
      </c>
      <c r="AR864" s="2" t="s">
        <v>74</v>
      </c>
      <c r="AS864" s="2" t="s">
        <v>74</v>
      </c>
      <c r="AT864" s="2" t="s">
        <v>7058</v>
      </c>
      <c r="AU864" s="2">
        <v>2019</v>
      </c>
      <c r="AV864" s="2">
        <v>4695</v>
      </c>
      <c r="AW864" s="2">
        <v>6</v>
      </c>
      <c r="AX864" s="2" t="s">
        <v>74</v>
      </c>
      <c r="AY864" s="2" t="s">
        <v>74</v>
      </c>
      <c r="AZ864" s="2" t="s">
        <v>74</v>
      </c>
      <c r="BA864" s="2" t="s">
        <v>74</v>
      </c>
      <c r="BB864" s="2">
        <v>501</v>
      </c>
      <c r="BC864" s="2">
        <v>515</v>
      </c>
      <c r="BD864" s="2" t="s">
        <v>74</v>
      </c>
      <c r="BE864" s="2" t="s">
        <v>7059</v>
      </c>
      <c r="BF864" s="2" t="str">
        <f>HYPERLINK("http://dx.doi.org/10.11646/zootaxa.4695.6.1","http://dx.doi.org/10.11646/zootaxa.4695.6.1")</f>
        <v>http://dx.doi.org/10.11646/zootaxa.4695.6.1</v>
      </c>
      <c r="BG864" s="2" t="s">
        <v>74</v>
      </c>
      <c r="BH864" s="2" t="s">
        <v>74</v>
      </c>
      <c r="BI864" s="2" t="s">
        <v>74</v>
      </c>
      <c r="BJ864" s="2" t="s">
        <v>74</v>
      </c>
      <c r="BK864" s="2" t="s">
        <v>74</v>
      </c>
      <c r="BL864" s="2" t="s">
        <v>74</v>
      </c>
      <c r="BM864" s="2" t="s">
        <v>74</v>
      </c>
      <c r="BN864" s="2">
        <v>31719322</v>
      </c>
      <c r="BO864" s="2" t="s">
        <v>74</v>
      </c>
      <c r="BP864" s="2" t="s">
        <v>74</v>
      </c>
      <c r="BQ864" s="2" t="s">
        <v>74</v>
      </c>
      <c r="BR864" s="2" t="s">
        <v>74</v>
      </c>
      <c r="BS864" s="2" t="s">
        <v>7060</v>
      </c>
      <c r="BT864" s="2" t="str">
        <f>HYPERLINK("https%3A%2F%2Fwww.webofscience.com%2Fwos%2Fwoscc%2Ffull-record%2FWOS:000497817600001","View Full Record in Web of Science")</f>
        <v>View Full Record in Web of Science</v>
      </c>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row>
    <row r="865" spans="1:314" s="2" customFormat="1" x14ac:dyDescent="0.4">
      <c r="A865" s="2" t="s">
        <v>72</v>
      </c>
      <c r="B865" s="2" t="s">
        <v>1205</v>
      </c>
      <c r="C865" s="2" t="s">
        <v>74</v>
      </c>
      <c r="D865" s="2" t="s">
        <v>74</v>
      </c>
      <c r="E865" s="2" t="s">
        <v>74</v>
      </c>
      <c r="F865" s="2" t="s">
        <v>1205</v>
      </c>
      <c r="G865" s="2" t="s">
        <v>74</v>
      </c>
      <c r="H865" s="2" t="s">
        <v>74</v>
      </c>
      <c r="I865" s="2" t="s">
        <v>1206</v>
      </c>
      <c r="J865" s="2" t="s">
        <v>88</v>
      </c>
      <c r="K865" s="2" t="s">
        <v>74</v>
      </c>
      <c r="L865" s="2" t="s">
        <v>74</v>
      </c>
      <c r="M865" s="2" t="s">
        <v>74</v>
      </c>
      <c r="N865" s="2" t="s">
        <v>74</v>
      </c>
      <c r="O865" s="2" t="s">
        <v>74</v>
      </c>
      <c r="P865" s="2" t="s">
        <v>74</v>
      </c>
      <c r="Q865" s="2" t="s">
        <v>74</v>
      </c>
      <c r="R865" s="2" t="s">
        <v>74</v>
      </c>
      <c r="S865" s="2" t="s">
        <v>74</v>
      </c>
      <c r="T865" s="2" t="s">
        <v>74</v>
      </c>
      <c r="U865" s="2" t="s">
        <v>74</v>
      </c>
      <c r="V865" s="5" t="s">
        <v>1207</v>
      </c>
      <c r="W865" s="2" t="s">
        <v>74</v>
      </c>
      <c r="X865" s="2" t="s">
        <v>74</v>
      </c>
      <c r="Y865" s="2" t="s">
        <v>74</v>
      </c>
      <c r="Z865" s="2" t="s">
        <v>74</v>
      </c>
      <c r="AA865" s="2" t="s">
        <v>1208</v>
      </c>
      <c r="AB865" s="2" t="s">
        <v>1209</v>
      </c>
      <c r="AC865" s="2" t="s">
        <v>74</v>
      </c>
      <c r="AD865" s="2" t="s">
        <v>74</v>
      </c>
      <c r="AE865" s="2" t="s">
        <v>74</v>
      </c>
      <c r="AF865" s="2" t="s">
        <v>74</v>
      </c>
      <c r="AG865" s="2" t="s">
        <v>74</v>
      </c>
      <c r="AH865" s="2" t="s">
        <v>74</v>
      </c>
      <c r="AI865" s="2" t="s">
        <v>74</v>
      </c>
      <c r="AJ865" s="2" t="s">
        <v>74</v>
      </c>
      <c r="AK865" s="2" t="s">
        <v>74</v>
      </c>
      <c r="AL865" s="2" t="s">
        <v>74</v>
      </c>
      <c r="AM865" s="2" t="s">
        <v>74</v>
      </c>
      <c r="AN865" s="2" t="s">
        <v>74</v>
      </c>
      <c r="AO865" s="2" t="s">
        <v>91</v>
      </c>
      <c r="AP865" s="2" t="s">
        <v>74</v>
      </c>
      <c r="AQ865" s="2" t="s">
        <v>74</v>
      </c>
      <c r="AR865" s="2" t="s">
        <v>74</v>
      </c>
      <c r="AS865" s="2" t="s">
        <v>74</v>
      </c>
      <c r="AT865" s="2" t="s">
        <v>1210</v>
      </c>
      <c r="AU865" s="2">
        <v>2005</v>
      </c>
      <c r="AV865" s="2">
        <v>1</v>
      </c>
      <c r="AW865" s="2">
        <v>4</v>
      </c>
      <c r="AX865" s="2" t="s">
        <v>74</v>
      </c>
      <c r="AY865" s="2" t="s">
        <v>74</v>
      </c>
      <c r="AZ865" s="2" t="s">
        <v>74</v>
      </c>
      <c r="BA865" s="2" t="s">
        <v>74</v>
      </c>
      <c r="BB865" s="2">
        <v>411</v>
      </c>
      <c r="BC865" s="2">
        <v>414</v>
      </c>
      <c r="BD865" s="2" t="s">
        <v>74</v>
      </c>
      <c r="BE865" s="2" t="s">
        <v>1211</v>
      </c>
      <c r="BF865" s="2" t="str">
        <f>HYPERLINK("http://dx.doi.org/10.1098/rsbl.2005.0355","http://dx.doi.org/10.1098/rsbl.2005.0355")</f>
        <v>http://dx.doi.org/10.1098/rsbl.2005.0355</v>
      </c>
      <c r="BG865" s="2" t="s">
        <v>74</v>
      </c>
      <c r="BH865" s="2" t="s">
        <v>74</v>
      </c>
      <c r="BI865" s="2" t="s">
        <v>74</v>
      </c>
      <c r="BJ865" s="2" t="s">
        <v>74</v>
      </c>
      <c r="BK865" s="2" t="s">
        <v>74</v>
      </c>
      <c r="BL865" s="2" t="s">
        <v>74</v>
      </c>
      <c r="BM865" s="2" t="s">
        <v>74</v>
      </c>
      <c r="BN865" s="2">
        <v>17148220</v>
      </c>
      <c r="BO865" s="2" t="s">
        <v>74</v>
      </c>
      <c r="BP865" s="2" t="s">
        <v>74</v>
      </c>
      <c r="BQ865" s="2" t="s">
        <v>74</v>
      </c>
      <c r="BR865" s="2" t="s">
        <v>74</v>
      </c>
      <c r="BS865" s="2" t="s">
        <v>1212</v>
      </c>
      <c r="BT865" s="2" t="str">
        <f>HYPERLINK("https%3A%2F%2Fwww.webofscience.com%2Fwos%2Fwoscc%2Ffull-record%2FWOS:000233911600009","View Full Record in Web of Science")</f>
        <v>View Full Record in Web of Science</v>
      </c>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row>
    <row r="866" spans="1:314" s="2" customFormat="1" x14ac:dyDescent="0.4">
      <c r="A866" s="2" t="s">
        <v>72</v>
      </c>
      <c r="B866" s="2" t="s">
        <v>2429</v>
      </c>
      <c r="C866" s="2" t="s">
        <v>74</v>
      </c>
      <c r="D866" s="2" t="s">
        <v>74</v>
      </c>
      <c r="E866" s="2" t="s">
        <v>74</v>
      </c>
      <c r="F866" s="2" t="s">
        <v>2429</v>
      </c>
      <c r="G866" s="2" t="s">
        <v>74</v>
      </c>
      <c r="H866" s="2" t="s">
        <v>74</v>
      </c>
      <c r="I866" s="2" t="s">
        <v>2430</v>
      </c>
      <c r="J866" s="2" t="s">
        <v>1112</v>
      </c>
      <c r="K866" s="2" t="s">
        <v>74</v>
      </c>
      <c r="L866" s="2" t="s">
        <v>74</v>
      </c>
      <c r="M866" s="2" t="s">
        <v>74</v>
      </c>
      <c r="N866" s="2" t="s">
        <v>74</v>
      </c>
      <c r="O866" s="2" t="s">
        <v>74</v>
      </c>
      <c r="P866" s="2" t="s">
        <v>74</v>
      </c>
      <c r="Q866" s="2" t="s">
        <v>74</v>
      </c>
      <c r="R866" s="2" t="s">
        <v>74</v>
      </c>
      <c r="S866" s="2" t="s">
        <v>74</v>
      </c>
      <c r="T866" s="2" t="s">
        <v>74</v>
      </c>
      <c r="U866" s="2" t="s">
        <v>74</v>
      </c>
      <c r="V866" s="5" t="s">
        <v>2431</v>
      </c>
      <c r="W866" s="2" t="s">
        <v>74</v>
      </c>
      <c r="X866" s="2" t="s">
        <v>74</v>
      </c>
      <c r="Y866" s="2" t="s">
        <v>74</v>
      </c>
      <c r="Z866" s="2" t="s">
        <v>74</v>
      </c>
      <c r="AA866" s="2" t="s">
        <v>805</v>
      </c>
      <c r="AB866" s="2" t="s">
        <v>2432</v>
      </c>
      <c r="AC866" s="2" t="s">
        <v>74</v>
      </c>
      <c r="AD866" s="2" t="s">
        <v>74</v>
      </c>
      <c r="AE866" s="2" t="s">
        <v>74</v>
      </c>
      <c r="AF866" s="2" t="s">
        <v>74</v>
      </c>
      <c r="AG866" s="2" t="s">
        <v>74</v>
      </c>
      <c r="AH866" s="2" t="s">
        <v>74</v>
      </c>
      <c r="AI866" s="2" t="s">
        <v>74</v>
      </c>
      <c r="AJ866" s="2" t="s">
        <v>74</v>
      </c>
      <c r="AK866" s="2" t="s">
        <v>74</v>
      </c>
      <c r="AL866" s="2" t="s">
        <v>74</v>
      </c>
      <c r="AM866" s="2" t="s">
        <v>74</v>
      </c>
      <c r="AN866" s="2" t="s">
        <v>74</v>
      </c>
      <c r="AO866" s="2" t="s">
        <v>1114</v>
      </c>
      <c r="AP866" s="2" t="s">
        <v>74</v>
      </c>
      <c r="AQ866" s="2" t="s">
        <v>74</v>
      </c>
      <c r="AR866" s="2" t="s">
        <v>74</v>
      </c>
      <c r="AS866" s="2" t="s">
        <v>74</v>
      </c>
      <c r="AT866" s="2" t="s">
        <v>633</v>
      </c>
      <c r="AU866" s="2">
        <v>1997</v>
      </c>
      <c r="AV866" s="2">
        <v>52</v>
      </c>
      <c r="AW866" s="2" t="s">
        <v>1276</v>
      </c>
      <c r="AX866" s="2" t="s">
        <v>74</v>
      </c>
      <c r="AY866" s="2" t="s">
        <v>74</v>
      </c>
      <c r="AZ866" s="2" t="s">
        <v>74</v>
      </c>
      <c r="BA866" s="2" t="s">
        <v>74</v>
      </c>
      <c r="BB866" s="2">
        <v>215</v>
      </c>
      <c r="BC866" s="2">
        <v>227</v>
      </c>
      <c r="BD866" s="2" t="s">
        <v>74</v>
      </c>
      <c r="BE866" s="2" t="s">
        <v>2433</v>
      </c>
      <c r="BF866" s="2" t="str">
        <f>HYPERLINK("http://dx.doi.org/10.1016/S0168-1591(96)01124-0","http://dx.doi.org/10.1016/S0168-1591(96)01124-0")</f>
        <v>http://dx.doi.org/10.1016/S0168-1591(96)01124-0</v>
      </c>
      <c r="BG866" s="2" t="s">
        <v>74</v>
      </c>
      <c r="BH866" s="2" t="s">
        <v>74</v>
      </c>
      <c r="BI866" s="2" t="s">
        <v>74</v>
      </c>
      <c r="BJ866" s="2" t="s">
        <v>74</v>
      </c>
      <c r="BK866" s="2" t="s">
        <v>74</v>
      </c>
      <c r="BL866" s="2" t="s">
        <v>74</v>
      </c>
      <c r="BM866" s="2" t="s">
        <v>74</v>
      </c>
      <c r="BN866" s="2" t="s">
        <v>74</v>
      </c>
      <c r="BO866" s="2" t="s">
        <v>74</v>
      </c>
      <c r="BP866" s="2" t="s">
        <v>74</v>
      </c>
      <c r="BQ866" s="2" t="s">
        <v>74</v>
      </c>
      <c r="BR866" s="2" t="s">
        <v>74</v>
      </c>
      <c r="BS866" s="2" t="s">
        <v>2434</v>
      </c>
      <c r="BT866" s="2" t="str">
        <f>HYPERLINK("https%3A%2F%2Fwww.webofscience.com%2Fwos%2Fwoscc%2Ffull-record%2FWOS:A1997XA61600004","View Full Record in Web of Science")</f>
        <v>View Full Record in Web of Science</v>
      </c>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row>
    <row r="867" spans="1:314" s="2" customFormat="1" x14ac:dyDescent="0.4">
      <c r="A867" s="2" t="s">
        <v>72</v>
      </c>
      <c r="B867" s="2" t="s">
        <v>3733</v>
      </c>
      <c r="C867" s="2" t="s">
        <v>74</v>
      </c>
      <c r="D867" s="2" t="s">
        <v>74</v>
      </c>
      <c r="E867" s="2" t="s">
        <v>74</v>
      </c>
      <c r="F867" s="2" t="s">
        <v>3734</v>
      </c>
      <c r="G867" s="2" t="s">
        <v>74</v>
      </c>
      <c r="H867" s="2" t="s">
        <v>74</v>
      </c>
      <c r="I867" s="2" t="s">
        <v>3735</v>
      </c>
      <c r="J867" s="2" t="s">
        <v>140</v>
      </c>
      <c r="K867" s="2" t="s">
        <v>74</v>
      </c>
      <c r="L867" s="2" t="s">
        <v>74</v>
      </c>
      <c r="M867" s="2" t="s">
        <v>74</v>
      </c>
      <c r="N867" s="2" t="s">
        <v>74</v>
      </c>
      <c r="O867" s="2" t="s">
        <v>74</v>
      </c>
      <c r="P867" s="2" t="s">
        <v>74</v>
      </c>
      <c r="Q867" s="2" t="s">
        <v>74</v>
      </c>
      <c r="R867" s="2" t="s">
        <v>74</v>
      </c>
      <c r="S867" s="2" t="s">
        <v>74</v>
      </c>
      <c r="T867" s="2" t="s">
        <v>74</v>
      </c>
      <c r="U867" s="2" t="s">
        <v>74</v>
      </c>
      <c r="V867" s="5" t="s">
        <v>3736</v>
      </c>
      <c r="W867" s="2" t="s">
        <v>74</v>
      </c>
      <c r="X867" s="2" t="s">
        <v>74</v>
      </c>
      <c r="Y867" s="2" t="s">
        <v>74</v>
      </c>
      <c r="Z867" s="2" t="s">
        <v>74</v>
      </c>
      <c r="AA867" s="2" t="s">
        <v>3737</v>
      </c>
      <c r="AB867" s="2" t="s">
        <v>1976</v>
      </c>
      <c r="AC867" s="2" t="s">
        <v>74</v>
      </c>
      <c r="AD867" s="2" t="s">
        <v>74</v>
      </c>
      <c r="AE867" s="2" t="s">
        <v>74</v>
      </c>
      <c r="AF867" s="2" t="s">
        <v>74</v>
      </c>
      <c r="AG867" s="2" t="s">
        <v>74</v>
      </c>
      <c r="AH867" s="2" t="s">
        <v>74</v>
      </c>
      <c r="AI867" s="2" t="s">
        <v>74</v>
      </c>
      <c r="AJ867" s="2" t="s">
        <v>74</v>
      </c>
      <c r="AK867" s="2" t="s">
        <v>74</v>
      </c>
      <c r="AL867" s="2" t="s">
        <v>74</v>
      </c>
      <c r="AM867" s="2" t="s">
        <v>74</v>
      </c>
      <c r="AN867" s="2" t="s">
        <v>74</v>
      </c>
      <c r="AO867" s="2" t="s">
        <v>143</v>
      </c>
      <c r="AP867" s="2" t="s">
        <v>144</v>
      </c>
      <c r="AQ867" s="2" t="s">
        <v>74</v>
      </c>
      <c r="AR867" s="2" t="s">
        <v>74</v>
      </c>
      <c r="AS867" s="2" t="s">
        <v>74</v>
      </c>
      <c r="AT867" s="2" t="s">
        <v>352</v>
      </c>
      <c r="AU867" s="2">
        <v>2007</v>
      </c>
      <c r="AV867" s="2">
        <v>74</v>
      </c>
      <c r="AW867" s="2" t="s">
        <v>74</v>
      </c>
      <c r="AX867" s="2">
        <v>3</v>
      </c>
      <c r="AY867" s="2" t="s">
        <v>74</v>
      </c>
      <c r="AZ867" s="2" t="s">
        <v>74</v>
      </c>
      <c r="BA867" s="2" t="s">
        <v>74</v>
      </c>
      <c r="BB867" s="2">
        <v>419</v>
      </c>
      <c r="BC867" s="2">
        <v>427</v>
      </c>
      <c r="BD867" s="2" t="s">
        <v>74</v>
      </c>
      <c r="BE867" s="2" t="s">
        <v>3738</v>
      </c>
      <c r="BF867" s="2" t="str">
        <f>HYPERLINK("http://dx.doi.org/10.1016/j.anbehav.2006.10.023","http://dx.doi.org/10.1016/j.anbehav.2006.10.023")</f>
        <v>http://dx.doi.org/10.1016/j.anbehav.2006.10.023</v>
      </c>
      <c r="BG867" s="2" t="s">
        <v>74</v>
      </c>
      <c r="BH867" s="2" t="s">
        <v>74</v>
      </c>
      <c r="BI867" s="2" t="s">
        <v>74</v>
      </c>
      <c r="BJ867" s="2" t="s">
        <v>74</v>
      </c>
      <c r="BK867" s="2" t="s">
        <v>74</v>
      </c>
      <c r="BL867" s="2" t="s">
        <v>74</v>
      </c>
      <c r="BM867" s="2" t="s">
        <v>74</v>
      </c>
      <c r="BN867" s="2" t="s">
        <v>74</v>
      </c>
      <c r="BO867" s="2" t="s">
        <v>74</v>
      </c>
      <c r="BP867" s="2" t="s">
        <v>74</v>
      </c>
      <c r="BQ867" s="2" t="s">
        <v>74</v>
      </c>
      <c r="BR867" s="2" t="s">
        <v>74</v>
      </c>
      <c r="BS867" s="2" t="s">
        <v>3739</v>
      </c>
      <c r="BT867" s="2" t="str">
        <f>HYPERLINK("https%3A%2F%2Fwww.webofscience.com%2Fwos%2Fwoscc%2Ffull-record%2FWOS:000250180700008","View Full Record in Web of Science")</f>
        <v>View Full Record in Web of Science</v>
      </c>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row>
    <row r="868" spans="1:314" s="2" customFormat="1" x14ac:dyDescent="0.4">
      <c r="A868" s="2" t="s">
        <v>72</v>
      </c>
      <c r="B868" s="2" t="s">
        <v>4150</v>
      </c>
      <c r="C868" s="2" t="s">
        <v>74</v>
      </c>
      <c r="D868" s="2" t="s">
        <v>74</v>
      </c>
      <c r="E868" s="2" t="s">
        <v>74</v>
      </c>
      <c r="F868" s="2" t="s">
        <v>4151</v>
      </c>
      <c r="G868" s="2" t="s">
        <v>74</v>
      </c>
      <c r="H868" s="2" t="s">
        <v>74</v>
      </c>
      <c r="I868" s="2" t="s">
        <v>4152</v>
      </c>
      <c r="J868" s="2" t="s">
        <v>77</v>
      </c>
      <c r="K868" s="2" t="s">
        <v>74</v>
      </c>
      <c r="L868" s="2" t="s">
        <v>74</v>
      </c>
      <c r="M868" s="2" t="s">
        <v>74</v>
      </c>
      <c r="N868" s="2" t="s">
        <v>74</v>
      </c>
      <c r="O868" s="2" t="s">
        <v>74</v>
      </c>
      <c r="P868" s="2" t="s">
        <v>74</v>
      </c>
      <c r="Q868" s="2" t="s">
        <v>74</v>
      </c>
      <c r="R868" s="2" t="s">
        <v>74</v>
      </c>
      <c r="S868" s="2" t="s">
        <v>74</v>
      </c>
      <c r="T868" s="2" t="s">
        <v>74</v>
      </c>
      <c r="U868" s="2" t="s">
        <v>74</v>
      </c>
      <c r="V868" s="5" t="s">
        <v>4153</v>
      </c>
      <c r="W868" s="2" t="s">
        <v>74</v>
      </c>
      <c r="X868" s="2" t="s">
        <v>74</v>
      </c>
      <c r="Y868" s="2" t="s">
        <v>74</v>
      </c>
      <c r="Z868" s="2" t="s">
        <v>74</v>
      </c>
      <c r="AA868" s="2" t="s">
        <v>4154</v>
      </c>
      <c r="AB868" s="2" t="s">
        <v>4155</v>
      </c>
      <c r="AC868" s="2" t="s">
        <v>74</v>
      </c>
      <c r="AD868" s="2" t="s">
        <v>74</v>
      </c>
      <c r="AE868" s="2" t="s">
        <v>74</v>
      </c>
      <c r="AF868" s="2" t="s">
        <v>74</v>
      </c>
      <c r="AG868" s="2" t="s">
        <v>74</v>
      </c>
      <c r="AH868" s="2" t="s">
        <v>74</v>
      </c>
      <c r="AI868" s="2" t="s">
        <v>74</v>
      </c>
      <c r="AJ868" s="2" t="s">
        <v>74</v>
      </c>
      <c r="AK868" s="2" t="s">
        <v>74</v>
      </c>
      <c r="AL868" s="2" t="s">
        <v>74</v>
      </c>
      <c r="AM868" s="2" t="s">
        <v>74</v>
      </c>
      <c r="AN868" s="2" t="s">
        <v>74</v>
      </c>
      <c r="AO868" s="2" t="s">
        <v>81</v>
      </c>
      <c r="AP868" s="2" t="s">
        <v>82</v>
      </c>
      <c r="AQ868" s="2" t="s">
        <v>74</v>
      </c>
      <c r="AR868" s="2" t="s">
        <v>74</v>
      </c>
      <c r="AS868" s="2" t="s">
        <v>74</v>
      </c>
      <c r="AT868" s="2" t="s">
        <v>74</v>
      </c>
      <c r="AU868" s="2">
        <v>2010</v>
      </c>
      <c r="AV868" s="2">
        <v>147</v>
      </c>
      <c r="AW868" s="2">
        <v>4</v>
      </c>
      <c r="AX868" s="2" t="s">
        <v>74</v>
      </c>
      <c r="AY868" s="2" t="s">
        <v>74</v>
      </c>
      <c r="AZ868" s="2" t="s">
        <v>74</v>
      </c>
      <c r="BA868" s="2" t="s">
        <v>74</v>
      </c>
      <c r="BB868" s="2">
        <v>465</v>
      </c>
      <c r="BC868" s="2">
        <v>478</v>
      </c>
      <c r="BD868" s="2" t="s">
        <v>74</v>
      </c>
      <c r="BE868" s="2" t="s">
        <v>4156</v>
      </c>
      <c r="BF868" s="2" t="str">
        <f>HYPERLINK("http://dx.doi.org/10.1163/000579509X12584427339575","http://dx.doi.org/10.1163/000579509X12584427339575")</f>
        <v>http://dx.doi.org/10.1163/000579509X12584427339575</v>
      </c>
      <c r="BG868" s="2" t="s">
        <v>74</v>
      </c>
      <c r="BH868" s="2" t="s">
        <v>74</v>
      </c>
      <c r="BI868" s="2" t="s">
        <v>74</v>
      </c>
      <c r="BJ868" s="2" t="s">
        <v>74</v>
      </c>
      <c r="BK868" s="2" t="s">
        <v>74</v>
      </c>
      <c r="BL868" s="2" t="s">
        <v>74</v>
      </c>
      <c r="BM868" s="2" t="s">
        <v>74</v>
      </c>
      <c r="BN868" s="2" t="s">
        <v>74</v>
      </c>
      <c r="BO868" s="2" t="s">
        <v>74</v>
      </c>
      <c r="BP868" s="2" t="s">
        <v>74</v>
      </c>
      <c r="BQ868" s="2" t="s">
        <v>74</v>
      </c>
      <c r="BR868" s="2" t="s">
        <v>74</v>
      </c>
      <c r="BS868" s="2" t="s">
        <v>4157</v>
      </c>
      <c r="BT868" s="2" t="str">
        <f>HYPERLINK("https%3A%2F%2Fwww.webofscience.com%2Fwos%2Fwoscc%2Ffull-record%2FWOS:000277127600003","View Full Record in Web of Science")</f>
        <v>View Full Record in Web of Science</v>
      </c>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row>
    <row r="869" spans="1:314" s="2" customFormat="1" x14ac:dyDescent="0.4">
      <c r="A869" s="2" t="s">
        <v>72</v>
      </c>
      <c r="B869" s="2" t="s">
        <v>5934</v>
      </c>
      <c r="C869" s="2" t="s">
        <v>74</v>
      </c>
      <c r="D869" s="2" t="s">
        <v>74</v>
      </c>
      <c r="E869" s="2" t="s">
        <v>74</v>
      </c>
      <c r="F869" s="2" t="s">
        <v>5935</v>
      </c>
      <c r="G869" s="2" t="s">
        <v>74</v>
      </c>
      <c r="H869" s="2" t="s">
        <v>74</v>
      </c>
      <c r="I869" s="2" t="s">
        <v>5936</v>
      </c>
      <c r="J869" s="2" t="s">
        <v>5937</v>
      </c>
      <c r="K869" s="2" t="s">
        <v>74</v>
      </c>
      <c r="L869" s="2" t="s">
        <v>74</v>
      </c>
      <c r="M869" s="2" t="s">
        <v>74</v>
      </c>
      <c r="N869" s="2" t="s">
        <v>74</v>
      </c>
      <c r="O869" s="2" t="s">
        <v>74</v>
      </c>
      <c r="P869" s="2" t="s">
        <v>74</v>
      </c>
      <c r="Q869" s="2" t="s">
        <v>74</v>
      </c>
      <c r="R869" s="2" t="s">
        <v>74</v>
      </c>
      <c r="S869" s="2" t="s">
        <v>74</v>
      </c>
      <c r="T869" s="2" t="s">
        <v>74</v>
      </c>
      <c r="U869" s="2" t="s">
        <v>74</v>
      </c>
      <c r="V869" s="5" t="s">
        <v>5938</v>
      </c>
      <c r="W869" s="2" t="s">
        <v>74</v>
      </c>
      <c r="X869" s="2" t="s">
        <v>74</v>
      </c>
      <c r="Y869" s="2" t="s">
        <v>74</v>
      </c>
      <c r="Z869" s="2" t="s">
        <v>74</v>
      </c>
      <c r="AA869" s="2" t="s">
        <v>5939</v>
      </c>
      <c r="AB869" s="2" t="s">
        <v>5940</v>
      </c>
      <c r="AC869" s="2" t="s">
        <v>74</v>
      </c>
      <c r="AD869" s="2" t="s">
        <v>74</v>
      </c>
      <c r="AE869" s="2" t="s">
        <v>74</v>
      </c>
      <c r="AF869" s="2" t="s">
        <v>74</v>
      </c>
      <c r="AG869" s="2" t="s">
        <v>74</v>
      </c>
      <c r="AH869" s="2" t="s">
        <v>74</v>
      </c>
      <c r="AI869" s="2" t="s">
        <v>74</v>
      </c>
      <c r="AJ869" s="2" t="s">
        <v>74</v>
      </c>
      <c r="AK869" s="2" t="s">
        <v>74</v>
      </c>
      <c r="AL869" s="2" t="s">
        <v>74</v>
      </c>
      <c r="AM869" s="2" t="s">
        <v>74</v>
      </c>
      <c r="AN869" s="2" t="s">
        <v>74</v>
      </c>
      <c r="AO869" s="2" t="s">
        <v>5941</v>
      </c>
      <c r="AP869" s="2" t="s">
        <v>74</v>
      </c>
      <c r="AQ869" s="2" t="s">
        <v>74</v>
      </c>
      <c r="AR869" s="2" t="s">
        <v>74</v>
      </c>
      <c r="AS869" s="2" t="s">
        <v>74</v>
      </c>
      <c r="AT869" s="2" t="s">
        <v>213</v>
      </c>
      <c r="AU869" s="2">
        <v>2021</v>
      </c>
      <c r="AV869" s="2">
        <v>11</v>
      </c>
      <c r="AW869" s="2">
        <v>11</v>
      </c>
      <c r="AX869" s="2" t="s">
        <v>74</v>
      </c>
      <c r="AY869" s="2" t="s">
        <v>74</v>
      </c>
      <c r="AZ869" s="2" t="s">
        <v>74</v>
      </c>
      <c r="BA869" s="2" t="s">
        <v>74</v>
      </c>
      <c r="BB869" s="2" t="s">
        <v>74</v>
      </c>
      <c r="BC869" s="2" t="s">
        <v>74</v>
      </c>
      <c r="BD869" s="2">
        <v>3022</v>
      </c>
      <c r="BE869" s="2" t="s">
        <v>5942</v>
      </c>
      <c r="BF869" s="2" t="str">
        <f>HYPERLINK("http://dx.doi.org/10.3390/ani11113022","http://dx.doi.org/10.3390/ani11113022")</f>
        <v>http://dx.doi.org/10.3390/ani11113022</v>
      </c>
      <c r="BG869" s="2" t="s">
        <v>74</v>
      </c>
      <c r="BH869" s="2" t="s">
        <v>74</v>
      </c>
      <c r="BI869" s="2" t="s">
        <v>74</v>
      </c>
      <c r="BJ869" s="2" t="s">
        <v>74</v>
      </c>
      <c r="BK869" s="2" t="s">
        <v>74</v>
      </c>
      <c r="BL869" s="2" t="s">
        <v>74</v>
      </c>
      <c r="BM869" s="2" t="s">
        <v>74</v>
      </c>
      <c r="BN869" s="2">
        <v>34827756</v>
      </c>
      <c r="BO869" s="2" t="s">
        <v>74</v>
      </c>
      <c r="BP869" s="2" t="s">
        <v>74</v>
      </c>
      <c r="BQ869" s="2" t="s">
        <v>74</v>
      </c>
      <c r="BR869" s="2" t="s">
        <v>74</v>
      </c>
      <c r="BS869" s="2" t="s">
        <v>5943</v>
      </c>
      <c r="BT869" s="2" t="str">
        <f>HYPERLINK("https%3A%2F%2Fwww.webofscience.com%2Fwos%2Fwoscc%2Ffull-record%2FWOS:000758187200001","View Full Record in Web of Science")</f>
        <v>View Full Record in Web of Science</v>
      </c>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row>
    <row r="870" spans="1:314" s="2" customFormat="1" x14ac:dyDescent="0.4">
      <c r="A870" s="2" t="s">
        <v>72</v>
      </c>
      <c r="B870" s="2" t="s">
        <v>4232</v>
      </c>
      <c r="C870" s="2" t="s">
        <v>74</v>
      </c>
      <c r="D870" s="2" t="s">
        <v>74</v>
      </c>
      <c r="E870" s="2" t="s">
        <v>74</v>
      </c>
      <c r="F870" s="2" t="s">
        <v>4233</v>
      </c>
      <c r="G870" s="2" t="s">
        <v>74</v>
      </c>
      <c r="H870" s="2" t="s">
        <v>74</v>
      </c>
      <c r="I870" s="2" t="s">
        <v>4234</v>
      </c>
      <c r="J870" s="2" t="s">
        <v>4235</v>
      </c>
      <c r="K870" s="2" t="s">
        <v>74</v>
      </c>
      <c r="L870" s="2" t="s">
        <v>74</v>
      </c>
      <c r="M870" s="2" t="s">
        <v>74</v>
      </c>
      <c r="N870" s="2" t="s">
        <v>74</v>
      </c>
      <c r="O870" s="2" t="s">
        <v>74</v>
      </c>
      <c r="P870" s="2" t="s">
        <v>74</v>
      </c>
      <c r="Q870" s="2" t="s">
        <v>74</v>
      </c>
      <c r="R870" s="2" t="s">
        <v>74</v>
      </c>
      <c r="S870" s="2" t="s">
        <v>74</v>
      </c>
      <c r="T870" s="2" t="s">
        <v>74</v>
      </c>
      <c r="U870" s="2" t="s">
        <v>74</v>
      </c>
      <c r="V870" s="5" t="s">
        <v>4236</v>
      </c>
      <c r="W870" s="2" t="s">
        <v>74</v>
      </c>
      <c r="X870" s="2" t="s">
        <v>74</v>
      </c>
      <c r="Y870" s="2" t="s">
        <v>74</v>
      </c>
      <c r="Z870" s="2" t="s">
        <v>74</v>
      </c>
      <c r="AA870" s="2" t="s">
        <v>4237</v>
      </c>
      <c r="AB870" s="2" t="s">
        <v>4238</v>
      </c>
      <c r="AC870" s="2" t="s">
        <v>74</v>
      </c>
      <c r="AD870" s="2" t="s">
        <v>74</v>
      </c>
      <c r="AE870" s="2" t="s">
        <v>74</v>
      </c>
      <c r="AF870" s="2" t="s">
        <v>74</v>
      </c>
      <c r="AG870" s="2" t="s">
        <v>74</v>
      </c>
      <c r="AH870" s="2" t="s">
        <v>74</v>
      </c>
      <c r="AI870" s="2" t="s">
        <v>74</v>
      </c>
      <c r="AJ870" s="2" t="s">
        <v>74</v>
      </c>
      <c r="AK870" s="2" t="s">
        <v>74</v>
      </c>
      <c r="AL870" s="2" t="s">
        <v>74</v>
      </c>
      <c r="AM870" s="2" t="s">
        <v>74</v>
      </c>
      <c r="AN870" s="2" t="s">
        <v>74</v>
      </c>
      <c r="AO870" s="2" t="s">
        <v>4239</v>
      </c>
      <c r="AP870" s="2" t="s">
        <v>4240</v>
      </c>
      <c r="AQ870" s="2" t="s">
        <v>74</v>
      </c>
      <c r="AR870" s="2" t="s">
        <v>74</v>
      </c>
      <c r="AS870" s="2" t="s">
        <v>74</v>
      </c>
      <c r="AT870" s="2" t="s">
        <v>175</v>
      </c>
      <c r="AU870" s="2">
        <v>2014</v>
      </c>
      <c r="AV870" s="2">
        <v>79</v>
      </c>
      <c r="AW870" s="2" t="s">
        <v>74</v>
      </c>
      <c r="AX870" s="2" t="s">
        <v>74</v>
      </c>
      <c r="AY870" s="2" t="s">
        <v>74</v>
      </c>
      <c r="AZ870" s="2" t="s">
        <v>74</v>
      </c>
      <c r="BA870" s="2" t="s">
        <v>74</v>
      </c>
      <c r="BB870" s="2">
        <v>404</v>
      </c>
      <c r="BC870" s="2">
        <v>414</v>
      </c>
      <c r="BD870" s="2" t="s">
        <v>74</v>
      </c>
      <c r="BE870" s="2" t="s">
        <v>4241</v>
      </c>
      <c r="BF870" s="2" t="str">
        <f>HYPERLINK("http://dx.doi.org/10.1016/j.ympev.2014.07.007","http://dx.doi.org/10.1016/j.ympev.2014.07.007")</f>
        <v>http://dx.doi.org/10.1016/j.ympev.2014.07.007</v>
      </c>
      <c r="BG870" s="2" t="s">
        <v>74</v>
      </c>
      <c r="BH870" s="2" t="s">
        <v>74</v>
      </c>
      <c r="BI870" s="2" t="s">
        <v>74</v>
      </c>
      <c r="BJ870" s="2" t="s">
        <v>74</v>
      </c>
      <c r="BK870" s="2" t="s">
        <v>74</v>
      </c>
      <c r="BL870" s="2" t="s">
        <v>74</v>
      </c>
      <c r="BM870" s="2" t="s">
        <v>74</v>
      </c>
      <c r="BN870" s="2">
        <v>25050928</v>
      </c>
      <c r="BO870" s="2" t="s">
        <v>74</v>
      </c>
      <c r="BP870" s="2" t="s">
        <v>74</v>
      </c>
      <c r="BQ870" s="2" t="s">
        <v>74</v>
      </c>
      <c r="BR870" s="2" t="s">
        <v>74</v>
      </c>
      <c r="BS870" s="2" t="s">
        <v>4242</v>
      </c>
      <c r="BT870" s="2" t="str">
        <f>HYPERLINK("https%3A%2F%2Fwww.webofscience.com%2Fwos%2Fwoscc%2Ffull-record%2FWOS:000342884800034","View Full Record in Web of Science")</f>
        <v>View Full Record in Web of Science</v>
      </c>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row>
    <row r="871" spans="1:314" s="2" customFormat="1" x14ac:dyDescent="0.4">
      <c r="A871" s="2" t="s">
        <v>72</v>
      </c>
      <c r="B871" s="2" t="s">
        <v>6974</v>
      </c>
      <c r="C871" s="2" t="s">
        <v>74</v>
      </c>
      <c r="D871" s="2" t="s">
        <v>74</v>
      </c>
      <c r="E871" s="2" t="s">
        <v>74</v>
      </c>
      <c r="F871" s="2" t="s">
        <v>6975</v>
      </c>
      <c r="G871" s="2" t="s">
        <v>74</v>
      </c>
      <c r="H871" s="2" t="s">
        <v>74</v>
      </c>
      <c r="I871" s="2" t="s">
        <v>6976</v>
      </c>
      <c r="J871" s="2" t="s">
        <v>1949</v>
      </c>
      <c r="K871" s="2" t="s">
        <v>74</v>
      </c>
      <c r="L871" s="2" t="s">
        <v>74</v>
      </c>
      <c r="M871" s="2" t="s">
        <v>74</v>
      </c>
      <c r="N871" s="2" t="s">
        <v>74</v>
      </c>
      <c r="O871" s="2" t="s">
        <v>74</v>
      </c>
      <c r="P871" s="2" t="s">
        <v>74</v>
      </c>
      <c r="Q871" s="2" t="s">
        <v>74</v>
      </c>
      <c r="R871" s="2" t="s">
        <v>74</v>
      </c>
      <c r="S871" s="2" t="s">
        <v>74</v>
      </c>
      <c r="T871" s="2" t="s">
        <v>74</v>
      </c>
      <c r="U871" s="2" t="s">
        <v>74</v>
      </c>
      <c r="V871" s="5" t="s">
        <v>6977</v>
      </c>
      <c r="W871" s="2" t="s">
        <v>74</v>
      </c>
      <c r="X871" s="2" t="s">
        <v>74</v>
      </c>
      <c r="Y871" s="2" t="s">
        <v>74</v>
      </c>
      <c r="Z871" s="2" t="s">
        <v>74</v>
      </c>
      <c r="AA871" s="2" t="s">
        <v>6978</v>
      </c>
      <c r="AB871" s="2" t="s">
        <v>6979</v>
      </c>
      <c r="AC871" s="2" t="s">
        <v>74</v>
      </c>
      <c r="AD871" s="2" t="s">
        <v>74</v>
      </c>
      <c r="AE871" s="2" t="s">
        <v>74</v>
      </c>
      <c r="AF871" s="2" t="s">
        <v>74</v>
      </c>
      <c r="AG871" s="2" t="s">
        <v>74</v>
      </c>
      <c r="AH871" s="2" t="s">
        <v>74</v>
      </c>
      <c r="AI871" s="2" t="s">
        <v>74</v>
      </c>
      <c r="AJ871" s="2" t="s">
        <v>74</v>
      </c>
      <c r="AK871" s="2" t="s">
        <v>74</v>
      </c>
      <c r="AL871" s="2" t="s">
        <v>74</v>
      </c>
      <c r="AM871" s="2" t="s">
        <v>74</v>
      </c>
      <c r="AN871" s="2" t="s">
        <v>74</v>
      </c>
      <c r="AO871" s="2" t="s">
        <v>74</v>
      </c>
      <c r="AP871" s="2" t="s">
        <v>1953</v>
      </c>
      <c r="AQ871" s="2" t="s">
        <v>74</v>
      </c>
      <c r="AR871" s="2" t="s">
        <v>74</v>
      </c>
      <c r="AS871" s="2" t="s">
        <v>74</v>
      </c>
      <c r="AT871" s="2" t="s">
        <v>123</v>
      </c>
      <c r="AU871" s="2">
        <v>2022</v>
      </c>
      <c r="AV871" s="2">
        <v>13</v>
      </c>
      <c r="AW871" s="2">
        <v>3</v>
      </c>
      <c r="AX871" s="2" t="s">
        <v>74</v>
      </c>
      <c r="AY871" s="2" t="s">
        <v>74</v>
      </c>
      <c r="AZ871" s="2" t="s">
        <v>74</v>
      </c>
      <c r="BA871" s="2" t="s">
        <v>74</v>
      </c>
      <c r="BB871" s="2" t="s">
        <v>74</v>
      </c>
      <c r="BC871" s="2" t="s">
        <v>74</v>
      </c>
      <c r="BD871" s="2">
        <v>262</v>
      </c>
      <c r="BE871" s="2" t="s">
        <v>6980</v>
      </c>
      <c r="BF871" s="2" t="str">
        <f>HYPERLINK("http://dx.doi.org/10.3390/insects13030262","http://dx.doi.org/10.3390/insects13030262")</f>
        <v>http://dx.doi.org/10.3390/insects13030262</v>
      </c>
      <c r="BG871" s="2" t="s">
        <v>74</v>
      </c>
      <c r="BH871" s="2" t="s">
        <v>74</v>
      </c>
      <c r="BI871" s="2" t="s">
        <v>74</v>
      </c>
      <c r="BJ871" s="2" t="s">
        <v>74</v>
      </c>
      <c r="BK871" s="2" t="s">
        <v>74</v>
      </c>
      <c r="BL871" s="2" t="s">
        <v>74</v>
      </c>
      <c r="BM871" s="2" t="s">
        <v>74</v>
      </c>
      <c r="BN871" s="2">
        <v>35323560</v>
      </c>
      <c r="BO871" s="2" t="s">
        <v>74</v>
      </c>
      <c r="BP871" s="2" t="s">
        <v>74</v>
      </c>
      <c r="BQ871" s="2" t="s">
        <v>74</v>
      </c>
      <c r="BR871" s="2" t="s">
        <v>74</v>
      </c>
      <c r="BS871" s="2" t="s">
        <v>6981</v>
      </c>
      <c r="BT871" s="2" t="str">
        <f>HYPERLINK("https%3A%2F%2Fwww.webofscience.com%2Fwos%2Fwoscc%2Ffull-record%2FWOS:000775202600001","View Full Record in Web of Science")</f>
        <v>View Full Record in Web of Science</v>
      </c>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row>
    <row r="872" spans="1:314" s="2" customFormat="1" x14ac:dyDescent="0.4">
      <c r="A872" s="2" t="s">
        <v>72</v>
      </c>
      <c r="B872" s="2" t="s">
        <v>7537</v>
      </c>
      <c r="C872" s="2" t="s">
        <v>74</v>
      </c>
      <c r="D872" s="2" t="s">
        <v>74</v>
      </c>
      <c r="E872" s="2" t="s">
        <v>74</v>
      </c>
      <c r="F872" s="2" t="s">
        <v>7537</v>
      </c>
      <c r="G872" s="2" t="s">
        <v>74</v>
      </c>
      <c r="H872" s="2" t="s">
        <v>74</v>
      </c>
      <c r="I872" s="2" t="s">
        <v>7538</v>
      </c>
      <c r="J872" s="2" t="s">
        <v>7539</v>
      </c>
      <c r="K872" s="2" t="s">
        <v>74</v>
      </c>
      <c r="L872" s="2" t="s">
        <v>74</v>
      </c>
      <c r="M872" s="2" t="s">
        <v>74</v>
      </c>
      <c r="N872" s="2" t="s">
        <v>74</v>
      </c>
      <c r="O872" s="2" t="s">
        <v>74</v>
      </c>
      <c r="P872" s="2" t="s">
        <v>74</v>
      </c>
      <c r="Q872" s="2" t="s">
        <v>74</v>
      </c>
      <c r="R872" s="2" t="s">
        <v>74</v>
      </c>
      <c r="S872" s="2" t="s">
        <v>74</v>
      </c>
      <c r="T872" s="2" t="s">
        <v>74</v>
      </c>
      <c r="U872" s="2" t="s">
        <v>74</v>
      </c>
      <c r="V872" s="5" t="s">
        <v>7540</v>
      </c>
      <c r="W872" s="2" t="s">
        <v>74</v>
      </c>
      <c r="X872" s="2" t="s">
        <v>74</v>
      </c>
      <c r="Y872" s="2" t="s">
        <v>74</v>
      </c>
      <c r="Z872" s="2" t="s">
        <v>74</v>
      </c>
      <c r="AA872" s="2" t="s">
        <v>7541</v>
      </c>
      <c r="AB872" s="2" t="s">
        <v>7542</v>
      </c>
      <c r="AC872" s="2" t="s">
        <v>74</v>
      </c>
      <c r="AD872" s="2" t="s">
        <v>74</v>
      </c>
      <c r="AE872" s="2" t="s">
        <v>74</v>
      </c>
      <c r="AF872" s="2" t="s">
        <v>74</v>
      </c>
      <c r="AG872" s="2" t="s">
        <v>74</v>
      </c>
      <c r="AH872" s="2" t="s">
        <v>74</v>
      </c>
      <c r="AI872" s="2" t="s">
        <v>74</v>
      </c>
      <c r="AJ872" s="2" t="s">
        <v>74</v>
      </c>
      <c r="AK872" s="2" t="s">
        <v>74</v>
      </c>
      <c r="AL872" s="2" t="s">
        <v>74</v>
      </c>
      <c r="AM872" s="2" t="s">
        <v>74</v>
      </c>
      <c r="AN872" s="2" t="s">
        <v>74</v>
      </c>
      <c r="AO872" s="2" t="s">
        <v>7543</v>
      </c>
      <c r="AP872" s="2" t="s">
        <v>7544</v>
      </c>
      <c r="AQ872" s="2" t="s">
        <v>74</v>
      </c>
      <c r="AR872" s="2" t="s">
        <v>74</v>
      </c>
      <c r="AS872" s="2" t="s">
        <v>74</v>
      </c>
      <c r="AT872" s="2" t="s">
        <v>123</v>
      </c>
      <c r="AU872" s="2">
        <v>1993</v>
      </c>
      <c r="AV872" s="2">
        <v>40</v>
      </c>
      <c r="AW872" s="2" t="s">
        <v>74</v>
      </c>
      <c r="AX872" s="2">
        <v>1</v>
      </c>
      <c r="AY872" s="2" t="s">
        <v>74</v>
      </c>
      <c r="AZ872" s="2" t="s">
        <v>74</v>
      </c>
      <c r="BA872" s="2" t="s">
        <v>74</v>
      </c>
      <c r="BB872" s="2">
        <v>31</v>
      </c>
      <c r="BC872" s="2">
        <v>37</v>
      </c>
      <c r="BD872" s="2" t="s">
        <v>74</v>
      </c>
      <c r="BE872" s="2" t="s">
        <v>7545</v>
      </c>
      <c r="BF872" s="2" t="str">
        <f>HYPERLINK("http://dx.doi.org/10.1080/00063659309477126","http://dx.doi.org/10.1080/00063659309477126")</f>
        <v>http://dx.doi.org/10.1080/00063659309477126</v>
      </c>
      <c r="BG872" s="2" t="s">
        <v>74</v>
      </c>
      <c r="BH872" s="2" t="s">
        <v>74</v>
      </c>
      <c r="BI872" s="2" t="s">
        <v>74</v>
      </c>
      <c r="BJ872" s="2" t="s">
        <v>74</v>
      </c>
      <c r="BK872" s="2" t="s">
        <v>74</v>
      </c>
      <c r="BL872" s="2" t="s">
        <v>74</v>
      </c>
      <c r="BM872" s="2" t="s">
        <v>74</v>
      </c>
      <c r="BN872" s="2" t="s">
        <v>74</v>
      </c>
      <c r="BO872" s="2" t="s">
        <v>74</v>
      </c>
      <c r="BP872" s="2" t="s">
        <v>74</v>
      </c>
      <c r="BQ872" s="2" t="s">
        <v>74</v>
      </c>
      <c r="BR872" s="2" t="s">
        <v>74</v>
      </c>
      <c r="BS872" s="2" t="s">
        <v>7546</v>
      </c>
      <c r="BT872" s="2" t="str">
        <f>HYPERLINK("https%3A%2F%2Fwww.webofscience.com%2Fwos%2Fwoscc%2Ffull-record%2FWOS:A1993KU44300004","View Full Record in Web of Science")</f>
        <v>View Full Record in Web of Science</v>
      </c>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row>
    <row r="873" spans="1:314" s="2" customFormat="1" x14ac:dyDescent="0.4">
      <c r="A873" s="2" t="s">
        <v>72</v>
      </c>
      <c r="B873" s="2" t="s">
        <v>318</v>
      </c>
      <c r="C873" s="2" t="s">
        <v>74</v>
      </c>
      <c r="D873" s="2" t="s">
        <v>74</v>
      </c>
      <c r="E873" s="2" t="s">
        <v>74</v>
      </c>
      <c r="F873" s="2" t="s">
        <v>319</v>
      </c>
      <c r="G873" s="2" t="s">
        <v>74</v>
      </c>
      <c r="H873" s="2" t="s">
        <v>74</v>
      </c>
      <c r="I873" s="2" t="s">
        <v>320</v>
      </c>
      <c r="J873" s="2" t="s">
        <v>129</v>
      </c>
      <c r="K873" s="2" t="s">
        <v>74</v>
      </c>
      <c r="L873" s="2" t="s">
        <v>74</v>
      </c>
      <c r="M873" s="2" t="s">
        <v>74</v>
      </c>
      <c r="N873" s="2" t="s">
        <v>74</v>
      </c>
      <c r="O873" s="2" t="s">
        <v>74</v>
      </c>
      <c r="P873" s="2" t="s">
        <v>74</v>
      </c>
      <c r="Q873" s="2" t="s">
        <v>74</v>
      </c>
      <c r="R873" s="2" t="s">
        <v>74</v>
      </c>
      <c r="S873" s="2" t="s">
        <v>74</v>
      </c>
      <c r="T873" s="2" t="s">
        <v>74</v>
      </c>
      <c r="U873" s="2" t="s">
        <v>74</v>
      </c>
      <c r="V873" s="5" t="s">
        <v>321</v>
      </c>
      <c r="W873" s="2" t="s">
        <v>74</v>
      </c>
      <c r="X873" s="2" t="s">
        <v>74</v>
      </c>
      <c r="Y873" s="2" t="s">
        <v>74</v>
      </c>
      <c r="Z873" s="2" t="s">
        <v>74</v>
      </c>
      <c r="AA873" s="2" t="s">
        <v>74</v>
      </c>
      <c r="AB873" s="2" t="s">
        <v>322</v>
      </c>
      <c r="AC873" s="2" t="s">
        <v>74</v>
      </c>
      <c r="AD873" s="2" t="s">
        <v>74</v>
      </c>
      <c r="AE873" s="2" t="s">
        <v>74</v>
      </c>
      <c r="AF873" s="2" t="s">
        <v>74</v>
      </c>
      <c r="AG873" s="2" t="s">
        <v>74</v>
      </c>
      <c r="AH873" s="2" t="s">
        <v>74</v>
      </c>
      <c r="AI873" s="2" t="s">
        <v>74</v>
      </c>
      <c r="AJ873" s="2" t="s">
        <v>74</v>
      </c>
      <c r="AK873" s="2" t="s">
        <v>74</v>
      </c>
      <c r="AL873" s="2" t="s">
        <v>74</v>
      </c>
      <c r="AM873" s="2" t="s">
        <v>74</v>
      </c>
      <c r="AN873" s="2" t="s">
        <v>74</v>
      </c>
      <c r="AO873" s="2" t="s">
        <v>132</v>
      </c>
      <c r="AP873" s="2" t="s">
        <v>133</v>
      </c>
      <c r="AQ873" s="2" t="s">
        <v>74</v>
      </c>
      <c r="AR873" s="2" t="s">
        <v>74</v>
      </c>
      <c r="AS873" s="2" t="s">
        <v>74</v>
      </c>
      <c r="AT873" s="2" t="s">
        <v>255</v>
      </c>
      <c r="AU873" s="2">
        <v>2023</v>
      </c>
      <c r="AV873" s="2">
        <v>77</v>
      </c>
      <c r="AW873" s="2">
        <v>1</v>
      </c>
      <c r="AX873" s="2" t="s">
        <v>74</v>
      </c>
      <c r="AY873" s="2" t="s">
        <v>74</v>
      </c>
      <c r="AZ873" s="2" t="s">
        <v>74</v>
      </c>
      <c r="BA873" s="2" t="s">
        <v>74</v>
      </c>
      <c r="BB873" s="2" t="s">
        <v>74</v>
      </c>
      <c r="BC873" s="2" t="s">
        <v>74</v>
      </c>
      <c r="BD873" s="2">
        <v>2</v>
      </c>
      <c r="BE873" s="2" t="s">
        <v>323</v>
      </c>
      <c r="BF873" s="2" t="str">
        <f>HYPERLINK("http://dx.doi.org/10.1007/s00265-022-03272-9","http://dx.doi.org/10.1007/s00265-022-03272-9")</f>
        <v>http://dx.doi.org/10.1007/s00265-022-03272-9</v>
      </c>
      <c r="BG873" s="2" t="s">
        <v>74</v>
      </c>
      <c r="BH873" s="2" t="s">
        <v>74</v>
      </c>
      <c r="BI873" s="2" t="s">
        <v>74</v>
      </c>
      <c r="BJ873" s="2" t="s">
        <v>74</v>
      </c>
      <c r="BK873" s="2" t="s">
        <v>74</v>
      </c>
      <c r="BL873" s="2" t="s">
        <v>74</v>
      </c>
      <c r="BM873" s="2" t="s">
        <v>74</v>
      </c>
      <c r="BN873" s="2" t="s">
        <v>74</v>
      </c>
      <c r="BO873" s="2" t="s">
        <v>74</v>
      </c>
      <c r="BP873" s="2" t="s">
        <v>74</v>
      </c>
      <c r="BQ873" s="2" t="s">
        <v>74</v>
      </c>
      <c r="BR873" s="2" t="s">
        <v>74</v>
      </c>
      <c r="BS873" s="2" t="s">
        <v>324</v>
      </c>
      <c r="BT873" s="2" t="str">
        <f>HYPERLINK("https%3A%2F%2Fwww.webofscience.com%2Fwos%2Fwoscc%2Ffull-record%2FWOS:000914603000002","View Full Record in Web of Science")</f>
        <v>View Full Record in Web of Science</v>
      </c>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row>
    <row r="874" spans="1:314" s="1" customFormat="1" x14ac:dyDescent="0.4">
      <c r="A874" s="2" t="s">
        <v>72</v>
      </c>
      <c r="B874" s="2" t="s">
        <v>4964</v>
      </c>
      <c r="C874" s="2" t="s">
        <v>74</v>
      </c>
      <c r="D874" s="2" t="s">
        <v>74</v>
      </c>
      <c r="E874" s="2" t="s">
        <v>74</v>
      </c>
      <c r="F874" s="2" t="s">
        <v>4964</v>
      </c>
      <c r="G874" s="2" t="s">
        <v>74</v>
      </c>
      <c r="H874" s="2" t="s">
        <v>74</v>
      </c>
      <c r="I874" s="2" t="s">
        <v>4965</v>
      </c>
      <c r="J874" s="2" t="s">
        <v>1673</v>
      </c>
      <c r="K874" s="2" t="s">
        <v>74</v>
      </c>
      <c r="L874" s="2" t="s">
        <v>74</v>
      </c>
      <c r="M874" s="2" t="s">
        <v>74</v>
      </c>
      <c r="N874" s="2" t="s">
        <v>74</v>
      </c>
      <c r="O874" s="2" t="s">
        <v>74</v>
      </c>
      <c r="P874" s="2" t="s">
        <v>74</v>
      </c>
      <c r="Q874" s="2" t="s">
        <v>74</v>
      </c>
      <c r="R874" s="2" t="s">
        <v>74</v>
      </c>
      <c r="S874" s="2" t="s">
        <v>74</v>
      </c>
      <c r="T874" s="2" t="s">
        <v>74</v>
      </c>
      <c r="U874" s="2" t="s">
        <v>74</v>
      </c>
      <c r="V874" s="5" t="s">
        <v>4966</v>
      </c>
      <c r="W874" s="2" t="s">
        <v>74</v>
      </c>
      <c r="X874" s="2" t="s">
        <v>74</v>
      </c>
      <c r="Y874" s="2" t="s">
        <v>74</v>
      </c>
      <c r="Z874" s="2" t="s">
        <v>74</v>
      </c>
      <c r="AA874" s="2" t="s">
        <v>4967</v>
      </c>
      <c r="AB874" s="2" t="s">
        <v>74</v>
      </c>
      <c r="AC874" s="2" t="s">
        <v>74</v>
      </c>
      <c r="AD874" s="2" t="s">
        <v>74</v>
      </c>
      <c r="AE874" s="2" t="s">
        <v>74</v>
      </c>
      <c r="AF874" s="2" t="s">
        <v>74</v>
      </c>
      <c r="AG874" s="2" t="s">
        <v>74</v>
      </c>
      <c r="AH874" s="2" t="s">
        <v>74</v>
      </c>
      <c r="AI874" s="2" t="s">
        <v>74</v>
      </c>
      <c r="AJ874" s="2" t="s">
        <v>74</v>
      </c>
      <c r="AK874" s="2" t="s">
        <v>74</v>
      </c>
      <c r="AL874" s="2" t="s">
        <v>74</v>
      </c>
      <c r="AM874" s="2" t="s">
        <v>74</v>
      </c>
      <c r="AN874" s="2" t="s">
        <v>74</v>
      </c>
      <c r="AO874" s="2" t="s">
        <v>1239</v>
      </c>
      <c r="AP874" s="2" t="s">
        <v>1675</v>
      </c>
      <c r="AQ874" s="2" t="s">
        <v>74</v>
      </c>
      <c r="AR874" s="2" t="s">
        <v>74</v>
      </c>
      <c r="AS874" s="2" t="s">
        <v>74</v>
      </c>
      <c r="AT874" s="2" t="s">
        <v>352</v>
      </c>
      <c r="AU874" s="2">
        <v>2003</v>
      </c>
      <c r="AV874" s="2">
        <v>81</v>
      </c>
      <c r="AW874" s="2">
        <v>9</v>
      </c>
      <c r="AX874" s="2" t="s">
        <v>74</v>
      </c>
      <c r="AY874" s="2" t="s">
        <v>74</v>
      </c>
      <c r="AZ874" s="2" t="s">
        <v>74</v>
      </c>
      <c r="BA874" s="2" t="s">
        <v>74</v>
      </c>
      <c r="BB874" s="2">
        <v>1561</v>
      </c>
      <c r="BC874" s="2">
        <v>1565</v>
      </c>
      <c r="BD874" s="2" t="s">
        <v>74</v>
      </c>
      <c r="BE874" s="2" t="s">
        <v>4968</v>
      </c>
      <c r="BF874" s="2" t="str">
        <f>HYPERLINK("http://dx.doi.org/10.1139/Z03-147","http://dx.doi.org/10.1139/Z03-147")</f>
        <v>http://dx.doi.org/10.1139/Z03-147</v>
      </c>
      <c r="BG874" s="2" t="s">
        <v>74</v>
      </c>
      <c r="BH874" s="2" t="s">
        <v>74</v>
      </c>
      <c r="BI874" s="2" t="s">
        <v>74</v>
      </c>
      <c r="BJ874" s="2" t="s">
        <v>74</v>
      </c>
      <c r="BK874" s="2" t="s">
        <v>74</v>
      </c>
      <c r="BL874" s="2" t="s">
        <v>74</v>
      </c>
      <c r="BM874" s="2" t="s">
        <v>74</v>
      </c>
      <c r="BN874" s="2" t="s">
        <v>74</v>
      </c>
      <c r="BO874" s="2" t="s">
        <v>74</v>
      </c>
      <c r="BP874" s="2" t="s">
        <v>74</v>
      </c>
      <c r="BQ874" s="2" t="s">
        <v>74</v>
      </c>
      <c r="BR874" s="2" t="s">
        <v>74</v>
      </c>
      <c r="BS874" s="2" t="s">
        <v>4969</v>
      </c>
      <c r="BT874" s="2" t="str">
        <f>HYPERLINK("https%3A%2F%2Fwww.webofscience.com%2Fwos%2Fwoscc%2Ffull-record%2FWOS:000186325200009","View Full Record in Web of Science")</f>
        <v>View Full Record in Web of Science</v>
      </c>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row>
    <row r="875" spans="1:314" s="2" customFormat="1" x14ac:dyDescent="0.4">
      <c r="A875" s="2" t="s">
        <v>72</v>
      </c>
      <c r="B875" s="2" t="s">
        <v>1478</v>
      </c>
      <c r="C875" s="2" t="s">
        <v>74</v>
      </c>
      <c r="D875" s="2" t="s">
        <v>74</v>
      </c>
      <c r="E875" s="2" t="s">
        <v>74</v>
      </c>
      <c r="F875" s="2" t="s">
        <v>1478</v>
      </c>
      <c r="G875" s="2" t="s">
        <v>74</v>
      </c>
      <c r="H875" s="2" t="s">
        <v>74</v>
      </c>
      <c r="I875" s="2" t="s">
        <v>1479</v>
      </c>
      <c r="J875" s="2" t="s">
        <v>1480</v>
      </c>
      <c r="K875" s="2" t="s">
        <v>74</v>
      </c>
      <c r="L875" s="2" t="s">
        <v>74</v>
      </c>
      <c r="M875" s="2" t="s">
        <v>74</v>
      </c>
      <c r="N875" s="2" t="s">
        <v>74</v>
      </c>
      <c r="O875" s="2" t="s">
        <v>74</v>
      </c>
      <c r="P875" s="2" t="s">
        <v>74</v>
      </c>
      <c r="Q875" s="2" t="s">
        <v>74</v>
      </c>
      <c r="R875" s="2" t="s">
        <v>74</v>
      </c>
      <c r="S875" s="2" t="s">
        <v>74</v>
      </c>
      <c r="T875" s="2" t="s">
        <v>74</v>
      </c>
      <c r="U875" s="2" t="s">
        <v>74</v>
      </c>
      <c r="V875" s="5" t="s">
        <v>1481</v>
      </c>
      <c r="W875" s="2" t="s">
        <v>74</v>
      </c>
      <c r="X875" s="2" t="s">
        <v>74</v>
      </c>
      <c r="Y875" s="2" t="s">
        <v>74</v>
      </c>
      <c r="Z875" s="2" t="s">
        <v>74</v>
      </c>
      <c r="AA875" s="2" t="s">
        <v>74</v>
      </c>
      <c r="AB875" s="2" t="s">
        <v>74</v>
      </c>
      <c r="AC875" s="2" t="s">
        <v>74</v>
      </c>
      <c r="AD875" s="2" t="s">
        <v>74</v>
      </c>
      <c r="AE875" s="2" t="s">
        <v>74</v>
      </c>
      <c r="AF875" s="2" t="s">
        <v>74</v>
      </c>
      <c r="AG875" s="2" t="s">
        <v>74</v>
      </c>
      <c r="AH875" s="2" t="s">
        <v>74</v>
      </c>
      <c r="AI875" s="2" t="s">
        <v>74</v>
      </c>
      <c r="AJ875" s="2" t="s">
        <v>74</v>
      </c>
      <c r="AK875" s="2" t="s">
        <v>74</v>
      </c>
      <c r="AL875" s="2" t="s">
        <v>74</v>
      </c>
      <c r="AM875" s="2" t="s">
        <v>74</v>
      </c>
      <c r="AN875" s="2" t="s">
        <v>74</v>
      </c>
      <c r="AO875" s="2" t="s">
        <v>1482</v>
      </c>
      <c r="AP875" s="2" t="s">
        <v>74</v>
      </c>
      <c r="AQ875" s="2" t="s">
        <v>74</v>
      </c>
      <c r="AR875" s="2" t="s">
        <v>74</v>
      </c>
      <c r="AS875" s="2" t="s">
        <v>74</v>
      </c>
      <c r="AT875" s="2" t="s">
        <v>123</v>
      </c>
      <c r="AU875" s="2">
        <v>1997</v>
      </c>
      <c r="AV875" s="2">
        <v>76</v>
      </c>
      <c r="AW875" s="2">
        <v>3</v>
      </c>
      <c r="AX875" s="2" t="s">
        <v>74</v>
      </c>
      <c r="AY875" s="2" t="s">
        <v>74</v>
      </c>
      <c r="AZ875" s="2" t="s">
        <v>74</v>
      </c>
      <c r="BA875" s="2" t="s">
        <v>74</v>
      </c>
      <c r="BB875" s="2">
        <v>452</v>
      </c>
      <c r="BC875" s="2">
        <v>457</v>
      </c>
      <c r="BD875" s="2" t="s">
        <v>74</v>
      </c>
      <c r="BE875" s="2" t="s">
        <v>1483</v>
      </c>
      <c r="BF875" s="2" t="str">
        <f>HYPERLINK("http://dx.doi.org/10.1093/ps/76.3.452","http://dx.doi.org/10.1093/ps/76.3.452")</f>
        <v>http://dx.doi.org/10.1093/ps/76.3.452</v>
      </c>
      <c r="BG875" s="2" t="s">
        <v>74</v>
      </c>
      <c r="BH875" s="2" t="s">
        <v>74</v>
      </c>
      <c r="BI875" s="2" t="s">
        <v>74</v>
      </c>
      <c r="BJ875" s="2" t="s">
        <v>74</v>
      </c>
      <c r="BK875" s="2" t="s">
        <v>74</v>
      </c>
      <c r="BL875" s="2" t="s">
        <v>74</v>
      </c>
      <c r="BM875" s="2" t="s">
        <v>74</v>
      </c>
      <c r="BN875" s="2">
        <v>9068043</v>
      </c>
      <c r="BO875" s="2" t="s">
        <v>74</v>
      </c>
      <c r="BP875" s="2" t="s">
        <v>74</v>
      </c>
      <c r="BQ875" s="2" t="s">
        <v>74</v>
      </c>
      <c r="BR875" s="2" t="s">
        <v>74</v>
      </c>
      <c r="BS875" s="2" t="s">
        <v>1484</v>
      </c>
      <c r="BT875" s="2" t="str">
        <f>HYPERLINK("https%3A%2F%2Fwww.webofscience.com%2Fwos%2Fwoscc%2Ffull-record%2FWOS:A1997WM41000005","View Full Record in Web of Science")</f>
        <v>View Full Record in Web of Science</v>
      </c>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row>
    <row r="876" spans="1:314" s="1" customFormat="1" x14ac:dyDescent="0.4">
      <c r="A876" s="2" t="s">
        <v>72</v>
      </c>
      <c r="B876" s="2" t="s">
        <v>4488</v>
      </c>
      <c r="C876" s="2" t="s">
        <v>74</v>
      </c>
      <c r="D876" s="2" t="s">
        <v>74</v>
      </c>
      <c r="E876" s="2" t="s">
        <v>74</v>
      </c>
      <c r="F876" s="2" t="s">
        <v>4488</v>
      </c>
      <c r="G876" s="2" t="s">
        <v>74</v>
      </c>
      <c r="H876" s="2" t="s">
        <v>74</v>
      </c>
      <c r="I876" s="2" t="s">
        <v>4489</v>
      </c>
      <c r="J876" s="2" t="s">
        <v>1480</v>
      </c>
      <c r="K876" s="2" t="s">
        <v>74</v>
      </c>
      <c r="L876" s="2" t="s">
        <v>74</v>
      </c>
      <c r="M876" s="2" t="s">
        <v>74</v>
      </c>
      <c r="N876" s="2" t="s">
        <v>74</v>
      </c>
      <c r="O876" s="2" t="s">
        <v>74</v>
      </c>
      <c r="P876" s="2" t="s">
        <v>74</v>
      </c>
      <c r="Q876" s="2" t="s">
        <v>74</v>
      </c>
      <c r="R876" s="2" t="s">
        <v>74</v>
      </c>
      <c r="S876" s="2" t="s">
        <v>74</v>
      </c>
      <c r="T876" s="2" t="s">
        <v>74</v>
      </c>
      <c r="U876" s="2" t="s">
        <v>74</v>
      </c>
      <c r="V876" s="5" t="s">
        <v>4490</v>
      </c>
      <c r="W876" s="2" t="s">
        <v>74</v>
      </c>
      <c r="X876" s="2" t="s">
        <v>74</v>
      </c>
      <c r="Y876" s="2" t="s">
        <v>74</v>
      </c>
      <c r="Z876" s="2" t="s">
        <v>74</v>
      </c>
      <c r="AA876" s="2" t="s">
        <v>74</v>
      </c>
      <c r="AB876" s="2" t="s">
        <v>74</v>
      </c>
      <c r="AC876" s="2" t="s">
        <v>74</v>
      </c>
      <c r="AD876" s="2" t="s">
        <v>74</v>
      </c>
      <c r="AE876" s="2" t="s">
        <v>74</v>
      </c>
      <c r="AF876" s="2" t="s">
        <v>74</v>
      </c>
      <c r="AG876" s="2" t="s">
        <v>74</v>
      </c>
      <c r="AH876" s="2" t="s">
        <v>74</v>
      </c>
      <c r="AI876" s="2" t="s">
        <v>74</v>
      </c>
      <c r="AJ876" s="2" t="s">
        <v>74</v>
      </c>
      <c r="AK876" s="2" t="s">
        <v>74</v>
      </c>
      <c r="AL876" s="2" t="s">
        <v>74</v>
      </c>
      <c r="AM876" s="2" t="s">
        <v>74</v>
      </c>
      <c r="AN876" s="2" t="s">
        <v>74</v>
      </c>
      <c r="AO876" s="2" t="s">
        <v>1482</v>
      </c>
      <c r="AP876" s="2" t="s">
        <v>74</v>
      </c>
      <c r="AQ876" s="2" t="s">
        <v>74</v>
      </c>
      <c r="AR876" s="2" t="s">
        <v>74</v>
      </c>
      <c r="AS876" s="2" t="s">
        <v>74</v>
      </c>
      <c r="AT876" s="2" t="s">
        <v>305</v>
      </c>
      <c r="AU876" s="2">
        <v>1997</v>
      </c>
      <c r="AV876" s="2">
        <v>76</v>
      </c>
      <c r="AW876" s="2">
        <v>12</v>
      </c>
      <c r="AX876" s="2" t="s">
        <v>74</v>
      </c>
      <c r="AY876" s="2" t="s">
        <v>74</v>
      </c>
      <c r="AZ876" s="2" t="s">
        <v>74</v>
      </c>
      <c r="BA876" s="2" t="s">
        <v>74</v>
      </c>
      <c r="BB876" s="2">
        <v>1674</v>
      </c>
      <c r="BC876" s="2">
        <v>1681</v>
      </c>
      <c r="BD876" s="2" t="s">
        <v>74</v>
      </c>
      <c r="BE876" s="2" t="s">
        <v>4491</v>
      </c>
      <c r="BF876" s="2" t="str">
        <f>HYPERLINK("http://dx.doi.org/10.1093/ps/76.12.1674","http://dx.doi.org/10.1093/ps/76.12.1674")</f>
        <v>http://dx.doi.org/10.1093/ps/76.12.1674</v>
      </c>
      <c r="BG876" s="2" t="s">
        <v>74</v>
      </c>
      <c r="BH876" s="2" t="s">
        <v>74</v>
      </c>
      <c r="BI876" s="2" t="s">
        <v>74</v>
      </c>
      <c r="BJ876" s="2" t="s">
        <v>74</v>
      </c>
      <c r="BK876" s="2" t="s">
        <v>74</v>
      </c>
      <c r="BL876" s="2" t="s">
        <v>74</v>
      </c>
      <c r="BM876" s="2" t="s">
        <v>74</v>
      </c>
      <c r="BN876" s="2">
        <v>9438281</v>
      </c>
      <c r="BO876" s="2" t="s">
        <v>74</v>
      </c>
      <c r="BP876" s="2" t="s">
        <v>74</v>
      </c>
      <c r="BQ876" s="2" t="s">
        <v>74</v>
      </c>
      <c r="BR876" s="2" t="s">
        <v>74</v>
      </c>
      <c r="BS876" s="2" t="s">
        <v>4492</v>
      </c>
      <c r="BT876" s="2" t="str">
        <f>HYPERLINK("https%3A%2F%2Fwww.webofscience.com%2Fwos%2Fwoscc%2Ffull-record%2FWOS:000071132300009","View Full Record in Web of Science")</f>
        <v>View Full Record in Web of Science</v>
      </c>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row>
    <row r="877" spans="1:314" s="2" customFormat="1" x14ac:dyDescent="0.4">
      <c r="A877" s="2" t="s">
        <v>72</v>
      </c>
      <c r="B877" s="2" t="s">
        <v>8209</v>
      </c>
      <c r="C877" s="2" t="s">
        <v>74</v>
      </c>
      <c r="D877" s="2" t="s">
        <v>74</v>
      </c>
      <c r="E877" s="2" t="s">
        <v>74</v>
      </c>
      <c r="F877" s="2" t="s">
        <v>8209</v>
      </c>
      <c r="G877" s="2" t="s">
        <v>74</v>
      </c>
      <c r="H877" s="2" t="s">
        <v>74</v>
      </c>
      <c r="I877" s="2" t="s">
        <v>8210</v>
      </c>
      <c r="J877" s="2" t="s">
        <v>842</v>
      </c>
      <c r="K877" s="2" t="s">
        <v>74</v>
      </c>
      <c r="L877" s="2" t="s">
        <v>74</v>
      </c>
      <c r="M877" s="2" t="s">
        <v>74</v>
      </c>
      <c r="N877" s="2" t="s">
        <v>74</v>
      </c>
      <c r="O877" s="2" t="s">
        <v>74</v>
      </c>
      <c r="P877" s="2" t="s">
        <v>74</v>
      </c>
      <c r="Q877" s="2" t="s">
        <v>74</v>
      </c>
      <c r="R877" s="2" t="s">
        <v>74</v>
      </c>
      <c r="S877" s="2" t="s">
        <v>74</v>
      </c>
      <c r="T877" s="2" t="s">
        <v>74</v>
      </c>
      <c r="U877" s="2" t="s">
        <v>74</v>
      </c>
      <c r="V877" s="5" t="s">
        <v>8211</v>
      </c>
      <c r="W877" s="2" t="s">
        <v>74</v>
      </c>
      <c r="X877" s="2" t="s">
        <v>74</v>
      </c>
      <c r="Y877" s="2" t="s">
        <v>74</v>
      </c>
      <c r="Z877" s="2" t="s">
        <v>74</v>
      </c>
      <c r="AA877" s="2" t="s">
        <v>8212</v>
      </c>
      <c r="AB877" s="2" t="s">
        <v>8213</v>
      </c>
      <c r="AC877" s="2" t="s">
        <v>74</v>
      </c>
      <c r="AD877" s="2" t="s">
        <v>74</v>
      </c>
      <c r="AE877" s="2" t="s">
        <v>74</v>
      </c>
      <c r="AF877" s="2" t="s">
        <v>74</v>
      </c>
      <c r="AG877" s="2" t="s">
        <v>74</v>
      </c>
      <c r="AH877" s="2" t="s">
        <v>74</v>
      </c>
      <c r="AI877" s="2" t="s">
        <v>74</v>
      </c>
      <c r="AJ877" s="2" t="s">
        <v>74</v>
      </c>
      <c r="AK877" s="2" t="s">
        <v>74</v>
      </c>
      <c r="AL877" s="2" t="s">
        <v>74</v>
      </c>
      <c r="AM877" s="2" t="s">
        <v>74</v>
      </c>
      <c r="AN877" s="2" t="s">
        <v>74</v>
      </c>
      <c r="AO877" s="2" t="s">
        <v>846</v>
      </c>
      <c r="AP877" s="2" t="s">
        <v>74</v>
      </c>
      <c r="AQ877" s="2" t="s">
        <v>74</v>
      </c>
      <c r="AR877" s="2" t="s">
        <v>74</v>
      </c>
      <c r="AS877" s="2" t="s">
        <v>74</v>
      </c>
      <c r="AT877" s="2" t="s">
        <v>633</v>
      </c>
      <c r="AU877" s="2">
        <v>2005</v>
      </c>
      <c r="AV877" s="2">
        <v>65</v>
      </c>
      <c r="AW877" s="2">
        <v>4</v>
      </c>
      <c r="AX877" s="2" t="s">
        <v>74</v>
      </c>
      <c r="AY877" s="2" t="s">
        <v>74</v>
      </c>
      <c r="AZ877" s="2" t="s">
        <v>74</v>
      </c>
      <c r="BA877" s="2" t="s">
        <v>74</v>
      </c>
      <c r="BB877" s="2">
        <v>313</v>
      </c>
      <c r="BC877" s="2">
        <v>326</v>
      </c>
      <c r="BD877" s="2" t="s">
        <v>74</v>
      </c>
      <c r="BE877" s="2" t="s">
        <v>8214</v>
      </c>
      <c r="BF877" s="2" t="str">
        <f>HYPERLINK("http://dx.doi.org/10.1002/ajp.20118","http://dx.doi.org/10.1002/ajp.20118")</f>
        <v>http://dx.doi.org/10.1002/ajp.20118</v>
      </c>
      <c r="BG877" s="2" t="s">
        <v>74</v>
      </c>
      <c r="BH877" s="2" t="s">
        <v>74</v>
      </c>
      <c r="BI877" s="2" t="s">
        <v>74</v>
      </c>
      <c r="BJ877" s="2" t="s">
        <v>74</v>
      </c>
      <c r="BK877" s="2" t="s">
        <v>74</v>
      </c>
      <c r="BL877" s="2" t="s">
        <v>74</v>
      </c>
      <c r="BM877" s="2" t="s">
        <v>74</v>
      </c>
      <c r="BN877" s="2">
        <v>15834888</v>
      </c>
      <c r="BO877" s="2" t="s">
        <v>74</v>
      </c>
      <c r="BP877" s="2" t="s">
        <v>74</v>
      </c>
      <c r="BQ877" s="2" t="s">
        <v>74</v>
      </c>
      <c r="BR877" s="2" t="s">
        <v>74</v>
      </c>
      <c r="BS877" s="2" t="s">
        <v>8215</v>
      </c>
      <c r="BT877" s="2" t="str">
        <f>HYPERLINK("https%3A%2F%2Fwww.webofscience.com%2Fwos%2Fwoscc%2Ffull-record%2FWOS:000228842400002","View Full Record in Web of Science")</f>
        <v>View Full Record in Web of Science</v>
      </c>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row>
    <row r="878" spans="1:314" s="2" customFormat="1" x14ac:dyDescent="0.4">
      <c r="A878" s="2" t="s">
        <v>72</v>
      </c>
      <c r="B878" s="2" t="s">
        <v>5567</v>
      </c>
      <c r="C878" s="2" t="s">
        <v>74</v>
      </c>
      <c r="D878" s="2" t="s">
        <v>74</v>
      </c>
      <c r="E878" s="2" t="s">
        <v>74</v>
      </c>
      <c r="F878" s="2" t="s">
        <v>5568</v>
      </c>
      <c r="G878" s="2" t="s">
        <v>74</v>
      </c>
      <c r="H878" s="2" t="s">
        <v>74</v>
      </c>
      <c r="I878" s="2" t="s">
        <v>5569</v>
      </c>
      <c r="J878" s="2" t="s">
        <v>201</v>
      </c>
      <c r="K878" s="2" t="s">
        <v>74</v>
      </c>
      <c r="L878" s="2" t="s">
        <v>74</v>
      </c>
      <c r="M878" s="2" t="s">
        <v>74</v>
      </c>
      <c r="N878" s="2" t="s">
        <v>74</v>
      </c>
      <c r="O878" s="2" t="s">
        <v>74</v>
      </c>
      <c r="P878" s="2" t="s">
        <v>74</v>
      </c>
      <c r="Q878" s="2" t="s">
        <v>74</v>
      </c>
      <c r="R878" s="2" t="s">
        <v>74</v>
      </c>
      <c r="S878" s="2" t="s">
        <v>74</v>
      </c>
      <c r="T878" s="2" t="s">
        <v>74</v>
      </c>
      <c r="U878" s="2" t="s">
        <v>74</v>
      </c>
      <c r="V878" s="5" t="s">
        <v>5570</v>
      </c>
      <c r="W878" s="2" t="s">
        <v>74</v>
      </c>
      <c r="X878" s="2" t="s">
        <v>74</v>
      </c>
      <c r="Y878" s="2" t="s">
        <v>74</v>
      </c>
      <c r="Z878" s="2" t="s">
        <v>74</v>
      </c>
      <c r="AA878" s="2" t="s">
        <v>5571</v>
      </c>
      <c r="AB878" s="2" t="s">
        <v>5572</v>
      </c>
      <c r="AC878" s="2" t="s">
        <v>74</v>
      </c>
      <c r="AD878" s="2" t="s">
        <v>74</v>
      </c>
      <c r="AE878" s="2" t="s">
        <v>74</v>
      </c>
      <c r="AF878" s="2" t="s">
        <v>74</v>
      </c>
      <c r="AG878" s="2" t="s">
        <v>74</v>
      </c>
      <c r="AH878" s="2" t="s">
        <v>74</v>
      </c>
      <c r="AI878" s="2" t="s">
        <v>74</v>
      </c>
      <c r="AJ878" s="2" t="s">
        <v>74</v>
      </c>
      <c r="AK878" s="2" t="s">
        <v>74</v>
      </c>
      <c r="AL878" s="2" t="s">
        <v>74</v>
      </c>
      <c r="AM878" s="2" t="s">
        <v>74</v>
      </c>
      <c r="AN878" s="2" t="s">
        <v>74</v>
      </c>
      <c r="AO878" s="2" t="s">
        <v>203</v>
      </c>
      <c r="AP878" s="2" t="s">
        <v>1192</v>
      </c>
      <c r="AQ878" s="2" t="s">
        <v>74</v>
      </c>
      <c r="AR878" s="2" t="s">
        <v>74</v>
      </c>
      <c r="AS878" s="2" t="s">
        <v>74</v>
      </c>
      <c r="AT878" s="2" t="s">
        <v>352</v>
      </c>
      <c r="AU878" s="2">
        <v>2014</v>
      </c>
      <c r="AV878" s="2">
        <v>85</v>
      </c>
      <c r="AW878" s="2">
        <v>3</v>
      </c>
      <c r="AX878" s="2" t="s">
        <v>74</v>
      </c>
      <c r="AY878" s="2" t="s">
        <v>74</v>
      </c>
      <c r="AZ878" s="2" t="s">
        <v>74</v>
      </c>
      <c r="BA878" s="2" t="s">
        <v>74</v>
      </c>
      <c r="BB878" s="2">
        <v>882</v>
      </c>
      <c r="BC878" s="2">
        <v>900</v>
      </c>
      <c r="BD878" s="2" t="s">
        <v>74</v>
      </c>
      <c r="BE878" s="2" t="s">
        <v>5573</v>
      </c>
      <c r="BF878" s="2" t="str">
        <f>HYPERLINK("http://dx.doi.org/10.1111/jfb.12478","http://dx.doi.org/10.1111/jfb.12478")</f>
        <v>http://dx.doi.org/10.1111/jfb.12478</v>
      </c>
      <c r="BG878" s="2" t="s">
        <v>74</v>
      </c>
      <c r="BH878" s="2" t="s">
        <v>74</v>
      </c>
      <c r="BI878" s="2" t="s">
        <v>74</v>
      </c>
      <c r="BJ878" s="2" t="s">
        <v>74</v>
      </c>
      <c r="BK878" s="2" t="s">
        <v>74</v>
      </c>
      <c r="BL878" s="2" t="s">
        <v>74</v>
      </c>
      <c r="BM878" s="2" t="s">
        <v>74</v>
      </c>
      <c r="BN878" s="2">
        <v>25082262</v>
      </c>
      <c r="BO878" s="2" t="s">
        <v>74</v>
      </c>
      <c r="BP878" s="2" t="s">
        <v>74</v>
      </c>
      <c r="BQ878" s="2" t="s">
        <v>74</v>
      </c>
      <c r="BR878" s="2" t="s">
        <v>74</v>
      </c>
      <c r="BS878" s="2" t="s">
        <v>5574</v>
      </c>
      <c r="BT878" s="2" t="str">
        <f>HYPERLINK("https%3A%2F%2Fwww.webofscience.com%2Fwos%2Fwoscc%2Ffull-record%2FWOS:000340845500018","View Full Record in Web of Science")</f>
        <v>View Full Record in Web of Science</v>
      </c>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row>
    <row r="879" spans="1:314" s="2" customFormat="1" x14ac:dyDescent="0.4">
      <c r="A879" s="2" t="s">
        <v>72</v>
      </c>
      <c r="B879" s="2" t="s">
        <v>309</v>
      </c>
      <c r="C879" s="2" t="s">
        <v>74</v>
      </c>
      <c r="D879" s="2" t="s">
        <v>74</v>
      </c>
      <c r="E879" s="2" t="s">
        <v>74</v>
      </c>
      <c r="F879" s="2" t="s">
        <v>310</v>
      </c>
      <c r="G879" s="2" t="s">
        <v>74</v>
      </c>
      <c r="H879" s="2" t="s">
        <v>74</v>
      </c>
      <c r="I879" s="2" t="s">
        <v>311</v>
      </c>
      <c r="J879" s="2" t="s">
        <v>312</v>
      </c>
      <c r="K879" s="2" t="s">
        <v>74</v>
      </c>
      <c r="L879" s="2" t="s">
        <v>74</v>
      </c>
      <c r="M879" s="2" t="s">
        <v>74</v>
      </c>
      <c r="N879" s="2" t="s">
        <v>74</v>
      </c>
      <c r="O879" s="2" t="s">
        <v>74</v>
      </c>
      <c r="P879" s="2" t="s">
        <v>74</v>
      </c>
      <c r="Q879" s="2" t="s">
        <v>74</v>
      </c>
      <c r="R879" s="2" t="s">
        <v>74</v>
      </c>
      <c r="S879" s="2" t="s">
        <v>74</v>
      </c>
      <c r="T879" s="2" t="s">
        <v>74</v>
      </c>
      <c r="U879" s="2" t="s">
        <v>74</v>
      </c>
      <c r="V879" s="5" t="s">
        <v>313</v>
      </c>
      <c r="W879" s="2" t="s">
        <v>74</v>
      </c>
      <c r="X879" s="2" t="s">
        <v>74</v>
      </c>
      <c r="Y879" s="2" t="s">
        <v>74</v>
      </c>
      <c r="Z879" s="2" t="s">
        <v>74</v>
      </c>
      <c r="AA879" s="2" t="s">
        <v>74</v>
      </c>
      <c r="AB879" s="2" t="s">
        <v>74</v>
      </c>
      <c r="AC879" s="2" t="s">
        <v>74</v>
      </c>
      <c r="AD879" s="2" t="s">
        <v>74</v>
      </c>
      <c r="AE879" s="2" t="s">
        <v>74</v>
      </c>
      <c r="AF879" s="2" t="s">
        <v>74</v>
      </c>
      <c r="AG879" s="2" t="s">
        <v>74</v>
      </c>
      <c r="AH879" s="2" t="s">
        <v>74</v>
      </c>
      <c r="AI879" s="2" t="s">
        <v>74</v>
      </c>
      <c r="AJ879" s="2" t="s">
        <v>74</v>
      </c>
      <c r="AK879" s="2" t="s">
        <v>74</v>
      </c>
      <c r="AL879" s="2" t="s">
        <v>74</v>
      </c>
      <c r="AM879" s="2" t="s">
        <v>74</v>
      </c>
      <c r="AN879" s="2" t="s">
        <v>74</v>
      </c>
      <c r="AO879" s="2" t="s">
        <v>314</v>
      </c>
      <c r="AP879" s="2" t="s">
        <v>315</v>
      </c>
      <c r="AQ879" s="2" t="s">
        <v>74</v>
      </c>
      <c r="AR879" s="2" t="s">
        <v>74</v>
      </c>
      <c r="AS879" s="2" t="s">
        <v>74</v>
      </c>
      <c r="AT879" s="2" t="s">
        <v>145</v>
      </c>
      <c r="AU879" s="2">
        <v>2017</v>
      </c>
      <c r="AV879" s="2">
        <v>190</v>
      </c>
      <c r="AW879" s="2">
        <v>2</v>
      </c>
      <c r="AX879" s="2" t="s">
        <v>74</v>
      </c>
      <c r="AY879" s="2" t="s">
        <v>74</v>
      </c>
      <c r="AZ879" s="2" t="s">
        <v>74</v>
      </c>
      <c r="BA879" s="2" t="s">
        <v>74</v>
      </c>
      <c r="BB879" s="2">
        <v>157</v>
      </c>
      <c r="BC879" s="2">
        <v>170</v>
      </c>
      <c r="BD879" s="2" t="s">
        <v>74</v>
      </c>
      <c r="BE879" s="2" t="s">
        <v>316</v>
      </c>
      <c r="BF879" s="2" t="str">
        <f>HYPERLINK("http://dx.doi.org/10.1086/692535","http://dx.doi.org/10.1086/692535")</f>
        <v>http://dx.doi.org/10.1086/692535</v>
      </c>
      <c r="BG879" s="2" t="s">
        <v>74</v>
      </c>
      <c r="BH879" s="2" t="s">
        <v>74</v>
      </c>
      <c r="BI879" s="2" t="s">
        <v>74</v>
      </c>
      <c r="BJ879" s="2" t="s">
        <v>74</v>
      </c>
      <c r="BK879" s="2" t="s">
        <v>74</v>
      </c>
      <c r="BL879" s="2" t="s">
        <v>74</v>
      </c>
      <c r="BM879" s="2" t="s">
        <v>74</v>
      </c>
      <c r="BN879" s="2">
        <v>28731791</v>
      </c>
      <c r="BO879" s="2" t="s">
        <v>74</v>
      </c>
      <c r="BP879" s="2" t="s">
        <v>74</v>
      </c>
      <c r="BQ879" s="2" t="s">
        <v>74</v>
      </c>
      <c r="BR879" s="2" t="s">
        <v>74</v>
      </c>
      <c r="BS879" s="2" t="s">
        <v>317</v>
      </c>
      <c r="BT879" s="2" t="str">
        <f>HYPERLINK("https%3A%2F%2Fwww.webofscience.com%2Fwos%2Fwoscc%2Ffull-record%2FWOS:000406102400003","View Full Record in Web of Science")</f>
        <v>View Full Record in Web of Science</v>
      </c>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row>
    <row r="880" spans="1:314" s="2" customFormat="1" ht="14.25" customHeight="1" x14ac:dyDescent="0.4">
      <c r="A880" s="2" t="s">
        <v>72</v>
      </c>
      <c r="B880" s="2" t="s">
        <v>5113</v>
      </c>
      <c r="C880" s="2" t="s">
        <v>74</v>
      </c>
      <c r="D880" s="2" t="s">
        <v>74</v>
      </c>
      <c r="E880" s="2" t="s">
        <v>74</v>
      </c>
      <c r="F880" s="2" t="s">
        <v>5114</v>
      </c>
      <c r="G880" s="2" t="s">
        <v>74</v>
      </c>
      <c r="H880" s="2" t="s">
        <v>74</v>
      </c>
      <c r="I880" s="2" t="s">
        <v>5115</v>
      </c>
      <c r="J880" s="2" t="s">
        <v>367</v>
      </c>
      <c r="K880" s="2" t="s">
        <v>74</v>
      </c>
      <c r="L880" s="2" t="s">
        <v>74</v>
      </c>
      <c r="M880" s="2" t="s">
        <v>74</v>
      </c>
      <c r="N880" s="2" t="s">
        <v>74</v>
      </c>
      <c r="O880" s="2" t="s">
        <v>74</v>
      </c>
      <c r="P880" s="2" t="s">
        <v>74</v>
      </c>
      <c r="Q880" s="2" t="s">
        <v>74</v>
      </c>
      <c r="R880" s="2" t="s">
        <v>74</v>
      </c>
      <c r="S880" s="2" t="s">
        <v>74</v>
      </c>
      <c r="T880" s="2" t="s">
        <v>74</v>
      </c>
      <c r="U880" s="2" t="s">
        <v>74</v>
      </c>
      <c r="V880" s="5" t="s">
        <v>5116</v>
      </c>
      <c r="W880" s="2" t="s">
        <v>74</v>
      </c>
      <c r="X880" s="2" t="s">
        <v>74</v>
      </c>
      <c r="Y880" s="2" t="s">
        <v>74</v>
      </c>
      <c r="Z880" s="2" t="s">
        <v>74</v>
      </c>
      <c r="AA880" s="2" t="s">
        <v>5117</v>
      </c>
      <c r="AB880" s="2" t="s">
        <v>5118</v>
      </c>
      <c r="AC880" s="2" t="s">
        <v>74</v>
      </c>
      <c r="AD880" s="2" t="s">
        <v>74</v>
      </c>
      <c r="AE880" s="2" t="s">
        <v>74</v>
      </c>
      <c r="AF880" s="2" t="s">
        <v>74</v>
      </c>
      <c r="AG880" s="2" t="s">
        <v>74</v>
      </c>
      <c r="AH880" s="2" t="s">
        <v>74</v>
      </c>
      <c r="AI880" s="2" t="s">
        <v>74</v>
      </c>
      <c r="AJ880" s="2" t="s">
        <v>74</v>
      </c>
      <c r="AK880" s="2" t="s">
        <v>74</v>
      </c>
      <c r="AL880" s="2" t="s">
        <v>74</v>
      </c>
      <c r="AM880" s="2" t="s">
        <v>74</v>
      </c>
      <c r="AN880" s="2" t="s">
        <v>74</v>
      </c>
      <c r="AO880" s="2" t="s">
        <v>371</v>
      </c>
      <c r="AP880" s="2" t="s">
        <v>372</v>
      </c>
      <c r="AQ880" s="2" t="s">
        <v>74</v>
      </c>
      <c r="AR880" s="2" t="s">
        <v>74</v>
      </c>
      <c r="AS880" s="2" t="s">
        <v>74</v>
      </c>
      <c r="AT880" s="2" t="s">
        <v>213</v>
      </c>
      <c r="AU880" s="2">
        <v>2023</v>
      </c>
      <c r="AV880" s="2">
        <v>137</v>
      </c>
      <c r="AW880" s="2">
        <v>4</v>
      </c>
      <c r="AX880" s="2" t="s">
        <v>74</v>
      </c>
      <c r="AY880" s="2" t="s">
        <v>74</v>
      </c>
      <c r="AZ880" s="2" t="s">
        <v>74</v>
      </c>
      <c r="BA880" s="2" t="s">
        <v>74</v>
      </c>
      <c r="BB880" s="2">
        <v>212</v>
      </c>
      <c r="BC880" s="2">
        <v>222</v>
      </c>
      <c r="BD880" s="2" t="s">
        <v>74</v>
      </c>
      <c r="BE880" s="2" t="s">
        <v>5119</v>
      </c>
      <c r="BF880" s="2" t="str">
        <f>HYPERLINK("http://dx.doi.org/10.1037/com0000347","http://dx.doi.org/10.1037/com0000347")</f>
        <v>http://dx.doi.org/10.1037/com0000347</v>
      </c>
      <c r="BG880" s="2" t="s">
        <v>74</v>
      </c>
      <c r="BH880" s="2" t="s">
        <v>5120</v>
      </c>
      <c r="BI880" s="2" t="s">
        <v>74</v>
      </c>
      <c r="BJ880" s="2" t="s">
        <v>74</v>
      </c>
      <c r="BK880" s="2" t="s">
        <v>74</v>
      </c>
      <c r="BL880" s="2" t="s">
        <v>74</v>
      </c>
      <c r="BM880" s="2" t="s">
        <v>74</v>
      </c>
      <c r="BN880" s="2">
        <v>37307354</v>
      </c>
      <c r="BO880" s="2" t="s">
        <v>74</v>
      </c>
      <c r="BP880" s="2" t="s">
        <v>74</v>
      </c>
      <c r="BQ880" s="2" t="s">
        <v>74</v>
      </c>
      <c r="BR880" s="2" t="s">
        <v>74</v>
      </c>
      <c r="BS880" s="2" t="s">
        <v>5121</v>
      </c>
      <c r="BT880" s="2" t="str">
        <f>HYPERLINK("https%3A%2F%2Fwww.webofscience.com%2Fwos%2Fwoscc%2Ffull-record%2FWOS:001005612800001","View Full Record in Web of Science")</f>
        <v>View Full Record in Web of Science</v>
      </c>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row>
    <row r="881" spans="1:314" s="2" customFormat="1" x14ac:dyDescent="0.4">
      <c r="A881" s="2" t="s">
        <v>72</v>
      </c>
      <c r="B881" s="2" t="s">
        <v>6857</v>
      </c>
      <c r="C881" s="2" t="s">
        <v>74</v>
      </c>
      <c r="D881" s="2" t="s">
        <v>74</v>
      </c>
      <c r="E881" s="2" t="s">
        <v>74</v>
      </c>
      <c r="F881" s="2" t="s">
        <v>6857</v>
      </c>
      <c r="G881" s="2" t="s">
        <v>74</v>
      </c>
      <c r="H881" s="2" t="s">
        <v>74</v>
      </c>
      <c r="I881" s="2" t="s">
        <v>6858</v>
      </c>
      <c r="J881" s="2" t="s">
        <v>171</v>
      </c>
      <c r="K881" s="2" t="s">
        <v>74</v>
      </c>
      <c r="L881" s="2" t="s">
        <v>74</v>
      </c>
      <c r="M881" s="2" t="s">
        <v>74</v>
      </c>
      <c r="N881" s="2" t="s">
        <v>74</v>
      </c>
      <c r="O881" s="2" t="s">
        <v>74</v>
      </c>
      <c r="P881" s="2" t="s">
        <v>74</v>
      </c>
      <c r="Q881" s="2" t="s">
        <v>74</v>
      </c>
      <c r="R881" s="2" t="s">
        <v>74</v>
      </c>
      <c r="S881" s="2" t="s">
        <v>74</v>
      </c>
      <c r="T881" s="2" t="s">
        <v>74</v>
      </c>
      <c r="U881" s="2" t="s">
        <v>74</v>
      </c>
      <c r="V881" s="5" t="s">
        <v>6859</v>
      </c>
      <c r="W881" s="2" t="s">
        <v>74</v>
      </c>
      <c r="X881" s="2" t="s">
        <v>74</v>
      </c>
      <c r="Y881" s="2" t="s">
        <v>74</v>
      </c>
      <c r="Z881" s="2" t="s">
        <v>74</v>
      </c>
      <c r="AA881" s="2" t="s">
        <v>6860</v>
      </c>
      <c r="AB881" s="2" t="s">
        <v>6861</v>
      </c>
      <c r="AC881" s="2" t="s">
        <v>74</v>
      </c>
      <c r="AD881" s="2" t="s">
        <v>74</v>
      </c>
      <c r="AE881" s="2" t="s">
        <v>74</v>
      </c>
      <c r="AF881" s="2" t="s">
        <v>74</v>
      </c>
      <c r="AG881" s="2" t="s">
        <v>74</v>
      </c>
      <c r="AH881" s="2" t="s">
        <v>74</v>
      </c>
      <c r="AI881" s="2" t="s">
        <v>74</v>
      </c>
      <c r="AJ881" s="2" t="s">
        <v>74</v>
      </c>
      <c r="AK881" s="2" t="s">
        <v>74</v>
      </c>
      <c r="AL881" s="2" t="s">
        <v>74</v>
      </c>
      <c r="AM881" s="2" t="s">
        <v>74</v>
      </c>
      <c r="AN881" s="2" t="s">
        <v>74</v>
      </c>
      <c r="AO881" s="2" t="s">
        <v>173</v>
      </c>
      <c r="AP881" s="2" t="s">
        <v>174</v>
      </c>
      <c r="AQ881" s="2" t="s">
        <v>74</v>
      </c>
      <c r="AR881" s="2" t="s">
        <v>74</v>
      </c>
      <c r="AS881" s="2" t="s">
        <v>74</v>
      </c>
      <c r="AT881" s="2" t="s">
        <v>74</v>
      </c>
      <c r="AU881" s="2">
        <v>1981</v>
      </c>
      <c r="AV881" s="2">
        <v>35</v>
      </c>
      <c r="AW881" s="2">
        <v>4</v>
      </c>
      <c r="AX881" s="2" t="s">
        <v>74</v>
      </c>
      <c r="AY881" s="2" t="s">
        <v>74</v>
      </c>
      <c r="AZ881" s="2" t="s">
        <v>74</v>
      </c>
      <c r="BA881" s="2" t="s">
        <v>74</v>
      </c>
      <c r="BB881" s="2">
        <v>742</v>
      </c>
      <c r="BC881" s="2">
        <v>751</v>
      </c>
      <c r="BD881" s="2" t="s">
        <v>74</v>
      </c>
      <c r="BE881" s="2" t="s">
        <v>6862</v>
      </c>
      <c r="BF881" s="2" t="str">
        <f>HYPERLINK("http://dx.doi.org/10.2307/2408244","http://dx.doi.org/10.2307/2408244")</f>
        <v>http://dx.doi.org/10.2307/2408244</v>
      </c>
      <c r="BG881" s="2" t="s">
        <v>74</v>
      </c>
      <c r="BH881" s="2" t="s">
        <v>74</v>
      </c>
      <c r="BI881" s="2" t="s">
        <v>74</v>
      </c>
      <c r="BJ881" s="2" t="s">
        <v>74</v>
      </c>
      <c r="BK881" s="2" t="s">
        <v>74</v>
      </c>
      <c r="BL881" s="2" t="s">
        <v>74</v>
      </c>
      <c r="BM881" s="2" t="s">
        <v>74</v>
      </c>
      <c r="BN881" s="2">
        <v>28563145</v>
      </c>
      <c r="BO881" s="2" t="s">
        <v>74</v>
      </c>
      <c r="BP881" s="2" t="s">
        <v>74</v>
      </c>
      <c r="BQ881" s="2" t="s">
        <v>74</v>
      </c>
      <c r="BR881" s="2" t="s">
        <v>74</v>
      </c>
      <c r="BS881" s="2" t="s">
        <v>6863</v>
      </c>
      <c r="BT881" s="2" t="str">
        <f>HYPERLINK("https%3A%2F%2Fwww.webofscience.com%2Fwos%2Fwoscc%2Ffull-record%2FWOS:A1981LZ39300011","View Full Record in Web of Science")</f>
        <v>View Full Record in Web of Science</v>
      </c>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row>
    <row r="882" spans="1:314" s="1" customFormat="1" x14ac:dyDescent="0.4">
      <c r="A882" s="2" t="s">
        <v>72</v>
      </c>
      <c r="B882" s="2" t="s">
        <v>1366</v>
      </c>
      <c r="C882" s="2" t="s">
        <v>74</v>
      </c>
      <c r="D882" s="2" t="s">
        <v>74</v>
      </c>
      <c r="E882" s="2" t="s">
        <v>74</v>
      </c>
      <c r="F882" s="2" t="s">
        <v>1367</v>
      </c>
      <c r="G882" s="2" t="s">
        <v>74</v>
      </c>
      <c r="H882" s="2" t="s">
        <v>74</v>
      </c>
      <c r="I882" s="2" t="s">
        <v>1368</v>
      </c>
      <c r="J882" s="2" t="s">
        <v>576</v>
      </c>
      <c r="K882" s="2" t="s">
        <v>74</v>
      </c>
      <c r="L882" s="2" t="s">
        <v>74</v>
      </c>
      <c r="M882" s="2" t="s">
        <v>74</v>
      </c>
      <c r="N882" s="2" t="s">
        <v>74</v>
      </c>
      <c r="O882" s="2" t="s">
        <v>74</v>
      </c>
      <c r="P882" s="2" t="s">
        <v>74</v>
      </c>
      <c r="Q882" s="2" t="s">
        <v>74</v>
      </c>
      <c r="R882" s="2" t="s">
        <v>74</v>
      </c>
      <c r="S882" s="2" t="s">
        <v>74</v>
      </c>
      <c r="T882" s="2" t="s">
        <v>74</v>
      </c>
      <c r="U882" s="2" t="s">
        <v>74</v>
      </c>
      <c r="V882" s="5" t="s">
        <v>1369</v>
      </c>
      <c r="W882" s="2" t="s">
        <v>74</v>
      </c>
      <c r="X882" s="2" t="s">
        <v>74</v>
      </c>
      <c r="Y882" s="2" t="s">
        <v>74</v>
      </c>
      <c r="Z882" s="2" t="s">
        <v>74</v>
      </c>
      <c r="AA882" s="2" t="s">
        <v>74</v>
      </c>
      <c r="AB882" s="2" t="s">
        <v>74</v>
      </c>
      <c r="AC882" s="2" t="s">
        <v>74</v>
      </c>
      <c r="AD882" s="2" t="s">
        <v>74</v>
      </c>
      <c r="AE882" s="2" t="s">
        <v>74</v>
      </c>
      <c r="AF882" s="2" t="s">
        <v>74</v>
      </c>
      <c r="AG882" s="2" t="s">
        <v>74</v>
      </c>
      <c r="AH882" s="2" t="s">
        <v>74</v>
      </c>
      <c r="AI882" s="2" t="s">
        <v>74</v>
      </c>
      <c r="AJ882" s="2" t="s">
        <v>74</v>
      </c>
      <c r="AK882" s="2" t="s">
        <v>74</v>
      </c>
      <c r="AL882" s="2" t="s">
        <v>74</v>
      </c>
      <c r="AM882" s="2" t="s">
        <v>74</v>
      </c>
      <c r="AN882" s="2" t="s">
        <v>74</v>
      </c>
      <c r="AO882" s="2" t="s">
        <v>579</v>
      </c>
      <c r="AP882" s="2" t="s">
        <v>580</v>
      </c>
      <c r="AQ882" s="2" t="s">
        <v>74</v>
      </c>
      <c r="AR882" s="2" t="s">
        <v>74</v>
      </c>
      <c r="AS882" s="2" t="s">
        <v>74</v>
      </c>
      <c r="AT882" s="2" t="s">
        <v>352</v>
      </c>
      <c r="AU882" s="2">
        <v>2011</v>
      </c>
      <c r="AV882" s="2">
        <v>25</v>
      </c>
      <c r="AW882" s="2">
        <v>5</v>
      </c>
      <c r="AX882" s="2" t="s">
        <v>74</v>
      </c>
      <c r="AY882" s="2" t="s">
        <v>74</v>
      </c>
      <c r="AZ882" s="2" t="s">
        <v>74</v>
      </c>
      <c r="BA882" s="2" t="s">
        <v>74</v>
      </c>
      <c r="BB882" s="2">
        <v>993</v>
      </c>
      <c r="BC882" s="2">
        <v>1015</v>
      </c>
      <c r="BD882" s="2" t="s">
        <v>74</v>
      </c>
      <c r="BE882" s="2" t="s">
        <v>1370</v>
      </c>
      <c r="BF882" s="2" t="str">
        <f>HYPERLINK("http://dx.doi.org/10.1007/s10682-010-9455-5","http://dx.doi.org/10.1007/s10682-010-9455-5")</f>
        <v>http://dx.doi.org/10.1007/s10682-010-9455-5</v>
      </c>
      <c r="BG882" s="2" t="s">
        <v>74</v>
      </c>
      <c r="BH882" s="2" t="s">
        <v>74</v>
      </c>
      <c r="BI882" s="2" t="s">
        <v>74</v>
      </c>
      <c r="BJ882" s="2" t="s">
        <v>74</v>
      </c>
      <c r="BK882" s="2" t="s">
        <v>74</v>
      </c>
      <c r="BL882" s="2" t="s">
        <v>74</v>
      </c>
      <c r="BM882" s="2" t="s">
        <v>74</v>
      </c>
      <c r="BN882" s="2" t="s">
        <v>74</v>
      </c>
      <c r="BO882" s="2" t="s">
        <v>74</v>
      </c>
      <c r="BP882" s="2" t="s">
        <v>74</v>
      </c>
      <c r="BQ882" s="2" t="s">
        <v>74</v>
      </c>
      <c r="BR882" s="2" t="s">
        <v>74</v>
      </c>
      <c r="BS882" s="2" t="s">
        <v>1371</v>
      </c>
      <c r="BT882" s="2" t="str">
        <f>HYPERLINK("https%3A%2F%2Fwww.webofscience.com%2Fwos%2Fwoscc%2Ffull-record%2FWOS:000294499800003","View Full Record in Web of Science")</f>
        <v>View Full Record in Web of Science</v>
      </c>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row>
    <row r="883" spans="1:314" s="2" customFormat="1" x14ac:dyDescent="0.4">
      <c r="A883" s="2" t="s">
        <v>72</v>
      </c>
      <c r="B883" s="2" t="s">
        <v>4275</v>
      </c>
      <c r="C883" s="2" t="s">
        <v>74</v>
      </c>
      <c r="D883" s="2" t="s">
        <v>74</v>
      </c>
      <c r="E883" s="2" t="s">
        <v>74</v>
      </c>
      <c r="F883" s="2" t="s">
        <v>4276</v>
      </c>
      <c r="G883" s="2" t="s">
        <v>74</v>
      </c>
      <c r="H883" s="2" t="s">
        <v>74</v>
      </c>
      <c r="I883" s="2" t="s">
        <v>4277</v>
      </c>
      <c r="J883" s="2" t="s">
        <v>4278</v>
      </c>
      <c r="K883" s="2" t="s">
        <v>74</v>
      </c>
      <c r="L883" s="2" t="s">
        <v>74</v>
      </c>
      <c r="M883" s="2" t="s">
        <v>74</v>
      </c>
      <c r="N883" s="2" t="s">
        <v>74</v>
      </c>
      <c r="O883" s="2" t="s">
        <v>74</v>
      </c>
      <c r="P883" s="2" t="s">
        <v>74</v>
      </c>
      <c r="Q883" s="2" t="s">
        <v>74</v>
      </c>
      <c r="R883" s="2" t="s">
        <v>74</v>
      </c>
      <c r="S883" s="2" t="s">
        <v>74</v>
      </c>
      <c r="T883" s="2" t="s">
        <v>74</v>
      </c>
      <c r="U883" s="2" t="s">
        <v>74</v>
      </c>
      <c r="V883" s="5" t="s">
        <v>4279</v>
      </c>
      <c r="W883" s="2" t="s">
        <v>74</v>
      </c>
      <c r="X883" s="2" t="s">
        <v>74</v>
      </c>
      <c r="Y883" s="2" t="s">
        <v>74</v>
      </c>
      <c r="Z883" s="2" t="s">
        <v>74</v>
      </c>
      <c r="AA883" s="2" t="s">
        <v>4280</v>
      </c>
      <c r="AB883" s="2" t="s">
        <v>4281</v>
      </c>
      <c r="AC883" s="2" t="s">
        <v>74</v>
      </c>
      <c r="AD883" s="2" t="s">
        <v>74</v>
      </c>
      <c r="AE883" s="2" t="s">
        <v>74</v>
      </c>
      <c r="AF883" s="2" t="s">
        <v>74</v>
      </c>
      <c r="AG883" s="2" t="s">
        <v>74</v>
      </c>
      <c r="AH883" s="2" t="s">
        <v>74</v>
      </c>
      <c r="AI883" s="2" t="s">
        <v>74</v>
      </c>
      <c r="AJ883" s="2" t="s">
        <v>74</v>
      </c>
      <c r="AK883" s="2" t="s">
        <v>74</v>
      </c>
      <c r="AL883" s="2" t="s">
        <v>74</v>
      </c>
      <c r="AM883" s="2" t="s">
        <v>74</v>
      </c>
      <c r="AN883" s="2" t="s">
        <v>74</v>
      </c>
      <c r="AO883" s="2" t="s">
        <v>4282</v>
      </c>
      <c r="AP883" s="2" t="s">
        <v>4283</v>
      </c>
      <c r="AQ883" s="2" t="s">
        <v>74</v>
      </c>
      <c r="AR883" s="2" t="s">
        <v>74</v>
      </c>
      <c r="AS883" s="2" t="s">
        <v>74</v>
      </c>
      <c r="AT883" s="2" t="s">
        <v>213</v>
      </c>
      <c r="AU883" s="2">
        <v>2016</v>
      </c>
      <c r="AV883" s="2">
        <v>42</v>
      </c>
      <c r="AW883" s="2">
        <v>11</v>
      </c>
      <c r="AX883" s="2" t="s">
        <v>74</v>
      </c>
      <c r="AY883" s="2" t="s">
        <v>74</v>
      </c>
      <c r="AZ883" s="2" t="s">
        <v>74</v>
      </c>
      <c r="BA883" s="2" t="s">
        <v>74</v>
      </c>
      <c r="BB883" s="2">
        <v>1164</v>
      </c>
      <c r="BC883" s="2">
        <v>1174</v>
      </c>
      <c r="BD883" s="2" t="s">
        <v>74</v>
      </c>
      <c r="BE883" s="2" t="s">
        <v>4284</v>
      </c>
      <c r="BF883" s="2" t="str">
        <f>HYPERLINK("http://dx.doi.org/10.1007/s10886-016-0778-8","http://dx.doi.org/10.1007/s10886-016-0778-8")</f>
        <v>http://dx.doi.org/10.1007/s10886-016-0778-8</v>
      </c>
      <c r="BG883" s="2" t="s">
        <v>74</v>
      </c>
      <c r="BH883" s="2" t="s">
        <v>74</v>
      </c>
      <c r="BI883" s="2" t="s">
        <v>74</v>
      </c>
      <c r="BJ883" s="2" t="s">
        <v>74</v>
      </c>
      <c r="BK883" s="2" t="s">
        <v>74</v>
      </c>
      <c r="BL883" s="2" t="s">
        <v>74</v>
      </c>
      <c r="BM883" s="2" t="s">
        <v>74</v>
      </c>
      <c r="BN883" s="2">
        <v>27722876</v>
      </c>
      <c r="BO883" s="2" t="s">
        <v>74</v>
      </c>
      <c r="BP883" s="2" t="s">
        <v>74</v>
      </c>
      <c r="BQ883" s="2" t="s">
        <v>74</v>
      </c>
      <c r="BR883" s="2" t="s">
        <v>74</v>
      </c>
      <c r="BS883" s="2" t="s">
        <v>4285</v>
      </c>
      <c r="BT883" s="2" t="str">
        <f>HYPERLINK("https%3A%2F%2Fwww.webofscience.com%2Fwos%2Fwoscc%2Ffull-record%2FWOS:000388808300007","View Full Record in Web of Science")</f>
        <v>View Full Record in Web of Science</v>
      </c>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row>
    <row r="884" spans="1:314" s="1" customFormat="1" x14ac:dyDescent="0.4">
      <c r="A884" s="2" t="s">
        <v>72</v>
      </c>
      <c r="B884" s="2" t="s">
        <v>382</v>
      </c>
      <c r="C884" s="2" t="s">
        <v>74</v>
      </c>
      <c r="D884" s="2" t="s">
        <v>74</v>
      </c>
      <c r="E884" s="2" t="s">
        <v>74</v>
      </c>
      <c r="F884" s="2" t="s">
        <v>383</v>
      </c>
      <c r="G884" s="2" t="s">
        <v>74</v>
      </c>
      <c r="H884" s="2" t="s">
        <v>74</v>
      </c>
      <c r="I884" s="2" t="s">
        <v>384</v>
      </c>
      <c r="J884" s="2" t="s">
        <v>140</v>
      </c>
      <c r="K884" s="2" t="s">
        <v>74</v>
      </c>
      <c r="L884" s="2" t="s">
        <v>74</v>
      </c>
      <c r="M884" s="2" t="s">
        <v>74</v>
      </c>
      <c r="N884" s="2" t="s">
        <v>74</v>
      </c>
      <c r="O884" s="2" t="s">
        <v>74</v>
      </c>
      <c r="P884" s="2" t="s">
        <v>74</v>
      </c>
      <c r="Q884" s="2" t="s">
        <v>74</v>
      </c>
      <c r="R884" s="2" t="s">
        <v>74</v>
      </c>
      <c r="S884" s="2" t="s">
        <v>74</v>
      </c>
      <c r="T884" s="2" t="s">
        <v>74</v>
      </c>
      <c r="U884" s="2" t="s">
        <v>74</v>
      </c>
      <c r="V884" s="5" t="s">
        <v>385</v>
      </c>
      <c r="W884" s="2" t="s">
        <v>74</v>
      </c>
      <c r="X884" s="2" t="s">
        <v>74</v>
      </c>
      <c r="Y884" s="2" t="s">
        <v>74</v>
      </c>
      <c r="Z884" s="2" t="s">
        <v>74</v>
      </c>
      <c r="AA884" s="2" t="s">
        <v>386</v>
      </c>
      <c r="AB884" s="2" t="s">
        <v>74</v>
      </c>
      <c r="AC884" s="2" t="s">
        <v>74</v>
      </c>
      <c r="AD884" s="2" t="s">
        <v>74</v>
      </c>
      <c r="AE884" s="2" t="s">
        <v>74</v>
      </c>
      <c r="AF884" s="2" t="s">
        <v>74</v>
      </c>
      <c r="AG884" s="2" t="s">
        <v>74</v>
      </c>
      <c r="AH884" s="2" t="s">
        <v>74</v>
      </c>
      <c r="AI884" s="2" t="s">
        <v>74</v>
      </c>
      <c r="AJ884" s="2" t="s">
        <v>74</v>
      </c>
      <c r="AK884" s="2" t="s">
        <v>74</v>
      </c>
      <c r="AL884" s="2" t="s">
        <v>74</v>
      </c>
      <c r="AM884" s="2" t="s">
        <v>74</v>
      </c>
      <c r="AN884" s="2" t="s">
        <v>74</v>
      </c>
      <c r="AO884" s="2" t="s">
        <v>143</v>
      </c>
      <c r="AP884" s="2" t="s">
        <v>74</v>
      </c>
      <c r="AQ884" s="2" t="s">
        <v>74</v>
      </c>
      <c r="AR884" s="2" t="s">
        <v>74</v>
      </c>
      <c r="AS884" s="2" t="s">
        <v>74</v>
      </c>
      <c r="AT884" s="2" t="s">
        <v>145</v>
      </c>
      <c r="AU884" s="2">
        <v>2009</v>
      </c>
      <c r="AV884" s="2">
        <v>78</v>
      </c>
      <c r="AW884" s="2">
        <v>2</v>
      </c>
      <c r="AX884" s="2" t="s">
        <v>74</v>
      </c>
      <c r="AY884" s="2" t="s">
        <v>74</v>
      </c>
      <c r="AZ884" s="2" t="s">
        <v>74</v>
      </c>
      <c r="BA884" s="2" t="s">
        <v>74</v>
      </c>
      <c r="BB884" s="2">
        <v>393</v>
      </c>
      <c r="BC884" s="2">
        <v>398</v>
      </c>
      <c r="BD884" s="2" t="s">
        <v>74</v>
      </c>
      <c r="BE884" s="2" t="s">
        <v>387</v>
      </c>
      <c r="BF884" s="2" t="str">
        <f>HYPERLINK("http://dx.doi.org/10.1016/j.anbehav.2009.05.013","http://dx.doi.org/10.1016/j.anbehav.2009.05.013")</f>
        <v>http://dx.doi.org/10.1016/j.anbehav.2009.05.013</v>
      </c>
      <c r="BG884" s="2" t="s">
        <v>74</v>
      </c>
      <c r="BH884" s="2" t="s">
        <v>74</v>
      </c>
      <c r="BI884" s="2" t="s">
        <v>74</v>
      </c>
      <c r="BJ884" s="2" t="s">
        <v>74</v>
      </c>
      <c r="BK884" s="2" t="s">
        <v>74</v>
      </c>
      <c r="BL884" s="2" t="s">
        <v>74</v>
      </c>
      <c r="BM884" s="2" t="s">
        <v>74</v>
      </c>
      <c r="BN884" s="2" t="s">
        <v>74</v>
      </c>
      <c r="BO884" s="2" t="s">
        <v>74</v>
      </c>
      <c r="BP884" s="2" t="s">
        <v>74</v>
      </c>
      <c r="BQ884" s="2" t="s">
        <v>74</v>
      </c>
      <c r="BR884" s="2" t="s">
        <v>74</v>
      </c>
      <c r="BS884" s="2" t="s">
        <v>388</v>
      </c>
      <c r="BT884" s="2" t="str">
        <f>HYPERLINK("https%3A%2F%2Fwww.webofscience.com%2Fwos%2Fwoscc%2Ffull-record%2FWOS:000268902900021","View Full Record in Web of Science")</f>
        <v>View Full Record in Web of Science</v>
      </c>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row>
    <row r="885" spans="1:314" s="2" customFormat="1" x14ac:dyDescent="0.4">
      <c r="A885" s="2" t="s">
        <v>72</v>
      </c>
      <c r="B885" s="2" t="s">
        <v>382</v>
      </c>
      <c r="C885" s="2" t="s">
        <v>74</v>
      </c>
      <c r="D885" s="2" t="s">
        <v>74</v>
      </c>
      <c r="E885" s="2" t="s">
        <v>74</v>
      </c>
      <c r="F885" s="2" t="s">
        <v>383</v>
      </c>
      <c r="G885" s="2" t="s">
        <v>74</v>
      </c>
      <c r="H885" s="2" t="s">
        <v>74</v>
      </c>
      <c r="I885" s="2" t="s">
        <v>2748</v>
      </c>
      <c r="J885" s="2" t="s">
        <v>171</v>
      </c>
      <c r="K885" s="2" t="s">
        <v>74</v>
      </c>
      <c r="L885" s="2" t="s">
        <v>74</v>
      </c>
      <c r="M885" s="2" t="s">
        <v>74</v>
      </c>
      <c r="N885" s="2" t="s">
        <v>74</v>
      </c>
      <c r="O885" s="2" t="s">
        <v>74</v>
      </c>
      <c r="P885" s="2" t="s">
        <v>74</v>
      </c>
      <c r="Q885" s="2" t="s">
        <v>74</v>
      </c>
      <c r="R885" s="2" t="s">
        <v>74</v>
      </c>
      <c r="S885" s="2" t="s">
        <v>74</v>
      </c>
      <c r="T885" s="2" t="s">
        <v>74</v>
      </c>
      <c r="U885" s="2" t="s">
        <v>74</v>
      </c>
      <c r="V885" s="5" t="s">
        <v>2749</v>
      </c>
      <c r="W885" s="2" t="s">
        <v>74</v>
      </c>
      <c r="X885" s="2" t="s">
        <v>74</v>
      </c>
      <c r="Y885" s="2" t="s">
        <v>74</v>
      </c>
      <c r="Z885" s="2" t="s">
        <v>74</v>
      </c>
      <c r="AA885" s="2" t="s">
        <v>386</v>
      </c>
      <c r="AB885" s="2" t="s">
        <v>74</v>
      </c>
      <c r="AC885" s="2" t="s">
        <v>74</v>
      </c>
      <c r="AD885" s="2" t="s">
        <v>74</v>
      </c>
      <c r="AE885" s="2" t="s">
        <v>74</v>
      </c>
      <c r="AF885" s="2" t="s">
        <v>74</v>
      </c>
      <c r="AG885" s="2" t="s">
        <v>74</v>
      </c>
      <c r="AH885" s="2" t="s">
        <v>74</v>
      </c>
      <c r="AI885" s="2" t="s">
        <v>74</v>
      </c>
      <c r="AJ885" s="2" t="s">
        <v>74</v>
      </c>
      <c r="AK885" s="2" t="s">
        <v>74</v>
      </c>
      <c r="AL885" s="2" t="s">
        <v>74</v>
      </c>
      <c r="AM885" s="2" t="s">
        <v>74</v>
      </c>
      <c r="AN885" s="2" t="s">
        <v>74</v>
      </c>
      <c r="AO885" s="2" t="s">
        <v>173</v>
      </c>
      <c r="AP885" s="2" t="s">
        <v>174</v>
      </c>
      <c r="AQ885" s="2" t="s">
        <v>74</v>
      </c>
      <c r="AR885" s="2" t="s">
        <v>74</v>
      </c>
      <c r="AS885" s="2" t="s">
        <v>74</v>
      </c>
      <c r="AT885" s="2" t="s">
        <v>134</v>
      </c>
      <c r="AU885" s="2">
        <v>2010</v>
      </c>
      <c r="AV885" s="2">
        <v>64</v>
      </c>
      <c r="AW885" s="2">
        <v>5</v>
      </c>
      <c r="AX885" s="2" t="s">
        <v>74</v>
      </c>
      <c r="AY885" s="2" t="s">
        <v>74</v>
      </c>
      <c r="AZ885" s="2" t="s">
        <v>74</v>
      </c>
      <c r="BA885" s="2" t="s">
        <v>74</v>
      </c>
      <c r="BB885" s="2">
        <v>1301</v>
      </c>
      <c r="BC885" s="2">
        <v>1310</v>
      </c>
      <c r="BD885" s="2" t="s">
        <v>74</v>
      </c>
      <c r="BE885" s="2" t="s">
        <v>2750</v>
      </c>
      <c r="BF885" s="2" t="str">
        <f>HYPERLINK("http://dx.doi.org/10.1111/j.1558-5646.2009.00897.x","http://dx.doi.org/10.1111/j.1558-5646.2009.00897.x")</f>
        <v>http://dx.doi.org/10.1111/j.1558-5646.2009.00897.x</v>
      </c>
      <c r="BG885" s="2" t="s">
        <v>74</v>
      </c>
      <c r="BH885" s="2" t="s">
        <v>74</v>
      </c>
      <c r="BI885" s="2" t="s">
        <v>74</v>
      </c>
      <c r="BJ885" s="2" t="s">
        <v>74</v>
      </c>
      <c r="BK885" s="2" t="s">
        <v>74</v>
      </c>
      <c r="BL885" s="2" t="s">
        <v>74</v>
      </c>
      <c r="BM885" s="2" t="s">
        <v>74</v>
      </c>
      <c r="BN885" s="2">
        <v>19922444</v>
      </c>
      <c r="BO885" s="2" t="s">
        <v>74</v>
      </c>
      <c r="BP885" s="2" t="s">
        <v>74</v>
      </c>
      <c r="BQ885" s="2" t="s">
        <v>74</v>
      </c>
      <c r="BR885" s="2" t="s">
        <v>74</v>
      </c>
      <c r="BS885" s="2" t="s">
        <v>2751</v>
      </c>
      <c r="BT885" s="2" t="str">
        <f>HYPERLINK("https%3A%2F%2Fwww.webofscience.com%2Fwos%2Fwoscc%2Ffull-record%2FWOS:000277096400011","View Full Record in Web of Science")</f>
        <v>View Full Record in Web of Science</v>
      </c>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row>
    <row r="886" spans="1:314" s="2" customFormat="1" x14ac:dyDescent="0.4">
      <c r="A886" s="2" t="s">
        <v>72</v>
      </c>
      <c r="B886" s="2" t="s">
        <v>6925</v>
      </c>
      <c r="C886" s="2" t="s">
        <v>74</v>
      </c>
      <c r="D886" s="2" t="s">
        <v>74</v>
      </c>
      <c r="E886" s="2" t="s">
        <v>74</v>
      </c>
      <c r="F886" s="2" t="s">
        <v>6926</v>
      </c>
      <c r="G886" s="2" t="s">
        <v>74</v>
      </c>
      <c r="H886" s="2" t="s">
        <v>74</v>
      </c>
      <c r="I886" s="2" t="s">
        <v>6927</v>
      </c>
      <c r="J886" s="2" t="s">
        <v>140</v>
      </c>
      <c r="K886" s="2" t="s">
        <v>74</v>
      </c>
      <c r="L886" s="2" t="s">
        <v>74</v>
      </c>
      <c r="M886" s="2" t="s">
        <v>74</v>
      </c>
      <c r="N886" s="2" t="s">
        <v>74</v>
      </c>
      <c r="O886" s="2" t="s">
        <v>74</v>
      </c>
      <c r="P886" s="2" t="s">
        <v>74</v>
      </c>
      <c r="Q886" s="2" t="s">
        <v>74</v>
      </c>
      <c r="R886" s="2" t="s">
        <v>74</v>
      </c>
      <c r="S886" s="2" t="s">
        <v>74</v>
      </c>
      <c r="T886" s="2" t="s">
        <v>74</v>
      </c>
      <c r="U886" s="2" t="s">
        <v>74</v>
      </c>
      <c r="V886" s="5" t="s">
        <v>6928</v>
      </c>
      <c r="W886" s="2" t="s">
        <v>74</v>
      </c>
      <c r="X886" s="2" t="s">
        <v>74</v>
      </c>
      <c r="Y886" s="2" t="s">
        <v>74</v>
      </c>
      <c r="Z886" s="2" t="s">
        <v>74</v>
      </c>
      <c r="AA886" s="2" t="s">
        <v>74</v>
      </c>
      <c r="AB886" s="2" t="s">
        <v>6929</v>
      </c>
      <c r="AC886" s="2" t="s">
        <v>74</v>
      </c>
      <c r="AD886" s="2" t="s">
        <v>74</v>
      </c>
      <c r="AE886" s="2" t="s">
        <v>74</v>
      </c>
      <c r="AF886" s="2" t="s">
        <v>74</v>
      </c>
      <c r="AG886" s="2" t="s">
        <v>74</v>
      </c>
      <c r="AH886" s="2" t="s">
        <v>74</v>
      </c>
      <c r="AI886" s="2" t="s">
        <v>74</v>
      </c>
      <c r="AJ886" s="2" t="s">
        <v>74</v>
      </c>
      <c r="AK886" s="2" t="s">
        <v>74</v>
      </c>
      <c r="AL886" s="2" t="s">
        <v>74</v>
      </c>
      <c r="AM886" s="2" t="s">
        <v>74</v>
      </c>
      <c r="AN886" s="2" t="s">
        <v>74</v>
      </c>
      <c r="AO886" s="2" t="s">
        <v>143</v>
      </c>
      <c r="AP886" s="2" t="s">
        <v>144</v>
      </c>
      <c r="AQ886" s="2" t="s">
        <v>74</v>
      </c>
      <c r="AR886" s="2" t="s">
        <v>74</v>
      </c>
      <c r="AS886" s="2" t="s">
        <v>74</v>
      </c>
      <c r="AT886" s="2" t="s">
        <v>633</v>
      </c>
      <c r="AU886" s="2">
        <v>2020</v>
      </c>
      <c r="AV886" s="2">
        <v>162</v>
      </c>
      <c r="AW886" s="2" t="s">
        <v>74</v>
      </c>
      <c r="AX886" s="2" t="s">
        <v>74</v>
      </c>
      <c r="AY886" s="2" t="s">
        <v>74</v>
      </c>
      <c r="AZ886" s="2" t="s">
        <v>74</v>
      </c>
      <c r="BA886" s="2" t="s">
        <v>74</v>
      </c>
      <c r="BB886" s="2">
        <v>123</v>
      </c>
      <c r="BC886" s="2">
        <v>133</v>
      </c>
      <c r="BD886" s="2" t="s">
        <v>74</v>
      </c>
      <c r="BE886" s="2" t="s">
        <v>6930</v>
      </c>
      <c r="BF886" s="2" t="str">
        <f>HYPERLINK("http://dx.doi.org/10.1016/j.anbehav.2020.02.008","http://dx.doi.org/10.1016/j.anbehav.2020.02.008")</f>
        <v>http://dx.doi.org/10.1016/j.anbehav.2020.02.008</v>
      </c>
      <c r="BG886" s="2" t="s">
        <v>74</v>
      </c>
      <c r="BH886" s="2" t="s">
        <v>74</v>
      </c>
      <c r="BI886" s="2" t="s">
        <v>74</v>
      </c>
      <c r="BJ886" s="2" t="s">
        <v>74</v>
      </c>
      <c r="BK886" s="2" t="s">
        <v>74</v>
      </c>
      <c r="BL886" s="2" t="s">
        <v>74</v>
      </c>
      <c r="BM886" s="2" t="s">
        <v>74</v>
      </c>
      <c r="BN886" s="2" t="s">
        <v>74</v>
      </c>
      <c r="BO886" s="2" t="s">
        <v>74</v>
      </c>
      <c r="BP886" s="2" t="s">
        <v>74</v>
      </c>
      <c r="BQ886" s="2" t="s">
        <v>74</v>
      </c>
      <c r="BR886" s="2" t="s">
        <v>74</v>
      </c>
      <c r="BS886" s="2" t="s">
        <v>6931</v>
      </c>
      <c r="BT886" s="2" t="str">
        <f>HYPERLINK("https%3A%2F%2Fwww.webofscience.com%2Fwos%2Fwoscc%2Ffull-record%2FWOS:000522974300013","View Full Record in Web of Science")</f>
        <v>View Full Record in Web of Science</v>
      </c>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row>
    <row r="887" spans="1:314" s="2" customFormat="1" x14ac:dyDescent="0.4">
      <c r="A887" s="2" t="s">
        <v>72</v>
      </c>
      <c r="B887" s="2" t="s">
        <v>3938</v>
      </c>
      <c r="C887" s="2" t="s">
        <v>74</v>
      </c>
      <c r="D887" s="2" t="s">
        <v>74</v>
      </c>
      <c r="E887" s="2" t="s">
        <v>74</v>
      </c>
      <c r="F887" s="2" t="s">
        <v>3939</v>
      </c>
      <c r="G887" s="2" t="s">
        <v>74</v>
      </c>
      <c r="H887" s="2" t="s">
        <v>74</v>
      </c>
      <c r="I887" s="2" t="s">
        <v>3940</v>
      </c>
      <c r="J887" s="2" t="s">
        <v>1526</v>
      </c>
      <c r="K887" s="2" t="s">
        <v>74</v>
      </c>
      <c r="L887" s="2" t="s">
        <v>74</v>
      </c>
      <c r="M887" s="2" t="s">
        <v>74</v>
      </c>
      <c r="N887" s="2" t="s">
        <v>74</v>
      </c>
      <c r="O887" s="2" t="s">
        <v>74</v>
      </c>
      <c r="P887" s="2" t="s">
        <v>74</v>
      </c>
      <c r="Q887" s="2" t="s">
        <v>74</v>
      </c>
      <c r="R887" s="2" t="s">
        <v>74</v>
      </c>
      <c r="S887" s="2" t="s">
        <v>74</v>
      </c>
      <c r="T887" s="2" t="s">
        <v>74</v>
      </c>
      <c r="U887" s="2" t="s">
        <v>74</v>
      </c>
      <c r="V887" s="5" t="s">
        <v>3941</v>
      </c>
      <c r="W887" s="2" t="s">
        <v>74</v>
      </c>
      <c r="X887" s="2" t="s">
        <v>74</v>
      </c>
      <c r="Y887" s="2" t="s">
        <v>74</v>
      </c>
      <c r="Z887" s="2" t="s">
        <v>74</v>
      </c>
      <c r="AA887" s="2" t="s">
        <v>3942</v>
      </c>
      <c r="AB887" s="2" t="s">
        <v>3943</v>
      </c>
      <c r="AC887" s="2" t="s">
        <v>74</v>
      </c>
      <c r="AD887" s="2" t="s">
        <v>74</v>
      </c>
      <c r="AE887" s="2" t="s">
        <v>74</v>
      </c>
      <c r="AF887" s="2" t="s">
        <v>74</v>
      </c>
      <c r="AG887" s="2" t="s">
        <v>74</v>
      </c>
      <c r="AH887" s="2" t="s">
        <v>74</v>
      </c>
      <c r="AI887" s="2" t="s">
        <v>74</v>
      </c>
      <c r="AJ887" s="2" t="s">
        <v>74</v>
      </c>
      <c r="AK887" s="2" t="s">
        <v>74</v>
      </c>
      <c r="AL887" s="2" t="s">
        <v>74</v>
      </c>
      <c r="AM887" s="2" t="s">
        <v>74</v>
      </c>
      <c r="AN887" s="2" t="s">
        <v>74</v>
      </c>
      <c r="AO887" s="2" t="s">
        <v>1528</v>
      </c>
      <c r="AP887" s="2" t="s">
        <v>2131</v>
      </c>
      <c r="AQ887" s="2" t="s">
        <v>74</v>
      </c>
      <c r="AR887" s="2" t="s">
        <v>74</v>
      </c>
      <c r="AS887" s="2" t="s">
        <v>74</v>
      </c>
      <c r="AT887" s="2" t="s">
        <v>213</v>
      </c>
      <c r="AU887" s="2">
        <v>2013</v>
      </c>
      <c r="AV887" s="2">
        <v>115</v>
      </c>
      <c r="AW887" s="2">
        <v>4</v>
      </c>
      <c r="AX887" s="2" t="s">
        <v>74</v>
      </c>
      <c r="AY887" s="2" t="s">
        <v>74</v>
      </c>
      <c r="AZ887" s="2" t="s">
        <v>74</v>
      </c>
      <c r="BA887" s="2" t="s">
        <v>74</v>
      </c>
      <c r="BB887" s="2">
        <v>902</v>
      </c>
      <c r="BC887" s="2">
        <v>909</v>
      </c>
      <c r="BD887" s="2" t="s">
        <v>74</v>
      </c>
      <c r="BE887" s="2" t="s">
        <v>3944</v>
      </c>
      <c r="BF887" s="2" t="str">
        <f>HYPERLINK("http://dx.doi.org/10.1525/cond.2013.120009","http://dx.doi.org/10.1525/cond.2013.120009")</f>
        <v>http://dx.doi.org/10.1525/cond.2013.120009</v>
      </c>
      <c r="BG887" s="2" t="s">
        <v>74</v>
      </c>
      <c r="BH887" s="2" t="s">
        <v>74</v>
      </c>
      <c r="BI887" s="2" t="s">
        <v>74</v>
      </c>
      <c r="BJ887" s="2" t="s">
        <v>74</v>
      </c>
      <c r="BK887" s="2" t="s">
        <v>74</v>
      </c>
      <c r="BL887" s="2" t="s">
        <v>74</v>
      </c>
      <c r="BM887" s="2" t="s">
        <v>74</v>
      </c>
      <c r="BN887" s="2" t="s">
        <v>74</v>
      </c>
      <c r="BO887" s="2" t="s">
        <v>74</v>
      </c>
      <c r="BP887" s="2" t="s">
        <v>74</v>
      </c>
      <c r="BQ887" s="2" t="s">
        <v>74</v>
      </c>
      <c r="BR887" s="2" t="s">
        <v>74</v>
      </c>
      <c r="BS887" s="2" t="s">
        <v>3945</v>
      </c>
      <c r="BT887" s="2" t="str">
        <f>HYPERLINK("https%3A%2F%2Fwww.webofscience.com%2Fwos%2Fwoscc%2Ffull-record%2FWOS:000328295800022","View Full Record in Web of Science")</f>
        <v>View Full Record in Web of Science</v>
      </c>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row>
    <row r="888" spans="1:314" s="2" customFormat="1" x14ac:dyDescent="0.4">
      <c r="A888" s="2" t="s">
        <v>72</v>
      </c>
      <c r="B888" s="2" t="s">
        <v>271</v>
      </c>
      <c r="C888" s="2" t="s">
        <v>74</v>
      </c>
      <c r="D888" s="2" t="s">
        <v>74</v>
      </c>
      <c r="E888" s="2" t="s">
        <v>74</v>
      </c>
      <c r="F888" s="2" t="s">
        <v>2636</v>
      </c>
      <c r="G888" s="2" t="s">
        <v>74</v>
      </c>
      <c r="H888" s="2" t="s">
        <v>74</v>
      </c>
      <c r="I888" s="2" t="s">
        <v>2637</v>
      </c>
      <c r="J888" s="2" t="s">
        <v>610</v>
      </c>
      <c r="K888" s="2" t="s">
        <v>74</v>
      </c>
      <c r="L888" s="2" t="s">
        <v>74</v>
      </c>
      <c r="M888" s="2" t="s">
        <v>74</v>
      </c>
      <c r="N888" s="2" t="s">
        <v>74</v>
      </c>
      <c r="O888" s="2" t="s">
        <v>74</v>
      </c>
      <c r="P888" s="2" t="s">
        <v>74</v>
      </c>
      <c r="Q888" s="2" t="s">
        <v>74</v>
      </c>
      <c r="R888" s="2" t="s">
        <v>74</v>
      </c>
      <c r="S888" s="2" t="s">
        <v>74</v>
      </c>
      <c r="T888" s="2" t="s">
        <v>74</v>
      </c>
      <c r="U888" s="2" t="s">
        <v>74</v>
      </c>
      <c r="V888" s="5" t="s">
        <v>2638</v>
      </c>
      <c r="W888" s="2" t="s">
        <v>74</v>
      </c>
      <c r="X888" s="2" t="s">
        <v>74</v>
      </c>
      <c r="Y888" s="2" t="s">
        <v>74</v>
      </c>
      <c r="Z888" s="2" t="s">
        <v>74</v>
      </c>
      <c r="AA888" s="2" t="s">
        <v>74</v>
      </c>
      <c r="AB888" s="2" t="s">
        <v>274</v>
      </c>
      <c r="AC888" s="2" t="s">
        <v>74</v>
      </c>
      <c r="AD888" s="2" t="s">
        <v>74</v>
      </c>
      <c r="AE888" s="2" t="s">
        <v>74</v>
      </c>
      <c r="AF888" s="2" t="s">
        <v>74</v>
      </c>
      <c r="AG888" s="2" t="s">
        <v>74</v>
      </c>
      <c r="AH888" s="2" t="s">
        <v>74</v>
      </c>
      <c r="AI888" s="2" t="s">
        <v>74</v>
      </c>
      <c r="AJ888" s="2" t="s">
        <v>74</v>
      </c>
      <c r="AK888" s="2" t="s">
        <v>74</v>
      </c>
      <c r="AL888" s="2" t="s">
        <v>74</v>
      </c>
      <c r="AM888" s="2" t="s">
        <v>74</v>
      </c>
      <c r="AN888" s="2" t="s">
        <v>74</v>
      </c>
      <c r="AO888" s="2" t="s">
        <v>614</v>
      </c>
      <c r="AP888" s="2" t="s">
        <v>615</v>
      </c>
      <c r="AQ888" s="2" t="s">
        <v>74</v>
      </c>
      <c r="AR888" s="2" t="s">
        <v>74</v>
      </c>
      <c r="AS888" s="2" t="s">
        <v>74</v>
      </c>
      <c r="AT888" s="2" t="s">
        <v>102</v>
      </c>
      <c r="AU888" s="2">
        <v>2010</v>
      </c>
      <c r="AV888" s="2">
        <v>116</v>
      </c>
      <c r="AW888" s="2">
        <v>6</v>
      </c>
      <c r="AX888" s="2" t="s">
        <v>74</v>
      </c>
      <c r="AY888" s="2" t="s">
        <v>74</v>
      </c>
      <c r="AZ888" s="2" t="s">
        <v>74</v>
      </c>
      <c r="BA888" s="2" t="s">
        <v>74</v>
      </c>
      <c r="BB888" s="2">
        <v>509</v>
      </c>
      <c r="BC888" s="2">
        <v>516</v>
      </c>
      <c r="BD888" s="2" t="s">
        <v>74</v>
      </c>
      <c r="BE888" s="2" t="s">
        <v>2639</v>
      </c>
      <c r="BF888" s="2" t="str">
        <f>HYPERLINK("http://dx.doi.org/10.1111/j.1439-0310.2010.01765.x","http://dx.doi.org/10.1111/j.1439-0310.2010.01765.x")</f>
        <v>http://dx.doi.org/10.1111/j.1439-0310.2010.01765.x</v>
      </c>
      <c r="BG888" s="2" t="s">
        <v>74</v>
      </c>
      <c r="BH888" s="2" t="s">
        <v>74</v>
      </c>
      <c r="BI888" s="2" t="s">
        <v>74</v>
      </c>
      <c r="BJ888" s="2" t="s">
        <v>74</v>
      </c>
      <c r="BK888" s="2" t="s">
        <v>74</v>
      </c>
      <c r="BL888" s="2" t="s">
        <v>74</v>
      </c>
      <c r="BM888" s="2" t="s">
        <v>74</v>
      </c>
      <c r="BN888" s="2" t="s">
        <v>74</v>
      </c>
      <c r="BO888" s="2" t="s">
        <v>74</v>
      </c>
      <c r="BP888" s="2" t="s">
        <v>74</v>
      </c>
      <c r="BQ888" s="2" t="s">
        <v>74</v>
      </c>
      <c r="BR888" s="2" t="s">
        <v>74</v>
      </c>
      <c r="BS888" s="2" t="s">
        <v>2640</v>
      </c>
      <c r="BT888" s="2" t="str">
        <f>HYPERLINK("https%3A%2F%2Fwww.webofscience.com%2Fwos%2Fwoscc%2Ffull-record%2FWOS:000277405700004","View Full Record in Web of Science")</f>
        <v>View Full Record in Web of Science</v>
      </c>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row>
    <row r="889" spans="1:314" s="2" customFormat="1" x14ac:dyDescent="0.4">
      <c r="A889" s="2" t="s">
        <v>72</v>
      </c>
      <c r="B889" s="2" t="s">
        <v>271</v>
      </c>
      <c r="C889" s="2" t="s">
        <v>74</v>
      </c>
      <c r="D889" s="2" t="s">
        <v>74</v>
      </c>
      <c r="E889" s="2" t="s">
        <v>74</v>
      </c>
      <c r="F889" s="2" t="s">
        <v>271</v>
      </c>
      <c r="G889" s="2" t="s">
        <v>74</v>
      </c>
      <c r="H889" s="2" t="s">
        <v>74</v>
      </c>
      <c r="I889" s="2" t="s">
        <v>272</v>
      </c>
      <c r="J889" s="2" t="s">
        <v>108</v>
      </c>
      <c r="K889" s="2" t="s">
        <v>74</v>
      </c>
      <c r="L889" s="2" t="s">
        <v>74</v>
      </c>
      <c r="M889" s="2" t="s">
        <v>74</v>
      </c>
      <c r="N889" s="2" t="s">
        <v>74</v>
      </c>
      <c r="O889" s="2" t="s">
        <v>74</v>
      </c>
      <c r="P889" s="2" t="s">
        <v>74</v>
      </c>
      <c r="Q889" s="2" t="s">
        <v>74</v>
      </c>
      <c r="R889" s="2" t="s">
        <v>74</v>
      </c>
      <c r="S889" s="2" t="s">
        <v>74</v>
      </c>
      <c r="T889" s="2" t="s">
        <v>74</v>
      </c>
      <c r="U889" s="2" t="s">
        <v>74</v>
      </c>
      <c r="V889" s="5" t="s">
        <v>273</v>
      </c>
      <c r="W889" s="2" t="s">
        <v>74</v>
      </c>
      <c r="X889" s="2" t="s">
        <v>74</v>
      </c>
      <c r="Y889" s="2" t="s">
        <v>74</v>
      </c>
      <c r="Z889" s="2" t="s">
        <v>74</v>
      </c>
      <c r="AA889" s="2" t="s">
        <v>74</v>
      </c>
      <c r="AB889" s="2" t="s">
        <v>274</v>
      </c>
      <c r="AC889" s="2" t="s">
        <v>74</v>
      </c>
      <c r="AD889" s="2" t="s">
        <v>74</v>
      </c>
      <c r="AE889" s="2" t="s">
        <v>74</v>
      </c>
      <c r="AF889" s="2" t="s">
        <v>74</v>
      </c>
      <c r="AG889" s="2" t="s">
        <v>74</v>
      </c>
      <c r="AH889" s="2" t="s">
        <v>74</v>
      </c>
      <c r="AI889" s="2" t="s">
        <v>74</v>
      </c>
      <c r="AJ889" s="2" t="s">
        <v>74</v>
      </c>
      <c r="AK889" s="2" t="s">
        <v>74</v>
      </c>
      <c r="AL889" s="2" t="s">
        <v>74</v>
      </c>
      <c r="AM889" s="2" t="s">
        <v>74</v>
      </c>
      <c r="AN889" s="2" t="s">
        <v>74</v>
      </c>
      <c r="AO889" s="2" t="s">
        <v>111</v>
      </c>
      <c r="AP889" s="2" t="s">
        <v>112</v>
      </c>
      <c r="AQ889" s="2" t="s">
        <v>74</v>
      </c>
      <c r="AR889" s="2" t="s">
        <v>74</v>
      </c>
      <c r="AS889" s="2" t="s">
        <v>74</v>
      </c>
      <c r="AT889" s="2" t="s">
        <v>275</v>
      </c>
      <c r="AU889" s="2">
        <v>2000</v>
      </c>
      <c r="AV889" s="2">
        <v>267</v>
      </c>
      <c r="AW889" s="2">
        <v>1445</v>
      </c>
      <c r="AX889" s="2" t="s">
        <v>74</v>
      </c>
      <c r="AY889" s="2" t="s">
        <v>74</v>
      </c>
      <c r="AZ889" s="2" t="s">
        <v>74</v>
      </c>
      <c r="BA889" s="2" t="s">
        <v>74</v>
      </c>
      <c r="BB889" s="2">
        <v>755</v>
      </c>
      <c r="BC889" s="2">
        <v>758</v>
      </c>
      <c r="BD889" s="2" t="s">
        <v>74</v>
      </c>
      <c r="BE889" s="2" t="s">
        <v>276</v>
      </c>
      <c r="BF889" s="2" t="str">
        <f>HYPERLINK("http://dx.doi.org/10.1098/rspb.2000.1067","http://dx.doi.org/10.1098/rspb.2000.1067")</f>
        <v>http://dx.doi.org/10.1098/rspb.2000.1067</v>
      </c>
      <c r="BG889" s="2" t="s">
        <v>74</v>
      </c>
      <c r="BH889" s="2" t="s">
        <v>74</v>
      </c>
      <c r="BI889" s="2" t="s">
        <v>74</v>
      </c>
      <c r="BJ889" s="2" t="s">
        <v>74</v>
      </c>
      <c r="BK889" s="2" t="s">
        <v>74</v>
      </c>
      <c r="BL889" s="2" t="s">
        <v>74</v>
      </c>
      <c r="BM889" s="2" t="s">
        <v>74</v>
      </c>
      <c r="BN889" s="2">
        <v>10819143</v>
      </c>
      <c r="BO889" s="2" t="s">
        <v>74</v>
      </c>
      <c r="BP889" s="2" t="s">
        <v>74</v>
      </c>
      <c r="BQ889" s="2" t="s">
        <v>74</v>
      </c>
      <c r="BR889" s="2" t="s">
        <v>74</v>
      </c>
      <c r="BS889" s="2" t="s">
        <v>277</v>
      </c>
      <c r="BT889" s="2" t="str">
        <f>HYPERLINK("https%3A%2F%2Fwww.webofscience.com%2Fwos%2Fwoscc%2Ffull-record%2FWOS:000086850600003","View Full Record in Web of Science")</f>
        <v>View Full Record in Web of Science</v>
      </c>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row>
    <row r="890" spans="1:314" s="2" customFormat="1" x14ac:dyDescent="0.4">
      <c r="A890" s="2" t="s">
        <v>72</v>
      </c>
      <c r="B890" s="2" t="s">
        <v>271</v>
      </c>
      <c r="C890" s="2" t="s">
        <v>74</v>
      </c>
      <c r="D890" s="2" t="s">
        <v>74</v>
      </c>
      <c r="E890" s="2" t="s">
        <v>74</v>
      </c>
      <c r="F890" s="2" t="s">
        <v>271</v>
      </c>
      <c r="G890" s="2" t="s">
        <v>74</v>
      </c>
      <c r="H890" s="2" t="s">
        <v>74</v>
      </c>
      <c r="I890" s="2" t="s">
        <v>1811</v>
      </c>
      <c r="J890" s="2" t="s">
        <v>1812</v>
      </c>
      <c r="K890" s="2" t="s">
        <v>74</v>
      </c>
      <c r="L890" s="2" t="s">
        <v>74</v>
      </c>
      <c r="M890" s="2" t="s">
        <v>74</v>
      </c>
      <c r="N890" s="2" t="s">
        <v>74</v>
      </c>
      <c r="O890" s="2" t="s">
        <v>74</v>
      </c>
      <c r="P890" s="2" t="s">
        <v>74</v>
      </c>
      <c r="Q890" s="2" t="s">
        <v>74</v>
      </c>
      <c r="R890" s="2" t="s">
        <v>74</v>
      </c>
      <c r="S890" s="2" t="s">
        <v>74</v>
      </c>
      <c r="T890" s="2" t="s">
        <v>74</v>
      </c>
      <c r="U890" s="2" t="s">
        <v>74</v>
      </c>
      <c r="V890" s="5" t="s">
        <v>1813</v>
      </c>
      <c r="W890" s="2" t="s">
        <v>74</v>
      </c>
      <c r="X890" s="2" t="s">
        <v>74</v>
      </c>
      <c r="Y890" s="2" t="s">
        <v>74</v>
      </c>
      <c r="Z890" s="2" t="s">
        <v>74</v>
      </c>
      <c r="AA890" s="2" t="s">
        <v>74</v>
      </c>
      <c r="AB890" s="2" t="s">
        <v>274</v>
      </c>
      <c r="AC890" s="2" t="s">
        <v>74</v>
      </c>
      <c r="AD890" s="2" t="s">
        <v>74</v>
      </c>
      <c r="AE890" s="2" t="s">
        <v>74</v>
      </c>
      <c r="AF890" s="2" t="s">
        <v>74</v>
      </c>
      <c r="AG890" s="2" t="s">
        <v>74</v>
      </c>
      <c r="AH890" s="2" t="s">
        <v>74</v>
      </c>
      <c r="AI890" s="2" t="s">
        <v>74</v>
      </c>
      <c r="AJ890" s="2" t="s">
        <v>74</v>
      </c>
      <c r="AK890" s="2" t="s">
        <v>74</v>
      </c>
      <c r="AL890" s="2" t="s">
        <v>74</v>
      </c>
      <c r="AM890" s="2" t="s">
        <v>74</v>
      </c>
      <c r="AN890" s="2" t="s">
        <v>74</v>
      </c>
      <c r="AO890" s="2" t="s">
        <v>1814</v>
      </c>
      <c r="AP890" s="2" t="s">
        <v>1815</v>
      </c>
      <c r="AQ890" s="2" t="s">
        <v>74</v>
      </c>
      <c r="AR890" s="2" t="s">
        <v>74</v>
      </c>
      <c r="AS890" s="2" t="s">
        <v>74</v>
      </c>
      <c r="AT890" s="2" t="s">
        <v>352</v>
      </c>
      <c r="AU890" s="2">
        <v>2005</v>
      </c>
      <c r="AV890" s="2">
        <v>39</v>
      </c>
      <c r="AW890" s="2">
        <v>3</v>
      </c>
      <c r="AX890" s="2" t="s">
        <v>74</v>
      </c>
      <c r="AY890" s="2" t="s">
        <v>74</v>
      </c>
      <c r="AZ890" s="2" t="s">
        <v>74</v>
      </c>
      <c r="BA890" s="2" t="s">
        <v>74</v>
      </c>
      <c r="BB890" s="2">
        <v>496</v>
      </c>
      <c r="BC890" s="2">
        <v>499</v>
      </c>
      <c r="BD890" s="2" t="s">
        <v>74</v>
      </c>
      <c r="BE890" s="2" t="s">
        <v>1816</v>
      </c>
      <c r="BF890" s="2" t="str">
        <f>HYPERLINK("http://dx.doi.org/10.1670/207-04N.1","http://dx.doi.org/10.1670/207-04N.1")</f>
        <v>http://dx.doi.org/10.1670/207-04N.1</v>
      </c>
      <c r="BG890" s="2" t="s">
        <v>74</v>
      </c>
      <c r="BH890" s="2" t="s">
        <v>74</v>
      </c>
      <c r="BI890" s="2" t="s">
        <v>74</v>
      </c>
      <c r="BJ890" s="2" t="s">
        <v>74</v>
      </c>
      <c r="BK890" s="2" t="s">
        <v>74</v>
      </c>
      <c r="BL890" s="2" t="s">
        <v>74</v>
      </c>
      <c r="BM890" s="2" t="s">
        <v>74</v>
      </c>
      <c r="BN890" s="2" t="s">
        <v>74</v>
      </c>
      <c r="BO890" s="2" t="s">
        <v>74</v>
      </c>
      <c r="BP890" s="2" t="s">
        <v>74</v>
      </c>
      <c r="BQ890" s="2" t="s">
        <v>74</v>
      </c>
      <c r="BR890" s="2" t="s">
        <v>74</v>
      </c>
      <c r="BS890" s="2" t="s">
        <v>1817</v>
      </c>
      <c r="BT890" s="2" t="str">
        <f>HYPERLINK("https%3A%2F%2Fwww.webofscience.com%2Fwos%2Fwoscc%2Ffull-record%2FWOS:000232114800022","View Full Record in Web of Science")</f>
        <v>View Full Record in Web of Science</v>
      </c>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row>
    <row r="891" spans="1:314" s="2" customFormat="1" x14ac:dyDescent="0.4">
      <c r="A891" s="2" t="s">
        <v>72</v>
      </c>
      <c r="B891" s="2" t="s">
        <v>6380</v>
      </c>
      <c r="C891" s="2" t="s">
        <v>74</v>
      </c>
      <c r="D891" s="2" t="s">
        <v>74</v>
      </c>
      <c r="E891" s="2" t="s">
        <v>74</v>
      </c>
      <c r="F891" s="2" t="s">
        <v>6381</v>
      </c>
      <c r="G891" s="2" t="s">
        <v>74</v>
      </c>
      <c r="H891" s="2" t="s">
        <v>74</v>
      </c>
      <c r="I891" s="2" t="s">
        <v>6382</v>
      </c>
      <c r="J891" s="2" t="s">
        <v>6240</v>
      </c>
      <c r="K891" s="2" t="s">
        <v>74</v>
      </c>
      <c r="L891" s="2" t="s">
        <v>74</v>
      </c>
      <c r="M891" s="2" t="s">
        <v>74</v>
      </c>
      <c r="N891" s="2" t="s">
        <v>74</v>
      </c>
      <c r="O891" s="2" t="s">
        <v>74</v>
      </c>
      <c r="P891" s="2" t="s">
        <v>74</v>
      </c>
      <c r="Q891" s="2" t="s">
        <v>74</v>
      </c>
      <c r="R891" s="2" t="s">
        <v>74</v>
      </c>
      <c r="S891" s="2" t="s">
        <v>74</v>
      </c>
      <c r="T891" s="2" t="s">
        <v>74</v>
      </c>
      <c r="U891" s="2" t="s">
        <v>74</v>
      </c>
      <c r="V891" s="5" t="s">
        <v>6383</v>
      </c>
      <c r="W891" s="2" t="s">
        <v>74</v>
      </c>
      <c r="X891" s="2" t="s">
        <v>74</v>
      </c>
      <c r="Y891" s="2" t="s">
        <v>74</v>
      </c>
      <c r="Z891" s="2" t="s">
        <v>74</v>
      </c>
      <c r="AA891" s="2" t="s">
        <v>6384</v>
      </c>
      <c r="AB891" s="2" t="s">
        <v>6385</v>
      </c>
      <c r="AC891" s="2" t="s">
        <v>74</v>
      </c>
      <c r="AD891" s="2" t="s">
        <v>74</v>
      </c>
      <c r="AE891" s="2" t="s">
        <v>74</v>
      </c>
      <c r="AF891" s="2" t="s">
        <v>74</v>
      </c>
      <c r="AG891" s="2" t="s">
        <v>74</v>
      </c>
      <c r="AH891" s="2" t="s">
        <v>74</v>
      </c>
      <c r="AI891" s="2" t="s">
        <v>74</v>
      </c>
      <c r="AJ891" s="2" t="s">
        <v>74</v>
      </c>
      <c r="AK891" s="2" t="s">
        <v>74</v>
      </c>
      <c r="AL891" s="2" t="s">
        <v>74</v>
      </c>
      <c r="AM891" s="2" t="s">
        <v>74</v>
      </c>
      <c r="AN891" s="2" t="s">
        <v>74</v>
      </c>
      <c r="AO891" s="2" t="s">
        <v>6242</v>
      </c>
      <c r="AP891" s="2" t="s">
        <v>6243</v>
      </c>
      <c r="AQ891" s="2" t="s">
        <v>74</v>
      </c>
      <c r="AR891" s="2" t="s">
        <v>74</v>
      </c>
      <c r="AS891" s="2" t="s">
        <v>74</v>
      </c>
      <c r="AT891" s="2" t="s">
        <v>175</v>
      </c>
      <c r="AU891" s="2">
        <v>2018</v>
      </c>
      <c r="AV891" s="2">
        <v>94</v>
      </c>
      <c r="AW891" s="2">
        <v>4</v>
      </c>
      <c r="AX891" s="2" t="s">
        <v>74</v>
      </c>
      <c r="AY891" s="2" t="s">
        <v>74</v>
      </c>
      <c r="AZ891" s="2" t="s">
        <v>74</v>
      </c>
      <c r="BA891" s="2" t="s">
        <v>74</v>
      </c>
      <c r="BB891" s="2">
        <v>1313</v>
      </c>
      <c r="BC891" s="2">
        <v>1332</v>
      </c>
      <c r="BD891" s="2" t="s">
        <v>74</v>
      </c>
      <c r="BE891" s="2" t="s">
        <v>6386</v>
      </c>
      <c r="BF891" s="2" t="str">
        <f>HYPERLINK("http://dx.doi.org/10.5343/bms.2017.1054","http://dx.doi.org/10.5343/bms.2017.1054")</f>
        <v>http://dx.doi.org/10.5343/bms.2017.1054</v>
      </c>
      <c r="BG891" s="2" t="s">
        <v>74</v>
      </c>
      <c r="BH891" s="2" t="s">
        <v>74</v>
      </c>
      <c r="BI891" s="2" t="s">
        <v>74</v>
      </c>
      <c r="BJ891" s="2" t="s">
        <v>74</v>
      </c>
      <c r="BK891" s="2" t="s">
        <v>74</v>
      </c>
      <c r="BL891" s="2" t="s">
        <v>74</v>
      </c>
      <c r="BM891" s="2" t="s">
        <v>74</v>
      </c>
      <c r="BN891" s="2" t="s">
        <v>74</v>
      </c>
      <c r="BO891" s="2" t="s">
        <v>74</v>
      </c>
      <c r="BP891" s="2" t="s">
        <v>74</v>
      </c>
      <c r="BQ891" s="2" t="s">
        <v>74</v>
      </c>
      <c r="BR891" s="2" t="s">
        <v>74</v>
      </c>
      <c r="BS891" s="2" t="s">
        <v>6387</v>
      </c>
      <c r="BT891" s="2" t="str">
        <f>HYPERLINK("https%3A%2F%2Fwww.webofscience.com%2Fwos%2Fwoscc%2Ffull-record%2FWOS:000456290000004","View Full Record in Web of Science")</f>
        <v>View Full Record in Web of Science</v>
      </c>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row>
    <row r="892" spans="1:314" s="2" customFormat="1" x14ac:dyDescent="0.4">
      <c r="A892" s="2" t="s">
        <v>72</v>
      </c>
      <c r="B892" s="2" t="s">
        <v>7989</v>
      </c>
      <c r="C892" s="2" t="s">
        <v>74</v>
      </c>
      <c r="D892" s="2" t="s">
        <v>74</v>
      </c>
      <c r="E892" s="2" t="s">
        <v>74</v>
      </c>
      <c r="F892" s="2" t="s">
        <v>7989</v>
      </c>
      <c r="G892" s="2" t="s">
        <v>74</v>
      </c>
      <c r="H892" s="2" t="s">
        <v>74</v>
      </c>
      <c r="I892" s="2" t="s">
        <v>7990</v>
      </c>
      <c r="J892" s="2" t="s">
        <v>6226</v>
      </c>
      <c r="K892" s="2" t="s">
        <v>74</v>
      </c>
      <c r="L892" s="2" t="s">
        <v>74</v>
      </c>
      <c r="M892" s="2" t="s">
        <v>74</v>
      </c>
      <c r="N892" s="2" t="s">
        <v>74</v>
      </c>
      <c r="O892" s="2" t="s">
        <v>74</v>
      </c>
      <c r="P892" s="2" t="s">
        <v>74</v>
      </c>
      <c r="Q892" s="2" t="s">
        <v>74</v>
      </c>
      <c r="R892" s="2" t="s">
        <v>74</v>
      </c>
      <c r="S892" s="2" t="s">
        <v>74</v>
      </c>
      <c r="T892" s="2" t="s">
        <v>74</v>
      </c>
      <c r="U892" s="2" t="s">
        <v>74</v>
      </c>
      <c r="V892" s="5" t="s">
        <v>7991</v>
      </c>
      <c r="W892" s="2" t="s">
        <v>74</v>
      </c>
      <c r="X892" s="2" t="s">
        <v>74</v>
      </c>
      <c r="Y892" s="2" t="s">
        <v>74</v>
      </c>
      <c r="Z892" s="2" t="s">
        <v>74</v>
      </c>
      <c r="AA892" s="2" t="s">
        <v>74</v>
      </c>
      <c r="AB892" s="2" t="s">
        <v>74</v>
      </c>
      <c r="AC892" s="2" t="s">
        <v>74</v>
      </c>
      <c r="AD892" s="2" t="s">
        <v>74</v>
      </c>
      <c r="AE892" s="2" t="s">
        <v>74</v>
      </c>
      <c r="AF892" s="2" t="s">
        <v>74</v>
      </c>
      <c r="AG892" s="2" t="s">
        <v>74</v>
      </c>
      <c r="AH892" s="2" t="s">
        <v>74</v>
      </c>
      <c r="AI892" s="2" t="s">
        <v>74</v>
      </c>
      <c r="AJ892" s="2" t="s">
        <v>74</v>
      </c>
      <c r="AK892" s="2" t="s">
        <v>74</v>
      </c>
      <c r="AL892" s="2" t="s">
        <v>74</v>
      </c>
      <c r="AM892" s="2" t="s">
        <v>74</v>
      </c>
      <c r="AN892" s="2" t="s">
        <v>74</v>
      </c>
      <c r="AO892" s="2" t="s">
        <v>6228</v>
      </c>
      <c r="AP892" s="2" t="s">
        <v>6229</v>
      </c>
      <c r="AQ892" s="2" t="s">
        <v>74</v>
      </c>
      <c r="AR892" s="2" t="s">
        <v>74</v>
      </c>
      <c r="AS892" s="2" t="s">
        <v>74</v>
      </c>
      <c r="AT892" s="2" t="s">
        <v>255</v>
      </c>
      <c r="AU892" s="2">
        <v>2004</v>
      </c>
      <c r="AV892" s="2">
        <v>43</v>
      </c>
      <c r="AW892" s="2">
        <v>1</v>
      </c>
      <c r="AX892" s="2" t="s">
        <v>74</v>
      </c>
      <c r="AY892" s="2" t="s">
        <v>74</v>
      </c>
      <c r="AZ892" s="2" t="s">
        <v>74</v>
      </c>
      <c r="BA892" s="2" t="s">
        <v>74</v>
      </c>
      <c r="BB892" s="2">
        <v>93</v>
      </c>
      <c r="BC892" s="2">
        <v>111</v>
      </c>
      <c r="BD892" s="2" t="s">
        <v>74</v>
      </c>
      <c r="BE892" s="2" t="s">
        <v>74</v>
      </c>
      <c r="BF892" s="2" t="s">
        <v>74</v>
      </c>
      <c r="BG892" s="2" t="s">
        <v>74</v>
      </c>
      <c r="BH892" s="2" t="s">
        <v>74</v>
      </c>
      <c r="BI892" s="2" t="s">
        <v>74</v>
      </c>
      <c r="BJ892" s="2" t="s">
        <v>74</v>
      </c>
      <c r="BK892" s="2" t="s">
        <v>74</v>
      </c>
      <c r="BL892" s="2" t="s">
        <v>74</v>
      </c>
      <c r="BM892" s="2" t="s">
        <v>74</v>
      </c>
      <c r="BN892" s="2" t="s">
        <v>74</v>
      </c>
      <c r="BO892" s="2" t="s">
        <v>74</v>
      </c>
      <c r="BP892" s="2" t="s">
        <v>74</v>
      </c>
      <c r="BQ892" s="2" t="s">
        <v>74</v>
      </c>
      <c r="BR892" s="2" t="s">
        <v>74</v>
      </c>
      <c r="BS892" s="2" t="s">
        <v>7992</v>
      </c>
      <c r="BT892" s="2" t="str">
        <f>HYPERLINK("https%3A%2F%2Fwww.webofscience.com%2Fwos%2Fwoscc%2Ffull-record%2FWOS:000189267400008","View Full Record in Web of Science")</f>
        <v>View Full Record in Web of Science</v>
      </c>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row>
    <row r="893" spans="1:314" s="2" customFormat="1" x14ac:dyDescent="0.4">
      <c r="A893" s="2" t="s">
        <v>72</v>
      </c>
      <c r="B893" s="2" t="s">
        <v>7792</v>
      </c>
      <c r="C893" s="2" t="s">
        <v>74</v>
      </c>
      <c r="D893" s="2" t="s">
        <v>74</v>
      </c>
      <c r="E893" s="2" t="s">
        <v>74</v>
      </c>
      <c r="F893" s="2" t="s">
        <v>7792</v>
      </c>
      <c r="G893" s="2" t="s">
        <v>74</v>
      </c>
      <c r="H893" s="2" t="s">
        <v>74</v>
      </c>
      <c r="I893" s="2" t="s">
        <v>7793</v>
      </c>
      <c r="J893" s="2" t="s">
        <v>7794</v>
      </c>
      <c r="K893" s="2" t="s">
        <v>74</v>
      </c>
      <c r="L893" s="2" t="s">
        <v>74</v>
      </c>
      <c r="M893" s="2" t="s">
        <v>74</v>
      </c>
      <c r="N893" s="2" t="s">
        <v>74</v>
      </c>
      <c r="O893" s="2" t="s">
        <v>7795</v>
      </c>
      <c r="P893" s="2" t="s">
        <v>7796</v>
      </c>
      <c r="Q893" s="2" t="s">
        <v>7797</v>
      </c>
      <c r="R893" s="2" t="s">
        <v>74</v>
      </c>
      <c r="S893" s="2" t="s">
        <v>7798</v>
      </c>
      <c r="T893" s="2" t="s">
        <v>74</v>
      </c>
      <c r="U893" s="2" t="s">
        <v>74</v>
      </c>
      <c r="V893" s="5" t="s">
        <v>7799</v>
      </c>
      <c r="W893" s="2" t="s">
        <v>74</v>
      </c>
      <c r="X893" s="2" t="s">
        <v>74</v>
      </c>
      <c r="Y893" s="2" t="s">
        <v>74</v>
      </c>
      <c r="Z893" s="2" t="s">
        <v>74</v>
      </c>
      <c r="AA893" s="2" t="s">
        <v>74</v>
      </c>
      <c r="AB893" s="2" t="s">
        <v>74</v>
      </c>
      <c r="AC893" s="2" t="s">
        <v>74</v>
      </c>
      <c r="AD893" s="2" t="s">
        <v>74</v>
      </c>
      <c r="AE893" s="2" t="s">
        <v>74</v>
      </c>
      <c r="AF893" s="2" t="s">
        <v>74</v>
      </c>
      <c r="AG893" s="2" t="s">
        <v>74</v>
      </c>
      <c r="AH893" s="2" t="s">
        <v>74</v>
      </c>
      <c r="AI893" s="2" t="s">
        <v>74</v>
      </c>
      <c r="AJ893" s="2" t="s">
        <v>74</v>
      </c>
      <c r="AK893" s="2" t="s">
        <v>74</v>
      </c>
      <c r="AL893" s="2" t="s">
        <v>74</v>
      </c>
      <c r="AM893" s="2" t="s">
        <v>74</v>
      </c>
      <c r="AN893" s="2" t="s">
        <v>74</v>
      </c>
      <c r="AO893" s="2" t="s">
        <v>7800</v>
      </c>
      <c r="AP893" s="2" t="s">
        <v>7801</v>
      </c>
      <c r="AQ893" s="2" t="s">
        <v>74</v>
      </c>
      <c r="AR893" s="2" t="s">
        <v>74</v>
      </c>
      <c r="AS893" s="2" t="s">
        <v>74</v>
      </c>
      <c r="AT893" s="2" t="s">
        <v>123</v>
      </c>
      <c r="AU893" s="2">
        <v>2004</v>
      </c>
      <c r="AV893" s="2">
        <v>45</v>
      </c>
      <c r="AW893" s="2">
        <v>1</v>
      </c>
      <c r="AX893" s="2" t="s">
        <v>74</v>
      </c>
      <c r="AY893" s="2" t="s">
        <v>74</v>
      </c>
      <c r="AZ893" s="2" t="s">
        <v>74</v>
      </c>
      <c r="BA893" s="2" t="s">
        <v>74</v>
      </c>
      <c r="BB893" s="2">
        <v>1</v>
      </c>
      <c r="BC893" s="2">
        <v>14</v>
      </c>
      <c r="BD893" s="2" t="s">
        <v>74</v>
      </c>
      <c r="BE893" s="2" t="s">
        <v>7802</v>
      </c>
      <c r="BF893" s="2" t="str">
        <f>HYPERLINK("http://dx.doi.org/10.1080/07924259.2004.9652569","http://dx.doi.org/10.1080/07924259.2004.9652569")</f>
        <v>http://dx.doi.org/10.1080/07924259.2004.9652569</v>
      </c>
      <c r="BG893" s="2" t="s">
        <v>74</v>
      </c>
      <c r="BH893" s="2" t="s">
        <v>74</v>
      </c>
      <c r="BI893" s="2" t="s">
        <v>74</v>
      </c>
      <c r="BJ893" s="2" t="s">
        <v>74</v>
      </c>
      <c r="BK893" s="2" t="s">
        <v>74</v>
      </c>
      <c r="BL893" s="2" t="s">
        <v>74</v>
      </c>
      <c r="BM893" s="2" t="s">
        <v>74</v>
      </c>
      <c r="BN893" s="2" t="s">
        <v>74</v>
      </c>
      <c r="BO893" s="2" t="s">
        <v>74</v>
      </c>
      <c r="BP893" s="2" t="s">
        <v>74</v>
      </c>
      <c r="BQ893" s="2" t="s">
        <v>74</v>
      </c>
      <c r="BR893" s="2" t="s">
        <v>74</v>
      </c>
      <c r="BS893" s="2" t="s">
        <v>7803</v>
      </c>
      <c r="BT893" s="2" t="str">
        <f>HYPERLINK("https%3A%2F%2Fwww.webofscience.com%2Fwos%2Fwoscc%2Ffull-record%2FWOS:000221012500001","View Full Record in Web of Science")</f>
        <v>View Full Record in Web of Science</v>
      </c>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row>
    <row r="894" spans="1:314" s="2" customFormat="1" x14ac:dyDescent="0.4">
      <c r="A894" s="2" t="s">
        <v>72</v>
      </c>
      <c r="B894" s="2" t="s">
        <v>6254</v>
      </c>
      <c r="C894" s="2" t="s">
        <v>74</v>
      </c>
      <c r="D894" s="2" t="s">
        <v>74</v>
      </c>
      <c r="E894" s="2" t="s">
        <v>74</v>
      </c>
      <c r="F894" s="2" t="s">
        <v>6254</v>
      </c>
      <c r="G894" s="2" t="s">
        <v>74</v>
      </c>
      <c r="H894" s="2" t="s">
        <v>74</v>
      </c>
      <c r="I894" s="2" t="s">
        <v>6255</v>
      </c>
      <c r="J894" s="2" t="s">
        <v>431</v>
      </c>
      <c r="K894" s="2" t="s">
        <v>74</v>
      </c>
      <c r="L894" s="2" t="s">
        <v>74</v>
      </c>
      <c r="M894" s="2" t="s">
        <v>74</v>
      </c>
      <c r="N894" s="2" t="s">
        <v>74</v>
      </c>
      <c r="O894" s="2" t="s">
        <v>74</v>
      </c>
      <c r="P894" s="2" t="s">
        <v>74</v>
      </c>
      <c r="Q894" s="2" t="s">
        <v>74</v>
      </c>
      <c r="R894" s="2" t="s">
        <v>74</v>
      </c>
      <c r="S894" s="2" t="s">
        <v>74</v>
      </c>
      <c r="T894" s="2" t="s">
        <v>74</v>
      </c>
      <c r="U894" s="2" t="s">
        <v>74</v>
      </c>
      <c r="V894" s="5" t="s">
        <v>6256</v>
      </c>
      <c r="W894" s="2" t="s">
        <v>74</v>
      </c>
      <c r="X894" s="2" t="s">
        <v>74</v>
      </c>
      <c r="Y894" s="2" t="s">
        <v>74</v>
      </c>
      <c r="Z894" s="2" t="s">
        <v>74</v>
      </c>
      <c r="AA894" s="2" t="s">
        <v>74</v>
      </c>
      <c r="AB894" s="2" t="s">
        <v>74</v>
      </c>
      <c r="AC894" s="2" t="s">
        <v>74</v>
      </c>
      <c r="AD894" s="2" t="s">
        <v>74</v>
      </c>
      <c r="AE894" s="2" t="s">
        <v>74</v>
      </c>
      <c r="AF894" s="2" t="s">
        <v>74</v>
      </c>
      <c r="AG894" s="2" t="s">
        <v>74</v>
      </c>
      <c r="AH894" s="2" t="s">
        <v>74</v>
      </c>
      <c r="AI894" s="2" t="s">
        <v>74</v>
      </c>
      <c r="AJ894" s="2" t="s">
        <v>74</v>
      </c>
      <c r="AK894" s="2" t="s">
        <v>74</v>
      </c>
      <c r="AL894" s="2" t="s">
        <v>74</v>
      </c>
      <c r="AM894" s="2" t="s">
        <v>74</v>
      </c>
      <c r="AN894" s="2" t="s">
        <v>74</v>
      </c>
      <c r="AO894" s="2" t="s">
        <v>74</v>
      </c>
      <c r="AP894" s="2" t="s">
        <v>435</v>
      </c>
      <c r="AQ894" s="2" t="s">
        <v>74</v>
      </c>
      <c r="AR894" s="2" t="s">
        <v>74</v>
      </c>
      <c r="AS894" s="2" t="s">
        <v>74</v>
      </c>
      <c r="AT894" s="2" t="s">
        <v>74</v>
      </c>
      <c r="AU894" s="2">
        <v>1967</v>
      </c>
      <c r="AV894" s="2">
        <v>84</v>
      </c>
      <c r="AW894" s="2">
        <v>4</v>
      </c>
      <c r="AX894" s="2" t="s">
        <v>74</v>
      </c>
      <c r="AY894" s="2" t="s">
        <v>74</v>
      </c>
      <c r="AZ894" s="2" t="s">
        <v>74</v>
      </c>
      <c r="BA894" s="2" t="s">
        <v>74</v>
      </c>
      <c r="BB894" s="2">
        <v>503</v>
      </c>
      <c r="BC894" s="2" t="s">
        <v>726</v>
      </c>
      <c r="BD894" s="2" t="s">
        <v>74</v>
      </c>
      <c r="BE894" s="2" t="s">
        <v>6257</v>
      </c>
      <c r="BF894" s="2" t="str">
        <f>HYPERLINK("http://dx.doi.org/10.2307/4083332","http://dx.doi.org/10.2307/4083332")</f>
        <v>http://dx.doi.org/10.2307/4083332</v>
      </c>
      <c r="BG894" s="2" t="s">
        <v>74</v>
      </c>
      <c r="BH894" s="2" t="s">
        <v>74</v>
      </c>
      <c r="BI894" s="2" t="s">
        <v>74</v>
      </c>
      <c r="BJ894" s="2" t="s">
        <v>74</v>
      </c>
      <c r="BK894" s="2" t="s">
        <v>74</v>
      </c>
      <c r="BL894" s="2" t="s">
        <v>74</v>
      </c>
      <c r="BM894" s="2" t="s">
        <v>74</v>
      </c>
      <c r="BN894" s="2" t="s">
        <v>74</v>
      </c>
      <c r="BO894" s="2" t="s">
        <v>74</v>
      </c>
      <c r="BP894" s="2" t="s">
        <v>74</v>
      </c>
      <c r="BQ894" s="2" t="s">
        <v>74</v>
      </c>
      <c r="BR894" s="2" t="s">
        <v>74</v>
      </c>
      <c r="BS894" s="2" t="s">
        <v>6258</v>
      </c>
      <c r="BT894" s="2" t="str">
        <f>HYPERLINK("https%3A%2F%2Fwww.webofscience.com%2Fwos%2Fwoscc%2Ffull-record%2FWOS:A1967A201400003","View Full Record in Web of Science")</f>
        <v>View Full Record in Web of Science</v>
      </c>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row>
    <row r="895" spans="1:314" s="1" customFormat="1" x14ac:dyDescent="0.4">
      <c r="A895" s="2" t="s">
        <v>72</v>
      </c>
      <c r="B895" s="2" t="s">
        <v>7243</v>
      </c>
      <c r="C895" s="2" t="s">
        <v>74</v>
      </c>
      <c r="D895" s="2" t="s">
        <v>74</v>
      </c>
      <c r="E895" s="2" t="s">
        <v>74</v>
      </c>
      <c r="F895" s="2" t="s">
        <v>7244</v>
      </c>
      <c r="G895" s="2" t="s">
        <v>74</v>
      </c>
      <c r="H895" s="2" t="s">
        <v>74</v>
      </c>
      <c r="I895" s="2" t="s">
        <v>7245</v>
      </c>
      <c r="J895" s="2" t="s">
        <v>420</v>
      </c>
      <c r="K895" s="2" t="s">
        <v>74</v>
      </c>
      <c r="L895" s="2" t="s">
        <v>74</v>
      </c>
      <c r="M895" s="2" t="s">
        <v>74</v>
      </c>
      <c r="N895" s="2" t="s">
        <v>74</v>
      </c>
      <c r="O895" s="2" t="s">
        <v>74</v>
      </c>
      <c r="P895" s="2" t="s">
        <v>74</v>
      </c>
      <c r="Q895" s="2" t="s">
        <v>74</v>
      </c>
      <c r="R895" s="2" t="s">
        <v>74</v>
      </c>
      <c r="S895" s="2" t="s">
        <v>74</v>
      </c>
      <c r="T895" s="2" t="s">
        <v>74</v>
      </c>
      <c r="U895" s="2" t="s">
        <v>74</v>
      </c>
      <c r="V895" s="5" t="s">
        <v>7246</v>
      </c>
      <c r="W895" s="2" t="s">
        <v>74</v>
      </c>
      <c r="X895" s="2" t="s">
        <v>74</v>
      </c>
      <c r="Y895" s="2" t="s">
        <v>74</v>
      </c>
      <c r="Z895" s="2" t="s">
        <v>74</v>
      </c>
      <c r="AA895" s="2" t="s">
        <v>3597</v>
      </c>
      <c r="AB895" s="2" t="s">
        <v>74</v>
      </c>
      <c r="AC895" s="2" t="s">
        <v>74</v>
      </c>
      <c r="AD895" s="2" t="s">
        <v>74</v>
      </c>
      <c r="AE895" s="2" t="s">
        <v>74</v>
      </c>
      <c r="AF895" s="2" t="s">
        <v>74</v>
      </c>
      <c r="AG895" s="2" t="s">
        <v>74</v>
      </c>
      <c r="AH895" s="2" t="s">
        <v>74</v>
      </c>
      <c r="AI895" s="2" t="s">
        <v>74</v>
      </c>
      <c r="AJ895" s="2" t="s">
        <v>74</v>
      </c>
      <c r="AK895" s="2" t="s">
        <v>74</v>
      </c>
      <c r="AL895" s="2" t="s">
        <v>74</v>
      </c>
      <c r="AM895" s="2" t="s">
        <v>74</v>
      </c>
      <c r="AN895" s="2" t="s">
        <v>74</v>
      </c>
      <c r="AO895" s="2" t="s">
        <v>424</v>
      </c>
      <c r="AP895" s="2" t="s">
        <v>74</v>
      </c>
      <c r="AQ895" s="2" t="s">
        <v>74</v>
      </c>
      <c r="AR895" s="2" t="s">
        <v>74</v>
      </c>
      <c r="AS895" s="2" t="s">
        <v>74</v>
      </c>
      <c r="AT895" s="2" t="s">
        <v>4913</v>
      </c>
      <c r="AU895" s="2">
        <v>2018</v>
      </c>
      <c r="AV895" s="2">
        <v>18</v>
      </c>
      <c r="AW895" s="2" t="s">
        <v>74</v>
      </c>
      <c r="AX895" s="2" t="s">
        <v>74</v>
      </c>
      <c r="AY895" s="2" t="s">
        <v>74</v>
      </c>
      <c r="AZ895" s="2" t="s">
        <v>74</v>
      </c>
      <c r="BA895" s="2" t="s">
        <v>74</v>
      </c>
      <c r="BB895" s="2" t="s">
        <v>74</v>
      </c>
      <c r="BC895" s="2" t="s">
        <v>74</v>
      </c>
      <c r="BD895" s="2">
        <v>19</v>
      </c>
      <c r="BE895" s="2" t="s">
        <v>7247</v>
      </c>
      <c r="BF895" s="2" t="str">
        <f>HYPERLINK("http://dx.doi.org/10.1186/s12862-018-1126-0","http://dx.doi.org/10.1186/s12862-018-1126-0")</f>
        <v>http://dx.doi.org/10.1186/s12862-018-1126-0</v>
      </c>
      <c r="BG895" s="2" t="s">
        <v>74</v>
      </c>
      <c r="BH895" s="2" t="s">
        <v>74</v>
      </c>
      <c r="BI895" s="2" t="s">
        <v>74</v>
      </c>
      <c r="BJ895" s="2" t="s">
        <v>74</v>
      </c>
      <c r="BK895" s="2" t="s">
        <v>74</v>
      </c>
      <c r="BL895" s="2" t="s">
        <v>74</v>
      </c>
      <c r="BM895" s="2" t="s">
        <v>74</v>
      </c>
      <c r="BN895" s="2">
        <v>29433448</v>
      </c>
      <c r="BO895" s="2" t="s">
        <v>74</v>
      </c>
      <c r="BP895" s="2" t="s">
        <v>74</v>
      </c>
      <c r="BQ895" s="2" t="s">
        <v>74</v>
      </c>
      <c r="BR895" s="2" t="s">
        <v>74</v>
      </c>
      <c r="BS895" s="2" t="s">
        <v>7248</v>
      </c>
      <c r="BT895" s="2" t="str">
        <f>HYPERLINK("https%3A%2F%2Fwww.webofscience.com%2Fwos%2Fwoscc%2Ffull-record%2FWOS:000425179400001","View Full Record in Web of Science")</f>
        <v>View Full Record in Web of Science</v>
      </c>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row>
    <row r="896" spans="1:314" s="7" customFormat="1" x14ac:dyDescent="0.4">
      <c r="A896" s="2" t="s">
        <v>72</v>
      </c>
      <c r="B896" s="2" t="s">
        <v>5692</v>
      </c>
      <c r="C896" s="2" t="s">
        <v>74</v>
      </c>
      <c r="D896" s="2" t="s">
        <v>74</v>
      </c>
      <c r="E896" s="2" t="s">
        <v>74</v>
      </c>
      <c r="F896" s="2" t="s">
        <v>5693</v>
      </c>
      <c r="G896" s="2" t="s">
        <v>74</v>
      </c>
      <c r="H896" s="2" t="s">
        <v>74</v>
      </c>
      <c r="I896" s="2" t="s">
        <v>5694</v>
      </c>
      <c r="J896" s="2" t="s">
        <v>691</v>
      </c>
      <c r="K896" s="2" t="s">
        <v>74</v>
      </c>
      <c r="L896" s="2" t="s">
        <v>74</v>
      </c>
      <c r="M896" s="2" t="s">
        <v>74</v>
      </c>
      <c r="N896" s="2" t="s">
        <v>74</v>
      </c>
      <c r="O896" s="2" t="s">
        <v>74</v>
      </c>
      <c r="P896" s="2" t="s">
        <v>74</v>
      </c>
      <c r="Q896" s="2" t="s">
        <v>74</v>
      </c>
      <c r="R896" s="2" t="s">
        <v>74</v>
      </c>
      <c r="S896" s="2" t="s">
        <v>74</v>
      </c>
      <c r="T896" s="2" t="s">
        <v>74</v>
      </c>
      <c r="U896" s="2" t="s">
        <v>74</v>
      </c>
      <c r="V896" s="5" t="s">
        <v>5695</v>
      </c>
      <c r="W896" s="2" t="s">
        <v>74</v>
      </c>
      <c r="X896" s="2" t="s">
        <v>74</v>
      </c>
      <c r="Y896" s="2" t="s">
        <v>74</v>
      </c>
      <c r="Z896" s="2" t="s">
        <v>74</v>
      </c>
      <c r="AA896" s="2" t="s">
        <v>5696</v>
      </c>
      <c r="AB896" s="2" t="s">
        <v>5697</v>
      </c>
      <c r="AC896" s="2" t="s">
        <v>74</v>
      </c>
      <c r="AD896" s="2" t="s">
        <v>74</v>
      </c>
      <c r="AE896" s="2" t="s">
        <v>74</v>
      </c>
      <c r="AF896" s="2" t="s">
        <v>74</v>
      </c>
      <c r="AG896" s="2" t="s">
        <v>74</v>
      </c>
      <c r="AH896" s="2" t="s">
        <v>74</v>
      </c>
      <c r="AI896" s="2" t="s">
        <v>74</v>
      </c>
      <c r="AJ896" s="2" t="s">
        <v>74</v>
      </c>
      <c r="AK896" s="2" t="s">
        <v>74</v>
      </c>
      <c r="AL896" s="2" t="s">
        <v>74</v>
      </c>
      <c r="AM896" s="2" t="s">
        <v>74</v>
      </c>
      <c r="AN896" s="2" t="s">
        <v>74</v>
      </c>
      <c r="AO896" s="2" t="s">
        <v>695</v>
      </c>
      <c r="AP896" s="2" t="s">
        <v>74</v>
      </c>
      <c r="AQ896" s="2" t="s">
        <v>74</v>
      </c>
      <c r="AR896" s="2" t="s">
        <v>74</v>
      </c>
      <c r="AS896" s="2" t="s">
        <v>74</v>
      </c>
      <c r="AT896" s="2" t="s">
        <v>1090</v>
      </c>
      <c r="AU896" s="2">
        <v>2018</v>
      </c>
      <c r="AV896" s="2">
        <v>183</v>
      </c>
      <c r="AW896" s="2" t="s">
        <v>74</v>
      </c>
      <c r="AX896" s="2" t="s">
        <v>74</v>
      </c>
      <c r="AY896" s="2" t="s">
        <v>74</v>
      </c>
      <c r="AZ896" s="2" t="s">
        <v>74</v>
      </c>
      <c r="BA896" s="2" t="s">
        <v>74</v>
      </c>
      <c r="BB896" s="2">
        <v>33</v>
      </c>
      <c r="BC896" s="2">
        <v>38</v>
      </c>
      <c r="BD896" s="2" t="s">
        <v>74</v>
      </c>
      <c r="BE896" s="2" t="s">
        <v>5698</v>
      </c>
      <c r="BF896" s="2" t="str">
        <f>HYPERLINK("http://dx.doi.org/10.1016/j.physbeh.2017.10.016","http://dx.doi.org/10.1016/j.physbeh.2017.10.016")</f>
        <v>http://dx.doi.org/10.1016/j.physbeh.2017.10.016</v>
      </c>
      <c r="BG896" s="2" t="s">
        <v>74</v>
      </c>
      <c r="BH896" s="2" t="s">
        <v>74</v>
      </c>
      <c r="BI896" s="2" t="s">
        <v>74</v>
      </c>
      <c r="BJ896" s="2" t="s">
        <v>74</v>
      </c>
      <c r="BK896" s="2" t="s">
        <v>74</v>
      </c>
      <c r="BL896" s="2" t="s">
        <v>74</v>
      </c>
      <c r="BM896" s="2" t="s">
        <v>74</v>
      </c>
      <c r="BN896" s="2">
        <v>29056352</v>
      </c>
      <c r="BO896" s="2" t="s">
        <v>74</v>
      </c>
      <c r="BP896" s="2" t="s">
        <v>74</v>
      </c>
      <c r="BQ896" s="2" t="s">
        <v>74</v>
      </c>
      <c r="BR896" s="2" t="s">
        <v>74</v>
      </c>
      <c r="BS896" s="2" t="s">
        <v>5699</v>
      </c>
      <c r="BT896" s="2" t="str">
        <f>HYPERLINK("https%3A%2F%2Fwww.webofscience.com%2Fwos%2Fwoscc%2Ffull-record%2FWOS:000417009800005","View Full Record in Web of Science")</f>
        <v>View Full Record in Web of Science</v>
      </c>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row>
    <row r="897" spans="1:314" s="2" customFormat="1" x14ac:dyDescent="0.4">
      <c r="A897" s="2" t="s">
        <v>72</v>
      </c>
      <c r="B897" s="2" t="s">
        <v>7679</v>
      </c>
      <c r="C897" s="2" t="s">
        <v>74</v>
      </c>
      <c r="D897" s="2" t="s">
        <v>74</v>
      </c>
      <c r="E897" s="2" t="s">
        <v>74</v>
      </c>
      <c r="F897" s="2" t="s">
        <v>7680</v>
      </c>
      <c r="G897" s="2" t="s">
        <v>74</v>
      </c>
      <c r="H897" s="2" t="s">
        <v>74</v>
      </c>
      <c r="I897" s="2" t="s">
        <v>7681</v>
      </c>
      <c r="J897" s="2" t="s">
        <v>610</v>
      </c>
      <c r="K897" s="2" t="s">
        <v>74</v>
      </c>
      <c r="L897" s="2" t="s">
        <v>74</v>
      </c>
      <c r="M897" s="2" t="s">
        <v>74</v>
      </c>
      <c r="N897" s="2" t="s">
        <v>74</v>
      </c>
      <c r="O897" s="2" t="s">
        <v>74</v>
      </c>
      <c r="P897" s="2" t="s">
        <v>74</v>
      </c>
      <c r="Q897" s="2" t="s">
        <v>74</v>
      </c>
      <c r="R897" s="2" t="s">
        <v>74</v>
      </c>
      <c r="S897" s="2" t="s">
        <v>74</v>
      </c>
      <c r="T897" s="2" t="s">
        <v>74</v>
      </c>
      <c r="U897" s="2" t="s">
        <v>74</v>
      </c>
      <c r="V897" s="5" t="s">
        <v>7682</v>
      </c>
      <c r="W897" s="2" t="s">
        <v>74</v>
      </c>
      <c r="X897" s="2" t="s">
        <v>74</v>
      </c>
      <c r="Y897" s="2" t="s">
        <v>74</v>
      </c>
      <c r="Z897" s="2" t="s">
        <v>74</v>
      </c>
      <c r="AA897" s="2" t="s">
        <v>74</v>
      </c>
      <c r="AB897" s="2" t="s">
        <v>7683</v>
      </c>
      <c r="AC897" s="2" t="s">
        <v>74</v>
      </c>
      <c r="AD897" s="2" t="s">
        <v>74</v>
      </c>
      <c r="AE897" s="2" t="s">
        <v>74</v>
      </c>
      <c r="AF897" s="2" t="s">
        <v>74</v>
      </c>
      <c r="AG897" s="2" t="s">
        <v>74</v>
      </c>
      <c r="AH897" s="2" t="s">
        <v>74</v>
      </c>
      <c r="AI897" s="2" t="s">
        <v>74</v>
      </c>
      <c r="AJ897" s="2" t="s">
        <v>74</v>
      </c>
      <c r="AK897" s="2" t="s">
        <v>74</v>
      </c>
      <c r="AL897" s="2" t="s">
        <v>74</v>
      </c>
      <c r="AM897" s="2" t="s">
        <v>74</v>
      </c>
      <c r="AN897" s="2" t="s">
        <v>74</v>
      </c>
      <c r="AO897" s="2" t="s">
        <v>614</v>
      </c>
      <c r="AP897" s="2" t="s">
        <v>615</v>
      </c>
      <c r="AQ897" s="2" t="s">
        <v>74</v>
      </c>
      <c r="AR897" s="2" t="s">
        <v>74</v>
      </c>
      <c r="AS897" s="2" t="s">
        <v>74</v>
      </c>
      <c r="AT897" s="2" t="s">
        <v>204</v>
      </c>
      <c r="AU897" s="2">
        <v>2010</v>
      </c>
      <c r="AV897" s="2">
        <v>116</v>
      </c>
      <c r="AW897" s="2">
        <v>7</v>
      </c>
      <c r="AX897" s="2" t="s">
        <v>74</v>
      </c>
      <c r="AY897" s="2" t="s">
        <v>74</v>
      </c>
      <c r="AZ897" s="2" t="s">
        <v>74</v>
      </c>
      <c r="BA897" s="2" t="s">
        <v>74</v>
      </c>
      <c r="BB897" s="2">
        <v>608</v>
      </c>
      <c r="BC897" s="2">
        <v>618</v>
      </c>
      <c r="BD897" s="2" t="s">
        <v>74</v>
      </c>
      <c r="BE897" s="2" t="s">
        <v>7684</v>
      </c>
      <c r="BF897" s="2" t="str">
        <f>HYPERLINK("http://dx.doi.org/10.1111/j.1439-0310.2010.01777.x","http://dx.doi.org/10.1111/j.1439-0310.2010.01777.x")</f>
        <v>http://dx.doi.org/10.1111/j.1439-0310.2010.01777.x</v>
      </c>
      <c r="BG897" s="2" t="s">
        <v>74</v>
      </c>
      <c r="BH897" s="2" t="s">
        <v>74</v>
      </c>
      <c r="BI897" s="2" t="s">
        <v>74</v>
      </c>
      <c r="BJ897" s="2" t="s">
        <v>74</v>
      </c>
      <c r="BK897" s="2" t="s">
        <v>74</v>
      </c>
      <c r="BL897" s="2" t="s">
        <v>74</v>
      </c>
      <c r="BM897" s="2" t="s">
        <v>74</v>
      </c>
      <c r="BN897" s="2" t="s">
        <v>74</v>
      </c>
      <c r="BO897" s="2" t="s">
        <v>74</v>
      </c>
      <c r="BP897" s="2" t="s">
        <v>74</v>
      </c>
      <c r="BQ897" s="2" t="s">
        <v>74</v>
      </c>
      <c r="BR897" s="2" t="s">
        <v>74</v>
      </c>
      <c r="BS897" s="2" t="s">
        <v>7685</v>
      </c>
      <c r="BT897" s="2" t="str">
        <f>HYPERLINK("https%3A%2F%2Fwww.webofscience.com%2Fwos%2Fwoscc%2Ffull-record%2FWOS:000278520600004","View Full Record in Web of Science")</f>
        <v>View Full Record in Web of Science</v>
      </c>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row>
    <row r="898" spans="1:314" s="2" customFormat="1" x14ac:dyDescent="0.4">
      <c r="A898" s="2" t="s">
        <v>72</v>
      </c>
      <c r="B898" s="2" t="s">
        <v>5948</v>
      </c>
      <c r="C898" s="2" t="s">
        <v>74</v>
      </c>
      <c r="D898" s="2" t="s">
        <v>74</v>
      </c>
      <c r="E898" s="2" t="s">
        <v>74</v>
      </c>
      <c r="F898" s="2" t="s">
        <v>5949</v>
      </c>
      <c r="G898" s="2" t="s">
        <v>74</v>
      </c>
      <c r="H898" s="2" t="s">
        <v>74</v>
      </c>
      <c r="I898" s="2" t="s">
        <v>5950</v>
      </c>
      <c r="J898" s="2" t="s">
        <v>5951</v>
      </c>
      <c r="K898" s="2" t="s">
        <v>74</v>
      </c>
      <c r="L898" s="2" t="s">
        <v>74</v>
      </c>
      <c r="M898" s="2" t="s">
        <v>74</v>
      </c>
      <c r="N898" s="2" t="s">
        <v>74</v>
      </c>
      <c r="O898" s="2" t="s">
        <v>74</v>
      </c>
      <c r="P898" s="2" t="s">
        <v>74</v>
      </c>
      <c r="Q898" s="2" t="s">
        <v>74</v>
      </c>
      <c r="R898" s="2" t="s">
        <v>74</v>
      </c>
      <c r="S898" s="2" t="s">
        <v>74</v>
      </c>
      <c r="T898" s="2" t="s">
        <v>74</v>
      </c>
      <c r="U898" s="2" t="s">
        <v>74</v>
      </c>
      <c r="V898" s="5" t="s">
        <v>5952</v>
      </c>
      <c r="W898" s="2" t="s">
        <v>74</v>
      </c>
      <c r="X898" s="2" t="s">
        <v>74</v>
      </c>
      <c r="Y898" s="2" t="s">
        <v>74</v>
      </c>
      <c r="Z898" s="2" t="s">
        <v>74</v>
      </c>
      <c r="AA898" s="2" t="s">
        <v>5953</v>
      </c>
      <c r="AB898" s="2" t="s">
        <v>5954</v>
      </c>
      <c r="AC898" s="2" t="s">
        <v>74</v>
      </c>
      <c r="AD898" s="2" t="s">
        <v>74</v>
      </c>
      <c r="AE898" s="2" t="s">
        <v>74</v>
      </c>
      <c r="AF898" s="2" t="s">
        <v>74</v>
      </c>
      <c r="AG898" s="2" t="s">
        <v>74</v>
      </c>
      <c r="AH898" s="2" t="s">
        <v>74</v>
      </c>
      <c r="AI898" s="2" t="s">
        <v>74</v>
      </c>
      <c r="AJ898" s="2" t="s">
        <v>74</v>
      </c>
      <c r="AK898" s="2" t="s">
        <v>74</v>
      </c>
      <c r="AL898" s="2" t="s">
        <v>74</v>
      </c>
      <c r="AM898" s="2" t="s">
        <v>74</v>
      </c>
      <c r="AN898" s="2" t="s">
        <v>74</v>
      </c>
      <c r="AO898" s="2" t="s">
        <v>5955</v>
      </c>
      <c r="AP898" s="2" t="s">
        <v>74</v>
      </c>
      <c r="AQ898" s="2" t="s">
        <v>74</v>
      </c>
      <c r="AR898" s="2" t="s">
        <v>74</v>
      </c>
      <c r="AS898" s="2" t="s">
        <v>74</v>
      </c>
      <c r="AT898" s="2" t="s">
        <v>175</v>
      </c>
      <c r="AU898" s="2">
        <v>2009</v>
      </c>
      <c r="AV898" s="2">
        <v>30</v>
      </c>
      <c r="AW898" s="2" t="s">
        <v>74</v>
      </c>
      <c r="AX898" s="2" t="s">
        <v>74</v>
      </c>
      <c r="AY898" s="2" t="s">
        <v>74</v>
      </c>
      <c r="AZ898" s="2" t="s">
        <v>74</v>
      </c>
      <c r="BA898" s="2" t="s">
        <v>74</v>
      </c>
      <c r="BB898" s="2">
        <v>175</v>
      </c>
      <c r="BC898" s="2">
        <v>180</v>
      </c>
      <c r="BD898" s="2" t="s">
        <v>74</v>
      </c>
      <c r="BE898" s="2" t="s">
        <v>5956</v>
      </c>
      <c r="BF898" s="2" t="str">
        <f>HYPERLINK("http://dx.doi.org/10.1111/j.1439-0485.2009.00309.x","http://dx.doi.org/10.1111/j.1439-0485.2009.00309.x")</f>
        <v>http://dx.doi.org/10.1111/j.1439-0485.2009.00309.x</v>
      </c>
      <c r="BG898" s="2" t="s">
        <v>74</v>
      </c>
      <c r="BH898" s="2" t="s">
        <v>74</v>
      </c>
      <c r="BI898" s="2" t="s">
        <v>74</v>
      </c>
      <c r="BJ898" s="2" t="s">
        <v>74</v>
      </c>
      <c r="BK898" s="2" t="s">
        <v>74</v>
      </c>
      <c r="BL898" s="2" t="s">
        <v>74</v>
      </c>
      <c r="BM898" s="2" t="s">
        <v>74</v>
      </c>
      <c r="BN898" s="2" t="s">
        <v>74</v>
      </c>
      <c r="BO898" s="2" t="s">
        <v>74</v>
      </c>
      <c r="BP898" s="2" t="s">
        <v>74</v>
      </c>
      <c r="BQ898" s="2" t="s">
        <v>74</v>
      </c>
      <c r="BR898" s="2" t="s">
        <v>74</v>
      </c>
      <c r="BS898" s="2" t="s">
        <v>5957</v>
      </c>
      <c r="BT898" s="2" t="str">
        <f>HYPERLINK("https%3A%2F%2Fwww.webofscience.com%2Fwos%2Fwoscc%2Ffull-record%2FWOS:000270237100018","View Full Record in Web of Science")</f>
        <v>View Full Record in Web of Science</v>
      </c>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row>
    <row r="899" spans="1:314" s="7" customFormat="1" x14ac:dyDescent="0.4">
      <c r="A899" s="2" t="s">
        <v>72</v>
      </c>
      <c r="B899" s="2" t="s">
        <v>3372</v>
      </c>
      <c r="C899" s="2" t="s">
        <v>74</v>
      </c>
      <c r="D899" s="2" t="s">
        <v>74</v>
      </c>
      <c r="E899" s="2" t="s">
        <v>74</v>
      </c>
      <c r="F899" s="2" t="s">
        <v>3372</v>
      </c>
      <c r="G899" s="2" t="s">
        <v>74</v>
      </c>
      <c r="H899" s="2" t="s">
        <v>74</v>
      </c>
      <c r="I899" s="2" t="s">
        <v>3373</v>
      </c>
      <c r="J899" s="2" t="s">
        <v>3374</v>
      </c>
      <c r="K899" s="2" t="s">
        <v>74</v>
      </c>
      <c r="L899" s="2" t="s">
        <v>74</v>
      </c>
      <c r="M899" s="2" t="s">
        <v>74</v>
      </c>
      <c r="N899" s="2" t="s">
        <v>74</v>
      </c>
      <c r="O899" s="2" t="s">
        <v>74</v>
      </c>
      <c r="P899" s="2" t="s">
        <v>74</v>
      </c>
      <c r="Q899" s="2" t="s">
        <v>74</v>
      </c>
      <c r="R899" s="2" t="s">
        <v>74</v>
      </c>
      <c r="S899" s="2" t="s">
        <v>74</v>
      </c>
      <c r="T899" s="2" t="s">
        <v>74</v>
      </c>
      <c r="U899" s="2" t="s">
        <v>74</v>
      </c>
      <c r="V899" s="5" t="s">
        <v>3375</v>
      </c>
      <c r="W899" s="2" t="s">
        <v>74</v>
      </c>
      <c r="X899" s="2" t="s">
        <v>74</v>
      </c>
      <c r="Y899" s="2" t="s">
        <v>74</v>
      </c>
      <c r="Z899" s="2" t="s">
        <v>74</v>
      </c>
      <c r="AA899" s="2" t="s">
        <v>3376</v>
      </c>
      <c r="AB899" s="2" t="s">
        <v>3377</v>
      </c>
      <c r="AC899" s="2" t="s">
        <v>74</v>
      </c>
      <c r="AD899" s="2" t="s">
        <v>74</v>
      </c>
      <c r="AE899" s="2" t="s">
        <v>74</v>
      </c>
      <c r="AF899" s="2" t="s">
        <v>74</v>
      </c>
      <c r="AG899" s="2" t="s">
        <v>74</v>
      </c>
      <c r="AH899" s="2" t="s">
        <v>74</v>
      </c>
      <c r="AI899" s="2" t="s">
        <v>74</v>
      </c>
      <c r="AJ899" s="2" t="s">
        <v>74</v>
      </c>
      <c r="AK899" s="2" t="s">
        <v>74</v>
      </c>
      <c r="AL899" s="2" t="s">
        <v>74</v>
      </c>
      <c r="AM899" s="2" t="s">
        <v>74</v>
      </c>
      <c r="AN899" s="2" t="s">
        <v>74</v>
      </c>
      <c r="AO899" s="2" t="s">
        <v>3378</v>
      </c>
      <c r="AP899" s="2" t="s">
        <v>3379</v>
      </c>
      <c r="AQ899" s="2" t="s">
        <v>74</v>
      </c>
      <c r="AR899" s="2" t="s">
        <v>74</v>
      </c>
      <c r="AS899" s="2" t="s">
        <v>74</v>
      </c>
      <c r="AT899" s="2" t="s">
        <v>3380</v>
      </c>
      <c r="AU899" s="2">
        <v>2005</v>
      </c>
      <c r="AV899" s="2">
        <v>36</v>
      </c>
      <c r="AW899" s="2">
        <v>4</v>
      </c>
      <c r="AX899" s="2" t="s">
        <v>74</v>
      </c>
      <c r="AY899" s="2" t="s">
        <v>74</v>
      </c>
      <c r="AZ899" s="2" t="s">
        <v>74</v>
      </c>
      <c r="BA899" s="2" t="s">
        <v>74</v>
      </c>
      <c r="BB899" s="2">
        <v>571</v>
      </c>
      <c r="BC899" s="2">
        <v>584</v>
      </c>
      <c r="BD899" s="2" t="s">
        <v>74</v>
      </c>
      <c r="BE899" s="2" t="s">
        <v>3381</v>
      </c>
      <c r="BF899" s="2" t="str">
        <f>HYPERLINK("http://dx.doi.org/10.1051/apido:2005047","http://dx.doi.org/10.1051/apido:2005047")</f>
        <v>http://dx.doi.org/10.1051/apido:2005047</v>
      </c>
      <c r="BG899" s="2" t="s">
        <v>74</v>
      </c>
      <c r="BH899" s="2" t="s">
        <v>74</v>
      </c>
      <c r="BI899" s="2" t="s">
        <v>74</v>
      </c>
      <c r="BJ899" s="2" t="s">
        <v>74</v>
      </c>
      <c r="BK899" s="2" t="s">
        <v>74</v>
      </c>
      <c r="BL899" s="2" t="s">
        <v>74</v>
      </c>
      <c r="BM899" s="2" t="s">
        <v>74</v>
      </c>
      <c r="BN899" s="2" t="s">
        <v>74</v>
      </c>
      <c r="BO899" s="2" t="s">
        <v>74</v>
      </c>
      <c r="BP899" s="2" t="s">
        <v>74</v>
      </c>
      <c r="BQ899" s="2" t="s">
        <v>74</v>
      </c>
      <c r="BR899" s="2" t="s">
        <v>74</v>
      </c>
      <c r="BS899" s="2" t="s">
        <v>3382</v>
      </c>
      <c r="BT899" s="2" t="str">
        <f>HYPERLINK("https%3A%2F%2Fwww.webofscience.com%2Fwos%2Fwoscc%2Ffull-record%2FWOS:000235837400004","View Full Record in Web of Science")</f>
        <v>View Full Record in Web of Science</v>
      </c>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row>
    <row r="900" spans="1:314" s="2" customFormat="1" x14ac:dyDescent="0.4">
      <c r="A900" s="2" t="s">
        <v>72</v>
      </c>
      <c r="B900" s="2" t="s">
        <v>5159</v>
      </c>
      <c r="C900" s="2" t="s">
        <v>74</v>
      </c>
      <c r="D900" s="2" t="s">
        <v>74</v>
      </c>
      <c r="E900" s="2" t="s">
        <v>74</v>
      </c>
      <c r="F900" s="2" t="s">
        <v>5159</v>
      </c>
      <c r="G900" s="2" t="s">
        <v>74</v>
      </c>
      <c r="H900" s="2" t="s">
        <v>74</v>
      </c>
      <c r="I900" s="2" t="s">
        <v>5160</v>
      </c>
      <c r="J900" s="2" t="s">
        <v>1526</v>
      </c>
      <c r="K900" s="2" t="s">
        <v>74</v>
      </c>
      <c r="L900" s="2" t="s">
        <v>74</v>
      </c>
      <c r="M900" s="2" t="s">
        <v>74</v>
      </c>
      <c r="N900" s="2" t="s">
        <v>74</v>
      </c>
      <c r="O900" s="2" t="s">
        <v>74</v>
      </c>
      <c r="P900" s="2" t="s">
        <v>74</v>
      </c>
      <c r="Q900" s="2" t="s">
        <v>74</v>
      </c>
      <c r="R900" s="2" t="s">
        <v>74</v>
      </c>
      <c r="S900" s="2" t="s">
        <v>74</v>
      </c>
      <c r="T900" s="2" t="s">
        <v>74</v>
      </c>
      <c r="U900" s="2" t="s">
        <v>74</v>
      </c>
      <c r="V900" s="5" t="s">
        <v>5161</v>
      </c>
      <c r="W900" s="2" t="s">
        <v>74</v>
      </c>
      <c r="X900" s="2" t="s">
        <v>74</v>
      </c>
      <c r="Y900" s="2" t="s">
        <v>74</v>
      </c>
      <c r="Z900" s="2" t="s">
        <v>74</v>
      </c>
      <c r="AA900" s="2" t="s">
        <v>74</v>
      </c>
      <c r="AB900" s="2" t="s">
        <v>74</v>
      </c>
      <c r="AC900" s="2" t="s">
        <v>74</v>
      </c>
      <c r="AD900" s="2" t="s">
        <v>74</v>
      </c>
      <c r="AE900" s="2" t="s">
        <v>74</v>
      </c>
      <c r="AF900" s="2" t="s">
        <v>74</v>
      </c>
      <c r="AG900" s="2" t="s">
        <v>74</v>
      </c>
      <c r="AH900" s="2" t="s">
        <v>74</v>
      </c>
      <c r="AI900" s="2" t="s">
        <v>74</v>
      </c>
      <c r="AJ900" s="2" t="s">
        <v>74</v>
      </c>
      <c r="AK900" s="2" t="s">
        <v>74</v>
      </c>
      <c r="AL900" s="2" t="s">
        <v>74</v>
      </c>
      <c r="AM900" s="2" t="s">
        <v>74</v>
      </c>
      <c r="AN900" s="2" t="s">
        <v>74</v>
      </c>
      <c r="AO900" s="2" t="s">
        <v>1528</v>
      </c>
      <c r="AP900" s="2" t="s">
        <v>74</v>
      </c>
      <c r="AQ900" s="2" t="s">
        <v>74</v>
      </c>
      <c r="AR900" s="2" t="s">
        <v>74</v>
      </c>
      <c r="AS900" s="2" t="s">
        <v>74</v>
      </c>
      <c r="AT900" s="2" t="s">
        <v>213</v>
      </c>
      <c r="AU900" s="2">
        <v>1991</v>
      </c>
      <c r="AV900" s="2">
        <v>93</v>
      </c>
      <c r="AW900" s="2">
        <v>4</v>
      </c>
      <c r="AX900" s="2" t="s">
        <v>74</v>
      </c>
      <c r="AY900" s="2" t="s">
        <v>74</v>
      </c>
      <c r="AZ900" s="2" t="s">
        <v>74</v>
      </c>
      <c r="BA900" s="2" t="s">
        <v>74</v>
      </c>
      <c r="BB900" s="2">
        <v>825</v>
      </c>
      <c r="BC900" s="2">
        <v>839</v>
      </c>
      <c r="BD900" s="2" t="s">
        <v>74</v>
      </c>
      <c r="BE900" s="2" t="s">
        <v>5162</v>
      </c>
      <c r="BF900" s="2" t="str">
        <f>HYPERLINK("http://dx.doi.org/10.2307/3247717","http://dx.doi.org/10.2307/3247717")</f>
        <v>http://dx.doi.org/10.2307/3247717</v>
      </c>
      <c r="BG900" s="2" t="s">
        <v>74</v>
      </c>
      <c r="BH900" s="2" t="s">
        <v>74</v>
      </c>
      <c r="BI900" s="2" t="s">
        <v>74</v>
      </c>
      <c r="BJ900" s="2" t="s">
        <v>74</v>
      </c>
      <c r="BK900" s="2" t="s">
        <v>74</v>
      </c>
      <c r="BL900" s="2" t="s">
        <v>74</v>
      </c>
      <c r="BM900" s="2" t="s">
        <v>74</v>
      </c>
      <c r="BN900" s="2" t="s">
        <v>74</v>
      </c>
      <c r="BO900" s="2" t="s">
        <v>74</v>
      </c>
      <c r="BP900" s="2" t="s">
        <v>74</v>
      </c>
      <c r="BQ900" s="2" t="s">
        <v>74</v>
      </c>
      <c r="BR900" s="2" t="s">
        <v>74</v>
      </c>
      <c r="BS900" s="2" t="s">
        <v>5163</v>
      </c>
      <c r="BT900" s="2" t="str">
        <f>HYPERLINK("https%3A%2F%2Fwww.webofscience.com%2Fwos%2Fwoscc%2Ffull-record%2FWOS:A1991GW79100005","View Full Record in Web of Science")</f>
        <v>View Full Record in Web of Science</v>
      </c>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row>
    <row r="901" spans="1:314" s="2" customFormat="1" x14ac:dyDescent="0.4">
      <c r="A901" s="2" t="s">
        <v>72</v>
      </c>
      <c r="B901" s="2" t="s">
        <v>1452</v>
      </c>
      <c r="C901" s="2" t="s">
        <v>74</v>
      </c>
      <c r="D901" s="2" t="s">
        <v>74</v>
      </c>
      <c r="E901" s="2" t="s">
        <v>74</v>
      </c>
      <c r="F901" s="2" t="s">
        <v>1453</v>
      </c>
      <c r="G901" s="2" t="s">
        <v>74</v>
      </c>
      <c r="H901" s="2" t="s">
        <v>74</v>
      </c>
      <c r="I901" s="2" t="s">
        <v>1454</v>
      </c>
      <c r="J901" s="2" t="s">
        <v>431</v>
      </c>
      <c r="K901" s="2" t="s">
        <v>74</v>
      </c>
      <c r="L901" s="2" t="s">
        <v>74</v>
      </c>
      <c r="M901" s="2" t="s">
        <v>74</v>
      </c>
      <c r="N901" s="2" t="s">
        <v>74</v>
      </c>
      <c r="O901" s="2" t="s">
        <v>74</v>
      </c>
      <c r="P901" s="2" t="s">
        <v>74</v>
      </c>
      <c r="Q901" s="2" t="s">
        <v>74</v>
      </c>
      <c r="R901" s="2" t="s">
        <v>74</v>
      </c>
      <c r="S901" s="2" t="s">
        <v>74</v>
      </c>
      <c r="T901" s="2" t="s">
        <v>74</v>
      </c>
      <c r="U901" s="2" t="s">
        <v>74</v>
      </c>
      <c r="V901" s="5" t="s">
        <v>1455</v>
      </c>
      <c r="W901" s="2" t="s">
        <v>74</v>
      </c>
      <c r="X901" s="2" t="s">
        <v>74</v>
      </c>
      <c r="Y901" s="2" t="s">
        <v>74</v>
      </c>
      <c r="Z901" s="2" t="s">
        <v>74</v>
      </c>
      <c r="AA901" s="2" t="s">
        <v>1456</v>
      </c>
      <c r="AB901" s="2" t="s">
        <v>1457</v>
      </c>
      <c r="AC901" s="2" t="s">
        <v>74</v>
      </c>
      <c r="AD901" s="2" t="s">
        <v>74</v>
      </c>
      <c r="AE901" s="2" t="s">
        <v>74</v>
      </c>
      <c r="AF901" s="2" t="s">
        <v>74</v>
      </c>
      <c r="AG901" s="2" t="s">
        <v>74</v>
      </c>
      <c r="AH901" s="2" t="s">
        <v>74</v>
      </c>
      <c r="AI901" s="2" t="s">
        <v>74</v>
      </c>
      <c r="AJ901" s="2" t="s">
        <v>74</v>
      </c>
      <c r="AK901" s="2" t="s">
        <v>74</v>
      </c>
      <c r="AL901" s="2" t="s">
        <v>74</v>
      </c>
      <c r="AM901" s="2" t="s">
        <v>74</v>
      </c>
      <c r="AN901" s="2" t="s">
        <v>74</v>
      </c>
      <c r="AO901" s="2" t="s">
        <v>1458</v>
      </c>
      <c r="AP901" s="2" t="s">
        <v>435</v>
      </c>
      <c r="AQ901" s="2" t="s">
        <v>74</v>
      </c>
      <c r="AR901" s="2" t="s">
        <v>74</v>
      </c>
      <c r="AS901" s="2" t="s">
        <v>74</v>
      </c>
      <c r="AT901" s="2" t="s">
        <v>255</v>
      </c>
      <c r="AU901" s="2">
        <v>2015</v>
      </c>
      <c r="AV901" s="2">
        <v>132</v>
      </c>
      <c r="AW901" s="2">
        <v>1</v>
      </c>
      <c r="AX901" s="2" t="s">
        <v>74</v>
      </c>
      <c r="AY901" s="2" t="s">
        <v>74</v>
      </c>
      <c r="AZ901" s="2" t="s">
        <v>74</v>
      </c>
      <c r="BA901" s="2" t="s">
        <v>74</v>
      </c>
      <c r="BB901" s="2">
        <v>92</v>
      </c>
      <c r="BC901" s="2">
        <v>104</v>
      </c>
      <c r="BD901" s="2" t="s">
        <v>74</v>
      </c>
      <c r="BE901" s="2" t="s">
        <v>1459</v>
      </c>
      <c r="BF901" s="2" t="str">
        <f>HYPERLINK("http://dx.doi.org/10.1642/AUK-14-103.1","http://dx.doi.org/10.1642/AUK-14-103.1")</f>
        <v>http://dx.doi.org/10.1642/AUK-14-103.1</v>
      </c>
      <c r="BG901" s="2" t="s">
        <v>74</v>
      </c>
      <c r="BH901" s="2" t="s">
        <v>74</v>
      </c>
      <c r="BI901" s="2" t="s">
        <v>74</v>
      </c>
      <c r="BJ901" s="2" t="s">
        <v>74</v>
      </c>
      <c r="BK901" s="2" t="s">
        <v>74</v>
      </c>
      <c r="BL901" s="2" t="s">
        <v>74</v>
      </c>
      <c r="BM901" s="2" t="s">
        <v>74</v>
      </c>
      <c r="BN901" s="2" t="s">
        <v>74</v>
      </c>
      <c r="BO901" s="2" t="s">
        <v>74</v>
      </c>
      <c r="BP901" s="2" t="s">
        <v>74</v>
      </c>
      <c r="BQ901" s="2" t="s">
        <v>74</v>
      </c>
      <c r="BR901" s="2" t="s">
        <v>74</v>
      </c>
      <c r="BS901" s="2" t="s">
        <v>1460</v>
      </c>
      <c r="BT901" s="2" t="str">
        <f>HYPERLINK("https%3A%2F%2Fwww.webofscience.com%2Fwos%2Fwoscc%2Ffull-record%2FWOS:000347799300010","View Full Record in Web of Science")</f>
        <v>View Full Record in Web of Science</v>
      </c>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row>
    <row r="902" spans="1:314" s="2" customFormat="1" x14ac:dyDescent="0.4">
      <c r="A902" s="2" t="s">
        <v>72</v>
      </c>
      <c r="B902" s="2" t="s">
        <v>2255</v>
      </c>
      <c r="C902" s="2" t="s">
        <v>74</v>
      </c>
      <c r="D902" s="2" t="s">
        <v>74</v>
      </c>
      <c r="E902" s="2" t="s">
        <v>74</v>
      </c>
      <c r="F902" s="2" t="s">
        <v>2255</v>
      </c>
      <c r="G902" s="2" t="s">
        <v>74</v>
      </c>
      <c r="H902" s="2" t="s">
        <v>74</v>
      </c>
      <c r="I902" s="2" t="s">
        <v>2256</v>
      </c>
      <c r="J902" s="2" t="s">
        <v>2257</v>
      </c>
      <c r="K902" s="2" t="s">
        <v>74</v>
      </c>
      <c r="L902" s="2" t="s">
        <v>74</v>
      </c>
      <c r="M902" s="2" t="s">
        <v>74</v>
      </c>
      <c r="N902" s="2" t="s">
        <v>74</v>
      </c>
      <c r="O902" s="2" t="s">
        <v>74</v>
      </c>
      <c r="P902" s="2" t="s">
        <v>74</v>
      </c>
      <c r="Q902" s="2" t="s">
        <v>74</v>
      </c>
      <c r="R902" s="2" t="s">
        <v>74</v>
      </c>
      <c r="S902" s="2" t="s">
        <v>74</v>
      </c>
      <c r="T902" s="2" t="s">
        <v>74</v>
      </c>
      <c r="U902" s="2" t="s">
        <v>74</v>
      </c>
      <c r="V902" s="5" t="s">
        <v>2258</v>
      </c>
      <c r="W902" s="2" t="s">
        <v>74</v>
      </c>
      <c r="X902" s="2" t="s">
        <v>74</v>
      </c>
      <c r="Y902" s="2" t="s">
        <v>74</v>
      </c>
      <c r="Z902" s="2" t="s">
        <v>74</v>
      </c>
      <c r="AA902" s="2" t="s">
        <v>2259</v>
      </c>
      <c r="AB902" s="2" t="s">
        <v>2260</v>
      </c>
      <c r="AC902" s="2" t="s">
        <v>74</v>
      </c>
      <c r="AD902" s="2" t="s">
        <v>74</v>
      </c>
      <c r="AE902" s="2" t="s">
        <v>74</v>
      </c>
      <c r="AF902" s="2" t="s">
        <v>74</v>
      </c>
      <c r="AG902" s="2" t="s">
        <v>74</v>
      </c>
      <c r="AH902" s="2" t="s">
        <v>74</v>
      </c>
      <c r="AI902" s="2" t="s">
        <v>74</v>
      </c>
      <c r="AJ902" s="2" t="s">
        <v>74</v>
      </c>
      <c r="AK902" s="2" t="s">
        <v>74</v>
      </c>
      <c r="AL902" s="2" t="s">
        <v>74</v>
      </c>
      <c r="AM902" s="2" t="s">
        <v>74</v>
      </c>
      <c r="AN902" s="2" t="s">
        <v>74</v>
      </c>
      <c r="AO902" s="2" t="s">
        <v>2261</v>
      </c>
      <c r="AP902" s="2" t="s">
        <v>74</v>
      </c>
      <c r="AQ902" s="2" t="s">
        <v>74</v>
      </c>
      <c r="AR902" s="2" t="s">
        <v>74</v>
      </c>
      <c r="AS902" s="2" t="s">
        <v>74</v>
      </c>
      <c r="AT902" s="2" t="s">
        <v>74</v>
      </c>
      <c r="AU902" s="2">
        <v>2000</v>
      </c>
      <c r="AV902" s="2">
        <v>77</v>
      </c>
      <c r="AW902" s="2">
        <v>1</v>
      </c>
      <c r="AX902" s="2" t="s">
        <v>74</v>
      </c>
      <c r="AY902" s="2" t="s">
        <v>74</v>
      </c>
      <c r="AZ902" s="2" t="s">
        <v>74</v>
      </c>
      <c r="BA902" s="2" t="s">
        <v>74</v>
      </c>
      <c r="BB902" s="2">
        <v>11</v>
      </c>
      <c r="BC902" s="2">
        <v>16</v>
      </c>
      <c r="BD902" s="2" t="s">
        <v>74</v>
      </c>
      <c r="BE902" s="2" t="s">
        <v>74</v>
      </c>
      <c r="BF902" s="2" t="s">
        <v>74</v>
      </c>
      <c r="BG902" s="2" t="s">
        <v>74</v>
      </c>
      <c r="BH902" s="2" t="s">
        <v>74</v>
      </c>
      <c r="BI902" s="2" t="s">
        <v>74</v>
      </c>
      <c r="BJ902" s="2" t="s">
        <v>74</v>
      </c>
      <c r="BK902" s="2" t="s">
        <v>74</v>
      </c>
      <c r="BL902" s="2" t="s">
        <v>74</v>
      </c>
      <c r="BM902" s="2" t="s">
        <v>74</v>
      </c>
      <c r="BN902" s="2" t="s">
        <v>74</v>
      </c>
      <c r="BO902" s="2" t="s">
        <v>74</v>
      </c>
      <c r="BP902" s="2" t="s">
        <v>74</v>
      </c>
      <c r="BQ902" s="2" t="s">
        <v>74</v>
      </c>
      <c r="BR902" s="2" t="s">
        <v>74</v>
      </c>
      <c r="BS902" s="2" t="s">
        <v>2262</v>
      </c>
      <c r="BT902" s="2" t="str">
        <f>HYPERLINK("https%3A%2F%2Fwww.webofscience.com%2Fwos%2Fwoscc%2Ffull-record%2FWOS:000086364000002","View Full Record in Web of Science")</f>
        <v>View Full Record in Web of Science</v>
      </c>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row>
    <row r="903" spans="1:314" s="1" customFormat="1" x14ac:dyDescent="0.4">
      <c r="A903" s="2" t="s">
        <v>72</v>
      </c>
      <c r="B903" s="2" t="s">
        <v>6073</v>
      </c>
      <c r="C903" s="2" t="s">
        <v>74</v>
      </c>
      <c r="D903" s="2" t="s">
        <v>74</v>
      </c>
      <c r="E903" s="2" t="s">
        <v>74</v>
      </c>
      <c r="F903" s="2" t="s">
        <v>6074</v>
      </c>
      <c r="G903" s="2" t="s">
        <v>74</v>
      </c>
      <c r="H903" s="2" t="s">
        <v>74</v>
      </c>
      <c r="I903" s="2" t="s">
        <v>6075</v>
      </c>
      <c r="J903" s="2" t="s">
        <v>610</v>
      </c>
      <c r="K903" s="2" t="s">
        <v>74</v>
      </c>
      <c r="L903" s="2" t="s">
        <v>74</v>
      </c>
      <c r="M903" s="2" t="s">
        <v>74</v>
      </c>
      <c r="N903" s="2" t="s">
        <v>74</v>
      </c>
      <c r="O903" s="2" t="s">
        <v>74</v>
      </c>
      <c r="P903" s="2" t="s">
        <v>74</v>
      </c>
      <c r="Q903" s="2" t="s">
        <v>74</v>
      </c>
      <c r="R903" s="2" t="s">
        <v>74</v>
      </c>
      <c r="S903" s="2" t="s">
        <v>74</v>
      </c>
      <c r="T903" s="2" t="s">
        <v>74</v>
      </c>
      <c r="U903" s="2" t="s">
        <v>74</v>
      </c>
      <c r="V903" s="5" t="s">
        <v>6076</v>
      </c>
      <c r="W903" s="2" t="s">
        <v>74</v>
      </c>
      <c r="X903" s="2" t="s">
        <v>74</v>
      </c>
      <c r="Y903" s="2" t="s">
        <v>74</v>
      </c>
      <c r="Z903" s="2" t="s">
        <v>74</v>
      </c>
      <c r="AA903" s="2" t="s">
        <v>6077</v>
      </c>
      <c r="AB903" s="2" t="s">
        <v>6078</v>
      </c>
      <c r="AC903" s="2" t="s">
        <v>74</v>
      </c>
      <c r="AD903" s="2" t="s">
        <v>74</v>
      </c>
      <c r="AE903" s="2" t="s">
        <v>74</v>
      </c>
      <c r="AF903" s="2" t="s">
        <v>74</v>
      </c>
      <c r="AG903" s="2" t="s">
        <v>74</v>
      </c>
      <c r="AH903" s="2" t="s">
        <v>74</v>
      </c>
      <c r="AI903" s="2" t="s">
        <v>74</v>
      </c>
      <c r="AJ903" s="2" t="s">
        <v>74</v>
      </c>
      <c r="AK903" s="2" t="s">
        <v>74</v>
      </c>
      <c r="AL903" s="2" t="s">
        <v>74</v>
      </c>
      <c r="AM903" s="2" t="s">
        <v>74</v>
      </c>
      <c r="AN903" s="2" t="s">
        <v>74</v>
      </c>
      <c r="AO903" s="2" t="s">
        <v>614</v>
      </c>
      <c r="AP903" s="2" t="s">
        <v>615</v>
      </c>
      <c r="AQ903" s="2" t="s">
        <v>74</v>
      </c>
      <c r="AR903" s="2" t="s">
        <v>74</v>
      </c>
      <c r="AS903" s="2" t="s">
        <v>74</v>
      </c>
      <c r="AT903" s="2" t="s">
        <v>964</v>
      </c>
      <c r="AU903" s="2">
        <v>2019</v>
      </c>
      <c r="AV903" s="2">
        <v>125</v>
      </c>
      <c r="AW903" s="2">
        <v>2</v>
      </c>
      <c r="AX903" s="2" t="s">
        <v>74</v>
      </c>
      <c r="AY903" s="2" t="s">
        <v>74</v>
      </c>
      <c r="AZ903" s="2" t="s">
        <v>74</v>
      </c>
      <c r="BA903" s="2" t="s">
        <v>74</v>
      </c>
      <c r="BB903" s="2">
        <v>106</v>
      </c>
      <c r="BC903" s="2">
        <v>113</v>
      </c>
      <c r="BD903" s="2" t="s">
        <v>74</v>
      </c>
      <c r="BE903" s="2" t="s">
        <v>6079</v>
      </c>
      <c r="BF903" s="2" t="str">
        <f>HYPERLINK("http://dx.doi.org/10.1111/eth.12835","http://dx.doi.org/10.1111/eth.12835")</f>
        <v>http://dx.doi.org/10.1111/eth.12835</v>
      </c>
      <c r="BG903" s="2" t="s">
        <v>74</v>
      </c>
      <c r="BH903" s="2" t="s">
        <v>74</v>
      </c>
      <c r="BI903" s="2" t="s">
        <v>74</v>
      </c>
      <c r="BJ903" s="2" t="s">
        <v>74</v>
      </c>
      <c r="BK903" s="2" t="s">
        <v>74</v>
      </c>
      <c r="BL903" s="2" t="s">
        <v>74</v>
      </c>
      <c r="BM903" s="2" t="s">
        <v>74</v>
      </c>
      <c r="BN903" s="2" t="s">
        <v>74</v>
      </c>
      <c r="BO903" s="2" t="s">
        <v>74</v>
      </c>
      <c r="BP903" s="2" t="s">
        <v>74</v>
      </c>
      <c r="BQ903" s="2" t="s">
        <v>74</v>
      </c>
      <c r="BR903" s="2" t="s">
        <v>74</v>
      </c>
      <c r="BS903" s="2" t="s">
        <v>6080</v>
      </c>
      <c r="BT903" s="2" t="str">
        <f>HYPERLINK("https%3A%2F%2Fwww.webofscience.com%2Fwos%2Fwoscc%2Ffull-record%2FWOS:000455963400005","View Full Record in Web of Science")</f>
        <v>View Full Record in Web of Science</v>
      </c>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row>
    <row r="904" spans="1:314" s="2" customFormat="1" x14ac:dyDescent="0.4">
      <c r="A904" s="2" t="s">
        <v>72</v>
      </c>
      <c r="B904" s="2" t="s">
        <v>8760</v>
      </c>
      <c r="C904" s="2" t="s">
        <v>74</v>
      </c>
      <c r="D904" s="2" t="s">
        <v>74</v>
      </c>
      <c r="E904" s="2" t="s">
        <v>74</v>
      </c>
      <c r="F904" s="2" t="s">
        <v>8761</v>
      </c>
      <c r="G904" s="2" t="s">
        <v>74</v>
      </c>
      <c r="H904" s="2" t="s">
        <v>74</v>
      </c>
      <c r="I904" s="2" t="s">
        <v>8762</v>
      </c>
      <c r="J904" s="2" t="s">
        <v>119</v>
      </c>
      <c r="K904" s="2" t="s">
        <v>74</v>
      </c>
      <c r="L904" s="2" t="s">
        <v>74</v>
      </c>
      <c r="M904" s="2" t="s">
        <v>74</v>
      </c>
      <c r="N904" s="2" t="s">
        <v>74</v>
      </c>
      <c r="O904" s="2" t="s">
        <v>74</v>
      </c>
      <c r="P904" s="2" t="s">
        <v>74</v>
      </c>
      <c r="Q904" s="2" t="s">
        <v>74</v>
      </c>
      <c r="R904" s="2" t="s">
        <v>74</v>
      </c>
      <c r="S904" s="2" t="s">
        <v>74</v>
      </c>
      <c r="T904" s="2" t="s">
        <v>74</v>
      </c>
      <c r="U904" s="2" t="s">
        <v>74</v>
      </c>
      <c r="V904" s="5" t="s">
        <v>8763</v>
      </c>
      <c r="W904" s="2" t="s">
        <v>74</v>
      </c>
      <c r="X904" s="2" t="s">
        <v>74</v>
      </c>
      <c r="Y904" s="2" t="s">
        <v>74</v>
      </c>
      <c r="Z904" s="2" t="s">
        <v>74</v>
      </c>
      <c r="AA904" s="2" t="s">
        <v>8764</v>
      </c>
      <c r="AB904" s="2" t="s">
        <v>8765</v>
      </c>
      <c r="AC904" s="2" t="s">
        <v>74</v>
      </c>
      <c r="AD904" s="2" t="s">
        <v>74</v>
      </c>
      <c r="AE904" s="2" t="s">
        <v>74</v>
      </c>
      <c r="AF904" s="2" t="s">
        <v>74</v>
      </c>
      <c r="AG904" s="2" t="s">
        <v>74</v>
      </c>
      <c r="AH904" s="2" t="s">
        <v>74</v>
      </c>
      <c r="AI904" s="2" t="s">
        <v>74</v>
      </c>
      <c r="AJ904" s="2" t="s">
        <v>74</v>
      </c>
      <c r="AK904" s="2" t="s">
        <v>74</v>
      </c>
      <c r="AL904" s="2" t="s">
        <v>74</v>
      </c>
      <c r="AM904" s="2" t="s">
        <v>74</v>
      </c>
      <c r="AN904" s="2" t="s">
        <v>74</v>
      </c>
      <c r="AO904" s="2" t="s">
        <v>121</v>
      </c>
      <c r="AP904" s="2" t="s">
        <v>122</v>
      </c>
      <c r="AQ904" s="2" t="s">
        <v>74</v>
      </c>
      <c r="AR904" s="2" t="s">
        <v>74</v>
      </c>
      <c r="AS904" s="2" t="s">
        <v>74</v>
      </c>
      <c r="AT904" s="2" t="s">
        <v>352</v>
      </c>
      <c r="AU904" s="2">
        <v>2009</v>
      </c>
      <c r="AV904" s="2">
        <v>82</v>
      </c>
      <c r="AW904" s="2">
        <v>1</v>
      </c>
      <c r="AX904" s="2" t="s">
        <v>74</v>
      </c>
      <c r="AY904" s="2" t="s">
        <v>74</v>
      </c>
      <c r="AZ904" s="2" t="s">
        <v>74</v>
      </c>
      <c r="BA904" s="2" t="s">
        <v>74</v>
      </c>
      <c r="BB904" s="2">
        <v>25</v>
      </c>
      <c r="BC904" s="2">
        <v>29</v>
      </c>
      <c r="BD904" s="2" t="s">
        <v>74</v>
      </c>
      <c r="BE904" s="2" t="s">
        <v>8766</v>
      </c>
      <c r="BF904" s="2" t="str">
        <f>HYPERLINK("http://dx.doi.org/10.1016/j.beproc.2009.03.005","http://dx.doi.org/10.1016/j.beproc.2009.03.005")</f>
        <v>http://dx.doi.org/10.1016/j.beproc.2009.03.005</v>
      </c>
      <c r="BG904" s="2" t="s">
        <v>74</v>
      </c>
      <c r="BH904" s="2" t="s">
        <v>74</v>
      </c>
      <c r="BI904" s="2" t="s">
        <v>74</v>
      </c>
      <c r="BJ904" s="2" t="s">
        <v>74</v>
      </c>
      <c r="BK904" s="2" t="s">
        <v>74</v>
      </c>
      <c r="BL904" s="2" t="s">
        <v>74</v>
      </c>
      <c r="BM904" s="2" t="s">
        <v>74</v>
      </c>
      <c r="BN904" s="2">
        <v>19615612</v>
      </c>
      <c r="BO904" s="2" t="s">
        <v>74</v>
      </c>
      <c r="BP904" s="2" t="s">
        <v>74</v>
      </c>
      <c r="BQ904" s="2" t="s">
        <v>74</v>
      </c>
      <c r="BR904" s="2" t="s">
        <v>74</v>
      </c>
      <c r="BS904" s="2" t="s">
        <v>8767</v>
      </c>
      <c r="BT904" s="2" t="str">
        <f>HYPERLINK("https%3A%2F%2Fwww.webofscience.com%2Fwos%2Fwoscc%2Ffull-record%2FWOS:000268954900005","View Full Record in Web of Science")</f>
        <v>View Full Record in Web of Science</v>
      </c>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row>
    <row r="905" spans="1:314" s="2" customFormat="1" x14ac:dyDescent="0.4">
      <c r="A905" s="2" t="s">
        <v>72</v>
      </c>
      <c r="B905" s="2" t="s">
        <v>8107</v>
      </c>
      <c r="C905" s="2" t="s">
        <v>74</v>
      </c>
      <c r="D905" s="2" t="s">
        <v>74</v>
      </c>
      <c r="E905" s="2" t="s">
        <v>74</v>
      </c>
      <c r="F905" s="2" t="s">
        <v>8108</v>
      </c>
      <c r="G905" s="2" t="s">
        <v>74</v>
      </c>
      <c r="H905" s="2" t="s">
        <v>74</v>
      </c>
      <c r="I905" s="2" t="s">
        <v>8109</v>
      </c>
      <c r="J905" s="2" t="s">
        <v>763</v>
      </c>
      <c r="K905" s="2" t="s">
        <v>74</v>
      </c>
      <c r="L905" s="2" t="s">
        <v>74</v>
      </c>
      <c r="M905" s="2" t="s">
        <v>74</v>
      </c>
      <c r="N905" s="2" t="s">
        <v>74</v>
      </c>
      <c r="O905" s="2" t="s">
        <v>74</v>
      </c>
      <c r="P905" s="2" t="s">
        <v>74</v>
      </c>
      <c r="Q905" s="2" t="s">
        <v>74</v>
      </c>
      <c r="R905" s="2" t="s">
        <v>74</v>
      </c>
      <c r="S905" s="2" t="s">
        <v>74</v>
      </c>
      <c r="T905" s="2" t="s">
        <v>74</v>
      </c>
      <c r="U905" s="2" t="s">
        <v>74</v>
      </c>
      <c r="V905" s="5" t="s">
        <v>8110</v>
      </c>
      <c r="W905" s="2" t="s">
        <v>74</v>
      </c>
      <c r="X905" s="2" t="s">
        <v>74</v>
      </c>
      <c r="Y905" s="2" t="s">
        <v>74</v>
      </c>
      <c r="Z905" s="2" t="s">
        <v>74</v>
      </c>
      <c r="AA905" s="2" t="s">
        <v>8111</v>
      </c>
      <c r="AB905" s="2" t="s">
        <v>3649</v>
      </c>
      <c r="AC905" s="2" t="s">
        <v>74</v>
      </c>
      <c r="AD905" s="2" t="s">
        <v>74</v>
      </c>
      <c r="AE905" s="2" t="s">
        <v>74</v>
      </c>
      <c r="AF905" s="2" t="s">
        <v>74</v>
      </c>
      <c r="AG905" s="2" t="s">
        <v>74</v>
      </c>
      <c r="AH905" s="2" t="s">
        <v>74</v>
      </c>
      <c r="AI905" s="2" t="s">
        <v>74</v>
      </c>
      <c r="AJ905" s="2" t="s">
        <v>74</v>
      </c>
      <c r="AK905" s="2" t="s">
        <v>74</v>
      </c>
      <c r="AL905" s="2" t="s">
        <v>74</v>
      </c>
      <c r="AM905" s="2" t="s">
        <v>74</v>
      </c>
      <c r="AN905" s="2" t="s">
        <v>74</v>
      </c>
      <c r="AO905" s="2" t="s">
        <v>767</v>
      </c>
      <c r="AP905" s="2" t="s">
        <v>768</v>
      </c>
      <c r="AQ905" s="2" t="s">
        <v>74</v>
      </c>
      <c r="AR905" s="2" t="s">
        <v>74</v>
      </c>
      <c r="AS905" s="2" t="s">
        <v>74</v>
      </c>
      <c r="AT905" s="2" t="s">
        <v>352</v>
      </c>
      <c r="AU905" s="2">
        <v>2014</v>
      </c>
      <c r="AV905" s="2">
        <v>217</v>
      </c>
      <c r="AW905" s="2">
        <v>18</v>
      </c>
      <c r="AX905" s="2" t="s">
        <v>74</v>
      </c>
      <c r="AY905" s="2" t="s">
        <v>74</v>
      </c>
      <c r="AZ905" s="2" t="s">
        <v>74</v>
      </c>
      <c r="BA905" s="2" t="s">
        <v>74</v>
      </c>
      <c r="BB905" s="2">
        <v>3254</v>
      </c>
      <c r="BC905" s="2">
        <v>3262</v>
      </c>
      <c r="BD905" s="2" t="s">
        <v>74</v>
      </c>
      <c r="BE905" s="2" t="s">
        <v>8112</v>
      </c>
      <c r="BF905" s="2" t="str">
        <f>HYPERLINK("http://dx.doi.org/10.1242/jeb.106666","http://dx.doi.org/10.1242/jeb.106666")</f>
        <v>http://dx.doi.org/10.1242/jeb.106666</v>
      </c>
      <c r="BG905" s="2" t="s">
        <v>74</v>
      </c>
      <c r="BH905" s="2" t="s">
        <v>74</v>
      </c>
      <c r="BI905" s="2" t="s">
        <v>74</v>
      </c>
      <c r="BJ905" s="2" t="s">
        <v>74</v>
      </c>
      <c r="BK905" s="2" t="s">
        <v>74</v>
      </c>
      <c r="BL905" s="2" t="s">
        <v>74</v>
      </c>
      <c r="BM905" s="2" t="s">
        <v>74</v>
      </c>
      <c r="BN905" s="2">
        <v>25013111</v>
      </c>
      <c r="BO905" s="2" t="s">
        <v>74</v>
      </c>
      <c r="BP905" s="2" t="s">
        <v>74</v>
      </c>
      <c r="BQ905" s="2" t="s">
        <v>74</v>
      </c>
      <c r="BR905" s="2" t="s">
        <v>74</v>
      </c>
      <c r="BS905" s="2" t="s">
        <v>8113</v>
      </c>
      <c r="BT905" s="2" t="str">
        <f>HYPERLINK("https%3A%2F%2Fwww.webofscience.com%2Fwos%2Fwoscc%2Ffull-record%2FWOS:000342506100016","View Full Record in Web of Science")</f>
        <v>View Full Record in Web of Science</v>
      </c>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row>
    <row r="906" spans="1:314" s="2" customFormat="1" x14ac:dyDescent="0.4">
      <c r="A906" s="2" t="s">
        <v>72</v>
      </c>
      <c r="B906" s="2" t="s">
        <v>6804</v>
      </c>
      <c r="C906" s="2" t="s">
        <v>74</v>
      </c>
      <c r="D906" s="2" t="s">
        <v>74</v>
      </c>
      <c r="E906" s="2" t="s">
        <v>74</v>
      </c>
      <c r="F906" s="2" t="s">
        <v>6805</v>
      </c>
      <c r="G906" s="2" t="s">
        <v>74</v>
      </c>
      <c r="H906" s="2" t="s">
        <v>74</v>
      </c>
      <c r="I906" s="2" t="s">
        <v>6806</v>
      </c>
      <c r="J906" s="2" t="s">
        <v>1743</v>
      </c>
      <c r="K906" s="2" t="s">
        <v>74</v>
      </c>
      <c r="L906" s="2" t="s">
        <v>74</v>
      </c>
      <c r="M906" s="2" t="s">
        <v>74</v>
      </c>
      <c r="N906" s="2" t="s">
        <v>74</v>
      </c>
      <c r="O906" s="2" t="s">
        <v>74</v>
      </c>
      <c r="P906" s="2" t="s">
        <v>74</v>
      </c>
      <c r="Q906" s="2" t="s">
        <v>74</v>
      </c>
      <c r="R906" s="2" t="s">
        <v>74</v>
      </c>
      <c r="S906" s="2" t="s">
        <v>74</v>
      </c>
      <c r="T906" s="2" t="s">
        <v>74</v>
      </c>
      <c r="U906" s="2" t="s">
        <v>74</v>
      </c>
      <c r="V906" s="5" t="s">
        <v>6807</v>
      </c>
      <c r="W906" s="2" t="s">
        <v>74</v>
      </c>
      <c r="X906" s="2" t="s">
        <v>74</v>
      </c>
      <c r="Y906" s="2" t="s">
        <v>74</v>
      </c>
      <c r="Z906" s="2" t="s">
        <v>74</v>
      </c>
      <c r="AA906" s="2" t="s">
        <v>6808</v>
      </c>
      <c r="AB906" s="2" t="s">
        <v>74</v>
      </c>
      <c r="AC906" s="2" t="s">
        <v>74</v>
      </c>
      <c r="AD906" s="2" t="s">
        <v>74</v>
      </c>
      <c r="AE906" s="2" t="s">
        <v>74</v>
      </c>
      <c r="AF906" s="2" t="s">
        <v>74</v>
      </c>
      <c r="AG906" s="2" t="s">
        <v>74</v>
      </c>
      <c r="AH906" s="2" t="s">
        <v>74</v>
      </c>
      <c r="AI906" s="2" t="s">
        <v>74</v>
      </c>
      <c r="AJ906" s="2" t="s">
        <v>74</v>
      </c>
      <c r="AK906" s="2" t="s">
        <v>74</v>
      </c>
      <c r="AL906" s="2" t="s">
        <v>74</v>
      </c>
      <c r="AM906" s="2" t="s">
        <v>74</v>
      </c>
      <c r="AN906" s="2" t="s">
        <v>74</v>
      </c>
      <c r="AO906" s="2" t="s">
        <v>1746</v>
      </c>
      <c r="AP906" s="2" t="s">
        <v>74</v>
      </c>
      <c r="AQ906" s="2" t="s">
        <v>74</v>
      </c>
      <c r="AR906" s="2" t="s">
        <v>74</v>
      </c>
      <c r="AS906" s="2" t="s">
        <v>74</v>
      </c>
      <c r="AT906" s="2" t="s">
        <v>352</v>
      </c>
      <c r="AU906" s="2">
        <v>2006</v>
      </c>
      <c r="AV906" s="2">
        <v>23</v>
      </c>
      <c r="AW906" s="2">
        <v>9</v>
      </c>
      <c r="AX906" s="2" t="s">
        <v>74</v>
      </c>
      <c r="AY906" s="2" t="s">
        <v>74</v>
      </c>
      <c r="AZ906" s="2" t="s">
        <v>74</v>
      </c>
      <c r="BA906" s="2" t="s">
        <v>74</v>
      </c>
      <c r="BB906" s="2">
        <v>755</v>
      </c>
      <c r="BC906" s="2">
        <v>761</v>
      </c>
      <c r="BD906" s="2" t="s">
        <v>74</v>
      </c>
      <c r="BE906" s="2" t="s">
        <v>6809</v>
      </c>
      <c r="BF906" s="2" t="str">
        <f>HYPERLINK("http://dx.doi.org/10.2108/zsj.23.755","http://dx.doi.org/10.2108/zsj.23.755")</f>
        <v>http://dx.doi.org/10.2108/zsj.23.755</v>
      </c>
      <c r="BG906" s="2" t="s">
        <v>74</v>
      </c>
      <c r="BH906" s="2" t="s">
        <v>74</v>
      </c>
      <c r="BI906" s="2" t="s">
        <v>74</v>
      </c>
      <c r="BJ906" s="2" t="s">
        <v>74</v>
      </c>
      <c r="BK906" s="2" t="s">
        <v>74</v>
      </c>
      <c r="BL906" s="2" t="s">
        <v>74</v>
      </c>
      <c r="BM906" s="2" t="s">
        <v>74</v>
      </c>
      <c r="BN906" s="2">
        <v>17043397</v>
      </c>
      <c r="BO906" s="2" t="s">
        <v>74</v>
      </c>
      <c r="BP906" s="2" t="s">
        <v>74</v>
      </c>
      <c r="BQ906" s="2" t="s">
        <v>74</v>
      </c>
      <c r="BR906" s="2" t="s">
        <v>74</v>
      </c>
      <c r="BS906" s="2" t="s">
        <v>6810</v>
      </c>
      <c r="BT906" s="2" t="str">
        <f>HYPERLINK("https%3A%2F%2Fwww.webofscience.com%2Fwos%2Fwoscc%2Ffull-record%2FWOS:000243556800002","View Full Record in Web of Science")</f>
        <v>View Full Record in Web of Science</v>
      </c>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row>
    <row r="907" spans="1:314" s="2" customFormat="1" x14ac:dyDescent="0.4">
      <c r="A907" s="2" t="s">
        <v>72</v>
      </c>
      <c r="B907" s="2" t="s">
        <v>8526</v>
      </c>
      <c r="C907" s="2" t="s">
        <v>74</v>
      </c>
      <c r="D907" s="2" t="s">
        <v>74</v>
      </c>
      <c r="E907" s="2" t="s">
        <v>74</v>
      </c>
      <c r="F907" s="2" t="s">
        <v>8527</v>
      </c>
      <c r="G907" s="2" t="s">
        <v>74</v>
      </c>
      <c r="H907" s="2" t="s">
        <v>74</v>
      </c>
      <c r="I907" s="2" t="s">
        <v>8528</v>
      </c>
      <c r="J907" s="2" t="s">
        <v>129</v>
      </c>
      <c r="K907" s="2" t="s">
        <v>74</v>
      </c>
      <c r="L907" s="2" t="s">
        <v>74</v>
      </c>
      <c r="M907" s="2" t="s">
        <v>74</v>
      </c>
      <c r="N907" s="2" t="s">
        <v>74</v>
      </c>
      <c r="O907" s="2" t="s">
        <v>74</v>
      </c>
      <c r="P907" s="2" t="s">
        <v>74</v>
      </c>
      <c r="Q907" s="2" t="s">
        <v>74</v>
      </c>
      <c r="R907" s="2" t="s">
        <v>74</v>
      </c>
      <c r="S907" s="2" t="s">
        <v>74</v>
      </c>
      <c r="T907" s="2" t="s">
        <v>74</v>
      </c>
      <c r="U907" s="2" t="s">
        <v>74</v>
      </c>
      <c r="V907" s="5" t="s">
        <v>8529</v>
      </c>
      <c r="W907" s="2" t="s">
        <v>74</v>
      </c>
      <c r="X907" s="2" t="s">
        <v>74</v>
      </c>
      <c r="Y907" s="2" t="s">
        <v>74</v>
      </c>
      <c r="Z907" s="2" t="s">
        <v>74</v>
      </c>
      <c r="AA907" s="2" t="s">
        <v>8530</v>
      </c>
      <c r="AB907" s="2" t="s">
        <v>8531</v>
      </c>
      <c r="AC907" s="2" t="s">
        <v>74</v>
      </c>
      <c r="AD907" s="2" t="s">
        <v>74</v>
      </c>
      <c r="AE907" s="2" t="s">
        <v>74</v>
      </c>
      <c r="AF907" s="2" t="s">
        <v>74</v>
      </c>
      <c r="AG907" s="2" t="s">
        <v>74</v>
      </c>
      <c r="AH907" s="2" t="s">
        <v>74</v>
      </c>
      <c r="AI907" s="2" t="s">
        <v>74</v>
      </c>
      <c r="AJ907" s="2" t="s">
        <v>74</v>
      </c>
      <c r="AK907" s="2" t="s">
        <v>74</v>
      </c>
      <c r="AL907" s="2" t="s">
        <v>74</v>
      </c>
      <c r="AM907" s="2" t="s">
        <v>74</v>
      </c>
      <c r="AN907" s="2" t="s">
        <v>74</v>
      </c>
      <c r="AO907" s="2" t="s">
        <v>132</v>
      </c>
      <c r="AP907" s="2" t="s">
        <v>133</v>
      </c>
      <c r="AQ907" s="2" t="s">
        <v>74</v>
      </c>
      <c r="AR907" s="2" t="s">
        <v>74</v>
      </c>
      <c r="AS907" s="2" t="s">
        <v>74</v>
      </c>
      <c r="AT907" s="2" t="s">
        <v>213</v>
      </c>
      <c r="AU907" s="2">
        <v>2010</v>
      </c>
      <c r="AV907" s="2">
        <v>64</v>
      </c>
      <c r="AW907" s="2">
        <v>11</v>
      </c>
      <c r="AX907" s="2" t="s">
        <v>74</v>
      </c>
      <c r="AY907" s="2" t="s">
        <v>74</v>
      </c>
      <c r="AZ907" s="2" t="s">
        <v>74</v>
      </c>
      <c r="BA907" s="2" t="s">
        <v>74</v>
      </c>
      <c r="BB907" s="2">
        <v>1839</v>
      </c>
      <c r="BC907" s="2">
        <v>1847</v>
      </c>
      <c r="BD907" s="2" t="s">
        <v>74</v>
      </c>
      <c r="BE907" s="2" t="s">
        <v>8532</v>
      </c>
      <c r="BF907" s="2" t="str">
        <f>HYPERLINK("http://dx.doi.org/10.1007/s00265-010-0995-z","http://dx.doi.org/10.1007/s00265-010-0995-z")</f>
        <v>http://dx.doi.org/10.1007/s00265-010-0995-z</v>
      </c>
      <c r="BG907" s="2" t="s">
        <v>74</v>
      </c>
      <c r="BH907" s="2" t="s">
        <v>74</v>
      </c>
      <c r="BI907" s="2" t="s">
        <v>74</v>
      </c>
      <c r="BJ907" s="2" t="s">
        <v>74</v>
      </c>
      <c r="BK907" s="2" t="s">
        <v>74</v>
      </c>
      <c r="BL907" s="2" t="s">
        <v>74</v>
      </c>
      <c r="BM907" s="2" t="s">
        <v>74</v>
      </c>
      <c r="BN907" s="2" t="s">
        <v>74</v>
      </c>
      <c r="BO907" s="2" t="s">
        <v>74</v>
      </c>
      <c r="BP907" s="2" t="s">
        <v>74</v>
      </c>
      <c r="BQ907" s="2" t="s">
        <v>74</v>
      </c>
      <c r="BR907" s="2" t="s">
        <v>74</v>
      </c>
      <c r="BS907" s="2" t="s">
        <v>8533</v>
      </c>
      <c r="BT907" s="2" t="str">
        <f>HYPERLINK("https%3A%2F%2Fwww.webofscience.com%2Fwos%2Fwoscc%2Ffull-record%2FWOS:000282823800011","View Full Record in Web of Science")</f>
        <v>View Full Record in Web of Science</v>
      </c>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row>
    <row r="908" spans="1:314" s="2" customFormat="1" x14ac:dyDescent="0.4">
      <c r="A908" s="2" t="s">
        <v>72</v>
      </c>
      <c r="B908" s="2" t="s">
        <v>3267</v>
      </c>
      <c r="C908" s="2" t="s">
        <v>74</v>
      </c>
      <c r="D908" s="2" t="s">
        <v>74</v>
      </c>
      <c r="E908" s="2" t="s">
        <v>74</v>
      </c>
      <c r="F908" s="2" t="s">
        <v>3268</v>
      </c>
      <c r="G908" s="2" t="s">
        <v>74</v>
      </c>
      <c r="H908" s="2" t="s">
        <v>74</v>
      </c>
      <c r="I908" s="2" t="s">
        <v>3269</v>
      </c>
      <c r="J908" s="2" t="s">
        <v>201</v>
      </c>
      <c r="K908" s="2" t="s">
        <v>74</v>
      </c>
      <c r="L908" s="2" t="s">
        <v>74</v>
      </c>
      <c r="M908" s="2" t="s">
        <v>74</v>
      </c>
      <c r="N908" s="2" t="s">
        <v>74</v>
      </c>
      <c r="O908" s="2" t="s">
        <v>74</v>
      </c>
      <c r="P908" s="2" t="s">
        <v>74</v>
      </c>
      <c r="Q908" s="2" t="s">
        <v>74</v>
      </c>
      <c r="R908" s="2" t="s">
        <v>74</v>
      </c>
      <c r="S908" s="2" t="s">
        <v>74</v>
      </c>
      <c r="T908" s="2" t="s">
        <v>74</v>
      </c>
      <c r="U908" s="2" t="s">
        <v>74</v>
      </c>
      <c r="V908" s="5" t="s">
        <v>3270</v>
      </c>
      <c r="W908" s="2" t="s">
        <v>74</v>
      </c>
      <c r="X908" s="2" t="s">
        <v>74</v>
      </c>
      <c r="Y908" s="2" t="s">
        <v>74</v>
      </c>
      <c r="Z908" s="2" t="s">
        <v>74</v>
      </c>
      <c r="AA908" s="2" t="s">
        <v>3271</v>
      </c>
      <c r="AB908" s="2" t="s">
        <v>3272</v>
      </c>
      <c r="AC908" s="2" t="s">
        <v>74</v>
      </c>
      <c r="AD908" s="2" t="s">
        <v>74</v>
      </c>
      <c r="AE908" s="2" t="s">
        <v>74</v>
      </c>
      <c r="AF908" s="2" t="s">
        <v>74</v>
      </c>
      <c r="AG908" s="2" t="s">
        <v>74</v>
      </c>
      <c r="AH908" s="2" t="s">
        <v>74</v>
      </c>
      <c r="AI908" s="2" t="s">
        <v>74</v>
      </c>
      <c r="AJ908" s="2" t="s">
        <v>74</v>
      </c>
      <c r="AK908" s="2" t="s">
        <v>74</v>
      </c>
      <c r="AL908" s="2" t="s">
        <v>74</v>
      </c>
      <c r="AM908" s="2" t="s">
        <v>74</v>
      </c>
      <c r="AN908" s="2" t="s">
        <v>74</v>
      </c>
      <c r="AO908" s="2" t="s">
        <v>203</v>
      </c>
      <c r="AP908" s="2" t="s">
        <v>1192</v>
      </c>
      <c r="AQ908" s="2" t="s">
        <v>74</v>
      </c>
      <c r="AR908" s="2" t="s">
        <v>74</v>
      </c>
      <c r="AS908" s="2" t="s">
        <v>74</v>
      </c>
      <c r="AT908" s="2" t="s">
        <v>123</v>
      </c>
      <c r="AU908" s="2">
        <v>2012</v>
      </c>
      <c r="AV908" s="2">
        <v>80</v>
      </c>
      <c r="AW908" s="2">
        <v>3</v>
      </c>
      <c r="AX908" s="2" t="s">
        <v>74</v>
      </c>
      <c r="AY908" s="2" t="s">
        <v>74</v>
      </c>
      <c r="AZ908" s="2" t="s">
        <v>74</v>
      </c>
      <c r="BA908" s="2" t="s">
        <v>74</v>
      </c>
      <c r="BB908" s="2">
        <v>722</v>
      </c>
      <c r="BC908" s="2">
        <v>727</v>
      </c>
      <c r="BD908" s="2" t="s">
        <v>74</v>
      </c>
      <c r="BE908" s="2" t="s">
        <v>3273</v>
      </c>
      <c r="BF908" s="2" t="str">
        <f>HYPERLINK("http://dx.doi.org/10.1111/j.1095-8649.2011.03212.x","http://dx.doi.org/10.1111/j.1095-8649.2011.03212.x")</f>
        <v>http://dx.doi.org/10.1111/j.1095-8649.2011.03212.x</v>
      </c>
      <c r="BG908" s="2" t="s">
        <v>74</v>
      </c>
      <c r="BH908" s="2" t="s">
        <v>74</v>
      </c>
      <c r="BI908" s="2" t="s">
        <v>74</v>
      </c>
      <c r="BJ908" s="2" t="s">
        <v>74</v>
      </c>
      <c r="BK908" s="2" t="s">
        <v>74</v>
      </c>
      <c r="BL908" s="2" t="s">
        <v>74</v>
      </c>
      <c r="BM908" s="2" t="s">
        <v>74</v>
      </c>
      <c r="BN908" s="2">
        <v>22380566</v>
      </c>
      <c r="BO908" s="2" t="s">
        <v>74</v>
      </c>
      <c r="BP908" s="2" t="s">
        <v>74</v>
      </c>
      <c r="BQ908" s="2" t="s">
        <v>74</v>
      </c>
      <c r="BR908" s="2" t="s">
        <v>74</v>
      </c>
      <c r="BS908" s="2" t="s">
        <v>3274</v>
      </c>
      <c r="BT908" s="2" t="str">
        <f>HYPERLINK("https%3A%2F%2Fwww.webofscience.com%2Fwos%2Fwoscc%2Ffull-record%2FWOS:000300933900019","View Full Record in Web of Science")</f>
        <v>View Full Record in Web of Science</v>
      </c>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row>
    <row r="909" spans="1:314" s="2" customFormat="1" x14ac:dyDescent="0.4">
      <c r="A909" s="2" t="s">
        <v>72</v>
      </c>
      <c r="B909" s="2" t="s">
        <v>8318</v>
      </c>
      <c r="C909" s="2" t="s">
        <v>74</v>
      </c>
      <c r="D909" s="2" t="s">
        <v>74</v>
      </c>
      <c r="E909" s="2" t="s">
        <v>74</v>
      </c>
      <c r="F909" s="2" t="s">
        <v>8318</v>
      </c>
      <c r="G909" s="2" t="s">
        <v>74</v>
      </c>
      <c r="H909" s="2" t="s">
        <v>74</v>
      </c>
      <c r="I909" s="2" t="s">
        <v>8319</v>
      </c>
      <c r="J909" s="2" t="s">
        <v>4473</v>
      </c>
      <c r="K909" s="2" t="s">
        <v>74</v>
      </c>
      <c r="L909" s="2" t="s">
        <v>74</v>
      </c>
      <c r="M909" s="2" t="s">
        <v>74</v>
      </c>
      <c r="N909" s="2" t="s">
        <v>74</v>
      </c>
      <c r="O909" s="2" t="s">
        <v>74</v>
      </c>
      <c r="P909" s="2" t="s">
        <v>74</v>
      </c>
      <c r="Q909" s="2" t="s">
        <v>74</v>
      </c>
      <c r="R909" s="2" t="s">
        <v>74</v>
      </c>
      <c r="S909" s="2" t="s">
        <v>74</v>
      </c>
      <c r="T909" s="2" t="s">
        <v>74</v>
      </c>
      <c r="U909" s="2" t="s">
        <v>74</v>
      </c>
      <c r="V909" s="5" t="s">
        <v>8320</v>
      </c>
      <c r="W909" s="2" t="s">
        <v>74</v>
      </c>
      <c r="X909" s="2" t="s">
        <v>74</v>
      </c>
      <c r="Y909" s="2" t="s">
        <v>74</v>
      </c>
      <c r="Z909" s="2" t="s">
        <v>74</v>
      </c>
      <c r="AA909" s="2" t="s">
        <v>74</v>
      </c>
      <c r="AB909" s="2" t="s">
        <v>8321</v>
      </c>
      <c r="AC909" s="2" t="s">
        <v>74</v>
      </c>
      <c r="AD909" s="2" t="s">
        <v>74</v>
      </c>
      <c r="AE909" s="2" t="s">
        <v>74</v>
      </c>
      <c r="AF909" s="2" t="s">
        <v>74</v>
      </c>
      <c r="AG909" s="2" t="s">
        <v>74</v>
      </c>
      <c r="AH909" s="2" t="s">
        <v>74</v>
      </c>
      <c r="AI909" s="2" t="s">
        <v>74</v>
      </c>
      <c r="AJ909" s="2" t="s">
        <v>74</v>
      </c>
      <c r="AK909" s="2" t="s">
        <v>74</v>
      </c>
      <c r="AL909" s="2" t="s">
        <v>74</v>
      </c>
      <c r="AM909" s="2" t="s">
        <v>74</v>
      </c>
      <c r="AN909" s="2" t="s">
        <v>74</v>
      </c>
      <c r="AO909" s="2" t="s">
        <v>818</v>
      </c>
      <c r="AP909" s="2" t="s">
        <v>74</v>
      </c>
      <c r="AQ909" s="2" t="s">
        <v>74</v>
      </c>
      <c r="AR909" s="2" t="s">
        <v>74</v>
      </c>
      <c r="AS909" s="2" t="s">
        <v>74</v>
      </c>
      <c r="AT909" s="2" t="s">
        <v>74</v>
      </c>
      <c r="AU909" s="2">
        <v>2001</v>
      </c>
      <c r="AV909" s="2">
        <v>104</v>
      </c>
      <c r="AW909" s="2">
        <v>2</v>
      </c>
      <c r="AX909" s="2" t="s">
        <v>74</v>
      </c>
      <c r="AY909" s="2" t="s">
        <v>74</v>
      </c>
      <c r="AZ909" s="2" t="s">
        <v>74</v>
      </c>
      <c r="BA909" s="2" t="s">
        <v>74</v>
      </c>
      <c r="BB909" s="2">
        <v>91</v>
      </c>
      <c r="BC909" s="2">
        <v>97</v>
      </c>
      <c r="BD909" s="2" t="s">
        <v>74</v>
      </c>
      <c r="BE909" s="2" t="s">
        <v>8322</v>
      </c>
      <c r="BF909" s="2" t="str">
        <f>HYPERLINK("http://dx.doi.org/10.1078/0944-2006-00014","http://dx.doi.org/10.1078/0944-2006-00014")</f>
        <v>http://dx.doi.org/10.1078/0944-2006-00014</v>
      </c>
      <c r="BG909" s="2" t="s">
        <v>74</v>
      </c>
      <c r="BH909" s="2" t="s">
        <v>74</v>
      </c>
      <c r="BI909" s="2" t="s">
        <v>74</v>
      </c>
      <c r="BJ909" s="2" t="s">
        <v>74</v>
      </c>
      <c r="BK909" s="2" t="s">
        <v>74</v>
      </c>
      <c r="BL909" s="2" t="s">
        <v>74</v>
      </c>
      <c r="BM909" s="2" t="s">
        <v>74</v>
      </c>
      <c r="BN909" s="2">
        <v>16351822</v>
      </c>
      <c r="BO909" s="2" t="s">
        <v>74</v>
      </c>
      <c r="BP909" s="2" t="s">
        <v>74</v>
      </c>
      <c r="BQ909" s="2" t="s">
        <v>74</v>
      </c>
      <c r="BR909" s="2" t="s">
        <v>74</v>
      </c>
      <c r="BS909" s="2" t="s">
        <v>8323</v>
      </c>
      <c r="BT909" s="2" t="str">
        <f>HYPERLINK("https%3A%2F%2Fwww.webofscience.com%2Fwos%2Fwoscc%2Ffull-record%2FWOS:000172786700002","View Full Record in Web of Science")</f>
        <v>View Full Record in Web of Science</v>
      </c>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row>
    <row r="910" spans="1:314" s="2" customFormat="1" x14ac:dyDescent="0.4">
      <c r="A910" s="2" t="s">
        <v>72</v>
      </c>
      <c r="B910" s="2" t="s">
        <v>5134</v>
      </c>
      <c r="C910" s="2" t="s">
        <v>74</v>
      </c>
      <c r="D910" s="2" t="s">
        <v>74</v>
      </c>
      <c r="E910" s="2" t="s">
        <v>74</v>
      </c>
      <c r="F910" s="2" t="s">
        <v>5135</v>
      </c>
      <c r="G910" s="2" t="s">
        <v>74</v>
      </c>
      <c r="H910" s="2" t="s">
        <v>74</v>
      </c>
      <c r="I910" s="2" t="s">
        <v>5136</v>
      </c>
      <c r="J910" s="2" t="s">
        <v>2275</v>
      </c>
      <c r="K910" s="2" t="s">
        <v>74</v>
      </c>
      <c r="L910" s="2" t="s">
        <v>74</v>
      </c>
      <c r="M910" s="2" t="s">
        <v>74</v>
      </c>
      <c r="N910" s="2" t="s">
        <v>74</v>
      </c>
      <c r="O910" s="2" t="s">
        <v>74</v>
      </c>
      <c r="P910" s="2" t="s">
        <v>74</v>
      </c>
      <c r="Q910" s="2" t="s">
        <v>74</v>
      </c>
      <c r="R910" s="2" t="s">
        <v>74</v>
      </c>
      <c r="S910" s="2" t="s">
        <v>74</v>
      </c>
      <c r="T910" s="2" t="s">
        <v>74</v>
      </c>
      <c r="U910" s="2" t="s">
        <v>74</v>
      </c>
      <c r="V910" s="5" t="s">
        <v>5137</v>
      </c>
      <c r="W910" s="2" t="s">
        <v>74</v>
      </c>
      <c r="X910" s="2" t="s">
        <v>74</v>
      </c>
      <c r="Y910" s="2" t="s">
        <v>74</v>
      </c>
      <c r="Z910" s="2" t="s">
        <v>74</v>
      </c>
      <c r="AA910" s="2" t="s">
        <v>74</v>
      </c>
      <c r="AB910" s="2" t="s">
        <v>74</v>
      </c>
      <c r="AC910" s="2" t="s">
        <v>74</v>
      </c>
      <c r="AD910" s="2" t="s">
        <v>74</v>
      </c>
      <c r="AE910" s="2" t="s">
        <v>74</v>
      </c>
      <c r="AF910" s="2" t="s">
        <v>74</v>
      </c>
      <c r="AG910" s="2" t="s">
        <v>74</v>
      </c>
      <c r="AH910" s="2" t="s">
        <v>74</v>
      </c>
      <c r="AI910" s="2" t="s">
        <v>74</v>
      </c>
      <c r="AJ910" s="2" t="s">
        <v>74</v>
      </c>
      <c r="AK910" s="2" t="s">
        <v>74</v>
      </c>
      <c r="AL910" s="2" t="s">
        <v>74</v>
      </c>
      <c r="AM910" s="2" t="s">
        <v>74</v>
      </c>
      <c r="AN910" s="2" t="s">
        <v>74</v>
      </c>
      <c r="AO910" s="2" t="s">
        <v>2279</v>
      </c>
      <c r="AP910" s="2" t="s">
        <v>2280</v>
      </c>
      <c r="AQ910" s="2" t="s">
        <v>74</v>
      </c>
      <c r="AR910" s="2" t="s">
        <v>74</v>
      </c>
      <c r="AS910" s="2" t="s">
        <v>74</v>
      </c>
      <c r="AT910" s="2" t="s">
        <v>5138</v>
      </c>
      <c r="AU910" s="2">
        <v>2015</v>
      </c>
      <c r="AV910" s="2">
        <v>13</v>
      </c>
      <c r="AW910" s="2">
        <v>1</v>
      </c>
      <c r="AX910" s="2" t="s">
        <v>74</v>
      </c>
      <c r="AY910" s="2" t="s">
        <v>74</v>
      </c>
      <c r="AZ910" s="2" t="s">
        <v>74</v>
      </c>
      <c r="BA910" s="2" t="s">
        <v>74</v>
      </c>
      <c r="BB910" s="2">
        <v>93</v>
      </c>
      <c r="BC910" s="2">
        <v>103</v>
      </c>
      <c r="BD910" s="2" t="s">
        <v>74</v>
      </c>
      <c r="BE910" s="2" t="s">
        <v>5139</v>
      </c>
      <c r="BF910" s="2" t="str">
        <f>HYPERLINK("http://dx.doi.org/10.1080/14772000.2014.968233","http://dx.doi.org/10.1080/14772000.2014.968233")</f>
        <v>http://dx.doi.org/10.1080/14772000.2014.968233</v>
      </c>
      <c r="BG910" s="2" t="s">
        <v>74</v>
      </c>
      <c r="BH910" s="2" t="s">
        <v>74</v>
      </c>
      <c r="BI910" s="2" t="s">
        <v>74</v>
      </c>
      <c r="BJ910" s="2" t="s">
        <v>74</v>
      </c>
      <c r="BK910" s="2" t="s">
        <v>74</v>
      </c>
      <c r="BL910" s="2" t="s">
        <v>74</v>
      </c>
      <c r="BM910" s="2" t="s">
        <v>74</v>
      </c>
      <c r="BN910" s="2" t="s">
        <v>74</v>
      </c>
      <c r="BO910" s="2" t="s">
        <v>74</v>
      </c>
      <c r="BP910" s="2" t="s">
        <v>74</v>
      </c>
      <c r="BQ910" s="2" t="s">
        <v>74</v>
      </c>
      <c r="BR910" s="2" t="s">
        <v>74</v>
      </c>
      <c r="BS910" s="2" t="s">
        <v>5140</v>
      </c>
      <c r="BT910" s="2" t="str">
        <f>HYPERLINK("https%3A%2F%2Fwww.webofscience.com%2Fwos%2Fwoscc%2Ffull-record%2FWOS:000345618000007","View Full Record in Web of Science")</f>
        <v>View Full Record in Web of Science</v>
      </c>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row>
    <row r="911" spans="1:314" s="2" customFormat="1" x14ac:dyDescent="0.4">
      <c r="A911" s="2" t="s">
        <v>72</v>
      </c>
      <c r="B911" s="2" t="s">
        <v>2893</v>
      </c>
      <c r="C911" s="2" t="s">
        <v>74</v>
      </c>
      <c r="D911" s="2" t="s">
        <v>74</v>
      </c>
      <c r="E911" s="2" t="s">
        <v>74</v>
      </c>
      <c r="F911" s="2" t="s">
        <v>2894</v>
      </c>
      <c r="G911" s="2" t="s">
        <v>74</v>
      </c>
      <c r="H911" s="2" t="s">
        <v>74</v>
      </c>
      <c r="I911" s="2" t="s">
        <v>2895</v>
      </c>
      <c r="J911" s="2" t="s">
        <v>140</v>
      </c>
      <c r="K911" s="2" t="s">
        <v>74</v>
      </c>
      <c r="L911" s="2" t="s">
        <v>74</v>
      </c>
      <c r="M911" s="2" t="s">
        <v>74</v>
      </c>
      <c r="N911" s="2" t="s">
        <v>74</v>
      </c>
      <c r="O911" s="2" t="s">
        <v>74</v>
      </c>
      <c r="P911" s="2" t="s">
        <v>74</v>
      </c>
      <c r="Q911" s="2" t="s">
        <v>74</v>
      </c>
      <c r="R911" s="2" t="s">
        <v>74</v>
      </c>
      <c r="S911" s="2" t="s">
        <v>74</v>
      </c>
      <c r="T911" s="2" t="s">
        <v>74</v>
      </c>
      <c r="U911" s="2" t="s">
        <v>74</v>
      </c>
      <c r="V911" s="5" t="s">
        <v>2896</v>
      </c>
      <c r="W911" s="2" t="s">
        <v>74</v>
      </c>
      <c r="X911" s="2" t="s">
        <v>74</v>
      </c>
      <c r="Y911" s="2" t="s">
        <v>74</v>
      </c>
      <c r="Z911" s="2" t="s">
        <v>74</v>
      </c>
      <c r="AA911" s="2" t="s">
        <v>379</v>
      </c>
      <c r="AB911" s="2" t="s">
        <v>74</v>
      </c>
      <c r="AC911" s="2" t="s">
        <v>74</v>
      </c>
      <c r="AD911" s="2" t="s">
        <v>74</v>
      </c>
      <c r="AE911" s="2" t="s">
        <v>74</v>
      </c>
      <c r="AF911" s="2" t="s">
        <v>74</v>
      </c>
      <c r="AG911" s="2" t="s">
        <v>74</v>
      </c>
      <c r="AH911" s="2" t="s">
        <v>74</v>
      </c>
      <c r="AI911" s="2" t="s">
        <v>74</v>
      </c>
      <c r="AJ911" s="2" t="s">
        <v>74</v>
      </c>
      <c r="AK911" s="2" t="s">
        <v>74</v>
      </c>
      <c r="AL911" s="2" t="s">
        <v>74</v>
      </c>
      <c r="AM911" s="2" t="s">
        <v>74</v>
      </c>
      <c r="AN911" s="2" t="s">
        <v>74</v>
      </c>
      <c r="AO911" s="2" t="s">
        <v>143</v>
      </c>
      <c r="AP911" s="2" t="s">
        <v>144</v>
      </c>
      <c r="AQ911" s="2" t="s">
        <v>74</v>
      </c>
      <c r="AR911" s="2" t="s">
        <v>74</v>
      </c>
      <c r="AS911" s="2" t="s">
        <v>74</v>
      </c>
      <c r="AT911" s="2" t="s">
        <v>352</v>
      </c>
      <c r="AU911" s="2">
        <v>2017</v>
      </c>
      <c r="AV911" s="2">
        <v>131</v>
      </c>
      <c r="AW911" s="2" t="s">
        <v>74</v>
      </c>
      <c r="AX911" s="2" t="s">
        <v>74</v>
      </c>
      <c r="AY911" s="2" t="s">
        <v>74</v>
      </c>
      <c r="AZ911" s="2" t="s">
        <v>74</v>
      </c>
      <c r="BA911" s="2" t="s">
        <v>74</v>
      </c>
      <c r="BB911" s="2">
        <v>107</v>
      </c>
      <c r="BC911" s="2">
        <v>114</v>
      </c>
      <c r="BD911" s="2" t="s">
        <v>74</v>
      </c>
      <c r="BE911" s="2" t="s">
        <v>2897</v>
      </c>
      <c r="BF911" s="2" t="str">
        <f>HYPERLINK("http://dx.doi.org/10.1016/j.anbehav.2017.07.013","http://dx.doi.org/10.1016/j.anbehav.2017.07.013")</f>
        <v>http://dx.doi.org/10.1016/j.anbehav.2017.07.013</v>
      </c>
      <c r="BG911" s="2" t="s">
        <v>74</v>
      </c>
      <c r="BH911" s="2" t="s">
        <v>74</v>
      </c>
      <c r="BI911" s="2" t="s">
        <v>74</v>
      </c>
      <c r="BJ911" s="2" t="s">
        <v>74</v>
      </c>
      <c r="BK911" s="2" t="s">
        <v>74</v>
      </c>
      <c r="BL911" s="2" t="s">
        <v>74</v>
      </c>
      <c r="BM911" s="2" t="s">
        <v>74</v>
      </c>
      <c r="BN911" s="2" t="s">
        <v>74</v>
      </c>
      <c r="BO911" s="2" t="s">
        <v>74</v>
      </c>
      <c r="BP911" s="2" t="s">
        <v>74</v>
      </c>
      <c r="BQ911" s="2" t="s">
        <v>74</v>
      </c>
      <c r="BR911" s="2" t="s">
        <v>74</v>
      </c>
      <c r="BS911" s="2" t="s">
        <v>2898</v>
      </c>
      <c r="BT911" s="2" t="str">
        <f>HYPERLINK("https%3A%2F%2Fwww.webofscience.com%2Fwos%2Fwoscc%2Ffull-record%2FWOS:000410035100014","View Full Record in Web of Science")</f>
        <v>View Full Record in Web of Science</v>
      </c>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row>
    <row r="912" spans="1:314" s="7" customFormat="1" x14ac:dyDescent="0.4">
      <c r="A912" s="2" t="s">
        <v>72</v>
      </c>
      <c r="B912" s="2" t="s">
        <v>1831</v>
      </c>
      <c r="C912" s="2" t="s">
        <v>74</v>
      </c>
      <c r="D912" s="2" t="s">
        <v>74</v>
      </c>
      <c r="E912" s="2" t="s">
        <v>74</v>
      </c>
      <c r="F912" s="2" t="s">
        <v>1831</v>
      </c>
      <c r="G912" s="2" t="s">
        <v>74</v>
      </c>
      <c r="H912" s="2" t="s">
        <v>74</v>
      </c>
      <c r="I912" s="2" t="s">
        <v>1832</v>
      </c>
      <c r="J912" s="2" t="s">
        <v>77</v>
      </c>
      <c r="K912" s="2" t="s">
        <v>74</v>
      </c>
      <c r="L912" s="2" t="s">
        <v>74</v>
      </c>
      <c r="M912" s="2" t="s">
        <v>74</v>
      </c>
      <c r="N912" s="2" t="s">
        <v>74</v>
      </c>
      <c r="O912" s="2" t="s">
        <v>74</v>
      </c>
      <c r="P912" s="2" t="s">
        <v>74</v>
      </c>
      <c r="Q912" s="2" t="s">
        <v>74</v>
      </c>
      <c r="R912" s="2" t="s">
        <v>74</v>
      </c>
      <c r="S912" s="2" t="s">
        <v>74</v>
      </c>
      <c r="T912" s="2" t="s">
        <v>74</v>
      </c>
      <c r="U912" s="2" t="s">
        <v>74</v>
      </c>
      <c r="V912" s="5" t="s">
        <v>1833</v>
      </c>
      <c r="W912" s="2" t="s">
        <v>74</v>
      </c>
      <c r="X912" s="2" t="s">
        <v>74</v>
      </c>
      <c r="Y912" s="2" t="s">
        <v>74</v>
      </c>
      <c r="Z912" s="2" t="s">
        <v>74</v>
      </c>
      <c r="AA912" s="2" t="s">
        <v>74</v>
      </c>
      <c r="AB912" s="2" t="s">
        <v>74</v>
      </c>
      <c r="AC912" s="2" t="s">
        <v>74</v>
      </c>
      <c r="AD912" s="2" t="s">
        <v>74</v>
      </c>
      <c r="AE912" s="2" t="s">
        <v>74</v>
      </c>
      <c r="AF912" s="2" t="s">
        <v>74</v>
      </c>
      <c r="AG912" s="2" t="s">
        <v>74</v>
      </c>
      <c r="AH912" s="2" t="s">
        <v>74</v>
      </c>
      <c r="AI912" s="2" t="s">
        <v>74</v>
      </c>
      <c r="AJ912" s="2" t="s">
        <v>74</v>
      </c>
      <c r="AK912" s="2" t="s">
        <v>74</v>
      </c>
      <c r="AL912" s="2" t="s">
        <v>74</v>
      </c>
      <c r="AM912" s="2" t="s">
        <v>74</v>
      </c>
      <c r="AN912" s="2" t="s">
        <v>74</v>
      </c>
      <c r="AO912" s="2" t="s">
        <v>81</v>
      </c>
      <c r="AP912" s="2" t="s">
        <v>82</v>
      </c>
      <c r="AQ912" s="2" t="s">
        <v>74</v>
      </c>
      <c r="AR912" s="2" t="s">
        <v>74</v>
      </c>
      <c r="AS912" s="2" t="s">
        <v>74</v>
      </c>
      <c r="AT912" s="2" t="s">
        <v>74</v>
      </c>
      <c r="AU912" s="2">
        <v>1979</v>
      </c>
      <c r="AV912" s="2">
        <v>70</v>
      </c>
      <c r="AW912" s="2" t="s">
        <v>74</v>
      </c>
      <c r="AX912" s="2" t="s">
        <v>1276</v>
      </c>
      <c r="AY912" s="2" t="s">
        <v>74</v>
      </c>
      <c r="AZ912" s="2" t="s">
        <v>74</v>
      </c>
      <c r="BA912" s="2" t="s">
        <v>74</v>
      </c>
      <c r="BB912" s="2">
        <v>323</v>
      </c>
      <c r="BC912" s="2">
        <v>336</v>
      </c>
      <c r="BD912" s="2" t="s">
        <v>74</v>
      </c>
      <c r="BE912" s="2" t="s">
        <v>1834</v>
      </c>
      <c r="BF912" s="2" t="str">
        <f>HYPERLINK("http://dx.doi.org/10.1163/156853979X00115","http://dx.doi.org/10.1163/156853979X00115")</f>
        <v>http://dx.doi.org/10.1163/156853979X00115</v>
      </c>
      <c r="BG912" s="2" t="s">
        <v>74</v>
      </c>
      <c r="BH912" s="2" t="s">
        <v>74</v>
      </c>
      <c r="BI912" s="2" t="s">
        <v>74</v>
      </c>
      <c r="BJ912" s="2" t="s">
        <v>74</v>
      </c>
      <c r="BK912" s="2" t="s">
        <v>74</v>
      </c>
      <c r="BL912" s="2" t="s">
        <v>74</v>
      </c>
      <c r="BM912" s="2" t="s">
        <v>74</v>
      </c>
      <c r="BN912" s="2" t="s">
        <v>74</v>
      </c>
      <c r="BO912" s="2" t="s">
        <v>74</v>
      </c>
      <c r="BP912" s="2" t="s">
        <v>74</v>
      </c>
      <c r="BQ912" s="2" t="s">
        <v>74</v>
      </c>
      <c r="BR912" s="2" t="s">
        <v>74</v>
      </c>
      <c r="BS912" s="2" t="s">
        <v>1835</v>
      </c>
      <c r="BT912" s="2" t="str">
        <f>HYPERLINK("https%3A%2F%2Fwww.webofscience.com%2Fwos%2Fwoscc%2Ffull-record%2FWOS:A1979HU60900006","View Full Record in Web of Science")</f>
        <v>View Full Record in Web of Science</v>
      </c>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row>
    <row r="913" spans="1:314" s="2" customFormat="1" x14ac:dyDescent="0.4">
      <c r="A913" s="2" t="s">
        <v>72</v>
      </c>
      <c r="B913" s="2" t="s">
        <v>1299</v>
      </c>
      <c r="C913" s="2" t="s">
        <v>74</v>
      </c>
      <c r="D913" s="2" t="s">
        <v>74</v>
      </c>
      <c r="E913" s="2" t="s">
        <v>74</v>
      </c>
      <c r="F913" s="2" t="s">
        <v>1300</v>
      </c>
      <c r="G913" s="2" t="s">
        <v>74</v>
      </c>
      <c r="H913" s="2" t="s">
        <v>74</v>
      </c>
      <c r="I913" s="2" t="s">
        <v>1301</v>
      </c>
      <c r="J913" s="2" t="s">
        <v>1302</v>
      </c>
      <c r="K913" s="2" t="s">
        <v>74</v>
      </c>
      <c r="L913" s="2" t="s">
        <v>74</v>
      </c>
      <c r="M913" s="2" t="s">
        <v>74</v>
      </c>
      <c r="N913" s="2" t="s">
        <v>74</v>
      </c>
      <c r="O913" s="2" t="s">
        <v>74</v>
      </c>
      <c r="P913" s="2" t="s">
        <v>74</v>
      </c>
      <c r="Q913" s="2" t="s">
        <v>74</v>
      </c>
      <c r="R913" s="2" t="s">
        <v>74</v>
      </c>
      <c r="S913" s="2" t="s">
        <v>74</v>
      </c>
      <c r="T913" s="2" t="s">
        <v>74</v>
      </c>
      <c r="U913" s="2" t="s">
        <v>74</v>
      </c>
      <c r="V913" s="5" t="s">
        <v>1303</v>
      </c>
      <c r="W913" s="2" t="s">
        <v>74</v>
      </c>
      <c r="X913" s="2" t="s">
        <v>74</v>
      </c>
      <c r="Y913" s="2" t="s">
        <v>74</v>
      </c>
      <c r="Z913" s="2" t="s">
        <v>74</v>
      </c>
      <c r="AA913" s="2" t="s">
        <v>1304</v>
      </c>
      <c r="AB913" s="2" t="s">
        <v>1305</v>
      </c>
      <c r="AC913" s="2" t="s">
        <v>74</v>
      </c>
      <c r="AD913" s="2" t="s">
        <v>74</v>
      </c>
      <c r="AE913" s="2" t="s">
        <v>74</v>
      </c>
      <c r="AF913" s="2" t="s">
        <v>74</v>
      </c>
      <c r="AG913" s="2" t="s">
        <v>74</v>
      </c>
      <c r="AH913" s="2" t="s">
        <v>74</v>
      </c>
      <c r="AI913" s="2" t="s">
        <v>74</v>
      </c>
      <c r="AJ913" s="2" t="s">
        <v>74</v>
      </c>
      <c r="AK913" s="2" t="s">
        <v>74</v>
      </c>
      <c r="AL913" s="2" t="s">
        <v>74</v>
      </c>
      <c r="AM913" s="2" t="s">
        <v>74</v>
      </c>
      <c r="AN913" s="2" t="s">
        <v>74</v>
      </c>
      <c r="AO913" s="2" t="s">
        <v>1306</v>
      </c>
      <c r="AP913" s="2" t="s">
        <v>74</v>
      </c>
      <c r="AQ913" s="2" t="s">
        <v>74</v>
      </c>
      <c r="AR913" s="2" t="s">
        <v>74</v>
      </c>
      <c r="AS913" s="2" t="s">
        <v>74</v>
      </c>
      <c r="AT913" s="2" t="s">
        <v>1307</v>
      </c>
      <c r="AU913" s="2">
        <v>2009</v>
      </c>
      <c r="AV913" s="2">
        <v>7</v>
      </c>
      <c r="AW913" s="2">
        <v>4</v>
      </c>
      <c r="AX913" s="2" t="s">
        <v>74</v>
      </c>
      <c r="AY913" s="2" t="s">
        <v>74</v>
      </c>
      <c r="AZ913" s="2" t="s">
        <v>74</v>
      </c>
      <c r="BA913" s="2" t="s">
        <v>74</v>
      </c>
      <c r="BB913" s="2">
        <v>641</v>
      </c>
      <c r="BC913" s="2">
        <v>646</v>
      </c>
      <c r="BD913" s="2" t="s">
        <v>74</v>
      </c>
      <c r="BE913" s="2" t="s">
        <v>1308</v>
      </c>
      <c r="BF913" s="2" t="str">
        <f>HYPERLINK("http://dx.doi.org/10.1590/S1679-62252009000400013","http://dx.doi.org/10.1590/S1679-62252009000400013")</f>
        <v>http://dx.doi.org/10.1590/S1679-62252009000400013</v>
      </c>
      <c r="BG913" s="2" t="s">
        <v>74</v>
      </c>
      <c r="BH913" s="2" t="s">
        <v>74</v>
      </c>
      <c r="BI913" s="2" t="s">
        <v>74</v>
      </c>
      <c r="BJ913" s="2" t="s">
        <v>74</v>
      </c>
      <c r="BK913" s="2" t="s">
        <v>74</v>
      </c>
      <c r="BL913" s="2" t="s">
        <v>74</v>
      </c>
      <c r="BM913" s="2" t="s">
        <v>74</v>
      </c>
      <c r="BN913" s="2" t="s">
        <v>74</v>
      </c>
      <c r="BO913" s="2" t="s">
        <v>74</v>
      </c>
      <c r="BP913" s="2" t="s">
        <v>74</v>
      </c>
      <c r="BQ913" s="2" t="s">
        <v>74</v>
      </c>
      <c r="BR913" s="2" t="s">
        <v>74</v>
      </c>
      <c r="BS913" s="2" t="s">
        <v>1309</v>
      </c>
      <c r="BT913" s="2" t="str">
        <f>HYPERLINK("https%3A%2F%2Fwww.webofscience.com%2Fwos%2Fwoscc%2Ffull-record%2FWOS:000273613900013","View Full Record in Web of Science")</f>
        <v>View Full Record in Web of Science</v>
      </c>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row>
    <row r="914" spans="1:314" s="2" customFormat="1" x14ac:dyDescent="0.4">
      <c r="A914" s="2" t="s">
        <v>72</v>
      </c>
      <c r="B914" s="2" t="s">
        <v>7910</v>
      </c>
      <c r="C914" s="2" t="s">
        <v>74</v>
      </c>
      <c r="D914" s="2" t="s">
        <v>74</v>
      </c>
      <c r="E914" s="2" t="s">
        <v>74</v>
      </c>
      <c r="F914" s="2" t="s">
        <v>7911</v>
      </c>
      <c r="G914" s="2" t="s">
        <v>74</v>
      </c>
      <c r="H914" s="2" t="s">
        <v>74</v>
      </c>
      <c r="I914" s="2" t="s">
        <v>7912</v>
      </c>
      <c r="J914" s="2" t="s">
        <v>1656</v>
      </c>
      <c r="K914" s="2" t="s">
        <v>74</v>
      </c>
      <c r="L914" s="2" t="s">
        <v>74</v>
      </c>
      <c r="M914" s="2" t="s">
        <v>74</v>
      </c>
      <c r="N914" s="2" t="s">
        <v>74</v>
      </c>
      <c r="O914" s="2" t="s">
        <v>74</v>
      </c>
      <c r="P914" s="2" t="s">
        <v>74</v>
      </c>
      <c r="Q914" s="2" t="s">
        <v>74</v>
      </c>
      <c r="R914" s="2" t="s">
        <v>74</v>
      </c>
      <c r="S914" s="2" t="s">
        <v>74</v>
      </c>
      <c r="T914" s="2" t="s">
        <v>74</v>
      </c>
      <c r="U914" s="2" t="s">
        <v>74</v>
      </c>
      <c r="V914" s="5" t="s">
        <v>7913</v>
      </c>
      <c r="W914" s="2" t="s">
        <v>74</v>
      </c>
      <c r="X914" s="2" t="s">
        <v>74</v>
      </c>
      <c r="Y914" s="2" t="s">
        <v>74</v>
      </c>
      <c r="Z914" s="2" t="s">
        <v>74</v>
      </c>
      <c r="AA914" s="2" t="s">
        <v>7914</v>
      </c>
      <c r="AB914" s="2" t="s">
        <v>7915</v>
      </c>
      <c r="AC914" s="2" t="s">
        <v>74</v>
      </c>
      <c r="AD914" s="2" t="s">
        <v>74</v>
      </c>
      <c r="AE914" s="2" t="s">
        <v>74</v>
      </c>
      <c r="AF914" s="2" t="s">
        <v>74</v>
      </c>
      <c r="AG914" s="2" t="s">
        <v>74</v>
      </c>
      <c r="AH914" s="2" t="s">
        <v>74</v>
      </c>
      <c r="AI914" s="2" t="s">
        <v>74</v>
      </c>
      <c r="AJ914" s="2" t="s">
        <v>74</v>
      </c>
      <c r="AK914" s="2" t="s">
        <v>74</v>
      </c>
      <c r="AL914" s="2" t="s">
        <v>74</v>
      </c>
      <c r="AM914" s="2" t="s">
        <v>74</v>
      </c>
      <c r="AN914" s="2" t="s">
        <v>74</v>
      </c>
      <c r="AO914" s="2" t="s">
        <v>1658</v>
      </c>
      <c r="AP914" s="2" t="s">
        <v>1659</v>
      </c>
      <c r="AQ914" s="2" t="s">
        <v>74</v>
      </c>
      <c r="AR914" s="2" t="s">
        <v>74</v>
      </c>
      <c r="AS914" s="2" t="s">
        <v>74</v>
      </c>
      <c r="AT914" s="2" t="s">
        <v>7916</v>
      </c>
      <c r="AU914" s="2">
        <v>2023</v>
      </c>
      <c r="AV914" s="2">
        <v>5311</v>
      </c>
      <c r="AW914" s="2">
        <v>2</v>
      </c>
      <c r="AX914" s="2" t="s">
        <v>74</v>
      </c>
      <c r="AY914" s="2" t="s">
        <v>74</v>
      </c>
      <c r="AZ914" s="2" t="s">
        <v>74</v>
      </c>
      <c r="BA914" s="2" t="s">
        <v>74</v>
      </c>
      <c r="BB914" s="2">
        <v>232</v>
      </c>
      <c r="BC914" s="2">
        <v>250</v>
      </c>
      <c r="BD914" s="2" t="s">
        <v>74</v>
      </c>
      <c r="BE914" s="2" t="s">
        <v>7917</v>
      </c>
      <c r="BF914" s="2" t="str">
        <f>HYPERLINK("http://dx.doi.org/10.11646/zootaxa.5311.2.4","http://dx.doi.org/10.11646/zootaxa.5311.2.4")</f>
        <v>http://dx.doi.org/10.11646/zootaxa.5311.2.4</v>
      </c>
      <c r="BG914" s="2" t="s">
        <v>74</v>
      </c>
      <c r="BH914" s="2" t="s">
        <v>74</v>
      </c>
      <c r="BI914" s="2" t="s">
        <v>74</v>
      </c>
      <c r="BJ914" s="2" t="s">
        <v>74</v>
      </c>
      <c r="BK914" s="2" t="s">
        <v>74</v>
      </c>
      <c r="BL914" s="2" t="s">
        <v>74</v>
      </c>
      <c r="BM914" s="2" t="s">
        <v>74</v>
      </c>
      <c r="BN914" s="2">
        <v>37518646</v>
      </c>
      <c r="BO914" s="2" t="s">
        <v>74</v>
      </c>
      <c r="BP914" s="2" t="s">
        <v>74</v>
      </c>
      <c r="BQ914" s="2" t="s">
        <v>74</v>
      </c>
      <c r="BR914" s="2" t="s">
        <v>74</v>
      </c>
      <c r="BS914" s="2" t="s">
        <v>7918</v>
      </c>
      <c r="BT914" s="2" t="str">
        <f>HYPERLINK("https%3A%2F%2Fwww.webofscience.com%2Fwos%2Fwoscc%2Ffull-record%2FWOS:001030714500003","View Full Record in Web of Science")</f>
        <v>View Full Record in Web of Science</v>
      </c>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row>
    <row r="915" spans="1:314" s="2" customFormat="1" x14ac:dyDescent="0.4">
      <c r="A915" s="2" t="s">
        <v>72</v>
      </c>
      <c r="B915" s="2" t="s">
        <v>4033</v>
      </c>
      <c r="C915" s="2" t="s">
        <v>74</v>
      </c>
      <c r="D915" s="2" t="s">
        <v>74</v>
      </c>
      <c r="E915" s="2" t="s">
        <v>74</v>
      </c>
      <c r="F915" s="2" t="s">
        <v>4034</v>
      </c>
      <c r="G915" s="2" t="s">
        <v>74</v>
      </c>
      <c r="H915" s="2" t="s">
        <v>74</v>
      </c>
      <c r="I915" s="2" t="s">
        <v>4035</v>
      </c>
      <c r="J915" s="2" t="s">
        <v>1949</v>
      </c>
      <c r="K915" s="2" t="s">
        <v>74</v>
      </c>
      <c r="L915" s="2" t="s">
        <v>74</v>
      </c>
      <c r="M915" s="2" t="s">
        <v>74</v>
      </c>
      <c r="N915" s="2" t="s">
        <v>74</v>
      </c>
      <c r="O915" s="2" t="s">
        <v>74</v>
      </c>
      <c r="P915" s="2" t="s">
        <v>74</v>
      </c>
      <c r="Q915" s="2" t="s">
        <v>74</v>
      </c>
      <c r="R915" s="2" t="s">
        <v>74</v>
      </c>
      <c r="S915" s="2" t="s">
        <v>74</v>
      </c>
      <c r="T915" s="2" t="s">
        <v>74</v>
      </c>
      <c r="U915" s="2" t="s">
        <v>74</v>
      </c>
      <c r="V915" s="5" t="s">
        <v>4036</v>
      </c>
      <c r="W915" s="2" t="s">
        <v>74</v>
      </c>
      <c r="X915" s="2" t="s">
        <v>74</v>
      </c>
      <c r="Y915" s="2" t="s">
        <v>74</v>
      </c>
      <c r="Z915" s="2" t="s">
        <v>74</v>
      </c>
      <c r="AA915" s="2" t="s">
        <v>4037</v>
      </c>
      <c r="AB915" s="2" t="s">
        <v>4038</v>
      </c>
      <c r="AC915" s="2" t="s">
        <v>74</v>
      </c>
      <c r="AD915" s="2" t="s">
        <v>74</v>
      </c>
      <c r="AE915" s="2" t="s">
        <v>74</v>
      </c>
      <c r="AF915" s="2" t="s">
        <v>74</v>
      </c>
      <c r="AG915" s="2" t="s">
        <v>74</v>
      </c>
      <c r="AH915" s="2" t="s">
        <v>74</v>
      </c>
      <c r="AI915" s="2" t="s">
        <v>74</v>
      </c>
      <c r="AJ915" s="2" t="s">
        <v>74</v>
      </c>
      <c r="AK915" s="2" t="s">
        <v>74</v>
      </c>
      <c r="AL915" s="2" t="s">
        <v>74</v>
      </c>
      <c r="AM915" s="2" t="s">
        <v>74</v>
      </c>
      <c r="AN915" s="2" t="s">
        <v>74</v>
      </c>
      <c r="AO915" s="2" t="s">
        <v>74</v>
      </c>
      <c r="AP915" s="2" t="s">
        <v>1953</v>
      </c>
      <c r="AQ915" s="2" t="s">
        <v>74</v>
      </c>
      <c r="AR915" s="2" t="s">
        <v>74</v>
      </c>
      <c r="AS915" s="2" t="s">
        <v>74</v>
      </c>
      <c r="AT915" s="2" t="s">
        <v>213</v>
      </c>
      <c r="AU915" s="2">
        <v>2020</v>
      </c>
      <c r="AV915" s="2">
        <v>11</v>
      </c>
      <c r="AW915" s="2">
        <v>11</v>
      </c>
      <c r="AX915" s="2" t="s">
        <v>74</v>
      </c>
      <c r="AY915" s="2" t="s">
        <v>74</v>
      </c>
      <c r="AZ915" s="2" t="s">
        <v>74</v>
      </c>
      <c r="BA915" s="2" t="s">
        <v>74</v>
      </c>
      <c r="BB915" s="2" t="s">
        <v>74</v>
      </c>
      <c r="BC915" s="2" t="s">
        <v>74</v>
      </c>
      <c r="BD915" s="2">
        <v>727</v>
      </c>
      <c r="BE915" s="2" t="s">
        <v>4039</v>
      </c>
      <c r="BF915" s="2" t="str">
        <f>HYPERLINK("http://dx.doi.org/10.3390/insects11110727","http://dx.doi.org/10.3390/insects11110727")</f>
        <v>http://dx.doi.org/10.3390/insects11110727</v>
      </c>
      <c r="BG915" s="2" t="s">
        <v>74</v>
      </c>
      <c r="BH915" s="2" t="s">
        <v>74</v>
      </c>
      <c r="BI915" s="2" t="s">
        <v>74</v>
      </c>
      <c r="BJ915" s="2" t="s">
        <v>74</v>
      </c>
      <c r="BK915" s="2" t="s">
        <v>74</v>
      </c>
      <c r="BL915" s="2" t="s">
        <v>74</v>
      </c>
      <c r="BM915" s="2" t="s">
        <v>74</v>
      </c>
      <c r="BN915" s="2">
        <v>33114300</v>
      </c>
      <c r="BO915" s="2" t="s">
        <v>74</v>
      </c>
      <c r="BP915" s="2" t="s">
        <v>74</v>
      </c>
      <c r="BQ915" s="2" t="s">
        <v>74</v>
      </c>
      <c r="BR915" s="2" t="s">
        <v>74</v>
      </c>
      <c r="BS915" s="2" t="s">
        <v>4040</v>
      </c>
      <c r="BT915" s="2" t="str">
        <f>HYPERLINK("https%3A%2F%2Fwww.webofscience.com%2Fwos%2Fwoscc%2Ffull-record%2FWOS:000593343100001","View Full Record in Web of Science")</f>
        <v>View Full Record in Web of Science</v>
      </c>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row>
    <row r="916" spans="1:314" s="2" customFormat="1" x14ac:dyDescent="0.4">
      <c r="A916" s="2" t="s">
        <v>72</v>
      </c>
      <c r="B916" s="2" t="s">
        <v>2061</v>
      </c>
      <c r="C916" s="2" t="s">
        <v>74</v>
      </c>
      <c r="D916" s="2" t="s">
        <v>74</v>
      </c>
      <c r="E916" s="2" t="s">
        <v>74</v>
      </c>
      <c r="F916" s="2" t="s">
        <v>2062</v>
      </c>
      <c r="G916" s="2" t="s">
        <v>74</v>
      </c>
      <c r="H916" s="2" t="s">
        <v>74</v>
      </c>
      <c r="I916" s="2" t="s">
        <v>2063</v>
      </c>
      <c r="J916" s="2" t="s">
        <v>129</v>
      </c>
      <c r="K916" s="2" t="s">
        <v>74</v>
      </c>
      <c r="L916" s="2" t="s">
        <v>74</v>
      </c>
      <c r="M916" s="2" t="s">
        <v>74</v>
      </c>
      <c r="N916" s="2" t="s">
        <v>74</v>
      </c>
      <c r="O916" s="2" t="s">
        <v>74</v>
      </c>
      <c r="P916" s="2" t="s">
        <v>74</v>
      </c>
      <c r="Q916" s="2" t="s">
        <v>74</v>
      </c>
      <c r="R916" s="2" t="s">
        <v>74</v>
      </c>
      <c r="S916" s="2" t="s">
        <v>74</v>
      </c>
      <c r="T916" s="2" t="s">
        <v>74</v>
      </c>
      <c r="U916" s="2" t="s">
        <v>74</v>
      </c>
      <c r="V916" s="5" t="s">
        <v>2064</v>
      </c>
      <c r="W916" s="2" t="s">
        <v>74</v>
      </c>
      <c r="X916" s="2" t="s">
        <v>74</v>
      </c>
      <c r="Y916" s="2" t="s">
        <v>74</v>
      </c>
      <c r="Z916" s="2" t="s">
        <v>74</v>
      </c>
      <c r="AA916" s="2" t="s">
        <v>74</v>
      </c>
      <c r="AB916" s="2" t="s">
        <v>74</v>
      </c>
      <c r="AC916" s="2" t="s">
        <v>74</v>
      </c>
      <c r="AD916" s="2" t="s">
        <v>74</v>
      </c>
      <c r="AE916" s="2" t="s">
        <v>74</v>
      </c>
      <c r="AF916" s="2" t="s">
        <v>74</v>
      </c>
      <c r="AG916" s="2" t="s">
        <v>74</v>
      </c>
      <c r="AH916" s="2" t="s">
        <v>74</v>
      </c>
      <c r="AI916" s="2" t="s">
        <v>74</v>
      </c>
      <c r="AJ916" s="2" t="s">
        <v>74</v>
      </c>
      <c r="AK916" s="2" t="s">
        <v>74</v>
      </c>
      <c r="AL916" s="2" t="s">
        <v>74</v>
      </c>
      <c r="AM916" s="2" t="s">
        <v>74</v>
      </c>
      <c r="AN916" s="2" t="s">
        <v>74</v>
      </c>
      <c r="AO916" s="2" t="s">
        <v>132</v>
      </c>
      <c r="AP916" s="2" t="s">
        <v>133</v>
      </c>
      <c r="AQ916" s="2" t="s">
        <v>74</v>
      </c>
      <c r="AR916" s="2" t="s">
        <v>74</v>
      </c>
      <c r="AS916" s="2" t="s">
        <v>74</v>
      </c>
      <c r="AT916" s="2" t="s">
        <v>204</v>
      </c>
      <c r="AU916" s="2">
        <v>2024</v>
      </c>
      <c r="AV916" s="2">
        <v>78</v>
      </c>
      <c r="AW916" s="2">
        <v>7</v>
      </c>
      <c r="AX916" s="2" t="s">
        <v>74</v>
      </c>
      <c r="AY916" s="2" t="s">
        <v>74</v>
      </c>
      <c r="AZ916" s="2" t="s">
        <v>74</v>
      </c>
      <c r="BA916" s="2" t="s">
        <v>74</v>
      </c>
      <c r="BB916" s="2" t="s">
        <v>74</v>
      </c>
      <c r="BC916" s="2" t="s">
        <v>74</v>
      </c>
      <c r="BD916" s="2">
        <v>78</v>
      </c>
      <c r="BE916" s="2" t="s">
        <v>2065</v>
      </c>
      <c r="BF916" s="2" t="str">
        <f>HYPERLINK("http://dx.doi.org/10.1007/s00265-024-03493-0","http://dx.doi.org/10.1007/s00265-024-03493-0")</f>
        <v>http://dx.doi.org/10.1007/s00265-024-03493-0</v>
      </c>
      <c r="BG916" s="2" t="s">
        <v>74</v>
      </c>
      <c r="BH916" s="2" t="s">
        <v>74</v>
      </c>
      <c r="BI916" s="2" t="s">
        <v>74</v>
      </c>
      <c r="BJ916" s="2" t="s">
        <v>74</v>
      </c>
      <c r="BK916" s="2" t="s">
        <v>74</v>
      </c>
      <c r="BL916" s="2" t="s">
        <v>74</v>
      </c>
      <c r="BM916" s="2" t="s">
        <v>74</v>
      </c>
      <c r="BN916" s="2" t="s">
        <v>74</v>
      </c>
      <c r="BO916" s="2" t="s">
        <v>74</v>
      </c>
      <c r="BP916" s="2" t="s">
        <v>74</v>
      </c>
      <c r="BQ916" s="2" t="s">
        <v>74</v>
      </c>
      <c r="BR916" s="2" t="s">
        <v>74</v>
      </c>
      <c r="BS916" s="2" t="s">
        <v>2066</v>
      </c>
      <c r="BT916" s="2" t="str">
        <f>HYPERLINK("https%3A%2F%2Fwww.webofscience.com%2Fwos%2Fwoscc%2Ffull-record%2FWOS:001262286100002","View Full Record in Web of Science")</f>
        <v>View Full Record in Web of Science</v>
      </c>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row>
    <row r="917" spans="1:314" s="2" customFormat="1" x14ac:dyDescent="0.4">
      <c r="A917" s="2" t="s">
        <v>72</v>
      </c>
      <c r="B917" s="2" t="s">
        <v>2214</v>
      </c>
      <c r="C917" s="2" t="s">
        <v>74</v>
      </c>
      <c r="D917" s="2" t="s">
        <v>74</v>
      </c>
      <c r="E917" s="2" t="s">
        <v>74</v>
      </c>
      <c r="F917" s="2" t="s">
        <v>2215</v>
      </c>
      <c r="G917" s="2" t="s">
        <v>74</v>
      </c>
      <c r="H917" s="2" t="s">
        <v>74</v>
      </c>
      <c r="I917" s="2" t="s">
        <v>2216</v>
      </c>
      <c r="J917" s="2" t="s">
        <v>192</v>
      </c>
      <c r="K917" s="2" t="s">
        <v>74</v>
      </c>
      <c r="L917" s="2" t="s">
        <v>74</v>
      </c>
      <c r="M917" s="2" t="s">
        <v>74</v>
      </c>
      <c r="N917" s="2" t="s">
        <v>74</v>
      </c>
      <c r="O917" s="2" t="s">
        <v>74</v>
      </c>
      <c r="P917" s="2" t="s">
        <v>74</v>
      </c>
      <c r="Q917" s="2" t="s">
        <v>74</v>
      </c>
      <c r="R917" s="2" t="s">
        <v>74</v>
      </c>
      <c r="S917" s="2" t="s">
        <v>74</v>
      </c>
      <c r="T917" s="2" t="s">
        <v>74</v>
      </c>
      <c r="U917" s="2" t="s">
        <v>74</v>
      </c>
      <c r="V917" s="5" t="s">
        <v>2217</v>
      </c>
      <c r="W917" s="2" t="s">
        <v>74</v>
      </c>
      <c r="X917" s="2" t="s">
        <v>74</v>
      </c>
      <c r="Y917" s="2" t="s">
        <v>74</v>
      </c>
      <c r="Z917" s="2" t="s">
        <v>74</v>
      </c>
      <c r="AA917" s="2" t="s">
        <v>2218</v>
      </c>
      <c r="AB917" s="2" t="s">
        <v>2219</v>
      </c>
      <c r="AC917" s="2" t="s">
        <v>74</v>
      </c>
      <c r="AD917" s="2" t="s">
        <v>74</v>
      </c>
      <c r="AE917" s="2" t="s">
        <v>74</v>
      </c>
      <c r="AF917" s="2" t="s">
        <v>74</v>
      </c>
      <c r="AG917" s="2" t="s">
        <v>74</v>
      </c>
      <c r="AH917" s="2" t="s">
        <v>74</v>
      </c>
      <c r="AI917" s="2" t="s">
        <v>74</v>
      </c>
      <c r="AJ917" s="2" t="s">
        <v>74</v>
      </c>
      <c r="AK917" s="2" t="s">
        <v>74</v>
      </c>
      <c r="AL917" s="2" t="s">
        <v>74</v>
      </c>
      <c r="AM917" s="2" t="s">
        <v>74</v>
      </c>
      <c r="AN917" s="2" t="s">
        <v>74</v>
      </c>
      <c r="AO917" s="2" t="s">
        <v>195</v>
      </c>
      <c r="AP917" s="2" t="s">
        <v>196</v>
      </c>
      <c r="AQ917" s="2" t="s">
        <v>74</v>
      </c>
      <c r="AR917" s="2" t="s">
        <v>74</v>
      </c>
      <c r="AS917" s="2" t="s">
        <v>74</v>
      </c>
      <c r="AT917" s="2" t="s">
        <v>134</v>
      </c>
      <c r="AU917" s="2">
        <v>2019</v>
      </c>
      <c r="AV917" s="2">
        <v>833</v>
      </c>
      <c r="AW917" s="2">
        <v>1</v>
      </c>
      <c r="AX917" s="2" t="s">
        <v>74</v>
      </c>
      <c r="AY917" s="2" t="s">
        <v>74</v>
      </c>
      <c r="AZ917" s="2" t="s">
        <v>74</v>
      </c>
      <c r="BA917" s="2" t="s">
        <v>74</v>
      </c>
      <c r="BB917" s="2">
        <v>185</v>
      </c>
      <c r="BC917" s="2">
        <v>196</v>
      </c>
      <c r="BD917" s="2" t="s">
        <v>74</v>
      </c>
      <c r="BE917" s="2" t="s">
        <v>2220</v>
      </c>
      <c r="BF917" s="2" t="str">
        <f>HYPERLINK("http://dx.doi.org/10.1007/s10750-019-3899-6","http://dx.doi.org/10.1007/s10750-019-3899-6")</f>
        <v>http://dx.doi.org/10.1007/s10750-019-3899-6</v>
      </c>
      <c r="BG917" s="2" t="s">
        <v>74</v>
      </c>
      <c r="BH917" s="2" t="s">
        <v>74</v>
      </c>
      <c r="BI917" s="2" t="s">
        <v>74</v>
      </c>
      <c r="BJ917" s="2" t="s">
        <v>74</v>
      </c>
      <c r="BK917" s="2" t="s">
        <v>74</v>
      </c>
      <c r="BL917" s="2" t="s">
        <v>74</v>
      </c>
      <c r="BM917" s="2" t="s">
        <v>74</v>
      </c>
      <c r="BN917" s="2" t="s">
        <v>74</v>
      </c>
      <c r="BO917" s="2" t="s">
        <v>74</v>
      </c>
      <c r="BP917" s="2" t="s">
        <v>74</v>
      </c>
      <c r="BQ917" s="2" t="s">
        <v>74</v>
      </c>
      <c r="BR917" s="2" t="s">
        <v>74</v>
      </c>
      <c r="BS917" s="2" t="s">
        <v>2221</v>
      </c>
      <c r="BT917" s="2" t="str">
        <f>HYPERLINK("https%3A%2F%2Fwww.webofscience.com%2Fwos%2Fwoscc%2Ffull-record%2FWOS:000460694400013","View Full Record in Web of Science")</f>
        <v>View Full Record in Web of Science</v>
      </c>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row>
    <row r="918" spans="1:314" s="2" customFormat="1" x14ac:dyDescent="0.4">
      <c r="A918" s="2" t="s">
        <v>72</v>
      </c>
      <c r="B918" s="2" t="s">
        <v>6497</v>
      </c>
      <c r="C918" s="2" t="s">
        <v>74</v>
      </c>
      <c r="D918" s="2" t="s">
        <v>74</v>
      </c>
      <c r="E918" s="2" t="s">
        <v>74</v>
      </c>
      <c r="F918" s="2" t="s">
        <v>6498</v>
      </c>
      <c r="G918" s="2" t="s">
        <v>74</v>
      </c>
      <c r="H918" s="2" t="s">
        <v>74</v>
      </c>
      <c r="I918" s="2" t="s">
        <v>6499</v>
      </c>
      <c r="J918" s="2" t="s">
        <v>5577</v>
      </c>
      <c r="K918" s="2" t="s">
        <v>74</v>
      </c>
      <c r="L918" s="2" t="s">
        <v>74</v>
      </c>
      <c r="M918" s="2" t="s">
        <v>74</v>
      </c>
      <c r="N918" s="2" t="s">
        <v>74</v>
      </c>
      <c r="O918" s="2" t="s">
        <v>74</v>
      </c>
      <c r="P918" s="2" t="s">
        <v>74</v>
      </c>
      <c r="Q918" s="2" t="s">
        <v>74</v>
      </c>
      <c r="R918" s="2" t="s">
        <v>74</v>
      </c>
      <c r="S918" s="2" t="s">
        <v>74</v>
      </c>
      <c r="T918" s="2" t="s">
        <v>74</v>
      </c>
      <c r="U918" s="2" t="s">
        <v>74</v>
      </c>
      <c r="V918" s="5" t="s">
        <v>6500</v>
      </c>
      <c r="W918" s="2" t="s">
        <v>74</v>
      </c>
      <c r="X918" s="2" t="s">
        <v>74</v>
      </c>
      <c r="Y918" s="2" t="s">
        <v>74</v>
      </c>
      <c r="Z918" s="2" t="s">
        <v>74</v>
      </c>
      <c r="AA918" s="2" t="s">
        <v>74</v>
      </c>
      <c r="AB918" s="2" t="s">
        <v>74</v>
      </c>
      <c r="AC918" s="2" t="s">
        <v>74</v>
      </c>
      <c r="AD918" s="2" t="s">
        <v>74</v>
      </c>
      <c r="AE918" s="2" t="s">
        <v>74</v>
      </c>
      <c r="AF918" s="2" t="s">
        <v>74</v>
      </c>
      <c r="AG918" s="2" t="s">
        <v>74</v>
      </c>
      <c r="AH918" s="2" t="s">
        <v>74</v>
      </c>
      <c r="AI918" s="2" t="s">
        <v>74</v>
      </c>
      <c r="AJ918" s="2" t="s">
        <v>74</v>
      </c>
      <c r="AK918" s="2" t="s">
        <v>74</v>
      </c>
      <c r="AL918" s="2" t="s">
        <v>74</v>
      </c>
      <c r="AM918" s="2" t="s">
        <v>74</v>
      </c>
      <c r="AN918" s="2" t="s">
        <v>74</v>
      </c>
      <c r="AO918" s="2" t="s">
        <v>5579</v>
      </c>
      <c r="AP918" s="2" t="s">
        <v>74</v>
      </c>
      <c r="AQ918" s="2" t="s">
        <v>74</v>
      </c>
      <c r="AR918" s="2" t="s">
        <v>74</v>
      </c>
      <c r="AS918" s="2" t="s">
        <v>74</v>
      </c>
      <c r="AT918" s="2" t="s">
        <v>102</v>
      </c>
      <c r="AU918" s="2">
        <v>2023</v>
      </c>
      <c r="AV918" s="2">
        <v>102</v>
      </c>
      <c r="AW918" s="2">
        <v>6</v>
      </c>
      <c r="AX918" s="2" t="s">
        <v>74</v>
      </c>
      <c r="AY918" s="2" t="s">
        <v>74</v>
      </c>
      <c r="AZ918" s="2" t="s">
        <v>74</v>
      </c>
      <c r="BA918" s="2" t="s">
        <v>74</v>
      </c>
      <c r="BB918" s="2">
        <v>657</v>
      </c>
      <c r="BC918" s="2">
        <v>674</v>
      </c>
      <c r="BD918" s="2" t="s">
        <v>74</v>
      </c>
      <c r="BE918" s="2" t="s">
        <v>6501</v>
      </c>
      <c r="BF918" s="2" t="str">
        <f>HYPERLINK("http://dx.doi.org/10.31857/S0044513423060120","http://dx.doi.org/10.31857/S0044513423060120")</f>
        <v>http://dx.doi.org/10.31857/S0044513423060120</v>
      </c>
      <c r="BG918" s="2" t="s">
        <v>74</v>
      </c>
      <c r="BH918" s="2" t="s">
        <v>74</v>
      </c>
      <c r="BI918" s="2" t="s">
        <v>74</v>
      </c>
      <c r="BJ918" s="2" t="s">
        <v>74</v>
      </c>
      <c r="BK918" s="2" t="s">
        <v>74</v>
      </c>
      <c r="BL918" s="2" t="s">
        <v>74</v>
      </c>
      <c r="BM918" s="2" t="s">
        <v>74</v>
      </c>
      <c r="BN918" s="2" t="s">
        <v>74</v>
      </c>
      <c r="BO918" s="2" t="s">
        <v>74</v>
      </c>
      <c r="BP918" s="2" t="s">
        <v>74</v>
      </c>
      <c r="BQ918" s="2" t="s">
        <v>74</v>
      </c>
      <c r="BR918" s="2" t="s">
        <v>74</v>
      </c>
      <c r="BS918" s="2" t="s">
        <v>6502</v>
      </c>
      <c r="BT918" s="2" t="str">
        <f>HYPERLINK("https%3A%2F%2Fwww.webofscience.com%2Fwos%2Fwoscc%2Ffull-record%2FWOS:001044376400004","View Full Record in Web of Science")</f>
        <v>View Full Record in Web of Science</v>
      </c>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row>
    <row r="919" spans="1:314" s="2" customFormat="1" x14ac:dyDescent="0.4">
      <c r="A919" s="2" t="s">
        <v>72</v>
      </c>
      <c r="B919" s="2" t="s">
        <v>5295</v>
      </c>
      <c r="C919" s="2" t="s">
        <v>74</v>
      </c>
      <c r="D919" s="2" t="s">
        <v>74</v>
      </c>
      <c r="E919" s="2" t="s">
        <v>74</v>
      </c>
      <c r="F919" s="2" t="s">
        <v>5295</v>
      </c>
      <c r="G919" s="2" t="s">
        <v>74</v>
      </c>
      <c r="H919" s="2" t="s">
        <v>74</v>
      </c>
      <c r="I919" s="2" t="s">
        <v>5296</v>
      </c>
      <c r="J919" s="2" t="s">
        <v>77</v>
      </c>
      <c r="K919" s="2" t="s">
        <v>74</v>
      </c>
      <c r="L919" s="2" t="s">
        <v>74</v>
      </c>
      <c r="M919" s="2" t="s">
        <v>74</v>
      </c>
      <c r="N919" s="2" t="s">
        <v>74</v>
      </c>
      <c r="O919" s="2" t="s">
        <v>74</v>
      </c>
      <c r="P919" s="2" t="s">
        <v>74</v>
      </c>
      <c r="Q919" s="2" t="s">
        <v>74</v>
      </c>
      <c r="R919" s="2" t="s">
        <v>74</v>
      </c>
      <c r="S919" s="2" t="s">
        <v>74</v>
      </c>
      <c r="T919" s="2" t="s">
        <v>74</v>
      </c>
      <c r="U919" s="2" t="s">
        <v>74</v>
      </c>
      <c r="V919" s="5" t="s">
        <v>5297</v>
      </c>
      <c r="W919" s="2" t="s">
        <v>74</v>
      </c>
      <c r="X919" s="2" t="s">
        <v>74</v>
      </c>
      <c r="Y919" s="2" t="s">
        <v>74</v>
      </c>
      <c r="Z919" s="2" t="s">
        <v>74</v>
      </c>
      <c r="AA919" s="2" t="s">
        <v>5298</v>
      </c>
      <c r="AB919" s="2" t="s">
        <v>5299</v>
      </c>
      <c r="AC919" s="2" t="s">
        <v>74</v>
      </c>
      <c r="AD919" s="2" t="s">
        <v>74</v>
      </c>
      <c r="AE919" s="2" t="s">
        <v>74</v>
      </c>
      <c r="AF919" s="2" t="s">
        <v>74</v>
      </c>
      <c r="AG919" s="2" t="s">
        <v>74</v>
      </c>
      <c r="AH919" s="2" t="s">
        <v>74</v>
      </c>
      <c r="AI919" s="2" t="s">
        <v>74</v>
      </c>
      <c r="AJ919" s="2" t="s">
        <v>74</v>
      </c>
      <c r="AK919" s="2" t="s">
        <v>74</v>
      </c>
      <c r="AL919" s="2" t="s">
        <v>74</v>
      </c>
      <c r="AM919" s="2" t="s">
        <v>74</v>
      </c>
      <c r="AN919" s="2" t="s">
        <v>74</v>
      </c>
      <c r="AO919" s="2" t="s">
        <v>81</v>
      </c>
      <c r="AP919" s="2" t="s">
        <v>74</v>
      </c>
      <c r="AQ919" s="2" t="s">
        <v>74</v>
      </c>
      <c r="AR919" s="2" t="s">
        <v>74</v>
      </c>
      <c r="AS919" s="2" t="s">
        <v>74</v>
      </c>
      <c r="AT919" s="2" t="s">
        <v>145</v>
      </c>
      <c r="AU919" s="2">
        <v>1997</v>
      </c>
      <c r="AV919" s="2">
        <v>134</v>
      </c>
      <c r="AW919" s="2" t="s">
        <v>74</v>
      </c>
      <c r="AX919" s="2" t="s">
        <v>5300</v>
      </c>
      <c r="AY919" s="2" t="s">
        <v>74</v>
      </c>
      <c r="AZ919" s="2" t="s">
        <v>74</v>
      </c>
      <c r="BA919" s="2" t="s">
        <v>74</v>
      </c>
      <c r="BB919" s="2">
        <v>727</v>
      </c>
      <c r="BC919" s="2">
        <v>747</v>
      </c>
      <c r="BD919" s="2" t="s">
        <v>74</v>
      </c>
      <c r="BE919" s="2" t="s">
        <v>5301</v>
      </c>
      <c r="BF919" s="2" t="str">
        <f>HYPERLINK("http://dx.doi.org/10.1163/156853997X00043","http://dx.doi.org/10.1163/156853997X00043")</f>
        <v>http://dx.doi.org/10.1163/156853997X00043</v>
      </c>
      <c r="BG919" s="2" t="s">
        <v>74</v>
      </c>
      <c r="BH919" s="2" t="s">
        <v>74</v>
      </c>
      <c r="BI919" s="2" t="s">
        <v>74</v>
      </c>
      <c r="BJ919" s="2" t="s">
        <v>74</v>
      </c>
      <c r="BK919" s="2" t="s">
        <v>74</v>
      </c>
      <c r="BL919" s="2" t="s">
        <v>74</v>
      </c>
      <c r="BM919" s="2" t="s">
        <v>74</v>
      </c>
      <c r="BN919" s="2" t="s">
        <v>74</v>
      </c>
      <c r="BO919" s="2" t="s">
        <v>74</v>
      </c>
      <c r="BP919" s="2" t="s">
        <v>74</v>
      </c>
      <c r="BQ919" s="2" t="s">
        <v>74</v>
      </c>
      <c r="BR919" s="2" t="s">
        <v>74</v>
      </c>
      <c r="BS919" s="2" t="s">
        <v>5302</v>
      </c>
      <c r="BT919" s="2" t="str">
        <f>HYPERLINK("https%3A%2F%2Fwww.webofscience.com%2Fwos%2Fwoscc%2Ffull-record%2FWOS:A1997XY18500004","View Full Record in Web of Science")</f>
        <v>View Full Record in Web of Science</v>
      </c>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row>
    <row r="920" spans="1:314" s="2" customFormat="1" x14ac:dyDescent="0.4">
      <c r="A920" s="2" t="s">
        <v>72</v>
      </c>
      <c r="B920" s="2" t="s">
        <v>444</v>
      </c>
      <c r="C920" s="2" t="s">
        <v>74</v>
      </c>
      <c r="D920" s="2" t="s">
        <v>74</v>
      </c>
      <c r="E920" s="2" t="s">
        <v>74</v>
      </c>
      <c r="F920" s="2" t="s">
        <v>445</v>
      </c>
      <c r="G920" s="2" t="s">
        <v>74</v>
      </c>
      <c r="H920" s="2" t="s">
        <v>74</v>
      </c>
      <c r="I920" s="2" t="s">
        <v>446</v>
      </c>
      <c r="J920" s="2" t="s">
        <v>108</v>
      </c>
      <c r="K920" s="2" t="s">
        <v>74</v>
      </c>
      <c r="L920" s="2" t="s">
        <v>74</v>
      </c>
      <c r="M920" s="2" t="s">
        <v>74</v>
      </c>
      <c r="N920" s="2" t="s">
        <v>74</v>
      </c>
      <c r="O920" s="2" t="s">
        <v>74</v>
      </c>
      <c r="P920" s="2" t="s">
        <v>74</v>
      </c>
      <c r="Q920" s="2" t="s">
        <v>74</v>
      </c>
      <c r="R920" s="2" t="s">
        <v>74</v>
      </c>
      <c r="S920" s="2" t="s">
        <v>74</v>
      </c>
      <c r="T920" s="2" t="s">
        <v>74</v>
      </c>
      <c r="U920" s="2" t="s">
        <v>74</v>
      </c>
      <c r="V920" s="5" t="s">
        <v>447</v>
      </c>
      <c r="W920" s="2" t="s">
        <v>74</v>
      </c>
      <c r="X920" s="2" t="s">
        <v>74</v>
      </c>
      <c r="Y920" s="2" t="s">
        <v>74</v>
      </c>
      <c r="Z920" s="2" t="s">
        <v>74</v>
      </c>
      <c r="AA920" s="2" t="s">
        <v>448</v>
      </c>
      <c r="AB920" s="2" t="s">
        <v>449</v>
      </c>
      <c r="AC920" s="2" t="s">
        <v>74</v>
      </c>
      <c r="AD920" s="2" t="s">
        <v>74</v>
      </c>
      <c r="AE920" s="2" t="s">
        <v>74</v>
      </c>
      <c r="AF920" s="2" t="s">
        <v>74</v>
      </c>
      <c r="AG920" s="2" t="s">
        <v>74</v>
      </c>
      <c r="AH920" s="2" t="s">
        <v>74</v>
      </c>
      <c r="AI920" s="2" t="s">
        <v>74</v>
      </c>
      <c r="AJ920" s="2" t="s">
        <v>74</v>
      </c>
      <c r="AK920" s="2" t="s">
        <v>74</v>
      </c>
      <c r="AL920" s="2" t="s">
        <v>74</v>
      </c>
      <c r="AM920" s="2" t="s">
        <v>74</v>
      </c>
      <c r="AN920" s="2" t="s">
        <v>74</v>
      </c>
      <c r="AO920" s="2" t="s">
        <v>111</v>
      </c>
      <c r="AP920" s="2" t="s">
        <v>112</v>
      </c>
      <c r="AQ920" s="2" t="s">
        <v>74</v>
      </c>
      <c r="AR920" s="2" t="s">
        <v>74</v>
      </c>
      <c r="AS920" s="2" t="s">
        <v>74</v>
      </c>
      <c r="AT920" s="2" t="s">
        <v>450</v>
      </c>
      <c r="AU920" s="2">
        <v>2021</v>
      </c>
      <c r="AV920" s="2">
        <v>288</v>
      </c>
      <c r="AW920" s="2">
        <v>1947</v>
      </c>
      <c r="AX920" s="2" t="s">
        <v>74</v>
      </c>
      <c r="AY920" s="2" t="s">
        <v>74</v>
      </c>
      <c r="AZ920" s="2" t="s">
        <v>74</v>
      </c>
      <c r="BA920" s="2" t="s">
        <v>74</v>
      </c>
      <c r="BB920" s="2" t="s">
        <v>74</v>
      </c>
      <c r="BC920" s="2" t="s">
        <v>74</v>
      </c>
      <c r="BD920" s="2">
        <v>20210256</v>
      </c>
      <c r="BE920" s="2" t="s">
        <v>451</v>
      </c>
      <c r="BF920" s="2" t="str">
        <f>HYPERLINK("http://dx.doi.org/10.1098/rspb.2021.0256","http://dx.doi.org/10.1098/rspb.2021.0256")</f>
        <v>http://dx.doi.org/10.1098/rspb.2021.0256</v>
      </c>
      <c r="BG920" s="2" t="s">
        <v>74</v>
      </c>
      <c r="BH920" s="2" t="s">
        <v>74</v>
      </c>
      <c r="BI920" s="2" t="s">
        <v>74</v>
      </c>
      <c r="BJ920" s="2" t="s">
        <v>74</v>
      </c>
      <c r="BK920" s="2" t="s">
        <v>74</v>
      </c>
      <c r="BL920" s="2" t="s">
        <v>74</v>
      </c>
      <c r="BM920" s="2" t="s">
        <v>74</v>
      </c>
      <c r="BN920" s="2">
        <v>33784866</v>
      </c>
      <c r="BO920" s="2" t="s">
        <v>74</v>
      </c>
      <c r="BP920" s="2" t="s">
        <v>74</v>
      </c>
      <c r="BQ920" s="2" t="s">
        <v>74</v>
      </c>
      <c r="BR920" s="2" t="s">
        <v>74</v>
      </c>
      <c r="BS920" s="2" t="s">
        <v>452</v>
      </c>
      <c r="BT920" s="2" t="str">
        <f>HYPERLINK("https%3A%2F%2Fwww.webofscience.com%2Fwos%2Fwoscc%2Ffull-record%2FWOS:000636370000005","View Full Record in Web of Science")</f>
        <v>View Full Record in Web of Science</v>
      </c>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row>
    <row r="921" spans="1:314" s="2" customFormat="1" x14ac:dyDescent="0.4">
      <c r="A921" s="2" t="s">
        <v>72</v>
      </c>
      <c r="B921" s="2" t="s">
        <v>7999</v>
      </c>
      <c r="C921" s="2" t="s">
        <v>74</v>
      </c>
      <c r="D921" s="2" t="s">
        <v>74</v>
      </c>
      <c r="E921" s="2" t="s">
        <v>74</v>
      </c>
      <c r="F921" s="2" t="s">
        <v>8000</v>
      </c>
      <c r="G921" s="2" t="s">
        <v>74</v>
      </c>
      <c r="H921" s="2" t="s">
        <v>74</v>
      </c>
      <c r="I921" s="2" t="s">
        <v>8001</v>
      </c>
      <c r="J921" s="2" t="s">
        <v>1949</v>
      </c>
      <c r="K921" s="2" t="s">
        <v>74</v>
      </c>
      <c r="L921" s="2" t="s">
        <v>74</v>
      </c>
      <c r="M921" s="2" t="s">
        <v>74</v>
      </c>
      <c r="N921" s="2" t="s">
        <v>74</v>
      </c>
      <c r="O921" s="2" t="s">
        <v>74</v>
      </c>
      <c r="P921" s="2" t="s">
        <v>74</v>
      </c>
      <c r="Q921" s="2" t="s">
        <v>74</v>
      </c>
      <c r="R921" s="2" t="s">
        <v>74</v>
      </c>
      <c r="S921" s="2" t="s">
        <v>74</v>
      </c>
      <c r="T921" s="2" t="s">
        <v>74</v>
      </c>
      <c r="U921" s="2" t="s">
        <v>74</v>
      </c>
      <c r="V921" s="5" t="s">
        <v>8002</v>
      </c>
      <c r="W921" s="2" t="s">
        <v>74</v>
      </c>
      <c r="X921" s="2" t="s">
        <v>74</v>
      </c>
      <c r="Y921" s="2" t="s">
        <v>74</v>
      </c>
      <c r="Z921" s="2" t="s">
        <v>74</v>
      </c>
      <c r="AA921" s="2" t="s">
        <v>8003</v>
      </c>
      <c r="AB921" s="2" t="s">
        <v>8004</v>
      </c>
      <c r="AC921" s="2" t="s">
        <v>74</v>
      </c>
      <c r="AD921" s="2" t="s">
        <v>74</v>
      </c>
      <c r="AE921" s="2" t="s">
        <v>74</v>
      </c>
      <c r="AF921" s="2" t="s">
        <v>74</v>
      </c>
      <c r="AG921" s="2" t="s">
        <v>74</v>
      </c>
      <c r="AH921" s="2" t="s">
        <v>74</v>
      </c>
      <c r="AI921" s="2" t="s">
        <v>74</v>
      </c>
      <c r="AJ921" s="2" t="s">
        <v>74</v>
      </c>
      <c r="AK921" s="2" t="s">
        <v>74</v>
      </c>
      <c r="AL921" s="2" t="s">
        <v>74</v>
      </c>
      <c r="AM921" s="2" t="s">
        <v>74</v>
      </c>
      <c r="AN921" s="2" t="s">
        <v>74</v>
      </c>
      <c r="AO921" s="2" t="s">
        <v>74</v>
      </c>
      <c r="AP921" s="2" t="s">
        <v>1953</v>
      </c>
      <c r="AQ921" s="2" t="s">
        <v>74</v>
      </c>
      <c r="AR921" s="2" t="s">
        <v>74</v>
      </c>
      <c r="AS921" s="2" t="s">
        <v>74</v>
      </c>
      <c r="AT921" s="2" t="s">
        <v>213</v>
      </c>
      <c r="AU921" s="2">
        <v>2020</v>
      </c>
      <c r="AV921" s="2">
        <v>11</v>
      </c>
      <c r="AW921" s="2">
        <v>11</v>
      </c>
      <c r="AX921" s="2" t="s">
        <v>74</v>
      </c>
      <c r="AY921" s="2" t="s">
        <v>74</v>
      </c>
      <c r="AZ921" s="2" t="s">
        <v>74</v>
      </c>
      <c r="BA921" s="2" t="s">
        <v>74</v>
      </c>
      <c r="BB921" s="2" t="s">
        <v>74</v>
      </c>
      <c r="BC921" s="2" t="s">
        <v>74</v>
      </c>
      <c r="BD921" s="2">
        <v>800</v>
      </c>
      <c r="BE921" s="2" t="s">
        <v>8005</v>
      </c>
      <c r="BF921" s="2" t="str">
        <f>HYPERLINK("http://dx.doi.org/10.3390/insects11110800","http://dx.doi.org/10.3390/insects11110800")</f>
        <v>http://dx.doi.org/10.3390/insects11110800</v>
      </c>
      <c r="BG921" s="2" t="s">
        <v>74</v>
      </c>
      <c r="BH921" s="2" t="s">
        <v>74</v>
      </c>
      <c r="BI921" s="2" t="s">
        <v>74</v>
      </c>
      <c r="BJ921" s="2" t="s">
        <v>74</v>
      </c>
      <c r="BK921" s="2" t="s">
        <v>74</v>
      </c>
      <c r="BL921" s="2" t="s">
        <v>74</v>
      </c>
      <c r="BM921" s="2" t="s">
        <v>74</v>
      </c>
      <c r="BN921" s="2">
        <v>33202846</v>
      </c>
      <c r="BO921" s="2" t="s">
        <v>74</v>
      </c>
      <c r="BP921" s="2" t="s">
        <v>74</v>
      </c>
      <c r="BQ921" s="2" t="s">
        <v>74</v>
      </c>
      <c r="BR921" s="2" t="s">
        <v>74</v>
      </c>
      <c r="BS921" s="2" t="s">
        <v>8006</v>
      </c>
      <c r="BT921" s="2" t="str">
        <f>HYPERLINK("https%3A%2F%2Fwww.webofscience.com%2Fwos%2Fwoscc%2Ffull-record%2FWOS:000593180700001","View Full Record in Web of Science")</f>
        <v>View Full Record in Web of Science</v>
      </c>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row>
    <row r="922" spans="1:314" s="2" customFormat="1" x14ac:dyDescent="0.4">
      <c r="A922" s="2" t="s">
        <v>72</v>
      </c>
      <c r="B922" s="2" t="s">
        <v>942</v>
      </c>
      <c r="C922" s="2" t="s">
        <v>74</v>
      </c>
      <c r="D922" s="2" t="s">
        <v>74</v>
      </c>
      <c r="E922" s="2" t="s">
        <v>74</v>
      </c>
      <c r="F922" s="2" t="s">
        <v>943</v>
      </c>
      <c r="G922" s="2" t="s">
        <v>74</v>
      </c>
      <c r="H922" s="2" t="s">
        <v>74</v>
      </c>
      <c r="I922" s="2" t="s">
        <v>944</v>
      </c>
      <c r="J922" s="2" t="s">
        <v>140</v>
      </c>
      <c r="K922" s="2" t="s">
        <v>74</v>
      </c>
      <c r="L922" s="2" t="s">
        <v>74</v>
      </c>
      <c r="M922" s="2" t="s">
        <v>74</v>
      </c>
      <c r="N922" s="2" t="s">
        <v>74</v>
      </c>
      <c r="O922" s="2" t="s">
        <v>74</v>
      </c>
      <c r="P922" s="2" t="s">
        <v>74</v>
      </c>
      <c r="Q922" s="2" t="s">
        <v>74</v>
      </c>
      <c r="R922" s="2" t="s">
        <v>74</v>
      </c>
      <c r="S922" s="2" t="s">
        <v>74</v>
      </c>
      <c r="T922" s="2" t="s">
        <v>74</v>
      </c>
      <c r="U922" s="2" t="s">
        <v>74</v>
      </c>
      <c r="V922" s="5" t="s">
        <v>945</v>
      </c>
      <c r="W922" s="2" t="s">
        <v>74</v>
      </c>
      <c r="X922" s="2" t="s">
        <v>74</v>
      </c>
      <c r="Y922" s="2" t="s">
        <v>74</v>
      </c>
      <c r="Z922" s="2" t="s">
        <v>74</v>
      </c>
      <c r="AA922" s="2" t="s">
        <v>946</v>
      </c>
      <c r="AB922" s="2" t="s">
        <v>947</v>
      </c>
      <c r="AC922" s="2" t="s">
        <v>74</v>
      </c>
      <c r="AD922" s="2" t="s">
        <v>74</v>
      </c>
      <c r="AE922" s="2" t="s">
        <v>74</v>
      </c>
      <c r="AF922" s="2" t="s">
        <v>74</v>
      </c>
      <c r="AG922" s="2" t="s">
        <v>74</v>
      </c>
      <c r="AH922" s="2" t="s">
        <v>74</v>
      </c>
      <c r="AI922" s="2" t="s">
        <v>74</v>
      </c>
      <c r="AJ922" s="2" t="s">
        <v>74</v>
      </c>
      <c r="AK922" s="2" t="s">
        <v>74</v>
      </c>
      <c r="AL922" s="2" t="s">
        <v>74</v>
      </c>
      <c r="AM922" s="2" t="s">
        <v>74</v>
      </c>
      <c r="AN922" s="2" t="s">
        <v>74</v>
      </c>
      <c r="AO922" s="2" t="s">
        <v>143</v>
      </c>
      <c r="AP922" s="2" t="s">
        <v>144</v>
      </c>
      <c r="AQ922" s="2" t="s">
        <v>74</v>
      </c>
      <c r="AR922" s="2" t="s">
        <v>74</v>
      </c>
      <c r="AS922" s="2" t="s">
        <v>74</v>
      </c>
      <c r="AT922" s="2" t="s">
        <v>305</v>
      </c>
      <c r="AU922" s="2">
        <v>2020</v>
      </c>
      <c r="AV922" s="2">
        <v>170</v>
      </c>
      <c r="AW922" s="2" t="s">
        <v>74</v>
      </c>
      <c r="AX922" s="2" t="s">
        <v>74</v>
      </c>
      <c r="AY922" s="2" t="s">
        <v>74</v>
      </c>
      <c r="AZ922" s="2" t="s">
        <v>74</v>
      </c>
      <c r="BA922" s="2" t="s">
        <v>74</v>
      </c>
      <c r="BB922" s="2">
        <v>219</v>
      </c>
      <c r="BC922" s="2">
        <v>228</v>
      </c>
      <c r="BD922" s="2" t="s">
        <v>74</v>
      </c>
      <c r="BE922" s="2" t="s">
        <v>948</v>
      </c>
      <c r="BF922" s="2" t="str">
        <f>HYPERLINK("http://dx.doi.org/10.1016/j.anbehav.2020.10.008","http://dx.doi.org/10.1016/j.anbehav.2020.10.008")</f>
        <v>http://dx.doi.org/10.1016/j.anbehav.2020.10.008</v>
      </c>
      <c r="BG922" s="2" t="s">
        <v>74</v>
      </c>
      <c r="BH922" s="2" t="s">
        <v>74</v>
      </c>
      <c r="BI922" s="2" t="s">
        <v>74</v>
      </c>
      <c r="BJ922" s="2" t="s">
        <v>74</v>
      </c>
      <c r="BK922" s="2" t="s">
        <v>74</v>
      </c>
      <c r="BL922" s="2" t="s">
        <v>74</v>
      </c>
      <c r="BM922" s="2" t="s">
        <v>74</v>
      </c>
      <c r="BN922" s="2" t="s">
        <v>74</v>
      </c>
      <c r="BO922" s="2" t="s">
        <v>74</v>
      </c>
      <c r="BP922" s="2" t="s">
        <v>74</v>
      </c>
      <c r="BQ922" s="2" t="s">
        <v>74</v>
      </c>
      <c r="BR922" s="2" t="s">
        <v>74</v>
      </c>
      <c r="BS922" s="2" t="s">
        <v>949</v>
      </c>
      <c r="BT922" s="2" t="str">
        <f>HYPERLINK("https%3A%2F%2Fwww.webofscience.com%2Fwos%2Fwoscc%2Ffull-record%2FWOS:000598905300020","View Full Record in Web of Science")</f>
        <v>View Full Record in Web of Science</v>
      </c>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row>
    <row r="923" spans="1:314" s="2" customFormat="1" x14ac:dyDescent="0.4">
      <c r="A923" s="2" t="s">
        <v>72</v>
      </c>
      <c r="B923" s="2" t="s">
        <v>6503</v>
      </c>
      <c r="C923" s="2" t="s">
        <v>74</v>
      </c>
      <c r="D923" s="2" t="s">
        <v>74</v>
      </c>
      <c r="E923" s="2" t="s">
        <v>74</v>
      </c>
      <c r="F923" s="2" t="s">
        <v>6503</v>
      </c>
      <c r="G923" s="2" t="s">
        <v>74</v>
      </c>
      <c r="H923" s="2" t="s">
        <v>74</v>
      </c>
      <c r="I923" s="2" t="s">
        <v>6504</v>
      </c>
      <c r="J923" s="2" t="s">
        <v>1198</v>
      </c>
      <c r="K923" s="2" t="s">
        <v>74</v>
      </c>
      <c r="L923" s="2" t="s">
        <v>74</v>
      </c>
      <c r="M923" s="2" t="s">
        <v>74</v>
      </c>
      <c r="N923" s="2" t="s">
        <v>74</v>
      </c>
      <c r="O923" s="2" t="s">
        <v>74</v>
      </c>
      <c r="P923" s="2" t="s">
        <v>74</v>
      </c>
      <c r="Q923" s="2" t="s">
        <v>74</v>
      </c>
      <c r="R923" s="2" t="s">
        <v>74</v>
      </c>
      <c r="S923" s="2" t="s">
        <v>74</v>
      </c>
      <c r="T923" s="2" t="s">
        <v>74</v>
      </c>
      <c r="U923" s="2" t="s">
        <v>74</v>
      </c>
      <c r="V923" s="5" t="s">
        <v>6505</v>
      </c>
      <c r="W923" s="2" t="s">
        <v>74</v>
      </c>
      <c r="X923" s="2" t="s">
        <v>74</v>
      </c>
      <c r="Y923" s="2" t="s">
        <v>74</v>
      </c>
      <c r="Z923" s="2" t="s">
        <v>74</v>
      </c>
      <c r="AA923" s="2" t="s">
        <v>6506</v>
      </c>
      <c r="AB923" s="2" t="s">
        <v>6507</v>
      </c>
      <c r="AC923" s="2" t="s">
        <v>74</v>
      </c>
      <c r="AD923" s="2" t="s">
        <v>74</v>
      </c>
      <c r="AE923" s="2" t="s">
        <v>74</v>
      </c>
      <c r="AF923" s="2" t="s">
        <v>74</v>
      </c>
      <c r="AG923" s="2" t="s">
        <v>74</v>
      </c>
      <c r="AH923" s="2" t="s">
        <v>74</v>
      </c>
      <c r="AI923" s="2" t="s">
        <v>74</v>
      </c>
      <c r="AJ923" s="2" t="s">
        <v>74</v>
      </c>
      <c r="AK923" s="2" t="s">
        <v>74</v>
      </c>
      <c r="AL923" s="2" t="s">
        <v>74</v>
      </c>
      <c r="AM923" s="2" t="s">
        <v>74</v>
      </c>
      <c r="AN923" s="2" t="s">
        <v>74</v>
      </c>
      <c r="AO923" s="2" t="s">
        <v>1202</v>
      </c>
      <c r="AP923" s="2" t="s">
        <v>1203</v>
      </c>
      <c r="AQ923" s="2" t="s">
        <v>74</v>
      </c>
      <c r="AR923" s="2" t="s">
        <v>74</v>
      </c>
      <c r="AS923" s="2" t="s">
        <v>74</v>
      </c>
      <c r="AT923" s="2" t="s">
        <v>102</v>
      </c>
      <c r="AU923" s="2">
        <v>2005</v>
      </c>
      <c r="AV923" s="2">
        <v>61</v>
      </c>
      <c r="AW923" s="2">
        <v>2</v>
      </c>
      <c r="AX923" s="2" t="s">
        <v>74</v>
      </c>
      <c r="AY923" s="2" t="s">
        <v>74</v>
      </c>
      <c r="AZ923" s="2" t="s">
        <v>74</v>
      </c>
      <c r="BA923" s="2" t="s">
        <v>74</v>
      </c>
      <c r="BB923" s="2">
        <v>178</v>
      </c>
      <c r="BC923" s="2">
        <v>198</v>
      </c>
      <c r="BD923" s="2" t="s">
        <v>74</v>
      </c>
      <c r="BE923" s="2" t="s">
        <v>6508</v>
      </c>
      <c r="BF923" s="2" t="str">
        <f>HYPERLINK("http://dx.doi.org/10.1655/04-38","http://dx.doi.org/10.1655/04-38")</f>
        <v>http://dx.doi.org/10.1655/04-38</v>
      </c>
      <c r="BG923" s="2" t="s">
        <v>74</v>
      </c>
      <c r="BH923" s="2" t="s">
        <v>74</v>
      </c>
      <c r="BI923" s="2" t="s">
        <v>74</v>
      </c>
      <c r="BJ923" s="2" t="s">
        <v>74</v>
      </c>
      <c r="BK923" s="2" t="s">
        <v>74</v>
      </c>
      <c r="BL923" s="2" t="s">
        <v>74</v>
      </c>
      <c r="BM923" s="2" t="s">
        <v>74</v>
      </c>
      <c r="BN923" s="2" t="s">
        <v>74</v>
      </c>
      <c r="BO923" s="2" t="s">
        <v>74</v>
      </c>
      <c r="BP923" s="2" t="s">
        <v>74</v>
      </c>
      <c r="BQ923" s="2" t="s">
        <v>74</v>
      </c>
      <c r="BR923" s="2" t="s">
        <v>74</v>
      </c>
      <c r="BS923" s="2" t="s">
        <v>6509</v>
      </c>
      <c r="BT923" s="2" t="str">
        <f>HYPERLINK("https%3A%2F%2Fwww.webofscience.com%2Fwos%2Fwoscc%2Ffull-record%2FWOS:000229100000010","View Full Record in Web of Science")</f>
        <v>View Full Record in Web of Science</v>
      </c>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row>
    <row r="924" spans="1:314" s="7" customFormat="1" x14ac:dyDescent="0.4">
      <c r="A924" s="2" t="s">
        <v>72</v>
      </c>
      <c r="B924" s="2" t="s">
        <v>2886</v>
      </c>
      <c r="C924" s="2" t="s">
        <v>74</v>
      </c>
      <c r="D924" s="2" t="s">
        <v>74</v>
      </c>
      <c r="E924" s="2" t="s">
        <v>74</v>
      </c>
      <c r="F924" s="2" t="s">
        <v>2887</v>
      </c>
      <c r="G924" s="2" t="s">
        <v>74</v>
      </c>
      <c r="H924" s="2" t="s">
        <v>74</v>
      </c>
      <c r="I924" s="2" t="s">
        <v>2888</v>
      </c>
      <c r="J924" s="2" t="s">
        <v>218</v>
      </c>
      <c r="K924" s="2" t="s">
        <v>74</v>
      </c>
      <c r="L924" s="2" t="s">
        <v>74</v>
      </c>
      <c r="M924" s="2" t="s">
        <v>74</v>
      </c>
      <c r="N924" s="2" t="s">
        <v>74</v>
      </c>
      <c r="O924" s="2" t="s">
        <v>74</v>
      </c>
      <c r="P924" s="2" t="s">
        <v>74</v>
      </c>
      <c r="Q924" s="2" t="s">
        <v>74</v>
      </c>
      <c r="R924" s="2" t="s">
        <v>74</v>
      </c>
      <c r="S924" s="2" t="s">
        <v>74</v>
      </c>
      <c r="T924" s="2" t="s">
        <v>74</v>
      </c>
      <c r="U924" s="2" t="s">
        <v>74</v>
      </c>
      <c r="V924" s="5" t="s">
        <v>2889</v>
      </c>
      <c r="W924" s="2" t="s">
        <v>74</v>
      </c>
      <c r="X924" s="2" t="s">
        <v>74</v>
      </c>
      <c r="Y924" s="2" t="s">
        <v>74</v>
      </c>
      <c r="Z924" s="2" t="s">
        <v>74</v>
      </c>
      <c r="AA924" s="2" t="s">
        <v>74</v>
      </c>
      <c r="AB924" s="2" t="s">
        <v>2890</v>
      </c>
      <c r="AC924" s="2" t="s">
        <v>74</v>
      </c>
      <c r="AD924" s="2" t="s">
        <v>74</v>
      </c>
      <c r="AE924" s="2" t="s">
        <v>74</v>
      </c>
      <c r="AF924" s="2" t="s">
        <v>74</v>
      </c>
      <c r="AG924" s="2" t="s">
        <v>74</v>
      </c>
      <c r="AH924" s="2" t="s">
        <v>74</v>
      </c>
      <c r="AI924" s="2" t="s">
        <v>74</v>
      </c>
      <c r="AJ924" s="2" t="s">
        <v>74</v>
      </c>
      <c r="AK924" s="2" t="s">
        <v>74</v>
      </c>
      <c r="AL924" s="2" t="s">
        <v>74</v>
      </c>
      <c r="AM924" s="2" t="s">
        <v>74</v>
      </c>
      <c r="AN924" s="2" t="s">
        <v>74</v>
      </c>
      <c r="AO924" s="2" t="s">
        <v>221</v>
      </c>
      <c r="AP924" s="2" t="s">
        <v>222</v>
      </c>
      <c r="AQ924" s="2" t="s">
        <v>74</v>
      </c>
      <c r="AR924" s="2" t="s">
        <v>74</v>
      </c>
      <c r="AS924" s="2" t="s">
        <v>74</v>
      </c>
      <c r="AT924" s="2" t="s">
        <v>964</v>
      </c>
      <c r="AU924" s="2">
        <v>2016</v>
      </c>
      <c r="AV924" s="2">
        <v>29</v>
      </c>
      <c r="AW924" s="2">
        <v>2</v>
      </c>
      <c r="AX924" s="2" t="s">
        <v>74</v>
      </c>
      <c r="AY924" s="2" t="s">
        <v>74</v>
      </c>
      <c r="AZ924" s="2" t="s">
        <v>74</v>
      </c>
      <c r="BA924" s="2" t="s">
        <v>74</v>
      </c>
      <c r="BB924" s="2">
        <v>380</v>
      </c>
      <c r="BC924" s="2">
        <v>394</v>
      </c>
      <c r="BD924" s="2" t="s">
        <v>74</v>
      </c>
      <c r="BE924" s="2" t="s">
        <v>2891</v>
      </c>
      <c r="BF924" s="2" t="str">
        <f>HYPERLINK("http://dx.doi.org/10.1111/jeb.12793","http://dx.doi.org/10.1111/jeb.12793")</f>
        <v>http://dx.doi.org/10.1111/jeb.12793</v>
      </c>
      <c r="BG924" s="2" t="s">
        <v>74</v>
      </c>
      <c r="BH924" s="2" t="s">
        <v>74</v>
      </c>
      <c r="BI924" s="2" t="s">
        <v>74</v>
      </c>
      <c r="BJ924" s="2" t="s">
        <v>74</v>
      </c>
      <c r="BK924" s="2" t="s">
        <v>74</v>
      </c>
      <c r="BL924" s="2" t="s">
        <v>74</v>
      </c>
      <c r="BM924" s="2" t="s">
        <v>74</v>
      </c>
      <c r="BN924" s="2">
        <v>26563617</v>
      </c>
      <c r="BO924" s="2" t="s">
        <v>74</v>
      </c>
      <c r="BP924" s="2" t="s">
        <v>74</v>
      </c>
      <c r="BQ924" s="2" t="s">
        <v>74</v>
      </c>
      <c r="BR924" s="2" t="s">
        <v>74</v>
      </c>
      <c r="BS924" s="2" t="s">
        <v>2892</v>
      </c>
      <c r="BT924" s="2" t="str">
        <f>HYPERLINK("https%3A%2F%2Fwww.webofscience.com%2Fwos%2Fwoscc%2Ffull-record%2FWOS:000370070500014","View Full Record in Web of Science")</f>
        <v>View Full Record in Web of Science</v>
      </c>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row>
    <row r="925" spans="1:314" s="2" customFormat="1" x14ac:dyDescent="0.4">
      <c r="A925" s="2" t="s">
        <v>72</v>
      </c>
      <c r="B925" s="2" t="s">
        <v>3764</v>
      </c>
      <c r="C925" s="2" t="s">
        <v>74</v>
      </c>
      <c r="D925" s="2" t="s">
        <v>74</v>
      </c>
      <c r="E925" s="2" t="s">
        <v>74</v>
      </c>
      <c r="F925" s="2" t="s">
        <v>3764</v>
      </c>
      <c r="G925" s="2" t="s">
        <v>74</v>
      </c>
      <c r="H925" s="2" t="s">
        <v>74</v>
      </c>
      <c r="I925" s="2" t="s">
        <v>3765</v>
      </c>
      <c r="J925" s="2" t="s">
        <v>2207</v>
      </c>
      <c r="K925" s="2" t="s">
        <v>74</v>
      </c>
      <c r="L925" s="2" t="s">
        <v>74</v>
      </c>
      <c r="M925" s="2" t="s">
        <v>74</v>
      </c>
      <c r="N925" s="2" t="s">
        <v>74</v>
      </c>
      <c r="O925" s="2" t="s">
        <v>74</v>
      </c>
      <c r="P925" s="2" t="s">
        <v>74</v>
      </c>
      <c r="Q925" s="2" t="s">
        <v>74</v>
      </c>
      <c r="R925" s="2" t="s">
        <v>74</v>
      </c>
      <c r="S925" s="2" t="s">
        <v>74</v>
      </c>
      <c r="T925" s="2" t="s">
        <v>74</v>
      </c>
      <c r="U925" s="2" t="s">
        <v>74</v>
      </c>
      <c r="V925" s="5" t="s">
        <v>3766</v>
      </c>
      <c r="W925" s="2" t="s">
        <v>74</v>
      </c>
      <c r="X925" s="2" t="s">
        <v>74</v>
      </c>
      <c r="Y925" s="2" t="s">
        <v>74</v>
      </c>
      <c r="Z925" s="2" t="s">
        <v>74</v>
      </c>
      <c r="AA925" s="2" t="s">
        <v>3767</v>
      </c>
      <c r="AB925" s="2" t="s">
        <v>3768</v>
      </c>
      <c r="AC925" s="2" t="s">
        <v>74</v>
      </c>
      <c r="AD925" s="2" t="s">
        <v>74</v>
      </c>
      <c r="AE925" s="2" t="s">
        <v>74</v>
      </c>
      <c r="AF925" s="2" t="s">
        <v>74</v>
      </c>
      <c r="AG925" s="2" t="s">
        <v>74</v>
      </c>
      <c r="AH925" s="2" t="s">
        <v>74</v>
      </c>
      <c r="AI925" s="2" t="s">
        <v>74</v>
      </c>
      <c r="AJ925" s="2" t="s">
        <v>74</v>
      </c>
      <c r="AK925" s="2" t="s">
        <v>74</v>
      </c>
      <c r="AL925" s="2" t="s">
        <v>74</v>
      </c>
      <c r="AM925" s="2" t="s">
        <v>74</v>
      </c>
      <c r="AN925" s="2" t="s">
        <v>74</v>
      </c>
      <c r="AO925" s="2" t="s">
        <v>2211</v>
      </c>
      <c r="AP925" s="2" t="s">
        <v>2461</v>
      </c>
      <c r="AQ925" s="2" t="s">
        <v>74</v>
      </c>
      <c r="AR925" s="2" t="s">
        <v>74</v>
      </c>
      <c r="AS925" s="2" t="s">
        <v>74</v>
      </c>
      <c r="AT925" s="2" t="s">
        <v>213</v>
      </c>
      <c r="AU925" s="2">
        <v>2004</v>
      </c>
      <c r="AV925" s="2">
        <v>35</v>
      </c>
      <c r="AW925" s="2">
        <v>6</v>
      </c>
      <c r="AX925" s="2" t="s">
        <v>74</v>
      </c>
      <c r="AY925" s="2" t="s">
        <v>74</v>
      </c>
      <c r="AZ925" s="2" t="s">
        <v>74</v>
      </c>
      <c r="BA925" s="2" t="s">
        <v>74</v>
      </c>
      <c r="BB925" s="2">
        <v>492</v>
      </c>
      <c r="BC925" s="2">
        <v>500</v>
      </c>
      <c r="BD925" s="2" t="s">
        <v>74</v>
      </c>
      <c r="BE925" s="2" t="s">
        <v>3769</v>
      </c>
      <c r="BF925" s="2" t="str">
        <f>HYPERLINK("http://dx.doi.org/10.1111/j.0908-8857.2004.03294.x","http://dx.doi.org/10.1111/j.0908-8857.2004.03294.x")</f>
        <v>http://dx.doi.org/10.1111/j.0908-8857.2004.03294.x</v>
      </c>
      <c r="BG925" s="2" t="s">
        <v>74</v>
      </c>
      <c r="BH925" s="2" t="s">
        <v>74</v>
      </c>
      <c r="BI925" s="2" t="s">
        <v>74</v>
      </c>
      <c r="BJ925" s="2" t="s">
        <v>74</v>
      </c>
      <c r="BK925" s="2" t="s">
        <v>74</v>
      </c>
      <c r="BL925" s="2" t="s">
        <v>74</v>
      </c>
      <c r="BM925" s="2" t="s">
        <v>74</v>
      </c>
      <c r="BN925" s="2" t="s">
        <v>74</v>
      </c>
      <c r="BO925" s="2" t="s">
        <v>74</v>
      </c>
      <c r="BP925" s="2" t="s">
        <v>74</v>
      </c>
      <c r="BQ925" s="2" t="s">
        <v>74</v>
      </c>
      <c r="BR925" s="2" t="s">
        <v>74</v>
      </c>
      <c r="BS925" s="2" t="s">
        <v>3770</v>
      </c>
      <c r="BT925" s="2" t="str">
        <f>HYPERLINK("https%3A%2F%2Fwww.webofscience.com%2Fwos%2Fwoscc%2Ffull-record%2FWOS:000225224600007","View Full Record in Web of Science")</f>
        <v>View Full Record in Web of Science</v>
      </c>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row>
    <row r="926" spans="1:314" s="2" customFormat="1" x14ac:dyDescent="0.4">
      <c r="A926" s="2" t="s">
        <v>72</v>
      </c>
      <c r="B926" s="2" t="s">
        <v>6564</v>
      </c>
      <c r="C926" s="2" t="s">
        <v>74</v>
      </c>
      <c r="D926" s="2" t="s">
        <v>74</v>
      </c>
      <c r="E926" s="2" t="s">
        <v>74</v>
      </c>
      <c r="F926" s="2" t="s">
        <v>6564</v>
      </c>
      <c r="G926" s="2" t="s">
        <v>74</v>
      </c>
      <c r="H926" s="2" t="s">
        <v>74</v>
      </c>
      <c r="I926" s="2" t="s">
        <v>6565</v>
      </c>
      <c r="J926" s="2" t="s">
        <v>344</v>
      </c>
      <c r="K926" s="2" t="s">
        <v>74</v>
      </c>
      <c r="L926" s="2" t="s">
        <v>74</v>
      </c>
      <c r="M926" s="2" t="s">
        <v>74</v>
      </c>
      <c r="N926" s="2" t="s">
        <v>74</v>
      </c>
      <c r="O926" s="2" t="s">
        <v>6566</v>
      </c>
      <c r="P926" s="2">
        <v>1996</v>
      </c>
      <c r="Q926" s="2" t="s">
        <v>6567</v>
      </c>
      <c r="R926" s="2" t="s">
        <v>74</v>
      </c>
      <c r="S926" s="2" t="s">
        <v>74</v>
      </c>
      <c r="T926" s="2" t="s">
        <v>74</v>
      </c>
      <c r="U926" s="2" t="s">
        <v>74</v>
      </c>
      <c r="V926" s="5" t="s">
        <v>6568</v>
      </c>
      <c r="W926" s="2" t="s">
        <v>74</v>
      </c>
      <c r="X926" s="2" t="s">
        <v>74</v>
      </c>
      <c r="Y926" s="2" t="s">
        <v>74</v>
      </c>
      <c r="Z926" s="2" t="s">
        <v>74</v>
      </c>
      <c r="AA926" s="2" t="s">
        <v>74</v>
      </c>
      <c r="AB926" s="2" t="s">
        <v>74</v>
      </c>
      <c r="AC926" s="2" t="s">
        <v>74</v>
      </c>
      <c r="AD926" s="2" t="s">
        <v>74</v>
      </c>
      <c r="AE926" s="2" t="s">
        <v>74</v>
      </c>
      <c r="AF926" s="2" t="s">
        <v>74</v>
      </c>
      <c r="AG926" s="2" t="s">
        <v>74</v>
      </c>
      <c r="AH926" s="2" t="s">
        <v>74</v>
      </c>
      <c r="AI926" s="2" t="s">
        <v>74</v>
      </c>
      <c r="AJ926" s="2" t="s">
        <v>74</v>
      </c>
      <c r="AK926" s="2" t="s">
        <v>74</v>
      </c>
      <c r="AL926" s="2" t="s">
        <v>74</v>
      </c>
      <c r="AM926" s="2" t="s">
        <v>74</v>
      </c>
      <c r="AN926" s="2" t="s">
        <v>74</v>
      </c>
      <c r="AO926" s="2" t="s">
        <v>346</v>
      </c>
      <c r="AP926" s="2" t="s">
        <v>6569</v>
      </c>
      <c r="AQ926" s="2" t="s">
        <v>74</v>
      </c>
      <c r="AR926" s="2" t="s">
        <v>74</v>
      </c>
      <c r="AS926" s="2" t="s">
        <v>74</v>
      </c>
      <c r="AT926" s="2" t="s">
        <v>213</v>
      </c>
      <c r="AU926" s="2">
        <v>1999</v>
      </c>
      <c r="AV926" s="2">
        <v>56</v>
      </c>
      <c r="AW926" s="2">
        <v>3</v>
      </c>
      <c r="AX926" s="2" t="s">
        <v>74</v>
      </c>
      <c r="AY926" s="2" t="s">
        <v>74</v>
      </c>
      <c r="AZ926" s="2" t="s">
        <v>74</v>
      </c>
      <c r="BA926" s="2" t="s">
        <v>74</v>
      </c>
      <c r="BB926" s="2">
        <v>285</v>
      </c>
      <c r="BC926" s="2">
        <v>305</v>
      </c>
      <c r="BD926" s="2" t="s">
        <v>74</v>
      </c>
      <c r="BE926" s="2" t="s">
        <v>6570</v>
      </c>
      <c r="BF926" s="2" t="str">
        <f>HYPERLINK("http://dx.doi.org/10.1023/A:1007517720723","http://dx.doi.org/10.1023/A:1007517720723")</f>
        <v>http://dx.doi.org/10.1023/A:1007517720723</v>
      </c>
      <c r="BG926" s="2" t="s">
        <v>74</v>
      </c>
      <c r="BH926" s="2" t="s">
        <v>74</v>
      </c>
      <c r="BI926" s="2" t="s">
        <v>74</v>
      </c>
      <c r="BJ926" s="2" t="s">
        <v>74</v>
      </c>
      <c r="BK926" s="2" t="s">
        <v>74</v>
      </c>
      <c r="BL926" s="2" t="s">
        <v>74</v>
      </c>
      <c r="BM926" s="2" t="s">
        <v>74</v>
      </c>
      <c r="BN926" s="2" t="s">
        <v>74</v>
      </c>
      <c r="BO926" s="2" t="s">
        <v>74</v>
      </c>
      <c r="BP926" s="2" t="s">
        <v>74</v>
      </c>
      <c r="BQ926" s="2" t="s">
        <v>74</v>
      </c>
      <c r="BR926" s="2" t="s">
        <v>74</v>
      </c>
      <c r="BS926" s="2" t="s">
        <v>6571</v>
      </c>
      <c r="BT926" s="2" t="str">
        <f>HYPERLINK("https%3A%2F%2Fwww.webofscience.com%2Fwos%2Fwoscc%2Ffull-record%2FWOS:000083273300002","View Full Record in Web of Science")</f>
        <v>View Full Record in Web of Science</v>
      </c>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row>
    <row r="927" spans="1:314" s="2" customFormat="1" x14ac:dyDescent="0.4">
      <c r="A927" s="2" t="s">
        <v>72</v>
      </c>
      <c r="B927" s="2" t="s">
        <v>3491</v>
      </c>
      <c r="C927" s="2" t="s">
        <v>74</v>
      </c>
      <c r="D927" s="2" t="s">
        <v>74</v>
      </c>
      <c r="E927" s="2" t="s">
        <v>74</v>
      </c>
      <c r="F927" s="2" t="s">
        <v>3491</v>
      </c>
      <c r="G927" s="2" t="s">
        <v>74</v>
      </c>
      <c r="H927" s="2" t="s">
        <v>74</v>
      </c>
      <c r="I927" s="2" t="s">
        <v>3492</v>
      </c>
      <c r="J927" s="2" t="s">
        <v>140</v>
      </c>
      <c r="K927" s="2" t="s">
        <v>74</v>
      </c>
      <c r="L927" s="2" t="s">
        <v>74</v>
      </c>
      <c r="M927" s="2" t="s">
        <v>74</v>
      </c>
      <c r="N927" s="2" t="s">
        <v>74</v>
      </c>
      <c r="O927" s="2" t="s">
        <v>74</v>
      </c>
      <c r="P927" s="2" t="s">
        <v>74</v>
      </c>
      <c r="Q927" s="2" t="s">
        <v>74</v>
      </c>
      <c r="R927" s="2" t="s">
        <v>74</v>
      </c>
      <c r="S927" s="2" t="s">
        <v>74</v>
      </c>
      <c r="T927" s="2" t="s">
        <v>74</v>
      </c>
      <c r="U927" s="2" t="s">
        <v>74</v>
      </c>
      <c r="V927" s="5" t="s">
        <v>3493</v>
      </c>
      <c r="W927" s="2" t="s">
        <v>74</v>
      </c>
      <c r="X927" s="2" t="s">
        <v>74</v>
      </c>
      <c r="Y927" s="2" t="s">
        <v>74</v>
      </c>
      <c r="Z927" s="2" t="s">
        <v>74</v>
      </c>
      <c r="AA927" s="2" t="s">
        <v>74</v>
      </c>
      <c r="AB927" s="2" t="s">
        <v>74</v>
      </c>
      <c r="AC927" s="2" t="s">
        <v>74</v>
      </c>
      <c r="AD927" s="2" t="s">
        <v>74</v>
      </c>
      <c r="AE927" s="2" t="s">
        <v>74</v>
      </c>
      <c r="AF927" s="2" t="s">
        <v>74</v>
      </c>
      <c r="AG927" s="2" t="s">
        <v>74</v>
      </c>
      <c r="AH927" s="2" t="s">
        <v>74</v>
      </c>
      <c r="AI927" s="2" t="s">
        <v>74</v>
      </c>
      <c r="AJ927" s="2" t="s">
        <v>74</v>
      </c>
      <c r="AK927" s="2" t="s">
        <v>74</v>
      </c>
      <c r="AL927" s="2" t="s">
        <v>74</v>
      </c>
      <c r="AM927" s="2" t="s">
        <v>74</v>
      </c>
      <c r="AN927" s="2" t="s">
        <v>74</v>
      </c>
      <c r="AO927" s="2" t="s">
        <v>143</v>
      </c>
      <c r="AP927" s="2" t="s">
        <v>144</v>
      </c>
      <c r="AQ927" s="2" t="s">
        <v>74</v>
      </c>
      <c r="AR927" s="2" t="s">
        <v>74</v>
      </c>
      <c r="AS927" s="2" t="s">
        <v>74</v>
      </c>
      <c r="AT927" s="2" t="s">
        <v>204</v>
      </c>
      <c r="AU927" s="2">
        <v>1995</v>
      </c>
      <c r="AV927" s="2">
        <v>50</v>
      </c>
      <c r="AW927" s="2" t="s">
        <v>74</v>
      </c>
      <c r="AX927" s="2">
        <v>1</v>
      </c>
      <c r="AY927" s="2" t="s">
        <v>74</v>
      </c>
      <c r="AZ927" s="2" t="s">
        <v>74</v>
      </c>
      <c r="BA927" s="2" t="s">
        <v>74</v>
      </c>
      <c r="BB927" s="2">
        <v>267</v>
      </c>
      <c r="BC927" s="2">
        <v>272</v>
      </c>
      <c r="BD927" s="2" t="s">
        <v>74</v>
      </c>
      <c r="BE927" s="2" t="s">
        <v>3494</v>
      </c>
      <c r="BF927" s="2" t="str">
        <f>HYPERLINK("http://dx.doi.org/10.1006/anbe.1995.0239","http://dx.doi.org/10.1006/anbe.1995.0239")</f>
        <v>http://dx.doi.org/10.1006/anbe.1995.0239</v>
      </c>
      <c r="BG927" s="2" t="s">
        <v>74</v>
      </c>
      <c r="BH927" s="2" t="s">
        <v>74</v>
      </c>
      <c r="BI927" s="2" t="s">
        <v>74</v>
      </c>
      <c r="BJ927" s="2" t="s">
        <v>74</v>
      </c>
      <c r="BK927" s="2" t="s">
        <v>74</v>
      </c>
      <c r="BL927" s="2" t="s">
        <v>74</v>
      </c>
      <c r="BM927" s="2" t="s">
        <v>74</v>
      </c>
      <c r="BN927" s="2" t="s">
        <v>74</v>
      </c>
      <c r="BO927" s="2" t="s">
        <v>74</v>
      </c>
      <c r="BP927" s="2" t="s">
        <v>74</v>
      </c>
      <c r="BQ927" s="2" t="s">
        <v>74</v>
      </c>
      <c r="BR927" s="2" t="s">
        <v>74</v>
      </c>
      <c r="BS927" s="2" t="s">
        <v>3495</v>
      </c>
      <c r="BT927" s="2" t="str">
        <f>HYPERLINK("https%3A%2F%2Fwww.webofscience.com%2Fwos%2Fwoscc%2Ffull-record%2FWOS:A1995RM19000026","View Full Record in Web of Science")</f>
        <v>View Full Record in Web of Science</v>
      </c>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row>
    <row r="928" spans="1:314" s="2" customFormat="1" x14ac:dyDescent="0.4">
      <c r="A928" s="2" t="s">
        <v>72</v>
      </c>
      <c r="B928" s="2" t="s">
        <v>3426</v>
      </c>
      <c r="C928" s="2" t="s">
        <v>74</v>
      </c>
      <c r="D928" s="2" t="s">
        <v>74</v>
      </c>
      <c r="E928" s="2" t="s">
        <v>74</v>
      </c>
      <c r="F928" s="2" t="s">
        <v>3426</v>
      </c>
      <c r="G928" s="2" t="s">
        <v>74</v>
      </c>
      <c r="H928" s="2" t="s">
        <v>74</v>
      </c>
      <c r="I928" s="2" t="s">
        <v>3427</v>
      </c>
      <c r="J928" s="2" t="s">
        <v>140</v>
      </c>
      <c r="K928" s="2" t="s">
        <v>74</v>
      </c>
      <c r="L928" s="2" t="s">
        <v>74</v>
      </c>
      <c r="M928" s="2" t="s">
        <v>74</v>
      </c>
      <c r="N928" s="2" t="s">
        <v>74</v>
      </c>
      <c r="O928" s="2" t="s">
        <v>74</v>
      </c>
      <c r="P928" s="2" t="s">
        <v>74</v>
      </c>
      <c r="Q928" s="2" t="s">
        <v>74</v>
      </c>
      <c r="R928" s="2" t="s">
        <v>74</v>
      </c>
      <c r="S928" s="2" t="s">
        <v>74</v>
      </c>
      <c r="T928" s="2" t="s">
        <v>74</v>
      </c>
      <c r="U928" s="2" t="s">
        <v>74</v>
      </c>
      <c r="V928" s="5" t="s">
        <v>3428</v>
      </c>
      <c r="W928" s="2" t="s">
        <v>74</v>
      </c>
      <c r="X928" s="2" t="s">
        <v>74</v>
      </c>
      <c r="Y928" s="2" t="s">
        <v>74</v>
      </c>
      <c r="Z928" s="2" t="s">
        <v>74</v>
      </c>
      <c r="AA928" s="2" t="s">
        <v>74</v>
      </c>
      <c r="AB928" s="2" t="s">
        <v>74</v>
      </c>
      <c r="AC928" s="2" t="s">
        <v>74</v>
      </c>
      <c r="AD928" s="2" t="s">
        <v>74</v>
      </c>
      <c r="AE928" s="2" t="s">
        <v>74</v>
      </c>
      <c r="AF928" s="2" t="s">
        <v>74</v>
      </c>
      <c r="AG928" s="2" t="s">
        <v>74</v>
      </c>
      <c r="AH928" s="2" t="s">
        <v>74</v>
      </c>
      <c r="AI928" s="2" t="s">
        <v>74</v>
      </c>
      <c r="AJ928" s="2" t="s">
        <v>74</v>
      </c>
      <c r="AK928" s="2" t="s">
        <v>74</v>
      </c>
      <c r="AL928" s="2" t="s">
        <v>74</v>
      </c>
      <c r="AM928" s="2" t="s">
        <v>74</v>
      </c>
      <c r="AN928" s="2" t="s">
        <v>74</v>
      </c>
      <c r="AO928" s="2" t="s">
        <v>143</v>
      </c>
      <c r="AP928" s="2" t="s">
        <v>74</v>
      </c>
      <c r="AQ928" s="2" t="s">
        <v>74</v>
      </c>
      <c r="AR928" s="2" t="s">
        <v>74</v>
      </c>
      <c r="AS928" s="2" t="s">
        <v>74</v>
      </c>
      <c r="AT928" s="2" t="s">
        <v>102</v>
      </c>
      <c r="AU928" s="2">
        <v>1995</v>
      </c>
      <c r="AV928" s="2">
        <v>49</v>
      </c>
      <c r="AW928" s="2">
        <v>6</v>
      </c>
      <c r="AX928" s="2" t="s">
        <v>74</v>
      </c>
      <c r="AY928" s="2" t="s">
        <v>74</v>
      </c>
      <c r="AZ928" s="2" t="s">
        <v>74</v>
      </c>
      <c r="BA928" s="2" t="s">
        <v>74</v>
      </c>
      <c r="BB928" s="2">
        <v>1559</v>
      </c>
      <c r="BC928" s="2">
        <v>1567</v>
      </c>
      <c r="BD928" s="2" t="s">
        <v>74</v>
      </c>
      <c r="BE928" s="2" t="s">
        <v>3429</v>
      </c>
      <c r="BF928" s="2" t="str">
        <f>HYPERLINK("http://dx.doi.org/10.1016/0003-3472(95)90077-2","http://dx.doi.org/10.1016/0003-3472(95)90077-2")</f>
        <v>http://dx.doi.org/10.1016/0003-3472(95)90077-2</v>
      </c>
      <c r="BG928" s="2" t="s">
        <v>74</v>
      </c>
      <c r="BH928" s="2" t="s">
        <v>74</v>
      </c>
      <c r="BI928" s="2" t="s">
        <v>74</v>
      </c>
      <c r="BJ928" s="2" t="s">
        <v>74</v>
      </c>
      <c r="BK928" s="2" t="s">
        <v>74</v>
      </c>
      <c r="BL928" s="2" t="s">
        <v>74</v>
      </c>
      <c r="BM928" s="2" t="s">
        <v>74</v>
      </c>
      <c r="BN928" s="2" t="s">
        <v>74</v>
      </c>
      <c r="BO928" s="2" t="s">
        <v>74</v>
      </c>
      <c r="BP928" s="2" t="s">
        <v>74</v>
      </c>
      <c r="BQ928" s="2" t="s">
        <v>74</v>
      </c>
      <c r="BR928" s="2" t="s">
        <v>74</v>
      </c>
      <c r="BS928" s="2" t="s">
        <v>3430</v>
      </c>
      <c r="BT928" s="2" t="str">
        <f>HYPERLINK("https%3A%2F%2Fwww.webofscience.com%2Fwos%2Fwoscc%2Ffull-record%2FWOS:A1995RE98700015","View Full Record in Web of Science")</f>
        <v>View Full Record in Web of Science</v>
      </c>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row>
    <row r="929" spans="1:314" s="2" customFormat="1" x14ac:dyDescent="0.4">
      <c r="A929" s="2" t="s">
        <v>72</v>
      </c>
      <c r="B929" s="2" t="s">
        <v>7833</v>
      </c>
      <c r="C929" s="2" t="s">
        <v>74</v>
      </c>
      <c r="D929" s="2" t="s">
        <v>74</v>
      </c>
      <c r="E929" s="2" t="s">
        <v>74</v>
      </c>
      <c r="F929" s="2" t="s">
        <v>7834</v>
      </c>
      <c r="G929" s="2" t="s">
        <v>74</v>
      </c>
      <c r="H929" s="2" t="s">
        <v>74</v>
      </c>
      <c r="I929" s="2" t="s">
        <v>7835</v>
      </c>
      <c r="J929" s="2" t="s">
        <v>2207</v>
      </c>
      <c r="K929" s="2" t="s">
        <v>74</v>
      </c>
      <c r="L929" s="2" t="s">
        <v>74</v>
      </c>
      <c r="M929" s="2" t="s">
        <v>74</v>
      </c>
      <c r="N929" s="2" t="s">
        <v>74</v>
      </c>
      <c r="O929" s="2" t="s">
        <v>74</v>
      </c>
      <c r="P929" s="2" t="s">
        <v>74</v>
      </c>
      <c r="Q929" s="2" t="s">
        <v>74</v>
      </c>
      <c r="R929" s="2" t="s">
        <v>74</v>
      </c>
      <c r="S929" s="2" t="s">
        <v>74</v>
      </c>
      <c r="T929" s="2" t="s">
        <v>74</v>
      </c>
      <c r="U929" s="2" t="s">
        <v>74</v>
      </c>
      <c r="V929" s="5" t="s">
        <v>7836</v>
      </c>
      <c r="W929" s="2" t="s">
        <v>74</v>
      </c>
      <c r="X929" s="2" t="s">
        <v>74</v>
      </c>
      <c r="Y929" s="2" t="s">
        <v>74</v>
      </c>
      <c r="Z929" s="2" t="s">
        <v>74</v>
      </c>
      <c r="AA929" s="2" t="s">
        <v>7837</v>
      </c>
      <c r="AB929" s="2" t="s">
        <v>7838</v>
      </c>
      <c r="AC929" s="2" t="s">
        <v>74</v>
      </c>
      <c r="AD929" s="2" t="s">
        <v>74</v>
      </c>
      <c r="AE929" s="2" t="s">
        <v>74</v>
      </c>
      <c r="AF929" s="2" t="s">
        <v>74</v>
      </c>
      <c r="AG929" s="2" t="s">
        <v>74</v>
      </c>
      <c r="AH929" s="2" t="s">
        <v>74</v>
      </c>
      <c r="AI929" s="2" t="s">
        <v>74</v>
      </c>
      <c r="AJ929" s="2" t="s">
        <v>74</v>
      </c>
      <c r="AK929" s="2" t="s">
        <v>74</v>
      </c>
      <c r="AL929" s="2" t="s">
        <v>74</v>
      </c>
      <c r="AM929" s="2" t="s">
        <v>74</v>
      </c>
      <c r="AN929" s="2" t="s">
        <v>74</v>
      </c>
      <c r="AO929" s="2" t="s">
        <v>2211</v>
      </c>
      <c r="AP929" s="2" t="s">
        <v>2461</v>
      </c>
      <c r="AQ929" s="2" t="s">
        <v>74</v>
      </c>
      <c r="AR929" s="2" t="s">
        <v>74</v>
      </c>
      <c r="AS929" s="2" t="s">
        <v>74</v>
      </c>
      <c r="AT929" s="2" t="s">
        <v>213</v>
      </c>
      <c r="AU929" s="2">
        <v>2017</v>
      </c>
      <c r="AV929" s="2">
        <v>48</v>
      </c>
      <c r="AW929" s="2">
        <v>11</v>
      </c>
      <c r="AX929" s="2" t="s">
        <v>74</v>
      </c>
      <c r="AY929" s="2" t="s">
        <v>74</v>
      </c>
      <c r="AZ929" s="2" t="s">
        <v>74</v>
      </c>
      <c r="BA929" s="2" t="s">
        <v>74</v>
      </c>
      <c r="BB929" s="2">
        <v>1425</v>
      </c>
      <c r="BC929" s="2">
        <v>1431</v>
      </c>
      <c r="BD929" s="2" t="s">
        <v>74</v>
      </c>
      <c r="BE929" s="2" t="s">
        <v>7839</v>
      </c>
      <c r="BF929" s="2" t="str">
        <f>HYPERLINK("http://dx.doi.org/10.1111/jav.01402","http://dx.doi.org/10.1111/jav.01402")</f>
        <v>http://dx.doi.org/10.1111/jav.01402</v>
      </c>
      <c r="BG929" s="2" t="s">
        <v>74</v>
      </c>
      <c r="BH929" s="2" t="s">
        <v>74</v>
      </c>
      <c r="BI929" s="2" t="s">
        <v>74</v>
      </c>
      <c r="BJ929" s="2" t="s">
        <v>74</v>
      </c>
      <c r="BK929" s="2" t="s">
        <v>74</v>
      </c>
      <c r="BL929" s="2" t="s">
        <v>74</v>
      </c>
      <c r="BM929" s="2" t="s">
        <v>74</v>
      </c>
      <c r="BN929" s="2" t="s">
        <v>74</v>
      </c>
      <c r="BO929" s="2" t="s">
        <v>74</v>
      </c>
      <c r="BP929" s="2" t="s">
        <v>74</v>
      </c>
      <c r="BQ929" s="2" t="s">
        <v>74</v>
      </c>
      <c r="BR929" s="2" t="s">
        <v>74</v>
      </c>
      <c r="BS929" s="2" t="s">
        <v>7840</v>
      </c>
      <c r="BT929" s="2" t="str">
        <f>HYPERLINK("https%3A%2F%2Fwww.webofscience.com%2Fwos%2Fwoscc%2Ffull-record%2FWOS:000416331100009","View Full Record in Web of Science")</f>
        <v>View Full Record in Web of Science</v>
      </c>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row>
    <row r="930" spans="1:314" s="2" customFormat="1" x14ac:dyDescent="0.4">
      <c r="A930" s="2" t="s">
        <v>72</v>
      </c>
      <c r="B930" s="2" t="s">
        <v>4396</v>
      </c>
      <c r="C930" s="2" t="s">
        <v>74</v>
      </c>
      <c r="D930" s="2" t="s">
        <v>74</v>
      </c>
      <c r="E930" s="2" t="s">
        <v>74</v>
      </c>
      <c r="F930" s="2" t="s">
        <v>4396</v>
      </c>
      <c r="G930" s="2" t="s">
        <v>74</v>
      </c>
      <c r="H930" s="2" t="s">
        <v>74</v>
      </c>
      <c r="I930" s="2" t="s">
        <v>4397</v>
      </c>
      <c r="J930" s="2" t="s">
        <v>77</v>
      </c>
      <c r="K930" s="2" t="s">
        <v>74</v>
      </c>
      <c r="L930" s="2" t="s">
        <v>74</v>
      </c>
      <c r="M930" s="2" t="s">
        <v>74</v>
      </c>
      <c r="N930" s="2" t="s">
        <v>74</v>
      </c>
      <c r="O930" s="2" t="s">
        <v>74</v>
      </c>
      <c r="P930" s="2" t="s">
        <v>74</v>
      </c>
      <c r="Q930" s="2" t="s">
        <v>74</v>
      </c>
      <c r="R930" s="2" t="s">
        <v>74</v>
      </c>
      <c r="S930" s="2" t="s">
        <v>74</v>
      </c>
      <c r="T930" s="2" t="s">
        <v>74</v>
      </c>
      <c r="U930" s="2" t="s">
        <v>74</v>
      </c>
      <c r="V930" s="5" t="s">
        <v>4398</v>
      </c>
      <c r="W930" s="2" t="s">
        <v>74</v>
      </c>
      <c r="X930" s="2" t="s">
        <v>74</v>
      </c>
      <c r="Y930" s="2" t="s">
        <v>74</v>
      </c>
      <c r="Z930" s="2" t="s">
        <v>74</v>
      </c>
      <c r="AA930" s="2" t="s">
        <v>74</v>
      </c>
      <c r="AB930" s="2" t="s">
        <v>74</v>
      </c>
      <c r="AC930" s="2" t="s">
        <v>74</v>
      </c>
      <c r="AD930" s="2" t="s">
        <v>74</v>
      </c>
      <c r="AE930" s="2" t="s">
        <v>74</v>
      </c>
      <c r="AF930" s="2" t="s">
        <v>74</v>
      </c>
      <c r="AG930" s="2" t="s">
        <v>74</v>
      </c>
      <c r="AH930" s="2" t="s">
        <v>74</v>
      </c>
      <c r="AI930" s="2" t="s">
        <v>74</v>
      </c>
      <c r="AJ930" s="2" t="s">
        <v>74</v>
      </c>
      <c r="AK930" s="2" t="s">
        <v>74</v>
      </c>
      <c r="AL930" s="2" t="s">
        <v>74</v>
      </c>
      <c r="AM930" s="2" t="s">
        <v>74</v>
      </c>
      <c r="AN930" s="2" t="s">
        <v>74</v>
      </c>
      <c r="AO930" s="2" t="s">
        <v>81</v>
      </c>
      <c r="AP930" s="2" t="s">
        <v>82</v>
      </c>
      <c r="AQ930" s="2" t="s">
        <v>74</v>
      </c>
      <c r="AR930" s="2" t="s">
        <v>74</v>
      </c>
      <c r="AS930" s="2" t="s">
        <v>74</v>
      </c>
      <c r="AT930" s="2" t="s">
        <v>4399</v>
      </c>
      <c r="AU930" s="2">
        <v>2003</v>
      </c>
      <c r="AV930" s="2">
        <v>140</v>
      </c>
      <c r="AW930" s="2" t="s">
        <v>74</v>
      </c>
      <c r="AX930" s="2" t="s">
        <v>4400</v>
      </c>
      <c r="AY930" s="2" t="s">
        <v>74</v>
      </c>
      <c r="AZ930" s="2" t="s">
        <v>74</v>
      </c>
      <c r="BA930" s="2" t="s">
        <v>74</v>
      </c>
      <c r="BB930" s="2">
        <v>1003</v>
      </c>
      <c r="BC930" s="2">
        <v>1019</v>
      </c>
      <c r="BD930" s="2" t="s">
        <v>74</v>
      </c>
      <c r="BE930" s="2" t="s">
        <v>4401</v>
      </c>
      <c r="BF930" s="2" t="str">
        <f>HYPERLINK("http://dx.doi.org/10.1163/156853903322589614","http://dx.doi.org/10.1163/156853903322589614")</f>
        <v>http://dx.doi.org/10.1163/156853903322589614</v>
      </c>
      <c r="BG930" s="2" t="s">
        <v>74</v>
      </c>
      <c r="BH930" s="2" t="s">
        <v>74</v>
      </c>
      <c r="BI930" s="2" t="s">
        <v>74</v>
      </c>
      <c r="BJ930" s="2" t="s">
        <v>74</v>
      </c>
      <c r="BK930" s="2" t="s">
        <v>74</v>
      </c>
      <c r="BL930" s="2" t="s">
        <v>74</v>
      </c>
      <c r="BM930" s="2" t="s">
        <v>74</v>
      </c>
      <c r="BN930" s="2" t="s">
        <v>74</v>
      </c>
      <c r="BO930" s="2" t="s">
        <v>74</v>
      </c>
      <c r="BP930" s="2" t="s">
        <v>74</v>
      </c>
      <c r="BQ930" s="2" t="s">
        <v>74</v>
      </c>
      <c r="BR930" s="2" t="s">
        <v>74</v>
      </c>
      <c r="BS930" s="2" t="s">
        <v>4402</v>
      </c>
      <c r="BT930" s="2" t="str">
        <f>HYPERLINK("https%3A%2F%2Fwww.webofscience.com%2Fwos%2Fwoscc%2Ffull-record%2FWOS:000187638300003","View Full Record in Web of Science")</f>
        <v>View Full Record in Web of Science</v>
      </c>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row>
    <row r="931" spans="1:314" s="2" customFormat="1" x14ac:dyDescent="0.4">
      <c r="A931" s="2" t="s">
        <v>72</v>
      </c>
      <c r="B931" s="2" t="s">
        <v>1818</v>
      </c>
      <c r="C931" s="2" t="s">
        <v>74</v>
      </c>
      <c r="D931" s="2" t="s">
        <v>74</v>
      </c>
      <c r="E931" s="2" t="s">
        <v>74</v>
      </c>
      <c r="F931" s="2" t="s">
        <v>1819</v>
      </c>
      <c r="G931" s="2" t="s">
        <v>74</v>
      </c>
      <c r="H931" s="2" t="s">
        <v>74</v>
      </c>
      <c r="I931" s="2" t="s">
        <v>1820</v>
      </c>
      <c r="J931" s="2" t="s">
        <v>576</v>
      </c>
      <c r="K931" s="2" t="s">
        <v>74</v>
      </c>
      <c r="L931" s="2" t="s">
        <v>74</v>
      </c>
      <c r="M931" s="2" t="s">
        <v>74</v>
      </c>
      <c r="N931" s="2" t="s">
        <v>74</v>
      </c>
      <c r="O931" s="2" t="s">
        <v>74</v>
      </c>
      <c r="P931" s="2" t="s">
        <v>74</v>
      </c>
      <c r="Q931" s="2" t="s">
        <v>74</v>
      </c>
      <c r="R931" s="2" t="s">
        <v>74</v>
      </c>
      <c r="S931" s="2" t="s">
        <v>74</v>
      </c>
      <c r="T931" s="2" t="s">
        <v>74</v>
      </c>
      <c r="U931" s="2" t="s">
        <v>74</v>
      </c>
      <c r="V931" s="5" t="s">
        <v>1821</v>
      </c>
      <c r="W931" s="2" t="s">
        <v>74</v>
      </c>
      <c r="X931" s="2" t="s">
        <v>74</v>
      </c>
      <c r="Y931" s="2" t="s">
        <v>74</v>
      </c>
      <c r="Z931" s="2" t="s">
        <v>74</v>
      </c>
      <c r="AA931" s="2" t="s">
        <v>74</v>
      </c>
      <c r="AB931" s="2" t="s">
        <v>1822</v>
      </c>
      <c r="AC931" s="2" t="s">
        <v>74</v>
      </c>
      <c r="AD931" s="2" t="s">
        <v>74</v>
      </c>
      <c r="AE931" s="2" t="s">
        <v>74</v>
      </c>
      <c r="AF931" s="2" t="s">
        <v>74</v>
      </c>
      <c r="AG931" s="2" t="s">
        <v>74</v>
      </c>
      <c r="AH931" s="2" t="s">
        <v>74</v>
      </c>
      <c r="AI931" s="2" t="s">
        <v>74</v>
      </c>
      <c r="AJ931" s="2" t="s">
        <v>74</v>
      </c>
      <c r="AK931" s="2" t="s">
        <v>74</v>
      </c>
      <c r="AL931" s="2" t="s">
        <v>74</v>
      </c>
      <c r="AM931" s="2" t="s">
        <v>74</v>
      </c>
      <c r="AN931" s="2" t="s">
        <v>74</v>
      </c>
      <c r="AO931" s="2" t="s">
        <v>579</v>
      </c>
      <c r="AP931" s="2" t="s">
        <v>580</v>
      </c>
      <c r="AQ931" s="2" t="s">
        <v>74</v>
      </c>
      <c r="AR931" s="2" t="s">
        <v>74</v>
      </c>
      <c r="AS931" s="2" t="s">
        <v>74</v>
      </c>
      <c r="AT931" s="2" t="s">
        <v>633</v>
      </c>
      <c r="AU931" s="2">
        <v>2017</v>
      </c>
      <c r="AV931" s="2">
        <v>31</v>
      </c>
      <c r="AW931" s="2">
        <v>2</v>
      </c>
      <c r="AX931" s="2" t="s">
        <v>74</v>
      </c>
      <c r="AY931" s="2" t="s">
        <v>74</v>
      </c>
      <c r="AZ931" s="2" t="s">
        <v>848</v>
      </c>
      <c r="BA931" s="2" t="s">
        <v>74</v>
      </c>
      <c r="BB931" s="2">
        <v>173</v>
      </c>
      <c r="BC931" s="2">
        <v>191</v>
      </c>
      <c r="BD931" s="2" t="s">
        <v>74</v>
      </c>
      <c r="BE931" s="2" t="s">
        <v>1823</v>
      </c>
      <c r="BF931" s="2" t="str">
        <f>HYPERLINK("http://dx.doi.org/10.1007/s10682-016-9848-1","http://dx.doi.org/10.1007/s10682-016-9848-1")</f>
        <v>http://dx.doi.org/10.1007/s10682-016-9848-1</v>
      </c>
      <c r="BG931" s="2" t="s">
        <v>74</v>
      </c>
      <c r="BH931" s="2" t="s">
        <v>74</v>
      </c>
      <c r="BI931" s="2" t="s">
        <v>74</v>
      </c>
      <c r="BJ931" s="2" t="s">
        <v>74</v>
      </c>
      <c r="BK931" s="2" t="s">
        <v>74</v>
      </c>
      <c r="BL931" s="2" t="s">
        <v>74</v>
      </c>
      <c r="BM931" s="2" t="s">
        <v>74</v>
      </c>
      <c r="BN931" s="2" t="s">
        <v>74</v>
      </c>
      <c r="BO931" s="2" t="s">
        <v>74</v>
      </c>
      <c r="BP931" s="2" t="s">
        <v>74</v>
      </c>
      <c r="BQ931" s="2" t="s">
        <v>74</v>
      </c>
      <c r="BR931" s="2" t="s">
        <v>74</v>
      </c>
      <c r="BS931" s="2" t="s">
        <v>1824</v>
      </c>
      <c r="BT931" s="2" t="str">
        <f>HYPERLINK("https%3A%2F%2Fwww.webofscience.com%2Fwos%2Fwoscc%2Ffull-record%2FWOS:000397595600003","View Full Record in Web of Science")</f>
        <v>View Full Record in Web of Science</v>
      </c>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row>
    <row r="932" spans="1:314" s="2" customFormat="1" x14ac:dyDescent="0.4">
      <c r="A932" s="2" t="s">
        <v>72</v>
      </c>
      <c r="B932" s="2" t="s">
        <v>8142</v>
      </c>
      <c r="C932" s="2" t="s">
        <v>74</v>
      </c>
      <c r="D932" s="2" t="s">
        <v>74</v>
      </c>
      <c r="E932" s="2" t="s">
        <v>74</v>
      </c>
      <c r="F932" s="2" t="s">
        <v>8143</v>
      </c>
      <c r="G932" s="2" t="s">
        <v>74</v>
      </c>
      <c r="H932" s="2" t="s">
        <v>74</v>
      </c>
      <c r="I932" s="2" t="s">
        <v>8144</v>
      </c>
      <c r="J932" s="2" t="s">
        <v>2017</v>
      </c>
      <c r="K932" s="2" t="s">
        <v>74</v>
      </c>
      <c r="L932" s="2" t="s">
        <v>74</v>
      </c>
      <c r="M932" s="2" t="s">
        <v>74</v>
      </c>
      <c r="N932" s="2" t="s">
        <v>74</v>
      </c>
      <c r="O932" s="2" t="s">
        <v>74</v>
      </c>
      <c r="P932" s="2" t="s">
        <v>74</v>
      </c>
      <c r="Q932" s="2" t="s">
        <v>74</v>
      </c>
      <c r="R932" s="2" t="s">
        <v>74</v>
      </c>
      <c r="S932" s="2" t="s">
        <v>74</v>
      </c>
      <c r="T932" s="2" t="s">
        <v>74</v>
      </c>
      <c r="U932" s="2" t="s">
        <v>74</v>
      </c>
      <c r="V932" s="5" t="s">
        <v>8145</v>
      </c>
      <c r="W932" s="2" t="s">
        <v>74</v>
      </c>
      <c r="X932" s="2" t="s">
        <v>74</v>
      </c>
      <c r="Y932" s="2" t="s">
        <v>74</v>
      </c>
      <c r="Z932" s="2" t="s">
        <v>74</v>
      </c>
      <c r="AA932" s="2" t="s">
        <v>74</v>
      </c>
      <c r="AB932" s="2" t="s">
        <v>1822</v>
      </c>
      <c r="AC932" s="2" t="s">
        <v>74</v>
      </c>
      <c r="AD932" s="2" t="s">
        <v>74</v>
      </c>
      <c r="AE932" s="2" t="s">
        <v>74</v>
      </c>
      <c r="AF932" s="2" t="s">
        <v>74</v>
      </c>
      <c r="AG932" s="2" t="s">
        <v>74</v>
      </c>
      <c r="AH932" s="2" t="s">
        <v>74</v>
      </c>
      <c r="AI932" s="2" t="s">
        <v>74</v>
      </c>
      <c r="AJ932" s="2" t="s">
        <v>74</v>
      </c>
      <c r="AK932" s="2" t="s">
        <v>74</v>
      </c>
      <c r="AL932" s="2" t="s">
        <v>74</v>
      </c>
      <c r="AM932" s="2" t="s">
        <v>74</v>
      </c>
      <c r="AN932" s="2" t="s">
        <v>74</v>
      </c>
      <c r="AO932" s="2" t="s">
        <v>2021</v>
      </c>
      <c r="AP932" s="2" t="s">
        <v>74</v>
      </c>
      <c r="AQ932" s="2" t="s">
        <v>74</v>
      </c>
      <c r="AR932" s="2" t="s">
        <v>74</v>
      </c>
      <c r="AS932" s="2" t="s">
        <v>74</v>
      </c>
      <c r="AT932" s="2" t="s">
        <v>8146</v>
      </c>
      <c r="AU932" s="2">
        <v>2021</v>
      </c>
      <c r="AV932" s="2">
        <v>9</v>
      </c>
      <c r="AW932" s="2" t="s">
        <v>74</v>
      </c>
      <c r="AX932" s="2" t="s">
        <v>74</v>
      </c>
      <c r="AY932" s="2" t="s">
        <v>74</v>
      </c>
      <c r="AZ932" s="2" t="s">
        <v>74</v>
      </c>
      <c r="BA932" s="2" t="s">
        <v>74</v>
      </c>
      <c r="BB932" s="2" t="s">
        <v>74</v>
      </c>
      <c r="BC932" s="2" t="s">
        <v>74</v>
      </c>
      <c r="BD932" s="2">
        <v>724712</v>
      </c>
      <c r="BE932" s="2" t="s">
        <v>8147</v>
      </c>
      <c r="BF932" s="2" t="str">
        <f>HYPERLINK("http://dx.doi.org/10.3389/fevo.2021.724712","http://dx.doi.org/10.3389/fevo.2021.724712")</f>
        <v>http://dx.doi.org/10.3389/fevo.2021.724712</v>
      </c>
      <c r="BG932" s="2" t="s">
        <v>74</v>
      </c>
      <c r="BH932" s="2" t="s">
        <v>74</v>
      </c>
      <c r="BI932" s="2" t="s">
        <v>74</v>
      </c>
      <c r="BJ932" s="2" t="s">
        <v>74</v>
      </c>
      <c r="BK932" s="2" t="s">
        <v>74</v>
      </c>
      <c r="BL932" s="2" t="s">
        <v>74</v>
      </c>
      <c r="BM932" s="2" t="s">
        <v>74</v>
      </c>
      <c r="BN932" s="2" t="s">
        <v>74</v>
      </c>
      <c r="BO932" s="2" t="s">
        <v>74</v>
      </c>
      <c r="BP932" s="2" t="s">
        <v>74</v>
      </c>
      <c r="BQ932" s="2" t="s">
        <v>74</v>
      </c>
      <c r="BR932" s="2" t="s">
        <v>74</v>
      </c>
      <c r="BS932" s="2" t="s">
        <v>8148</v>
      </c>
      <c r="BT932" s="2" t="str">
        <f>HYPERLINK("https%3A%2F%2Fwww.webofscience.com%2Fwos%2Fwoscc%2Ffull-record%2FWOS:000707224100001","View Full Record in Web of Science")</f>
        <v>View Full Record in Web of Science</v>
      </c>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row>
    <row r="933" spans="1:314" s="2" customFormat="1" x14ac:dyDescent="0.4">
      <c r="A933" s="2" t="s">
        <v>72</v>
      </c>
      <c r="B933" s="2" t="s">
        <v>6897</v>
      </c>
      <c r="C933" s="2" t="s">
        <v>74</v>
      </c>
      <c r="D933" s="2" t="s">
        <v>74</v>
      </c>
      <c r="E933" s="2" t="s">
        <v>74</v>
      </c>
      <c r="F933" s="2" t="s">
        <v>6897</v>
      </c>
      <c r="G933" s="2" t="s">
        <v>74</v>
      </c>
      <c r="H933" s="2" t="s">
        <v>74</v>
      </c>
      <c r="I933" s="2" t="s">
        <v>6898</v>
      </c>
      <c r="J933" s="2" t="s">
        <v>6899</v>
      </c>
      <c r="K933" s="2" t="s">
        <v>74</v>
      </c>
      <c r="L933" s="2" t="s">
        <v>74</v>
      </c>
      <c r="M933" s="2" t="s">
        <v>74</v>
      </c>
      <c r="N933" s="2" t="s">
        <v>74</v>
      </c>
      <c r="O933" s="2" t="s">
        <v>74</v>
      </c>
      <c r="P933" s="2" t="s">
        <v>74</v>
      </c>
      <c r="Q933" s="2" t="s">
        <v>74</v>
      </c>
      <c r="R933" s="2" t="s">
        <v>74</v>
      </c>
      <c r="S933" s="2" t="s">
        <v>74</v>
      </c>
      <c r="T933" s="2" t="s">
        <v>74</v>
      </c>
      <c r="U933" s="2" t="s">
        <v>74</v>
      </c>
      <c r="V933" s="5" t="s">
        <v>6900</v>
      </c>
      <c r="W933" s="2" t="s">
        <v>74</v>
      </c>
      <c r="X933" s="2" t="s">
        <v>74</v>
      </c>
      <c r="Y933" s="2" t="s">
        <v>74</v>
      </c>
      <c r="Z933" s="2" t="s">
        <v>74</v>
      </c>
      <c r="AA933" s="2" t="s">
        <v>6901</v>
      </c>
      <c r="AB933" s="2" t="s">
        <v>6902</v>
      </c>
      <c r="AC933" s="2" t="s">
        <v>74</v>
      </c>
      <c r="AD933" s="2" t="s">
        <v>74</v>
      </c>
      <c r="AE933" s="2" t="s">
        <v>74</v>
      </c>
      <c r="AF933" s="2" t="s">
        <v>74</v>
      </c>
      <c r="AG933" s="2" t="s">
        <v>74</v>
      </c>
      <c r="AH933" s="2" t="s">
        <v>74</v>
      </c>
      <c r="AI933" s="2" t="s">
        <v>74</v>
      </c>
      <c r="AJ933" s="2" t="s">
        <v>74</v>
      </c>
      <c r="AK933" s="2" t="s">
        <v>74</v>
      </c>
      <c r="AL933" s="2" t="s">
        <v>74</v>
      </c>
      <c r="AM933" s="2" t="s">
        <v>74</v>
      </c>
      <c r="AN933" s="2" t="s">
        <v>74</v>
      </c>
      <c r="AO933" s="2" t="s">
        <v>6903</v>
      </c>
      <c r="AP933" s="2" t="s">
        <v>74</v>
      </c>
      <c r="AQ933" s="2" t="s">
        <v>74</v>
      </c>
      <c r="AR933" s="2" t="s">
        <v>74</v>
      </c>
      <c r="AS933" s="2" t="s">
        <v>74</v>
      </c>
      <c r="AT933" s="2" t="s">
        <v>145</v>
      </c>
      <c r="AU933" s="2">
        <v>1997</v>
      </c>
      <c r="AV933" s="2">
        <v>84</v>
      </c>
      <c r="AW933" s="2">
        <v>2</v>
      </c>
      <c r="AX933" s="2" t="s">
        <v>74</v>
      </c>
      <c r="AY933" s="2" t="s">
        <v>74</v>
      </c>
      <c r="AZ933" s="2" t="s">
        <v>74</v>
      </c>
      <c r="BA933" s="2" t="s">
        <v>74</v>
      </c>
      <c r="BB933" s="2">
        <v>183</v>
      </c>
      <c r="BC933" s="2">
        <v>188</v>
      </c>
      <c r="BD933" s="2" t="s">
        <v>74</v>
      </c>
      <c r="BE933" s="2" t="s">
        <v>6904</v>
      </c>
      <c r="BF933" s="2" t="str">
        <f>HYPERLINK("http://dx.doi.org/10.1046/j.1570-7458.1997.00213.x","http://dx.doi.org/10.1046/j.1570-7458.1997.00213.x")</f>
        <v>http://dx.doi.org/10.1046/j.1570-7458.1997.00213.x</v>
      </c>
      <c r="BG933" s="2" t="s">
        <v>74</v>
      </c>
      <c r="BH933" s="2" t="s">
        <v>74</v>
      </c>
      <c r="BI933" s="2" t="s">
        <v>74</v>
      </c>
      <c r="BJ933" s="2" t="s">
        <v>74</v>
      </c>
      <c r="BK933" s="2" t="s">
        <v>74</v>
      </c>
      <c r="BL933" s="2" t="s">
        <v>74</v>
      </c>
      <c r="BM933" s="2" t="s">
        <v>74</v>
      </c>
      <c r="BN933" s="2" t="s">
        <v>74</v>
      </c>
      <c r="BO933" s="2" t="s">
        <v>74</v>
      </c>
      <c r="BP933" s="2" t="s">
        <v>74</v>
      </c>
      <c r="BQ933" s="2" t="s">
        <v>74</v>
      </c>
      <c r="BR933" s="2" t="s">
        <v>74</v>
      </c>
      <c r="BS933" s="2" t="s">
        <v>6905</v>
      </c>
      <c r="BT933" s="2" t="str">
        <f>HYPERLINK("https%3A%2F%2Fwww.webofscience.com%2Fwos%2Fwoscc%2Ffull-record%2FWOS:A1997XW62800009","View Full Record in Web of Science")</f>
        <v>View Full Record in Web of Science</v>
      </c>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row>
    <row r="934" spans="1:314" s="2" customFormat="1" x14ac:dyDescent="0.4">
      <c r="A934" s="2" t="s">
        <v>72</v>
      </c>
      <c r="B934" s="2" t="s">
        <v>3197</v>
      </c>
      <c r="C934" s="2" t="s">
        <v>74</v>
      </c>
      <c r="D934" s="2" t="s">
        <v>74</v>
      </c>
      <c r="E934" s="2" t="s">
        <v>74</v>
      </c>
      <c r="F934" s="2" t="s">
        <v>3198</v>
      </c>
      <c r="G934" s="2" t="s">
        <v>74</v>
      </c>
      <c r="H934" s="2" t="s">
        <v>74</v>
      </c>
      <c r="I934" s="2" t="s">
        <v>3199</v>
      </c>
      <c r="J934" s="2" t="s">
        <v>140</v>
      </c>
      <c r="K934" s="2" t="s">
        <v>74</v>
      </c>
      <c r="L934" s="2" t="s">
        <v>74</v>
      </c>
      <c r="M934" s="2" t="s">
        <v>74</v>
      </c>
      <c r="N934" s="2" t="s">
        <v>74</v>
      </c>
      <c r="O934" s="2" t="s">
        <v>74</v>
      </c>
      <c r="P934" s="2" t="s">
        <v>74</v>
      </c>
      <c r="Q934" s="2" t="s">
        <v>74</v>
      </c>
      <c r="R934" s="2" t="s">
        <v>74</v>
      </c>
      <c r="S934" s="2" t="s">
        <v>74</v>
      </c>
      <c r="T934" s="2" t="s">
        <v>74</v>
      </c>
      <c r="U934" s="2" t="s">
        <v>74</v>
      </c>
      <c r="V934" s="5" t="s">
        <v>3200</v>
      </c>
      <c r="W934" s="2" t="s">
        <v>74</v>
      </c>
      <c r="X934" s="2" t="s">
        <v>74</v>
      </c>
      <c r="Y934" s="2" t="s">
        <v>74</v>
      </c>
      <c r="Z934" s="2" t="s">
        <v>74</v>
      </c>
      <c r="AA934" s="2" t="s">
        <v>2184</v>
      </c>
      <c r="AB934" s="2" t="s">
        <v>2806</v>
      </c>
      <c r="AC934" s="2" t="s">
        <v>74</v>
      </c>
      <c r="AD934" s="2" t="s">
        <v>74</v>
      </c>
      <c r="AE934" s="2" t="s">
        <v>74</v>
      </c>
      <c r="AF934" s="2" t="s">
        <v>74</v>
      </c>
      <c r="AG934" s="2" t="s">
        <v>74</v>
      </c>
      <c r="AH934" s="2" t="s">
        <v>74</v>
      </c>
      <c r="AI934" s="2" t="s">
        <v>74</v>
      </c>
      <c r="AJ934" s="2" t="s">
        <v>74</v>
      </c>
      <c r="AK934" s="2" t="s">
        <v>74</v>
      </c>
      <c r="AL934" s="2" t="s">
        <v>74</v>
      </c>
      <c r="AM934" s="2" t="s">
        <v>74</v>
      </c>
      <c r="AN934" s="2" t="s">
        <v>74</v>
      </c>
      <c r="AO934" s="2" t="s">
        <v>143</v>
      </c>
      <c r="AP934" s="2" t="s">
        <v>144</v>
      </c>
      <c r="AQ934" s="2" t="s">
        <v>74</v>
      </c>
      <c r="AR934" s="2" t="s">
        <v>74</v>
      </c>
      <c r="AS934" s="2" t="s">
        <v>74</v>
      </c>
      <c r="AT934" s="2" t="s">
        <v>633</v>
      </c>
      <c r="AU934" s="2">
        <v>2017</v>
      </c>
      <c r="AV934" s="2">
        <v>126</v>
      </c>
      <c r="AW934" s="2" t="s">
        <v>74</v>
      </c>
      <c r="AX934" s="2" t="s">
        <v>74</v>
      </c>
      <c r="AY934" s="2" t="s">
        <v>74</v>
      </c>
      <c r="AZ934" s="2" t="s">
        <v>74</v>
      </c>
      <c r="BA934" s="2" t="s">
        <v>74</v>
      </c>
      <c r="BB934" s="2">
        <v>301</v>
      </c>
      <c r="BC934" s="2">
        <v>307</v>
      </c>
      <c r="BD934" s="2" t="s">
        <v>74</v>
      </c>
      <c r="BE934" s="2" t="s">
        <v>3201</v>
      </c>
      <c r="BF934" s="2" t="str">
        <f>HYPERLINK("http://dx.doi.org/10.1016/j.anbehav.2017.02.012","http://dx.doi.org/10.1016/j.anbehav.2017.02.012")</f>
        <v>http://dx.doi.org/10.1016/j.anbehav.2017.02.012</v>
      </c>
      <c r="BG934" s="2" t="s">
        <v>74</v>
      </c>
      <c r="BH934" s="2" t="s">
        <v>74</v>
      </c>
      <c r="BI934" s="2" t="s">
        <v>74</v>
      </c>
      <c r="BJ934" s="2" t="s">
        <v>74</v>
      </c>
      <c r="BK934" s="2" t="s">
        <v>74</v>
      </c>
      <c r="BL934" s="2" t="s">
        <v>74</v>
      </c>
      <c r="BM934" s="2" t="s">
        <v>74</v>
      </c>
      <c r="BN934" s="2" t="s">
        <v>74</v>
      </c>
      <c r="BO934" s="2" t="s">
        <v>74</v>
      </c>
      <c r="BP934" s="2" t="s">
        <v>74</v>
      </c>
      <c r="BQ934" s="2" t="s">
        <v>74</v>
      </c>
      <c r="BR934" s="2" t="s">
        <v>74</v>
      </c>
      <c r="BS934" s="2" t="s">
        <v>3202</v>
      </c>
      <c r="BT934" s="2" t="str">
        <f>HYPERLINK("https%3A%2F%2Fwww.webofscience.com%2Fwos%2Fwoscc%2Ffull-record%2FWOS:000400402700031","View Full Record in Web of Science")</f>
        <v>View Full Record in Web of Science</v>
      </c>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row>
    <row r="935" spans="1:314" s="2" customFormat="1" x14ac:dyDescent="0.4">
      <c r="A935" s="2" t="s">
        <v>72</v>
      </c>
      <c r="B935" s="2" t="s">
        <v>636</v>
      </c>
      <c r="C935" s="2" t="s">
        <v>74</v>
      </c>
      <c r="D935" s="2" t="s">
        <v>74</v>
      </c>
      <c r="E935" s="2" t="s">
        <v>74</v>
      </c>
      <c r="F935" s="2" t="s">
        <v>636</v>
      </c>
      <c r="G935" s="2" t="s">
        <v>74</v>
      </c>
      <c r="H935" s="2" t="s">
        <v>74</v>
      </c>
      <c r="I935" s="2" t="s">
        <v>637</v>
      </c>
      <c r="J935" s="2" t="s">
        <v>312</v>
      </c>
      <c r="K935" s="2" t="s">
        <v>74</v>
      </c>
      <c r="L935" s="2" t="s">
        <v>74</v>
      </c>
      <c r="M935" s="2" t="s">
        <v>74</v>
      </c>
      <c r="N935" s="2" t="s">
        <v>74</v>
      </c>
      <c r="O935" s="2" t="s">
        <v>74</v>
      </c>
      <c r="P935" s="2" t="s">
        <v>74</v>
      </c>
      <c r="Q935" s="2" t="s">
        <v>74</v>
      </c>
      <c r="R935" s="2" t="s">
        <v>74</v>
      </c>
      <c r="S935" s="2" t="s">
        <v>74</v>
      </c>
      <c r="T935" s="2" t="s">
        <v>74</v>
      </c>
      <c r="U935" s="2" t="s">
        <v>74</v>
      </c>
      <c r="V935" s="5" t="s">
        <v>638</v>
      </c>
      <c r="W935" s="2" t="s">
        <v>74</v>
      </c>
      <c r="X935" s="2" t="s">
        <v>74</v>
      </c>
      <c r="Y935" s="2" t="s">
        <v>74</v>
      </c>
      <c r="Z935" s="2" t="s">
        <v>74</v>
      </c>
      <c r="AA935" s="2" t="s">
        <v>639</v>
      </c>
      <c r="AB935" s="2" t="s">
        <v>640</v>
      </c>
      <c r="AC935" s="2" t="s">
        <v>74</v>
      </c>
      <c r="AD935" s="2" t="s">
        <v>74</v>
      </c>
      <c r="AE935" s="2" t="s">
        <v>74</v>
      </c>
      <c r="AF935" s="2" t="s">
        <v>74</v>
      </c>
      <c r="AG935" s="2" t="s">
        <v>74</v>
      </c>
      <c r="AH935" s="2" t="s">
        <v>74</v>
      </c>
      <c r="AI935" s="2" t="s">
        <v>74</v>
      </c>
      <c r="AJ935" s="2" t="s">
        <v>74</v>
      </c>
      <c r="AK935" s="2" t="s">
        <v>74</v>
      </c>
      <c r="AL935" s="2" t="s">
        <v>74</v>
      </c>
      <c r="AM935" s="2" t="s">
        <v>74</v>
      </c>
      <c r="AN935" s="2" t="s">
        <v>74</v>
      </c>
      <c r="AO935" s="2" t="s">
        <v>314</v>
      </c>
      <c r="AP935" s="2" t="s">
        <v>74</v>
      </c>
      <c r="AQ935" s="2" t="s">
        <v>74</v>
      </c>
      <c r="AR935" s="2" t="s">
        <v>74</v>
      </c>
      <c r="AS935" s="2" t="s">
        <v>74</v>
      </c>
      <c r="AT935" s="2" t="s">
        <v>633</v>
      </c>
      <c r="AU935" s="2">
        <v>2001</v>
      </c>
      <c r="AV935" s="2">
        <v>157</v>
      </c>
      <c r="AW935" s="2">
        <v>4</v>
      </c>
      <c r="AX935" s="2" t="s">
        <v>74</v>
      </c>
      <c r="AY935" s="2" t="s">
        <v>74</v>
      </c>
      <c r="AZ935" s="2" t="s">
        <v>74</v>
      </c>
      <c r="BA935" s="2" t="s">
        <v>74</v>
      </c>
      <c r="BB935" s="2">
        <v>451</v>
      </c>
      <c r="BC935" s="2">
        <v>458</v>
      </c>
      <c r="BD935" s="2" t="s">
        <v>74</v>
      </c>
      <c r="BE935" s="2" t="s">
        <v>641</v>
      </c>
      <c r="BF935" s="2" t="str">
        <f>HYPERLINK("http://dx.doi.org/10.1086/319319","http://dx.doi.org/10.1086/319319")</f>
        <v>http://dx.doi.org/10.1086/319319</v>
      </c>
      <c r="BG935" s="2" t="s">
        <v>74</v>
      </c>
      <c r="BH935" s="2" t="s">
        <v>74</v>
      </c>
      <c r="BI935" s="2" t="s">
        <v>74</v>
      </c>
      <c r="BJ935" s="2" t="s">
        <v>74</v>
      </c>
      <c r="BK935" s="2" t="s">
        <v>74</v>
      </c>
      <c r="BL935" s="2" t="s">
        <v>74</v>
      </c>
      <c r="BM935" s="2" t="s">
        <v>74</v>
      </c>
      <c r="BN935" s="2">
        <v>18707253</v>
      </c>
      <c r="BO935" s="2" t="s">
        <v>74</v>
      </c>
      <c r="BP935" s="2" t="s">
        <v>74</v>
      </c>
      <c r="BQ935" s="2" t="s">
        <v>74</v>
      </c>
      <c r="BR935" s="2" t="s">
        <v>74</v>
      </c>
      <c r="BS935" s="2" t="s">
        <v>642</v>
      </c>
      <c r="BT935" s="2" t="str">
        <f>HYPERLINK("https%3A%2F%2Fwww.webofscience.com%2Fwos%2Fwoscc%2Ffull-record%2FWOS:000167830600007","View Full Record in Web of Science")</f>
        <v>View Full Record in Web of Science</v>
      </c>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row>
    <row r="936" spans="1:314" s="2" customFormat="1" x14ac:dyDescent="0.4">
      <c r="A936" s="2" t="s">
        <v>72</v>
      </c>
      <c r="B936" s="2" t="s">
        <v>8156</v>
      </c>
      <c r="C936" s="2" t="s">
        <v>74</v>
      </c>
      <c r="D936" s="2" t="s">
        <v>74</v>
      </c>
      <c r="E936" s="2" t="s">
        <v>74</v>
      </c>
      <c r="F936" s="2" t="s">
        <v>8157</v>
      </c>
      <c r="G936" s="2" t="s">
        <v>74</v>
      </c>
      <c r="H936" s="2" t="s">
        <v>74</v>
      </c>
      <c r="I936" s="2" t="s">
        <v>8158</v>
      </c>
      <c r="J936" s="2" t="s">
        <v>775</v>
      </c>
      <c r="K936" s="2" t="s">
        <v>74</v>
      </c>
      <c r="L936" s="2" t="s">
        <v>74</v>
      </c>
      <c r="M936" s="2" t="s">
        <v>74</v>
      </c>
      <c r="N936" s="2" t="s">
        <v>74</v>
      </c>
      <c r="O936" s="2" t="s">
        <v>74</v>
      </c>
      <c r="P936" s="2" t="s">
        <v>74</v>
      </c>
      <c r="Q936" s="2" t="s">
        <v>74</v>
      </c>
      <c r="R936" s="2" t="s">
        <v>74</v>
      </c>
      <c r="S936" s="2" t="s">
        <v>74</v>
      </c>
      <c r="T936" s="2" t="s">
        <v>74</v>
      </c>
      <c r="U936" s="2" t="s">
        <v>74</v>
      </c>
      <c r="V936" s="5" t="s">
        <v>8159</v>
      </c>
      <c r="W936" s="2" t="s">
        <v>74</v>
      </c>
      <c r="X936" s="2" t="s">
        <v>74</v>
      </c>
      <c r="Y936" s="2" t="s">
        <v>74</v>
      </c>
      <c r="Z936" s="2" t="s">
        <v>74</v>
      </c>
      <c r="AA936" s="2" t="s">
        <v>74</v>
      </c>
      <c r="AB936" s="2" t="s">
        <v>74</v>
      </c>
      <c r="AC936" s="2" t="s">
        <v>74</v>
      </c>
      <c r="AD936" s="2" t="s">
        <v>74</v>
      </c>
      <c r="AE936" s="2" t="s">
        <v>74</v>
      </c>
      <c r="AF936" s="2" t="s">
        <v>74</v>
      </c>
      <c r="AG936" s="2" t="s">
        <v>74</v>
      </c>
      <c r="AH936" s="2" t="s">
        <v>74</v>
      </c>
      <c r="AI936" s="2" t="s">
        <v>74</v>
      </c>
      <c r="AJ936" s="2" t="s">
        <v>74</v>
      </c>
      <c r="AK936" s="2" t="s">
        <v>74</v>
      </c>
      <c r="AL936" s="2" t="s">
        <v>74</v>
      </c>
      <c r="AM936" s="2" t="s">
        <v>74</v>
      </c>
      <c r="AN936" s="2" t="s">
        <v>74</v>
      </c>
      <c r="AO936" s="2" t="s">
        <v>778</v>
      </c>
      <c r="AP936" s="2" t="s">
        <v>779</v>
      </c>
      <c r="AQ936" s="2" t="s">
        <v>74</v>
      </c>
      <c r="AR936" s="2" t="s">
        <v>74</v>
      </c>
      <c r="AS936" s="2" t="s">
        <v>74</v>
      </c>
      <c r="AT936" s="2" t="s">
        <v>102</v>
      </c>
      <c r="AU936" s="2">
        <v>2010</v>
      </c>
      <c r="AV936" s="2">
        <v>56</v>
      </c>
      <c r="AW936" s="2">
        <v>3</v>
      </c>
      <c r="AX936" s="2" t="s">
        <v>74</v>
      </c>
      <c r="AY936" s="2" t="s">
        <v>74</v>
      </c>
      <c r="AZ936" s="2" t="s">
        <v>848</v>
      </c>
      <c r="BA936" s="2" t="s">
        <v>74</v>
      </c>
      <c r="BB936" s="2">
        <v>343</v>
      </c>
      <c r="BC936" s="2">
        <v>357</v>
      </c>
      <c r="BD936" s="2" t="s">
        <v>74</v>
      </c>
      <c r="BE936" s="2" t="s">
        <v>8160</v>
      </c>
      <c r="BF936" s="2" t="str">
        <f>HYPERLINK("http://dx.doi.org/10.1093/czoolo/56.3.343","http://dx.doi.org/10.1093/czoolo/56.3.343")</f>
        <v>http://dx.doi.org/10.1093/czoolo/56.3.343</v>
      </c>
      <c r="BG936" s="2" t="s">
        <v>74</v>
      </c>
      <c r="BH936" s="2" t="s">
        <v>74</v>
      </c>
      <c r="BI936" s="2" t="s">
        <v>74</v>
      </c>
      <c r="BJ936" s="2" t="s">
        <v>74</v>
      </c>
      <c r="BK936" s="2" t="s">
        <v>74</v>
      </c>
      <c r="BL936" s="2" t="s">
        <v>74</v>
      </c>
      <c r="BM936" s="2" t="s">
        <v>74</v>
      </c>
      <c r="BN936" s="2" t="s">
        <v>74</v>
      </c>
      <c r="BO936" s="2" t="s">
        <v>74</v>
      </c>
      <c r="BP936" s="2" t="s">
        <v>74</v>
      </c>
      <c r="BQ936" s="2" t="s">
        <v>74</v>
      </c>
      <c r="BR936" s="2" t="s">
        <v>74</v>
      </c>
      <c r="BS936" s="2" t="s">
        <v>8161</v>
      </c>
      <c r="BT936" s="2" t="str">
        <f>HYPERLINK("https%3A%2F%2Fwww.webofscience.com%2Fwos%2Fwoscc%2Ffull-record%2FWOS:000278715600009","View Full Record in Web of Science")</f>
        <v>View Full Record in Web of Science</v>
      </c>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row>
    <row r="937" spans="1:314" s="2" customFormat="1" x14ac:dyDescent="0.4">
      <c r="A937" s="2" t="s">
        <v>72</v>
      </c>
      <c r="B937" s="2" t="s">
        <v>1663</v>
      </c>
      <c r="C937" s="2" t="s">
        <v>74</v>
      </c>
      <c r="D937" s="2" t="s">
        <v>74</v>
      </c>
      <c r="E937" s="2" t="s">
        <v>74</v>
      </c>
      <c r="F937" s="2" t="s">
        <v>1664</v>
      </c>
      <c r="G937" s="2" t="s">
        <v>74</v>
      </c>
      <c r="H937" s="2" t="s">
        <v>74</v>
      </c>
      <c r="I937" s="2" t="s">
        <v>1665</v>
      </c>
      <c r="J937" s="2" t="s">
        <v>229</v>
      </c>
      <c r="K937" s="2" t="s">
        <v>74</v>
      </c>
      <c r="L937" s="2" t="s">
        <v>74</v>
      </c>
      <c r="M937" s="2" t="s">
        <v>74</v>
      </c>
      <c r="N937" s="2" t="s">
        <v>74</v>
      </c>
      <c r="O937" s="2" t="s">
        <v>74</v>
      </c>
      <c r="P937" s="2" t="s">
        <v>74</v>
      </c>
      <c r="Q937" s="2" t="s">
        <v>74</v>
      </c>
      <c r="R937" s="2" t="s">
        <v>74</v>
      </c>
      <c r="S937" s="2" t="s">
        <v>74</v>
      </c>
      <c r="T937" s="2" t="s">
        <v>74</v>
      </c>
      <c r="U937" s="2" t="s">
        <v>74</v>
      </c>
      <c r="V937" s="5" t="s">
        <v>1666</v>
      </c>
      <c r="W937" s="2" t="s">
        <v>74</v>
      </c>
      <c r="X937" s="2" t="s">
        <v>74</v>
      </c>
      <c r="Y937" s="2" t="s">
        <v>74</v>
      </c>
      <c r="Z937" s="2" t="s">
        <v>74</v>
      </c>
      <c r="AA937" s="2" t="s">
        <v>1667</v>
      </c>
      <c r="AB937" s="2" t="s">
        <v>1668</v>
      </c>
      <c r="AC937" s="2" t="s">
        <v>74</v>
      </c>
      <c r="AD937" s="2" t="s">
        <v>74</v>
      </c>
      <c r="AE937" s="2" t="s">
        <v>74</v>
      </c>
      <c r="AF937" s="2" t="s">
        <v>74</v>
      </c>
      <c r="AG937" s="2" t="s">
        <v>74</v>
      </c>
      <c r="AH937" s="2" t="s">
        <v>74</v>
      </c>
      <c r="AI937" s="2" t="s">
        <v>74</v>
      </c>
      <c r="AJ937" s="2" t="s">
        <v>74</v>
      </c>
      <c r="AK937" s="2" t="s">
        <v>74</v>
      </c>
      <c r="AL937" s="2" t="s">
        <v>74</v>
      </c>
      <c r="AM937" s="2" t="s">
        <v>74</v>
      </c>
      <c r="AN937" s="2" t="s">
        <v>74</v>
      </c>
      <c r="AO937" s="2" t="s">
        <v>233</v>
      </c>
      <c r="AP937" s="2" t="s">
        <v>234</v>
      </c>
      <c r="AQ937" s="2" t="s">
        <v>74</v>
      </c>
      <c r="AR937" s="2" t="s">
        <v>74</v>
      </c>
      <c r="AS937" s="2" t="s">
        <v>74</v>
      </c>
      <c r="AT937" s="2" t="s">
        <v>808</v>
      </c>
      <c r="AU937" s="2">
        <v>2009</v>
      </c>
      <c r="AV937" s="2">
        <v>35</v>
      </c>
      <c r="AW937" s="2">
        <v>3</v>
      </c>
      <c r="AX937" s="2" t="s">
        <v>74</v>
      </c>
      <c r="AY937" s="2" t="s">
        <v>74</v>
      </c>
      <c r="AZ937" s="2" t="s">
        <v>74</v>
      </c>
      <c r="BA937" s="2" t="s">
        <v>74</v>
      </c>
      <c r="BB937" s="2">
        <v>274</v>
      </c>
      <c r="BC937" s="2">
        <v>283</v>
      </c>
      <c r="BD937" s="2" t="s">
        <v>74</v>
      </c>
      <c r="BE937" s="2" t="s">
        <v>1669</v>
      </c>
      <c r="BF937" s="2" t="str">
        <f>HYPERLINK("http://dx.doi.org/10.1002/ab.20305","http://dx.doi.org/10.1002/ab.20305")</f>
        <v>http://dx.doi.org/10.1002/ab.20305</v>
      </c>
      <c r="BG937" s="2" t="s">
        <v>74</v>
      </c>
      <c r="BH937" s="2" t="s">
        <v>74</v>
      </c>
      <c r="BI937" s="2" t="s">
        <v>74</v>
      </c>
      <c r="BJ937" s="2" t="s">
        <v>74</v>
      </c>
      <c r="BK937" s="2" t="s">
        <v>74</v>
      </c>
      <c r="BL937" s="2" t="s">
        <v>74</v>
      </c>
      <c r="BM937" s="2" t="s">
        <v>74</v>
      </c>
      <c r="BN937" s="2">
        <v>19291744</v>
      </c>
      <c r="BO937" s="2" t="s">
        <v>74</v>
      </c>
      <c r="BP937" s="2" t="s">
        <v>74</v>
      </c>
      <c r="BQ937" s="2" t="s">
        <v>74</v>
      </c>
      <c r="BR937" s="2" t="s">
        <v>74</v>
      </c>
      <c r="BS937" s="2" t="s">
        <v>1670</v>
      </c>
      <c r="BT937" s="2" t="str">
        <f>HYPERLINK("https%3A%2F%2Fwww.webofscience.com%2Fwos%2Fwoscc%2Ffull-record%2FWOS:000265331000006","View Full Record in Web of Science")</f>
        <v>View Full Record in Web of Science</v>
      </c>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row>
    <row r="938" spans="1:314" s="2" customFormat="1" x14ac:dyDescent="0.4">
      <c r="A938" s="2" t="s">
        <v>72</v>
      </c>
      <c r="B938" s="2" t="s">
        <v>5122</v>
      </c>
      <c r="C938" s="2" t="s">
        <v>74</v>
      </c>
      <c r="D938" s="2" t="s">
        <v>74</v>
      </c>
      <c r="E938" s="2" t="s">
        <v>74</v>
      </c>
      <c r="F938" s="2" t="s">
        <v>5122</v>
      </c>
      <c r="G938" s="2" t="s">
        <v>74</v>
      </c>
      <c r="H938" s="2" t="s">
        <v>74</v>
      </c>
      <c r="I938" s="2" t="s">
        <v>5123</v>
      </c>
      <c r="J938" s="2" t="s">
        <v>2207</v>
      </c>
      <c r="K938" s="2" t="s">
        <v>74</v>
      </c>
      <c r="L938" s="2" t="s">
        <v>74</v>
      </c>
      <c r="M938" s="2" t="s">
        <v>74</v>
      </c>
      <c r="N938" s="2" t="s">
        <v>74</v>
      </c>
      <c r="O938" s="2" t="s">
        <v>74</v>
      </c>
      <c r="P938" s="2" t="s">
        <v>74</v>
      </c>
      <c r="Q938" s="2" t="s">
        <v>74</v>
      </c>
      <c r="R938" s="2" t="s">
        <v>74</v>
      </c>
      <c r="S938" s="2" t="s">
        <v>74</v>
      </c>
      <c r="T938" s="2" t="s">
        <v>74</v>
      </c>
      <c r="U938" s="2" t="s">
        <v>74</v>
      </c>
      <c r="V938" s="5" t="s">
        <v>5124</v>
      </c>
      <c r="W938" s="2" t="s">
        <v>74</v>
      </c>
      <c r="X938" s="2" t="s">
        <v>74</v>
      </c>
      <c r="Y938" s="2" t="s">
        <v>74</v>
      </c>
      <c r="Z938" s="2" t="s">
        <v>74</v>
      </c>
      <c r="AA938" s="2" t="s">
        <v>74</v>
      </c>
      <c r="AB938" s="2" t="s">
        <v>74</v>
      </c>
      <c r="AC938" s="2" t="s">
        <v>74</v>
      </c>
      <c r="AD938" s="2" t="s">
        <v>74</v>
      </c>
      <c r="AE938" s="2" t="s">
        <v>74</v>
      </c>
      <c r="AF938" s="2" t="s">
        <v>74</v>
      </c>
      <c r="AG938" s="2" t="s">
        <v>74</v>
      </c>
      <c r="AH938" s="2" t="s">
        <v>74</v>
      </c>
      <c r="AI938" s="2" t="s">
        <v>74</v>
      </c>
      <c r="AJ938" s="2" t="s">
        <v>74</v>
      </c>
      <c r="AK938" s="2" t="s">
        <v>74</v>
      </c>
      <c r="AL938" s="2" t="s">
        <v>74</v>
      </c>
      <c r="AM938" s="2" t="s">
        <v>74</v>
      </c>
      <c r="AN938" s="2" t="s">
        <v>74</v>
      </c>
      <c r="AO938" s="2" t="s">
        <v>2211</v>
      </c>
      <c r="AP938" s="2" t="s">
        <v>2461</v>
      </c>
      <c r="AQ938" s="2" t="s">
        <v>74</v>
      </c>
      <c r="AR938" s="2" t="s">
        <v>74</v>
      </c>
      <c r="AS938" s="2" t="s">
        <v>74</v>
      </c>
      <c r="AT938" s="2" t="s">
        <v>352</v>
      </c>
      <c r="AU938" s="2">
        <v>1997</v>
      </c>
      <c r="AV938" s="2">
        <v>28</v>
      </c>
      <c r="AW938" s="2">
        <v>3</v>
      </c>
      <c r="AX938" s="2" t="s">
        <v>74</v>
      </c>
      <c r="AY938" s="2" t="s">
        <v>74</v>
      </c>
      <c r="AZ938" s="2" t="s">
        <v>74</v>
      </c>
      <c r="BA938" s="2" t="s">
        <v>74</v>
      </c>
      <c r="BB938" s="2">
        <v>259</v>
      </c>
      <c r="BC938" s="2">
        <v>263</v>
      </c>
      <c r="BD938" s="2" t="s">
        <v>74</v>
      </c>
      <c r="BE938" s="2" t="s">
        <v>5125</v>
      </c>
      <c r="BF938" s="2" t="str">
        <f>HYPERLINK("http://dx.doi.org/10.2307/3676978","http://dx.doi.org/10.2307/3676978")</f>
        <v>http://dx.doi.org/10.2307/3676978</v>
      </c>
      <c r="BG938" s="2" t="s">
        <v>74</v>
      </c>
      <c r="BH938" s="2" t="s">
        <v>74</v>
      </c>
      <c r="BI938" s="2" t="s">
        <v>74</v>
      </c>
      <c r="BJ938" s="2" t="s">
        <v>74</v>
      </c>
      <c r="BK938" s="2" t="s">
        <v>74</v>
      </c>
      <c r="BL938" s="2" t="s">
        <v>74</v>
      </c>
      <c r="BM938" s="2" t="s">
        <v>74</v>
      </c>
      <c r="BN938" s="2" t="s">
        <v>74</v>
      </c>
      <c r="BO938" s="2" t="s">
        <v>74</v>
      </c>
      <c r="BP938" s="2" t="s">
        <v>74</v>
      </c>
      <c r="BQ938" s="2" t="s">
        <v>74</v>
      </c>
      <c r="BR938" s="2" t="s">
        <v>74</v>
      </c>
      <c r="BS938" s="2" t="s">
        <v>5126</v>
      </c>
      <c r="BT938" s="2" t="str">
        <f>HYPERLINK("https%3A%2F%2Fwww.webofscience.com%2Fwos%2Fwoscc%2Ffull-record%2FWOS:A1997XX48100010","View Full Record in Web of Science")</f>
        <v>View Full Record in Web of Science</v>
      </c>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row>
    <row r="939" spans="1:314" s="2" customFormat="1" x14ac:dyDescent="0.4">
      <c r="A939" s="2" t="s">
        <v>72</v>
      </c>
      <c r="B939" s="2" t="s">
        <v>5234</v>
      </c>
      <c r="C939" s="2" t="s">
        <v>74</v>
      </c>
      <c r="D939" s="2" t="s">
        <v>74</v>
      </c>
      <c r="E939" s="2" t="s">
        <v>74</v>
      </c>
      <c r="F939" s="2" t="s">
        <v>5234</v>
      </c>
      <c r="G939" s="2" t="s">
        <v>74</v>
      </c>
      <c r="H939" s="2" t="s">
        <v>74</v>
      </c>
      <c r="I939" s="2" t="s">
        <v>5235</v>
      </c>
      <c r="J939" s="2" t="s">
        <v>140</v>
      </c>
      <c r="K939" s="2" t="s">
        <v>74</v>
      </c>
      <c r="L939" s="2" t="s">
        <v>74</v>
      </c>
      <c r="M939" s="2" t="s">
        <v>74</v>
      </c>
      <c r="N939" s="2" t="s">
        <v>74</v>
      </c>
      <c r="O939" s="2" t="s">
        <v>74</v>
      </c>
      <c r="P939" s="2" t="s">
        <v>74</v>
      </c>
      <c r="Q939" s="2" t="s">
        <v>74</v>
      </c>
      <c r="R939" s="2" t="s">
        <v>74</v>
      </c>
      <c r="S939" s="2" t="s">
        <v>74</v>
      </c>
      <c r="T939" s="2" t="s">
        <v>74</v>
      </c>
      <c r="U939" s="2" t="s">
        <v>74</v>
      </c>
      <c r="V939" s="5" t="s">
        <v>74</v>
      </c>
      <c r="W939" s="2" t="s">
        <v>74</v>
      </c>
      <c r="X939" s="2" t="s">
        <v>74</v>
      </c>
      <c r="Y939" s="2" t="s">
        <v>74</v>
      </c>
      <c r="Z939" s="2" t="s">
        <v>74</v>
      </c>
      <c r="AA939" s="2" t="s">
        <v>74</v>
      </c>
      <c r="AB939" s="2" t="s">
        <v>74</v>
      </c>
      <c r="AC939" s="2" t="s">
        <v>74</v>
      </c>
      <c r="AD939" s="2" t="s">
        <v>74</v>
      </c>
      <c r="AE939" s="2" t="s">
        <v>74</v>
      </c>
      <c r="AF939" s="2" t="s">
        <v>74</v>
      </c>
      <c r="AG939" s="2" t="s">
        <v>74</v>
      </c>
      <c r="AH939" s="2" t="s">
        <v>74</v>
      </c>
      <c r="AI939" s="2" t="s">
        <v>74</v>
      </c>
      <c r="AJ939" s="2" t="s">
        <v>74</v>
      </c>
      <c r="AK939" s="2" t="s">
        <v>74</v>
      </c>
      <c r="AL939" s="2" t="s">
        <v>74</v>
      </c>
      <c r="AM939" s="2" t="s">
        <v>74</v>
      </c>
      <c r="AN939" s="2" t="s">
        <v>74</v>
      </c>
      <c r="AO939" s="2" t="s">
        <v>143</v>
      </c>
      <c r="AP939" s="2" t="s">
        <v>74</v>
      </c>
      <c r="AQ939" s="2" t="s">
        <v>74</v>
      </c>
      <c r="AR939" s="2" t="s">
        <v>74</v>
      </c>
      <c r="AS939" s="2" t="s">
        <v>74</v>
      </c>
      <c r="AT939" s="2" t="s">
        <v>145</v>
      </c>
      <c r="AU939" s="2">
        <v>1992</v>
      </c>
      <c r="AV939" s="2">
        <v>44</v>
      </c>
      <c r="AW939" s="2">
        <v>2</v>
      </c>
      <c r="AX939" s="2" t="s">
        <v>74</v>
      </c>
      <c r="AY939" s="2" t="s">
        <v>74</v>
      </c>
      <c r="AZ939" s="2" t="s">
        <v>74</v>
      </c>
      <c r="BA939" s="2" t="s">
        <v>74</v>
      </c>
      <c r="BB939" s="2">
        <v>293</v>
      </c>
      <c r="BC939" s="2">
        <v>299</v>
      </c>
      <c r="BD939" s="2" t="s">
        <v>74</v>
      </c>
      <c r="BE939" s="2" t="s">
        <v>5236</v>
      </c>
      <c r="BF939" s="2" t="str">
        <f>HYPERLINK("http://dx.doi.org/10.1016/0003-3472(92)90035-8","http://dx.doi.org/10.1016/0003-3472(92)90035-8")</f>
        <v>http://dx.doi.org/10.1016/0003-3472(92)90035-8</v>
      </c>
      <c r="BG939" s="2" t="s">
        <v>74</v>
      </c>
      <c r="BH939" s="2" t="s">
        <v>74</v>
      </c>
      <c r="BI939" s="2" t="s">
        <v>74</v>
      </c>
      <c r="BJ939" s="2" t="s">
        <v>74</v>
      </c>
      <c r="BK939" s="2" t="s">
        <v>74</v>
      </c>
      <c r="BL939" s="2" t="s">
        <v>74</v>
      </c>
      <c r="BM939" s="2" t="s">
        <v>74</v>
      </c>
      <c r="BN939" s="2" t="s">
        <v>74</v>
      </c>
      <c r="BO939" s="2" t="s">
        <v>74</v>
      </c>
      <c r="BP939" s="2" t="s">
        <v>74</v>
      </c>
      <c r="BQ939" s="2" t="s">
        <v>74</v>
      </c>
      <c r="BR939" s="2" t="s">
        <v>74</v>
      </c>
      <c r="BS939" s="2" t="s">
        <v>5237</v>
      </c>
      <c r="BT939" s="2" t="str">
        <f>HYPERLINK("https%3A%2F%2Fwww.webofscience.com%2Fwos%2Fwoscc%2Ffull-record%2FWOS:A1992JK06900011","View Full Record in Web of Science")</f>
        <v>View Full Record in Web of Science</v>
      </c>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row>
    <row r="940" spans="1:314" s="2" customFormat="1" x14ac:dyDescent="0.4">
      <c r="A940" s="2" t="s">
        <v>72</v>
      </c>
      <c r="B940" s="2" t="s">
        <v>8346</v>
      </c>
      <c r="C940" s="2" t="s">
        <v>74</v>
      </c>
      <c r="D940" s="2" t="s">
        <v>74</v>
      </c>
      <c r="E940" s="2" t="s">
        <v>74</v>
      </c>
      <c r="F940" s="2" t="s">
        <v>8347</v>
      </c>
      <c r="G940" s="2" t="s">
        <v>74</v>
      </c>
      <c r="H940" s="2" t="s">
        <v>74</v>
      </c>
      <c r="I940" s="2" t="s">
        <v>8348</v>
      </c>
      <c r="J940" s="2" t="s">
        <v>129</v>
      </c>
      <c r="K940" s="2" t="s">
        <v>74</v>
      </c>
      <c r="L940" s="2" t="s">
        <v>74</v>
      </c>
      <c r="M940" s="2" t="s">
        <v>74</v>
      </c>
      <c r="N940" s="2" t="s">
        <v>74</v>
      </c>
      <c r="O940" s="2" t="s">
        <v>74</v>
      </c>
      <c r="P940" s="2" t="s">
        <v>74</v>
      </c>
      <c r="Q940" s="2" t="s">
        <v>74</v>
      </c>
      <c r="R940" s="2" t="s">
        <v>74</v>
      </c>
      <c r="S940" s="2" t="s">
        <v>74</v>
      </c>
      <c r="T940" s="2" t="s">
        <v>74</v>
      </c>
      <c r="U940" s="2" t="s">
        <v>74</v>
      </c>
      <c r="V940" s="5" t="s">
        <v>8349</v>
      </c>
      <c r="W940" s="2" t="s">
        <v>74</v>
      </c>
      <c r="X940" s="2" t="s">
        <v>74</v>
      </c>
      <c r="Y940" s="2" t="s">
        <v>74</v>
      </c>
      <c r="Z940" s="2" t="s">
        <v>74</v>
      </c>
      <c r="AA940" s="2" t="s">
        <v>74</v>
      </c>
      <c r="AB940" s="2" t="s">
        <v>74</v>
      </c>
      <c r="AC940" s="2" t="s">
        <v>74</v>
      </c>
      <c r="AD940" s="2" t="s">
        <v>74</v>
      </c>
      <c r="AE940" s="2" t="s">
        <v>74</v>
      </c>
      <c r="AF940" s="2" t="s">
        <v>74</v>
      </c>
      <c r="AG940" s="2" t="s">
        <v>74</v>
      </c>
      <c r="AH940" s="2" t="s">
        <v>74</v>
      </c>
      <c r="AI940" s="2" t="s">
        <v>74</v>
      </c>
      <c r="AJ940" s="2" t="s">
        <v>74</v>
      </c>
      <c r="AK940" s="2" t="s">
        <v>74</v>
      </c>
      <c r="AL940" s="2" t="s">
        <v>74</v>
      </c>
      <c r="AM940" s="2" t="s">
        <v>74</v>
      </c>
      <c r="AN940" s="2" t="s">
        <v>74</v>
      </c>
      <c r="AO940" s="2" t="s">
        <v>132</v>
      </c>
      <c r="AP940" s="2" t="s">
        <v>74</v>
      </c>
      <c r="AQ940" s="2" t="s">
        <v>74</v>
      </c>
      <c r="AR940" s="2" t="s">
        <v>74</v>
      </c>
      <c r="AS940" s="2" t="s">
        <v>74</v>
      </c>
      <c r="AT940" s="2" t="s">
        <v>204</v>
      </c>
      <c r="AU940" s="2">
        <v>2007</v>
      </c>
      <c r="AV940" s="2">
        <v>61</v>
      </c>
      <c r="AW940" s="2">
        <v>9</v>
      </c>
      <c r="AX940" s="2" t="s">
        <v>74</v>
      </c>
      <c r="AY940" s="2" t="s">
        <v>74</v>
      </c>
      <c r="AZ940" s="2" t="s">
        <v>74</v>
      </c>
      <c r="BA940" s="2" t="s">
        <v>74</v>
      </c>
      <c r="BB940" s="2">
        <v>1359</v>
      </c>
      <c r="BC940" s="2">
        <v>1368</v>
      </c>
      <c r="BD940" s="2" t="s">
        <v>74</v>
      </c>
      <c r="BE940" s="2" t="s">
        <v>8350</v>
      </c>
      <c r="BF940" s="2" t="str">
        <f>HYPERLINK("http://dx.doi.org/10.1007/s00265-007-0366-6","http://dx.doi.org/10.1007/s00265-007-0366-6")</f>
        <v>http://dx.doi.org/10.1007/s00265-007-0366-6</v>
      </c>
      <c r="BG940" s="2" t="s">
        <v>74</v>
      </c>
      <c r="BH940" s="2" t="s">
        <v>74</v>
      </c>
      <c r="BI940" s="2" t="s">
        <v>74</v>
      </c>
      <c r="BJ940" s="2" t="s">
        <v>74</v>
      </c>
      <c r="BK940" s="2" t="s">
        <v>74</v>
      </c>
      <c r="BL940" s="2" t="s">
        <v>74</v>
      </c>
      <c r="BM940" s="2" t="s">
        <v>74</v>
      </c>
      <c r="BN940" s="2" t="s">
        <v>74</v>
      </c>
      <c r="BO940" s="2" t="s">
        <v>74</v>
      </c>
      <c r="BP940" s="2" t="s">
        <v>74</v>
      </c>
      <c r="BQ940" s="2" t="s">
        <v>74</v>
      </c>
      <c r="BR940" s="2" t="s">
        <v>74</v>
      </c>
      <c r="BS940" s="2" t="s">
        <v>8351</v>
      </c>
      <c r="BT940" s="2" t="str">
        <f>HYPERLINK("https%3A%2F%2Fwww.webofscience.com%2Fwos%2Fwoscc%2Ffull-record%2FWOS:000247256000005","View Full Record in Web of Science")</f>
        <v>View Full Record in Web of Science</v>
      </c>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row>
    <row r="941" spans="1:314" s="7" customFormat="1" x14ac:dyDescent="0.4">
      <c r="A941" s="2" t="s">
        <v>72</v>
      </c>
      <c r="B941" s="2" t="s">
        <v>8373</v>
      </c>
      <c r="C941" s="2" t="s">
        <v>74</v>
      </c>
      <c r="D941" s="2" t="s">
        <v>74</v>
      </c>
      <c r="E941" s="2" t="s">
        <v>74</v>
      </c>
      <c r="F941" s="2" t="s">
        <v>8373</v>
      </c>
      <c r="G941" s="2" t="s">
        <v>74</v>
      </c>
      <c r="H941" s="2" t="s">
        <v>74</v>
      </c>
      <c r="I941" s="2" t="s">
        <v>8374</v>
      </c>
      <c r="J941" s="2" t="s">
        <v>333</v>
      </c>
      <c r="K941" s="2" t="s">
        <v>74</v>
      </c>
      <c r="L941" s="2" t="s">
        <v>74</v>
      </c>
      <c r="M941" s="2" t="s">
        <v>74</v>
      </c>
      <c r="N941" s="2" t="s">
        <v>74</v>
      </c>
      <c r="O941" s="2" t="s">
        <v>74</v>
      </c>
      <c r="P941" s="2" t="s">
        <v>74</v>
      </c>
      <c r="Q941" s="2" t="s">
        <v>74</v>
      </c>
      <c r="R941" s="2" t="s">
        <v>74</v>
      </c>
      <c r="S941" s="2" t="s">
        <v>74</v>
      </c>
      <c r="T941" s="2" t="s">
        <v>74</v>
      </c>
      <c r="U941" s="2" t="s">
        <v>74</v>
      </c>
      <c r="V941" s="5" t="s">
        <v>8375</v>
      </c>
      <c r="W941" s="2" t="s">
        <v>74</v>
      </c>
      <c r="X941" s="2" t="s">
        <v>74</v>
      </c>
      <c r="Y941" s="2" t="s">
        <v>74</v>
      </c>
      <c r="Z941" s="2" t="s">
        <v>74</v>
      </c>
      <c r="AA941" s="2" t="s">
        <v>8376</v>
      </c>
      <c r="AB941" s="2" t="s">
        <v>1934</v>
      </c>
      <c r="AC941" s="2" t="s">
        <v>74</v>
      </c>
      <c r="AD941" s="2" t="s">
        <v>74</v>
      </c>
      <c r="AE941" s="2" t="s">
        <v>74</v>
      </c>
      <c r="AF941" s="2" t="s">
        <v>74</v>
      </c>
      <c r="AG941" s="2" t="s">
        <v>74</v>
      </c>
      <c r="AH941" s="2" t="s">
        <v>74</v>
      </c>
      <c r="AI941" s="2" t="s">
        <v>74</v>
      </c>
      <c r="AJ941" s="2" t="s">
        <v>74</v>
      </c>
      <c r="AK941" s="2" t="s">
        <v>74</v>
      </c>
      <c r="AL941" s="2" t="s">
        <v>74</v>
      </c>
      <c r="AM941" s="2" t="s">
        <v>74</v>
      </c>
      <c r="AN941" s="2" t="s">
        <v>74</v>
      </c>
      <c r="AO941" s="2" t="s">
        <v>337</v>
      </c>
      <c r="AP941" s="2" t="s">
        <v>338</v>
      </c>
      <c r="AQ941" s="2" t="s">
        <v>74</v>
      </c>
      <c r="AR941" s="2" t="s">
        <v>74</v>
      </c>
      <c r="AS941" s="2" t="s">
        <v>74</v>
      </c>
      <c r="AT941" s="2" t="s">
        <v>3338</v>
      </c>
      <c r="AU941" s="2">
        <v>1996</v>
      </c>
      <c r="AV941" s="2">
        <v>7</v>
      </c>
      <c r="AW941" s="2">
        <v>2</v>
      </c>
      <c r="AX941" s="2" t="s">
        <v>74</v>
      </c>
      <c r="AY941" s="2" t="s">
        <v>74</v>
      </c>
      <c r="AZ941" s="2" t="s">
        <v>74</v>
      </c>
      <c r="BA941" s="2" t="s">
        <v>74</v>
      </c>
      <c r="BB941" s="2">
        <v>145</v>
      </c>
      <c r="BC941" s="2">
        <v>150</v>
      </c>
      <c r="BD941" s="2" t="s">
        <v>74</v>
      </c>
      <c r="BE941" s="2" t="s">
        <v>8377</v>
      </c>
      <c r="BF941" s="2" t="str">
        <f>HYPERLINK("http://dx.doi.org/10.1093/beheco/7.2.145","http://dx.doi.org/10.1093/beheco/7.2.145")</f>
        <v>http://dx.doi.org/10.1093/beheco/7.2.145</v>
      </c>
      <c r="BG941" s="2" t="s">
        <v>74</v>
      </c>
      <c r="BH941" s="2" t="s">
        <v>74</v>
      </c>
      <c r="BI941" s="2" t="s">
        <v>74</v>
      </c>
      <c r="BJ941" s="2" t="s">
        <v>74</v>
      </c>
      <c r="BK941" s="2" t="s">
        <v>74</v>
      </c>
      <c r="BL941" s="2" t="s">
        <v>74</v>
      </c>
      <c r="BM941" s="2" t="s">
        <v>74</v>
      </c>
      <c r="BN941" s="2" t="s">
        <v>74</v>
      </c>
      <c r="BO941" s="2" t="s">
        <v>74</v>
      </c>
      <c r="BP941" s="2" t="s">
        <v>74</v>
      </c>
      <c r="BQ941" s="2" t="s">
        <v>74</v>
      </c>
      <c r="BR941" s="2" t="s">
        <v>74</v>
      </c>
      <c r="BS941" s="2" t="s">
        <v>8378</v>
      </c>
      <c r="BT941" s="2" t="str">
        <f>HYPERLINK("https%3A%2F%2Fwww.webofscience.com%2Fwos%2Fwoscc%2Ffull-record%2FWOS:A1996UK92900006","View Full Record in Web of Science")</f>
        <v>View Full Record in Web of Science</v>
      </c>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row>
    <row r="942" spans="1:314" s="1" customFormat="1" x14ac:dyDescent="0.4">
      <c r="A942" s="2" t="s">
        <v>72</v>
      </c>
      <c r="B942" s="2" t="s">
        <v>4262</v>
      </c>
      <c r="C942" s="2" t="s">
        <v>74</v>
      </c>
      <c r="D942" s="2" t="s">
        <v>74</v>
      </c>
      <c r="E942" s="2" t="s">
        <v>74</v>
      </c>
      <c r="F942" s="2" t="s">
        <v>4263</v>
      </c>
      <c r="G942" s="2" t="s">
        <v>74</v>
      </c>
      <c r="H942" s="2" t="s">
        <v>74</v>
      </c>
      <c r="I942" s="2" t="s">
        <v>4264</v>
      </c>
      <c r="J942" s="2" t="s">
        <v>241</v>
      </c>
      <c r="K942" s="2" t="s">
        <v>74</v>
      </c>
      <c r="L942" s="2" t="s">
        <v>74</v>
      </c>
      <c r="M942" s="2" t="s">
        <v>74</v>
      </c>
      <c r="N942" s="2" t="s">
        <v>74</v>
      </c>
      <c r="O942" s="2" t="s">
        <v>74</v>
      </c>
      <c r="P942" s="2" t="s">
        <v>74</v>
      </c>
      <c r="Q942" s="2" t="s">
        <v>74</v>
      </c>
      <c r="R942" s="2" t="s">
        <v>74</v>
      </c>
      <c r="S942" s="2" t="s">
        <v>74</v>
      </c>
      <c r="T942" s="2" t="s">
        <v>74</v>
      </c>
      <c r="U942" s="2" t="s">
        <v>74</v>
      </c>
      <c r="V942" s="5" t="s">
        <v>4265</v>
      </c>
      <c r="W942" s="2" t="s">
        <v>74</v>
      </c>
      <c r="X942" s="2" t="s">
        <v>74</v>
      </c>
      <c r="Y942" s="2" t="s">
        <v>74</v>
      </c>
      <c r="Z942" s="2" t="s">
        <v>74</v>
      </c>
      <c r="AA942" s="2" t="s">
        <v>4266</v>
      </c>
      <c r="AB942" s="2" t="s">
        <v>4267</v>
      </c>
      <c r="AC942" s="2" t="s">
        <v>74</v>
      </c>
      <c r="AD942" s="2" t="s">
        <v>74</v>
      </c>
      <c r="AE942" s="2" t="s">
        <v>74</v>
      </c>
      <c r="AF942" s="2" t="s">
        <v>74</v>
      </c>
      <c r="AG942" s="2" t="s">
        <v>74</v>
      </c>
      <c r="AH942" s="2" t="s">
        <v>74</v>
      </c>
      <c r="AI942" s="2" t="s">
        <v>74</v>
      </c>
      <c r="AJ942" s="2" t="s">
        <v>74</v>
      </c>
      <c r="AK942" s="2" t="s">
        <v>74</v>
      </c>
      <c r="AL942" s="2" t="s">
        <v>74</v>
      </c>
      <c r="AM942" s="2" t="s">
        <v>74</v>
      </c>
      <c r="AN942" s="2" t="s">
        <v>74</v>
      </c>
      <c r="AO942" s="2" t="s">
        <v>245</v>
      </c>
      <c r="AP942" s="2" t="s">
        <v>246</v>
      </c>
      <c r="AQ942" s="2" t="s">
        <v>74</v>
      </c>
      <c r="AR942" s="2" t="s">
        <v>74</v>
      </c>
      <c r="AS942" s="2" t="s">
        <v>74</v>
      </c>
      <c r="AT942" s="2" t="s">
        <v>255</v>
      </c>
      <c r="AU942" s="2">
        <v>2013</v>
      </c>
      <c r="AV942" s="2">
        <v>171</v>
      </c>
      <c r="AW942" s="2">
        <v>1</v>
      </c>
      <c r="AX942" s="2" t="s">
        <v>74</v>
      </c>
      <c r="AY942" s="2" t="s">
        <v>74</v>
      </c>
      <c r="AZ942" s="2" t="s">
        <v>74</v>
      </c>
      <c r="BA942" s="2" t="s">
        <v>74</v>
      </c>
      <c r="BB942" s="2">
        <v>105</v>
      </c>
      <c r="BC942" s="2">
        <v>113</v>
      </c>
      <c r="BD942" s="2" t="s">
        <v>74</v>
      </c>
      <c r="BE942" s="2" t="s">
        <v>4268</v>
      </c>
      <c r="BF942" s="2" t="str">
        <f>HYPERLINK("http://dx.doi.org/10.1007/s00442-012-2388-7","http://dx.doi.org/10.1007/s00442-012-2388-7")</f>
        <v>http://dx.doi.org/10.1007/s00442-012-2388-7</v>
      </c>
      <c r="BG942" s="2" t="s">
        <v>74</v>
      </c>
      <c r="BH942" s="2" t="s">
        <v>74</v>
      </c>
      <c r="BI942" s="2" t="s">
        <v>74</v>
      </c>
      <c r="BJ942" s="2" t="s">
        <v>74</v>
      </c>
      <c r="BK942" s="2" t="s">
        <v>74</v>
      </c>
      <c r="BL942" s="2" t="s">
        <v>74</v>
      </c>
      <c r="BM942" s="2" t="s">
        <v>74</v>
      </c>
      <c r="BN942" s="2">
        <v>22710614</v>
      </c>
      <c r="BO942" s="2" t="s">
        <v>74</v>
      </c>
      <c r="BP942" s="2" t="s">
        <v>74</v>
      </c>
      <c r="BQ942" s="2" t="s">
        <v>74</v>
      </c>
      <c r="BR942" s="2" t="s">
        <v>74</v>
      </c>
      <c r="BS942" s="2" t="s">
        <v>4269</v>
      </c>
      <c r="BT942" s="2" t="str">
        <f>HYPERLINK("https%3A%2F%2Fwww.webofscience.com%2Fwos%2Fwoscc%2Ffull-record%2FWOS:000313079100010","View Full Record in Web of Science")</f>
        <v>View Full Record in Web of Science</v>
      </c>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row>
    <row r="943" spans="1:314" s="2" customFormat="1" x14ac:dyDescent="0.4">
      <c r="A943" s="2" t="s">
        <v>72</v>
      </c>
      <c r="B943" s="2" t="s">
        <v>6284</v>
      </c>
      <c r="C943" s="2" t="s">
        <v>74</v>
      </c>
      <c r="D943" s="2" t="s">
        <v>74</v>
      </c>
      <c r="E943" s="2" t="s">
        <v>74</v>
      </c>
      <c r="F943" s="2" t="s">
        <v>6285</v>
      </c>
      <c r="G943" s="2" t="s">
        <v>74</v>
      </c>
      <c r="H943" s="2" t="s">
        <v>74</v>
      </c>
      <c r="I943" s="2" t="s">
        <v>6286</v>
      </c>
      <c r="J943" s="2" t="s">
        <v>1656</v>
      </c>
      <c r="K943" s="2" t="s">
        <v>74</v>
      </c>
      <c r="L943" s="2" t="s">
        <v>74</v>
      </c>
      <c r="M943" s="2" t="s">
        <v>74</v>
      </c>
      <c r="N943" s="2" t="s">
        <v>74</v>
      </c>
      <c r="O943" s="2" t="s">
        <v>74</v>
      </c>
      <c r="P943" s="2" t="s">
        <v>74</v>
      </c>
      <c r="Q943" s="2" t="s">
        <v>74</v>
      </c>
      <c r="R943" s="2" t="s">
        <v>74</v>
      </c>
      <c r="S943" s="2" t="s">
        <v>74</v>
      </c>
      <c r="T943" s="2" t="s">
        <v>74</v>
      </c>
      <c r="U943" s="2" t="s">
        <v>74</v>
      </c>
      <c r="V943" s="5" t="s">
        <v>6287</v>
      </c>
      <c r="W943" s="2" t="s">
        <v>74</v>
      </c>
      <c r="X943" s="2" t="s">
        <v>74</v>
      </c>
      <c r="Y943" s="2" t="s">
        <v>74</v>
      </c>
      <c r="Z943" s="2" t="s">
        <v>74</v>
      </c>
      <c r="AA943" s="2" t="s">
        <v>74</v>
      </c>
      <c r="AB943" s="2" t="s">
        <v>74</v>
      </c>
      <c r="AC943" s="2" t="s">
        <v>74</v>
      </c>
      <c r="AD943" s="2" t="s">
        <v>74</v>
      </c>
      <c r="AE943" s="2" t="s">
        <v>74</v>
      </c>
      <c r="AF943" s="2" t="s">
        <v>74</v>
      </c>
      <c r="AG943" s="2" t="s">
        <v>74</v>
      </c>
      <c r="AH943" s="2" t="s">
        <v>74</v>
      </c>
      <c r="AI943" s="2" t="s">
        <v>74</v>
      </c>
      <c r="AJ943" s="2" t="s">
        <v>74</v>
      </c>
      <c r="AK943" s="2" t="s">
        <v>74</v>
      </c>
      <c r="AL943" s="2" t="s">
        <v>74</v>
      </c>
      <c r="AM943" s="2" t="s">
        <v>74</v>
      </c>
      <c r="AN943" s="2" t="s">
        <v>74</v>
      </c>
      <c r="AO943" s="2" t="s">
        <v>1658</v>
      </c>
      <c r="AP943" s="2" t="s">
        <v>1659</v>
      </c>
      <c r="AQ943" s="2" t="s">
        <v>74</v>
      </c>
      <c r="AR943" s="2" t="s">
        <v>74</v>
      </c>
      <c r="AS943" s="2" t="s">
        <v>74</v>
      </c>
      <c r="AT943" s="2" t="s">
        <v>6288</v>
      </c>
      <c r="AU943" s="2">
        <v>2010</v>
      </c>
      <c r="AV943" s="2" t="s">
        <v>74</v>
      </c>
      <c r="AW943" s="2">
        <v>2355</v>
      </c>
      <c r="AX943" s="2" t="s">
        <v>74</v>
      </c>
      <c r="AY943" s="2" t="s">
        <v>74</v>
      </c>
      <c r="AZ943" s="2" t="s">
        <v>74</v>
      </c>
      <c r="BA943" s="2" t="s">
        <v>74</v>
      </c>
      <c r="BB943" s="2">
        <v>56</v>
      </c>
      <c r="BC943" s="2">
        <v>68</v>
      </c>
      <c r="BD943" s="2" t="s">
        <v>74</v>
      </c>
      <c r="BE943" s="2" t="s">
        <v>74</v>
      </c>
      <c r="BF943" s="2" t="s">
        <v>74</v>
      </c>
      <c r="BG943" s="2" t="s">
        <v>74</v>
      </c>
      <c r="BH943" s="2" t="s">
        <v>74</v>
      </c>
      <c r="BI943" s="2" t="s">
        <v>74</v>
      </c>
      <c r="BJ943" s="2" t="s">
        <v>74</v>
      </c>
      <c r="BK943" s="2" t="s">
        <v>74</v>
      </c>
      <c r="BL943" s="2" t="s">
        <v>74</v>
      </c>
      <c r="BM943" s="2" t="s">
        <v>74</v>
      </c>
      <c r="BN943" s="2" t="s">
        <v>74</v>
      </c>
      <c r="BO943" s="2" t="s">
        <v>74</v>
      </c>
      <c r="BP943" s="2" t="s">
        <v>74</v>
      </c>
      <c r="BQ943" s="2" t="s">
        <v>74</v>
      </c>
      <c r="BR943" s="2" t="s">
        <v>74</v>
      </c>
      <c r="BS943" s="2" t="s">
        <v>6289</v>
      </c>
      <c r="BT943" s="2" t="str">
        <f>HYPERLINK("https%3A%2F%2Fwww.webofscience.com%2Fwos%2Fwoscc%2Ffull-record%2FWOS:000274639400003","View Full Record in Web of Science")</f>
        <v>View Full Record in Web of Science</v>
      </c>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row>
    <row r="944" spans="1:314" s="2" customFormat="1" x14ac:dyDescent="0.4">
      <c r="A944" s="2" t="s">
        <v>72</v>
      </c>
      <c r="B944" s="2" t="s">
        <v>5595</v>
      </c>
      <c r="C944" s="2" t="s">
        <v>74</v>
      </c>
      <c r="D944" s="2" t="s">
        <v>74</v>
      </c>
      <c r="E944" s="2" t="s">
        <v>74</v>
      </c>
      <c r="F944" s="2" t="s">
        <v>5596</v>
      </c>
      <c r="G944" s="2" t="s">
        <v>74</v>
      </c>
      <c r="H944" s="2" t="s">
        <v>74</v>
      </c>
      <c r="I944" s="2" t="s">
        <v>5597</v>
      </c>
      <c r="J944" s="2" t="s">
        <v>1044</v>
      </c>
      <c r="K944" s="2" t="s">
        <v>74</v>
      </c>
      <c r="L944" s="2" t="s">
        <v>74</v>
      </c>
      <c r="M944" s="2" t="s">
        <v>74</v>
      </c>
      <c r="N944" s="2" t="s">
        <v>74</v>
      </c>
      <c r="O944" s="2" t="s">
        <v>74</v>
      </c>
      <c r="P944" s="2" t="s">
        <v>74</v>
      </c>
      <c r="Q944" s="2" t="s">
        <v>74</v>
      </c>
      <c r="R944" s="2" t="s">
        <v>74</v>
      </c>
      <c r="S944" s="2" t="s">
        <v>74</v>
      </c>
      <c r="T944" s="2" t="s">
        <v>74</v>
      </c>
      <c r="U944" s="2" t="s">
        <v>74</v>
      </c>
      <c r="V944" s="5" t="s">
        <v>5598</v>
      </c>
      <c r="W944" s="2" t="s">
        <v>74</v>
      </c>
      <c r="X944" s="2" t="s">
        <v>74</v>
      </c>
      <c r="Y944" s="2" t="s">
        <v>74</v>
      </c>
      <c r="Z944" s="2" t="s">
        <v>74</v>
      </c>
      <c r="AA944" s="2" t="s">
        <v>5599</v>
      </c>
      <c r="AB944" s="2" t="s">
        <v>5600</v>
      </c>
      <c r="AC944" s="2" t="s">
        <v>74</v>
      </c>
      <c r="AD944" s="2" t="s">
        <v>74</v>
      </c>
      <c r="AE944" s="2" t="s">
        <v>74</v>
      </c>
      <c r="AF944" s="2" t="s">
        <v>74</v>
      </c>
      <c r="AG944" s="2" t="s">
        <v>74</v>
      </c>
      <c r="AH944" s="2" t="s">
        <v>74</v>
      </c>
      <c r="AI944" s="2" t="s">
        <v>74</v>
      </c>
      <c r="AJ944" s="2" t="s">
        <v>74</v>
      </c>
      <c r="AK944" s="2" t="s">
        <v>74</v>
      </c>
      <c r="AL944" s="2" t="s">
        <v>74</v>
      </c>
      <c r="AM944" s="2" t="s">
        <v>74</v>
      </c>
      <c r="AN944" s="2" t="s">
        <v>74</v>
      </c>
      <c r="AO944" s="2" t="s">
        <v>1048</v>
      </c>
      <c r="AP944" s="2" t="s">
        <v>1049</v>
      </c>
      <c r="AQ944" s="2" t="s">
        <v>74</v>
      </c>
      <c r="AR944" s="2" t="s">
        <v>74</v>
      </c>
      <c r="AS944" s="2" t="s">
        <v>74</v>
      </c>
      <c r="AT944" s="2" t="s">
        <v>352</v>
      </c>
      <c r="AU944" s="2">
        <v>2015</v>
      </c>
      <c r="AV944" s="2">
        <v>24</v>
      </c>
      <c r="AW944" s="2">
        <v>18</v>
      </c>
      <c r="AX944" s="2" t="s">
        <v>74</v>
      </c>
      <c r="AY944" s="2" t="s">
        <v>74</v>
      </c>
      <c r="AZ944" s="2" t="s">
        <v>74</v>
      </c>
      <c r="BA944" s="2" t="s">
        <v>74</v>
      </c>
      <c r="BB944" s="2">
        <v>4679</v>
      </c>
      <c r="BC944" s="2">
        <v>4696</v>
      </c>
      <c r="BD944" s="2" t="s">
        <v>74</v>
      </c>
      <c r="BE944" s="2" t="s">
        <v>5601</v>
      </c>
      <c r="BF944" s="2" t="str">
        <f>HYPERLINK("http://dx.doi.org/10.1111/mec.13346","http://dx.doi.org/10.1111/mec.13346")</f>
        <v>http://dx.doi.org/10.1111/mec.13346</v>
      </c>
      <c r="BG944" s="2" t="s">
        <v>74</v>
      </c>
      <c r="BH944" s="2" t="s">
        <v>74</v>
      </c>
      <c r="BI944" s="2" t="s">
        <v>74</v>
      </c>
      <c r="BJ944" s="2" t="s">
        <v>74</v>
      </c>
      <c r="BK944" s="2" t="s">
        <v>74</v>
      </c>
      <c r="BL944" s="2" t="s">
        <v>74</v>
      </c>
      <c r="BM944" s="2" t="s">
        <v>74</v>
      </c>
      <c r="BN944" s="2">
        <v>26289828</v>
      </c>
      <c r="BO944" s="2" t="s">
        <v>74</v>
      </c>
      <c r="BP944" s="2" t="s">
        <v>74</v>
      </c>
      <c r="BQ944" s="2" t="s">
        <v>74</v>
      </c>
      <c r="BR944" s="2" t="s">
        <v>74</v>
      </c>
      <c r="BS944" s="2" t="s">
        <v>5602</v>
      </c>
      <c r="BT944" s="2" t="str">
        <f>HYPERLINK("https%3A%2F%2Fwww.webofscience.com%2Fwos%2Fwoscc%2Ffull-record%2FWOS:000361555900008","View Full Record in Web of Science")</f>
        <v>View Full Record in Web of Science</v>
      </c>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row>
    <row r="945" spans="1:314" s="1" customFormat="1" x14ac:dyDescent="0.4">
      <c r="A945" s="2" t="s">
        <v>72</v>
      </c>
      <c r="B945" s="2" t="s">
        <v>1851</v>
      </c>
      <c r="C945" s="2" t="s">
        <v>74</v>
      </c>
      <c r="D945" s="2" t="s">
        <v>74</v>
      </c>
      <c r="E945" s="2" t="s">
        <v>74</v>
      </c>
      <c r="F945" s="2" t="s">
        <v>1852</v>
      </c>
      <c r="G945" s="2" t="s">
        <v>74</v>
      </c>
      <c r="H945" s="2" t="s">
        <v>74</v>
      </c>
      <c r="I945" s="2" t="s">
        <v>1853</v>
      </c>
      <c r="J945" s="2" t="s">
        <v>1854</v>
      </c>
      <c r="K945" s="2" t="s">
        <v>74</v>
      </c>
      <c r="L945" s="2" t="s">
        <v>74</v>
      </c>
      <c r="M945" s="2" t="s">
        <v>74</v>
      </c>
      <c r="N945" s="2" t="s">
        <v>74</v>
      </c>
      <c r="O945" s="2" t="s">
        <v>74</v>
      </c>
      <c r="P945" s="2" t="s">
        <v>74</v>
      </c>
      <c r="Q945" s="2" t="s">
        <v>74</v>
      </c>
      <c r="R945" s="2" t="s">
        <v>74</v>
      </c>
      <c r="S945" s="2" t="s">
        <v>74</v>
      </c>
      <c r="T945" s="2" t="s">
        <v>74</v>
      </c>
      <c r="U945" s="2" t="s">
        <v>74</v>
      </c>
      <c r="V945" s="5" t="s">
        <v>1855</v>
      </c>
      <c r="W945" s="2" t="s">
        <v>74</v>
      </c>
      <c r="X945" s="2" t="s">
        <v>74</v>
      </c>
      <c r="Y945" s="2" t="s">
        <v>74</v>
      </c>
      <c r="Z945" s="2" t="s">
        <v>74</v>
      </c>
      <c r="AA945" s="2" t="s">
        <v>1856</v>
      </c>
      <c r="AB945" s="2" t="s">
        <v>1857</v>
      </c>
      <c r="AC945" s="2" t="s">
        <v>74</v>
      </c>
      <c r="AD945" s="2" t="s">
        <v>74</v>
      </c>
      <c r="AE945" s="2" t="s">
        <v>74</v>
      </c>
      <c r="AF945" s="2" t="s">
        <v>74</v>
      </c>
      <c r="AG945" s="2" t="s">
        <v>74</v>
      </c>
      <c r="AH945" s="2" t="s">
        <v>74</v>
      </c>
      <c r="AI945" s="2" t="s">
        <v>74</v>
      </c>
      <c r="AJ945" s="2" t="s">
        <v>74</v>
      </c>
      <c r="AK945" s="2" t="s">
        <v>74</v>
      </c>
      <c r="AL945" s="2" t="s">
        <v>74</v>
      </c>
      <c r="AM945" s="2" t="s">
        <v>74</v>
      </c>
      <c r="AN945" s="2" t="s">
        <v>74</v>
      </c>
      <c r="AO945" s="2" t="s">
        <v>1858</v>
      </c>
      <c r="AP945" s="2" t="s">
        <v>1859</v>
      </c>
      <c r="AQ945" s="2" t="s">
        <v>74</v>
      </c>
      <c r="AR945" s="2" t="s">
        <v>74</v>
      </c>
      <c r="AS945" s="2" t="s">
        <v>74</v>
      </c>
      <c r="AT945" s="2" t="s">
        <v>305</v>
      </c>
      <c r="AU945" s="2">
        <v>2016</v>
      </c>
      <c r="AV945" s="2">
        <v>45</v>
      </c>
      <c r="AW945" s="2">
        <v>6</v>
      </c>
      <c r="AX945" s="2" t="s">
        <v>74</v>
      </c>
      <c r="AY945" s="2" t="s">
        <v>74</v>
      </c>
      <c r="AZ945" s="2" t="s">
        <v>74</v>
      </c>
      <c r="BA945" s="2" t="s">
        <v>74</v>
      </c>
      <c r="BB945" s="2">
        <v>658</v>
      </c>
      <c r="BC945" s="2">
        <v>664</v>
      </c>
      <c r="BD945" s="2" t="s">
        <v>74</v>
      </c>
      <c r="BE945" s="2" t="s">
        <v>1860</v>
      </c>
      <c r="BF945" s="2" t="str">
        <f>HYPERLINK("http://dx.doi.org/10.1007/s13744-016-0417-7","http://dx.doi.org/10.1007/s13744-016-0417-7")</f>
        <v>http://dx.doi.org/10.1007/s13744-016-0417-7</v>
      </c>
      <c r="BG945" s="2" t="s">
        <v>74</v>
      </c>
      <c r="BH945" s="2" t="s">
        <v>74</v>
      </c>
      <c r="BI945" s="2" t="s">
        <v>74</v>
      </c>
      <c r="BJ945" s="2" t="s">
        <v>74</v>
      </c>
      <c r="BK945" s="2" t="s">
        <v>74</v>
      </c>
      <c r="BL945" s="2" t="s">
        <v>74</v>
      </c>
      <c r="BM945" s="2" t="s">
        <v>74</v>
      </c>
      <c r="BN945" s="2">
        <v>27379758</v>
      </c>
      <c r="BO945" s="2" t="s">
        <v>74</v>
      </c>
      <c r="BP945" s="2" t="s">
        <v>74</v>
      </c>
      <c r="BQ945" s="2" t="s">
        <v>74</v>
      </c>
      <c r="BR945" s="2" t="s">
        <v>74</v>
      </c>
      <c r="BS945" s="2" t="s">
        <v>1861</v>
      </c>
      <c r="BT945" s="2" t="str">
        <f>HYPERLINK("https%3A%2F%2Fwww.webofscience.com%2Fwos%2Fwoscc%2Ffull-record%2FWOS:000389000400006","View Full Record in Web of Science")</f>
        <v>View Full Record in Web of Science</v>
      </c>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row>
    <row r="946" spans="1:314" s="1" customFormat="1" x14ac:dyDescent="0.4">
      <c r="A946" s="2" t="s">
        <v>72</v>
      </c>
      <c r="B946" s="2" t="s">
        <v>1868</v>
      </c>
      <c r="C946" s="2" t="s">
        <v>74</v>
      </c>
      <c r="D946" s="2" t="s">
        <v>74</v>
      </c>
      <c r="E946" s="2" t="s">
        <v>74</v>
      </c>
      <c r="F946" s="2" t="s">
        <v>1869</v>
      </c>
      <c r="G946" s="2" t="s">
        <v>74</v>
      </c>
      <c r="H946" s="2" t="s">
        <v>74</v>
      </c>
      <c r="I946" s="2" t="s">
        <v>1870</v>
      </c>
      <c r="J946" s="2" t="s">
        <v>731</v>
      </c>
      <c r="K946" s="2" t="s">
        <v>74</v>
      </c>
      <c r="L946" s="2" t="s">
        <v>74</v>
      </c>
      <c r="M946" s="2" t="s">
        <v>74</v>
      </c>
      <c r="N946" s="2" t="s">
        <v>74</v>
      </c>
      <c r="O946" s="2" t="s">
        <v>74</v>
      </c>
      <c r="P946" s="2" t="s">
        <v>74</v>
      </c>
      <c r="Q946" s="2" t="s">
        <v>74</v>
      </c>
      <c r="R946" s="2" t="s">
        <v>74</v>
      </c>
      <c r="S946" s="2" t="s">
        <v>74</v>
      </c>
      <c r="T946" s="2" t="s">
        <v>74</v>
      </c>
      <c r="U946" s="2" t="s">
        <v>74</v>
      </c>
      <c r="V946" s="5" t="s">
        <v>1871</v>
      </c>
      <c r="W946" s="2" t="s">
        <v>74</v>
      </c>
      <c r="X946" s="2" t="s">
        <v>74</v>
      </c>
      <c r="Y946" s="2" t="s">
        <v>74</v>
      </c>
      <c r="Z946" s="2" t="s">
        <v>74</v>
      </c>
      <c r="AA946" s="2" t="s">
        <v>74</v>
      </c>
      <c r="AB946" s="2" t="s">
        <v>74</v>
      </c>
      <c r="AC946" s="2" t="s">
        <v>74</v>
      </c>
      <c r="AD946" s="2" t="s">
        <v>74</v>
      </c>
      <c r="AE946" s="2" t="s">
        <v>74</v>
      </c>
      <c r="AF946" s="2" t="s">
        <v>74</v>
      </c>
      <c r="AG946" s="2" t="s">
        <v>74</v>
      </c>
      <c r="AH946" s="2" t="s">
        <v>74</v>
      </c>
      <c r="AI946" s="2" t="s">
        <v>74</v>
      </c>
      <c r="AJ946" s="2" t="s">
        <v>74</v>
      </c>
      <c r="AK946" s="2" t="s">
        <v>74</v>
      </c>
      <c r="AL946" s="2" t="s">
        <v>74</v>
      </c>
      <c r="AM946" s="2" t="s">
        <v>74</v>
      </c>
      <c r="AN946" s="2" t="s">
        <v>74</v>
      </c>
      <c r="AO946" s="2" t="s">
        <v>733</v>
      </c>
      <c r="AP946" s="2" t="s">
        <v>734</v>
      </c>
      <c r="AQ946" s="2" t="s">
        <v>74</v>
      </c>
      <c r="AR946" s="2" t="s">
        <v>74</v>
      </c>
      <c r="AS946" s="2" t="s">
        <v>74</v>
      </c>
      <c r="AT946" s="2" t="s">
        <v>1872</v>
      </c>
      <c r="AU946" s="2">
        <v>2008</v>
      </c>
      <c r="AV946" s="2">
        <v>191</v>
      </c>
      <c r="AW946" s="2">
        <v>1</v>
      </c>
      <c r="AX946" s="2" t="s">
        <v>74</v>
      </c>
      <c r="AY946" s="2" t="s">
        <v>74</v>
      </c>
      <c r="AZ946" s="2" t="s">
        <v>74</v>
      </c>
      <c r="BA946" s="2" t="s">
        <v>74</v>
      </c>
      <c r="BB946" s="2">
        <v>77</v>
      </c>
      <c r="BC946" s="2">
        <v>87</v>
      </c>
      <c r="BD946" s="2" t="s">
        <v>74</v>
      </c>
      <c r="BE946" s="2" t="s">
        <v>1873</v>
      </c>
      <c r="BF946" s="2" t="str">
        <f>HYPERLINK("http://dx.doi.org/10.1016/j.bbr.2008.03.013","http://dx.doi.org/10.1016/j.bbr.2008.03.013")</f>
        <v>http://dx.doi.org/10.1016/j.bbr.2008.03.013</v>
      </c>
      <c r="BG946" s="2" t="s">
        <v>74</v>
      </c>
      <c r="BH946" s="2" t="s">
        <v>74</v>
      </c>
      <c r="BI946" s="2" t="s">
        <v>74</v>
      </c>
      <c r="BJ946" s="2" t="s">
        <v>74</v>
      </c>
      <c r="BK946" s="2" t="s">
        <v>74</v>
      </c>
      <c r="BL946" s="2" t="s">
        <v>74</v>
      </c>
      <c r="BM946" s="2" t="s">
        <v>74</v>
      </c>
      <c r="BN946" s="2">
        <v>18423643</v>
      </c>
      <c r="BO946" s="2" t="s">
        <v>74</v>
      </c>
      <c r="BP946" s="2" t="s">
        <v>74</v>
      </c>
      <c r="BQ946" s="2" t="s">
        <v>74</v>
      </c>
      <c r="BR946" s="2" t="s">
        <v>74</v>
      </c>
      <c r="BS946" s="2" t="s">
        <v>1874</v>
      </c>
      <c r="BT946" s="2" t="str">
        <f>HYPERLINK("https%3A%2F%2Fwww.webofscience.com%2Fwos%2Fwoscc%2Ffull-record%2FWOS:000256786700012","View Full Record in Web of Science")</f>
        <v>View Full Record in Web of Science</v>
      </c>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row>
    <row r="947" spans="1:314" s="2" customFormat="1" x14ac:dyDescent="0.4">
      <c r="A947" s="2" t="s">
        <v>72</v>
      </c>
      <c r="B947" s="2" t="s">
        <v>2328</v>
      </c>
      <c r="C947" s="2" t="s">
        <v>74</v>
      </c>
      <c r="D947" s="2" t="s">
        <v>74</v>
      </c>
      <c r="E947" s="2" t="s">
        <v>74</v>
      </c>
      <c r="F947" s="2" t="s">
        <v>2329</v>
      </c>
      <c r="G947" s="2" t="s">
        <v>74</v>
      </c>
      <c r="H947" s="2" t="s">
        <v>74</v>
      </c>
      <c r="I947" s="2" t="s">
        <v>2330</v>
      </c>
      <c r="J947" s="2" t="s">
        <v>1244</v>
      </c>
      <c r="K947" s="2" t="s">
        <v>74</v>
      </c>
      <c r="L947" s="2" t="s">
        <v>74</v>
      </c>
      <c r="M947" s="2" t="s">
        <v>74</v>
      </c>
      <c r="N947" s="2" t="s">
        <v>74</v>
      </c>
      <c r="O947" s="2" t="s">
        <v>74</v>
      </c>
      <c r="P947" s="2" t="s">
        <v>74</v>
      </c>
      <c r="Q947" s="2" t="s">
        <v>74</v>
      </c>
      <c r="R947" s="2" t="s">
        <v>74</v>
      </c>
      <c r="S947" s="2" t="s">
        <v>74</v>
      </c>
      <c r="T947" s="2" t="s">
        <v>74</v>
      </c>
      <c r="U947" s="2" t="s">
        <v>74</v>
      </c>
      <c r="V947" s="5" t="s">
        <v>2331</v>
      </c>
      <c r="W947" s="2" t="s">
        <v>74</v>
      </c>
      <c r="X947" s="2" t="s">
        <v>74</v>
      </c>
      <c r="Y947" s="2" t="s">
        <v>74</v>
      </c>
      <c r="Z947" s="2" t="s">
        <v>74</v>
      </c>
      <c r="AA947" s="2" t="s">
        <v>74</v>
      </c>
      <c r="AB947" s="2" t="s">
        <v>74</v>
      </c>
      <c r="AC947" s="2" t="s">
        <v>74</v>
      </c>
      <c r="AD947" s="2" t="s">
        <v>74</v>
      </c>
      <c r="AE947" s="2" t="s">
        <v>74</v>
      </c>
      <c r="AF947" s="2" t="s">
        <v>74</v>
      </c>
      <c r="AG947" s="2" t="s">
        <v>74</v>
      </c>
      <c r="AH947" s="2" t="s">
        <v>74</v>
      </c>
      <c r="AI947" s="2" t="s">
        <v>74</v>
      </c>
      <c r="AJ947" s="2" t="s">
        <v>74</v>
      </c>
      <c r="AK947" s="2" t="s">
        <v>74</v>
      </c>
      <c r="AL947" s="2" t="s">
        <v>74</v>
      </c>
      <c r="AM947" s="2" t="s">
        <v>74</v>
      </c>
      <c r="AN947" s="2" t="s">
        <v>74</v>
      </c>
      <c r="AO947" s="2" t="s">
        <v>1246</v>
      </c>
      <c r="AP947" s="2" t="s">
        <v>74</v>
      </c>
      <c r="AQ947" s="2" t="s">
        <v>74</v>
      </c>
      <c r="AR947" s="2" t="s">
        <v>74</v>
      </c>
      <c r="AS947" s="2" t="s">
        <v>74</v>
      </c>
      <c r="AT947" s="2" t="s">
        <v>2332</v>
      </c>
      <c r="AU947" s="2">
        <v>2014</v>
      </c>
      <c r="AV947" s="2">
        <v>43</v>
      </c>
      <c r="AW947" s="2" t="s">
        <v>1276</v>
      </c>
      <c r="AX947" s="2" t="s">
        <v>74</v>
      </c>
      <c r="AY947" s="2" t="s">
        <v>74</v>
      </c>
      <c r="AZ947" s="2" t="s">
        <v>74</v>
      </c>
      <c r="BA947" s="2" t="s">
        <v>74</v>
      </c>
      <c r="BB947" s="2">
        <v>227</v>
      </c>
      <c r="BC947" s="2">
        <v>235</v>
      </c>
      <c r="BD947" s="2" t="s">
        <v>74</v>
      </c>
      <c r="BE947" s="2" t="s">
        <v>74</v>
      </c>
      <c r="BF947" s="2" t="s">
        <v>74</v>
      </c>
      <c r="BG947" s="2" t="s">
        <v>74</v>
      </c>
      <c r="BH947" s="2" t="s">
        <v>74</v>
      </c>
      <c r="BI947" s="2" t="s">
        <v>74</v>
      </c>
      <c r="BJ947" s="2" t="s">
        <v>74</v>
      </c>
      <c r="BK947" s="2" t="s">
        <v>74</v>
      </c>
      <c r="BL947" s="2" t="s">
        <v>74</v>
      </c>
      <c r="BM947" s="2" t="s">
        <v>74</v>
      </c>
      <c r="BN947" s="2" t="s">
        <v>74</v>
      </c>
      <c r="BO947" s="2" t="s">
        <v>74</v>
      </c>
      <c r="BP947" s="2" t="s">
        <v>74</v>
      </c>
      <c r="BQ947" s="2" t="s">
        <v>74</v>
      </c>
      <c r="BR947" s="2" t="s">
        <v>74</v>
      </c>
      <c r="BS947" s="2" t="s">
        <v>2333</v>
      </c>
      <c r="BT947" s="2" t="str">
        <f>HYPERLINK("https%3A%2F%2Fwww.webofscience.com%2Fwos%2Fwoscc%2Ffull-record%2FWOS:000345540300007","View Full Record in Web of Science")</f>
        <v>View Full Record in Web of Science</v>
      </c>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row>
    <row r="948" spans="1:314" s="2" customFormat="1" x14ac:dyDescent="0.4">
      <c r="A948" s="2" t="s">
        <v>72</v>
      </c>
      <c r="B948" s="2" t="s">
        <v>3843</v>
      </c>
      <c r="C948" s="2" t="s">
        <v>74</v>
      </c>
      <c r="D948" s="2" t="s">
        <v>74</v>
      </c>
      <c r="E948" s="2" t="s">
        <v>74</v>
      </c>
      <c r="F948" s="2" t="s">
        <v>3844</v>
      </c>
      <c r="G948" s="2" t="s">
        <v>74</v>
      </c>
      <c r="H948" s="2" t="s">
        <v>74</v>
      </c>
      <c r="I948" s="2" t="s">
        <v>3845</v>
      </c>
      <c r="J948" s="2" t="s">
        <v>3846</v>
      </c>
      <c r="K948" s="2" t="s">
        <v>74</v>
      </c>
      <c r="L948" s="2" t="s">
        <v>74</v>
      </c>
      <c r="M948" s="2" t="s">
        <v>74</v>
      </c>
      <c r="N948" s="2" t="s">
        <v>74</v>
      </c>
      <c r="O948" s="2" t="s">
        <v>74</v>
      </c>
      <c r="P948" s="2" t="s">
        <v>74</v>
      </c>
      <c r="Q948" s="2" t="s">
        <v>74</v>
      </c>
      <c r="R948" s="2" t="s">
        <v>74</v>
      </c>
      <c r="S948" s="2" t="s">
        <v>74</v>
      </c>
      <c r="T948" s="2" t="s">
        <v>74</v>
      </c>
      <c r="U948" s="2" t="s">
        <v>74</v>
      </c>
      <c r="V948" s="5" t="s">
        <v>3847</v>
      </c>
      <c r="W948" s="2" t="s">
        <v>74</v>
      </c>
      <c r="X948" s="2" t="s">
        <v>74</v>
      </c>
      <c r="Y948" s="2" t="s">
        <v>74</v>
      </c>
      <c r="Z948" s="2" t="s">
        <v>74</v>
      </c>
      <c r="AA948" s="2" t="s">
        <v>231</v>
      </c>
      <c r="AB948" s="2" t="s">
        <v>3848</v>
      </c>
      <c r="AC948" s="2" t="s">
        <v>74</v>
      </c>
      <c r="AD948" s="2" t="s">
        <v>74</v>
      </c>
      <c r="AE948" s="2" t="s">
        <v>74</v>
      </c>
      <c r="AF948" s="2" t="s">
        <v>74</v>
      </c>
      <c r="AG948" s="2" t="s">
        <v>74</v>
      </c>
      <c r="AH948" s="2" t="s">
        <v>74</v>
      </c>
      <c r="AI948" s="2" t="s">
        <v>74</v>
      </c>
      <c r="AJ948" s="2" t="s">
        <v>74</v>
      </c>
      <c r="AK948" s="2" t="s">
        <v>74</v>
      </c>
      <c r="AL948" s="2" t="s">
        <v>74</v>
      </c>
      <c r="AM948" s="2" t="s">
        <v>74</v>
      </c>
      <c r="AN948" s="2" t="s">
        <v>74</v>
      </c>
      <c r="AO948" s="2" t="s">
        <v>3849</v>
      </c>
      <c r="AP948" s="2" t="s">
        <v>3850</v>
      </c>
      <c r="AQ948" s="2" t="s">
        <v>74</v>
      </c>
      <c r="AR948" s="2" t="s">
        <v>74</v>
      </c>
      <c r="AS948" s="2" t="s">
        <v>74</v>
      </c>
      <c r="AT948" s="2" t="s">
        <v>102</v>
      </c>
      <c r="AU948" s="2">
        <v>2019</v>
      </c>
      <c r="AV948" s="2">
        <v>14</v>
      </c>
      <c r="AW948" s="2">
        <v>1</v>
      </c>
      <c r="AX948" s="2" t="s">
        <v>74</v>
      </c>
      <c r="AY948" s="2" t="s">
        <v>74</v>
      </c>
      <c r="AZ948" s="2" t="s">
        <v>74</v>
      </c>
      <c r="BA948" s="2" t="s">
        <v>74</v>
      </c>
      <c r="BB948" s="2">
        <v>35</v>
      </c>
      <c r="BC948" s="2">
        <v>41</v>
      </c>
      <c r="BD948" s="2" t="s">
        <v>74</v>
      </c>
      <c r="BE948" s="2" t="s">
        <v>3851</v>
      </c>
      <c r="BF948" s="2" t="str">
        <f>HYPERLINK("http://dx.doi.org/10.13128/Acta_Herpetol-24651","http://dx.doi.org/10.13128/Acta_Herpetol-24651")</f>
        <v>http://dx.doi.org/10.13128/Acta_Herpetol-24651</v>
      </c>
      <c r="BG948" s="2" t="s">
        <v>74</v>
      </c>
      <c r="BH948" s="2" t="s">
        <v>74</v>
      </c>
      <c r="BI948" s="2" t="s">
        <v>74</v>
      </c>
      <c r="BJ948" s="2" t="s">
        <v>74</v>
      </c>
      <c r="BK948" s="2" t="s">
        <v>74</v>
      </c>
      <c r="BL948" s="2" t="s">
        <v>74</v>
      </c>
      <c r="BM948" s="2" t="s">
        <v>74</v>
      </c>
      <c r="BN948" s="2" t="s">
        <v>74</v>
      </c>
      <c r="BO948" s="2" t="s">
        <v>74</v>
      </c>
      <c r="BP948" s="2" t="s">
        <v>74</v>
      </c>
      <c r="BQ948" s="2" t="s">
        <v>74</v>
      </c>
      <c r="BR948" s="2" t="s">
        <v>74</v>
      </c>
      <c r="BS948" s="2" t="s">
        <v>3852</v>
      </c>
      <c r="BT948" s="2" t="str">
        <f>HYPERLINK("https%3A%2F%2Fwww.webofscience.com%2Fwos%2Fwoscc%2Ffull-record%2FWOS:000482630700005","View Full Record in Web of Science")</f>
        <v>View Full Record in Web of Science</v>
      </c>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row>
    <row r="949" spans="1:314" s="2" customFormat="1" x14ac:dyDescent="0.4">
      <c r="A949" s="2" t="s">
        <v>72</v>
      </c>
      <c r="B949" s="2" t="s">
        <v>7982</v>
      </c>
      <c r="C949" s="2" t="s">
        <v>74</v>
      </c>
      <c r="D949" s="2" t="s">
        <v>74</v>
      </c>
      <c r="E949" s="2" t="s">
        <v>74</v>
      </c>
      <c r="F949" s="2" t="s">
        <v>7982</v>
      </c>
      <c r="G949" s="2" t="s">
        <v>74</v>
      </c>
      <c r="H949" s="2" t="s">
        <v>74</v>
      </c>
      <c r="I949" s="2" t="s">
        <v>7983</v>
      </c>
      <c r="J949" s="2" t="s">
        <v>530</v>
      </c>
      <c r="K949" s="2" t="s">
        <v>74</v>
      </c>
      <c r="L949" s="2" t="s">
        <v>74</v>
      </c>
      <c r="M949" s="2" t="s">
        <v>74</v>
      </c>
      <c r="N949" s="2" t="s">
        <v>74</v>
      </c>
      <c r="O949" s="2" t="s">
        <v>74</v>
      </c>
      <c r="P949" s="2" t="s">
        <v>74</v>
      </c>
      <c r="Q949" s="2" t="s">
        <v>74</v>
      </c>
      <c r="R949" s="2" t="s">
        <v>74</v>
      </c>
      <c r="S949" s="2" t="s">
        <v>74</v>
      </c>
      <c r="T949" s="2" t="s">
        <v>74</v>
      </c>
      <c r="U949" s="2" t="s">
        <v>74</v>
      </c>
      <c r="V949" s="5" t="s">
        <v>7984</v>
      </c>
      <c r="W949" s="2" t="s">
        <v>74</v>
      </c>
      <c r="X949" s="2" t="s">
        <v>74</v>
      </c>
      <c r="Y949" s="2" t="s">
        <v>74</v>
      </c>
      <c r="Z949" s="2" t="s">
        <v>74</v>
      </c>
      <c r="AA949" s="2" t="s">
        <v>7985</v>
      </c>
      <c r="AB949" s="2" t="s">
        <v>7986</v>
      </c>
      <c r="AC949" s="2" t="s">
        <v>74</v>
      </c>
      <c r="AD949" s="2" t="s">
        <v>74</v>
      </c>
      <c r="AE949" s="2" t="s">
        <v>74</v>
      </c>
      <c r="AF949" s="2" t="s">
        <v>74</v>
      </c>
      <c r="AG949" s="2" t="s">
        <v>74</v>
      </c>
      <c r="AH949" s="2" t="s">
        <v>74</v>
      </c>
      <c r="AI949" s="2" t="s">
        <v>74</v>
      </c>
      <c r="AJ949" s="2" t="s">
        <v>74</v>
      </c>
      <c r="AK949" s="2" t="s">
        <v>74</v>
      </c>
      <c r="AL949" s="2" t="s">
        <v>74</v>
      </c>
      <c r="AM949" s="2" t="s">
        <v>74</v>
      </c>
      <c r="AN949" s="2" t="s">
        <v>74</v>
      </c>
      <c r="AO949" s="2" t="s">
        <v>532</v>
      </c>
      <c r="AP949" s="2" t="s">
        <v>74</v>
      </c>
      <c r="AQ949" s="2" t="s">
        <v>74</v>
      </c>
      <c r="AR949" s="2" t="s">
        <v>74</v>
      </c>
      <c r="AS949" s="2" t="s">
        <v>74</v>
      </c>
      <c r="AT949" s="2" t="s">
        <v>964</v>
      </c>
      <c r="AU949" s="2">
        <v>2005</v>
      </c>
      <c r="AV949" s="2">
        <v>146</v>
      </c>
      <c r="AW949" s="2">
        <v>3</v>
      </c>
      <c r="AX949" s="2" t="s">
        <v>74</v>
      </c>
      <c r="AY949" s="2" t="s">
        <v>74</v>
      </c>
      <c r="AZ949" s="2" t="s">
        <v>74</v>
      </c>
      <c r="BA949" s="2" t="s">
        <v>74</v>
      </c>
      <c r="BB949" s="2">
        <v>435</v>
      </c>
      <c r="BC949" s="2">
        <v>443</v>
      </c>
      <c r="BD949" s="2" t="s">
        <v>74</v>
      </c>
      <c r="BE949" s="2" t="s">
        <v>7987</v>
      </c>
      <c r="BF949" s="2" t="str">
        <f>HYPERLINK("http://dx.doi.org/10.1007/s00227-004-1462-z","http://dx.doi.org/10.1007/s00227-004-1462-z")</f>
        <v>http://dx.doi.org/10.1007/s00227-004-1462-z</v>
      </c>
      <c r="BG949" s="2" t="s">
        <v>74</v>
      </c>
      <c r="BH949" s="2" t="s">
        <v>74</v>
      </c>
      <c r="BI949" s="2" t="s">
        <v>74</v>
      </c>
      <c r="BJ949" s="2" t="s">
        <v>74</v>
      </c>
      <c r="BK949" s="2" t="s">
        <v>74</v>
      </c>
      <c r="BL949" s="2" t="s">
        <v>74</v>
      </c>
      <c r="BM949" s="2" t="s">
        <v>74</v>
      </c>
      <c r="BN949" s="2" t="s">
        <v>74</v>
      </c>
      <c r="BO949" s="2" t="s">
        <v>74</v>
      </c>
      <c r="BP949" s="2" t="s">
        <v>74</v>
      </c>
      <c r="BQ949" s="2" t="s">
        <v>74</v>
      </c>
      <c r="BR949" s="2" t="s">
        <v>74</v>
      </c>
      <c r="BS949" s="2" t="s">
        <v>7988</v>
      </c>
      <c r="BT949" s="2" t="str">
        <f>HYPERLINK("https%3A%2F%2Fwww.webofscience.com%2Fwos%2Fwoscc%2Ffull-record%2FWOS:000226810300002","View Full Record in Web of Science")</f>
        <v>View Full Record in Web of Science</v>
      </c>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row>
    <row r="950" spans="1:314" s="2" customFormat="1" x14ac:dyDescent="0.4">
      <c r="A950" s="2" t="s">
        <v>72</v>
      </c>
      <c r="B950" s="2" t="s">
        <v>4783</v>
      </c>
      <c r="C950" s="2" t="s">
        <v>74</v>
      </c>
      <c r="D950" s="2" t="s">
        <v>74</v>
      </c>
      <c r="E950" s="2" t="s">
        <v>74</v>
      </c>
      <c r="F950" s="2" t="s">
        <v>4784</v>
      </c>
      <c r="G950" s="2" t="s">
        <v>74</v>
      </c>
      <c r="H950" s="2" t="s">
        <v>74</v>
      </c>
      <c r="I950" s="2" t="s">
        <v>4785</v>
      </c>
      <c r="J950" s="2" t="s">
        <v>1601</v>
      </c>
      <c r="K950" s="2" t="s">
        <v>74</v>
      </c>
      <c r="L950" s="2" t="s">
        <v>74</v>
      </c>
      <c r="M950" s="2" t="s">
        <v>74</v>
      </c>
      <c r="N950" s="2" t="s">
        <v>74</v>
      </c>
      <c r="O950" s="2" t="s">
        <v>74</v>
      </c>
      <c r="P950" s="2" t="s">
        <v>74</v>
      </c>
      <c r="Q950" s="2" t="s">
        <v>74</v>
      </c>
      <c r="R950" s="2" t="s">
        <v>74</v>
      </c>
      <c r="S950" s="2" t="s">
        <v>74</v>
      </c>
      <c r="T950" s="2" t="s">
        <v>74</v>
      </c>
      <c r="U950" s="2" t="s">
        <v>74</v>
      </c>
      <c r="V950" s="5" t="s">
        <v>4786</v>
      </c>
      <c r="W950" s="2" t="s">
        <v>74</v>
      </c>
      <c r="X950" s="2" t="s">
        <v>74</v>
      </c>
      <c r="Y950" s="2" t="s">
        <v>74</v>
      </c>
      <c r="Z950" s="2" t="s">
        <v>74</v>
      </c>
      <c r="AA950" s="2" t="s">
        <v>74</v>
      </c>
      <c r="AB950" s="2" t="s">
        <v>74</v>
      </c>
      <c r="AC950" s="2" t="s">
        <v>74</v>
      </c>
      <c r="AD950" s="2" t="s">
        <v>74</v>
      </c>
      <c r="AE950" s="2" t="s">
        <v>74</v>
      </c>
      <c r="AF950" s="2" t="s">
        <v>74</v>
      </c>
      <c r="AG950" s="2" t="s">
        <v>74</v>
      </c>
      <c r="AH950" s="2" t="s">
        <v>74</v>
      </c>
      <c r="AI950" s="2" t="s">
        <v>74</v>
      </c>
      <c r="AJ950" s="2" t="s">
        <v>74</v>
      </c>
      <c r="AK950" s="2" t="s">
        <v>74</v>
      </c>
      <c r="AL950" s="2" t="s">
        <v>74</v>
      </c>
      <c r="AM950" s="2" t="s">
        <v>74</v>
      </c>
      <c r="AN950" s="2" t="s">
        <v>74</v>
      </c>
      <c r="AO950" s="2" t="s">
        <v>1603</v>
      </c>
      <c r="AP950" s="2" t="s">
        <v>74</v>
      </c>
      <c r="AQ950" s="2" t="s">
        <v>74</v>
      </c>
      <c r="AR950" s="2" t="s">
        <v>74</v>
      </c>
      <c r="AS950" s="2" t="s">
        <v>74</v>
      </c>
      <c r="AT950" s="2" t="s">
        <v>352</v>
      </c>
      <c r="AU950" s="2">
        <v>2006</v>
      </c>
      <c r="AV950" s="2">
        <v>113</v>
      </c>
      <c r="AW950" s="2">
        <v>3</v>
      </c>
      <c r="AX950" s="2" t="s">
        <v>74</v>
      </c>
      <c r="AY950" s="2" t="s">
        <v>74</v>
      </c>
      <c r="AZ950" s="2" t="s">
        <v>74</v>
      </c>
      <c r="BA950" s="2" t="s">
        <v>74</v>
      </c>
      <c r="BB950" s="2">
        <v>675</v>
      </c>
      <c r="BC950" s="2">
        <v>691</v>
      </c>
      <c r="BD950" s="2" t="s">
        <v>74</v>
      </c>
      <c r="BE950" s="2" t="s">
        <v>4787</v>
      </c>
      <c r="BF950" s="2" t="str">
        <f>HYPERLINK("http://dx.doi.org/10.5962/bhl.part.80367","http://dx.doi.org/10.5962/bhl.part.80367")</f>
        <v>http://dx.doi.org/10.5962/bhl.part.80367</v>
      </c>
      <c r="BG950" s="2" t="s">
        <v>74</v>
      </c>
      <c r="BH950" s="2" t="s">
        <v>74</v>
      </c>
      <c r="BI950" s="2" t="s">
        <v>74</v>
      </c>
      <c r="BJ950" s="2" t="s">
        <v>74</v>
      </c>
      <c r="BK950" s="2" t="s">
        <v>74</v>
      </c>
      <c r="BL950" s="2" t="s">
        <v>74</v>
      </c>
      <c r="BM950" s="2" t="s">
        <v>74</v>
      </c>
      <c r="BN950" s="2" t="s">
        <v>74</v>
      </c>
      <c r="BO950" s="2" t="s">
        <v>74</v>
      </c>
      <c r="BP950" s="2" t="s">
        <v>74</v>
      </c>
      <c r="BQ950" s="2" t="s">
        <v>74</v>
      </c>
      <c r="BR950" s="2" t="s">
        <v>74</v>
      </c>
      <c r="BS950" s="2" t="s">
        <v>4788</v>
      </c>
      <c r="BT950" s="2" t="str">
        <f>HYPERLINK("https%3A%2F%2Fwww.webofscience.com%2Fwos%2Fwoscc%2Ffull-record%2FWOS:000241077500009","View Full Record in Web of Science")</f>
        <v>View Full Record in Web of Science</v>
      </c>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row>
    <row r="951" spans="1:314" s="2" customFormat="1" x14ac:dyDescent="0.4">
      <c r="A951" s="2" t="s">
        <v>72</v>
      </c>
      <c r="B951" s="2" t="s">
        <v>3244</v>
      </c>
      <c r="C951" s="2" t="s">
        <v>74</v>
      </c>
      <c r="D951" s="2" t="s">
        <v>74</v>
      </c>
      <c r="E951" s="2" t="s">
        <v>74</v>
      </c>
      <c r="F951" s="2" t="s">
        <v>3245</v>
      </c>
      <c r="G951" s="2" t="s">
        <v>74</v>
      </c>
      <c r="H951" s="2" t="s">
        <v>74</v>
      </c>
      <c r="I951" s="2" t="s">
        <v>3246</v>
      </c>
      <c r="J951" s="2" t="s">
        <v>610</v>
      </c>
      <c r="K951" s="2" t="s">
        <v>74</v>
      </c>
      <c r="L951" s="2" t="s">
        <v>74</v>
      </c>
      <c r="M951" s="2" t="s">
        <v>74</v>
      </c>
      <c r="N951" s="2" t="s">
        <v>74</v>
      </c>
      <c r="O951" s="2" t="s">
        <v>74</v>
      </c>
      <c r="P951" s="2" t="s">
        <v>74</v>
      </c>
      <c r="Q951" s="2" t="s">
        <v>74</v>
      </c>
      <c r="R951" s="2" t="s">
        <v>74</v>
      </c>
      <c r="S951" s="2" t="s">
        <v>74</v>
      </c>
      <c r="T951" s="2" t="s">
        <v>74</v>
      </c>
      <c r="U951" s="2" t="s">
        <v>74</v>
      </c>
      <c r="V951" s="5" t="s">
        <v>3247</v>
      </c>
      <c r="W951" s="2" t="s">
        <v>74</v>
      </c>
      <c r="X951" s="2" t="s">
        <v>74</v>
      </c>
      <c r="Y951" s="2" t="s">
        <v>74</v>
      </c>
      <c r="Z951" s="2" t="s">
        <v>74</v>
      </c>
      <c r="AA951" s="2" t="s">
        <v>3248</v>
      </c>
      <c r="AB951" s="2" t="s">
        <v>3249</v>
      </c>
      <c r="AC951" s="2" t="s">
        <v>74</v>
      </c>
      <c r="AD951" s="2" t="s">
        <v>74</v>
      </c>
      <c r="AE951" s="2" t="s">
        <v>74</v>
      </c>
      <c r="AF951" s="2" t="s">
        <v>74</v>
      </c>
      <c r="AG951" s="2" t="s">
        <v>74</v>
      </c>
      <c r="AH951" s="2" t="s">
        <v>74</v>
      </c>
      <c r="AI951" s="2" t="s">
        <v>74</v>
      </c>
      <c r="AJ951" s="2" t="s">
        <v>74</v>
      </c>
      <c r="AK951" s="2" t="s">
        <v>74</v>
      </c>
      <c r="AL951" s="2" t="s">
        <v>74</v>
      </c>
      <c r="AM951" s="2" t="s">
        <v>74</v>
      </c>
      <c r="AN951" s="2" t="s">
        <v>74</v>
      </c>
      <c r="AO951" s="2" t="s">
        <v>614</v>
      </c>
      <c r="AP951" s="2" t="s">
        <v>615</v>
      </c>
      <c r="AQ951" s="2" t="s">
        <v>74</v>
      </c>
      <c r="AR951" s="2" t="s">
        <v>74</v>
      </c>
      <c r="AS951" s="2" t="s">
        <v>74</v>
      </c>
      <c r="AT951" s="2" t="s">
        <v>145</v>
      </c>
      <c r="AU951" s="2">
        <v>2017</v>
      </c>
      <c r="AV951" s="2">
        <v>123</v>
      </c>
      <c r="AW951" s="2">
        <v>8</v>
      </c>
      <c r="AX951" s="2" t="s">
        <v>74</v>
      </c>
      <c r="AY951" s="2" t="s">
        <v>74</v>
      </c>
      <c r="AZ951" s="2" t="s">
        <v>74</v>
      </c>
      <c r="BA951" s="2" t="s">
        <v>74</v>
      </c>
      <c r="BB951" s="2">
        <v>560</v>
      </c>
      <c r="BC951" s="2">
        <v>570</v>
      </c>
      <c r="BD951" s="2" t="s">
        <v>74</v>
      </c>
      <c r="BE951" s="2" t="s">
        <v>3250</v>
      </c>
      <c r="BF951" s="2" t="str">
        <f>HYPERLINK("http://dx.doi.org/10.1111/eth.12630","http://dx.doi.org/10.1111/eth.12630")</f>
        <v>http://dx.doi.org/10.1111/eth.12630</v>
      </c>
      <c r="BG951" s="2" t="s">
        <v>74</v>
      </c>
      <c r="BH951" s="2" t="s">
        <v>74</v>
      </c>
      <c r="BI951" s="2" t="s">
        <v>74</v>
      </c>
      <c r="BJ951" s="2" t="s">
        <v>74</v>
      </c>
      <c r="BK951" s="2" t="s">
        <v>74</v>
      </c>
      <c r="BL951" s="2" t="s">
        <v>74</v>
      </c>
      <c r="BM951" s="2" t="s">
        <v>74</v>
      </c>
      <c r="BN951" s="2" t="s">
        <v>74</v>
      </c>
      <c r="BO951" s="2" t="s">
        <v>74</v>
      </c>
      <c r="BP951" s="2" t="s">
        <v>74</v>
      </c>
      <c r="BQ951" s="2" t="s">
        <v>74</v>
      </c>
      <c r="BR951" s="2" t="s">
        <v>74</v>
      </c>
      <c r="BS951" s="2" t="s">
        <v>3251</v>
      </c>
      <c r="BT951" s="2" t="str">
        <f>HYPERLINK("https%3A%2F%2Fwww.webofscience.com%2Fwos%2Fwoscc%2Ffull-record%2FWOS:000404616400008","View Full Record in Web of Science")</f>
        <v>View Full Record in Web of Science</v>
      </c>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row>
    <row r="952" spans="1:314" s="2" customFormat="1" x14ac:dyDescent="0.4">
      <c r="A952" s="2" t="s">
        <v>72</v>
      </c>
      <c r="B952" s="2" t="s">
        <v>6160</v>
      </c>
      <c r="C952" s="2" t="s">
        <v>74</v>
      </c>
      <c r="D952" s="2" t="s">
        <v>74</v>
      </c>
      <c r="E952" s="2" t="s">
        <v>74</v>
      </c>
      <c r="F952" s="2" t="s">
        <v>6161</v>
      </c>
      <c r="G952" s="2" t="s">
        <v>74</v>
      </c>
      <c r="H952" s="2" t="s">
        <v>74</v>
      </c>
      <c r="I952" s="2" t="s">
        <v>6162</v>
      </c>
      <c r="J952" s="2" t="s">
        <v>1656</v>
      </c>
      <c r="K952" s="2" t="s">
        <v>74</v>
      </c>
      <c r="L952" s="2" t="s">
        <v>74</v>
      </c>
      <c r="M952" s="2" t="s">
        <v>74</v>
      </c>
      <c r="N952" s="2" t="s">
        <v>74</v>
      </c>
      <c r="O952" s="2" t="s">
        <v>74</v>
      </c>
      <c r="P952" s="2" t="s">
        <v>74</v>
      </c>
      <c r="Q952" s="2" t="s">
        <v>74</v>
      </c>
      <c r="R952" s="2" t="s">
        <v>74</v>
      </c>
      <c r="S952" s="2" t="s">
        <v>74</v>
      </c>
      <c r="T952" s="2" t="s">
        <v>74</v>
      </c>
      <c r="U952" s="2" t="s">
        <v>74</v>
      </c>
      <c r="V952" s="5" t="s">
        <v>6163</v>
      </c>
      <c r="W952" s="2" t="s">
        <v>74</v>
      </c>
      <c r="X952" s="2" t="s">
        <v>74</v>
      </c>
      <c r="Y952" s="2" t="s">
        <v>74</v>
      </c>
      <c r="Z952" s="2" t="s">
        <v>74</v>
      </c>
      <c r="AA952" s="2" t="s">
        <v>6164</v>
      </c>
      <c r="AB952" s="2" t="s">
        <v>6165</v>
      </c>
      <c r="AC952" s="2" t="s">
        <v>74</v>
      </c>
      <c r="AD952" s="2" t="s">
        <v>74</v>
      </c>
      <c r="AE952" s="2" t="s">
        <v>74</v>
      </c>
      <c r="AF952" s="2" t="s">
        <v>74</v>
      </c>
      <c r="AG952" s="2" t="s">
        <v>74</v>
      </c>
      <c r="AH952" s="2" t="s">
        <v>74</v>
      </c>
      <c r="AI952" s="2" t="s">
        <v>74</v>
      </c>
      <c r="AJ952" s="2" t="s">
        <v>74</v>
      </c>
      <c r="AK952" s="2" t="s">
        <v>74</v>
      </c>
      <c r="AL952" s="2" t="s">
        <v>74</v>
      </c>
      <c r="AM952" s="2" t="s">
        <v>74</v>
      </c>
      <c r="AN952" s="2" t="s">
        <v>74</v>
      </c>
      <c r="AO952" s="2" t="s">
        <v>1658</v>
      </c>
      <c r="AP952" s="2" t="s">
        <v>1659</v>
      </c>
      <c r="AQ952" s="2" t="s">
        <v>74</v>
      </c>
      <c r="AR952" s="2" t="s">
        <v>74</v>
      </c>
      <c r="AS952" s="2" t="s">
        <v>74</v>
      </c>
      <c r="AT952" s="2" t="s">
        <v>4913</v>
      </c>
      <c r="AU952" s="2">
        <v>2019</v>
      </c>
      <c r="AV952" s="2">
        <v>4555</v>
      </c>
      <c r="AW952" s="2">
        <v>2</v>
      </c>
      <c r="AX952" s="2" t="s">
        <v>74</v>
      </c>
      <c r="AY952" s="2" t="s">
        <v>74</v>
      </c>
      <c r="AZ952" s="2" t="s">
        <v>74</v>
      </c>
      <c r="BA952" s="2" t="s">
        <v>74</v>
      </c>
      <c r="BB952" s="2">
        <v>283</v>
      </c>
      <c r="BC952" s="2">
        <v>286</v>
      </c>
      <c r="BD952" s="2" t="s">
        <v>74</v>
      </c>
      <c r="BE952" s="2" t="s">
        <v>6166</v>
      </c>
      <c r="BF952" s="2" t="str">
        <f>HYPERLINK("http://dx.doi.org/10.11646/zootaxa.4555.2.10","http://dx.doi.org/10.11646/zootaxa.4555.2.10")</f>
        <v>http://dx.doi.org/10.11646/zootaxa.4555.2.10</v>
      </c>
      <c r="BG952" s="2" t="s">
        <v>74</v>
      </c>
      <c r="BH952" s="2" t="s">
        <v>74</v>
      </c>
      <c r="BI952" s="2" t="s">
        <v>74</v>
      </c>
      <c r="BJ952" s="2" t="s">
        <v>74</v>
      </c>
      <c r="BK952" s="2" t="s">
        <v>74</v>
      </c>
      <c r="BL952" s="2" t="s">
        <v>74</v>
      </c>
      <c r="BM952" s="2" t="s">
        <v>74</v>
      </c>
      <c r="BN952" s="2">
        <v>30790965</v>
      </c>
      <c r="BO952" s="2" t="s">
        <v>74</v>
      </c>
      <c r="BP952" s="2" t="s">
        <v>74</v>
      </c>
      <c r="BQ952" s="2" t="s">
        <v>74</v>
      </c>
      <c r="BR952" s="2" t="s">
        <v>74</v>
      </c>
      <c r="BS952" s="2" t="s">
        <v>6167</v>
      </c>
      <c r="BT952" s="2" t="str">
        <f>HYPERLINK("https%3A%2F%2Fwww.webofscience.com%2Fwos%2Fwoscc%2Ffull-record%2FWOS:000458428100010","View Full Record in Web of Science")</f>
        <v>View Full Record in Web of Science</v>
      </c>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row>
    <row r="953" spans="1:314" s="2" customFormat="1" x14ac:dyDescent="0.4">
      <c r="A953" s="2" t="s">
        <v>72</v>
      </c>
      <c r="B953" s="2" t="s">
        <v>7686</v>
      </c>
      <c r="C953" s="2" t="s">
        <v>74</v>
      </c>
      <c r="D953" s="2" t="s">
        <v>74</v>
      </c>
      <c r="E953" s="2" t="s">
        <v>74</v>
      </c>
      <c r="F953" s="2" t="s">
        <v>7687</v>
      </c>
      <c r="G953" s="2" t="s">
        <v>74</v>
      </c>
      <c r="H953" s="2" t="s">
        <v>74</v>
      </c>
      <c r="I953" s="2" t="s">
        <v>7688</v>
      </c>
      <c r="J953" s="2" t="s">
        <v>1541</v>
      </c>
      <c r="K953" s="2" t="s">
        <v>74</v>
      </c>
      <c r="L953" s="2" t="s">
        <v>74</v>
      </c>
      <c r="M953" s="2" t="s">
        <v>74</v>
      </c>
      <c r="N953" s="2" t="s">
        <v>74</v>
      </c>
      <c r="O953" s="2" t="s">
        <v>74</v>
      </c>
      <c r="P953" s="2" t="s">
        <v>74</v>
      </c>
      <c r="Q953" s="2" t="s">
        <v>74</v>
      </c>
      <c r="R953" s="2" t="s">
        <v>74</v>
      </c>
      <c r="S953" s="2" t="s">
        <v>74</v>
      </c>
      <c r="T953" s="2" t="s">
        <v>74</v>
      </c>
      <c r="U953" s="2" t="s">
        <v>74</v>
      </c>
      <c r="V953" s="5" t="s">
        <v>7689</v>
      </c>
      <c r="W953" s="2" t="s">
        <v>74</v>
      </c>
      <c r="X953" s="2" t="s">
        <v>74</v>
      </c>
      <c r="Y953" s="2" t="s">
        <v>74</v>
      </c>
      <c r="Z953" s="2" t="s">
        <v>74</v>
      </c>
      <c r="AA953" s="2" t="s">
        <v>7690</v>
      </c>
      <c r="AB953" s="2" t="s">
        <v>7691</v>
      </c>
      <c r="AC953" s="2" t="s">
        <v>74</v>
      </c>
      <c r="AD953" s="2" t="s">
        <v>74</v>
      </c>
      <c r="AE953" s="2" t="s">
        <v>74</v>
      </c>
      <c r="AF953" s="2" t="s">
        <v>74</v>
      </c>
      <c r="AG953" s="2" t="s">
        <v>74</v>
      </c>
      <c r="AH953" s="2" t="s">
        <v>74</v>
      </c>
      <c r="AI953" s="2" t="s">
        <v>74</v>
      </c>
      <c r="AJ953" s="2" t="s">
        <v>74</v>
      </c>
      <c r="AK953" s="2" t="s">
        <v>74</v>
      </c>
      <c r="AL953" s="2" t="s">
        <v>74</v>
      </c>
      <c r="AM953" s="2" t="s">
        <v>74</v>
      </c>
      <c r="AN953" s="2" t="s">
        <v>74</v>
      </c>
      <c r="AO953" s="2" t="s">
        <v>1543</v>
      </c>
      <c r="AP953" s="2" t="s">
        <v>1544</v>
      </c>
      <c r="AQ953" s="2" t="s">
        <v>74</v>
      </c>
      <c r="AR953" s="2" t="s">
        <v>74</v>
      </c>
      <c r="AS953" s="2" t="s">
        <v>74</v>
      </c>
      <c r="AT953" s="2" t="s">
        <v>213</v>
      </c>
      <c r="AU953" s="2">
        <v>2016</v>
      </c>
      <c r="AV953" s="2">
        <v>97</v>
      </c>
      <c r="AW953" s="2">
        <v>11</v>
      </c>
      <c r="AX953" s="2" t="s">
        <v>74</v>
      </c>
      <c r="AY953" s="2" t="s">
        <v>74</v>
      </c>
      <c r="AZ953" s="2" t="s">
        <v>74</v>
      </c>
      <c r="BA953" s="2" t="s">
        <v>74</v>
      </c>
      <c r="BB953" s="2">
        <v>3110</v>
      </c>
      <c r="BC953" s="2">
        <v>3118</v>
      </c>
      <c r="BD953" s="2" t="s">
        <v>74</v>
      </c>
      <c r="BE953" s="2" t="s">
        <v>7692</v>
      </c>
      <c r="BF953" s="2" t="str">
        <f>HYPERLINK("http://dx.doi.org/10.1002/ecy.1565","http://dx.doi.org/10.1002/ecy.1565")</f>
        <v>http://dx.doi.org/10.1002/ecy.1565</v>
      </c>
      <c r="BG953" s="2" t="s">
        <v>74</v>
      </c>
      <c r="BH953" s="2" t="s">
        <v>74</v>
      </c>
      <c r="BI953" s="2" t="s">
        <v>74</v>
      </c>
      <c r="BJ953" s="2" t="s">
        <v>74</v>
      </c>
      <c r="BK953" s="2" t="s">
        <v>74</v>
      </c>
      <c r="BL953" s="2" t="s">
        <v>74</v>
      </c>
      <c r="BM953" s="2" t="s">
        <v>74</v>
      </c>
      <c r="BN953" s="2">
        <v>27870050</v>
      </c>
      <c r="BO953" s="2" t="s">
        <v>74</v>
      </c>
      <c r="BP953" s="2" t="s">
        <v>74</v>
      </c>
      <c r="BQ953" s="2" t="s">
        <v>74</v>
      </c>
      <c r="BR953" s="2" t="s">
        <v>74</v>
      </c>
      <c r="BS953" s="2" t="s">
        <v>7693</v>
      </c>
      <c r="BT953" s="2" t="str">
        <f>HYPERLINK("https%3A%2F%2Fwww.webofscience.com%2Fwos%2Fwoscc%2Ffull-record%2FWOS:000387228200021","View Full Record in Web of Science")</f>
        <v>View Full Record in Web of Science</v>
      </c>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row>
    <row r="954" spans="1:314" s="2" customFormat="1" x14ac:dyDescent="0.4">
      <c r="A954" s="2" t="s">
        <v>72</v>
      </c>
      <c r="B954" s="2" t="s">
        <v>4932</v>
      </c>
      <c r="C954" s="2" t="s">
        <v>74</v>
      </c>
      <c r="D954" s="2" t="s">
        <v>74</v>
      </c>
      <c r="E954" s="2" t="s">
        <v>74</v>
      </c>
      <c r="F954" s="2" t="s">
        <v>4932</v>
      </c>
      <c r="G954" s="2" t="s">
        <v>74</v>
      </c>
      <c r="H954" s="2" t="s">
        <v>74</v>
      </c>
      <c r="I954" s="2" t="s">
        <v>4933</v>
      </c>
      <c r="J954" s="2" t="s">
        <v>4934</v>
      </c>
      <c r="K954" s="2" t="s">
        <v>74</v>
      </c>
      <c r="L954" s="2" t="s">
        <v>74</v>
      </c>
      <c r="M954" s="2" t="s">
        <v>74</v>
      </c>
      <c r="N954" s="2" t="s">
        <v>74</v>
      </c>
      <c r="O954" s="2" t="s">
        <v>74</v>
      </c>
      <c r="P954" s="2" t="s">
        <v>74</v>
      </c>
      <c r="Q954" s="2" t="s">
        <v>74</v>
      </c>
      <c r="R954" s="2" t="s">
        <v>74</v>
      </c>
      <c r="S954" s="2" t="s">
        <v>74</v>
      </c>
      <c r="T954" s="2" t="s">
        <v>74</v>
      </c>
      <c r="U954" s="2" t="s">
        <v>74</v>
      </c>
      <c r="V954" s="5" t="s">
        <v>4935</v>
      </c>
      <c r="W954" s="2" t="s">
        <v>74</v>
      </c>
      <c r="X954" s="2" t="s">
        <v>74</v>
      </c>
      <c r="Y954" s="2" t="s">
        <v>74</v>
      </c>
      <c r="Z954" s="2" t="s">
        <v>74</v>
      </c>
      <c r="AA954" s="2" t="s">
        <v>74</v>
      </c>
      <c r="AB954" s="2" t="s">
        <v>74</v>
      </c>
      <c r="AC954" s="2" t="s">
        <v>74</v>
      </c>
      <c r="AD954" s="2" t="s">
        <v>74</v>
      </c>
      <c r="AE954" s="2" t="s">
        <v>74</v>
      </c>
      <c r="AF954" s="2" t="s">
        <v>74</v>
      </c>
      <c r="AG954" s="2" t="s">
        <v>74</v>
      </c>
      <c r="AH954" s="2" t="s">
        <v>74</v>
      </c>
      <c r="AI954" s="2" t="s">
        <v>74</v>
      </c>
      <c r="AJ954" s="2" t="s">
        <v>74</v>
      </c>
      <c r="AK954" s="2" t="s">
        <v>74</v>
      </c>
      <c r="AL954" s="2" t="s">
        <v>74</v>
      </c>
      <c r="AM954" s="2" t="s">
        <v>74</v>
      </c>
      <c r="AN954" s="2" t="s">
        <v>74</v>
      </c>
      <c r="AO954" s="2" t="s">
        <v>4936</v>
      </c>
      <c r="AP954" s="2" t="s">
        <v>74</v>
      </c>
      <c r="AQ954" s="2" t="s">
        <v>74</v>
      </c>
      <c r="AR954" s="2" t="s">
        <v>74</v>
      </c>
      <c r="AS954" s="2" t="s">
        <v>74</v>
      </c>
      <c r="AT954" s="2" t="s">
        <v>633</v>
      </c>
      <c r="AU954" s="2">
        <v>1995</v>
      </c>
      <c r="AV954" s="2">
        <v>71</v>
      </c>
      <c r="AW954" s="2">
        <v>2</v>
      </c>
      <c r="AX954" s="2" t="s">
        <v>74</v>
      </c>
      <c r="AY954" s="2" t="s">
        <v>74</v>
      </c>
      <c r="AZ954" s="2" t="s">
        <v>74</v>
      </c>
      <c r="BA954" s="2" t="s">
        <v>74</v>
      </c>
      <c r="BB954" s="2">
        <v>113</v>
      </c>
      <c r="BC954" s="2">
        <v>120</v>
      </c>
      <c r="BD954" s="2" t="s">
        <v>74</v>
      </c>
      <c r="BE954" s="2" t="s">
        <v>74</v>
      </c>
      <c r="BF954" s="2" t="s">
        <v>74</v>
      </c>
      <c r="BG954" s="2" t="s">
        <v>74</v>
      </c>
      <c r="BH954" s="2" t="s">
        <v>74</v>
      </c>
      <c r="BI954" s="2" t="s">
        <v>74</v>
      </c>
      <c r="BJ954" s="2" t="s">
        <v>74</v>
      </c>
      <c r="BK954" s="2" t="s">
        <v>74</v>
      </c>
      <c r="BL954" s="2" t="s">
        <v>74</v>
      </c>
      <c r="BM954" s="2" t="s">
        <v>74</v>
      </c>
      <c r="BN954" s="2" t="s">
        <v>74</v>
      </c>
      <c r="BO954" s="2" t="s">
        <v>74</v>
      </c>
      <c r="BP954" s="2" t="s">
        <v>74</v>
      </c>
      <c r="BQ954" s="2" t="s">
        <v>74</v>
      </c>
      <c r="BR954" s="2" t="s">
        <v>74</v>
      </c>
      <c r="BS954" s="2" t="s">
        <v>4937</v>
      </c>
      <c r="BT954" s="2" t="str">
        <f>HYPERLINK("https%3A%2F%2Fwww.webofscience.com%2Fwos%2Fwoscc%2Ffull-record%2FWOS:A1995TA18200008","View Full Record in Web of Science")</f>
        <v>View Full Record in Web of Science</v>
      </c>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row>
    <row r="955" spans="1:314" s="2" customFormat="1" x14ac:dyDescent="0.4">
      <c r="A955" s="2" t="s">
        <v>72</v>
      </c>
      <c r="B955" s="2" t="s">
        <v>8311</v>
      </c>
      <c r="C955" s="2" t="s">
        <v>74</v>
      </c>
      <c r="D955" s="2" t="s">
        <v>74</v>
      </c>
      <c r="E955" s="2" t="s">
        <v>74</v>
      </c>
      <c r="F955" s="2" t="s">
        <v>8312</v>
      </c>
      <c r="G955" s="2" t="s">
        <v>74</v>
      </c>
      <c r="H955" s="2" t="s">
        <v>74</v>
      </c>
      <c r="I955" s="2" t="s">
        <v>8313</v>
      </c>
      <c r="J955" s="2" t="s">
        <v>654</v>
      </c>
      <c r="K955" s="2" t="s">
        <v>74</v>
      </c>
      <c r="L955" s="2" t="s">
        <v>74</v>
      </c>
      <c r="M955" s="2" t="s">
        <v>74</v>
      </c>
      <c r="N955" s="2" t="s">
        <v>74</v>
      </c>
      <c r="O955" s="2" t="s">
        <v>74</v>
      </c>
      <c r="P955" s="2" t="s">
        <v>74</v>
      </c>
      <c r="Q955" s="2" t="s">
        <v>74</v>
      </c>
      <c r="R955" s="2" t="s">
        <v>74</v>
      </c>
      <c r="S955" s="2" t="s">
        <v>74</v>
      </c>
      <c r="T955" s="2" t="s">
        <v>74</v>
      </c>
      <c r="U955" s="2" t="s">
        <v>74</v>
      </c>
      <c r="V955" s="5" t="s">
        <v>8314</v>
      </c>
      <c r="W955" s="2" t="s">
        <v>74</v>
      </c>
      <c r="X955" s="2" t="s">
        <v>74</v>
      </c>
      <c r="Y955" s="2" t="s">
        <v>74</v>
      </c>
      <c r="Z955" s="2" t="s">
        <v>74</v>
      </c>
      <c r="AA955" s="2" t="s">
        <v>74</v>
      </c>
      <c r="AB955" s="2" t="s">
        <v>74</v>
      </c>
      <c r="AC955" s="2" t="s">
        <v>74</v>
      </c>
      <c r="AD955" s="2" t="s">
        <v>74</v>
      </c>
      <c r="AE955" s="2" t="s">
        <v>74</v>
      </c>
      <c r="AF955" s="2" t="s">
        <v>74</v>
      </c>
      <c r="AG955" s="2" t="s">
        <v>74</v>
      </c>
      <c r="AH955" s="2" t="s">
        <v>74</v>
      </c>
      <c r="AI955" s="2" t="s">
        <v>74</v>
      </c>
      <c r="AJ955" s="2" t="s">
        <v>74</v>
      </c>
      <c r="AK955" s="2" t="s">
        <v>74</v>
      </c>
      <c r="AL955" s="2" t="s">
        <v>74</v>
      </c>
      <c r="AM955" s="2" t="s">
        <v>74</v>
      </c>
      <c r="AN955" s="2" t="s">
        <v>74</v>
      </c>
      <c r="AO955" s="2" t="s">
        <v>658</v>
      </c>
      <c r="AP955" s="2" t="s">
        <v>74</v>
      </c>
      <c r="AQ955" s="2" t="s">
        <v>74</v>
      </c>
      <c r="AR955" s="2" t="s">
        <v>74</v>
      </c>
      <c r="AS955" s="2" t="s">
        <v>74</v>
      </c>
      <c r="AT955" s="2" t="s">
        <v>255</v>
      </c>
      <c r="AU955" s="2">
        <v>2024</v>
      </c>
      <c r="AV955" s="2">
        <v>14</v>
      </c>
      <c r="AW955" s="2">
        <v>1</v>
      </c>
      <c r="AX955" s="2" t="s">
        <v>74</v>
      </c>
      <c r="AY955" s="2" t="s">
        <v>74</v>
      </c>
      <c r="AZ955" s="2" t="s">
        <v>74</v>
      </c>
      <c r="BA955" s="2" t="s">
        <v>74</v>
      </c>
      <c r="BB955" s="2" t="s">
        <v>74</v>
      </c>
      <c r="BC955" s="2" t="s">
        <v>74</v>
      </c>
      <c r="BD955" s="2" t="s">
        <v>8315</v>
      </c>
      <c r="BE955" s="2" t="s">
        <v>8316</v>
      </c>
      <c r="BF955" s="2" t="str">
        <f>HYPERLINK("http://dx.doi.org/10.1002/ece3.10851","http://dx.doi.org/10.1002/ece3.10851")</f>
        <v>http://dx.doi.org/10.1002/ece3.10851</v>
      </c>
      <c r="BG955" s="2" t="s">
        <v>74</v>
      </c>
      <c r="BH955" s="2" t="s">
        <v>74</v>
      </c>
      <c r="BI955" s="2" t="s">
        <v>74</v>
      </c>
      <c r="BJ955" s="2" t="s">
        <v>74</v>
      </c>
      <c r="BK955" s="2" t="s">
        <v>74</v>
      </c>
      <c r="BL955" s="2" t="s">
        <v>74</v>
      </c>
      <c r="BM955" s="2" t="s">
        <v>74</v>
      </c>
      <c r="BN955" s="2">
        <v>38274864</v>
      </c>
      <c r="BO955" s="2" t="s">
        <v>74</v>
      </c>
      <c r="BP955" s="2" t="s">
        <v>74</v>
      </c>
      <c r="BQ955" s="2" t="s">
        <v>74</v>
      </c>
      <c r="BR955" s="2" t="s">
        <v>74</v>
      </c>
      <c r="BS955" s="2" t="s">
        <v>8317</v>
      </c>
      <c r="BT955" s="2" t="str">
        <f>HYPERLINK("https%3A%2F%2Fwww.webofscience.com%2Fwos%2Fwoscc%2Ffull-record%2FWOS:001148034400001","View Full Record in Web of Science")</f>
        <v>View Full Record in Web of Science</v>
      </c>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row>
    <row r="956" spans="1:314" s="2" customFormat="1" x14ac:dyDescent="0.4">
      <c r="A956" s="2" t="s">
        <v>72</v>
      </c>
      <c r="B956" s="2" t="s">
        <v>1777</v>
      </c>
      <c r="C956" s="2" t="s">
        <v>74</v>
      </c>
      <c r="D956" s="2" t="s">
        <v>74</v>
      </c>
      <c r="E956" s="2" t="s">
        <v>74</v>
      </c>
      <c r="F956" s="2" t="s">
        <v>1778</v>
      </c>
      <c r="G956" s="2" t="s">
        <v>74</v>
      </c>
      <c r="H956" s="2" t="s">
        <v>74</v>
      </c>
      <c r="I956" s="2" t="s">
        <v>1779</v>
      </c>
      <c r="J956" s="2" t="s">
        <v>140</v>
      </c>
      <c r="K956" s="2" t="s">
        <v>74</v>
      </c>
      <c r="L956" s="2" t="s">
        <v>74</v>
      </c>
      <c r="M956" s="2" t="s">
        <v>74</v>
      </c>
      <c r="N956" s="2" t="s">
        <v>74</v>
      </c>
      <c r="O956" s="2" t="s">
        <v>74</v>
      </c>
      <c r="P956" s="2" t="s">
        <v>74</v>
      </c>
      <c r="Q956" s="2" t="s">
        <v>74</v>
      </c>
      <c r="R956" s="2" t="s">
        <v>74</v>
      </c>
      <c r="S956" s="2" t="s">
        <v>74</v>
      </c>
      <c r="T956" s="2" t="s">
        <v>74</v>
      </c>
      <c r="U956" s="2" t="s">
        <v>74</v>
      </c>
      <c r="V956" s="5" t="s">
        <v>1780</v>
      </c>
      <c r="W956" s="2" t="s">
        <v>74</v>
      </c>
      <c r="X956" s="2" t="s">
        <v>74</v>
      </c>
      <c r="Y956" s="2" t="s">
        <v>74</v>
      </c>
      <c r="Z956" s="2" t="s">
        <v>74</v>
      </c>
      <c r="AA956" s="2" t="s">
        <v>1781</v>
      </c>
      <c r="AB956" s="2" t="s">
        <v>1782</v>
      </c>
      <c r="AC956" s="2" t="s">
        <v>74</v>
      </c>
      <c r="AD956" s="2" t="s">
        <v>74</v>
      </c>
      <c r="AE956" s="2" t="s">
        <v>74</v>
      </c>
      <c r="AF956" s="2" t="s">
        <v>74</v>
      </c>
      <c r="AG956" s="2" t="s">
        <v>74</v>
      </c>
      <c r="AH956" s="2" t="s">
        <v>74</v>
      </c>
      <c r="AI956" s="2" t="s">
        <v>74</v>
      </c>
      <c r="AJ956" s="2" t="s">
        <v>74</v>
      </c>
      <c r="AK956" s="2" t="s">
        <v>74</v>
      </c>
      <c r="AL956" s="2" t="s">
        <v>74</v>
      </c>
      <c r="AM956" s="2" t="s">
        <v>74</v>
      </c>
      <c r="AN956" s="2" t="s">
        <v>74</v>
      </c>
      <c r="AO956" s="2" t="s">
        <v>143</v>
      </c>
      <c r="AP956" s="2" t="s">
        <v>144</v>
      </c>
      <c r="AQ956" s="2" t="s">
        <v>74</v>
      </c>
      <c r="AR956" s="2" t="s">
        <v>74</v>
      </c>
      <c r="AS956" s="2" t="s">
        <v>74</v>
      </c>
      <c r="AT956" s="2" t="s">
        <v>213</v>
      </c>
      <c r="AU956" s="2">
        <v>2018</v>
      </c>
      <c r="AV956" s="2">
        <v>145</v>
      </c>
      <c r="AW956" s="2" t="s">
        <v>74</v>
      </c>
      <c r="AX956" s="2" t="s">
        <v>74</v>
      </c>
      <c r="AY956" s="2" t="s">
        <v>74</v>
      </c>
      <c r="AZ956" s="2" t="s">
        <v>74</v>
      </c>
      <c r="BA956" s="2" t="s">
        <v>74</v>
      </c>
      <c r="BB956" s="2">
        <v>29</v>
      </c>
      <c r="BC956" s="2">
        <v>37</v>
      </c>
      <c r="BD956" s="2" t="s">
        <v>74</v>
      </c>
      <c r="BE956" s="2" t="s">
        <v>1783</v>
      </c>
      <c r="BF956" s="2" t="str">
        <f>HYPERLINK("http://dx.doi.org/10.1016/j.anbehav.2018.08.015","http://dx.doi.org/10.1016/j.anbehav.2018.08.015")</f>
        <v>http://dx.doi.org/10.1016/j.anbehav.2018.08.015</v>
      </c>
      <c r="BG956" s="2" t="s">
        <v>74</v>
      </c>
      <c r="BH956" s="2" t="s">
        <v>74</v>
      </c>
      <c r="BI956" s="2" t="s">
        <v>74</v>
      </c>
      <c r="BJ956" s="2" t="s">
        <v>74</v>
      </c>
      <c r="BK956" s="2" t="s">
        <v>74</v>
      </c>
      <c r="BL956" s="2" t="s">
        <v>74</v>
      </c>
      <c r="BM956" s="2" t="s">
        <v>74</v>
      </c>
      <c r="BN956" s="2" t="s">
        <v>74</v>
      </c>
      <c r="BO956" s="2" t="s">
        <v>74</v>
      </c>
      <c r="BP956" s="2" t="s">
        <v>74</v>
      </c>
      <c r="BQ956" s="2" t="s">
        <v>74</v>
      </c>
      <c r="BR956" s="2" t="s">
        <v>74</v>
      </c>
      <c r="BS956" s="2" t="s">
        <v>1784</v>
      </c>
      <c r="BT956" s="2" t="str">
        <f>HYPERLINK("https%3A%2F%2Fwww.webofscience.com%2Fwos%2Fwoscc%2Ffull-record%2FWOS:000449696600003","View Full Record in Web of Science")</f>
        <v>View Full Record in Web of Science</v>
      </c>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row>
    <row r="957" spans="1:314" s="7" customFormat="1" x14ac:dyDescent="0.4">
      <c r="A957" s="2" t="s">
        <v>72</v>
      </c>
      <c r="B957" s="2" t="s">
        <v>4803</v>
      </c>
      <c r="C957" s="2" t="s">
        <v>74</v>
      </c>
      <c r="D957" s="2" t="s">
        <v>74</v>
      </c>
      <c r="E957" s="2" t="s">
        <v>74</v>
      </c>
      <c r="F957" s="2" t="s">
        <v>4804</v>
      </c>
      <c r="G957" s="2" t="s">
        <v>74</v>
      </c>
      <c r="H957" s="2" t="s">
        <v>74</v>
      </c>
      <c r="I957" s="2" t="s">
        <v>4805</v>
      </c>
      <c r="J957" s="2" t="s">
        <v>3089</v>
      </c>
      <c r="K957" s="2" t="s">
        <v>74</v>
      </c>
      <c r="L957" s="2" t="s">
        <v>74</v>
      </c>
      <c r="M957" s="2" t="s">
        <v>74</v>
      </c>
      <c r="N957" s="2" t="s">
        <v>74</v>
      </c>
      <c r="O957" s="2" t="s">
        <v>74</v>
      </c>
      <c r="P957" s="2" t="s">
        <v>74</v>
      </c>
      <c r="Q957" s="2" t="s">
        <v>74</v>
      </c>
      <c r="R957" s="2" t="s">
        <v>74</v>
      </c>
      <c r="S957" s="2" t="s">
        <v>74</v>
      </c>
      <c r="T957" s="2" t="s">
        <v>74</v>
      </c>
      <c r="U957" s="2" t="s">
        <v>74</v>
      </c>
      <c r="V957" s="5" t="s">
        <v>4806</v>
      </c>
      <c r="W957" s="2" t="s">
        <v>74</v>
      </c>
      <c r="X957" s="2" t="s">
        <v>74</v>
      </c>
      <c r="Y957" s="2" t="s">
        <v>74</v>
      </c>
      <c r="Z957" s="2" t="s">
        <v>74</v>
      </c>
      <c r="AA957" s="2" t="s">
        <v>4807</v>
      </c>
      <c r="AB957" s="2" t="s">
        <v>4808</v>
      </c>
      <c r="AC957" s="2" t="s">
        <v>74</v>
      </c>
      <c r="AD957" s="2" t="s">
        <v>74</v>
      </c>
      <c r="AE957" s="2" t="s">
        <v>74</v>
      </c>
      <c r="AF957" s="2" t="s">
        <v>74</v>
      </c>
      <c r="AG957" s="2" t="s">
        <v>74</v>
      </c>
      <c r="AH957" s="2" t="s">
        <v>74</v>
      </c>
      <c r="AI957" s="2" t="s">
        <v>74</v>
      </c>
      <c r="AJ957" s="2" t="s">
        <v>74</v>
      </c>
      <c r="AK957" s="2" t="s">
        <v>74</v>
      </c>
      <c r="AL957" s="2" t="s">
        <v>74</v>
      </c>
      <c r="AM957" s="2" t="s">
        <v>74</v>
      </c>
      <c r="AN957" s="2" t="s">
        <v>74</v>
      </c>
      <c r="AO957" s="2" t="s">
        <v>3093</v>
      </c>
      <c r="AP957" s="2" t="s">
        <v>3094</v>
      </c>
      <c r="AQ957" s="2" t="s">
        <v>74</v>
      </c>
      <c r="AR957" s="2" t="s">
        <v>74</v>
      </c>
      <c r="AS957" s="2" t="s">
        <v>74</v>
      </c>
      <c r="AT957" s="2" t="s">
        <v>134</v>
      </c>
      <c r="AU957" s="2">
        <v>2010</v>
      </c>
      <c r="AV957" s="2">
        <v>28</v>
      </c>
      <c r="AW957" s="2">
        <v>2</v>
      </c>
      <c r="AX957" s="2" t="s">
        <v>74</v>
      </c>
      <c r="AY957" s="2" t="s">
        <v>74</v>
      </c>
      <c r="AZ957" s="2" t="s">
        <v>74</v>
      </c>
      <c r="BA957" s="2" t="s">
        <v>74</v>
      </c>
      <c r="BB957" s="2">
        <v>273</v>
      </c>
      <c r="BC957" s="2">
        <v>286</v>
      </c>
      <c r="BD957" s="2" t="s">
        <v>74</v>
      </c>
      <c r="BE957" s="2" t="s">
        <v>4809</v>
      </c>
      <c r="BF957" s="2" t="str">
        <f>HYPERLINK("http://dx.doi.org/10.1007/s10164-009-0181-9","http://dx.doi.org/10.1007/s10164-009-0181-9")</f>
        <v>http://dx.doi.org/10.1007/s10164-009-0181-9</v>
      </c>
      <c r="BG957" s="2" t="s">
        <v>74</v>
      </c>
      <c r="BH957" s="2" t="s">
        <v>74</v>
      </c>
      <c r="BI957" s="2" t="s">
        <v>74</v>
      </c>
      <c r="BJ957" s="2" t="s">
        <v>74</v>
      </c>
      <c r="BK957" s="2" t="s">
        <v>74</v>
      </c>
      <c r="BL957" s="2" t="s">
        <v>74</v>
      </c>
      <c r="BM957" s="2" t="s">
        <v>74</v>
      </c>
      <c r="BN957" s="2" t="s">
        <v>74</v>
      </c>
      <c r="BO957" s="2" t="s">
        <v>74</v>
      </c>
      <c r="BP957" s="2" t="s">
        <v>74</v>
      </c>
      <c r="BQ957" s="2" t="s">
        <v>74</v>
      </c>
      <c r="BR957" s="2" t="s">
        <v>74</v>
      </c>
      <c r="BS957" s="2" t="s">
        <v>4810</v>
      </c>
      <c r="BT957" s="2" t="str">
        <f>HYPERLINK("https%3A%2F%2Fwww.webofscience.com%2Fwos%2Fwoscc%2Ffull-record%2FWOS:000277469300009","View Full Record in Web of Science")</f>
        <v>View Full Record in Web of Science</v>
      </c>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row>
    <row r="958" spans="1:314" s="2" customFormat="1" x14ac:dyDescent="0.4">
      <c r="A958" s="2" t="s">
        <v>72</v>
      </c>
      <c r="B958" s="2" t="s">
        <v>8480</v>
      </c>
      <c r="C958" s="2" t="s">
        <v>74</v>
      </c>
      <c r="D958" s="2" t="s">
        <v>74</v>
      </c>
      <c r="E958" s="2" t="s">
        <v>74</v>
      </c>
      <c r="F958" s="2" t="s">
        <v>8480</v>
      </c>
      <c r="G958" s="2" t="s">
        <v>74</v>
      </c>
      <c r="H958" s="2" t="s">
        <v>74</v>
      </c>
      <c r="I958" s="2" t="s">
        <v>8481</v>
      </c>
      <c r="J958" s="2" t="s">
        <v>1755</v>
      </c>
      <c r="K958" s="2" t="s">
        <v>74</v>
      </c>
      <c r="L958" s="2" t="s">
        <v>74</v>
      </c>
      <c r="M958" s="2" t="s">
        <v>74</v>
      </c>
      <c r="N958" s="2" t="s">
        <v>74</v>
      </c>
      <c r="O958" s="2" t="s">
        <v>74</v>
      </c>
      <c r="P958" s="2" t="s">
        <v>74</v>
      </c>
      <c r="Q958" s="2" t="s">
        <v>74</v>
      </c>
      <c r="R958" s="2" t="s">
        <v>74</v>
      </c>
      <c r="S958" s="2" t="s">
        <v>74</v>
      </c>
      <c r="T958" s="2" t="s">
        <v>74</v>
      </c>
      <c r="U958" s="2" t="s">
        <v>74</v>
      </c>
      <c r="V958" s="5" t="s">
        <v>8482</v>
      </c>
      <c r="W958" s="2" t="s">
        <v>74</v>
      </c>
      <c r="X958" s="2" t="s">
        <v>74</v>
      </c>
      <c r="Y958" s="2" t="s">
        <v>74</v>
      </c>
      <c r="Z958" s="2" t="s">
        <v>74</v>
      </c>
      <c r="AA958" s="2" t="s">
        <v>74</v>
      </c>
      <c r="AB958" s="2" t="s">
        <v>74</v>
      </c>
      <c r="AC958" s="2" t="s">
        <v>74</v>
      </c>
      <c r="AD958" s="2" t="s">
        <v>74</v>
      </c>
      <c r="AE958" s="2" t="s">
        <v>74</v>
      </c>
      <c r="AF958" s="2" t="s">
        <v>74</v>
      </c>
      <c r="AG958" s="2" t="s">
        <v>74</v>
      </c>
      <c r="AH958" s="2" t="s">
        <v>74</v>
      </c>
      <c r="AI958" s="2" t="s">
        <v>74</v>
      </c>
      <c r="AJ958" s="2" t="s">
        <v>74</v>
      </c>
      <c r="AK958" s="2" t="s">
        <v>74</v>
      </c>
      <c r="AL958" s="2" t="s">
        <v>74</v>
      </c>
      <c r="AM958" s="2" t="s">
        <v>74</v>
      </c>
      <c r="AN958" s="2" t="s">
        <v>74</v>
      </c>
      <c r="AO958" s="2" t="s">
        <v>1759</v>
      </c>
      <c r="AP958" s="2" t="s">
        <v>1760</v>
      </c>
      <c r="AQ958" s="2" t="s">
        <v>74</v>
      </c>
      <c r="AR958" s="2" t="s">
        <v>74</v>
      </c>
      <c r="AS958" s="2" t="s">
        <v>74</v>
      </c>
      <c r="AT958" s="2" t="s">
        <v>352</v>
      </c>
      <c r="AU958" s="2">
        <v>2001</v>
      </c>
      <c r="AV958" s="2">
        <v>14</v>
      </c>
      <c r="AW958" s="2">
        <v>5</v>
      </c>
      <c r="AX958" s="2" t="s">
        <v>74</v>
      </c>
      <c r="AY958" s="2" t="s">
        <v>74</v>
      </c>
      <c r="AZ958" s="2" t="s">
        <v>74</v>
      </c>
      <c r="BA958" s="2" t="s">
        <v>74</v>
      </c>
      <c r="BB958" s="2">
        <v>607</v>
      </c>
      <c r="BC958" s="2">
        <v>620</v>
      </c>
      <c r="BD958" s="2" t="s">
        <v>74</v>
      </c>
      <c r="BE958" s="2" t="s">
        <v>8483</v>
      </c>
      <c r="BF958" s="2" t="str">
        <f>HYPERLINK("http://dx.doi.org/10.1023/A:1012223217250","http://dx.doi.org/10.1023/A:1012223217250")</f>
        <v>http://dx.doi.org/10.1023/A:1012223217250</v>
      </c>
      <c r="BG958" s="2" t="s">
        <v>74</v>
      </c>
      <c r="BH958" s="2" t="s">
        <v>74</v>
      </c>
      <c r="BI958" s="2" t="s">
        <v>74</v>
      </c>
      <c r="BJ958" s="2" t="s">
        <v>74</v>
      </c>
      <c r="BK958" s="2" t="s">
        <v>74</v>
      </c>
      <c r="BL958" s="2" t="s">
        <v>74</v>
      </c>
      <c r="BM958" s="2" t="s">
        <v>74</v>
      </c>
      <c r="BN958" s="2" t="s">
        <v>74</v>
      </c>
      <c r="BO958" s="2" t="s">
        <v>74</v>
      </c>
      <c r="BP958" s="2" t="s">
        <v>74</v>
      </c>
      <c r="BQ958" s="2" t="s">
        <v>74</v>
      </c>
      <c r="BR958" s="2" t="s">
        <v>74</v>
      </c>
      <c r="BS958" s="2" t="s">
        <v>8484</v>
      </c>
      <c r="BT958" s="2" t="str">
        <f>HYPERLINK("https%3A%2F%2Fwww.webofscience.com%2Fwos%2Fwoscc%2Ffull-record%2FWOS:000172302200004","View Full Record in Web of Science")</f>
        <v>View Full Record in Web of Science</v>
      </c>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row>
    <row r="959" spans="1:314" s="2" customFormat="1" x14ac:dyDescent="0.4">
      <c r="A959" s="2" t="s">
        <v>72</v>
      </c>
      <c r="B959" s="2" t="s">
        <v>1508</v>
      </c>
      <c r="C959" s="2" t="s">
        <v>74</v>
      </c>
      <c r="D959" s="2" t="s">
        <v>74</v>
      </c>
      <c r="E959" s="2" t="s">
        <v>74</v>
      </c>
      <c r="F959" s="2" t="s">
        <v>1509</v>
      </c>
      <c r="G959" s="2" t="s">
        <v>74</v>
      </c>
      <c r="H959" s="2" t="s">
        <v>74</v>
      </c>
      <c r="I959" s="2" t="s">
        <v>1510</v>
      </c>
      <c r="J959" s="2" t="s">
        <v>140</v>
      </c>
      <c r="K959" s="2" t="s">
        <v>74</v>
      </c>
      <c r="L959" s="2" t="s">
        <v>74</v>
      </c>
      <c r="M959" s="2" t="s">
        <v>74</v>
      </c>
      <c r="N959" s="2" t="s">
        <v>74</v>
      </c>
      <c r="O959" s="2" t="s">
        <v>74</v>
      </c>
      <c r="P959" s="2" t="s">
        <v>74</v>
      </c>
      <c r="Q959" s="2" t="s">
        <v>74</v>
      </c>
      <c r="R959" s="2" t="s">
        <v>74</v>
      </c>
      <c r="S959" s="2" t="s">
        <v>74</v>
      </c>
      <c r="T959" s="2" t="s">
        <v>74</v>
      </c>
      <c r="U959" s="2" t="s">
        <v>74</v>
      </c>
      <c r="V959" s="5" t="s">
        <v>1511</v>
      </c>
      <c r="W959" s="2" t="s">
        <v>74</v>
      </c>
      <c r="X959" s="2" t="s">
        <v>74</v>
      </c>
      <c r="Y959" s="2" t="s">
        <v>74</v>
      </c>
      <c r="Z959" s="2" t="s">
        <v>74</v>
      </c>
      <c r="AA959" s="2" t="s">
        <v>1512</v>
      </c>
      <c r="AB959" s="2" t="s">
        <v>1513</v>
      </c>
      <c r="AC959" s="2" t="s">
        <v>74</v>
      </c>
      <c r="AD959" s="2" t="s">
        <v>74</v>
      </c>
      <c r="AE959" s="2" t="s">
        <v>74</v>
      </c>
      <c r="AF959" s="2" t="s">
        <v>74</v>
      </c>
      <c r="AG959" s="2" t="s">
        <v>74</v>
      </c>
      <c r="AH959" s="2" t="s">
        <v>74</v>
      </c>
      <c r="AI959" s="2" t="s">
        <v>74</v>
      </c>
      <c r="AJ959" s="2" t="s">
        <v>74</v>
      </c>
      <c r="AK959" s="2" t="s">
        <v>74</v>
      </c>
      <c r="AL959" s="2" t="s">
        <v>74</v>
      </c>
      <c r="AM959" s="2" t="s">
        <v>74</v>
      </c>
      <c r="AN959" s="2" t="s">
        <v>74</v>
      </c>
      <c r="AO959" s="2" t="s">
        <v>143</v>
      </c>
      <c r="AP959" s="2" t="s">
        <v>144</v>
      </c>
      <c r="AQ959" s="2" t="s">
        <v>74</v>
      </c>
      <c r="AR959" s="2" t="s">
        <v>74</v>
      </c>
      <c r="AS959" s="2" t="s">
        <v>74</v>
      </c>
      <c r="AT959" s="2" t="s">
        <v>175</v>
      </c>
      <c r="AU959" s="2">
        <v>2008</v>
      </c>
      <c r="AV959" s="2">
        <v>76</v>
      </c>
      <c r="AW959" s="2" t="s">
        <v>74</v>
      </c>
      <c r="AX959" s="2">
        <v>4</v>
      </c>
      <c r="AY959" s="2" t="s">
        <v>74</v>
      </c>
      <c r="AZ959" s="2" t="s">
        <v>74</v>
      </c>
      <c r="BA959" s="2" t="s">
        <v>74</v>
      </c>
      <c r="BB959" s="2">
        <v>1357</v>
      </c>
      <c r="BC959" s="2">
        <v>1364</v>
      </c>
      <c r="BD959" s="2" t="s">
        <v>74</v>
      </c>
      <c r="BE959" s="2" t="s">
        <v>1514</v>
      </c>
      <c r="BF959" s="2" t="str">
        <f>HYPERLINK("http://dx.doi.org/10.1016/j.anbehav.2008.04.024","http://dx.doi.org/10.1016/j.anbehav.2008.04.024")</f>
        <v>http://dx.doi.org/10.1016/j.anbehav.2008.04.024</v>
      </c>
      <c r="BG959" s="2" t="s">
        <v>74</v>
      </c>
      <c r="BH959" s="2" t="s">
        <v>74</v>
      </c>
      <c r="BI959" s="2" t="s">
        <v>74</v>
      </c>
      <c r="BJ959" s="2" t="s">
        <v>74</v>
      </c>
      <c r="BK959" s="2" t="s">
        <v>74</v>
      </c>
      <c r="BL959" s="2" t="s">
        <v>74</v>
      </c>
      <c r="BM959" s="2" t="s">
        <v>74</v>
      </c>
      <c r="BN959" s="2" t="s">
        <v>74</v>
      </c>
      <c r="BO959" s="2" t="s">
        <v>74</v>
      </c>
      <c r="BP959" s="2" t="s">
        <v>74</v>
      </c>
      <c r="BQ959" s="2" t="s">
        <v>74</v>
      </c>
      <c r="BR959" s="2" t="s">
        <v>74</v>
      </c>
      <c r="BS959" s="2" t="s">
        <v>1515</v>
      </c>
      <c r="BT959" s="2" t="str">
        <f>HYPERLINK("https%3A%2F%2Fwww.webofscience.com%2Fwos%2Fwoscc%2Ffull-record%2FWOS:000260118000026","View Full Record in Web of Science")</f>
        <v>View Full Record in Web of Science</v>
      </c>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row>
    <row r="960" spans="1:314" s="2" customFormat="1" x14ac:dyDescent="0.4">
      <c r="A960" s="2" t="s">
        <v>72</v>
      </c>
      <c r="B960" s="2" t="s">
        <v>4089</v>
      </c>
      <c r="C960" s="2" t="s">
        <v>74</v>
      </c>
      <c r="D960" s="2" t="s">
        <v>74</v>
      </c>
      <c r="E960" s="2" t="s">
        <v>74</v>
      </c>
      <c r="F960" s="2" t="s">
        <v>4090</v>
      </c>
      <c r="G960" s="2" t="s">
        <v>74</v>
      </c>
      <c r="H960" s="2" t="s">
        <v>74</v>
      </c>
      <c r="I960" s="2" t="s">
        <v>4091</v>
      </c>
      <c r="J960" s="2" t="s">
        <v>140</v>
      </c>
      <c r="K960" s="2" t="s">
        <v>74</v>
      </c>
      <c r="L960" s="2" t="s">
        <v>74</v>
      </c>
      <c r="M960" s="2" t="s">
        <v>74</v>
      </c>
      <c r="N960" s="2" t="s">
        <v>74</v>
      </c>
      <c r="O960" s="2" t="s">
        <v>74</v>
      </c>
      <c r="P960" s="2" t="s">
        <v>74</v>
      </c>
      <c r="Q960" s="2" t="s">
        <v>74</v>
      </c>
      <c r="R960" s="2" t="s">
        <v>74</v>
      </c>
      <c r="S960" s="2" t="s">
        <v>74</v>
      </c>
      <c r="T960" s="2" t="s">
        <v>74</v>
      </c>
      <c r="U960" s="2" t="s">
        <v>74</v>
      </c>
      <c r="V960" s="5" t="s">
        <v>4092</v>
      </c>
      <c r="W960" s="2" t="s">
        <v>74</v>
      </c>
      <c r="X960" s="2" t="s">
        <v>74</v>
      </c>
      <c r="Y960" s="2" t="s">
        <v>74</v>
      </c>
      <c r="Z960" s="2" t="s">
        <v>74</v>
      </c>
      <c r="AA960" s="2" t="s">
        <v>2989</v>
      </c>
      <c r="AB960" s="2" t="s">
        <v>4093</v>
      </c>
      <c r="AC960" s="2" t="s">
        <v>74</v>
      </c>
      <c r="AD960" s="2" t="s">
        <v>74</v>
      </c>
      <c r="AE960" s="2" t="s">
        <v>74</v>
      </c>
      <c r="AF960" s="2" t="s">
        <v>74</v>
      </c>
      <c r="AG960" s="2" t="s">
        <v>74</v>
      </c>
      <c r="AH960" s="2" t="s">
        <v>74</v>
      </c>
      <c r="AI960" s="2" t="s">
        <v>74</v>
      </c>
      <c r="AJ960" s="2" t="s">
        <v>74</v>
      </c>
      <c r="AK960" s="2" t="s">
        <v>74</v>
      </c>
      <c r="AL960" s="2" t="s">
        <v>74</v>
      </c>
      <c r="AM960" s="2" t="s">
        <v>74</v>
      </c>
      <c r="AN960" s="2" t="s">
        <v>74</v>
      </c>
      <c r="AO960" s="2" t="s">
        <v>143</v>
      </c>
      <c r="AP960" s="2" t="s">
        <v>144</v>
      </c>
      <c r="AQ960" s="2" t="s">
        <v>74</v>
      </c>
      <c r="AR960" s="2" t="s">
        <v>74</v>
      </c>
      <c r="AS960" s="2" t="s">
        <v>74</v>
      </c>
      <c r="AT960" s="2" t="s">
        <v>213</v>
      </c>
      <c r="AU960" s="2">
        <v>2013</v>
      </c>
      <c r="AV960" s="2">
        <v>86</v>
      </c>
      <c r="AW960" s="2">
        <v>5</v>
      </c>
      <c r="AX960" s="2" t="s">
        <v>74</v>
      </c>
      <c r="AY960" s="2" t="s">
        <v>74</v>
      </c>
      <c r="AZ960" s="2" t="s">
        <v>74</v>
      </c>
      <c r="BA960" s="2" t="s">
        <v>74</v>
      </c>
      <c r="BB960" s="2">
        <v>923</v>
      </c>
      <c r="BC960" s="2">
        <v>931</v>
      </c>
      <c r="BD960" s="2" t="s">
        <v>74</v>
      </c>
      <c r="BE960" s="2" t="s">
        <v>4094</v>
      </c>
      <c r="BF960" s="2" t="str">
        <f>HYPERLINK("http://dx.doi.org/10.1016/j.anbehav.2013.08.008","http://dx.doi.org/10.1016/j.anbehav.2013.08.008")</f>
        <v>http://dx.doi.org/10.1016/j.anbehav.2013.08.008</v>
      </c>
      <c r="BG960" s="2" t="s">
        <v>74</v>
      </c>
      <c r="BH960" s="2" t="s">
        <v>74</v>
      </c>
      <c r="BI960" s="2" t="s">
        <v>74</v>
      </c>
      <c r="BJ960" s="2" t="s">
        <v>74</v>
      </c>
      <c r="BK960" s="2" t="s">
        <v>74</v>
      </c>
      <c r="BL960" s="2" t="s">
        <v>74</v>
      </c>
      <c r="BM960" s="2" t="s">
        <v>74</v>
      </c>
      <c r="BN960" s="2" t="s">
        <v>74</v>
      </c>
      <c r="BO960" s="2" t="s">
        <v>74</v>
      </c>
      <c r="BP960" s="2" t="s">
        <v>74</v>
      </c>
      <c r="BQ960" s="2" t="s">
        <v>74</v>
      </c>
      <c r="BR960" s="2" t="s">
        <v>74</v>
      </c>
      <c r="BS960" s="2" t="s">
        <v>4095</v>
      </c>
      <c r="BT960" s="2" t="str">
        <f>HYPERLINK("https%3A%2F%2Fwww.webofscience.com%2Fwos%2Fwoscc%2Ffull-record%2FWOS:000326272200011","View Full Record in Web of Science")</f>
        <v>View Full Record in Web of Science</v>
      </c>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row>
    <row r="961" spans="1:314" s="2" customFormat="1" x14ac:dyDescent="0.4">
      <c r="A961" s="2" t="s">
        <v>72</v>
      </c>
      <c r="B961" s="2" t="s">
        <v>4471</v>
      </c>
      <c r="C961" s="2" t="s">
        <v>74</v>
      </c>
      <c r="D961" s="2" t="s">
        <v>74</v>
      </c>
      <c r="E961" s="2" t="s">
        <v>74</v>
      </c>
      <c r="F961" s="2" t="s">
        <v>4471</v>
      </c>
      <c r="G961" s="2" t="s">
        <v>74</v>
      </c>
      <c r="H961" s="2" t="s">
        <v>74</v>
      </c>
      <c r="I961" s="2" t="s">
        <v>4472</v>
      </c>
      <c r="J961" s="2" t="s">
        <v>4473</v>
      </c>
      <c r="K961" s="2" t="s">
        <v>74</v>
      </c>
      <c r="L961" s="2" t="s">
        <v>74</v>
      </c>
      <c r="M961" s="2" t="s">
        <v>74</v>
      </c>
      <c r="N961" s="2" t="s">
        <v>74</v>
      </c>
      <c r="O961" s="2" t="s">
        <v>74</v>
      </c>
      <c r="P961" s="2" t="s">
        <v>74</v>
      </c>
      <c r="Q961" s="2" t="s">
        <v>74</v>
      </c>
      <c r="R961" s="2" t="s">
        <v>74</v>
      </c>
      <c r="S961" s="2" t="s">
        <v>74</v>
      </c>
      <c r="T961" s="2" t="s">
        <v>74</v>
      </c>
      <c r="U961" s="2" t="s">
        <v>74</v>
      </c>
      <c r="V961" s="5" t="s">
        <v>4474</v>
      </c>
      <c r="W961" s="2" t="s">
        <v>74</v>
      </c>
      <c r="X961" s="2" t="s">
        <v>74</v>
      </c>
      <c r="Y961" s="2" t="s">
        <v>74</v>
      </c>
      <c r="Z961" s="2" t="s">
        <v>74</v>
      </c>
      <c r="AA961" s="2" t="s">
        <v>74</v>
      </c>
      <c r="AB961" s="2" t="s">
        <v>74</v>
      </c>
      <c r="AC961" s="2" t="s">
        <v>74</v>
      </c>
      <c r="AD961" s="2" t="s">
        <v>74</v>
      </c>
      <c r="AE961" s="2" t="s">
        <v>74</v>
      </c>
      <c r="AF961" s="2" t="s">
        <v>74</v>
      </c>
      <c r="AG961" s="2" t="s">
        <v>74</v>
      </c>
      <c r="AH961" s="2" t="s">
        <v>74</v>
      </c>
      <c r="AI961" s="2" t="s">
        <v>74</v>
      </c>
      <c r="AJ961" s="2" t="s">
        <v>74</v>
      </c>
      <c r="AK961" s="2" t="s">
        <v>74</v>
      </c>
      <c r="AL961" s="2" t="s">
        <v>74</v>
      </c>
      <c r="AM961" s="2" t="s">
        <v>74</v>
      </c>
      <c r="AN961" s="2" t="s">
        <v>74</v>
      </c>
      <c r="AO961" s="2" t="s">
        <v>818</v>
      </c>
      <c r="AP961" s="2" t="s">
        <v>74</v>
      </c>
      <c r="AQ961" s="2" t="s">
        <v>74</v>
      </c>
      <c r="AR961" s="2" t="s">
        <v>74</v>
      </c>
      <c r="AS961" s="2" t="s">
        <v>74</v>
      </c>
      <c r="AT961" s="2" t="s">
        <v>74</v>
      </c>
      <c r="AU961" s="2">
        <v>1995</v>
      </c>
      <c r="AV961" s="2">
        <v>99</v>
      </c>
      <c r="AW961" s="2">
        <v>2</v>
      </c>
      <c r="AX961" s="2" t="s">
        <v>74</v>
      </c>
      <c r="AY961" s="2" t="s">
        <v>74</v>
      </c>
      <c r="AZ961" s="2" t="s">
        <v>74</v>
      </c>
      <c r="BA961" s="2" t="s">
        <v>74</v>
      </c>
      <c r="BB961" s="2">
        <v>113</v>
      </c>
      <c r="BC961" s="2">
        <v>120</v>
      </c>
      <c r="BD961" s="2" t="s">
        <v>74</v>
      </c>
      <c r="BE961" s="2" t="s">
        <v>74</v>
      </c>
      <c r="BF961" s="2" t="s">
        <v>74</v>
      </c>
      <c r="BG961" s="2" t="s">
        <v>74</v>
      </c>
      <c r="BH961" s="2" t="s">
        <v>74</v>
      </c>
      <c r="BI961" s="2" t="s">
        <v>74</v>
      </c>
      <c r="BJ961" s="2" t="s">
        <v>74</v>
      </c>
      <c r="BK961" s="2" t="s">
        <v>74</v>
      </c>
      <c r="BL961" s="2" t="s">
        <v>74</v>
      </c>
      <c r="BM961" s="2" t="s">
        <v>74</v>
      </c>
      <c r="BN961" s="2" t="s">
        <v>74</v>
      </c>
      <c r="BO961" s="2" t="s">
        <v>74</v>
      </c>
      <c r="BP961" s="2" t="s">
        <v>74</v>
      </c>
      <c r="BQ961" s="2" t="s">
        <v>74</v>
      </c>
      <c r="BR961" s="2" t="s">
        <v>74</v>
      </c>
      <c r="BS961" s="2" t="s">
        <v>4475</v>
      </c>
      <c r="BT961" s="2" t="str">
        <f>HYPERLINK("https%3A%2F%2Fwww.webofscience.com%2Fwos%2Fwoscc%2Ffull-record%2FWOS:A1995UA71800003","View Full Record in Web of Science")</f>
        <v>View Full Record in Web of Science</v>
      </c>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row>
    <row r="962" spans="1:314" s="2" customFormat="1" x14ac:dyDescent="0.4">
      <c r="A962" s="2" t="s">
        <v>72</v>
      </c>
      <c r="B962" s="2" t="s">
        <v>6580</v>
      </c>
      <c r="C962" s="2" t="s">
        <v>74</v>
      </c>
      <c r="D962" s="2" t="s">
        <v>74</v>
      </c>
      <c r="E962" s="2" t="s">
        <v>74</v>
      </c>
      <c r="F962" s="2" t="s">
        <v>6580</v>
      </c>
      <c r="G962" s="2" t="s">
        <v>74</v>
      </c>
      <c r="H962" s="2" t="s">
        <v>74</v>
      </c>
      <c r="I962" s="2" t="s">
        <v>6581</v>
      </c>
      <c r="J962" s="2" t="s">
        <v>77</v>
      </c>
      <c r="K962" s="2" t="s">
        <v>74</v>
      </c>
      <c r="L962" s="2" t="s">
        <v>74</v>
      </c>
      <c r="M962" s="2" t="s">
        <v>74</v>
      </c>
      <c r="N962" s="2" t="s">
        <v>74</v>
      </c>
      <c r="O962" s="2" t="s">
        <v>74</v>
      </c>
      <c r="P962" s="2" t="s">
        <v>74</v>
      </c>
      <c r="Q962" s="2" t="s">
        <v>74</v>
      </c>
      <c r="R962" s="2" t="s">
        <v>74</v>
      </c>
      <c r="S962" s="2" t="s">
        <v>74</v>
      </c>
      <c r="T962" s="2" t="s">
        <v>74</v>
      </c>
      <c r="U962" s="2" t="s">
        <v>74</v>
      </c>
      <c r="V962" s="5" t="s">
        <v>6582</v>
      </c>
      <c r="W962" s="2" t="s">
        <v>74</v>
      </c>
      <c r="X962" s="2" t="s">
        <v>74</v>
      </c>
      <c r="Y962" s="2" t="s">
        <v>74</v>
      </c>
      <c r="Z962" s="2" t="s">
        <v>74</v>
      </c>
      <c r="AA962" s="2" t="s">
        <v>74</v>
      </c>
      <c r="AB962" s="2" t="s">
        <v>74</v>
      </c>
      <c r="AC962" s="2" t="s">
        <v>74</v>
      </c>
      <c r="AD962" s="2" t="s">
        <v>74</v>
      </c>
      <c r="AE962" s="2" t="s">
        <v>74</v>
      </c>
      <c r="AF962" s="2" t="s">
        <v>74</v>
      </c>
      <c r="AG962" s="2" t="s">
        <v>74</v>
      </c>
      <c r="AH962" s="2" t="s">
        <v>74</v>
      </c>
      <c r="AI962" s="2" t="s">
        <v>74</v>
      </c>
      <c r="AJ962" s="2" t="s">
        <v>74</v>
      </c>
      <c r="AK962" s="2" t="s">
        <v>74</v>
      </c>
      <c r="AL962" s="2" t="s">
        <v>74</v>
      </c>
      <c r="AM962" s="2" t="s">
        <v>74</v>
      </c>
      <c r="AN962" s="2" t="s">
        <v>74</v>
      </c>
      <c r="AO962" s="2" t="s">
        <v>81</v>
      </c>
      <c r="AP962" s="2" t="s">
        <v>82</v>
      </c>
      <c r="AQ962" s="2" t="s">
        <v>74</v>
      </c>
      <c r="AR962" s="2" t="s">
        <v>74</v>
      </c>
      <c r="AS962" s="2" t="s">
        <v>74</v>
      </c>
      <c r="AT962" s="2" t="s">
        <v>213</v>
      </c>
      <c r="AU962" s="2">
        <v>1988</v>
      </c>
      <c r="AV962" s="2">
        <v>107</v>
      </c>
      <c r="AW962" s="2" t="s">
        <v>74</v>
      </c>
      <c r="AX962" s="2" t="s">
        <v>548</v>
      </c>
      <c r="AY962" s="2" t="s">
        <v>74</v>
      </c>
      <c r="AZ962" s="2" t="s">
        <v>74</v>
      </c>
      <c r="BA962" s="2" t="s">
        <v>74</v>
      </c>
      <c r="BB962" s="2">
        <v>107</v>
      </c>
      <c r="BC962" s="2">
        <v>121</v>
      </c>
      <c r="BD962" s="2" t="s">
        <v>74</v>
      </c>
      <c r="BE962" s="2" t="s">
        <v>6583</v>
      </c>
      <c r="BF962" s="2" t="str">
        <f>HYPERLINK("http://dx.doi.org/10.1163/156853988X00223","http://dx.doi.org/10.1163/156853988X00223")</f>
        <v>http://dx.doi.org/10.1163/156853988X00223</v>
      </c>
      <c r="BG962" s="2" t="s">
        <v>74</v>
      </c>
      <c r="BH962" s="2" t="s">
        <v>74</v>
      </c>
      <c r="BI962" s="2" t="s">
        <v>74</v>
      </c>
      <c r="BJ962" s="2" t="s">
        <v>74</v>
      </c>
      <c r="BK962" s="2" t="s">
        <v>74</v>
      </c>
      <c r="BL962" s="2" t="s">
        <v>74</v>
      </c>
      <c r="BM962" s="2" t="s">
        <v>74</v>
      </c>
      <c r="BN962" s="2" t="s">
        <v>74</v>
      </c>
      <c r="BO962" s="2" t="s">
        <v>74</v>
      </c>
      <c r="BP962" s="2" t="s">
        <v>74</v>
      </c>
      <c r="BQ962" s="2" t="s">
        <v>74</v>
      </c>
      <c r="BR962" s="2" t="s">
        <v>74</v>
      </c>
      <c r="BS962" s="2" t="s">
        <v>6584</v>
      </c>
      <c r="BT962" s="2" t="str">
        <f>HYPERLINK("https%3A%2F%2Fwww.webofscience.com%2Fwos%2Fwoscc%2Ffull-record%2FWOS:A1988R479600008","View Full Record in Web of Science")</f>
        <v>View Full Record in Web of Science</v>
      </c>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row>
    <row r="963" spans="1:314" s="2" customFormat="1" x14ac:dyDescent="0.4">
      <c r="A963" s="2" t="s">
        <v>72</v>
      </c>
      <c r="B963" s="2" t="s">
        <v>8444</v>
      </c>
      <c r="C963" s="2" t="s">
        <v>74</v>
      </c>
      <c r="D963" s="2" t="s">
        <v>74</v>
      </c>
      <c r="E963" s="2" t="s">
        <v>74</v>
      </c>
      <c r="F963" s="2" t="s">
        <v>8445</v>
      </c>
      <c r="G963" s="2" t="s">
        <v>74</v>
      </c>
      <c r="H963" s="2" t="s">
        <v>74</v>
      </c>
      <c r="I963" s="2" t="s">
        <v>8446</v>
      </c>
      <c r="J963" s="2" t="s">
        <v>3332</v>
      </c>
      <c r="K963" s="2" t="s">
        <v>74</v>
      </c>
      <c r="L963" s="2" t="s">
        <v>74</v>
      </c>
      <c r="M963" s="2" t="s">
        <v>74</v>
      </c>
      <c r="N963" s="2" t="s">
        <v>74</v>
      </c>
      <c r="O963" s="2" t="s">
        <v>74</v>
      </c>
      <c r="P963" s="2" t="s">
        <v>74</v>
      </c>
      <c r="Q963" s="2" t="s">
        <v>74</v>
      </c>
      <c r="R963" s="2" t="s">
        <v>74</v>
      </c>
      <c r="S963" s="2" t="s">
        <v>74</v>
      </c>
      <c r="T963" s="2" t="s">
        <v>74</v>
      </c>
      <c r="U963" s="2" t="s">
        <v>74</v>
      </c>
      <c r="V963" s="5" t="s">
        <v>8447</v>
      </c>
      <c r="W963" s="2" t="s">
        <v>74</v>
      </c>
      <c r="X963" s="2" t="s">
        <v>74</v>
      </c>
      <c r="Y963" s="2" t="s">
        <v>74</v>
      </c>
      <c r="Z963" s="2" t="s">
        <v>74</v>
      </c>
      <c r="AA963" s="2" t="s">
        <v>8448</v>
      </c>
      <c r="AB963" s="2" t="s">
        <v>8449</v>
      </c>
      <c r="AC963" s="2" t="s">
        <v>74</v>
      </c>
      <c r="AD963" s="2" t="s">
        <v>74</v>
      </c>
      <c r="AE963" s="2" t="s">
        <v>74</v>
      </c>
      <c r="AF963" s="2" t="s">
        <v>74</v>
      </c>
      <c r="AG963" s="2" t="s">
        <v>74</v>
      </c>
      <c r="AH963" s="2" t="s">
        <v>74</v>
      </c>
      <c r="AI963" s="2" t="s">
        <v>74</v>
      </c>
      <c r="AJ963" s="2" t="s">
        <v>74</v>
      </c>
      <c r="AK963" s="2" t="s">
        <v>74</v>
      </c>
      <c r="AL963" s="2" t="s">
        <v>74</v>
      </c>
      <c r="AM963" s="2" t="s">
        <v>74</v>
      </c>
      <c r="AN963" s="2" t="s">
        <v>74</v>
      </c>
      <c r="AO963" s="2" t="s">
        <v>3336</v>
      </c>
      <c r="AP963" s="2" t="s">
        <v>3337</v>
      </c>
      <c r="AQ963" s="2" t="s">
        <v>74</v>
      </c>
      <c r="AR963" s="2" t="s">
        <v>74</v>
      </c>
      <c r="AS963" s="2" t="s">
        <v>74</v>
      </c>
      <c r="AT963" s="2" t="s">
        <v>3338</v>
      </c>
      <c r="AU963" s="2">
        <v>2010</v>
      </c>
      <c r="AV963" s="2">
        <v>45</v>
      </c>
      <c r="AW963" s="2">
        <v>1</v>
      </c>
      <c r="AX963" s="2" t="s">
        <v>74</v>
      </c>
      <c r="AY963" s="2" t="s">
        <v>74</v>
      </c>
      <c r="AZ963" s="2" t="s">
        <v>74</v>
      </c>
      <c r="BA963" s="2" t="s">
        <v>74</v>
      </c>
      <c r="BB963" s="2">
        <v>91</v>
      </c>
      <c r="BC963" s="2">
        <v>97</v>
      </c>
      <c r="BD963" s="2" t="s">
        <v>74</v>
      </c>
      <c r="BE963" s="2" t="s">
        <v>8450</v>
      </c>
      <c r="BF963" s="2" t="str">
        <f>HYPERLINK("http://dx.doi.org/10.3161/000164510X516146","http://dx.doi.org/10.3161/000164510X516146")</f>
        <v>http://dx.doi.org/10.3161/000164510X516146</v>
      </c>
      <c r="BG963" s="2" t="s">
        <v>74</v>
      </c>
      <c r="BH963" s="2" t="s">
        <v>74</v>
      </c>
      <c r="BI963" s="2" t="s">
        <v>74</v>
      </c>
      <c r="BJ963" s="2" t="s">
        <v>74</v>
      </c>
      <c r="BK963" s="2" t="s">
        <v>74</v>
      </c>
      <c r="BL963" s="2" t="s">
        <v>74</v>
      </c>
      <c r="BM963" s="2" t="s">
        <v>74</v>
      </c>
      <c r="BN963" s="2" t="s">
        <v>74</v>
      </c>
      <c r="BO963" s="2" t="s">
        <v>74</v>
      </c>
      <c r="BP963" s="2" t="s">
        <v>74</v>
      </c>
      <c r="BQ963" s="2" t="s">
        <v>74</v>
      </c>
      <c r="BR963" s="2" t="s">
        <v>74</v>
      </c>
      <c r="BS963" s="2" t="s">
        <v>8451</v>
      </c>
      <c r="BT963" s="2" t="str">
        <f>HYPERLINK("https%3A%2F%2Fwww.webofscience.com%2Fwos%2Fwoscc%2Ffull-record%2FWOS:000280387600010","View Full Record in Web of Science")</f>
        <v>View Full Record in Web of Science</v>
      </c>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row>
    <row r="964" spans="1:314" s="2" customFormat="1" x14ac:dyDescent="0.4">
      <c r="A964" s="2" t="s">
        <v>72</v>
      </c>
      <c r="B964" s="2" t="s">
        <v>6061</v>
      </c>
      <c r="C964" s="2" t="s">
        <v>74</v>
      </c>
      <c r="D964" s="2" t="s">
        <v>74</v>
      </c>
      <c r="E964" s="2" t="s">
        <v>74</v>
      </c>
      <c r="F964" s="2" t="s">
        <v>6062</v>
      </c>
      <c r="G964" s="2" t="s">
        <v>74</v>
      </c>
      <c r="H964" s="2" t="s">
        <v>74</v>
      </c>
      <c r="I964" s="2" t="s">
        <v>6063</v>
      </c>
      <c r="J964" s="2" t="s">
        <v>576</v>
      </c>
      <c r="K964" s="2" t="s">
        <v>74</v>
      </c>
      <c r="L964" s="2" t="s">
        <v>74</v>
      </c>
      <c r="M964" s="2" t="s">
        <v>74</v>
      </c>
      <c r="N964" s="2" t="s">
        <v>74</v>
      </c>
      <c r="O964" s="2" t="s">
        <v>74</v>
      </c>
      <c r="P964" s="2" t="s">
        <v>74</v>
      </c>
      <c r="Q964" s="2" t="s">
        <v>74</v>
      </c>
      <c r="R964" s="2" t="s">
        <v>74</v>
      </c>
      <c r="S964" s="2" t="s">
        <v>74</v>
      </c>
      <c r="T964" s="2" t="s">
        <v>74</v>
      </c>
      <c r="U964" s="2" t="s">
        <v>74</v>
      </c>
      <c r="V964" s="5" t="s">
        <v>6064</v>
      </c>
      <c r="W964" s="2" t="s">
        <v>74</v>
      </c>
      <c r="X964" s="2" t="s">
        <v>74</v>
      </c>
      <c r="Y964" s="2" t="s">
        <v>74</v>
      </c>
      <c r="Z964" s="2" t="s">
        <v>74</v>
      </c>
      <c r="AA964" s="2" t="s">
        <v>74</v>
      </c>
      <c r="AB964" s="2" t="s">
        <v>6065</v>
      </c>
      <c r="AC964" s="2" t="s">
        <v>74</v>
      </c>
      <c r="AD964" s="2" t="s">
        <v>74</v>
      </c>
      <c r="AE964" s="2" t="s">
        <v>74</v>
      </c>
      <c r="AF964" s="2" t="s">
        <v>74</v>
      </c>
      <c r="AG964" s="2" t="s">
        <v>74</v>
      </c>
      <c r="AH964" s="2" t="s">
        <v>74</v>
      </c>
      <c r="AI964" s="2" t="s">
        <v>74</v>
      </c>
      <c r="AJ964" s="2" t="s">
        <v>74</v>
      </c>
      <c r="AK964" s="2" t="s">
        <v>74</v>
      </c>
      <c r="AL964" s="2" t="s">
        <v>74</v>
      </c>
      <c r="AM964" s="2" t="s">
        <v>74</v>
      </c>
      <c r="AN964" s="2" t="s">
        <v>74</v>
      </c>
      <c r="AO964" s="2" t="s">
        <v>579</v>
      </c>
      <c r="AP964" s="2" t="s">
        <v>580</v>
      </c>
      <c r="AQ964" s="2" t="s">
        <v>74</v>
      </c>
      <c r="AR964" s="2" t="s">
        <v>74</v>
      </c>
      <c r="AS964" s="2" t="s">
        <v>74</v>
      </c>
      <c r="AT964" s="2" t="s">
        <v>123</v>
      </c>
      <c r="AU964" s="2">
        <v>2015</v>
      </c>
      <c r="AV964" s="2">
        <v>29</v>
      </c>
      <c r="AW964" s="2">
        <v>2</v>
      </c>
      <c r="AX964" s="2" t="s">
        <v>74</v>
      </c>
      <c r="AY964" s="2" t="s">
        <v>74</v>
      </c>
      <c r="AZ964" s="2" t="s">
        <v>74</v>
      </c>
      <c r="BA964" s="2" t="s">
        <v>74</v>
      </c>
      <c r="BB964" s="2">
        <v>217</v>
      </c>
      <c r="BC964" s="2">
        <v>227</v>
      </c>
      <c r="BD964" s="2" t="s">
        <v>74</v>
      </c>
      <c r="BE964" s="2" t="s">
        <v>6066</v>
      </c>
      <c r="BF964" s="2" t="str">
        <f>HYPERLINK("http://dx.doi.org/10.1007/s10682-014-9744-5","http://dx.doi.org/10.1007/s10682-014-9744-5")</f>
        <v>http://dx.doi.org/10.1007/s10682-014-9744-5</v>
      </c>
      <c r="BG964" s="2" t="s">
        <v>74</v>
      </c>
      <c r="BH964" s="2" t="s">
        <v>74</v>
      </c>
      <c r="BI964" s="2" t="s">
        <v>74</v>
      </c>
      <c r="BJ964" s="2" t="s">
        <v>74</v>
      </c>
      <c r="BK964" s="2" t="s">
        <v>74</v>
      </c>
      <c r="BL964" s="2" t="s">
        <v>74</v>
      </c>
      <c r="BM964" s="2" t="s">
        <v>74</v>
      </c>
      <c r="BN964" s="2" t="s">
        <v>74</v>
      </c>
      <c r="BO964" s="2" t="s">
        <v>74</v>
      </c>
      <c r="BP964" s="2" t="s">
        <v>74</v>
      </c>
      <c r="BQ964" s="2" t="s">
        <v>74</v>
      </c>
      <c r="BR964" s="2" t="s">
        <v>74</v>
      </c>
      <c r="BS964" s="2" t="s">
        <v>6067</v>
      </c>
      <c r="BT964" s="2" t="str">
        <f>HYPERLINK("https%3A%2F%2Fwww.webofscience.com%2Fwos%2Fwoscc%2Ffull-record%2FWOS:000349964700002","View Full Record in Web of Science")</f>
        <v>View Full Record in Web of Science</v>
      </c>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row>
    <row r="965" spans="1:314" s="2" customFormat="1" x14ac:dyDescent="0.4">
      <c r="A965" s="2" t="s">
        <v>72</v>
      </c>
      <c r="B965" s="2" t="s">
        <v>6015</v>
      </c>
      <c r="C965" s="2" t="s">
        <v>74</v>
      </c>
      <c r="D965" s="2" t="s">
        <v>74</v>
      </c>
      <c r="E965" s="2" t="s">
        <v>74</v>
      </c>
      <c r="F965" s="2" t="s">
        <v>6015</v>
      </c>
      <c r="G965" s="2" t="s">
        <v>74</v>
      </c>
      <c r="H965" s="2" t="s">
        <v>74</v>
      </c>
      <c r="I965" s="2" t="s">
        <v>6016</v>
      </c>
      <c r="J965" s="2" t="s">
        <v>4655</v>
      </c>
      <c r="K965" s="2" t="s">
        <v>74</v>
      </c>
      <c r="L965" s="2" t="s">
        <v>74</v>
      </c>
      <c r="M965" s="2" t="s">
        <v>74</v>
      </c>
      <c r="N965" s="2" t="s">
        <v>74</v>
      </c>
      <c r="O965" s="2" t="s">
        <v>74</v>
      </c>
      <c r="P965" s="2" t="s">
        <v>74</v>
      </c>
      <c r="Q965" s="2" t="s">
        <v>74</v>
      </c>
      <c r="R965" s="2" t="s">
        <v>74</v>
      </c>
      <c r="S965" s="2" t="s">
        <v>74</v>
      </c>
      <c r="T965" s="2" t="s">
        <v>74</v>
      </c>
      <c r="U965" s="2" t="s">
        <v>74</v>
      </c>
      <c r="V965" s="5" t="s">
        <v>6017</v>
      </c>
      <c r="W965" s="2" t="s">
        <v>74</v>
      </c>
      <c r="X965" s="2" t="s">
        <v>74</v>
      </c>
      <c r="Y965" s="2" t="s">
        <v>74</v>
      </c>
      <c r="Z965" s="2" t="s">
        <v>74</v>
      </c>
      <c r="AA965" s="2" t="s">
        <v>74</v>
      </c>
      <c r="AB965" s="2" t="s">
        <v>74</v>
      </c>
      <c r="AC965" s="2" t="s">
        <v>74</v>
      </c>
      <c r="AD965" s="2" t="s">
        <v>74</v>
      </c>
      <c r="AE965" s="2" t="s">
        <v>74</v>
      </c>
      <c r="AF965" s="2" t="s">
        <v>74</v>
      </c>
      <c r="AG965" s="2" t="s">
        <v>74</v>
      </c>
      <c r="AH965" s="2" t="s">
        <v>74</v>
      </c>
      <c r="AI965" s="2" t="s">
        <v>74</v>
      </c>
      <c r="AJ965" s="2" t="s">
        <v>74</v>
      </c>
      <c r="AK965" s="2" t="s">
        <v>74</v>
      </c>
      <c r="AL965" s="2" t="s">
        <v>74</v>
      </c>
      <c r="AM965" s="2" t="s">
        <v>74</v>
      </c>
      <c r="AN965" s="2" t="s">
        <v>74</v>
      </c>
      <c r="AO965" s="2" t="s">
        <v>4657</v>
      </c>
      <c r="AP965" s="2" t="s">
        <v>74</v>
      </c>
      <c r="AQ965" s="2" t="s">
        <v>74</v>
      </c>
      <c r="AR965" s="2" t="s">
        <v>74</v>
      </c>
      <c r="AS965" s="2" t="s">
        <v>74</v>
      </c>
      <c r="AT965" s="2" t="s">
        <v>102</v>
      </c>
      <c r="AU965" s="2">
        <v>1991</v>
      </c>
      <c r="AV965" s="2">
        <v>103</v>
      </c>
      <c r="AW965" s="2">
        <v>2</v>
      </c>
      <c r="AX965" s="2" t="s">
        <v>74</v>
      </c>
      <c r="AY965" s="2" t="s">
        <v>74</v>
      </c>
      <c r="AZ965" s="2" t="s">
        <v>74</v>
      </c>
      <c r="BA965" s="2" t="s">
        <v>74</v>
      </c>
      <c r="BB965" s="2">
        <v>190</v>
      </c>
      <c r="BC965" s="2">
        <v>203</v>
      </c>
      <c r="BD965" s="2" t="s">
        <v>74</v>
      </c>
      <c r="BE965" s="2" t="s">
        <v>74</v>
      </c>
      <c r="BF965" s="2" t="s">
        <v>74</v>
      </c>
      <c r="BG965" s="2" t="s">
        <v>74</v>
      </c>
      <c r="BH965" s="2" t="s">
        <v>74</v>
      </c>
      <c r="BI965" s="2" t="s">
        <v>74</v>
      </c>
      <c r="BJ965" s="2" t="s">
        <v>74</v>
      </c>
      <c r="BK965" s="2" t="s">
        <v>74</v>
      </c>
      <c r="BL965" s="2" t="s">
        <v>74</v>
      </c>
      <c r="BM965" s="2" t="s">
        <v>74</v>
      </c>
      <c r="BN965" s="2" t="s">
        <v>74</v>
      </c>
      <c r="BO965" s="2" t="s">
        <v>74</v>
      </c>
      <c r="BP965" s="2" t="s">
        <v>74</v>
      </c>
      <c r="BQ965" s="2" t="s">
        <v>74</v>
      </c>
      <c r="BR965" s="2" t="s">
        <v>74</v>
      </c>
      <c r="BS965" s="2" t="s">
        <v>6018</v>
      </c>
      <c r="BT965" s="2" t="str">
        <f>HYPERLINK("https%3A%2F%2Fwww.webofscience.com%2Fwos%2Fwoscc%2Ffull-record%2FWOS:A1991FP90500003","View Full Record in Web of Science")</f>
        <v>View Full Record in Web of Science</v>
      </c>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row>
    <row r="966" spans="1:314" s="2" customFormat="1" x14ac:dyDescent="0.4">
      <c r="A966" s="2" t="s">
        <v>72</v>
      </c>
      <c r="B966" s="2" t="s">
        <v>1793</v>
      </c>
      <c r="C966" s="2" t="s">
        <v>74</v>
      </c>
      <c r="D966" s="2" t="s">
        <v>74</v>
      </c>
      <c r="E966" s="2" t="s">
        <v>74</v>
      </c>
      <c r="F966" s="2" t="s">
        <v>1793</v>
      </c>
      <c r="G966" s="2" t="s">
        <v>74</v>
      </c>
      <c r="H966" s="2" t="s">
        <v>74</v>
      </c>
      <c r="I966" s="2" t="s">
        <v>1794</v>
      </c>
      <c r="J966" s="2" t="s">
        <v>108</v>
      </c>
      <c r="K966" s="2" t="s">
        <v>74</v>
      </c>
      <c r="L966" s="2" t="s">
        <v>74</v>
      </c>
      <c r="M966" s="2" t="s">
        <v>74</v>
      </c>
      <c r="N966" s="2" t="s">
        <v>74</v>
      </c>
      <c r="O966" s="2" t="s">
        <v>74</v>
      </c>
      <c r="P966" s="2" t="s">
        <v>74</v>
      </c>
      <c r="Q966" s="2" t="s">
        <v>74</v>
      </c>
      <c r="R966" s="2" t="s">
        <v>74</v>
      </c>
      <c r="S966" s="2" t="s">
        <v>74</v>
      </c>
      <c r="T966" s="2" t="s">
        <v>74</v>
      </c>
      <c r="U966" s="2" t="s">
        <v>74</v>
      </c>
      <c r="V966" s="5" t="s">
        <v>1795</v>
      </c>
      <c r="W966" s="2" t="s">
        <v>74</v>
      </c>
      <c r="X966" s="2" t="s">
        <v>74</v>
      </c>
      <c r="Y966" s="2" t="s">
        <v>74</v>
      </c>
      <c r="Z966" s="2" t="s">
        <v>74</v>
      </c>
      <c r="AA966" s="2" t="s">
        <v>1106</v>
      </c>
      <c r="AB966" s="2" t="s">
        <v>1796</v>
      </c>
      <c r="AC966" s="2" t="s">
        <v>74</v>
      </c>
      <c r="AD966" s="2" t="s">
        <v>74</v>
      </c>
      <c r="AE966" s="2" t="s">
        <v>74</v>
      </c>
      <c r="AF966" s="2" t="s">
        <v>74</v>
      </c>
      <c r="AG966" s="2" t="s">
        <v>74</v>
      </c>
      <c r="AH966" s="2" t="s">
        <v>74</v>
      </c>
      <c r="AI966" s="2" t="s">
        <v>74</v>
      </c>
      <c r="AJ966" s="2" t="s">
        <v>74</v>
      </c>
      <c r="AK966" s="2" t="s">
        <v>74</v>
      </c>
      <c r="AL966" s="2" t="s">
        <v>74</v>
      </c>
      <c r="AM966" s="2" t="s">
        <v>74</v>
      </c>
      <c r="AN966" s="2" t="s">
        <v>74</v>
      </c>
      <c r="AO966" s="2" t="s">
        <v>111</v>
      </c>
      <c r="AP966" s="2" t="s">
        <v>112</v>
      </c>
      <c r="AQ966" s="2" t="s">
        <v>74</v>
      </c>
      <c r="AR966" s="2" t="s">
        <v>74</v>
      </c>
      <c r="AS966" s="2" t="s">
        <v>74</v>
      </c>
      <c r="AT966" s="2" t="s">
        <v>1797</v>
      </c>
      <c r="AU966" s="2">
        <v>2004</v>
      </c>
      <c r="AV966" s="2">
        <v>271</v>
      </c>
      <c r="AW966" s="2">
        <v>1546</v>
      </c>
      <c r="AX966" s="2" t="s">
        <v>74</v>
      </c>
      <c r="AY966" s="2" t="s">
        <v>74</v>
      </c>
      <c r="AZ966" s="2" t="s">
        <v>74</v>
      </c>
      <c r="BA966" s="2" t="s">
        <v>74</v>
      </c>
      <c r="BB966" s="2">
        <v>1345</v>
      </c>
      <c r="BC966" s="2">
        <v>1353</v>
      </c>
      <c r="BD966" s="2" t="s">
        <v>74</v>
      </c>
      <c r="BE966" s="2" t="s">
        <v>1798</v>
      </c>
      <c r="BF966" s="2" t="str">
        <f>HYPERLINK("http://dx.doi.org/10.1098/rspb.2004.2737","http://dx.doi.org/10.1098/rspb.2004.2737")</f>
        <v>http://dx.doi.org/10.1098/rspb.2004.2737</v>
      </c>
      <c r="BG966" s="2" t="s">
        <v>74</v>
      </c>
      <c r="BH966" s="2" t="s">
        <v>74</v>
      </c>
      <c r="BI966" s="2" t="s">
        <v>74</v>
      </c>
      <c r="BJ966" s="2" t="s">
        <v>74</v>
      </c>
      <c r="BK966" s="2" t="s">
        <v>74</v>
      </c>
      <c r="BL966" s="2" t="s">
        <v>74</v>
      </c>
      <c r="BM966" s="2" t="s">
        <v>74</v>
      </c>
      <c r="BN966" s="2">
        <v>15306332</v>
      </c>
      <c r="BO966" s="2" t="s">
        <v>74</v>
      </c>
      <c r="BP966" s="2" t="s">
        <v>74</v>
      </c>
      <c r="BQ966" s="2" t="s">
        <v>74</v>
      </c>
      <c r="BR966" s="2" t="s">
        <v>74</v>
      </c>
      <c r="BS966" s="2" t="s">
        <v>1799</v>
      </c>
      <c r="BT966" s="2" t="str">
        <f>HYPERLINK("https%3A%2F%2Fwww.webofscience.com%2Fwos%2Fwoscc%2Ffull-record%2FWOS:000222576500004","View Full Record in Web of Science")</f>
        <v>View Full Record in Web of Science</v>
      </c>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row>
    <row r="967" spans="1:314" s="2" customFormat="1" x14ac:dyDescent="0.4">
      <c r="A967" s="2" t="s">
        <v>72</v>
      </c>
      <c r="B967" s="2" t="s">
        <v>698</v>
      </c>
      <c r="C967" s="2" t="s">
        <v>74</v>
      </c>
      <c r="D967" s="2" t="s">
        <v>74</v>
      </c>
      <c r="E967" s="2" t="s">
        <v>74</v>
      </c>
      <c r="F967" s="2" t="s">
        <v>699</v>
      </c>
      <c r="G967" s="2" t="s">
        <v>74</v>
      </c>
      <c r="H967" s="2" t="s">
        <v>74</v>
      </c>
      <c r="I967" s="2" t="s">
        <v>700</v>
      </c>
      <c r="J967" s="2" t="s">
        <v>701</v>
      </c>
      <c r="K967" s="2" t="s">
        <v>74</v>
      </c>
      <c r="L967" s="2" t="s">
        <v>74</v>
      </c>
      <c r="M967" s="2" t="s">
        <v>74</v>
      </c>
      <c r="N967" s="2" t="s">
        <v>74</v>
      </c>
      <c r="O967" s="2" t="s">
        <v>74</v>
      </c>
      <c r="P967" s="2" t="s">
        <v>74</v>
      </c>
      <c r="Q967" s="2" t="s">
        <v>74</v>
      </c>
      <c r="R967" s="2" t="s">
        <v>74</v>
      </c>
      <c r="S967" s="2" t="s">
        <v>74</v>
      </c>
      <c r="T967" s="2" t="s">
        <v>74</v>
      </c>
      <c r="U967" s="2" t="s">
        <v>74</v>
      </c>
      <c r="V967" s="5" t="s">
        <v>702</v>
      </c>
      <c r="W967" s="2" t="s">
        <v>74</v>
      </c>
      <c r="X967" s="2" t="s">
        <v>74</v>
      </c>
      <c r="Y967" s="2" t="s">
        <v>74</v>
      </c>
      <c r="Z967" s="2" t="s">
        <v>74</v>
      </c>
      <c r="AA967" s="2" t="s">
        <v>74</v>
      </c>
      <c r="AB967" s="2" t="s">
        <v>74</v>
      </c>
      <c r="AC967" s="2" t="s">
        <v>74</v>
      </c>
      <c r="AD967" s="2" t="s">
        <v>74</v>
      </c>
      <c r="AE967" s="2" t="s">
        <v>74</v>
      </c>
      <c r="AF967" s="2" t="s">
        <v>74</v>
      </c>
      <c r="AG967" s="2" t="s">
        <v>74</v>
      </c>
      <c r="AH967" s="2" t="s">
        <v>74</v>
      </c>
      <c r="AI967" s="2" t="s">
        <v>74</v>
      </c>
      <c r="AJ967" s="2" t="s">
        <v>74</v>
      </c>
      <c r="AK967" s="2" t="s">
        <v>74</v>
      </c>
      <c r="AL967" s="2" t="s">
        <v>74</v>
      </c>
      <c r="AM967" s="2" t="s">
        <v>74</v>
      </c>
      <c r="AN967" s="2" t="s">
        <v>74</v>
      </c>
      <c r="AO967" s="2" t="s">
        <v>703</v>
      </c>
      <c r="AP967" s="2" t="s">
        <v>704</v>
      </c>
      <c r="AQ967" s="2" t="s">
        <v>74</v>
      </c>
      <c r="AR967" s="2" t="s">
        <v>74</v>
      </c>
      <c r="AS967" s="2" t="s">
        <v>74</v>
      </c>
      <c r="AT967" s="2" t="s">
        <v>74</v>
      </c>
      <c r="AU967" s="2">
        <v>2009</v>
      </c>
      <c r="AV967" s="2">
        <v>55</v>
      </c>
      <c r="AW967" s="2">
        <v>4</v>
      </c>
      <c r="AX967" s="2" t="s">
        <v>74</v>
      </c>
      <c r="AY967" s="2" t="s">
        <v>74</v>
      </c>
      <c r="AZ967" s="2" t="s">
        <v>74</v>
      </c>
      <c r="BA967" s="2" t="s">
        <v>74</v>
      </c>
      <c r="BB967" s="2">
        <v>359</v>
      </c>
      <c r="BC967" s="2">
        <v>367</v>
      </c>
      <c r="BD967" s="2" t="s">
        <v>74</v>
      </c>
      <c r="BE967" s="2" t="s">
        <v>705</v>
      </c>
      <c r="BF967" s="2" t="str">
        <f>HYPERLINK("http://dx.doi.org/10.1560/IJEE.55.4.359","http://dx.doi.org/10.1560/IJEE.55.4.359")</f>
        <v>http://dx.doi.org/10.1560/IJEE.55.4.359</v>
      </c>
      <c r="BG967" s="2" t="s">
        <v>74</v>
      </c>
      <c r="BH967" s="2" t="s">
        <v>74</v>
      </c>
      <c r="BI967" s="2" t="s">
        <v>74</v>
      </c>
      <c r="BJ967" s="2" t="s">
        <v>74</v>
      </c>
      <c r="BK967" s="2" t="s">
        <v>74</v>
      </c>
      <c r="BL967" s="2" t="s">
        <v>74</v>
      </c>
      <c r="BM967" s="2" t="s">
        <v>74</v>
      </c>
      <c r="BN967" s="2" t="s">
        <v>74</v>
      </c>
      <c r="BO967" s="2" t="s">
        <v>74</v>
      </c>
      <c r="BP967" s="2" t="s">
        <v>74</v>
      </c>
      <c r="BQ967" s="2" t="s">
        <v>74</v>
      </c>
      <c r="BR967" s="2" t="s">
        <v>74</v>
      </c>
      <c r="BS967" s="2" t="s">
        <v>706</v>
      </c>
      <c r="BT967" s="2" t="str">
        <f>HYPERLINK("https%3A%2F%2Fwww.webofscience.com%2Fwos%2Fwoscc%2Ffull-record%2FWOS:000281916500005","View Full Record in Web of Science")</f>
        <v>View Full Record in Web of Science</v>
      </c>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row>
    <row r="968" spans="1:314" s="2" customFormat="1" x14ac:dyDescent="0.4">
      <c r="A968" s="2" t="s">
        <v>72</v>
      </c>
      <c r="B968" s="2" t="s">
        <v>8465</v>
      </c>
      <c r="C968" s="2" t="s">
        <v>74</v>
      </c>
      <c r="D968" s="2" t="s">
        <v>74</v>
      </c>
      <c r="E968" s="2" t="s">
        <v>74</v>
      </c>
      <c r="F968" s="2" t="s">
        <v>8466</v>
      </c>
      <c r="G968" s="2" t="s">
        <v>74</v>
      </c>
      <c r="H968" s="2" t="s">
        <v>74</v>
      </c>
      <c r="I968" s="2" t="s">
        <v>8467</v>
      </c>
      <c r="J968" s="2" t="s">
        <v>8468</v>
      </c>
      <c r="K968" s="2" t="s">
        <v>74</v>
      </c>
      <c r="L968" s="2" t="s">
        <v>74</v>
      </c>
      <c r="M968" s="2" t="s">
        <v>74</v>
      </c>
      <c r="N968" s="2" t="s">
        <v>74</v>
      </c>
      <c r="O968" s="2" t="s">
        <v>74</v>
      </c>
      <c r="P968" s="2" t="s">
        <v>74</v>
      </c>
      <c r="Q968" s="2" t="s">
        <v>74</v>
      </c>
      <c r="R968" s="2" t="s">
        <v>74</v>
      </c>
      <c r="S968" s="2" t="s">
        <v>74</v>
      </c>
      <c r="T968" s="2" t="s">
        <v>74</v>
      </c>
      <c r="U968" s="2" t="s">
        <v>74</v>
      </c>
      <c r="V968" s="5" t="s">
        <v>8469</v>
      </c>
      <c r="W968" s="2" t="s">
        <v>74</v>
      </c>
      <c r="X968" s="2" t="s">
        <v>74</v>
      </c>
      <c r="Y968" s="2" t="s">
        <v>74</v>
      </c>
      <c r="Z968" s="2" t="s">
        <v>74</v>
      </c>
      <c r="AA968" s="2" t="s">
        <v>74</v>
      </c>
      <c r="AB968" s="2" t="s">
        <v>74</v>
      </c>
      <c r="AC968" s="2" t="s">
        <v>74</v>
      </c>
      <c r="AD968" s="2" t="s">
        <v>74</v>
      </c>
      <c r="AE968" s="2" t="s">
        <v>74</v>
      </c>
      <c r="AF968" s="2" t="s">
        <v>74</v>
      </c>
      <c r="AG968" s="2" t="s">
        <v>74</v>
      </c>
      <c r="AH968" s="2" t="s">
        <v>74</v>
      </c>
      <c r="AI968" s="2" t="s">
        <v>74</v>
      </c>
      <c r="AJ968" s="2" t="s">
        <v>74</v>
      </c>
      <c r="AK968" s="2" t="s">
        <v>74</v>
      </c>
      <c r="AL968" s="2" t="s">
        <v>74</v>
      </c>
      <c r="AM968" s="2" t="s">
        <v>74</v>
      </c>
      <c r="AN968" s="2" t="s">
        <v>74</v>
      </c>
      <c r="AO968" s="2" t="s">
        <v>8470</v>
      </c>
      <c r="AP968" s="2" t="s">
        <v>74</v>
      </c>
      <c r="AQ968" s="2" t="s">
        <v>74</v>
      </c>
      <c r="AR968" s="2" t="s">
        <v>74</v>
      </c>
      <c r="AS968" s="2" t="s">
        <v>74</v>
      </c>
      <c r="AT968" s="2" t="s">
        <v>352</v>
      </c>
      <c r="AU968" s="2">
        <v>2016</v>
      </c>
      <c r="AV968" s="2">
        <v>23</v>
      </c>
      <c r="AW968" s="2" t="s">
        <v>74</v>
      </c>
      <c r="AX968" s="2" t="s">
        <v>74</v>
      </c>
      <c r="AY968" s="2" t="s">
        <v>74</v>
      </c>
      <c r="AZ968" s="2" t="s">
        <v>74</v>
      </c>
      <c r="BA968" s="2" t="s">
        <v>74</v>
      </c>
      <c r="BB968" s="2">
        <v>41</v>
      </c>
      <c r="BC968" s="2">
        <v>59</v>
      </c>
      <c r="BD968" s="2" t="s">
        <v>74</v>
      </c>
      <c r="BE968" s="2" t="s">
        <v>74</v>
      </c>
      <c r="BF968" s="2" t="s">
        <v>74</v>
      </c>
      <c r="BG968" s="2" t="s">
        <v>74</v>
      </c>
      <c r="BH968" s="2" t="s">
        <v>74</v>
      </c>
      <c r="BI968" s="2" t="s">
        <v>74</v>
      </c>
      <c r="BJ968" s="2" t="s">
        <v>74</v>
      </c>
      <c r="BK968" s="2" t="s">
        <v>74</v>
      </c>
      <c r="BL968" s="2" t="s">
        <v>74</v>
      </c>
      <c r="BM968" s="2" t="s">
        <v>74</v>
      </c>
      <c r="BN968" s="2" t="s">
        <v>74</v>
      </c>
      <c r="BO968" s="2" t="s">
        <v>74</v>
      </c>
      <c r="BP968" s="2" t="s">
        <v>74</v>
      </c>
      <c r="BQ968" s="2" t="s">
        <v>74</v>
      </c>
      <c r="BR968" s="2" t="s">
        <v>74</v>
      </c>
      <c r="BS968" s="2" t="s">
        <v>8471</v>
      </c>
      <c r="BT968" s="2" t="str">
        <f>HYPERLINK("https%3A%2F%2Fwww.webofscience.com%2Fwos%2Fwoscc%2Ffull-record%2FWOS:000383924400005","View Full Record in Web of Science")</f>
        <v>View Full Record in Web of Science</v>
      </c>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row>
    <row r="969" spans="1:314" s="2" customFormat="1" x14ac:dyDescent="0.4">
      <c r="A969" s="2" t="s">
        <v>72</v>
      </c>
      <c r="B969" s="2" t="s">
        <v>5978</v>
      </c>
      <c r="C969" s="2" t="s">
        <v>74</v>
      </c>
      <c r="D969" s="2" t="s">
        <v>74</v>
      </c>
      <c r="E969" s="2" t="s">
        <v>74</v>
      </c>
      <c r="F969" s="2" t="s">
        <v>5979</v>
      </c>
      <c r="G969" s="2" t="s">
        <v>74</v>
      </c>
      <c r="H969" s="2" t="s">
        <v>74</v>
      </c>
      <c r="I969" s="2" t="s">
        <v>5980</v>
      </c>
      <c r="J969" s="2" t="s">
        <v>108</v>
      </c>
      <c r="K969" s="2" t="s">
        <v>74</v>
      </c>
      <c r="L969" s="2" t="s">
        <v>74</v>
      </c>
      <c r="M969" s="2" t="s">
        <v>74</v>
      </c>
      <c r="N969" s="2" t="s">
        <v>74</v>
      </c>
      <c r="O969" s="2" t="s">
        <v>74</v>
      </c>
      <c r="P969" s="2" t="s">
        <v>74</v>
      </c>
      <c r="Q969" s="2" t="s">
        <v>74</v>
      </c>
      <c r="R969" s="2" t="s">
        <v>74</v>
      </c>
      <c r="S969" s="2" t="s">
        <v>74</v>
      </c>
      <c r="T969" s="2" t="s">
        <v>74</v>
      </c>
      <c r="U969" s="2" t="s">
        <v>74</v>
      </c>
      <c r="V969" s="5" t="s">
        <v>5981</v>
      </c>
      <c r="W969" s="2" t="s">
        <v>74</v>
      </c>
      <c r="X969" s="2" t="s">
        <v>74</v>
      </c>
      <c r="Y969" s="2" t="s">
        <v>74</v>
      </c>
      <c r="Z969" s="2" t="s">
        <v>74</v>
      </c>
      <c r="AA969" s="2" t="s">
        <v>5982</v>
      </c>
      <c r="AB969" s="2" t="s">
        <v>5983</v>
      </c>
      <c r="AC969" s="2" t="s">
        <v>74</v>
      </c>
      <c r="AD969" s="2" t="s">
        <v>74</v>
      </c>
      <c r="AE969" s="2" t="s">
        <v>74</v>
      </c>
      <c r="AF969" s="2" t="s">
        <v>74</v>
      </c>
      <c r="AG969" s="2" t="s">
        <v>74</v>
      </c>
      <c r="AH969" s="2" t="s">
        <v>74</v>
      </c>
      <c r="AI969" s="2" t="s">
        <v>74</v>
      </c>
      <c r="AJ969" s="2" t="s">
        <v>74</v>
      </c>
      <c r="AK969" s="2" t="s">
        <v>74</v>
      </c>
      <c r="AL969" s="2" t="s">
        <v>74</v>
      </c>
      <c r="AM969" s="2" t="s">
        <v>74</v>
      </c>
      <c r="AN969" s="2" t="s">
        <v>74</v>
      </c>
      <c r="AO969" s="2" t="s">
        <v>111</v>
      </c>
      <c r="AP969" s="2" t="s">
        <v>112</v>
      </c>
      <c r="AQ969" s="2" t="s">
        <v>74</v>
      </c>
      <c r="AR969" s="2" t="s">
        <v>74</v>
      </c>
      <c r="AS969" s="2" t="s">
        <v>74</v>
      </c>
      <c r="AT969" s="2" t="s">
        <v>5984</v>
      </c>
      <c r="AU969" s="2">
        <v>2016</v>
      </c>
      <c r="AV969" s="2">
        <v>283</v>
      </c>
      <c r="AW969" s="2">
        <v>1830</v>
      </c>
      <c r="AX969" s="2" t="s">
        <v>74</v>
      </c>
      <c r="AY969" s="2" t="s">
        <v>74</v>
      </c>
      <c r="AZ969" s="2" t="s">
        <v>74</v>
      </c>
      <c r="BA969" s="2" t="s">
        <v>74</v>
      </c>
      <c r="BB969" s="2" t="s">
        <v>74</v>
      </c>
      <c r="BC969" s="2" t="s">
        <v>74</v>
      </c>
      <c r="BD969" s="2">
        <v>20160172</v>
      </c>
      <c r="BE969" s="2" t="s">
        <v>5985</v>
      </c>
      <c r="BF969" s="2" t="str">
        <f>HYPERLINK("http://dx.doi.org/10.1098/rspb.2016.0172","http://dx.doi.org/10.1098/rspb.2016.0172")</f>
        <v>http://dx.doi.org/10.1098/rspb.2016.0172</v>
      </c>
      <c r="BG969" s="2" t="s">
        <v>74</v>
      </c>
      <c r="BH969" s="2" t="s">
        <v>74</v>
      </c>
      <c r="BI969" s="2" t="s">
        <v>74</v>
      </c>
      <c r="BJ969" s="2" t="s">
        <v>74</v>
      </c>
      <c r="BK969" s="2" t="s">
        <v>74</v>
      </c>
      <c r="BL969" s="2" t="s">
        <v>74</v>
      </c>
      <c r="BM969" s="2" t="s">
        <v>74</v>
      </c>
      <c r="BN969" s="2">
        <v>27147097</v>
      </c>
      <c r="BO969" s="2" t="s">
        <v>74</v>
      </c>
      <c r="BP969" s="2" t="s">
        <v>74</v>
      </c>
      <c r="BQ969" s="2" t="s">
        <v>74</v>
      </c>
      <c r="BR969" s="2" t="s">
        <v>74</v>
      </c>
      <c r="BS969" s="2" t="s">
        <v>5986</v>
      </c>
      <c r="BT969" s="2" t="str">
        <f>HYPERLINK("https%3A%2F%2Fwww.webofscience.com%2Fwos%2Fwoscc%2Ffull-record%2FWOS:000376158800013","View Full Record in Web of Science")</f>
        <v>View Full Record in Web of Science</v>
      </c>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row>
    <row r="970" spans="1:314" s="2" customFormat="1" x14ac:dyDescent="0.4">
      <c r="A970" s="2" t="s">
        <v>72</v>
      </c>
      <c r="B970" s="2" t="s">
        <v>4719</v>
      </c>
      <c r="C970" s="2" t="s">
        <v>74</v>
      </c>
      <c r="D970" s="2" t="s">
        <v>74</v>
      </c>
      <c r="E970" s="2" t="s">
        <v>74</v>
      </c>
      <c r="F970" s="2" t="s">
        <v>4719</v>
      </c>
      <c r="G970" s="2" t="s">
        <v>74</v>
      </c>
      <c r="H970" s="2" t="s">
        <v>74</v>
      </c>
      <c r="I970" s="2" t="s">
        <v>4720</v>
      </c>
      <c r="J970" s="2" t="s">
        <v>129</v>
      </c>
      <c r="K970" s="2" t="s">
        <v>74</v>
      </c>
      <c r="L970" s="2" t="s">
        <v>74</v>
      </c>
      <c r="M970" s="2" t="s">
        <v>74</v>
      </c>
      <c r="N970" s="2" t="s">
        <v>74</v>
      </c>
      <c r="O970" s="2" t="s">
        <v>74</v>
      </c>
      <c r="P970" s="2" t="s">
        <v>74</v>
      </c>
      <c r="Q970" s="2" t="s">
        <v>74</v>
      </c>
      <c r="R970" s="2" t="s">
        <v>74</v>
      </c>
      <c r="S970" s="2" t="s">
        <v>74</v>
      </c>
      <c r="T970" s="2" t="s">
        <v>74</v>
      </c>
      <c r="U970" s="2" t="s">
        <v>74</v>
      </c>
      <c r="V970" s="5" t="s">
        <v>4721</v>
      </c>
      <c r="W970" s="2" t="s">
        <v>74</v>
      </c>
      <c r="X970" s="2" t="s">
        <v>74</v>
      </c>
      <c r="Y970" s="2" t="s">
        <v>74</v>
      </c>
      <c r="Z970" s="2" t="s">
        <v>74</v>
      </c>
      <c r="AA970" s="2" t="s">
        <v>4722</v>
      </c>
      <c r="AB970" s="2" t="s">
        <v>4723</v>
      </c>
      <c r="AC970" s="2" t="s">
        <v>74</v>
      </c>
      <c r="AD970" s="2" t="s">
        <v>74</v>
      </c>
      <c r="AE970" s="2" t="s">
        <v>74</v>
      </c>
      <c r="AF970" s="2" t="s">
        <v>74</v>
      </c>
      <c r="AG970" s="2" t="s">
        <v>74</v>
      </c>
      <c r="AH970" s="2" t="s">
        <v>74</v>
      </c>
      <c r="AI970" s="2" t="s">
        <v>74</v>
      </c>
      <c r="AJ970" s="2" t="s">
        <v>74</v>
      </c>
      <c r="AK970" s="2" t="s">
        <v>74</v>
      </c>
      <c r="AL970" s="2" t="s">
        <v>74</v>
      </c>
      <c r="AM970" s="2" t="s">
        <v>74</v>
      </c>
      <c r="AN970" s="2" t="s">
        <v>74</v>
      </c>
      <c r="AO970" s="2" t="s">
        <v>132</v>
      </c>
      <c r="AP970" s="2" t="s">
        <v>133</v>
      </c>
      <c r="AQ970" s="2" t="s">
        <v>74</v>
      </c>
      <c r="AR970" s="2" t="s">
        <v>74</v>
      </c>
      <c r="AS970" s="2" t="s">
        <v>74</v>
      </c>
      <c r="AT970" s="2" t="s">
        <v>123</v>
      </c>
      <c r="AU970" s="2">
        <v>2005</v>
      </c>
      <c r="AV970" s="2">
        <v>57</v>
      </c>
      <c r="AW970" s="2">
        <v>5</v>
      </c>
      <c r="AX970" s="2" t="s">
        <v>74</v>
      </c>
      <c r="AY970" s="2" t="s">
        <v>74</v>
      </c>
      <c r="AZ970" s="2" t="s">
        <v>74</v>
      </c>
      <c r="BA970" s="2" t="s">
        <v>74</v>
      </c>
      <c r="BB970" s="2">
        <v>465</v>
      </c>
      <c r="BC970" s="2">
        <v>469</v>
      </c>
      <c r="BD970" s="2" t="s">
        <v>74</v>
      </c>
      <c r="BE970" s="2" t="s">
        <v>4724</v>
      </c>
      <c r="BF970" s="2" t="str">
        <f>HYPERLINK("http://dx.doi.org/10.1007/s00265-004-0873-7","http://dx.doi.org/10.1007/s00265-004-0873-7")</f>
        <v>http://dx.doi.org/10.1007/s00265-004-0873-7</v>
      </c>
      <c r="BG970" s="2" t="s">
        <v>74</v>
      </c>
      <c r="BH970" s="2" t="s">
        <v>74</v>
      </c>
      <c r="BI970" s="2" t="s">
        <v>74</v>
      </c>
      <c r="BJ970" s="2" t="s">
        <v>74</v>
      </c>
      <c r="BK970" s="2" t="s">
        <v>74</v>
      </c>
      <c r="BL970" s="2" t="s">
        <v>74</v>
      </c>
      <c r="BM970" s="2" t="s">
        <v>74</v>
      </c>
      <c r="BN970" s="2" t="s">
        <v>74</v>
      </c>
      <c r="BO970" s="2" t="s">
        <v>74</v>
      </c>
      <c r="BP970" s="2" t="s">
        <v>74</v>
      </c>
      <c r="BQ970" s="2" t="s">
        <v>74</v>
      </c>
      <c r="BR970" s="2" t="s">
        <v>74</v>
      </c>
      <c r="BS970" s="2" t="s">
        <v>4725</v>
      </c>
      <c r="BT970" s="2" t="str">
        <f>HYPERLINK("https%3A%2F%2Fwww.webofscience.com%2Fwos%2Fwoscc%2Ffull-record%2FWOS:000227366700008","View Full Record in Web of Science")</f>
        <v>View Full Record in Web of Science</v>
      </c>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row>
    <row r="971" spans="1:314" s="2" customFormat="1" x14ac:dyDescent="0.4">
      <c r="A971" s="2" t="s">
        <v>72</v>
      </c>
      <c r="B971" s="2" t="s">
        <v>5071</v>
      </c>
      <c r="C971" s="2" t="s">
        <v>74</v>
      </c>
      <c r="D971" s="2" t="s">
        <v>74</v>
      </c>
      <c r="E971" s="2" t="s">
        <v>74</v>
      </c>
      <c r="F971" s="2" t="s">
        <v>5071</v>
      </c>
      <c r="G971" s="2" t="s">
        <v>74</v>
      </c>
      <c r="H971" s="2" t="s">
        <v>74</v>
      </c>
      <c r="I971" s="2" t="s">
        <v>5072</v>
      </c>
      <c r="J971" s="2" t="s">
        <v>610</v>
      </c>
      <c r="K971" s="2" t="s">
        <v>74</v>
      </c>
      <c r="L971" s="2" t="s">
        <v>74</v>
      </c>
      <c r="M971" s="2" t="s">
        <v>74</v>
      </c>
      <c r="N971" s="2" t="s">
        <v>74</v>
      </c>
      <c r="O971" s="2" t="s">
        <v>5073</v>
      </c>
      <c r="P971" s="2" t="s">
        <v>5074</v>
      </c>
      <c r="Q971" s="2" t="s">
        <v>5075</v>
      </c>
      <c r="R971" s="2" t="s">
        <v>5076</v>
      </c>
      <c r="S971" s="2" t="s">
        <v>74</v>
      </c>
      <c r="T971" s="2" t="s">
        <v>74</v>
      </c>
      <c r="U971" s="2" t="s">
        <v>74</v>
      </c>
      <c r="V971" s="5" t="s">
        <v>5077</v>
      </c>
      <c r="W971" s="2" t="s">
        <v>74</v>
      </c>
      <c r="X971" s="2" t="s">
        <v>74</v>
      </c>
      <c r="Y971" s="2" t="s">
        <v>74</v>
      </c>
      <c r="Z971" s="2" t="s">
        <v>74</v>
      </c>
      <c r="AA971" s="2" t="s">
        <v>74</v>
      </c>
      <c r="AB971" s="2" t="s">
        <v>74</v>
      </c>
      <c r="AC971" s="2" t="s">
        <v>74</v>
      </c>
      <c r="AD971" s="2" t="s">
        <v>74</v>
      </c>
      <c r="AE971" s="2" t="s">
        <v>74</v>
      </c>
      <c r="AF971" s="2" t="s">
        <v>74</v>
      </c>
      <c r="AG971" s="2" t="s">
        <v>74</v>
      </c>
      <c r="AH971" s="2" t="s">
        <v>74</v>
      </c>
      <c r="AI971" s="2" t="s">
        <v>74</v>
      </c>
      <c r="AJ971" s="2" t="s">
        <v>74</v>
      </c>
      <c r="AK971" s="2" t="s">
        <v>74</v>
      </c>
      <c r="AL971" s="2" t="s">
        <v>74</v>
      </c>
      <c r="AM971" s="2" t="s">
        <v>74</v>
      </c>
      <c r="AN971" s="2" t="s">
        <v>74</v>
      </c>
      <c r="AO971" s="2" t="s">
        <v>614</v>
      </c>
      <c r="AP971" s="2" t="s">
        <v>615</v>
      </c>
      <c r="AQ971" s="2" t="s">
        <v>74</v>
      </c>
      <c r="AR971" s="2" t="s">
        <v>74</v>
      </c>
      <c r="AS971" s="2" t="s">
        <v>74</v>
      </c>
      <c r="AT971" s="2" t="s">
        <v>255</v>
      </c>
      <c r="AU971" s="2">
        <v>2005</v>
      </c>
      <c r="AV971" s="2">
        <v>111</v>
      </c>
      <c r="AW971" s="2">
        <v>1</v>
      </c>
      <c r="AX971" s="2" t="s">
        <v>74</v>
      </c>
      <c r="AY971" s="2" t="s">
        <v>74</v>
      </c>
      <c r="AZ971" s="2" t="s">
        <v>74</v>
      </c>
      <c r="BA971" s="2" t="s">
        <v>74</v>
      </c>
      <c r="BB971" s="2">
        <v>25</v>
      </c>
      <c r="BC971" s="2">
        <v>50</v>
      </c>
      <c r="BD971" s="2" t="s">
        <v>74</v>
      </c>
      <c r="BE971" s="2" t="s">
        <v>5078</v>
      </c>
      <c r="BF971" s="2" t="str">
        <f>HYPERLINK("http://dx.doi.org/10.1111/j.1439-0310.2004.01054.x","http://dx.doi.org/10.1111/j.1439-0310.2004.01054.x")</f>
        <v>http://dx.doi.org/10.1111/j.1439-0310.2004.01054.x</v>
      </c>
      <c r="BG971" s="2" t="s">
        <v>74</v>
      </c>
      <c r="BH971" s="2" t="s">
        <v>74</v>
      </c>
      <c r="BI971" s="2" t="s">
        <v>74</v>
      </c>
      <c r="BJ971" s="2" t="s">
        <v>74</v>
      </c>
      <c r="BK971" s="2" t="s">
        <v>74</v>
      </c>
      <c r="BL971" s="2" t="s">
        <v>74</v>
      </c>
      <c r="BM971" s="2" t="s">
        <v>74</v>
      </c>
      <c r="BN971" s="2" t="s">
        <v>74</v>
      </c>
      <c r="BO971" s="2" t="s">
        <v>74</v>
      </c>
      <c r="BP971" s="2" t="s">
        <v>74</v>
      </c>
      <c r="BQ971" s="2" t="s">
        <v>74</v>
      </c>
      <c r="BR971" s="2" t="s">
        <v>74</v>
      </c>
      <c r="BS971" s="2" t="s">
        <v>5079</v>
      </c>
      <c r="BT971" s="2" t="str">
        <f>HYPERLINK("https%3A%2F%2Fwww.webofscience.com%2Fwos%2Fwoscc%2Ffull-record%2FWOS:000226377200002","View Full Record in Web of Science")</f>
        <v>View Full Record in Web of Science</v>
      </c>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row>
    <row r="972" spans="1:314" s="2" customFormat="1" x14ac:dyDescent="0.4">
      <c r="A972" s="2" t="s">
        <v>72</v>
      </c>
      <c r="B972" s="2" t="s">
        <v>2765</v>
      </c>
      <c r="C972" s="2" t="s">
        <v>74</v>
      </c>
      <c r="D972" s="2" t="s">
        <v>74</v>
      </c>
      <c r="E972" s="2" t="s">
        <v>74</v>
      </c>
      <c r="F972" s="2" t="s">
        <v>2766</v>
      </c>
      <c r="G972" s="2" t="s">
        <v>74</v>
      </c>
      <c r="H972" s="2" t="s">
        <v>74</v>
      </c>
      <c r="I972" s="2" t="s">
        <v>2767</v>
      </c>
      <c r="J972" s="2" t="s">
        <v>691</v>
      </c>
      <c r="K972" s="2" t="s">
        <v>74</v>
      </c>
      <c r="L972" s="2" t="s">
        <v>74</v>
      </c>
      <c r="M972" s="2" t="s">
        <v>74</v>
      </c>
      <c r="N972" s="2" t="s">
        <v>74</v>
      </c>
      <c r="O972" s="2" t="s">
        <v>74</v>
      </c>
      <c r="P972" s="2" t="s">
        <v>74</v>
      </c>
      <c r="Q972" s="2" t="s">
        <v>74</v>
      </c>
      <c r="R972" s="2" t="s">
        <v>74</v>
      </c>
      <c r="S972" s="2" t="s">
        <v>74</v>
      </c>
      <c r="T972" s="2" t="s">
        <v>74</v>
      </c>
      <c r="U972" s="2" t="s">
        <v>74</v>
      </c>
      <c r="V972" s="5" t="s">
        <v>2768</v>
      </c>
      <c r="W972" s="2" t="s">
        <v>74</v>
      </c>
      <c r="X972" s="2" t="s">
        <v>74</v>
      </c>
      <c r="Y972" s="2" t="s">
        <v>74</v>
      </c>
      <c r="Z972" s="2" t="s">
        <v>74</v>
      </c>
      <c r="AA972" s="2" t="s">
        <v>74</v>
      </c>
      <c r="AB972" s="2" t="s">
        <v>74</v>
      </c>
      <c r="AC972" s="2" t="s">
        <v>74</v>
      </c>
      <c r="AD972" s="2" t="s">
        <v>74</v>
      </c>
      <c r="AE972" s="2" t="s">
        <v>74</v>
      </c>
      <c r="AF972" s="2" t="s">
        <v>74</v>
      </c>
      <c r="AG972" s="2" t="s">
        <v>74</v>
      </c>
      <c r="AH972" s="2" t="s">
        <v>74</v>
      </c>
      <c r="AI972" s="2" t="s">
        <v>74</v>
      </c>
      <c r="AJ972" s="2" t="s">
        <v>74</v>
      </c>
      <c r="AK972" s="2" t="s">
        <v>74</v>
      </c>
      <c r="AL972" s="2" t="s">
        <v>74</v>
      </c>
      <c r="AM972" s="2" t="s">
        <v>74</v>
      </c>
      <c r="AN972" s="2" t="s">
        <v>74</v>
      </c>
      <c r="AO972" s="2" t="s">
        <v>695</v>
      </c>
      <c r="AP972" s="2" t="s">
        <v>74</v>
      </c>
      <c r="AQ972" s="2" t="s">
        <v>74</v>
      </c>
      <c r="AR972" s="2" t="s">
        <v>74</v>
      </c>
      <c r="AS972" s="2" t="s">
        <v>74</v>
      </c>
      <c r="AT972" s="2" t="s">
        <v>1146</v>
      </c>
      <c r="AU972" s="2">
        <v>2015</v>
      </c>
      <c r="AV972" s="2">
        <v>147</v>
      </c>
      <c r="AW972" s="2" t="s">
        <v>74</v>
      </c>
      <c r="AX972" s="2" t="s">
        <v>74</v>
      </c>
      <c r="AY972" s="2" t="s">
        <v>74</v>
      </c>
      <c r="AZ972" s="2" t="s">
        <v>74</v>
      </c>
      <c r="BA972" s="2" t="s">
        <v>74</v>
      </c>
      <c r="BB972" s="2">
        <v>245</v>
      </c>
      <c r="BC972" s="2">
        <v>254</v>
      </c>
      <c r="BD972" s="2" t="s">
        <v>74</v>
      </c>
      <c r="BE972" s="2" t="s">
        <v>2769</v>
      </c>
      <c r="BF972" s="2" t="str">
        <f>HYPERLINK("http://dx.doi.org/10.1016/j.physbeh.2015.04.051","http://dx.doi.org/10.1016/j.physbeh.2015.04.051")</f>
        <v>http://dx.doi.org/10.1016/j.physbeh.2015.04.051</v>
      </c>
      <c r="BG972" s="2" t="s">
        <v>74</v>
      </c>
      <c r="BH972" s="2" t="s">
        <v>74</v>
      </c>
      <c r="BI972" s="2" t="s">
        <v>74</v>
      </c>
      <c r="BJ972" s="2" t="s">
        <v>74</v>
      </c>
      <c r="BK972" s="2" t="s">
        <v>74</v>
      </c>
      <c r="BL972" s="2" t="s">
        <v>74</v>
      </c>
      <c r="BM972" s="2" t="s">
        <v>74</v>
      </c>
      <c r="BN972" s="2">
        <v>25936819</v>
      </c>
      <c r="BO972" s="2" t="s">
        <v>74</v>
      </c>
      <c r="BP972" s="2" t="s">
        <v>74</v>
      </c>
      <c r="BQ972" s="2" t="s">
        <v>74</v>
      </c>
      <c r="BR972" s="2" t="s">
        <v>74</v>
      </c>
      <c r="BS972" s="2" t="s">
        <v>2770</v>
      </c>
      <c r="BT972" s="2" t="str">
        <f>HYPERLINK("https%3A%2F%2Fwww.webofscience.com%2Fwos%2Fwoscc%2Ffull-record%2FWOS:000356737100034","View Full Record in Web of Science")</f>
        <v>View Full Record in Web of Science</v>
      </c>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row>
    <row r="973" spans="1:314" s="2" customFormat="1" x14ac:dyDescent="0.4">
      <c r="A973" s="2" t="s">
        <v>72</v>
      </c>
      <c r="B973" s="2" t="s">
        <v>7075</v>
      </c>
      <c r="C973" s="2" t="s">
        <v>74</v>
      </c>
      <c r="D973" s="2" t="s">
        <v>74</v>
      </c>
      <c r="E973" s="2" t="s">
        <v>74</v>
      </c>
      <c r="F973" s="2" t="s">
        <v>7075</v>
      </c>
      <c r="G973" s="2" t="s">
        <v>74</v>
      </c>
      <c r="H973" s="2" t="s">
        <v>74</v>
      </c>
      <c r="I973" s="2" t="s">
        <v>7076</v>
      </c>
      <c r="J973" s="2" t="s">
        <v>5577</v>
      </c>
      <c r="K973" s="2" t="s">
        <v>74</v>
      </c>
      <c r="L973" s="2" t="s">
        <v>74</v>
      </c>
      <c r="M973" s="2" t="s">
        <v>74</v>
      </c>
      <c r="N973" s="2" t="s">
        <v>74</v>
      </c>
      <c r="O973" s="2" t="s">
        <v>74</v>
      </c>
      <c r="P973" s="2" t="s">
        <v>74</v>
      </c>
      <c r="Q973" s="2" t="s">
        <v>74</v>
      </c>
      <c r="R973" s="2" t="s">
        <v>74</v>
      </c>
      <c r="S973" s="2" t="s">
        <v>74</v>
      </c>
      <c r="T973" s="2" t="s">
        <v>74</v>
      </c>
      <c r="U973" s="2" t="s">
        <v>74</v>
      </c>
      <c r="V973" s="5" t="s">
        <v>7077</v>
      </c>
      <c r="W973" s="2" t="s">
        <v>74</v>
      </c>
      <c r="X973" s="2" t="s">
        <v>74</v>
      </c>
      <c r="Y973" s="2" t="s">
        <v>74</v>
      </c>
      <c r="Z973" s="2" t="s">
        <v>74</v>
      </c>
      <c r="AA973" s="2" t="s">
        <v>74</v>
      </c>
      <c r="AB973" s="2" t="s">
        <v>74</v>
      </c>
      <c r="AC973" s="2" t="s">
        <v>74</v>
      </c>
      <c r="AD973" s="2" t="s">
        <v>74</v>
      </c>
      <c r="AE973" s="2" t="s">
        <v>74</v>
      </c>
      <c r="AF973" s="2" t="s">
        <v>74</v>
      </c>
      <c r="AG973" s="2" t="s">
        <v>74</v>
      </c>
      <c r="AH973" s="2" t="s">
        <v>74</v>
      </c>
      <c r="AI973" s="2" t="s">
        <v>74</v>
      </c>
      <c r="AJ973" s="2" t="s">
        <v>74</v>
      </c>
      <c r="AK973" s="2" t="s">
        <v>74</v>
      </c>
      <c r="AL973" s="2" t="s">
        <v>74</v>
      </c>
      <c r="AM973" s="2" t="s">
        <v>74</v>
      </c>
      <c r="AN973" s="2" t="s">
        <v>74</v>
      </c>
      <c r="AO973" s="2" t="s">
        <v>5579</v>
      </c>
      <c r="AP973" s="2" t="s">
        <v>74</v>
      </c>
      <c r="AQ973" s="2" t="s">
        <v>74</v>
      </c>
      <c r="AR973" s="2" t="s">
        <v>74</v>
      </c>
      <c r="AS973" s="2" t="s">
        <v>74</v>
      </c>
      <c r="AT973" s="2" t="s">
        <v>204</v>
      </c>
      <c r="AU973" s="2">
        <v>1998</v>
      </c>
      <c r="AV973" s="2">
        <v>77</v>
      </c>
      <c r="AW973" s="2">
        <v>7</v>
      </c>
      <c r="AX973" s="2" t="s">
        <v>74</v>
      </c>
      <c r="AY973" s="2" t="s">
        <v>74</v>
      </c>
      <c r="AZ973" s="2" t="s">
        <v>74</v>
      </c>
      <c r="BA973" s="2" t="s">
        <v>74</v>
      </c>
      <c r="BB973" s="2">
        <v>809</v>
      </c>
      <c r="BC973" s="2">
        <v>817</v>
      </c>
      <c r="BD973" s="2" t="s">
        <v>74</v>
      </c>
      <c r="BE973" s="2" t="s">
        <v>74</v>
      </c>
      <c r="BF973" s="2" t="s">
        <v>74</v>
      </c>
      <c r="BG973" s="2" t="s">
        <v>74</v>
      </c>
      <c r="BH973" s="2" t="s">
        <v>74</v>
      </c>
      <c r="BI973" s="2" t="s">
        <v>74</v>
      </c>
      <c r="BJ973" s="2" t="s">
        <v>74</v>
      </c>
      <c r="BK973" s="2" t="s">
        <v>74</v>
      </c>
      <c r="BL973" s="2" t="s">
        <v>74</v>
      </c>
      <c r="BM973" s="2" t="s">
        <v>74</v>
      </c>
      <c r="BN973" s="2" t="s">
        <v>74</v>
      </c>
      <c r="BO973" s="2" t="s">
        <v>74</v>
      </c>
      <c r="BP973" s="2" t="s">
        <v>74</v>
      </c>
      <c r="BQ973" s="2" t="s">
        <v>74</v>
      </c>
      <c r="BR973" s="2" t="s">
        <v>74</v>
      </c>
      <c r="BS973" s="2" t="s">
        <v>7078</v>
      </c>
      <c r="BT973" s="2" t="str">
        <f>HYPERLINK("https%3A%2F%2Fwww.webofscience.com%2Fwos%2Fwoscc%2Ffull-record%2FWOS:000075812800006","View Full Record in Web of Science")</f>
        <v>View Full Record in Web of Science</v>
      </c>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row>
    <row r="974" spans="1:314" s="2" customFormat="1" x14ac:dyDescent="0.4">
      <c r="A974" s="2" t="s">
        <v>72</v>
      </c>
      <c r="B974" s="2" t="s">
        <v>5281</v>
      </c>
      <c r="C974" s="2" t="s">
        <v>74</v>
      </c>
      <c r="D974" s="2" t="s">
        <v>74</v>
      </c>
      <c r="E974" s="2" t="s">
        <v>74</v>
      </c>
      <c r="F974" s="2" t="s">
        <v>5282</v>
      </c>
      <c r="G974" s="2" t="s">
        <v>74</v>
      </c>
      <c r="H974" s="2" t="s">
        <v>74</v>
      </c>
      <c r="I974" s="2" t="s">
        <v>5283</v>
      </c>
      <c r="J974" s="2" t="s">
        <v>171</v>
      </c>
      <c r="K974" s="2" t="s">
        <v>74</v>
      </c>
      <c r="L974" s="2" t="s">
        <v>74</v>
      </c>
      <c r="M974" s="2" t="s">
        <v>74</v>
      </c>
      <c r="N974" s="2" t="s">
        <v>74</v>
      </c>
      <c r="O974" s="2" t="s">
        <v>74</v>
      </c>
      <c r="P974" s="2" t="s">
        <v>74</v>
      </c>
      <c r="Q974" s="2" t="s">
        <v>74</v>
      </c>
      <c r="R974" s="2" t="s">
        <v>74</v>
      </c>
      <c r="S974" s="2" t="s">
        <v>74</v>
      </c>
      <c r="T974" s="2" t="s">
        <v>74</v>
      </c>
      <c r="U974" s="2" t="s">
        <v>74</v>
      </c>
      <c r="V974" s="5" t="s">
        <v>5284</v>
      </c>
      <c r="W974" s="2" t="s">
        <v>74</v>
      </c>
      <c r="X974" s="2" t="s">
        <v>74</v>
      </c>
      <c r="Y974" s="2" t="s">
        <v>74</v>
      </c>
      <c r="Z974" s="2" t="s">
        <v>74</v>
      </c>
      <c r="AA974" s="2" t="s">
        <v>5285</v>
      </c>
      <c r="AB974" s="2" t="s">
        <v>5286</v>
      </c>
      <c r="AC974" s="2" t="s">
        <v>74</v>
      </c>
      <c r="AD974" s="2" t="s">
        <v>74</v>
      </c>
      <c r="AE974" s="2" t="s">
        <v>74</v>
      </c>
      <c r="AF974" s="2" t="s">
        <v>74</v>
      </c>
      <c r="AG974" s="2" t="s">
        <v>74</v>
      </c>
      <c r="AH974" s="2" t="s">
        <v>74</v>
      </c>
      <c r="AI974" s="2" t="s">
        <v>74</v>
      </c>
      <c r="AJ974" s="2" t="s">
        <v>74</v>
      </c>
      <c r="AK974" s="2" t="s">
        <v>74</v>
      </c>
      <c r="AL974" s="2" t="s">
        <v>74</v>
      </c>
      <c r="AM974" s="2" t="s">
        <v>74</v>
      </c>
      <c r="AN974" s="2" t="s">
        <v>74</v>
      </c>
      <c r="AO974" s="2" t="s">
        <v>173</v>
      </c>
      <c r="AP974" s="2" t="s">
        <v>174</v>
      </c>
      <c r="AQ974" s="2" t="s">
        <v>74</v>
      </c>
      <c r="AR974" s="2" t="s">
        <v>74</v>
      </c>
      <c r="AS974" s="2" t="s">
        <v>74</v>
      </c>
      <c r="AT974" s="2" t="s">
        <v>305</v>
      </c>
      <c r="AU974" s="2">
        <v>2009</v>
      </c>
      <c r="AV974" s="2">
        <v>63</v>
      </c>
      <c r="AW974" s="2">
        <v>12</v>
      </c>
      <c r="AX974" s="2" t="s">
        <v>74</v>
      </c>
      <c r="AY974" s="2" t="s">
        <v>74</v>
      </c>
      <c r="AZ974" s="2" t="s">
        <v>74</v>
      </c>
      <c r="BA974" s="2" t="s">
        <v>74</v>
      </c>
      <c r="BB974" s="2">
        <v>3106</v>
      </c>
      <c r="BC974" s="2">
        <v>3113</v>
      </c>
      <c r="BD974" s="2" t="s">
        <v>74</v>
      </c>
      <c r="BE974" s="2" t="s">
        <v>5287</v>
      </c>
      <c r="BF974" s="2" t="str">
        <f>HYPERLINK("http://dx.doi.org/10.1111/j.1558-5646.2009.00833.x","http://dx.doi.org/10.1111/j.1558-5646.2009.00833.x")</f>
        <v>http://dx.doi.org/10.1111/j.1558-5646.2009.00833.x</v>
      </c>
      <c r="BG974" s="2" t="s">
        <v>74</v>
      </c>
      <c r="BH974" s="2" t="s">
        <v>74</v>
      </c>
      <c r="BI974" s="2" t="s">
        <v>74</v>
      </c>
      <c r="BJ974" s="2" t="s">
        <v>74</v>
      </c>
      <c r="BK974" s="2" t="s">
        <v>74</v>
      </c>
      <c r="BL974" s="2" t="s">
        <v>74</v>
      </c>
      <c r="BM974" s="2" t="s">
        <v>74</v>
      </c>
      <c r="BN974" s="2">
        <v>19744121</v>
      </c>
      <c r="BO974" s="2" t="s">
        <v>74</v>
      </c>
      <c r="BP974" s="2" t="s">
        <v>74</v>
      </c>
      <c r="BQ974" s="2" t="s">
        <v>74</v>
      </c>
      <c r="BR974" s="2" t="s">
        <v>74</v>
      </c>
      <c r="BS974" s="2" t="s">
        <v>5288</v>
      </c>
      <c r="BT974" s="2" t="str">
        <f>HYPERLINK("https%3A%2F%2Fwww.webofscience.com%2Fwos%2Fwoscc%2Ffull-record%2FWOS:000271973600007","View Full Record in Web of Science")</f>
        <v>View Full Record in Web of Science</v>
      </c>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row>
    <row r="975" spans="1:314" s="2" customFormat="1" x14ac:dyDescent="0.4">
      <c r="A975" s="2" t="s">
        <v>72</v>
      </c>
      <c r="B975" s="2" t="s">
        <v>7960</v>
      </c>
      <c r="C975" s="2" t="s">
        <v>74</v>
      </c>
      <c r="D975" s="2" t="s">
        <v>74</v>
      </c>
      <c r="E975" s="2" t="s">
        <v>74</v>
      </c>
      <c r="F975" s="2" t="s">
        <v>7961</v>
      </c>
      <c r="G975" s="2" t="s">
        <v>74</v>
      </c>
      <c r="H975" s="2" t="s">
        <v>74</v>
      </c>
      <c r="I975" s="2" t="s">
        <v>7962</v>
      </c>
      <c r="J975" s="2" t="s">
        <v>2847</v>
      </c>
      <c r="K975" s="2" t="s">
        <v>74</v>
      </c>
      <c r="L975" s="2" t="s">
        <v>74</v>
      </c>
      <c r="M975" s="2" t="s">
        <v>74</v>
      </c>
      <c r="N975" s="2" t="s">
        <v>74</v>
      </c>
      <c r="O975" s="2" t="s">
        <v>74</v>
      </c>
      <c r="P975" s="2" t="s">
        <v>74</v>
      </c>
      <c r="Q975" s="2" t="s">
        <v>74</v>
      </c>
      <c r="R975" s="2" t="s">
        <v>74</v>
      </c>
      <c r="S975" s="2" t="s">
        <v>74</v>
      </c>
      <c r="T975" s="2" t="s">
        <v>74</v>
      </c>
      <c r="U975" s="2" t="s">
        <v>74</v>
      </c>
      <c r="V975" s="5" t="s">
        <v>7963</v>
      </c>
      <c r="W975" s="2" t="s">
        <v>74</v>
      </c>
      <c r="X975" s="2" t="s">
        <v>74</v>
      </c>
      <c r="Y975" s="2" t="s">
        <v>74</v>
      </c>
      <c r="Z975" s="2" t="s">
        <v>74</v>
      </c>
      <c r="AA975" s="2" t="s">
        <v>74</v>
      </c>
      <c r="AB975" s="2" t="s">
        <v>74</v>
      </c>
      <c r="AC975" s="2" t="s">
        <v>74</v>
      </c>
      <c r="AD975" s="2" t="s">
        <v>74</v>
      </c>
      <c r="AE975" s="2" t="s">
        <v>74</v>
      </c>
      <c r="AF975" s="2" t="s">
        <v>74</v>
      </c>
      <c r="AG975" s="2" t="s">
        <v>74</v>
      </c>
      <c r="AH975" s="2" t="s">
        <v>74</v>
      </c>
      <c r="AI975" s="2" t="s">
        <v>74</v>
      </c>
      <c r="AJ975" s="2" t="s">
        <v>74</v>
      </c>
      <c r="AK975" s="2" t="s">
        <v>74</v>
      </c>
      <c r="AL975" s="2" t="s">
        <v>74</v>
      </c>
      <c r="AM975" s="2" t="s">
        <v>74</v>
      </c>
      <c r="AN975" s="2" t="s">
        <v>74</v>
      </c>
      <c r="AO975" s="2" t="s">
        <v>2849</v>
      </c>
      <c r="AP975" s="2" t="s">
        <v>2850</v>
      </c>
      <c r="AQ975" s="2" t="s">
        <v>74</v>
      </c>
      <c r="AR975" s="2" t="s">
        <v>74</v>
      </c>
      <c r="AS975" s="2" t="s">
        <v>74</v>
      </c>
      <c r="AT975" s="2" t="s">
        <v>1013</v>
      </c>
      <c r="AU975" s="2">
        <v>2020</v>
      </c>
      <c r="AV975" s="2">
        <v>530</v>
      </c>
      <c r="AW975" s="2" t="s">
        <v>74</v>
      </c>
      <c r="AX975" s="2" t="s">
        <v>74</v>
      </c>
      <c r="AY975" s="2" t="s">
        <v>74</v>
      </c>
      <c r="AZ975" s="2" t="s">
        <v>74</v>
      </c>
      <c r="BA975" s="2" t="s">
        <v>74</v>
      </c>
      <c r="BB975" s="2" t="s">
        <v>74</v>
      </c>
      <c r="BC975" s="2" t="s">
        <v>74</v>
      </c>
      <c r="BD975" s="2">
        <v>151430</v>
      </c>
      <c r="BE975" s="2" t="s">
        <v>7964</v>
      </c>
      <c r="BF975" s="2" t="str">
        <f>HYPERLINK("http://dx.doi.org/10.1016/j.jembe.2020.151430","http://dx.doi.org/10.1016/j.jembe.2020.151430")</f>
        <v>http://dx.doi.org/10.1016/j.jembe.2020.151430</v>
      </c>
      <c r="BG975" s="2" t="s">
        <v>74</v>
      </c>
      <c r="BH975" s="2" t="s">
        <v>74</v>
      </c>
      <c r="BI975" s="2" t="s">
        <v>74</v>
      </c>
      <c r="BJ975" s="2" t="s">
        <v>74</v>
      </c>
      <c r="BK975" s="2" t="s">
        <v>74</v>
      </c>
      <c r="BL975" s="2" t="s">
        <v>74</v>
      </c>
      <c r="BM975" s="2" t="s">
        <v>74</v>
      </c>
      <c r="BN975" s="2" t="s">
        <v>74</v>
      </c>
      <c r="BO975" s="2" t="s">
        <v>74</v>
      </c>
      <c r="BP975" s="2" t="s">
        <v>74</v>
      </c>
      <c r="BQ975" s="2" t="s">
        <v>74</v>
      </c>
      <c r="BR975" s="2" t="s">
        <v>74</v>
      </c>
      <c r="BS975" s="2" t="s">
        <v>7965</v>
      </c>
      <c r="BT975" s="2" t="str">
        <f>HYPERLINK("https%3A%2F%2Fwww.webofscience.com%2Fwos%2Fwoscc%2Ffull-record%2FWOS:000562582100021","View Full Record in Web of Science")</f>
        <v>View Full Record in Web of Science</v>
      </c>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row>
    <row r="976" spans="1:314" s="2" customFormat="1" x14ac:dyDescent="0.4">
      <c r="A976" s="2" t="s">
        <v>72</v>
      </c>
      <c r="B976" s="2" t="s">
        <v>5348</v>
      </c>
      <c r="C976" s="2" t="s">
        <v>74</v>
      </c>
      <c r="D976" s="2" t="s">
        <v>74</v>
      </c>
      <c r="E976" s="2" t="s">
        <v>74</v>
      </c>
      <c r="F976" s="2" t="s">
        <v>5348</v>
      </c>
      <c r="G976" s="2" t="s">
        <v>74</v>
      </c>
      <c r="H976" s="2" t="s">
        <v>74</v>
      </c>
      <c r="I976" s="2" t="s">
        <v>5349</v>
      </c>
      <c r="J976" s="2" t="s">
        <v>129</v>
      </c>
      <c r="K976" s="2" t="s">
        <v>74</v>
      </c>
      <c r="L976" s="2" t="s">
        <v>74</v>
      </c>
      <c r="M976" s="2" t="s">
        <v>74</v>
      </c>
      <c r="N976" s="2" t="s">
        <v>74</v>
      </c>
      <c r="O976" s="2" t="s">
        <v>74</v>
      </c>
      <c r="P976" s="2" t="s">
        <v>74</v>
      </c>
      <c r="Q976" s="2" t="s">
        <v>74</v>
      </c>
      <c r="R976" s="2" t="s">
        <v>74</v>
      </c>
      <c r="S976" s="2" t="s">
        <v>74</v>
      </c>
      <c r="T976" s="2" t="s">
        <v>74</v>
      </c>
      <c r="U976" s="2" t="s">
        <v>74</v>
      </c>
      <c r="V976" s="5" t="s">
        <v>5350</v>
      </c>
      <c r="W976" s="2" t="s">
        <v>74</v>
      </c>
      <c r="X976" s="2" t="s">
        <v>74</v>
      </c>
      <c r="Y976" s="2" t="s">
        <v>74</v>
      </c>
      <c r="Z976" s="2" t="s">
        <v>74</v>
      </c>
      <c r="AA976" s="2" t="s">
        <v>5351</v>
      </c>
      <c r="AB976" s="2" t="s">
        <v>5352</v>
      </c>
      <c r="AC976" s="2" t="s">
        <v>74</v>
      </c>
      <c r="AD976" s="2" t="s">
        <v>74</v>
      </c>
      <c r="AE976" s="2" t="s">
        <v>74</v>
      </c>
      <c r="AF976" s="2" t="s">
        <v>74</v>
      </c>
      <c r="AG976" s="2" t="s">
        <v>74</v>
      </c>
      <c r="AH976" s="2" t="s">
        <v>74</v>
      </c>
      <c r="AI976" s="2" t="s">
        <v>74</v>
      </c>
      <c r="AJ976" s="2" t="s">
        <v>74</v>
      </c>
      <c r="AK976" s="2" t="s">
        <v>74</v>
      </c>
      <c r="AL976" s="2" t="s">
        <v>74</v>
      </c>
      <c r="AM976" s="2" t="s">
        <v>74</v>
      </c>
      <c r="AN976" s="2" t="s">
        <v>74</v>
      </c>
      <c r="AO976" s="2" t="s">
        <v>132</v>
      </c>
      <c r="AP976" s="2" t="s">
        <v>133</v>
      </c>
      <c r="AQ976" s="2" t="s">
        <v>74</v>
      </c>
      <c r="AR976" s="2" t="s">
        <v>74</v>
      </c>
      <c r="AS976" s="2" t="s">
        <v>74</v>
      </c>
      <c r="AT976" s="2" t="s">
        <v>123</v>
      </c>
      <c r="AU976" s="2">
        <v>2006</v>
      </c>
      <c r="AV976" s="2">
        <v>59</v>
      </c>
      <c r="AW976" s="2">
        <v>5</v>
      </c>
      <c r="AX976" s="2" t="s">
        <v>74</v>
      </c>
      <c r="AY976" s="2" t="s">
        <v>74</v>
      </c>
      <c r="AZ976" s="2" t="s">
        <v>74</v>
      </c>
      <c r="BA976" s="2" t="s">
        <v>74</v>
      </c>
      <c r="BB976" s="2">
        <v>651</v>
      </c>
      <c r="BC976" s="2">
        <v>656</v>
      </c>
      <c r="BD976" s="2" t="s">
        <v>74</v>
      </c>
      <c r="BE976" s="2" t="s">
        <v>5353</v>
      </c>
      <c r="BF976" s="2" t="str">
        <f>HYPERLINK("http://dx.doi.org/10.1007/s00265-005-0092-x","http://dx.doi.org/10.1007/s00265-005-0092-x")</f>
        <v>http://dx.doi.org/10.1007/s00265-005-0092-x</v>
      </c>
      <c r="BG976" s="2" t="s">
        <v>74</v>
      </c>
      <c r="BH976" s="2" t="s">
        <v>74</v>
      </c>
      <c r="BI976" s="2" t="s">
        <v>74</v>
      </c>
      <c r="BJ976" s="2" t="s">
        <v>74</v>
      </c>
      <c r="BK976" s="2" t="s">
        <v>74</v>
      </c>
      <c r="BL976" s="2" t="s">
        <v>74</v>
      </c>
      <c r="BM976" s="2" t="s">
        <v>74</v>
      </c>
      <c r="BN976" s="2" t="s">
        <v>74</v>
      </c>
      <c r="BO976" s="2" t="s">
        <v>74</v>
      </c>
      <c r="BP976" s="2" t="s">
        <v>74</v>
      </c>
      <c r="BQ976" s="2" t="s">
        <v>74</v>
      </c>
      <c r="BR976" s="2" t="s">
        <v>74</v>
      </c>
      <c r="BS976" s="2" t="s">
        <v>5354</v>
      </c>
      <c r="BT976" s="2" t="str">
        <f>HYPERLINK("https%3A%2F%2Fwww.webofscience.com%2Fwos%2Fwoscc%2Ffull-record%2FWOS:000235219700008","View Full Record in Web of Science")</f>
        <v>View Full Record in Web of Science</v>
      </c>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row>
    <row r="977" spans="1:314" s="2" customFormat="1" x14ac:dyDescent="0.4">
      <c r="A977" s="2" t="s">
        <v>72</v>
      </c>
      <c r="B977" s="2" t="s">
        <v>5760</v>
      </c>
      <c r="C977" s="2" t="s">
        <v>74</v>
      </c>
      <c r="D977" s="2" t="s">
        <v>74</v>
      </c>
      <c r="E977" s="2" t="s">
        <v>74</v>
      </c>
      <c r="F977" s="2" t="s">
        <v>5760</v>
      </c>
      <c r="G977" s="2" t="s">
        <v>74</v>
      </c>
      <c r="H977" s="2" t="s">
        <v>74</v>
      </c>
      <c r="I977" s="2" t="s">
        <v>5761</v>
      </c>
      <c r="J977" s="2" t="s">
        <v>4655</v>
      </c>
      <c r="K977" s="2" t="s">
        <v>74</v>
      </c>
      <c r="L977" s="2" t="s">
        <v>74</v>
      </c>
      <c r="M977" s="2" t="s">
        <v>74</v>
      </c>
      <c r="N977" s="2" t="s">
        <v>74</v>
      </c>
      <c r="O977" s="2" t="s">
        <v>74</v>
      </c>
      <c r="P977" s="2" t="s">
        <v>74</v>
      </c>
      <c r="Q977" s="2" t="s">
        <v>74</v>
      </c>
      <c r="R977" s="2" t="s">
        <v>74</v>
      </c>
      <c r="S977" s="2" t="s">
        <v>74</v>
      </c>
      <c r="T977" s="2" t="s">
        <v>74</v>
      </c>
      <c r="U977" s="2" t="s">
        <v>74</v>
      </c>
      <c r="V977" s="5" t="s">
        <v>5762</v>
      </c>
      <c r="W977" s="2" t="s">
        <v>74</v>
      </c>
      <c r="X977" s="2" t="s">
        <v>74</v>
      </c>
      <c r="Y977" s="2" t="s">
        <v>74</v>
      </c>
      <c r="Z977" s="2" t="s">
        <v>74</v>
      </c>
      <c r="AA977" s="2" t="s">
        <v>74</v>
      </c>
      <c r="AB977" s="2" t="s">
        <v>74</v>
      </c>
      <c r="AC977" s="2" t="s">
        <v>74</v>
      </c>
      <c r="AD977" s="2" t="s">
        <v>74</v>
      </c>
      <c r="AE977" s="2" t="s">
        <v>74</v>
      </c>
      <c r="AF977" s="2" t="s">
        <v>74</v>
      </c>
      <c r="AG977" s="2" t="s">
        <v>74</v>
      </c>
      <c r="AH977" s="2" t="s">
        <v>74</v>
      </c>
      <c r="AI977" s="2" t="s">
        <v>74</v>
      </c>
      <c r="AJ977" s="2" t="s">
        <v>74</v>
      </c>
      <c r="AK977" s="2" t="s">
        <v>74</v>
      </c>
      <c r="AL977" s="2" t="s">
        <v>74</v>
      </c>
      <c r="AM977" s="2" t="s">
        <v>74</v>
      </c>
      <c r="AN977" s="2" t="s">
        <v>74</v>
      </c>
      <c r="AO977" s="2" t="s">
        <v>4657</v>
      </c>
      <c r="AP977" s="2" t="s">
        <v>74</v>
      </c>
      <c r="AQ977" s="2" t="s">
        <v>74</v>
      </c>
      <c r="AR977" s="2" t="s">
        <v>74</v>
      </c>
      <c r="AS977" s="2" t="s">
        <v>74</v>
      </c>
      <c r="AT977" s="2" t="s">
        <v>305</v>
      </c>
      <c r="AU977" s="2">
        <v>1986</v>
      </c>
      <c r="AV977" s="2">
        <v>98</v>
      </c>
      <c r="AW977" s="2">
        <v>4</v>
      </c>
      <c r="AX977" s="2" t="s">
        <v>74</v>
      </c>
      <c r="AY977" s="2" t="s">
        <v>74</v>
      </c>
      <c r="AZ977" s="2" t="s">
        <v>74</v>
      </c>
      <c r="BA977" s="2" t="s">
        <v>74</v>
      </c>
      <c r="BB977" s="2">
        <v>571</v>
      </c>
      <c r="BC977" s="2">
        <v>580</v>
      </c>
      <c r="BD977" s="2" t="s">
        <v>74</v>
      </c>
      <c r="BE977" s="2" t="s">
        <v>74</v>
      </c>
      <c r="BF977" s="2" t="s">
        <v>74</v>
      </c>
      <c r="BG977" s="2" t="s">
        <v>74</v>
      </c>
      <c r="BH977" s="2" t="s">
        <v>74</v>
      </c>
      <c r="BI977" s="2" t="s">
        <v>74</v>
      </c>
      <c r="BJ977" s="2" t="s">
        <v>74</v>
      </c>
      <c r="BK977" s="2" t="s">
        <v>74</v>
      </c>
      <c r="BL977" s="2" t="s">
        <v>74</v>
      </c>
      <c r="BM977" s="2" t="s">
        <v>74</v>
      </c>
      <c r="BN977" s="2" t="s">
        <v>74</v>
      </c>
      <c r="BO977" s="2" t="s">
        <v>74</v>
      </c>
      <c r="BP977" s="2" t="s">
        <v>74</v>
      </c>
      <c r="BQ977" s="2" t="s">
        <v>74</v>
      </c>
      <c r="BR977" s="2" t="s">
        <v>74</v>
      </c>
      <c r="BS977" s="2" t="s">
        <v>5763</v>
      </c>
      <c r="BT977" s="2" t="str">
        <f>HYPERLINK("https%3A%2F%2Fwww.webofscience.com%2Fwos%2Fwoscc%2Ffull-record%2FWOS:A1986F283900007","View Full Record in Web of Science")</f>
        <v>View Full Record in Web of Science</v>
      </c>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row>
    <row r="978" spans="1:314" s="2" customFormat="1" x14ac:dyDescent="0.4">
      <c r="A978" s="2" t="s">
        <v>72</v>
      </c>
      <c r="B978" s="2" t="s">
        <v>7303</v>
      </c>
      <c r="C978" s="2" t="s">
        <v>74</v>
      </c>
      <c r="D978" s="2" t="s">
        <v>74</v>
      </c>
      <c r="E978" s="2" t="s">
        <v>74</v>
      </c>
      <c r="F978" s="2" t="s">
        <v>7304</v>
      </c>
      <c r="G978" s="2" t="s">
        <v>74</v>
      </c>
      <c r="H978" s="2" t="s">
        <v>74</v>
      </c>
      <c r="I978" s="2" t="s">
        <v>7305</v>
      </c>
      <c r="J978" s="2" t="s">
        <v>4114</v>
      </c>
      <c r="K978" s="2" t="s">
        <v>74</v>
      </c>
      <c r="L978" s="2" t="s">
        <v>74</v>
      </c>
      <c r="M978" s="2" t="s">
        <v>74</v>
      </c>
      <c r="N978" s="2" t="s">
        <v>74</v>
      </c>
      <c r="O978" s="2" t="s">
        <v>74</v>
      </c>
      <c r="P978" s="2" t="s">
        <v>74</v>
      </c>
      <c r="Q978" s="2" t="s">
        <v>74</v>
      </c>
      <c r="R978" s="2" t="s">
        <v>74</v>
      </c>
      <c r="S978" s="2" t="s">
        <v>74</v>
      </c>
      <c r="T978" s="2" t="s">
        <v>74</v>
      </c>
      <c r="U978" s="2" t="s">
        <v>74</v>
      </c>
      <c r="V978" s="5" t="s">
        <v>7306</v>
      </c>
      <c r="W978" s="2" t="s">
        <v>74</v>
      </c>
      <c r="X978" s="2" t="s">
        <v>74</v>
      </c>
      <c r="Y978" s="2" t="s">
        <v>74</v>
      </c>
      <c r="Z978" s="2" t="s">
        <v>74</v>
      </c>
      <c r="AA978" s="2" t="s">
        <v>7307</v>
      </c>
      <c r="AB978" s="2" t="s">
        <v>7308</v>
      </c>
      <c r="AC978" s="2" t="s">
        <v>74</v>
      </c>
      <c r="AD978" s="2" t="s">
        <v>74</v>
      </c>
      <c r="AE978" s="2" t="s">
        <v>74</v>
      </c>
      <c r="AF978" s="2" t="s">
        <v>74</v>
      </c>
      <c r="AG978" s="2" t="s">
        <v>74</v>
      </c>
      <c r="AH978" s="2" t="s">
        <v>74</v>
      </c>
      <c r="AI978" s="2" t="s">
        <v>74</v>
      </c>
      <c r="AJ978" s="2" t="s">
        <v>74</v>
      </c>
      <c r="AK978" s="2" t="s">
        <v>74</v>
      </c>
      <c r="AL978" s="2" t="s">
        <v>74</v>
      </c>
      <c r="AM978" s="2" t="s">
        <v>74</v>
      </c>
      <c r="AN978" s="2" t="s">
        <v>74</v>
      </c>
      <c r="AO978" s="2" t="s">
        <v>4116</v>
      </c>
      <c r="AP978" s="2" t="s">
        <v>4117</v>
      </c>
      <c r="AQ978" s="2" t="s">
        <v>74</v>
      </c>
      <c r="AR978" s="2" t="s">
        <v>74</v>
      </c>
      <c r="AS978" s="2" t="s">
        <v>74</v>
      </c>
      <c r="AT978" s="2" t="s">
        <v>145</v>
      </c>
      <c r="AU978" s="2">
        <v>2016</v>
      </c>
      <c r="AV978" s="2">
        <v>41</v>
      </c>
      <c r="AW978" s="2">
        <v>4</v>
      </c>
      <c r="AX978" s="2" t="s">
        <v>74</v>
      </c>
      <c r="AY978" s="2" t="s">
        <v>74</v>
      </c>
      <c r="AZ978" s="2" t="s">
        <v>74</v>
      </c>
      <c r="BA978" s="2" t="s">
        <v>74</v>
      </c>
      <c r="BB978" s="2">
        <v>451</v>
      </c>
      <c r="BC978" s="2">
        <v>458</v>
      </c>
      <c r="BD978" s="2" t="s">
        <v>74</v>
      </c>
      <c r="BE978" s="2" t="s">
        <v>7309</v>
      </c>
      <c r="BF978" s="2" t="str">
        <f>HYPERLINK("http://dx.doi.org/10.1111/een.12315","http://dx.doi.org/10.1111/een.12315")</f>
        <v>http://dx.doi.org/10.1111/een.12315</v>
      </c>
      <c r="BG978" s="2" t="s">
        <v>74</v>
      </c>
      <c r="BH978" s="2" t="s">
        <v>74</v>
      </c>
      <c r="BI978" s="2" t="s">
        <v>74</v>
      </c>
      <c r="BJ978" s="2" t="s">
        <v>74</v>
      </c>
      <c r="BK978" s="2" t="s">
        <v>74</v>
      </c>
      <c r="BL978" s="2" t="s">
        <v>74</v>
      </c>
      <c r="BM978" s="2" t="s">
        <v>74</v>
      </c>
      <c r="BN978" s="2" t="s">
        <v>74</v>
      </c>
      <c r="BO978" s="2" t="s">
        <v>74</v>
      </c>
      <c r="BP978" s="2" t="s">
        <v>74</v>
      </c>
      <c r="BQ978" s="2" t="s">
        <v>74</v>
      </c>
      <c r="BR978" s="2" t="s">
        <v>74</v>
      </c>
      <c r="BS978" s="2" t="s">
        <v>7310</v>
      </c>
      <c r="BT978" s="2" t="str">
        <f>HYPERLINK("https%3A%2F%2Fwww.webofscience.com%2Fwos%2Fwoscc%2Ffull-record%2FWOS:000379942700010","View Full Record in Web of Science")</f>
        <v>View Full Record in Web of Science</v>
      </c>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row>
    <row r="979" spans="1:314" s="7" customFormat="1" x14ac:dyDescent="0.4">
      <c r="A979" s="2" t="s">
        <v>72</v>
      </c>
      <c r="B979" s="2" t="s">
        <v>3159</v>
      </c>
      <c r="C979" s="2" t="s">
        <v>74</v>
      </c>
      <c r="D979" s="2" t="s">
        <v>74</v>
      </c>
      <c r="E979" s="2" t="s">
        <v>74</v>
      </c>
      <c r="F979" s="2" t="s">
        <v>3160</v>
      </c>
      <c r="G979" s="2" t="s">
        <v>74</v>
      </c>
      <c r="H979" s="2" t="s">
        <v>74</v>
      </c>
      <c r="I979" s="2" t="s">
        <v>3161</v>
      </c>
      <c r="J979" s="2" t="s">
        <v>201</v>
      </c>
      <c r="K979" s="2" t="s">
        <v>74</v>
      </c>
      <c r="L979" s="2" t="s">
        <v>74</v>
      </c>
      <c r="M979" s="2" t="s">
        <v>74</v>
      </c>
      <c r="N979" s="2" t="s">
        <v>74</v>
      </c>
      <c r="O979" s="2" t="s">
        <v>74</v>
      </c>
      <c r="P979" s="2" t="s">
        <v>74</v>
      </c>
      <c r="Q979" s="2" t="s">
        <v>74</v>
      </c>
      <c r="R979" s="2" t="s">
        <v>74</v>
      </c>
      <c r="S979" s="2" t="s">
        <v>74</v>
      </c>
      <c r="T979" s="2" t="s">
        <v>74</v>
      </c>
      <c r="U979" s="2" t="s">
        <v>74</v>
      </c>
      <c r="V979" s="5" t="s">
        <v>3162</v>
      </c>
      <c r="W979" s="2" t="s">
        <v>74</v>
      </c>
      <c r="X979" s="2" t="s">
        <v>74</v>
      </c>
      <c r="Y979" s="2" t="s">
        <v>74</v>
      </c>
      <c r="Z979" s="2" t="s">
        <v>74</v>
      </c>
      <c r="AA979" s="2" t="s">
        <v>3163</v>
      </c>
      <c r="AB979" s="2" t="s">
        <v>3164</v>
      </c>
      <c r="AC979" s="2" t="s">
        <v>74</v>
      </c>
      <c r="AD979" s="2" t="s">
        <v>74</v>
      </c>
      <c r="AE979" s="2" t="s">
        <v>74</v>
      </c>
      <c r="AF979" s="2" t="s">
        <v>74</v>
      </c>
      <c r="AG979" s="2" t="s">
        <v>74</v>
      </c>
      <c r="AH979" s="2" t="s">
        <v>74</v>
      </c>
      <c r="AI979" s="2" t="s">
        <v>74</v>
      </c>
      <c r="AJ979" s="2" t="s">
        <v>74</v>
      </c>
      <c r="AK979" s="2" t="s">
        <v>74</v>
      </c>
      <c r="AL979" s="2" t="s">
        <v>74</v>
      </c>
      <c r="AM979" s="2" t="s">
        <v>74</v>
      </c>
      <c r="AN979" s="2" t="s">
        <v>74</v>
      </c>
      <c r="AO979" s="2" t="s">
        <v>203</v>
      </c>
      <c r="AP979" s="2" t="s">
        <v>1192</v>
      </c>
      <c r="AQ979" s="2" t="s">
        <v>74</v>
      </c>
      <c r="AR979" s="2" t="s">
        <v>74</v>
      </c>
      <c r="AS979" s="2" t="s">
        <v>74</v>
      </c>
      <c r="AT979" s="2" t="s">
        <v>123</v>
      </c>
      <c r="AU979" s="2">
        <v>2015</v>
      </c>
      <c r="AV979" s="2">
        <v>86</v>
      </c>
      <c r="AW979" s="2">
        <v>3</v>
      </c>
      <c r="AX979" s="2" t="s">
        <v>74</v>
      </c>
      <c r="AY979" s="2" t="s">
        <v>74</v>
      </c>
      <c r="AZ979" s="2" t="s">
        <v>74</v>
      </c>
      <c r="BA979" s="2" t="s">
        <v>74</v>
      </c>
      <c r="BB979" s="2">
        <v>1109</v>
      </c>
      <c r="BC979" s="2">
        <v>1120</v>
      </c>
      <c r="BD979" s="2" t="s">
        <v>74</v>
      </c>
      <c r="BE979" s="2" t="s">
        <v>3165</v>
      </c>
      <c r="BF979" s="2" t="str">
        <f>HYPERLINK("http://dx.doi.org/10.1111/jfb.12618","http://dx.doi.org/10.1111/jfb.12618")</f>
        <v>http://dx.doi.org/10.1111/jfb.12618</v>
      </c>
      <c r="BG979" s="2" t="s">
        <v>74</v>
      </c>
      <c r="BH979" s="2" t="s">
        <v>74</v>
      </c>
      <c r="BI979" s="2" t="s">
        <v>74</v>
      </c>
      <c r="BJ979" s="2" t="s">
        <v>74</v>
      </c>
      <c r="BK979" s="2" t="s">
        <v>74</v>
      </c>
      <c r="BL979" s="2" t="s">
        <v>74</v>
      </c>
      <c r="BM979" s="2" t="s">
        <v>74</v>
      </c>
      <c r="BN979" s="2">
        <v>25619403</v>
      </c>
      <c r="BO979" s="2" t="s">
        <v>74</v>
      </c>
      <c r="BP979" s="2" t="s">
        <v>74</v>
      </c>
      <c r="BQ979" s="2" t="s">
        <v>74</v>
      </c>
      <c r="BR979" s="2" t="s">
        <v>74</v>
      </c>
      <c r="BS979" s="2" t="s">
        <v>3166</v>
      </c>
      <c r="BT979" s="2" t="str">
        <f>HYPERLINK("https%3A%2F%2Fwww.webofscience.com%2Fwos%2Fwoscc%2Ffull-record%2FWOS:000351356700014","View Full Record in Web of Science")</f>
        <v>View Full Record in Web of Science</v>
      </c>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row>
    <row r="980" spans="1:314" s="2" customFormat="1" x14ac:dyDescent="0.4">
      <c r="A980" s="2" t="s">
        <v>72</v>
      </c>
      <c r="B980" s="2" t="s">
        <v>4927</v>
      </c>
      <c r="C980" s="2" t="s">
        <v>74</v>
      </c>
      <c r="D980" s="2" t="s">
        <v>74</v>
      </c>
      <c r="E980" s="2" t="s">
        <v>74</v>
      </c>
      <c r="F980" s="2" t="s">
        <v>4927</v>
      </c>
      <c r="G980" s="2" t="s">
        <v>74</v>
      </c>
      <c r="H980" s="2" t="s">
        <v>74</v>
      </c>
      <c r="I980" s="2" t="s">
        <v>4928</v>
      </c>
      <c r="J980" s="2" t="s">
        <v>140</v>
      </c>
      <c r="K980" s="2" t="s">
        <v>74</v>
      </c>
      <c r="L980" s="2" t="s">
        <v>74</v>
      </c>
      <c r="M980" s="2" t="s">
        <v>74</v>
      </c>
      <c r="N980" s="2" t="s">
        <v>74</v>
      </c>
      <c r="O980" s="2" t="s">
        <v>74</v>
      </c>
      <c r="P980" s="2" t="s">
        <v>74</v>
      </c>
      <c r="Q980" s="2" t="s">
        <v>74</v>
      </c>
      <c r="R980" s="2" t="s">
        <v>74</v>
      </c>
      <c r="S980" s="2" t="s">
        <v>74</v>
      </c>
      <c r="T980" s="2" t="s">
        <v>74</v>
      </c>
      <c r="U980" s="2" t="s">
        <v>74</v>
      </c>
      <c r="V980" s="5" t="s">
        <v>4929</v>
      </c>
      <c r="W980" s="2" t="s">
        <v>74</v>
      </c>
      <c r="X980" s="2" t="s">
        <v>74</v>
      </c>
      <c r="Y980" s="2" t="s">
        <v>74</v>
      </c>
      <c r="Z980" s="2" t="s">
        <v>74</v>
      </c>
      <c r="AA980" s="2" t="s">
        <v>74</v>
      </c>
      <c r="AB980" s="2" t="s">
        <v>74</v>
      </c>
      <c r="AC980" s="2" t="s">
        <v>74</v>
      </c>
      <c r="AD980" s="2" t="s">
        <v>74</v>
      </c>
      <c r="AE980" s="2" t="s">
        <v>74</v>
      </c>
      <c r="AF980" s="2" t="s">
        <v>74</v>
      </c>
      <c r="AG980" s="2" t="s">
        <v>74</v>
      </c>
      <c r="AH980" s="2" t="s">
        <v>74</v>
      </c>
      <c r="AI980" s="2" t="s">
        <v>74</v>
      </c>
      <c r="AJ980" s="2" t="s">
        <v>74</v>
      </c>
      <c r="AK980" s="2" t="s">
        <v>74</v>
      </c>
      <c r="AL980" s="2" t="s">
        <v>74</v>
      </c>
      <c r="AM980" s="2" t="s">
        <v>74</v>
      </c>
      <c r="AN980" s="2" t="s">
        <v>74</v>
      </c>
      <c r="AO980" s="2" t="s">
        <v>143</v>
      </c>
      <c r="AP980" s="2" t="s">
        <v>144</v>
      </c>
      <c r="AQ980" s="2" t="s">
        <v>74</v>
      </c>
      <c r="AR980" s="2" t="s">
        <v>74</v>
      </c>
      <c r="AS980" s="2" t="s">
        <v>74</v>
      </c>
      <c r="AT980" s="2" t="s">
        <v>74</v>
      </c>
      <c r="AU980" s="2">
        <v>1978</v>
      </c>
      <c r="AV980" s="2">
        <v>26</v>
      </c>
      <c r="AW980" s="2" t="s">
        <v>213</v>
      </c>
      <c r="AX980" s="2" t="s">
        <v>74</v>
      </c>
      <c r="AY980" s="2" t="s">
        <v>74</v>
      </c>
      <c r="AZ980" s="2" t="s">
        <v>74</v>
      </c>
      <c r="BA980" s="2" t="s">
        <v>74</v>
      </c>
      <c r="BB980" s="2">
        <v>1120</v>
      </c>
      <c r="BC980" s="2">
        <v>1125</v>
      </c>
      <c r="BD980" s="2" t="s">
        <v>74</v>
      </c>
      <c r="BE980" s="2" t="s">
        <v>4930</v>
      </c>
      <c r="BF980" s="2" t="str">
        <f>HYPERLINK("http://dx.doi.org/10.1016/0003-3472(78)90101-X","http://dx.doi.org/10.1016/0003-3472(78)90101-X")</f>
        <v>http://dx.doi.org/10.1016/0003-3472(78)90101-X</v>
      </c>
      <c r="BG980" s="2" t="s">
        <v>74</v>
      </c>
      <c r="BH980" s="2" t="s">
        <v>74</v>
      </c>
      <c r="BI980" s="2" t="s">
        <v>74</v>
      </c>
      <c r="BJ980" s="2" t="s">
        <v>74</v>
      </c>
      <c r="BK980" s="2" t="s">
        <v>74</v>
      </c>
      <c r="BL980" s="2" t="s">
        <v>74</v>
      </c>
      <c r="BM980" s="2" t="s">
        <v>74</v>
      </c>
      <c r="BN980" s="2" t="s">
        <v>74</v>
      </c>
      <c r="BO980" s="2" t="s">
        <v>74</v>
      </c>
      <c r="BP980" s="2" t="s">
        <v>74</v>
      </c>
      <c r="BQ980" s="2" t="s">
        <v>74</v>
      </c>
      <c r="BR980" s="2" t="s">
        <v>74</v>
      </c>
      <c r="BS980" s="2" t="s">
        <v>4931</v>
      </c>
      <c r="BT980" s="2" t="str">
        <f>HYPERLINK("https%3A%2F%2Fwww.webofscience.com%2Fwos%2Fwoscc%2Ffull-record%2FWOS:A1978GD83400017","View Full Record in Web of Science")</f>
        <v>View Full Record in Web of Science</v>
      </c>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row>
    <row r="981" spans="1:314" s="1" customFormat="1" x14ac:dyDescent="0.4">
      <c r="A981" s="2" t="s">
        <v>72</v>
      </c>
      <c r="B981" s="2" t="s">
        <v>1310</v>
      </c>
      <c r="C981" s="2" t="s">
        <v>74</v>
      </c>
      <c r="D981" s="2" t="s">
        <v>74</v>
      </c>
      <c r="E981" s="2" t="s">
        <v>74</v>
      </c>
      <c r="F981" s="2" t="s">
        <v>1311</v>
      </c>
      <c r="G981" s="2" t="s">
        <v>74</v>
      </c>
      <c r="H981" s="2" t="s">
        <v>74</v>
      </c>
      <c r="I981" s="2" t="s">
        <v>1312</v>
      </c>
      <c r="J981" s="2" t="s">
        <v>140</v>
      </c>
      <c r="K981" s="2" t="s">
        <v>74</v>
      </c>
      <c r="L981" s="2" t="s">
        <v>74</v>
      </c>
      <c r="M981" s="2" t="s">
        <v>74</v>
      </c>
      <c r="N981" s="2" t="s">
        <v>74</v>
      </c>
      <c r="O981" s="2" t="s">
        <v>74</v>
      </c>
      <c r="P981" s="2" t="s">
        <v>74</v>
      </c>
      <c r="Q981" s="2" t="s">
        <v>74</v>
      </c>
      <c r="R981" s="2" t="s">
        <v>74</v>
      </c>
      <c r="S981" s="2" t="s">
        <v>74</v>
      </c>
      <c r="T981" s="2" t="s">
        <v>74</v>
      </c>
      <c r="U981" s="2" t="s">
        <v>74</v>
      </c>
      <c r="V981" s="5" t="s">
        <v>1313</v>
      </c>
      <c r="W981" s="2" t="s">
        <v>74</v>
      </c>
      <c r="X981" s="2" t="s">
        <v>74</v>
      </c>
      <c r="Y981" s="2" t="s">
        <v>74</v>
      </c>
      <c r="Z981" s="2" t="s">
        <v>74</v>
      </c>
      <c r="AA981" s="2" t="s">
        <v>74</v>
      </c>
      <c r="AB981" s="2" t="s">
        <v>74</v>
      </c>
      <c r="AC981" s="2" t="s">
        <v>74</v>
      </c>
      <c r="AD981" s="2" t="s">
        <v>74</v>
      </c>
      <c r="AE981" s="2" t="s">
        <v>74</v>
      </c>
      <c r="AF981" s="2" t="s">
        <v>74</v>
      </c>
      <c r="AG981" s="2" t="s">
        <v>74</v>
      </c>
      <c r="AH981" s="2" t="s">
        <v>74</v>
      </c>
      <c r="AI981" s="2" t="s">
        <v>74</v>
      </c>
      <c r="AJ981" s="2" t="s">
        <v>74</v>
      </c>
      <c r="AK981" s="2" t="s">
        <v>74</v>
      </c>
      <c r="AL981" s="2" t="s">
        <v>74</v>
      </c>
      <c r="AM981" s="2" t="s">
        <v>74</v>
      </c>
      <c r="AN981" s="2" t="s">
        <v>74</v>
      </c>
      <c r="AO981" s="2" t="s">
        <v>143</v>
      </c>
      <c r="AP981" s="2" t="s">
        <v>74</v>
      </c>
      <c r="AQ981" s="2" t="s">
        <v>74</v>
      </c>
      <c r="AR981" s="2" t="s">
        <v>74</v>
      </c>
      <c r="AS981" s="2" t="s">
        <v>74</v>
      </c>
      <c r="AT981" s="2" t="s">
        <v>633</v>
      </c>
      <c r="AU981" s="2">
        <v>2011</v>
      </c>
      <c r="AV981" s="2">
        <v>81</v>
      </c>
      <c r="AW981" s="2">
        <v>4</v>
      </c>
      <c r="AX981" s="2" t="s">
        <v>74</v>
      </c>
      <c r="AY981" s="2" t="s">
        <v>74</v>
      </c>
      <c r="AZ981" s="2" t="s">
        <v>74</v>
      </c>
      <c r="BA981" s="2" t="s">
        <v>74</v>
      </c>
      <c r="BB981" s="2">
        <v>825</v>
      </c>
      <c r="BC981" s="2">
        <v>829</v>
      </c>
      <c r="BD981" s="2" t="s">
        <v>74</v>
      </c>
      <c r="BE981" s="2" t="s">
        <v>1314</v>
      </c>
      <c r="BF981" s="2" t="str">
        <f>HYPERLINK("http://dx.doi.org/10.1016/j.anbehav.2011.01.017","http://dx.doi.org/10.1016/j.anbehav.2011.01.017")</f>
        <v>http://dx.doi.org/10.1016/j.anbehav.2011.01.017</v>
      </c>
      <c r="BG981" s="2" t="s">
        <v>74</v>
      </c>
      <c r="BH981" s="2" t="s">
        <v>74</v>
      </c>
      <c r="BI981" s="2" t="s">
        <v>74</v>
      </c>
      <c r="BJ981" s="2" t="s">
        <v>74</v>
      </c>
      <c r="BK981" s="2" t="s">
        <v>74</v>
      </c>
      <c r="BL981" s="2" t="s">
        <v>74</v>
      </c>
      <c r="BM981" s="2" t="s">
        <v>74</v>
      </c>
      <c r="BN981" s="2" t="s">
        <v>74</v>
      </c>
      <c r="BO981" s="2" t="s">
        <v>74</v>
      </c>
      <c r="BP981" s="2" t="s">
        <v>74</v>
      </c>
      <c r="BQ981" s="2" t="s">
        <v>74</v>
      </c>
      <c r="BR981" s="2" t="s">
        <v>74</v>
      </c>
      <c r="BS981" s="2" t="s">
        <v>1315</v>
      </c>
      <c r="BT981" s="2" t="str">
        <f>HYPERLINK("https%3A%2F%2Fwww.webofscience.com%2Fwos%2Fwoscc%2Ffull-record%2FWOS:000288651200019","View Full Record in Web of Science")</f>
        <v>View Full Record in Web of Science</v>
      </c>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row>
    <row r="982" spans="1:314" s="2" customFormat="1" x14ac:dyDescent="0.4">
      <c r="A982" s="2" t="s">
        <v>72</v>
      </c>
      <c r="B982" s="2" t="s">
        <v>5857</v>
      </c>
      <c r="C982" s="2" t="s">
        <v>74</v>
      </c>
      <c r="D982" s="2" t="s">
        <v>74</v>
      </c>
      <c r="E982" s="2" t="s">
        <v>74</v>
      </c>
      <c r="F982" s="2" t="s">
        <v>5858</v>
      </c>
      <c r="G982" s="2" t="s">
        <v>74</v>
      </c>
      <c r="H982" s="2" t="s">
        <v>74</v>
      </c>
      <c r="I982" s="2" t="s">
        <v>5859</v>
      </c>
      <c r="J982" s="2" t="s">
        <v>509</v>
      </c>
      <c r="K982" s="2" t="s">
        <v>74</v>
      </c>
      <c r="L982" s="2" t="s">
        <v>74</v>
      </c>
      <c r="M982" s="2" t="s">
        <v>74</v>
      </c>
      <c r="N982" s="2" t="s">
        <v>74</v>
      </c>
      <c r="O982" s="2" t="s">
        <v>74</v>
      </c>
      <c r="P982" s="2" t="s">
        <v>74</v>
      </c>
      <c r="Q982" s="2" t="s">
        <v>74</v>
      </c>
      <c r="R982" s="2" t="s">
        <v>74</v>
      </c>
      <c r="S982" s="2" t="s">
        <v>74</v>
      </c>
      <c r="T982" s="2" t="s">
        <v>74</v>
      </c>
      <c r="U982" s="2" t="s">
        <v>74</v>
      </c>
      <c r="V982" s="5" t="s">
        <v>5860</v>
      </c>
      <c r="W982" s="2" t="s">
        <v>74</v>
      </c>
      <c r="X982" s="2" t="s">
        <v>74</v>
      </c>
      <c r="Y982" s="2" t="s">
        <v>74</v>
      </c>
      <c r="Z982" s="2" t="s">
        <v>74</v>
      </c>
      <c r="AA982" s="2" t="s">
        <v>5861</v>
      </c>
      <c r="AB982" s="2" t="s">
        <v>5862</v>
      </c>
      <c r="AC982" s="2" t="s">
        <v>74</v>
      </c>
      <c r="AD982" s="2" t="s">
        <v>74</v>
      </c>
      <c r="AE982" s="2" t="s">
        <v>74</v>
      </c>
      <c r="AF982" s="2" t="s">
        <v>74</v>
      </c>
      <c r="AG982" s="2" t="s">
        <v>74</v>
      </c>
      <c r="AH982" s="2" t="s">
        <v>74</v>
      </c>
      <c r="AI982" s="2" t="s">
        <v>74</v>
      </c>
      <c r="AJ982" s="2" t="s">
        <v>74</v>
      </c>
      <c r="AK982" s="2" t="s">
        <v>74</v>
      </c>
      <c r="AL982" s="2" t="s">
        <v>74</v>
      </c>
      <c r="AM982" s="2" t="s">
        <v>74</v>
      </c>
      <c r="AN982" s="2" t="s">
        <v>74</v>
      </c>
      <c r="AO982" s="2" t="s">
        <v>511</v>
      </c>
      <c r="AP982" s="2" t="s">
        <v>512</v>
      </c>
      <c r="AQ982" s="2" t="s">
        <v>74</v>
      </c>
      <c r="AR982" s="2" t="s">
        <v>74</v>
      </c>
      <c r="AS982" s="2" t="s">
        <v>74</v>
      </c>
      <c r="AT982" s="2" t="s">
        <v>352</v>
      </c>
      <c r="AU982" s="2">
        <v>2008</v>
      </c>
      <c r="AV982" s="2">
        <v>54</v>
      </c>
      <c r="AW982" s="2">
        <v>4</v>
      </c>
      <c r="AX982" s="2" t="s">
        <v>74</v>
      </c>
      <c r="AY982" s="2" t="s">
        <v>74</v>
      </c>
      <c r="AZ982" s="2" t="s">
        <v>74</v>
      </c>
      <c r="BA982" s="2" t="s">
        <v>74</v>
      </c>
      <c r="BB982" s="2">
        <v>549</v>
      </c>
      <c r="BC982" s="2">
        <v>556</v>
      </c>
      <c r="BD982" s="2" t="s">
        <v>74</v>
      </c>
      <c r="BE982" s="2" t="s">
        <v>5863</v>
      </c>
      <c r="BF982" s="2" t="str">
        <f>HYPERLINK("http://dx.doi.org/10.1016/j.yhbeh.2008.05.018","http://dx.doi.org/10.1016/j.yhbeh.2008.05.018")</f>
        <v>http://dx.doi.org/10.1016/j.yhbeh.2008.05.018</v>
      </c>
      <c r="BG982" s="2" t="s">
        <v>74</v>
      </c>
      <c r="BH982" s="2" t="s">
        <v>74</v>
      </c>
      <c r="BI982" s="2" t="s">
        <v>74</v>
      </c>
      <c r="BJ982" s="2" t="s">
        <v>74</v>
      </c>
      <c r="BK982" s="2" t="s">
        <v>74</v>
      </c>
      <c r="BL982" s="2" t="s">
        <v>74</v>
      </c>
      <c r="BM982" s="2" t="s">
        <v>74</v>
      </c>
      <c r="BN982" s="2">
        <v>18586039</v>
      </c>
      <c r="BO982" s="2" t="s">
        <v>74</v>
      </c>
      <c r="BP982" s="2" t="s">
        <v>74</v>
      </c>
      <c r="BQ982" s="2" t="s">
        <v>74</v>
      </c>
      <c r="BR982" s="2" t="s">
        <v>74</v>
      </c>
      <c r="BS982" s="2" t="s">
        <v>5864</v>
      </c>
      <c r="BT982" s="2" t="str">
        <f>HYPERLINK("https%3A%2F%2Fwww.webofscience.com%2Fwos%2Fwoscc%2Ffull-record%2FWOS:000259159200011","View Full Record in Web of Science")</f>
        <v>View Full Record in Web of Science</v>
      </c>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row>
    <row r="983" spans="1:314" s="2" customFormat="1" x14ac:dyDescent="0.4">
      <c r="A983" s="2" t="s">
        <v>72</v>
      </c>
      <c r="B983" s="2" t="s">
        <v>5127</v>
      </c>
      <c r="C983" s="2" t="s">
        <v>74</v>
      </c>
      <c r="D983" s="2" t="s">
        <v>74</v>
      </c>
      <c r="E983" s="2" t="s">
        <v>74</v>
      </c>
      <c r="F983" s="2" t="s">
        <v>5127</v>
      </c>
      <c r="G983" s="2" t="s">
        <v>74</v>
      </c>
      <c r="H983" s="2" t="s">
        <v>74</v>
      </c>
      <c r="I983" s="2" t="s">
        <v>5128</v>
      </c>
      <c r="J983" s="2" t="s">
        <v>5129</v>
      </c>
      <c r="K983" s="2" t="s">
        <v>74</v>
      </c>
      <c r="L983" s="2" t="s">
        <v>74</v>
      </c>
      <c r="M983" s="2" t="s">
        <v>74</v>
      </c>
      <c r="N983" s="2" t="s">
        <v>74</v>
      </c>
      <c r="O983" s="2" t="s">
        <v>74</v>
      </c>
      <c r="P983" s="2" t="s">
        <v>74</v>
      </c>
      <c r="Q983" s="2" t="s">
        <v>74</v>
      </c>
      <c r="R983" s="2" t="s">
        <v>74</v>
      </c>
      <c r="S983" s="2" t="s">
        <v>74</v>
      </c>
      <c r="T983" s="2" t="s">
        <v>74</v>
      </c>
      <c r="U983" s="2" t="s">
        <v>74</v>
      </c>
      <c r="V983" s="5" t="s">
        <v>5130</v>
      </c>
      <c r="W983" s="2" t="s">
        <v>74</v>
      </c>
      <c r="X983" s="2" t="s">
        <v>74</v>
      </c>
      <c r="Y983" s="2" t="s">
        <v>74</v>
      </c>
      <c r="Z983" s="2" t="s">
        <v>74</v>
      </c>
      <c r="AA983" s="2" t="s">
        <v>74</v>
      </c>
      <c r="AB983" s="2" t="s">
        <v>74</v>
      </c>
      <c r="AC983" s="2" t="s">
        <v>74</v>
      </c>
      <c r="AD983" s="2" t="s">
        <v>74</v>
      </c>
      <c r="AE983" s="2" t="s">
        <v>74</v>
      </c>
      <c r="AF983" s="2" t="s">
        <v>74</v>
      </c>
      <c r="AG983" s="2" t="s">
        <v>74</v>
      </c>
      <c r="AH983" s="2" t="s">
        <v>74</v>
      </c>
      <c r="AI983" s="2" t="s">
        <v>74</v>
      </c>
      <c r="AJ983" s="2" t="s">
        <v>74</v>
      </c>
      <c r="AK983" s="2" t="s">
        <v>74</v>
      </c>
      <c r="AL983" s="2" t="s">
        <v>74</v>
      </c>
      <c r="AM983" s="2" t="s">
        <v>74</v>
      </c>
      <c r="AN983" s="2" t="s">
        <v>74</v>
      </c>
      <c r="AO983" s="2" t="s">
        <v>5131</v>
      </c>
      <c r="AP983" s="2" t="s">
        <v>5132</v>
      </c>
      <c r="AQ983" s="2" t="s">
        <v>74</v>
      </c>
      <c r="AR983" s="2" t="s">
        <v>74</v>
      </c>
      <c r="AS983" s="2" t="s">
        <v>74</v>
      </c>
      <c r="AT983" s="2" t="s">
        <v>74</v>
      </c>
      <c r="AU983" s="2">
        <v>1993</v>
      </c>
      <c r="AV983" s="2">
        <v>81</v>
      </c>
      <c r="AW983" s="2">
        <v>1</v>
      </c>
      <c r="AX983" s="2" t="s">
        <v>74</v>
      </c>
      <c r="AY983" s="2" t="s">
        <v>74</v>
      </c>
      <c r="AZ983" s="2" t="s">
        <v>74</v>
      </c>
      <c r="BA983" s="2" t="s">
        <v>74</v>
      </c>
      <c r="BB983" s="2">
        <v>35</v>
      </c>
      <c r="BC983" s="2">
        <v>41</v>
      </c>
      <c r="BD983" s="2" t="s">
        <v>74</v>
      </c>
      <c r="BE983" s="2" t="s">
        <v>74</v>
      </c>
      <c r="BF983" s="2" t="s">
        <v>74</v>
      </c>
      <c r="BG983" s="2" t="s">
        <v>74</v>
      </c>
      <c r="BH983" s="2" t="s">
        <v>74</v>
      </c>
      <c r="BI983" s="2" t="s">
        <v>74</v>
      </c>
      <c r="BJ983" s="2" t="s">
        <v>74</v>
      </c>
      <c r="BK983" s="2" t="s">
        <v>74</v>
      </c>
      <c r="BL983" s="2" t="s">
        <v>74</v>
      </c>
      <c r="BM983" s="2" t="s">
        <v>74</v>
      </c>
      <c r="BN983" s="2" t="s">
        <v>74</v>
      </c>
      <c r="BO983" s="2" t="s">
        <v>74</v>
      </c>
      <c r="BP983" s="2" t="s">
        <v>74</v>
      </c>
      <c r="BQ983" s="2" t="s">
        <v>74</v>
      </c>
      <c r="BR983" s="2" t="s">
        <v>74</v>
      </c>
      <c r="BS983" s="2" t="s">
        <v>5133</v>
      </c>
      <c r="BT983" s="2" t="str">
        <f>HYPERLINK("https%3A%2F%2Fwww.webofscience.com%2Fwos%2Fwoscc%2Ffull-record%2FWOS:A1993LV04800007","View Full Record in Web of Science")</f>
        <v>View Full Record in Web of Science</v>
      </c>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row>
    <row r="984" spans="1:314" s="2" customFormat="1" x14ac:dyDescent="0.4">
      <c r="A984" s="2" t="s">
        <v>72</v>
      </c>
      <c r="B984" s="2" t="s">
        <v>3310</v>
      </c>
      <c r="C984" s="2" t="s">
        <v>74</v>
      </c>
      <c r="D984" s="2" t="s">
        <v>74</v>
      </c>
      <c r="E984" s="2" t="s">
        <v>74</v>
      </c>
      <c r="F984" s="2" t="s">
        <v>3310</v>
      </c>
      <c r="G984" s="2" t="s">
        <v>74</v>
      </c>
      <c r="H984" s="2" t="s">
        <v>74</v>
      </c>
      <c r="I984" s="2" t="s">
        <v>3311</v>
      </c>
      <c r="J984" s="2" t="s">
        <v>108</v>
      </c>
      <c r="K984" s="2" t="s">
        <v>74</v>
      </c>
      <c r="L984" s="2" t="s">
        <v>74</v>
      </c>
      <c r="M984" s="2" t="s">
        <v>74</v>
      </c>
      <c r="N984" s="2" t="s">
        <v>74</v>
      </c>
      <c r="O984" s="2" t="s">
        <v>74</v>
      </c>
      <c r="P984" s="2" t="s">
        <v>74</v>
      </c>
      <c r="Q984" s="2" t="s">
        <v>74</v>
      </c>
      <c r="R984" s="2" t="s">
        <v>74</v>
      </c>
      <c r="S984" s="2" t="s">
        <v>74</v>
      </c>
      <c r="T984" s="2" t="s">
        <v>74</v>
      </c>
      <c r="U984" s="2" t="s">
        <v>74</v>
      </c>
      <c r="V984" s="5" t="s">
        <v>3312</v>
      </c>
      <c r="W984" s="2" t="s">
        <v>74</v>
      </c>
      <c r="X984" s="2" t="s">
        <v>74</v>
      </c>
      <c r="Y984" s="2" t="s">
        <v>74</v>
      </c>
      <c r="Z984" s="2" t="s">
        <v>74</v>
      </c>
      <c r="AA984" s="2" t="s">
        <v>74</v>
      </c>
      <c r="AB984" s="2" t="s">
        <v>74</v>
      </c>
      <c r="AC984" s="2" t="s">
        <v>74</v>
      </c>
      <c r="AD984" s="2" t="s">
        <v>74</v>
      </c>
      <c r="AE984" s="2" t="s">
        <v>74</v>
      </c>
      <c r="AF984" s="2" t="s">
        <v>74</v>
      </c>
      <c r="AG984" s="2" t="s">
        <v>74</v>
      </c>
      <c r="AH984" s="2" t="s">
        <v>74</v>
      </c>
      <c r="AI984" s="2" t="s">
        <v>74</v>
      </c>
      <c r="AJ984" s="2" t="s">
        <v>74</v>
      </c>
      <c r="AK984" s="2" t="s">
        <v>74</v>
      </c>
      <c r="AL984" s="2" t="s">
        <v>74</v>
      </c>
      <c r="AM984" s="2" t="s">
        <v>74</v>
      </c>
      <c r="AN984" s="2" t="s">
        <v>74</v>
      </c>
      <c r="AO984" s="2" t="s">
        <v>111</v>
      </c>
      <c r="AP984" s="2" t="s">
        <v>112</v>
      </c>
      <c r="AQ984" s="2" t="s">
        <v>74</v>
      </c>
      <c r="AR984" s="2" t="s">
        <v>74</v>
      </c>
      <c r="AS984" s="2" t="s">
        <v>74</v>
      </c>
      <c r="AT984" s="2" t="s">
        <v>3313</v>
      </c>
      <c r="AU984" s="2">
        <v>1999</v>
      </c>
      <c r="AV984" s="2">
        <v>266</v>
      </c>
      <c r="AW984" s="2">
        <v>1422</v>
      </c>
      <c r="AX984" s="2" t="s">
        <v>74</v>
      </c>
      <c r="AY984" s="2" t="s">
        <v>74</v>
      </c>
      <c r="AZ984" s="2" t="s">
        <v>74</v>
      </c>
      <c r="BA984" s="2" t="s">
        <v>74</v>
      </c>
      <c r="BB984" s="2">
        <v>917</v>
      </c>
      <c r="BC984" s="2">
        <v>921</v>
      </c>
      <c r="BD984" s="2" t="s">
        <v>74</v>
      </c>
      <c r="BE984" s="2" t="s">
        <v>3314</v>
      </c>
      <c r="BF984" s="2" t="str">
        <f>HYPERLINK("http://dx.doi.org/10.1098/rspb.1999.0724","http://dx.doi.org/10.1098/rspb.1999.0724")</f>
        <v>http://dx.doi.org/10.1098/rspb.1999.0724</v>
      </c>
      <c r="BG984" s="2" t="s">
        <v>74</v>
      </c>
      <c r="BH984" s="2" t="s">
        <v>74</v>
      </c>
      <c r="BI984" s="2" t="s">
        <v>74</v>
      </c>
      <c r="BJ984" s="2" t="s">
        <v>74</v>
      </c>
      <c r="BK984" s="2" t="s">
        <v>74</v>
      </c>
      <c r="BL984" s="2" t="s">
        <v>74</v>
      </c>
      <c r="BM984" s="2" t="s">
        <v>74</v>
      </c>
      <c r="BN984" s="2" t="s">
        <v>74</v>
      </c>
      <c r="BO984" s="2" t="s">
        <v>74</v>
      </c>
      <c r="BP984" s="2" t="s">
        <v>74</v>
      </c>
      <c r="BQ984" s="2" t="s">
        <v>74</v>
      </c>
      <c r="BR984" s="2" t="s">
        <v>74</v>
      </c>
      <c r="BS984" s="2" t="s">
        <v>3315</v>
      </c>
      <c r="BT984" s="2" t="str">
        <f>HYPERLINK("https%3A%2F%2Fwww.webofscience.com%2Fwos%2Fwoscc%2Ffull-record%2FWOS:000080290100008","View Full Record in Web of Science")</f>
        <v>View Full Record in Web of Science</v>
      </c>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row>
    <row r="985" spans="1:314" s="2" customFormat="1" x14ac:dyDescent="0.4">
      <c r="A985" s="2" t="s">
        <v>72</v>
      </c>
      <c r="B985" s="2" t="s">
        <v>1278</v>
      </c>
      <c r="C985" s="2" t="s">
        <v>74</v>
      </c>
      <c r="D985" s="2" t="s">
        <v>74</v>
      </c>
      <c r="E985" s="2" t="s">
        <v>74</v>
      </c>
      <c r="F985" s="2" t="s">
        <v>1278</v>
      </c>
      <c r="G985" s="2" t="s">
        <v>74</v>
      </c>
      <c r="H985" s="2" t="s">
        <v>74</v>
      </c>
      <c r="I985" s="2" t="s">
        <v>1279</v>
      </c>
      <c r="J985" s="2" t="s">
        <v>171</v>
      </c>
      <c r="K985" s="2" t="s">
        <v>74</v>
      </c>
      <c r="L985" s="2" t="s">
        <v>74</v>
      </c>
      <c r="M985" s="2" t="s">
        <v>74</v>
      </c>
      <c r="N985" s="2" t="s">
        <v>74</v>
      </c>
      <c r="O985" s="2" t="s">
        <v>74</v>
      </c>
      <c r="P985" s="2" t="s">
        <v>74</v>
      </c>
      <c r="Q985" s="2" t="s">
        <v>74</v>
      </c>
      <c r="R985" s="2" t="s">
        <v>74</v>
      </c>
      <c r="S985" s="2" t="s">
        <v>74</v>
      </c>
      <c r="T985" s="2" t="s">
        <v>74</v>
      </c>
      <c r="U985" s="2" t="s">
        <v>74</v>
      </c>
      <c r="V985" s="5" t="s">
        <v>1280</v>
      </c>
      <c r="W985" s="2" t="s">
        <v>74</v>
      </c>
      <c r="X985" s="2" t="s">
        <v>74</v>
      </c>
      <c r="Y985" s="2" t="s">
        <v>74</v>
      </c>
      <c r="Z985" s="2" t="s">
        <v>74</v>
      </c>
      <c r="AA985" s="2" t="s">
        <v>74</v>
      </c>
      <c r="AB985" s="2" t="s">
        <v>74</v>
      </c>
      <c r="AC985" s="2" t="s">
        <v>74</v>
      </c>
      <c r="AD985" s="2" t="s">
        <v>74</v>
      </c>
      <c r="AE985" s="2" t="s">
        <v>74</v>
      </c>
      <c r="AF985" s="2" t="s">
        <v>74</v>
      </c>
      <c r="AG985" s="2" t="s">
        <v>74</v>
      </c>
      <c r="AH985" s="2" t="s">
        <v>74</v>
      </c>
      <c r="AI985" s="2" t="s">
        <v>74</v>
      </c>
      <c r="AJ985" s="2" t="s">
        <v>74</v>
      </c>
      <c r="AK985" s="2" t="s">
        <v>74</v>
      </c>
      <c r="AL985" s="2" t="s">
        <v>74</v>
      </c>
      <c r="AM985" s="2" t="s">
        <v>74</v>
      </c>
      <c r="AN985" s="2" t="s">
        <v>74</v>
      </c>
      <c r="AO985" s="2" t="s">
        <v>173</v>
      </c>
      <c r="AP985" s="2" t="s">
        <v>74</v>
      </c>
      <c r="AQ985" s="2" t="s">
        <v>74</v>
      </c>
      <c r="AR985" s="2" t="s">
        <v>74</v>
      </c>
      <c r="AS985" s="2" t="s">
        <v>74</v>
      </c>
      <c r="AT985" s="2" t="s">
        <v>102</v>
      </c>
      <c r="AU985" s="2">
        <v>1991</v>
      </c>
      <c r="AV985" s="2">
        <v>45</v>
      </c>
      <c r="AW985" s="2">
        <v>4</v>
      </c>
      <c r="AX985" s="2" t="s">
        <v>74</v>
      </c>
      <c r="AY985" s="2" t="s">
        <v>74</v>
      </c>
      <c r="AZ985" s="2" t="s">
        <v>74</v>
      </c>
      <c r="BA985" s="2" t="s">
        <v>74</v>
      </c>
      <c r="BB985" s="2">
        <v>910</v>
      </c>
      <c r="BC985" s="2">
        <v>917</v>
      </c>
      <c r="BD985" s="2" t="s">
        <v>74</v>
      </c>
      <c r="BE985" s="2" t="s">
        <v>1281</v>
      </c>
      <c r="BF985" s="2" t="str">
        <f>HYPERLINK("http://dx.doi.org/10.2307/2409698","http://dx.doi.org/10.2307/2409698")</f>
        <v>http://dx.doi.org/10.2307/2409698</v>
      </c>
      <c r="BG985" s="2" t="s">
        <v>74</v>
      </c>
      <c r="BH985" s="2" t="s">
        <v>74</v>
      </c>
      <c r="BI985" s="2" t="s">
        <v>74</v>
      </c>
      <c r="BJ985" s="2" t="s">
        <v>74</v>
      </c>
      <c r="BK985" s="2" t="s">
        <v>74</v>
      </c>
      <c r="BL985" s="2" t="s">
        <v>74</v>
      </c>
      <c r="BM985" s="2" t="s">
        <v>74</v>
      </c>
      <c r="BN985" s="2">
        <v>28564056</v>
      </c>
      <c r="BO985" s="2" t="s">
        <v>74</v>
      </c>
      <c r="BP985" s="2" t="s">
        <v>74</v>
      </c>
      <c r="BQ985" s="2" t="s">
        <v>74</v>
      </c>
      <c r="BR985" s="2" t="s">
        <v>74</v>
      </c>
      <c r="BS985" s="2" t="s">
        <v>1282</v>
      </c>
      <c r="BT985" s="2" t="str">
        <f>HYPERLINK("https%3A%2F%2Fwww.webofscience.com%2Fwos%2Fwoscc%2Ffull-record%2FWOS:A1991FW83600008","View Full Record in Web of Science")</f>
        <v>View Full Record in Web of Science</v>
      </c>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row>
    <row r="986" spans="1:314" s="2" customFormat="1" x14ac:dyDescent="0.4">
      <c r="A986" s="2" t="s">
        <v>72</v>
      </c>
      <c r="B986" s="2" t="s">
        <v>7317</v>
      </c>
      <c r="C986" s="2" t="s">
        <v>74</v>
      </c>
      <c r="D986" s="2" t="s">
        <v>74</v>
      </c>
      <c r="E986" s="2" t="s">
        <v>74</v>
      </c>
      <c r="F986" s="2" t="s">
        <v>7318</v>
      </c>
      <c r="G986" s="2" t="s">
        <v>74</v>
      </c>
      <c r="H986" s="2" t="s">
        <v>74</v>
      </c>
      <c r="I986" s="2" t="s">
        <v>7319</v>
      </c>
      <c r="J986" s="2" t="s">
        <v>140</v>
      </c>
      <c r="K986" s="2" t="s">
        <v>74</v>
      </c>
      <c r="L986" s="2" t="s">
        <v>74</v>
      </c>
      <c r="M986" s="2" t="s">
        <v>74</v>
      </c>
      <c r="N986" s="2" t="s">
        <v>74</v>
      </c>
      <c r="O986" s="2" t="s">
        <v>74</v>
      </c>
      <c r="P986" s="2" t="s">
        <v>74</v>
      </c>
      <c r="Q986" s="2" t="s">
        <v>74</v>
      </c>
      <c r="R986" s="2" t="s">
        <v>74</v>
      </c>
      <c r="S986" s="2" t="s">
        <v>74</v>
      </c>
      <c r="T986" s="2" t="s">
        <v>74</v>
      </c>
      <c r="U986" s="2" t="s">
        <v>74</v>
      </c>
      <c r="V986" s="5" t="s">
        <v>7320</v>
      </c>
      <c r="W986" s="2" t="s">
        <v>74</v>
      </c>
      <c r="X986" s="2" t="s">
        <v>74</v>
      </c>
      <c r="Y986" s="2" t="s">
        <v>74</v>
      </c>
      <c r="Z986" s="2" t="s">
        <v>74</v>
      </c>
      <c r="AA986" s="2" t="s">
        <v>7321</v>
      </c>
      <c r="AB986" s="2" t="s">
        <v>7322</v>
      </c>
      <c r="AC986" s="2" t="s">
        <v>74</v>
      </c>
      <c r="AD986" s="2" t="s">
        <v>74</v>
      </c>
      <c r="AE986" s="2" t="s">
        <v>74</v>
      </c>
      <c r="AF986" s="2" t="s">
        <v>74</v>
      </c>
      <c r="AG986" s="2" t="s">
        <v>74</v>
      </c>
      <c r="AH986" s="2" t="s">
        <v>74</v>
      </c>
      <c r="AI986" s="2" t="s">
        <v>74</v>
      </c>
      <c r="AJ986" s="2" t="s">
        <v>74</v>
      </c>
      <c r="AK986" s="2" t="s">
        <v>74</v>
      </c>
      <c r="AL986" s="2" t="s">
        <v>74</v>
      </c>
      <c r="AM986" s="2" t="s">
        <v>74</v>
      </c>
      <c r="AN986" s="2" t="s">
        <v>74</v>
      </c>
      <c r="AO986" s="2" t="s">
        <v>143</v>
      </c>
      <c r="AP986" s="2" t="s">
        <v>144</v>
      </c>
      <c r="AQ986" s="2" t="s">
        <v>74</v>
      </c>
      <c r="AR986" s="2" t="s">
        <v>74</v>
      </c>
      <c r="AS986" s="2" t="s">
        <v>74</v>
      </c>
      <c r="AT986" s="2" t="s">
        <v>134</v>
      </c>
      <c r="AU986" s="2">
        <v>2019</v>
      </c>
      <c r="AV986" s="2">
        <v>151</v>
      </c>
      <c r="AW986" s="2" t="s">
        <v>74</v>
      </c>
      <c r="AX986" s="2" t="s">
        <v>74</v>
      </c>
      <c r="AY986" s="2" t="s">
        <v>74</v>
      </c>
      <c r="AZ986" s="2" t="s">
        <v>74</v>
      </c>
      <c r="BA986" s="2" t="s">
        <v>74</v>
      </c>
      <c r="BB986" s="2">
        <v>185</v>
      </c>
      <c r="BC986" s="2">
        <v>193</v>
      </c>
      <c r="BD986" s="2" t="s">
        <v>74</v>
      </c>
      <c r="BE986" s="2" t="s">
        <v>7323</v>
      </c>
      <c r="BF986" s="2" t="str">
        <f>HYPERLINK("http://dx.doi.org/10.1016/j.anbehav.2019.02.002","http://dx.doi.org/10.1016/j.anbehav.2019.02.002")</f>
        <v>http://dx.doi.org/10.1016/j.anbehav.2019.02.002</v>
      </c>
      <c r="BG986" s="2" t="s">
        <v>74</v>
      </c>
      <c r="BH986" s="2" t="s">
        <v>74</v>
      </c>
      <c r="BI986" s="2" t="s">
        <v>74</v>
      </c>
      <c r="BJ986" s="2" t="s">
        <v>74</v>
      </c>
      <c r="BK986" s="2" t="s">
        <v>74</v>
      </c>
      <c r="BL986" s="2" t="s">
        <v>74</v>
      </c>
      <c r="BM986" s="2" t="s">
        <v>74</v>
      </c>
      <c r="BN986" s="2" t="s">
        <v>74</v>
      </c>
      <c r="BO986" s="2" t="s">
        <v>74</v>
      </c>
      <c r="BP986" s="2" t="s">
        <v>74</v>
      </c>
      <c r="BQ986" s="2" t="s">
        <v>74</v>
      </c>
      <c r="BR986" s="2" t="s">
        <v>74</v>
      </c>
      <c r="BS986" s="2" t="s">
        <v>7324</v>
      </c>
      <c r="BT986" s="2" t="str">
        <f>HYPERLINK("https%3A%2F%2Fwww.webofscience.com%2Fwos%2Fwoscc%2Ffull-record%2FWOS:000467013300018","View Full Record in Web of Science")</f>
        <v>View Full Record in Web of Science</v>
      </c>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row>
    <row r="987" spans="1:314" s="2" customFormat="1" x14ac:dyDescent="0.4">
      <c r="A987" s="2" t="s">
        <v>72</v>
      </c>
      <c r="B987" s="2" t="s">
        <v>7517</v>
      </c>
      <c r="C987" s="2" t="s">
        <v>74</v>
      </c>
      <c r="D987" s="2" t="s">
        <v>74</v>
      </c>
      <c r="E987" s="2" t="s">
        <v>74</v>
      </c>
      <c r="F987" s="2" t="s">
        <v>7517</v>
      </c>
      <c r="G987" s="2" t="s">
        <v>74</v>
      </c>
      <c r="H987" s="2" t="s">
        <v>74</v>
      </c>
      <c r="I987" s="2" t="s">
        <v>7518</v>
      </c>
      <c r="J987" s="2" t="s">
        <v>509</v>
      </c>
      <c r="K987" s="2" t="s">
        <v>74</v>
      </c>
      <c r="L987" s="2" t="s">
        <v>74</v>
      </c>
      <c r="M987" s="2" t="s">
        <v>74</v>
      </c>
      <c r="N987" s="2" t="s">
        <v>74</v>
      </c>
      <c r="O987" s="2" t="s">
        <v>74</v>
      </c>
      <c r="P987" s="2" t="s">
        <v>74</v>
      </c>
      <c r="Q987" s="2" t="s">
        <v>74</v>
      </c>
      <c r="R987" s="2" t="s">
        <v>74</v>
      </c>
      <c r="S987" s="2" t="s">
        <v>74</v>
      </c>
      <c r="T987" s="2" t="s">
        <v>74</v>
      </c>
      <c r="U987" s="2" t="s">
        <v>74</v>
      </c>
      <c r="V987" s="5" t="s">
        <v>7519</v>
      </c>
      <c r="W987" s="2" t="s">
        <v>74</v>
      </c>
      <c r="X987" s="2" t="s">
        <v>74</v>
      </c>
      <c r="Y987" s="2" t="s">
        <v>74</v>
      </c>
      <c r="Z987" s="2" t="s">
        <v>74</v>
      </c>
      <c r="AA987" s="2" t="s">
        <v>74</v>
      </c>
      <c r="AB987" s="2" t="s">
        <v>74</v>
      </c>
      <c r="AC987" s="2" t="s">
        <v>74</v>
      </c>
      <c r="AD987" s="2" t="s">
        <v>74</v>
      </c>
      <c r="AE987" s="2" t="s">
        <v>74</v>
      </c>
      <c r="AF987" s="2" t="s">
        <v>74</v>
      </c>
      <c r="AG987" s="2" t="s">
        <v>74</v>
      </c>
      <c r="AH987" s="2" t="s">
        <v>74</v>
      </c>
      <c r="AI987" s="2" t="s">
        <v>74</v>
      </c>
      <c r="AJ987" s="2" t="s">
        <v>74</v>
      </c>
      <c r="AK987" s="2" t="s">
        <v>74</v>
      </c>
      <c r="AL987" s="2" t="s">
        <v>74</v>
      </c>
      <c r="AM987" s="2" t="s">
        <v>74</v>
      </c>
      <c r="AN987" s="2" t="s">
        <v>74</v>
      </c>
      <c r="AO987" s="2" t="s">
        <v>511</v>
      </c>
      <c r="AP987" s="2" t="s">
        <v>512</v>
      </c>
      <c r="AQ987" s="2" t="s">
        <v>74</v>
      </c>
      <c r="AR987" s="2" t="s">
        <v>74</v>
      </c>
      <c r="AS987" s="2" t="s">
        <v>74</v>
      </c>
      <c r="AT987" s="2" t="s">
        <v>145</v>
      </c>
      <c r="AU987" s="2">
        <v>1999</v>
      </c>
      <c r="AV987" s="2">
        <v>36</v>
      </c>
      <c r="AW987" s="2">
        <v>1</v>
      </c>
      <c r="AX987" s="2" t="s">
        <v>74</v>
      </c>
      <c r="AY987" s="2" t="s">
        <v>74</v>
      </c>
      <c r="AZ987" s="2" t="s">
        <v>74</v>
      </c>
      <c r="BA987" s="2" t="s">
        <v>74</v>
      </c>
      <c r="BB987" s="2">
        <v>39</v>
      </c>
      <c r="BC987" s="2">
        <v>52</v>
      </c>
      <c r="BD987" s="2" t="s">
        <v>74</v>
      </c>
      <c r="BE987" s="2" t="s">
        <v>7520</v>
      </c>
      <c r="BF987" s="2" t="str">
        <f>HYPERLINK("http://dx.doi.org/10.1006/hbeh.1999.1523","http://dx.doi.org/10.1006/hbeh.1999.1523")</f>
        <v>http://dx.doi.org/10.1006/hbeh.1999.1523</v>
      </c>
      <c r="BG987" s="2" t="s">
        <v>74</v>
      </c>
      <c r="BH987" s="2" t="s">
        <v>74</v>
      </c>
      <c r="BI987" s="2" t="s">
        <v>74</v>
      </c>
      <c r="BJ987" s="2" t="s">
        <v>74</v>
      </c>
      <c r="BK987" s="2" t="s">
        <v>74</v>
      </c>
      <c r="BL987" s="2" t="s">
        <v>74</v>
      </c>
      <c r="BM987" s="2" t="s">
        <v>74</v>
      </c>
      <c r="BN987" s="2">
        <v>10433885</v>
      </c>
      <c r="BO987" s="2" t="s">
        <v>74</v>
      </c>
      <c r="BP987" s="2" t="s">
        <v>74</v>
      </c>
      <c r="BQ987" s="2" t="s">
        <v>74</v>
      </c>
      <c r="BR987" s="2" t="s">
        <v>74</v>
      </c>
      <c r="BS987" s="2" t="s">
        <v>7521</v>
      </c>
      <c r="BT987" s="2" t="str">
        <f>HYPERLINK("https%3A%2F%2Fwww.webofscience.com%2Fwos%2Fwoscc%2Ffull-record%2FWOS:000082107300004","View Full Record in Web of Science")</f>
        <v>View Full Record in Web of Science</v>
      </c>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row>
    <row r="988" spans="1:314" s="2" customFormat="1" x14ac:dyDescent="0.4">
      <c r="A988" s="2" t="s">
        <v>72</v>
      </c>
      <c r="B988" s="2" t="s">
        <v>438</v>
      </c>
      <c r="C988" s="2" t="s">
        <v>74</v>
      </c>
      <c r="D988" s="2" t="s">
        <v>74</v>
      </c>
      <c r="E988" s="2" t="s">
        <v>74</v>
      </c>
      <c r="F988" s="2" t="s">
        <v>438</v>
      </c>
      <c r="G988" s="2" t="s">
        <v>74</v>
      </c>
      <c r="H988" s="2" t="s">
        <v>74</v>
      </c>
      <c r="I988" s="2" t="s">
        <v>439</v>
      </c>
      <c r="J988" s="2" t="s">
        <v>229</v>
      </c>
      <c r="K988" s="2" t="s">
        <v>74</v>
      </c>
      <c r="L988" s="2" t="s">
        <v>74</v>
      </c>
      <c r="M988" s="2" t="s">
        <v>74</v>
      </c>
      <c r="N988" s="2" t="s">
        <v>74</v>
      </c>
      <c r="O988" s="2" t="s">
        <v>74</v>
      </c>
      <c r="P988" s="2" t="s">
        <v>74</v>
      </c>
      <c r="Q988" s="2" t="s">
        <v>74</v>
      </c>
      <c r="R988" s="2" t="s">
        <v>74</v>
      </c>
      <c r="S988" s="2" t="s">
        <v>74</v>
      </c>
      <c r="T988" s="2" t="s">
        <v>74</v>
      </c>
      <c r="U988" s="2" t="s">
        <v>74</v>
      </c>
      <c r="V988" s="5" t="s">
        <v>440</v>
      </c>
      <c r="W988" s="2" t="s">
        <v>74</v>
      </c>
      <c r="X988" s="2" t="s">
        <v>74</v>
      </c>
      <c r="Y988" s="2" t="s">
        <v>74</v>
      </c>
      <c r="Z988" s="2" t="s">
        <v>74</v>
      </c>
      <c r="AA988" s="2" t="s">
        <v>74</v>
      </c>
      <c r="AB988" s="2" t="s">
        <v>441</v>
      </c>
      <c r="AC988" s="2" t="s">
        <v>74</v>
      </c>
      <c r="AD988" s="2" t="s">
        <v>74</v>
      </c>
      <c r="AE988" s="2" t="s">
        <v>74</v>
      </c>
      <c r="AF988" s="2" t="s">
        <v>74</v>
      </c>
      <c r="AG988" s="2" t="s">
        <v>74</v>
      </c>
      <c r="AH988" s="2" t="s">
        <v>74</v>
      </c>
      <c r="AI988" s="2" t="s">
        <v>74</v>
      </c>
      <c r="AJ988" s="2" t="s">
        <v>74</v>
      </c>
      <c r="AK988" s="2" t="s">
        <v>74</v>
      </c>
      <c r="AL988" s="2" t="s">
        <v>74</v>
      </c>
      <c r="AM988" s="2" t="s">
        <v>74</v>
      </c>
      <c r="AN988" s="2" t="s">
        <v>74</v>
      </c>
      <c r="AO988" s="2" t="s">
        <v>233</v>
      </c>
      <c r="AP988" s="2" t="s">
        <v>234</v>
      </c>
      <c r="AQ988" s="2" t="s">
        <v>74</v>
      </c>
      <c r="AR988" s="2" t="s">
        <v>74</v>
      </c>
      <c r="AS988" s="2" t="s">
        <v>74</v>
      </c>
      <c r="AT988" s="2" t="s">
        <v>74</v>
      </c>
      <c r="AU988" s="2">
        <v>2005</v>
      </c>
      <c r="AV988" s="2">
        <v>31</v>
      </c>
      <c r="AW988" s="2">
        <v>3</v>
      </c>
      <c r="AX988" s="2" t="s">
        <v>74</v>
      </c>
      <c r="AY988" s="2" t="s">
        <v>74</v>
      </c>
      <c r="AZ988" s="2" t="s">
        <v>74</v>
      </c>
      <c r="BA988" s="2" t="s">
        <v>74</v>
      </c>
      <c r="BB988" s="2">
        <v>271</v>
      </c>
      <c r="BC988" s="2">
        <v>282</v>
      </c>
      <c r="BD988" s="2" t="s">
        <v>74</v>
      </c>
      <c r="BE988" s="2" t="s">
        <v>442</v>
      </c>
      <c r="BF988" s="2" t="str">
        <f>HYPERLINK("http://dx.doi.org/10.1002/ab.20071","http://dx.doi.org/10.1002/ab.20071")</f>
        <v>http://dx.doi.org/10.1002/ab.20071</v>
      </c>
      <c r="BG988" s="2" t="s">
        <v>74</v>
      </c>
      <c r="BH988" s="2" t="s">
        <v>74</v>
      </c>
      <c r="BI988" s="2" t="s">
        <v>74</v>
      </c>
      <c r="BJ988" s="2" t="s">
        <v>74</v>
      </c>
      <c r="BK988" s="2" t="s">
        <v>74</v>
      </c>
      <c r="BL988" s="2" t="s">
        <v>74</v>
      </c>
      <c r="BM988" s="2" t="s">
        <v>74</v>
      </c>
      <c r="BN988" s="2" t="s">
        <v>74</v>
      </c>
      <c r="BO988" s="2" t="s">
        <v>74</v>
      </c>
      <c r="BP988" s="2" t="s">
        <v>74</v>
      </c>
      <c r="BQ988" s="2" t="s">
        <v>74</v>
      </c>
      <c r="BR988" s="2" t="s">
        <v>74</v>
      </c>
      <c r="BS988" s="2" t="s">
        <v>443</v>
      </c>
      <c r="BT988" s="2" t="str">
        <f>HYPERLINK("https%3A%2F%2Fwww.webofscience.com%2Fwos%2Fwoscc%2Ffull-record%2FWOS:000227894100006","View Full Record in Web of Science")</f>
        <v>View Full Record in Web of Science</v>
      </c>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row>
    <row r="989" spans="1:314" s="2" customFormat="1" x14ac:dyDescent="0.4">
      <c r="A989" s="2" t="s">
        <v>72</v>
      </c>
      <c r="B989" s="2" t="s">
        <v>2529</v>
      </c>
      <c r="C989" s="2" t="s">
        <v>74</v>
      </c>
      <c r="D989" s="2" t="s">
        <v>74</v>
      </c>
      <c r="E989" s="2" t="s">
        <v>74</v>
      </c>
      <c r="F989" s="2" t="s">
        <v>2529</v>
      </c>
      <c r="G989" s="2" t="s">
        <v>74</v>
      </c>
      <c r="H989" s="2" t="s">
        <v>74</v>
      </c>
      <c r="I989" s="2" t="s">
        <v>2530</v>
      </c>
      <c r="J989" s="2" t="s">
        <v>108</v>
      </c>
      <c r="K989" s="2" t="s">
        <v>74</v>
      </c>
      <c r="L989" s="2" t="s">
        <v>74</v>
      </c>
      <c r="M989" s="2" t="s">
        <v>74</v>
      </c>
      <c r="N989" s="2" t="s">
        <v>74</v>
      </c>
      <c r="O989" s="2" t="s">
        <v>74</v>
      </c>
      <c r="P989" s="2" t="s">
        <v>74</v>
      </c>
      <c r="Q989" s="2" t="s">
        <v>74</v>
      </c>
      <c r="R989" s="2" t="s">
        <v>74</v>
      </c>
      <c r="S989" s="2" t="s">
        <v>74</v>
      </c>
      <c r="T989" s="2" t="s">
        <v>74</v>
      </c>
      <c r="U989" s="2" t="s">
        <v>74</v>
      </c>
      <c r="V989" s="5" t="s">
        <v>2531</v>
      </c>
      <c r="W989" s="2" t="s">
        <v>74</v>
      </c>
      <c r="X989" s="2" t="s">
        <v>74</v>
      </c>
      <c r="Y989" s="2" t="s">
        <v>74</v>
      </c>
      <c r="Z989" s="2" t="s">
        <v>74</v>
      </c>
      <c r="AA989" s="2" t="s">
        <v>74</v>
      </c>
      <c r="AB989" s="2" t="s">
        <v>74</v>
      </c>
      <c r="AC989" s="2" t="s">
        <v>74</v>
      </c>
      <c r="AD989" s="2" t="s">
        <v>74</v>
      </c>
      <c r="AE989" s="2" t="s">
        <v>74</v>
      </c>
      <c r="AF989" s="2" t="s">
        <v>74</v>
      </c>
      <c r="AG989" s="2" t="s">
        <v>74</v>
      </c>
      <c r="AH989" s="2" t="s">
        <v>74</v>
      </c>
      <c r="AI989" s="2" t="s">
        <v>74</v>
      </c>
      <c r="AJ989" s="2" t="s">
        <v>74</v>
      </c>
      <c r="AK989" s="2" t="s">
        <v>74</v>
      </c>
      <c r="AL989" s="2" t="s">
        <v>74</v>
      </c>
      <c r="AM989" s="2" t="s">
        <v>74</v>
      </c>
      <c r="AN989" s="2" t="s">
        <v>74</v>
      </c>
      <c r="AO989" s="2" t="s">
        <v>111</v>
      </c>
      <c r="AP989" s="2" t="s">
        <v>112</v>
      </c>
      <c r="AQ989" s="2" t="s">
        <v>74</v>
      </c>
      <c r="AR989" s="2" t="s">
        <v>74</v>
      </c>
      <c r="AS989" s="2" t="s">
        <v>74</v>
      </c>
      <c r="AT989" s="2" t="s">
        <v>1210</v>
      </c>
      <c r="AU989" s="2">
        <v>2002</v>
      </c>
      <c r="AV989" s="2">
        <v>269</v>
      </c>
      <c r="AW989" s="2">
        <v>1509</v>
      </c>
      <c r="AX989" s="2" t="s">
        <v>74</v>
      </c>
      <c r="AY989" s="2" t="s">
        <v>74</v>
      </c>
      <c r="AZ989" s="2" t="s">
        <v>74</v>
      </c>
      <c r="BA989" s="2" t="s">
        <v>74</v>
      </c>
      <c r="BB989" s="2">
        <v>2495</v>
      </c>
      <c r="BC989" s="2">
        <v>2502</v>
      </c>
      <c r="BD989" s="2" t="s">
        <v>74</v>
      </c>
      <c r="BE989" s="2" t="s">
        <v>2532</v>
      </c>
      <c r="BF989" s="2" t="str">
        <f>HYPERLINK("http://dx.doi.org/10.1098/rspb.2002.2188","http://dx.doi.org/10.1098/rspb.2002.2188")</f>
        <v>http://dx.doi.org/10.1098/rspb.2002.2188</v>
      </c>
      <c r="BG989" s="2" t="s">
        <v>74</v>
      </c>
      <c r="BH989" s="2" t="s">
        <v>74</v>
      </c>
      <c r="BI989" s="2" t="s">
        <v>74</v>
      </c>
      <c r="BJ989" s="2" t="s">
        <v>74</v>
      </c>
      <c r="BK989" s="2" t="s">
        <v>74</v>
      </c>
      <c r="BL989" s="2" t="s">
        <v>74</v>
      </c>
      <c r="BM989" s="2" t="s">
        <v>74</v>
      </c>
      <c r="BN989" s="2">
        <v>12573062</v>
      </c>
      <c r="BO989" s="2" t="s">
        <v>74</v>
      </c>
      <c r="BP989" s="2" t="s">
        <v>74</v>
      </c>
      <c r="BQ989" s="2" t="s">
        <v>74</v>
      </c>
      <c r="BR989" s="2" t="s">
        <v>74</v>
      </c>
      <c r="BS989" s="2" t="s">
        <v>2533</v>
      </c>
      <c r="BT989" s="2" t="str">
        <f>HYPERLINK("https%3A%2F%2Fwww.webofscience.com%2Fwos%2Fwoscc%2Ffull-record%2FWOS:000180221100001","View Full Record in Web of Science")</f>
        <v>View Full Record in Web of Science</v>
      </c>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row>
    <row r="990" spans="1:314" s="2" customFormat="1" x14ac:dyDescent="0.4">
      <c r="A990" s="2" t="s">
        <v>72</v>
      </c>
      <c r="B990" s="2" t="s">
        <v>2092</v>
      </c>
      <c r="C990" s="2" t="s">
        <v>74</v>
      </c>
      <c r="D990" s="2" t="s">
        <v>74</v>
      </c>
      <c r="E990" s="2" t="s">
        <v>74</v>
      </c>
      <c r="F990" s="2" t="s">
        <v>2093</v>
      </c>
      <c r="G990" s="2" t="s">
        <v>74</v>
      </c>
      <c r="H990" s="2" t="s">
        <v>74</v>
      </c>
      <c r="I990" s="2" t="s">
        <v>2094</v>
      </c>
      <c r="J990" s="2" t="s">
        <v>1743</v>
      </c>
      <c r="K990" s="2" t="s">
        <v>74</v>
      </c>
      <c r="L990" s="2" t="s">
        <v>74</v>
      </c>
      <c r="M990" s="2" t="s">
        <v>74</v>
      </c>
      <c r="N990" s="2" t="s">
        <v>74</v>
      </c>
      <c r="O990" s="2" t="s">
        <v>74</v>
      </c>
      <c r="P990" s="2" t="s">
        <v>74</v>
      </c>
      <c r="Q990" s="2" t="s">
        <v>74</v>
      </c>
      <c r="R990" s="2" t="s">
        <v>74</v>
      </c>
      <c r="S990" s="2" t="s">
        <v>74</v>
      </c>
      <c r="T990" s="2" t="s">
        <v>74</v>
      </c>
      <c r="U990" s="2" t="s">
        <v>74</v>
      </c>
      <c r="V990" s="5" t="s">
        <v>2095</v>
      </c>
      <c r="W990" s="2" t="s">
        <v>74</v>
      </c>
      <c r="X990" s="2" t="s">
        <v>74</v>
      </c>
      <c r="Y990" s="2" t="s">
        <v>74</v>
      </c>
      <c r="Z990" s="2" t="s">
        <v>74</v>
      </c>
      <c r="AA990" s="2" t="s">
        <v>2096</v>
      </c>
      <c r="AB990" s="2" t="s">
        <v>2097</v>
      </c>
      <c r="AC990" s="2" t="s">
        <v>74</v>
      </c>
      <c r="AD990" s="2" t="s">
        <v>74</v>
      </c>
      <c r="AE990" s="2" t="s">
        <v>74</v>
      </c>
      <c r="AF990" s="2" t="s">
        <v>74</v>
      </c>
      <c r="AG990" s="2" t="s">
        <v>74</v>
      </c>
      <c r="AH990" s="2" t="s">
        <v>74</v>
      </c>
      <c r="AI990" s="2" t="s">
        <v>74</v>
      </c>
      <c r="AJ990" s="2" t="s">
        <v>74</v>
      </c>
      <c r="AK990" s="2" t="s">
        <v>74</v>
      </c>
      <c r="AL990" s="2" t="s">
        <v>74</v>
      </c>
      <c r="AM990" s="2" t="s">
        <v>74</v>
      </c>
      <c r="AN990" s="2" t="s">
        <v>74</v>
      </c>
      <c r="AO990" s="2" t="s">
        <v>1746</v>
      </c>
      <c r="AP990" s="2" t="s">
        <v>74</v>
      </c>
      <c r="AQ990" s="2" t="s">
        <v>74</v>
      </c>
      <c r="AR990" s="2" t="s">
        <v>74</v>
      </c>
      <c r="AS990" s="2" t="s">
        <v>74</v>
      </c>
      <c r="AT990" s="2" t="s">
        <v>633</v>
      </c>
      <c r="AU990" s="2">
        <v>2023</v>
      </c>
      <c r="AV990" s="2">
        <v>40</v>
      </c>
      <c r="AW990" s="2">
        <v>2</v>
      </c>
      <c r="AX990" s="2" t="s">
        <v>74</v>
      </c>
      <c r="AY990" s="2" t="s">
        <v>74</v>
      </c>
      <c r="AZ990" s="2" t="s">
        <v>74</v>
      </c>
      <c r="BA990" s="2" t="s">
        <v>74</v>
      </c>
      <c r="BB990" s="2">
        <v>168</v>
      </c>
      <c r="BC990" s="2">
        <v>174</v>
      </c>
      <c r="BD990" s="2" t="s">
        <v>74</v>
      </c>
      <c r="BE990" s="2" t="s">
        <v>2098</v>
      </c>
      <c r="BF990" s="2" t="str">
        <f>HYPERLINK("http://dx.doi.org/10.2108/zs220088","http://dx.doi.org/10.2108/zs220088")</f>
        <v>http://dx.doi.org/10.2108/zs220088</v>
      </c>
      <c r="BG990" s="2" t="s">
        <v>74</v>
      </c>
      <c r="BH990" s="2" t="s">
        <v>74</v>
      </c>
      <c r="BI990" s="2" t="s">
        <v>74</v>
      </c>
      <c r="BJ990" s="2" t="s">
        <v>74</v>
      </c>
      <c r="BK990" s="2" t="s">
        <v>74</v>
      </c>
      <c r="BL990" s="2" t="s">
        <v>74</v>
      </c>
      <c r="BM990" s="2" t="s">
        <v>74</v>
      </c>
      <c r="BN990" s="2">
        <v>37042696</v>
      </c>
      <c r="BO990" s="2" t="s">
        <v>74</v>
      </c>
      <c r="BP990" s="2" t="s">
        <v>74</v>
      </c>
      <c r="BQ990" s="2" t="s">
        <v>74</v>
      </c>
      <c r="BR990" s="2" t="s">
        <v>74</v>
      </c>
      <c r="BS990" s="2" t="s">
        <v>2099</v>
      </c>
      <c r="BT990" s="2" t="str">
        <f>HYPERLINK("https%3A%2F%2Fwww.webofscience.com%2Fwos%2Fwoscc%2Ffull-record%2FWOS:000963816400010","View Full Record in Web of Science")</f>
        <v>View Full Record in Web of Science</v>
      </c>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row>
    <row r="991" spans="1:314" s="2" customFormat="1" x14ac:dyDescent="0.4">
      <c r="A991" s="2" t="s">
        <v>72</v>
      </c>
      <c r="B991" s="2" t="s">
        <v>7311</v>
      </c>
      <c r="C991" s="2" t="s">
        <v>74</v>
      </c>
      <c r="D991" s="2" t="s">
        <v>74</v>
      </c>
      <c r="E991" s="2" t="s">
        <v>74</v>
      </c>
      <c r="F991" s="2" t="s">
        <v>7312</v>
      </c>
      <c r="G991" s="2" t="s">
        <v>74</v>
      </c>
      <c r="H991" s="2" t="s">
        <v>74</v>
      </c>
      <c r="I991" s="2" t="s">
        <v>7313</v>
      </c>
      <c r="J991" s="2" t="s">
        <v>1526</v>
      </c>
      <c r="K991" s="2" t="s">
        <v>74</v>
      </c>
      <c r="L991" s="2" t="s">
        <v>74</v>
      </c>
      <c r="M991" s="2" t="s">
        <v>74</v>
      </c>
      <c r="N991" s="2" t="s">
        <v>74</v>
      </c>
      <c r="O991" s="2" t="s">
        <v>74</v>
      </c>
      <c r="P991" s="2" t="s">
        <v>74</v>
      </c>
      <c r="Q991" s="2" t="s">
        <v>74</v>
      </c>
      <c r="R991" s="2" t="s">
        <v>74</v>
      </c>
      <c r="S991" s="2" t="s">
        <v>74</v>
      </c>
      <c r="T991" s="2" t="s">
        <v>74</v>
      </c>
      <c r="U991" s="2" t="s">
        <v>74</v>
      </c>
      <c r="V991" s="5" t="s">
        <v>7314</v>
      </c>
      <c r="W991" s="2" t="s">
        <v>74</v>
      </c>
      <c r="X991" s="2" t="s">
        <v>74</v>
      </c>
      <c r="Y991" s="2" t="s">
        <v>74</v>
      </c>
      <c r="Z991" s="2" t="s">
        <v>74</v>
      </c>
      <c r="AA991" s="2" t="s">
        <v>74</v>
      </c>
      <c r="AB991" s="2" t="s">
        <v>74</v>
      </c>
      <c r="AC991" s="2" t="s">
        <v>74</v>
      </c>
      <c r="AD991" s="2" t="s">
        <v>74</v>
      </c>
      <c r="AE991" s="2" t="s">
        <v>74</v>
      </c>
      <c r="AF991" s="2" t="s">
        <v>74</v>
      </c>
      <c r="AG991" s="2" t="s">
        <v>74</v>
      </c>
      <c r="AH991" s="2" t="s">
        <v>74</v>
      </c>
      <c r="AI991" s="2" t="s">
        <v>74</v>
      </c>
      <c r="AJ991" s="2" t="s">
        <v>74</v>
      </c>
      <c r="AK991" s="2" t="s">
        <v>74</v>
      </c>
      <c r="AL991" s="2" t="s">
        <v>74</v>
      </c>
      <c r="AM991" s="2" t="s">
        <v>74</v>
      </c>
      <c r="AN991" s="2" t="s">
        <v>74</v>
      </c>
      <c r="AO991" s="2" t="s">
        <v>1528</v>
      </c>
      <c r="AP991" s="2" t="s">
        <v>74</v>
      </c>
      <c r="AQ991" s="2" t="s">
        <v>74</v>
      </c>
      <c r="AR991" s="2" t="s">
        <v>74</v>
      </c>
      <c r="AS991" s="2" t="s">
        <v>74</v>
      </c>
      <c r="AT991" s="2" t="s">
        <v>134</v>
      </c>
      <c r="AU991" s="2">
        <v>2007</v>
      </c>
      <c r="AV991" s="2">
        <v>109</v>
      </c>
      <c r="AW991" s="2">
        <v>2</v>
      </c>
      <c r="AX991" s="2" t="s">
        <v>74</v>
      </c>
      <c r="AY991" s="2" t="s">
        <v>74</v>
      </c>
      <c r="AZ991" s="2" t="s">
        <v>74</v>
      </c>
      <c r="BA991" s="2" t="s">
        <v>74</v>
      </c>
      <c r="BB991" s="2">
        <v>475</v>
      </c>
      <c r="BC991" s="2">
        <v>480</v>
      </c>
      <c r="BD991" s="2" t="s">
        <v>74</v>
      </c>
      <c r="BE991" s="2" t="s">
        <v>7315</v>
      </c>
      <c r="BF991" s="2" t="str">
        <f>HYPERLINK("http://dx.doi.org/10.1650/0010-5422(2007)109[475:WFNTDB]2.0.CO;2","http://dx.doi.org/10.1650/0010-5422(2007)109[475:WFNTDB]2.0.CO;2")</f>
        <v>http://dx.doi.org/10.1650/0010-5422(2007)109[475:WFNTDB]2.0.CO;2</v>
      </c>
      <c r="BG991" s="2" t="s">
        <v>74</v>
      </c>
      <c r="BH991" s="2" t="s">
        <v>74</v>
      </c>
      <c r="BI991" s="2" t="s">
        <v>74</v>
      </c>
      <c r="BJ991" s="2" t="s">
        <v>74</v>
      </c>
      <c r="BK991" s="2" t="s">
        <v>74</v>
      </c>
      <c r="BL991" s="2" t="s">
        <v>74</v>
      </c>
      <c r="BM991" s="2" t="s">
        <v>74</v>
      </c>
      <c r="BN991" s="2" t="s">
        <v>74</v>
      </c>
      <c r="BO991" s="2" t="s">
        <v>74</v>
      </c>
      <c r="BP991" s="2" t="s">
        <v>74</v>
      </c>
      <c r="BQ991" s="2" t="s">
        <v>74</v>
      </c>
      <c r="BR991" s="2" t="s">
        <v>74</v>
      </c>
      <c r="BS991" s="2" t="s">
        <v>7316</v>
      </c>
      <c r="BT991" s="2" t="str">
        <f>HYPERLINK("https%3A%2F%2Fwww.webofscience.com%2Fwos%2Fwoscc%2Ffull-record%2FWOS:000246603900024","View Full Record in Web of Science")</f>
        <v>View Full Record in Web of Science</v>
      </c>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row>
    <row r="992" spans="1:314" s="2" customFormat="1" x14ac:dyDescent="0.4">
      <c r="A992" s="2" t="s">
        <v>72</v>
      </c>
      <c r="B992" s="2" t="s">
        <v>745</v>
      </c>
      <c r="C992" s="2" t="s">
        <v>74</v>
      </c>
      <c r="D992" s="2" t="s">
        <v>74</v>
      </c>
      <c r="E992" s="2" t="s">
        <v>74</v>
      </c>
      <c r="F992" s="2" t="s">
        <v>746</v>
      </c>
      <c r="G992" s="2" t="s">
        <v>74</v>
      </c>
      <c r="H992" s="2" t="s">
        <v>74</v>
      </c>
      <c r="I992" s="2" t="s">
        <v>747</v>
      </c>
      <c r="J992" s="2" t="s">
        <v>748</v>
      </c>
      <c r="K992" s="2" t="s">
        <v>74</v>
      </c>
      <c r="L992" s="2" t="s">
        <v>74</v>
      </c>
      <c r="M992" s="2" t="s">
        <v>74</v>
      </c>
      <c r="N992" s="2" t="s">
        <v>74</v>
      </c>
      <c r="O992" s="2" t="s">
        <v>74</v>
      </c>
      <c r="P992" s="2" t="s">
        <v>74</v>
      </c>
      <c r="Q992" s="2" t="s">
        <v>74</v>
      </c>
      <c r="R992" s="2" t="s">
        <v>74</v>
      </c>
      <c r="S992" s="2" t="s">
        <v>74</v>
      </c>
      <c r="T992" s="2" t="s">
        <v>74</v>
      </c>
      <c r="U992" s="2" t="s">
        <v>74</v>
      </c>
      <c r="V992" s="5" t="s">
        <v>749</v>
      </c>
      <c r="W992" s="2" t="s">
        <v>74</v>
      </c>
      <c r="X992" s="2" t="s">
        <v>74</v>
      </c>
      <c r="Y992" s="2" t="s">
        <v>74</v>
      </c>
      <c r="Z992" s="2" t="s">
        <v>74</v>
      </c>
      <c r="AA992" s="2" t="s">
        <v>74</v>
      </c>
      <c r="AB992" s="2" t="s">
        <v>74</v>
      </c>
      <c r="AC992" s="2" t="s">
        <v>74</v>
      </c>
      <c r="AD992" s="2" t="s">
        <v>74</v>
      </c>
      <c r="AE992" s="2" t="s">
        <v>74</v>
      </c>
      <c r="AF992" s="2" t="s">
        <v>74</v>
      </c>
      <c r="AG992" s="2" t="s">
        <v>74</v>
      </c>
      <c r="AH992" s="2" t="s">
        <v>74</v>
      </c>
      <c r="AI992" s="2" t="s">
        <v>74</v>
      </c>
      <c r="AJ992" s="2" t="s">
        <v>74</v>
      </c>
      <c r="AK992" s="2" t="s">
        <v>74</v>
      </c>
      <c r="AL992" s="2" t="s">
        <v>74</v>
      </c>
      <c r="AM992" s="2" t="s">
        <v>74</v>
      </c>
      <c r="AN992" s="2" t="s">
        <v>74</v>
      </c>
      <c r="AO992" s="2" t="s">
        <v>750</v>
      </c>
      <c r="AP992" s="2" t="s">
        <v>74</v>
      </c>
      <c r="AQ992" s="2" t="s">
        <v>74</v>
      </c>
      <c r="AR992" s="2" t="s">
        <v>74</v>
      </c>
      <c r="AS992" s="2" t="s">
        <v>74</v>
      </c>
      <c r="AT992" s="2" t="s">
        <v>255</v>
      </c>
      <c r="AU992" s="2">
        <v>2022</v>
      </c>
      <c r="AV992" s="2">
        <v>21</v>
      </c>
      <c r="AW992" s="2">
        <v>1</v>
      </c>
      <c r="AX992" s="2" t="s">
        <v>74</v>
      </c>
      <c r="AY992" s="2" t="s">
        <v>74</v>
      </c>
      <c r="AZ992" s="2" t="s">
        <v>74</v>
      </c>
      <c r="BA992" s="2" t="s">
        <v>74</v>
      </c>
      <c r="BB992" s="2">
        <v>45</v>
      </c>
      <c r="BC992" s="2">
        <v>52</v>
      </c>
      <c r="BD992" s="2" t="s">
        <v>74</v>
      </c>
      <c r="BE992" s="2" t="s">
        <v>74</v>
      </c>
      <c r="BF992" s="2" t="s">
        <v>74</v>
      </c>
      <c r="BG992" s="2" t="s">
        <v>74</v>
      </c>
      <c r="BH992" s="2" t="s">
        <v>74</v>
      </c>
      <c r="BI992" s="2" t="s">
        <v>74</v>
      </c>
      <c r="BJ992" s="2" t="s">
        <v>74</v>
      </c>
      <c r="BK992" s="2" t="s">
        <v>74</v>
      </c>
      <c r="BL992" s="2" t="s">
        <v>74</v>
      </c>
      <c r="BM992" s="2" t="s">
        <v>74</v>
      </c>
      <c r="BN992" s="2" t="s">
        <v>74</v>
      </c>
      <c r="BO992" s="2" t="s">
        <v>74</v>
      </c>
      <c r="BP992" s="2" t="s">
        <v>74</v>
      </c>
      <c r="BQ992" s="2" t="s">
        <v>74</v>
      </c>
      <c r="BR992" s="2" t="s">
        <v>74</v>
      </c>
      <c r="BS992" s="2" t="s">
        <v>751</v>
      </c>
      <c r="BT992" s="2" t="str">
        <f>HYPERLINK("https%3A%2F%2Fwww.webofscience.com%2Fwos%2Fwoscc%2Ffull-record%2FWOS:000752459100006","View Full Record in Web of Science")</f>
        <v>View Full Record in Web of Science</v>
      </c>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row>
    <row r="993" spans="1:314" s="2" customFormat="1" x14ac:dyDescent="0.4">
      <c r="A993" s="2" t="s">
        <v>72</v>
      </c>
      <c r="B993" s="2" t="s">
        <v>1946</v>
      </c>
      <c r="C993" s="2" t="s">
        <v>74</v>
      </c>
      <c r="D993" s="2" t="s">
        <v>74</v>
      </c>
      <c r="E993" s="2" t="s">
        <v>74</v>
      </c>
      <c r="F993" s="2" t="s">
        <v>1947</v>
      </c>
      <c r="G993" s="2" t="s">
        <v>74</v>
      </c>
      <c r="H993" s="2" t="s">
        <v>74</v>
      </c>
      <c r="I993" s="2" t="s">
        <v>1948</v>
      </c>
      <c r="J993" s="2" t="s">
        <v>1949</v>
      </c>
      <c r="K993" s="2" t="s">
        <v>74</v>
      </c>
      <c r="L993" s="2" t="s">
        <v>74</v>
      </c>
      <c r="M993" s="2" t="s">
        <v>74</v>
      </c>
      <c r="N993" s="2" t="s">
        <v>74</v>
      </c>
      <c r="O993" s="2" t="s">
        <v>74</v>
      </c>
      <c r="P993" s="2" t="s">
        <v>74</v>
      </c>
      <c r="Q993" s="2" t="s">
        <v>74</v>
      </c>
      <c r="R993" s="2" t="s">
        <v>74</v>
      </c>
      <c r="S993" s="2" t="s">
        <v>74</v>
      </c>
      <c r="T993" s="2" t="s">
        <v>74</v>
      </c>
      <c r="U993" s="2" t="s">
        <v>74</v>
      </c>
      <c r="V993" s="5" t="s">
        <v>1950</v>
      </c>
      <c r="W993" s="2" t="s">
        <v>74</v>
      </c>
      <c r="X993" s="2" t="s">
        <v>74</v>
      </c>
      <c r="Y993" s="2" t="s">
        <v>74</v>
      </c>
      <c r="Z993" s="2" t="s">
        <v>74</v>
      </c>
      <c r="AA993" s="2" t="s">
        <v>1951</v>
      </c>
      <c r="AB993" s="2" t="s">
        <v>1952</v>
      </c>
      <c r="AC993" s="2" t="s">
        <v>74</v>
      </c>
      <c r="AD993" s="2" t="s">
        <v>74</v>
      </c>
      <c r="AE993" s="2" t="s">
        <v>74</v>
      </c>
      <c r="AF993" s="2" t="s">
        <v>74</v>
      </c>
      <c r="AG993" s="2" t="s">
        <v>74</v>
      </c>
      <c r="AH993" s="2" t="s">
        <v>74</v>
      </c>
      <c r="AI993" s="2" t="s">
        <v>74</v>
      </c>
      <c r="AJ993" s="2" t="s">
        <v>74</v>
      </c>
      <c r="AK993" s="2" t="s">
        <v>74</v>
      </c>
      <c r="AL993" s="2" t="s">
        <v>74</v>
      </c>
      <c r="AM993" s="2" t="s">
        <v>74</v>
      </c>
      <c r="AN993" s="2" t="s">
        <v>74</v>
      </c>
      <c r="AO993" s="2" t="s">
        <v>74</v>
      </c>
      <c r="AP993" s="2" t="s">
        <v>1953</v>
      </c>
      <c r="AQ993" s="2" t="s">
        <v>74</v>
      </c>
      <c r="AR993" s="2" t="s">
        <v>74</v>
      </c>
      <c r="AS993" s="2" t="s">
        <v>74</v>
      </c>
      <c r="AT993" s="2" t="s">
        <v>123</v>
      </c>
      <c r="AU993" s="2">
        <v>2023</v>
      </c>
      <c r="AV993" s="2">
        <v>14</v>
      </c>
      <c r="AW993" s="2">
        <v>3</v>
      </c>
      <c r="AX993" s="2" t="s">
        <v>74</v>
      </c>
      <c r="AY993" s="2" t="s">
        <v>74</v>
      </c>
      <c r="AZ993" s="2" t="s">
        <v>74</v>
      </c>
      <c r="BA993" s="2" t="s">
        <v>74</v>
      </c>
      <c r="BB993" s="2" t="s">
        <v>74</v>
      </c>
      <c r="BC993" s="2" t="s">
        <v>74</v>
      </c>
      <c r="BD993" s="2">
        <v>227</v>
      </c>
      <c r="BE993" s="2" t="s">
        <v>1954</v>
      </c>
      <c r="BF993" s="2" t="str">
        <f>HYPERLINK("http://dx.doi.org/10.3390/insects14030227","http://dx.doi.org/10.3390/insects14030227")</f>
        <v>http://dx.doi.org/10.3390/insects14030227</v>
      </c>
      <c r="BG993" s="2" t="s">
        <v>74</v>
      </c>
      <c r="BH993" s="2" t="s">
        <v>74</v>
      </c>
      <c r="BI993" s="2" t="s">
        <v>74</v>
      </c>
      <c r="BJ993" s="2" t="s">
        <v>74</v>
      </c>
      <c r="BK993" s="2" t="s">
        <v>74</v>
      </c>
      <c r="BL993" s="2" t="s">
        <v>74</v>
      </c>
      <c r="BM993" s="2" t="s">
        <v>74</v>
      </c>
      <c r="BN993" s="2">
        <v>36975912</v>
      </c>
      <c r="BO993" s="2" t="s">
        <v>74</v>
      </c>
      <c r="BP993" s="2" t="s">
        <v>74</v>
      </c>
      <c r="BQ993" s="2" t="s">
        <v>74</v>
      </c>
      <c r="BR993" s="2" t="s">
        <v>74</v>
      </c>
      <c r="BS993" s="2" t="s">
        <v>1955</v>
      </c>
      <c r="BT993" s="2" t="str">
        <f>HYPERLINK("https%3A%2F%2Fwww.webofscience.com%2Fwos%2Fwoscc%2Ffull-record%2FWOS:000955456800001","View Full Record in Web of Science")</f>
        <v>View Full Record in Web of Science</v>
      </c>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row>
    <row r="994" spans="1:314" s="2" customFormat="1" x14ac:dyDescent="0.4">
      <c r="A994" s="2" t="s">
        <v>72</v>
      </c>
      <c r="B994" s="2" t="s">
        <v>8058</v>
      </c>
      <c r="C994" s="2" t="s">
        <v>74</v>
      </c>
      <c r="D994" s="2" t="s">
        <v>74</v>
      </c>
      <c r="E994" s="2" t="s">
        <v>74</v>
      </c>
      <c r="F994" s="2" t="s">
        <v>8058</v>
      </c>
      <c r="G994" s="2" t="s">
        <v>74</v>
      </c>
      <c r="H994" s="2" t="s">
        <v>74</v>
      </c>
      <c r="I994" s="2" t="s">
        <v>8059</v>
      </c>
      <c r="J994" s="2" t="s">
        <v>8060</v>
      </c>
      <c r="K994" s="2" t="s">
        <v>74</v>
      </c>
      <c r="L994" s="2" t="s">
        <v>74</v>
      </c>
      <c r="M994" s="2" t="s">
        <v>74</v>
      </c>
      <c r="N994" s="2" t="s">
        <v>74</v>
      </c>
      <c r="O994" s="2" t="s">
        <v>74</v>
      </c>
      <c r="P994" s="2" t="s">
        <v>74</v>
      </c>
      <c r="Q994" s="2" t="s">
        <v>74</v>
      </c>
      <c r="R994" s="2" t="s">
        <v>74</v>
      </c>
      <c r="S994" s="2" t="s">
        <v>74</v>
      </c>
      <c r="T994" s="2" t="s">
        <v>74</v>
      </c>
      <c r="U994" s="2" t="s">
        <v>74</v>
      </c>
      <c r="V994" s="5" t="s">
        <v>8061</v>
      </c>
      <c r="W994" s="2" t="s">
        <v>74</v>
      </c>
      <c r="X994" s="2" t="s">
        <v>74</v>
      </c>
      <c r="Y994" s="2" t="s">
        <v>74</v>
      </c>
      <c r="Z994" s="2" t="s">
        <v>74</v>
      </c>
      <c r="AA994" s="2" t="s">
        <v>74</v>
      </c>
      <c r="AB994" s="2" t="s">
        <v>74</v>
      </c>
      <c r="AC994" s="2" t="s">
        <v>74</v>
      </c>
      <c r="AD994" s="2" t="s">
        <v>74</v>
      </c>
      <c r="AE994" s="2" t="s">
        <v>74</v>
      </c>
      <c r="AF994" s="2" t="s">
        <v>74</v>
      </c>
      <c r="AG994" s="2" t="s">
        <v>74</v>
      </c>
      <c r="AH994" s="2" t="s">
        <v>74</v>
      </c>
      <c r="AI994" s="2" t="s">
        <v>74</v>
      </c>
      <c r="AJ994" s="2" t="s">
        <v>74</v>
      </c>
      <c r="AK994" s="2" t="s">
        <v>74</v>
      </c>
      <c r="AL994" s="2" t="s">
        <v>74</v>
      </c>
      <c r="AM994" s="2" t="s">
        <v>74</v>
      </c>
      <c r="AN994" s="2" t="s">
        <v>74</v>
      </c>
      <c r="AO994" s="2" t="s">
        <v>8062</v>
      </c>
      <c r="AP994" s="2" t="s">
        <v>74</v>
      </c>
      <c r="AQ994" s="2" t="s">
        <v>74</v>
      </c>
      <c r="AR994" s="2" t="s">
        <v>74</v>
      </c>
      <c r="AS994" s="2" t="s">
        <v>74</v>
      </c>
      <c r="AT994" s="2" t="s">
        <v>352</v>
      </c>
      <c r="AU994" s="2">
        <v>2002</v>
      </c>
      <c r="AV994" s="2">
        <v>104</v>
      </c>
      <c r="AW994" s="2">
        <v>3</v>
      </c>
      <c r="AX994" s="2" t="s">
        <v>74</v>
      </c>
      <c r="AY994" s="2" t="s">
        <v>74</v>
      </c>
      <c r="AZ994" s="2" t="s">
        <v>74</v>
      </c>
      <c r="BA994" s="2" t="s">
        <v>74</v>
      </c>
      <c r="BB994" s="2">
        <v>353</v>
      </c>
      <c r="BC994" s="2">
        <v>360</v>
      </c>
      <c r="BD994" s="2" t="s">
        <v>74</v>
      </c>
      <c r="BE994" s="2" t="s">
        <v>74</v>
      </c>
      <c r="BF994" s="2" t="s">
        <v>74</v>
      </c>
      <c r="BG994" s="2" t="s">
        <v>74</v>
      </c>
      <c r="BH994" s="2" t="s">
        <v>74</v>
      </c>
      <c r="BI994" s="2" t="s">
        <v>74</v>
      </c>
      <c r="BJ994" s="2" t="s">
        <v>74</v>
      </c>
      <c r="BK994" s="2" t="s">
        <v>74</v>
      </c>
      <c r="BL994" s="2" t="s">
        <v>74</v>
      </c>
      <c r="BM994" s="2" t="s">
        <v>74</v>
      </c>
      <c r="BN994" s="2" t="s">
        <v>74</v>
      </c>
      <c r="BO994" s="2" t="s">
        <v>74</v>
      </c>
      <c r="BP994" s="2" t="s">
        <v>74</v>
      </c>
      <c r="BQ994" s="2" t="s">
        <v>74</v>
      </c>
      <c r="BR994" s="2" t="s">
        <v>74</v>
      </c>
      <c r="BS994" s="2" t="s">
        <v>8063</v>
      </c>
      <c r="BT994" s="2" t="str">
        <f>HYPERLINK("https%3A%2F%2Fwww.webofscience.com%2Fwos%2Fwoscc%2Ffull-record%2FWOS:000179601800016","View Full Record in Web of Science")</f>
        <v>View Full Record in Web of Science</v>
      </c>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row>
    <row r="995" spans="1:314" s="2" customFormat="1" x14ac:dyDescent="0.4">
      <c r="A995" s="2" t="s">
        <v>72</v>
      </c>
      <c r="B995" s="2" t="s">
        <v>1707</v>
      </c>
      <c r="C995" s="2" t="s">
        <v>74</v>
      </c>
      <c r="D995" s="2" t="s">
        <v>74</v>
      </c>
      <c r="E995" s="2" t="s">
        <v>74</v>
      </c>
      <c r="F995" s="2" t="s">
        <v>1708</v>
      </c>
      <c r="G995" s="2" t="s">
        <v>74</v>
      </c>
      <c r="H995" s="2" t="s">
        <v>74</v>
      </c>
      <c r="I995" s="2" t="s">
        <v>1709</v>
      </c>
      <c r="J995" s="2" t="s">
        <v>119</v>
      </c>
      <c r="K995" s="2" t="s">
        <v>74</v>
      </c>
      <c r="L995" s="2" t="s">
        <v>74</v>
      </c>
      <c r="M995" s="2" t="s">
        <v>74</v>
      </c>
      <c r="N995" s="2" t="s">
        <v>74</v>
      </c>
      <c r="O995" s="2" t="s">
        <v>74</v>
      </c>
      <c r="P995" s="2" t="s">
        <v>74</v>
      </c>
      <c r="Q995" s="2" t="s">
        <v>74</v>
      </c>
      <c r="R995" s="2" t="s">
        <v>74</v>
      </c>
      <c r="S995" s="2" t="s">
        <v>74</v>
      </c>
      <c r="T995" s="2" t="s">
        <v>74</v>
      </c>
      <c r="U995" s="2" t="s">
        <v>74</v>
      </c>
      <c r="V995" s="5" t="s">
        <v>1710</v>
      </c>
      <c r="W995" s="2" t="s">
        <v>74</v>
      </c>
      <c r="X995" s="2" t="s">
        <v>74</v>
      </c>
      <c r="Y995" s="2" t="s">
        <v>74</v>
      </c>
      <c r="Z995" s="2" t="s">
        <v>74</v>
      </c>
      <c r="AA995" s="2" t="s">
        <v>379</v>
      </c>
      <c r="AB995" s="2" t="s">
        <v>74</v>
      </c>
      <c r="AC995" s="2" t="s">
        <v>74</v>
      </c>
      <c r="AD995" s="2" t="s">
        <v>74</v>
      </c>
      <c r="AE995" s="2" t="s">
        <v>74</v>
      </c>
      <c r="AF995" s="2" t="s">
        <v>74</v>
      </c>
      <c r="AG995" s="2" t="s">
        <v>74</v>
      </c>
      <c r="AH995" s="2" t="s">
        <v>74</v>
      </c>
      <c r="AI995" s="2" t="s">
        <v>74</v>
      </c>
      <c r="AJ995" s="2" t="s">
        <v>74</v>
      </c>
      <c r="AK995" s="2" t="s">
        <v>74</v>
      </c>
      <c r="AL995" s="2" t="s">
        <v>74</v>
      </c>
      <c r="AM995" s="2" t="s">
        <v>74</v>
      </c>
      <c r="AN995" s="2" t="s">
        <v>74</v>
      </c>
      <c r="AO995" s="2" t="s">
        <v>121</v>
      </c>
      <c r="AP995" s="2" t="s">
        <v>122</v>
      </c>
      <c r="AQ995" s="2" t="s">
        <v>74</v>
      </c>
      <c r="AR995" s="2" t="s">
        <v>74</v>
      </c>
      <c r="AS995" s="2" t="s">
        <v>74</v>
      </c>
      <c r="AT995" s="2" t="s">
        <v>255</v>
      </c>
      <c r="AU995" s="2">
        <v>2020</v>
      </c>
      <c r="AV995" s="2">
        <v>170</v>
      </c>
      <c r="AW995" s="2" t="s">
        <v>74</v>
      </c>
      <c r="AX995" s="2" t="s">
        <v>74</v>
      </c>
      <c r="AY995" s="2" t="s">
        <v>74</v>
      </c>
      <c r="AZ995" s="2" t="s">
        <v>74</v>
      </c>
      <c r="BA995" s="2" t="s">
        <v>74</v>
      </c>
      <c r="BB995" s="2" t="s">
        <v>74</v>
      </c>
      <c r="BC995" s="2" t="s">
        <v>74</v>
      </c>
      <c r="BD995" s="2">
        <v>104013</v>
      </c>
      <c r="BE995" s="2" t="s">
        <v>1711</v>
      </c>
      <c r="BF995" s="2" t="str">
        <f>HYPERLINK("http://dx.doi.org/10.1016/j.beproc.2019.104013","http://dx.doi.org/10.1016/j.beproc.2019.104013")</f>
        <v>http://dx.doi.org/10.1016/j.beproc.2019.104013</v>
      </c>
      <c r="BG995" s="2" t="s">
        <v>74</v>
      </c>
      <c r="BH995" s="2" t="s">
        <v>74</v>
      </c>
      <c r="BI995" s="2" t="s">
        <v>74</v>
      </c>
      <c r="BJ995" s="2" t="s">
        <v>74</v>
      </c>
      <c r="BK995" s="2" t="s">
        <v>74</v>
      </c>
      <c r="BL995" s="2" t="s">
        <v>74</v>
      </c>
      <c r="BM995" s="2" t="s">
        <v>74</v>
      </c>
      <c r="BN995" s="2">
        <v>31751600</v>
      </c>
      <c r="BO995" s="2" t="s">
        <v>74</v>
      </c>
      <c r="BP995" s="2" t="s">
        <v>74</v>
      </c>
      <c r="BQ995" s="2" t="s">
        <v>74</v>
      </c>
      <c r="BR995" s="2" t="s">
        <v>74</v>
      </c>
      <c r="BS995" s="2" t="s">
        <v>1712</v>
      </c>
      <c r="BT995" s="2" t="str">
        <f>HYPERLINK("https%3A%2F%2Fwww.webofscience.com%2Fwos%2Fwoscc%2Ffull-record%2FWOS:000519226600012","View Full Record in Web of Science")</f>
        <v>View Full Record in Web of Science</v>
      </c>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row>
    <row r="996" spans="1:314" s="2" customFormat="1" x14ac:dyDescent="0.4">
      <c r="A996" s="2" t="s">
        <v>72</v>
      </c>
      <c r="B996" s="2" t="s">
        <v>189</v>
      </c>
      <c r="C996" s="2" t="s">
        <v>74</v>
      </c>
      <c r="D996" s="2" t="s">
        <v>74</v>
      </c>
      <c r="E996" s="2" t="s">
        <v>74</v>
      </c>
      <c r="F996" s="2" t="s">
        <v>190</v>
      </c>
      <c r="G996" s="2" t="s">
        <v>74</v>
      </c>
      <c r="H996" s="2" t="s">
        <v>74</v>
      </c>
      <c r="I996" s="2" t="s">
        <v>191</v>
      </c>
      <c r="J996" s="2" t="s">
        <v>192</v>
      </c>
      <c r="K996" s="2" t="s">
        <v>74</v>
      </c>
      <c r="L996" s="2" t="s">
        <v>74</v>
      </c>
      <c r="M996" s="2" t="s">
        <v>74</v>
      </c>
      <c r="N996" s="2" t="s">
        <v>74</v>
      </c>
      <c r="O996" s="2" t="s">
        <v>74</v>
      </c>
      <c r="P996" s="2" t="s">
        <v>74</v>
      </c>
      <c r="Q996" s="2" t="s">
        <v>74</v>
      </c>
      <c r="R996" s="2" t="s">
        <v>74</v>
      </c>
      <c r="S996" s="2" t="s">
        <v>74</v>
      </c>
      <c r="T996" s="2" t="s">
        <v>74</v>
      </c>
      <c r="U996" s="2" t="s">
        <v>74</v>
      </c>
      <c r="V996" s="5" t="s">
        <v>193</v>
      </c>
      <c r="W996" s="2" t="s">
        <v>74</v>
      </c>
      <c r="X996" s="2" t="s">
        <v>74</v>
      </c>
      <c r="Y996" s="2" t="s">
        <v>74</v>
      </c>
      <c r="Z996" s="2" t="s">
        <v>74</v>
      </c>
      <c r="AA996" s="2" t="s">
        <v>163</v>
      </c>
      <c r="AB996" s="2" t="s">
        <v>194</v>
      </c>
      <c r="AC996" s="2" t="s">
        <v>74</v>
      </c>
      <c r="AD996" s="2" t="s">
        <v>74</v>
      </c>
      <c r="AE996" s="2" t="s">
        <v>74</v>
      </c>
      <c r="AF996" s="2" t="s">
        <v>74</v>
      </c>
      <c r="AG996" s="2" t="s">
        <v>74</v>
      </c>
      <c r="AH996" s="2" t="s">
        <v>74</v>
      </c>
      <c r="AI996" s="2" t="s">
        <v>74</v>
      </c>
      <c r="AJ996" s="2" t="s">
        <v>74</v>
      </c>
      <c r="AK996" s="2" t="s">
        <v>74</v>
      </c>
      <c r="AL996" s="2" t="s">
        <v>74</v>
      </c>
      <c r="AM996" s="2" t="s">
        <v>74</v>
      </c>
      <c r="AN996" s="2" t="s">
        <v>74</v>
      </c>
      <c r="AO996" s="2" t="s">
        <v>195</v>
      </c>
      <c r="AP996" s="2" t="s">
        <v>196</v>
      </c>
      <c r="AQ996" s="2" t="s">
        <v>74</v>
      </c>
      <c r="AR996" s="2" t="s">
        <v>74</v>
      </c>
      <c r="AS996" s="2" t="s">
        <v>74</v>
      </c>
      <c r="AT996" s="2" t="s">
        <v>134</v>
      </c>
      <c r="AU996" s="2">
        <v>2017</v>
      </c>
      <c r="AV996" s="2">
        <v>791</v>
      </c>
      <c r="AW996" s="2">
        <v>1</v>
      </c>
      <c r="AX996" s="2" t="s">
        <v>74</v>
      </c>
      <c r="AY996" s="2" t="s">
        <v>74</v>
      </c>
      <c r="AZ996" s="2" t="s">
        <v>74</v>
      </c>
      <c r="BA996" s="2" t="s">
        <v>74</v>
      </c>
      <c r="BB996" s="2">
        <v>237</v>
      </c>
      <c r="BC996" s="2">
        <v>245</v>
      </c>
      <c r="BD996" s="2" t="s">
        <v>74</v>
      </c>
      <c r="BE996" s="2" t="s">
        <v>197</v>
      </c>
      <c r="BF996" s="2" t="str">
        <f>HYPERLINK("http://dx.doi.org/10.1007/s10750-016-2889-1","http://dx.doi.org/10.1007/s10750-016-2889-1")</f>
        <v>http://dx.doi.org/10.1007/s10750-016-2889-1</v>
      </c>
      <c r="BG996" s="2" t="s">
        <v>74</v>
      </c>
      <c r="BH996" s="2" t="s">
        <v>74</v>
      </c>
      <c r="BI996" s="2" t="s">
        <v>74</v>
      </c>
      <c r="BJ996" s="2" t="s">
        <v>74</v>
      </c>
      <c r="BK996" s="2" t="s">
        <v>74</v>
      </c>
      <c r="BL996" s="2" t="s">
        <v>74</v>
      </c>
      <c r="BM996" s="2" t="s">
        <v>74</v>
      </c>
      <c r="BN996" s="2" t="s">
        <v>74</v>
      </c>
      <c r="BO996" s="2" t="s">
        <v>74</v>
      </c>
      <c r="BP996" s="2" t="s">
        <v>74</v>
      </c>
      <c r="BQ996" s="2" t="s">
        <v>74</v>
      </c>
      <c r="BR996" s="2" t="s">
        <v>74</v>
      </c>
      <c r="BS996" s="2" t="s">
        <v>198</v>
      </c>
      <c r="BT996" s="2" t="str">
        <f>HYPERLINK("https%3A%2F%2Fwww.webofscience.com%2Fwos%2Fwoscc%2Ffull-record%2FWOS:000396043800017","View Full Record in Web of Science")</f>
        <v>View Full Record in Web of Science</v>
      </c>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row>
    <row r="997" spans="1:314" s="7" customFormat="1" x14ac:dyDescent="0.4">
      <c r="A997" s="2" t="s">
        <v>72</v>
      </c>
      <c r="B997" s="2" t="s">
        <v>5555</v>
      </c>
      <c r="C997" s="2" t="s">
        <v>74</v>
      </c>
      <c r="D997" s="2" t="s">
        <v>74</v>
      </c>
      <c r="E997" s="2" t="s">
        <v>74</v>
      </c>
      <c r="F997" s="2" t="s">
        <v>5556</v>
      </c>
      <c r="G997" s="2" t="s">
        <v>74</v>
      </c>
      <c r="H997" s="2" t="s">
        <v>74</v>
      </c>
      <c r="I997" s="2" t="s">
        <v>5557</v>
      </c>
      <c r="J997" s="2" t="s">
        <v>576</v>
      </c>
      <c r="K997" s="2" t="s">
        <v>74</v>
      </c>
      <c r="L997" s="2" t="s">
        <v>74</v>
      </c>
      <c r="M997" s="2" t="s">
        <v>74</v>
      </c>
      <c r="N997" s="2" t="s">
        <v>74</v>
      </c>
      <c r="O997" s="2" t="s">
        <v>74</v>
      </c>
      <c r="P997" s="2" t="s">
        <v>74</v>
      </c>
      <c r="Q997" s="2" t="s">
        <v>74</v>
      </c>
      <c r="R997" s="2" t="s">
        <v>74</v>
      </c>
      <c r="S997" s="2" t="s">
        <v>74</v>
      </c>
      <c r="T997" s="2" t="s">
        <v>74</v>
      </c>
      <c r="U997" s="2" t="s">
        <v>74</v>
      </c>
      <c r="V997" s="5" t="s">
        <v>5558</v>
      </c>
      <c r="W997" s="2" t="s">
        <v>74</v>
      </c>
      <c r="X997" s="2" t="s">
        <v>74</v>
      </c>
      <c r="Y997" s="2" t="s">
        <v>74</v>
      </c>
      <c r="Z997" s="2" t="s">
        <v>74</v>
      </c>
      <c r="AA997" s="2" t="s">
        <v>5559</v>
      </c>
      <c r="AB997" s="2" t="s">
        <v>5560</v>
      </c>
      <c r="AC997" s="2" t="s">
        <v>74</v>
      </c>
      <c r="AD997" s="2" t="s">
        <v>74</v>
      </c>
      <c r="AE997" s="2" t="s">
        <v>74</v>
      </c>
      <c r="AF997" s="2" t="s">
        <v>74</v>
      </c>
      <c r="AG997" s="2" t="s">
        <v>74</v>
      </c>
      <c r="AH997" s="2" t="s">
        <v>74</v>
      </c>
      <c r="AI997" s="2" t="s">
        <v>74</v>
      </c>
      <c r="AJ997" s="2" t="s">
        <v>74</v>
      </c>
      <c r="AK997" s="2" t="s">
        <v>74</v>
      </c>
      <c r="AL997" s="2" t="s">
        <v>74</v>
      </c>
      <c r="AM997" s="2" t="s">
        <v>74</v>
      </c>
      <c r="AN997" s="2" t="s">
        <v>74</v>
      </c>
      <c r="AO997" s="2" t="s">
        <v>579</v>
      </c>
      <c r="AP997" s="2" t="s">
        <v>580</v>
      </c>
      <c r="AQ997" s="2" t="s">
        <v>74</v>
      </c>
      <c r="AR997" s="2" t="s">
        <v>74</v>
      </c>
      <c r="AS997" s="2" t="s">
        <v>74</v>
      </c>
      <c r="AT997" s="2" t="s">
        <v>213</v>
      </c>
      <c r="AU997" s="2">
        <v>2009</v>
      </c>
      <c r="AV997" s="2">
        <v>23</v>
      </c>
      <c r="AW997" s="2">
        <v>6</v>
      </c>
      <c r="AX997" s="2" t="s">
        <v>74</v>
      </c>
      <c r="AY997" s="2" t="s">
        <v>74</v>
      </c>
      <c r="AZ997" s="2" t="s">
        <v>74</v>
      </c>
      <c r="BA997" s="2" t="s">
        <v>74</v>
      </c>
      <c r="BB997" s="2">
        <v>943</v>
      </c>
      <c r="BC997" s="2">
        <v>961</v>
      </c>
      <c r="BD997" s="2" t="s">
        <v>74</v>
      </c>
      <c r="BE997" s="2" t="s">
        <v>5561</v>
      </c>
      <c r="BF997" s="2" t="str">
        <f>HYPERLINK("http://dx.doi.org/10.1007/s10682-008-9283-z","http://dx.doi.org/10.1007/s10682-008-9283-z")</f>
        <v>http://dx.doi.org/10.1007/s10682-008-9283-z</v>
      </c>
      <c r="BG997" s="2" t="s">
        <v>74</v>
      </c>
      <c r="BH997" s="2" t="s">
        <v>74</v>
      </c>
      <c r="BI997" s="2" t="s">
        <v>74</v>
      </c>
      <c r="BJ997" s="2" t="s">
        <v>74</v>
      </c>
      <c r="BK997" s="2" t="s">
        <v>74</v>
      </c>
      <c r="BL997" s="2" t="s">
        <v>74</v>
      </c>
      <c r="BM997" s="2" t="s">
        <v>74</v>
      </c>
      <c r="BN997" s="2" t="s">
        <v>74</v>
      </c>
      <c r="BO997" s="2" t="s">
        <v>74</v>
      </c>
      <c r="BP997" s="2" t="s">
        <v>74</v>
      </c>
      <c r="BQ997" s="2" t="s">
        <v>74</v>
      </c>
      <c r="BR997" s="2" t="s">
        <v>74</v>
      </c>
      <c r="BS997" s="2" t="s">
        <v>5562</v>
      </c>
      <c r="BT997" s="2" t="str">
        <f>HYPERLINK("https%3A%2F%2Fwww.webofscience.com%2Fwos%2Fwoscc%2Ffull-record%2FWOS:000271949700009","View Full Record in Web of Science")</f>
        <v>View Full Record in Web of Science</v>
      </c>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row>
    <row r="998" spans="1:314" s="2" customFormat="1" x14ac:dyDescent="0.4">
      <c r="A998" s="2" t="s">
        <v>72</v>
      </c>
      <c r="B998" s="2" t="s">
        <v>5425</v>
      </c>
      <c r="C998" s="2" t="s">
        <v>74</v>
      </c>
      <c r="D998" s="2" t="s">
        <v>74</v>
      </c>
      <c r="E998" s="2" t="s">
        <v>74</v>
      </c>
      <c r="F998" s="2" t="s">
        <v>5426</v>
      </c>
      <c r="G998" s="2" t="s">
        <v>74</v>
      </c>
      <c r="H998" s="2" t="s">
        <v>74</v>
      </c>
      <c r="I998" s="2" t="s">
        <v>5427</v>
      </c>
      <c r="J998" s="2" t="s">
        <v>5428</v>
      </c>
      <c r="K998" s="2" t="s">
        <v>74</v>
      </c>
      <c r="L998" s="2" t="s">
        <v>74</v>
      </c>
      <c r="M998" s="2" t="s">
        <v>74</v>
      </c>
      <c r="N998" s="2" t="s">
        <v>74</v>
      </c>
      <c r="O998" s="2" t="s">
        <v>74</v>
      </c>
      <c r="P998" s="2" t="s">
        <v>74</v>
      </c>
      <c r="Q998" s="2" t="s">
        <v>74</v>
      </c>
      <c r="R998" s="2" t="s">
        <v>74</v>
      </c>
      <c r="S998" s="2" t="s">
        <v>74</v>
      </c>
      <c r="T998" s="2" t="s">
        <v>74</v>
      </c>
      <c r="U998" s="2" t="s">
        <v>74</v>
      </c>
      <c r="V998" s="5" t="s">
        <v>5429</v>
      </c>
      <c r="W998" s="2" t="s">
        <v>74</v>
      </c>
      <c r="X998" s="2" t="s">
        <v>74</v>
      </c>
      <c r="Y998" s="2" t="s">
        <v>74</v>
      </c>
      <c r="Z998" s="2" t="s">
        <v>74</v>
      </c>
      <c r="AA998" s="2" t="s">
        <v>4828</v>
      </c>
      <c r="AB998" s="2" t="s">
        <v>4829</v>
      </c>
      <c r="AC998" s="2" t="s">
        <v>74</v>
      </c>
      <c r="AD998" s="2" t="s">
        <v>74</v>
      </c>
      <c r="AE998" s="2" t="s">
        <v>74</v>
      </c>
      <c r="AF998" s="2" t="s">
        <v>74</v>
      </c>
      <c r="AG998" s="2" t="s">
        <v>74</v>
      </c>
      <c r="AH998" s="2" t="s">
        <v>74</v>
      </c>
      <c r="AI998" s="2" t="s">
        <v>74</v>
      </c>
      <c r="AJ998" s="2" t="s">
        <v>74</v>
      </c>
      <c r="AK998" s="2" t="s">
        <v>74</v>
      </c>
      <c r="AL998" s="2" t="s">
        <v>74</v>
      </c>
      <c r="AM998" s="2" t="s">
        <v>74</v>
      </c>
      <c r="AN998" s="2" t="s">
        <v>74</v>
      </c>
      <c r="AO998" s="2" t="s">
        <v>5430</v>
      </c>
      <c r="AP998" s="2" t="s">
        <v>5431</v>
      </c>
      <c r="AQ998" s="2" t="s">
        <v>74</v>
      </c>
      <c r="AR998" s="2" t="s">
        <v>74</v>
      </c>
      <c r="AS998" s="2" t="s">
        <v>74</v>
      </c>
      <c r="AT998" s="2" t="s">
        <v>352</v>
      </c>
      <c r="AU998" s="2">
        <v>2002</v>
      </c>
      <c r="AV998" s="2">
        <v>3</v>
      </c>
      <c r="AW998" s="2">
        <v>3</v>
      </c>
      <c r="AX998" s="2" t="s">
        <v>74</v>
      </c>
      <c r="AY998" s="2" t="s">
        <v>74</v>
      </c>
      <c r="AZ998" s="2" t="s">
        <v>74</v>
      </c>
      <c r="BA998" s="2" t="s">
        <v>74</v>
      </c>
      <c r="BB998" s="2">
        <v>213</v>
      </c>
      <c r="BC998" s="2">
        <v>224</v>
      </c>
      <c r="BD998" s="2" t="s">
        <v>74</v>
      </c>
      <c r="BE998" s="2" t="s">
        <v>5432</v>
      </c>
      <c r="BF998" s="2" t="str">
        <f>HYPERLINK("http://dx.doi.org/10.1046/j.1467-2979.2002.00088.x","http://dx.doi.org/10.1046/j.1467-2979.2002.00088.x")</f>
        <v>http://dx.doi.org/10.1046/j.1467-2979.2002.00088.x</v>
      </c>
      <c r="BG998" s="2" t="s">
        <v>74</v>
      </c>
      <c r="BH998" s="2" t="s">
        <v>74</v>
      </c>
      <c r="BI998" s="2" t="s">
        <v>74</v>
      </c>
      <c r="BJ998" s="2" t="s">
        <v>74</v>
      </c>
      <c r="BK998" s="2" t="s">
        <v>74</v>
      </c>
      <c r="BL998" s="2" t="s">
        <v>74</v>
      </c>
      <c r="BM998" s="2" t="s">
        <v>74</v>
      </c>
      <c r="BN998" s="2" t="s">
        <v>74</v>
      </c>
      <c r="BO998" s="2" t="s">
        <v>74</v>
      </c>
      <c r="BP998" s="2" t="s">
        <v>74</v>
      </c>
      <c r="BQ998" s="2" t="s">
        <v>74</v>
      </c>
      <c r="BR998" s="2" t="s">
        <v>74</v>
      </c>
      <c r="BS998" s="2" t="s">
        <v>5433</v>
      </c>
      <c r="BT998" s="2" t="str">
        <f>HYPERLINK("https%3A%2F%2Fwww.webofscience.com%2Fwos%2Fwoscc%2Ffull-record%2FWOS:000208993800007","View Full Record in Web of Science")</f>
        <v>View Full Record in Web of Science</v>
      </c>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row>
    <row r="999" spans="1:314" s="2" customFormat="1" x14ac:dyDescent="0.4">
      <c r="A999" s="2" t="s">
        <v>72</v>
      </c>
      <c r="B999" s="2" t="s">
        <v>1249</v>
      </c>
      <c r="C999" s="2" t="s">
        <v>74</v>
      </c>
      <c r="D999" s="2" t="s">
        <v>74</v>
      </c>
      <c r="E999" s="2" t="s">
        <v>74</v>
      </c>
      <c r="F999" s="2" t="s">
        <v>1249</v>
      </c>
      <c r="G999" s="2" t="s">
        <v>74</v>
      </c>
      <c r="H999" s="2" t="s">
        <v>74</v>
      </c>
      <c r="I999" s="2" t="s">
        <v>1250</v>
      </c>
      <c r="J999" s="2" t="s">
        <v>108</v>
      </c>
      <c r="K999" s="2" t="s">
        <v>74</v>
      </c>
      <c r="L999" s="2" t="s">
        <v>74</v>
      </c>
      <c r="M999" s="2" t="s">
        <v>74</v>
      </c>
      <c r="N999" s="2" t="s">
        <v>74</v>
      </c>
      <c r="O999" s="2" t="s">
        <v>74</v>
      </c>
      <c r="P999" s="2" t="s">
        <v>74</v>
      </c>
      <c r="Q999" s="2" t="s">
        <v>74</v>
      </c>
      <c r="R999" s="2" t="s">
        <v>74</v>
      </c>
      <c r="S999" s="2" t="s">
        <v>74</v>
      </c>
      <c r="T999" s="2" t="s">
        <v>74</v>
      </c>
      <c r="U999" s="2" t="s">
        <v>74</v>
      </c>
      <c r="V999" s="5" t="s">
        <v>1251</v>
      </c>
      <c r="W999" s="2" t="s">
        <v>74</v>
      </c>
      <c r="X999" s="2" t="s">
        <v>74</v>
      </c>
      <c r="Y999" s="2" t="s">
        <v>74</v>
      </c>
      <c r="Z999" s="2" t="s">
        <v>74</v>
      </c>
      <c r="AA999" s="2" t="s">
        <v>1252</v>
      </c>
      <c r="AB999" s="2" t="s">
        <v>74</v>
      </c>
      <c r="AC999" s="2" t="s">
        <v>74</v>
      </c>
      <c r="AD999" s="2" t="s">
        <v>74</v>
      </c>
      <c r="AE999" s="2" t="s">
        <v>74</v>
      </c>
      <c r="AF999" s="2" t="s">
        <v>74</v>
      </c>
      <c r="AG999" s="2" t="s">
        <v>74</v>
      </c>
      <c r="AH999" s="2" t="s">
        <v>74</v>
      </c>
      <c r="AI999" s="2" t="s">
        <v>74</v>
      </c>
      <c r="AJ999" s="2" t="s">
        <v>74</v>
      </c>
      <c r="AK999" s="2" t="s">
        <v>74</v>
      </c>
      <c r="AL999" s="2" t="s">
        <v>74</v>
      </c>
      <c r="AM999" s="2" t="s">
        <v>74</v>
      </c>
      <c r="AN999" s="2" t="s">
        <v>74</v>
      </c>
      <c r="AO999" s="2" t="s">
        <v>111</v>
      </c>
      <c r="AP999" s="2" t="s">
        <v>74</v>
      </c>
      <c r="AQ999" s="2" t="s">
        <v>74</v>
      </c>
      <c r="AR999" s="2" t="s">
        <v>74</v>
      </c>
      <c r="AS999" s="2" t="s">
        <v>74</v>
      </c>
      <c r="AT999" s="2" t="s">
        <v>1253</v>
      </c>
      <c r="AU999" s="2">
        <v>2004</v>
      </c>
      <c r="AV999" s="2">
        <v>271</v>
      </c>
      <c r="AW999" s="2">
        <v>1548</v>
      </c>
      <c r="AX999" s="2" t="s">
        <v>74</v>
      </c>
      <c r="AY999" s="2" t="s">
        <v>74</v>
      </c>
      <c r="AZ999" s="2" t="s">
        <v>74</v>
      </c>
      <c r="BA999" s="2" t="s">
        <v>74</v>
      </c>
      <c r="BB999" s="2">
        <v>1577</v>
      </c>
      <c r="BC999" s="2">
        <v>1584</v>
      </c>
      <c r="BD999" s="2" t="s">
        <v>74</v>
      </c>
      <c r="BE999" s="2" t="s">
        <v>1254</v>
      </c>
      <c r="BF999" s="2" t="str">
        <f>HYPERLINK("http://dx.doi.org/10.1098/rspb.2004.2781","http://dx.doi.org/10.1098/rspb.2004.2781")</f>
        <v>http://dx.doi.org/10.1098/rspb.2004.2781</v>
      </c>
      <c r="BG999" s="2" t="s">
        <v>74</v>
      </c>
      <c r="BH999" s="2" t="s">
        <v>74</v>
      </c>
      <c r="BI999" s="2" t="s">
        <v>74</v>
      </c>
      <c r="BJ999" s="2" t="s">
        <v>74</v>
      </c>
      <c r="BK999" s="2" t="s">
        <v>74</v>
      </c>
      <c r="BL999" s="2" t="s">
        <v>74</v>
      </c>
      <c r="BM999" s="2" t="s">
        <v>74</v>
      </c>
      <c r="BN999" s="2">
        <v>15306303</v>
      </c>
      <c r="BO999" s="2" t="s">
        <v>74</v>
      </c>
      <c r="BP999" s="2" t="s">
        <v>74</v>
      </c>
      <c r="BQ999" s="2" t="s">
        <v>74</v>
      </c>
      <c r="BR999" s="2" t="s">
        <v>74</v>
      </c>
      <c r="BS999" s="2" t="s">
        <v>1255</v>
      </c>
      <c r="BT999" s="2" t="str">
        <f>HYPERLINK("https%3A%2F%2Fwww.webofscience.com%2Fwos%2Fwoscc%2Ffull-record%2FWOS:000222995100005","View Full Record in Web of Science")</f>
        <v>View Full Record in Web of Science</v>
      </c>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row>
    <row r="1000" spans="1:314" s="2" customFormat="1" x14ac:dyDescent="0.4">
      <c r="A1000" s="2" t="s">
        <v>72</v>
      </c>
      <c r="B1000" s="2" t="s">
        <v>8539</v>
      </c>
      <c r="C1000" s="2" t="s">
        <v>74</v>
      </c>
      <c r="D1000" s="2" t="s">
        <v>74</v>
      </c>
      <c r="E1000" s="2" t="s">
        <v>74</v>
      </c>
      <c r="F1000" s="2" t="s">
        <v>8540</v>
      </c>
      <c r="G1000" s="2" t="s">
        <v>74</v>
      </c>
      <c r="H1000" s="2" t="s">
        <v>74</v>
      </c>
      <c r="I1000" s="2" t="s">
        <v>8541</v>
      </c>
      <c r="J1000" s="2" t="s">
        <v>171</v>
      </c>
      <c r="K1000" s="2" t="s">
        <v>74</v>
      </c>
      <c r="L1000" s="2" t="s">
        <v>74</v>
      </c>
      <c r="M1000" s="2" t="s">
        <v>74</v>
      </c>
      <c r="N1000" s="2" t="s">
        <v>74</v>
      </c>
      <c r="O1000" s="2" t="s">
        <v>74</v>
      </c>
      <c r="P1000" s="2" t="s">
        <v>74</v>
      </c>
      <c r="Q1000" s="2" t="s">
        <v>74</v>
      </c>
      <c r="R1000" s="2" t="s">
        <v>74</v>
      </c>
      <c r="S1000" s="2" t="s">
        <v>74</v>
      </c>
      <c r="T1000" s="2" t="s">
        <v>74</v>
      </c>
      <c r="U1000" s="2" t="s">
        <v>74</v>
      </c>
      <c r="V1000" s="5" t="s">
        <v>8542</v>
      </c>
      <c r="W1000" s="2" t="s">
        <v>74</v>
      </c>
      <c r="X1000" s="2" t="s">
        <v>74</v>
      </c>
      <c r="Y1000" s="2" t="s">
        <v>74</v>
      </c>
      <c r="Z1000" s="2" t="s">
        <v>74</v>
      </c>
      <c r="AA1000" s="2" t="s">
        <v>74</v>
      </c>
      <c r="AB1000" s="2" t="s">
        <v>322</v>
      </c>
      <c r="AC1000" s="2" t="s">
        <v>74</v>
      </c>
      <c r="AD1000" s="2" t="s">
        <v>74</v>
      </c>
      <c r="AE1000" s="2" t="s">
        <v>74</v>
      </c>
      <c r="AF1000" s="2" t="s">
        <v>74</v>
      </c>
      <c r="AG1000" s="2" t="s">
        <v>74</v>
      </c>
      <c r="AH1000" s="2" t="s">
        <v>74</v>
      </c>
      <c r="AI1000" s="2" t="s">
        <v>74</v>
      </c>
      <c r="AJ1000" s="2" t="s">
        <v>74</v>
      </c>
      <c r="AK1000" s="2" t="s">
        <v>74</v>
      </c>
      <c r="AL1000" s="2" t="s">
        <v>74</v>
      </c>
      <c r="AM1000" s="2" t="s">
        <v>74</v>
      </c>
      <c r="AN1000" s="2" t="s">
        <v>74</v>
      </c>
      <c r="AO1000" s="2" t="s">
        <v>173</v>
      </c>
      <c r="AP1000" s="2" t="s">
        <v>174</v>
      </c>
      <c r="AQ1000" s="2" t="s">
        <v>74</v>
      </c>
      <c r="AR1000" s="2" t="s">
        <v>74</v>
      </c>
      <c r="AS1000" s="2" t="s">
        <v>74</v>
      </c>
      <c r="AT1000" s="2" t="s">
        <v>204</v>
      </c>
      <c r="AU1000" s="2">
        <v>2006</v>
      </c>
      <c r="AV1000" s="2">
        <v>60</v>
      </c>
      <c r="AW1000" s="2">
        <v>7</v>
      </c>
      <c r="AX1000" s="2" t="s">
        <v>74</v>
      </c>
      <c r="AY1000" s="2" t="s">
        <v>74</v>
      </c>
      <c r="AZ1000" s="2" t="s">
        <v>74</v>
      </c>
      <c r="BA1000" s="2" t="s">
        <v>74</v>
      </c>
      <c r="BB1000" s="2">
        <v>1476</v>
      </c>
      <c r="BC1000" s="2">
        <v>1485</v>
      </c>
      <c r="BD1000" s="2" t="s">
        <v>74</v>
      </c>
      <c r="BE1000" s="2" t="s">
        <v>8543</v>
      </c>
      <c r="BF1000" s="2" t="str">
        <f>HYPERLINK("http://dx.doi.org/10.1111/j.0014-3820.2006.tb01226.x","http://dx.doi.org/10.1111/j.0014-3820.2006.tb01226.x")</f>
        <v>http://dx.doi.org/10.1111/j.0014-3820.2006.tb01226.x</v>
      </c>
      <c r="BG1000" s="2" t="s">
        <v>74</v>
      </c>
      <c r="BH1000" s="2" t="s">
        <v>74</v>
      </c>
      <c r="BI1000" s="2" t="s">
        <v>74</v>
      </c>
      <c r="BJ1000" s="2" t="s">
        <v>74</v>
      </c>
      <c r="BK1000" s="2" t="s">
        <v>74</v>
      </c>
      <c r="BL1000" s="2" t="s">
        <v>74</v>
      </c>
      <c r="BM1000" s="2" t="s">
        <v>74</v>
      </c>
      <c r="BN1000" s="2">
        <v>16929664</v>
      </c>
      <c r="BO1000" s="2" t="s">
        <v>74</v>
      </c>
      <c r="BP1000" s="2" t="s">
        <v>74</v>
      </c>
      <c r="BQ1000" s="2" t="s">
        <v>74</v>
      </c>
      <c r="BR1000" s="2" t="s">
        <v>74</v>
      </c>
      <c r="BS1000" s="2" t="s">
        <v>8544</v>
      </c>
      <c r="BT1000" s="2" t="str">
        <f>HYPERLINK("https%3A%2F%2Fwww.webofscience.com%2Fwos%2Fwoscc%2Ffull-record%2FWOS:000239682300015","View Full Record in Web of Science")</f>
        <v>View Full Record in Web of Science</v>
      </c>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row>
    <row r="1001" spans="1:314" s="2" customFormat="1" x14ac:dyDescent="0.4">
      <c r="A1001" s="2" t="s">
        <v>72</v>
      </c>
      <c r="B1001" s="2" t="s">
        <v>4537</v>
      </c>
      <c r="C1001" s="2" t="s">
        <v>74</v>
      </c>
      <c r="D1001" s="2" t="s">
        <v>74</v>
      </c>
      <c r="E1001" s="2" t="s">
        <v>74</v>
      </c>
      <c r="F1001" s="2" t="s">
        <v>4538</v>
      </c>
      <c r="G1001" s="2" t="s">
        <v>74</v>
      </c>
      <c r="H1001" s="2" t="s">
        <v>74</v>
      </c>
      <c r="I1001" s="2" t="s">
        <v>4539</v>
      </c>
      <c r="J1001" s="2" t="s">
        <v>4540</v>
      </c>
      <c r="K1001" s="2" t="s">
        <v>74</v>
      </c>
      <c r="L1001" s="2" t="s">
        <v>74</v>
      </c>
      <c r="M1001" s="2" t="s">
        <v>74</v>
      </c>
      <c r="N1001" s="2" t="s">
        <v>74</v>
      </c>
      <c r="O1001" s="2" t="s">
        <v>74</v>
      </c>
      <c r="P1001" s="2" t="s">
        <v>74</v>
      </c>
      <c r="Q1001" s="2" t="s">
        <v>74</v>
      </c>
      <c r="R1001" s="2" t="s">
        <v>74</v>
      </c>
      <c r="S1001" s="2" t="s">
        <v>74</v>
      </c>
      <c r="T1001" s="2" t="s">
        <v>74</v>
      </c>
      <c r="U1001" s="2" t="s">
        <v>74</v>
      </c>
      <c r="V1001" s="5" t="s">
        <v>4541</v>
      </c>
      <c r="W1001" s="2" t="s">
        <v>74</v>
      </c>
      <c r="X1001" s="2" t="s">
        <v>74</v>
      </c>
      <c r="Y1001" s="2" t="s">
        <v>74</v>
      </c>
      <c r="Z1001" s="2" t="s">
        <v>74</v>
      </c>
      <c r="AA1001" s="2" t="s">
        <v>4542</v>
      </c>
      <c r="AB1001" s="2" t="s">
        <v>4543</v>
      </c>
      <c r="AC1001" s="2" t="s">
        <v>74</v>
      </c>
      <c r="AD1001" s="2" t="s">
        <v>74</v>
      </c>
      <c r="AE1001" s="2" t="s">
        <v>74</v>
      </c>
      <c r="AF1001" s="2" t="s">
        <v>74</v>
      </c>
      <c r="AG1001" s="2" t="s">
        <v>74</v>
      </c>
      <c r="AH1001" s="2" t="s">
        <v>74</v>
      </c>
      <c r="AI1001" s="2" t="s">
        <v>74</v>
      </c>
      <c r="AJ1001" s="2" t="s">
        <v>74</v>
      </c>
      <c r="AK1001" s="2" t="s">
        <v>74</v>
      </c>
      <c r="AL1001" s="2" t="s">
        <v>74</v>
      </c>
      <c r="AM1001" s="2" t="s">
        <v>74</v>
      </c>
      <c r="AN1001" s="2" t="s">
        <v>74</v>
      </c>
      <c r="AO1001" s="2" t="s">
        <v>4544</v>
      </c>
      <c r="AP1001" s="2" t="s">
        <v>4545</v>
      </c>
      <c r="AQ1001" s="2" t="s">
        <v>74</v>
      </c>
      <c r="AR1001" s="2" t="s">
        <v>74</v>
      </c>
      <c r="AS1001" s="2" t="s">
        <v>74</v>
      </c>
      <c r="AT1001" s="2" t="s">
        <v>102</v>
      </c>
      <c r="AU1001" s="2">
        <v>2016</v>
      </c>
      <c r="AV1001" s="2">
        <v>99</v>
      </c>
      <c r="AW1001" s="2" t="s">
        <v>74</v>
      </c>
      <c r="AX1001" s="2" t="s">
        <v>74</v>
      </c>
      <c r="AY1001" s="2" t="s">
        <v>74</v>
      </c>
      <c r="AZ1001" s="2">
        <v>1</v>
      </c>
      <c r="BA1001" s="2" t="s">
        <v>74</v>
      </c>
      <c r="BB1001" s="2">
        <v>192</v>
      </c>
      <c r="BC1001" s="2">
        <v>199</v>
      </c>
      <c r="BD1001" s="2" t="s">
        <v>74</v>
      </c>
      <c r="BE1001" s="2" t="s">
        <v>4546</v>
      </c>
      <c r="BF1001" s="2" t="str">
        <f>HYPERLINK("http://dx.doi.org/10.1653/024.099.sp123","http://dx.doi.org/10.1653/024.099.sp123")</f>
        <v>http://dx.doi.org/10.1653/024.099.sp123</v>
      </c>
      <c r="BG1001" s="2" t="s">
        <v>74</v>
      </c>
      <c r="BH1001" s="2" t="s">
        <v>74</v>
      </c>
      <c r="BI1001" s="2" t="s">
        <v>74</v>
      </c>
      <c r="BJ1001" s="2" t="s">
        <v>74</v>
      </c>
      <c r="BK1001" s="2" t="s">
        <v>74</v>
      </c>
      <c r="BL1001" s="2" t="s">
        <v>74</v>
      </c>
      <c r="BM1001" s="2" t="s">
        <v>74</v>
      </c>
      <c r="BN1001" s="2" t="s">
        <v>74</v>
      </c>
      <c r="BO1001" s="2" t="s">
        <v>74</v>
      </c>
      <c r="BP1001" s="2" t="s">
        <v>74</v>
      </c>
      <c r="BQ1001" s="2" t="s">
        <v>74</v>
      </c>
      <c r="BR1001" s="2" t="s">
        <v>74</v>
      </c>
      <c r="BS1001" s="2" t="s">
        <v>4547</v>
      </c>
      <c r="BT1001" s="2" t="str">
        <f>HYPERLINK("https%3A%2F%2Fwww.webofscience.com%2Fwos%2Fwoscc%2Ffull-record%2FWOS:000382249300022","View Full Record in Web of Science")</f>
        <v>View Full Record in Web of Science</v>
      </c>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row>
    <row r="1002" spans="1:314" s="1" customFormat="1" x14ac:dyDescent="0.4">
      <c r="A1002" s="2" t="s">
        <v>72</v>
      </c>
      <c r="B1002" s="2" t="s">
        <v>2919</v>
      </c>
      <c r="C1002" s="2" t="s">
        <v>74</v>
      </c>
      <c r="D1002" s="2" t="s">
        <v>74</v>
      </c>
      <c r="E1002" s="2" t="s">
        <v>74</v>
      </c>
      <c r="F1002" s="2" t="s">
        <v>2920</v>
      </c>
      <c r="G1002" s="2" t="s">
        <v>74</v>
      </c>
      <c r="H1002" s="2" t="s">
        <v>74</v>
      </c>
      <c r="I1002" s="2" t="s">
        <v>2921</v>
      </c>
      <c r="J1002" s="2" t="s">
        <v>408</v>
      </c>
      <c r="K1002" s="2" t="s">
        <v>74</v>
      </c>
      <c r="L1002" s="2" t="s">
        <v>74</v>
      </c>
      <c r="M1002" s="2" t="s">
        <v>74</v>
      </c>
      <c r="N1002" s="2" t="s">
        <v>74</v>
      </c>
      <c r="O1002" s="2" t="s">
        <v>74</v>
      </c>
      <c r="P1002" s="2" t="s">
        <v>74</v>
      </c>
      <c r="Q1002" s="2" t="s">
        <v>74</v>
      </c>
      <c r="R1002" s="2" t="s">
        <v>74</v>
      </c>
      <c r="S1002" s="2" t="s">
        <v>74</v>
      </c>
      <c r="T1002" s="2" t="s">
        <v>74</v>
      </c>
      <c r="U1002" s="2" t="s">
        <v>74</v>
      </c>
      <c r="V1002" s="5" t="s">
        <v>2922</v>
      </c>
      <c r="W1002" s="2" t="s">
        <v>74</v>
      </c>
      <c r="X1002" s="2" t="s">
        <v>74</v>
      </c>
      <c r="Y1002" s="2" t="s">
        <v>74</v>
      </c>
      <c r="Z1002" s="2" t="s">
        <v>74</v>
      </c>
      <c r="AA1002" s="2" t="s">
        <v>2923</v>
      </c>
      <c r="AB1002" s="2" t="s">
        <v>2924</v>
      </c>
      <c r="AC1002" s="2" t="s">
        <v>74</v>
      </c>
      <c r="AD1002" s="2" t="s">
        <v>74</v>
      </c>
      <c r="AE1002" s="2" t="s">
        <v>74</v>
      </c>
      <c r="AF1002" s="2" t="s">
        <v>74</v>
      </c>
      <c r="AG1002" s="2" t="s">
        <v>74</v>
      </c>
      <c r="AH1002" s="2" t="s">
        <v>74</v>
      </c>
      <c r="AI1002" s="2" t="s">
        <v>74</v>
      </c>
      <c r="AJ1002" s="2" t="s">
        <v>74</v>
      </c>
      <c r="AK1002" s="2" t="s">
        <v>74</v>
      </c>
      <c r="AL1002" s="2" t="s">
        <v>74</v>
      </c>
      <c r="AM1002" s="2" t="s">
        <v>74</v>
      </c>
      <c r="AN1002" s="2" t="s">
        <v>74</v>
      </c>
      <c r="AO1002" s="2" t="s">
        <v>412</v>
      </c>
      <c r="AP1002" s="2" t="s">
        <v>413</v>
      </c>
      <c r="AQ1002" s="2" t="s">
        <v>74</v>
      </c>
      <c r="AR1002" s="2" t="s">
        <v>74</v>
      </c>
      <c r="AS1002" s="2" t="s">
        <v>74</v>
      </c>
      <c r="AT1002" s="2" t="s">
        <v>769</v>
      </c>
      <c r="AU1002" s="2">
        <v>2017</v>
      </c>
      <c r="AV1002" s="2">
        <v>120</v>
      </c>
      <c r="AW1002" s="2">
        <v>2</v>
      </c>
      <c r="AX1002" s="2" t="s">
        <v>74</v>
      </c>
      <c r="AY1002" s="2" t="s">
        <v>74</v>
      </c>
      <c r="AZ1002" s="2" t="s">
        <v>74</v>
      </c>
      <c r="BA1002" s="2" t="s">
        <v>74</v>
      </c>
      <c r="BB1002" s="2">
        <v>396</v>
      </c>
      <c r="BC1002" s="2">
        <v>409</v>
      </c>
      <c r="BD1002" s="2" t="s">
        <v>74</v>
      </c>
      <c r="BE1002" s="2" t="s">
        <v>74</v>
      </c>
      <c r="BF1002" s="2" t="s">
        <v>74</v>
      </c>
      <c r="BG1002" s="2" t="s">
        <v>74</v>
      </c>
      <c r="BH1002" s="2" t="s">
        <v>74</v>
      </c>
      <c r="BI1002" s="2" t="s">
        <v>74</v>
      </c>
      <c r="BJ1002" s="2" t="s">
        <v>74</v>
      </c>
      <c r="BK1002" s="2" t="s">
        <v>74</v>
      </c>
      <c r="BL1002" s="2" t="s">
        <v>74</v>
      </c>
      <c r="BM1002" s="2" t="s">
        <v>74</v>
      </c>
      <c r="BN1002" s="2" t="s">
        <v>74</v>
      </c>
      <c r="BO1002" s="2" t="s">
        <v>74</v>
      </c>
      <c r="BP1002" s="2" t="s">
        <v>74</v>
      </c>
      <c r="BQ1002" s="2" t="s">
        <v>74</v>
      </c>
      <c r="BR1002" s="2" t="s">
        <v>74</v>
      </c>
      <c r="BS1002" s="2" t="s">
        <v>2925</v>
      </c>
      <c r="BT1002" s="2" t="str">
        <f>HYPERLINK("https%3A%2F%2Fwww.webofscience.com%2Fwos%2Fwoscc%2Ffull-record%2FWOS:000400944500010","View Full Record in Web of Science")</f>
        <v>View Full Record in Web of Science</v>
      </c>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row>
    <row r="1003" spans="1:314" s="2" customFormat="1" x14ac:dyDescent="0.4">
      <c r="A1003" s="2" t="s">
        <v>72</v>
      </c>
      <c r="B1003" s="2" t="s">
        <v>5529</v>
      </c>
      <c r="C1003" s="2" t="s">
        <v>74</v>
      </c>
      <c r="D1003" s="2" t="s">
        <v>74</v>
      </c>
      <c r="E1003" s="2" t="s">
        <v>74</v>
      </c>
      <c r="F1003" s="2" t="s">
        <v>5530</v>
      </c>
      <c r="G1003" s="2" t="s">
        <v>74</v>
      </c>
      <c r="H1003" s="2" t="s">
        <v>74</v>
      </c>
      <c r="I1003" s="2" t="s">
        <v>5531</v>
      </c>
      <c r="J1003" s="2" t="s">
        <v>576</v>
      </c>
      <c r="K1003" s="2" t="s">
        <v>74</v>
      </c>
      <c r="L1003" s="2" t="s">
        <v>74</v>
      </c>
      <c r="M1003" s="2" t="s">
        <v>74</v>
      </c>
      <c r="N1003" s="2" t="s">
        <v>74</v>
      </c>
      <c r="O1003" s="2" t="s">
        <v>74</v>
      </c>
      <c r="P1003" s="2" t="s">
        <v>74</v>
      </c>
      <c r="Q1003" s="2" t="s">
        <v>74</v>
      </c>
      <c r="R1003" s="2" t="s">
        <v>74</v>
      </c>
      <c r="S1003" s="2" t="s">
        <v>74</v>
      </c>
      <c r="T1003" s="2" t="s">
        <v>74</v>
      </c>
      <c r="U1003" s="2" t="s">
        <v>74</v>
      </c>
      <c r="V1003" s="5" t="s">
        <v>5532</v>
      </c>
      <c r="W1003" s="2" t="s">
        <v>74</v>
      </c>
      <c r="X1003" s="2" t="s">
        <v>74</v>
      </c>
      <c r="Y1003" s="2" t="s">
        <v>74</v>
      </c>
      <c r="Z1003" s="2" t="s">
        <v>74</v>
      </c>
      <c r="AA1003" s="2" t="s">
        <v>5533</v>
      </c>
      <c r="AB1003" s="2" t="s">
        <v>5534</v>
      </c>
      <c r="AC1003" s="2" t="s">
        <v>74</v>
      </c>
      <c r="AD1003" s="2" t="s">
        <v>74</v>
      </c>
      <c r="AE1003" s="2" t="s">
        <v>74</v>
      </c>
      <c r="AF1003" s="2" t="s">
        <v>74</v>
      </c>
      <c r="AG1003" s="2" t="s">
        <v>74</v>
      </c>
      <c r="AH1003" s="2" t="s">
        <v>74</v>
      </c>
      <c r="AI1003" s="2" t="s">
        <v>74</v>
      </c>
      <c r="AJ1003" s="2" t="s">
        <v>74</v>
      </c>
      <c r="AK1003" s="2" t="s">
        <v>74</v>
      </c>
      <c r="AL1003" s="2" t="s">
        <v>74</v>
      </c>
      <c r="AM1003" s="2" t="s">
        <v>74</v>
      </c>
      <c r="AN1003" s="2" t="s">
        <v>74</v>
      </c>
      <c r="AO1003" s="2" t="s">
        <v>579</v>
      </c>
      <c r="AP1003" s="2" t="s">
        <v>580</v>
      </c>
      <c r="AQ1003" s="2" t="s">
        <v>74</v>
      </c>
      <c r="AR1003" s="2" t="s">
        <v>74</v>
      </c>
      <c r="AS1003" s="2" t="s">
        <v>74</v>
      </c>
      <c r="AT1003" s="2" t="s">
        <v>213</v>
      </c>
      <c r="AU1003" s="2">
        <v>2012</v>
      </c>
      <c r="AV1003" s="2">
        <v>26</v>
      </c>
      <c r="AW1003" s="2">
        <v>6</v>
      </c>
      <c r="AX1003" s="2" t="s">
        <v>74</v>
      </c>
      <c r="AY1003" s="2" t="s">
        <v>74</v>
      </c>
      <c r="AZ1003" s="2" t="s">
        <v>74</v>
      </c>
      <c r="BA1003" s="2" t="s">
        <v>74</v>
      </c>
      <c r="BB1003" s="2">
        <v>1277</v>
      </c>
      <c r="BC1003" s="2">
        <v>1291</v>
      </c>
      <c r="BD1003" s="2" t="s">
        <v>74</v>
      </c>
      <c r="BE1003" s="2" t="s">
        <v>5535</v>
      </c>
      <c r="BF1003" s="2" t="str">
        <f>HYPERLINK("http://dx.doi.org/10.1007/s10682-011-9551-1","http://dx.doi.org/10.1007/s10682-011-9551-1")</f>
        <v>http://dx.doi.org/10.1007/s10682-011-9551-1</v>
      </c>
      <c r="BG1003" s="2" t="s">
        <v>74</v>
      </c>
      <c r="BH1003" s="2" t="s">
        <v>74</v>
      </c>
      <c r="BI1003" s="2" t="s">
        <v>74</v>
      </c>
      <c r="BJ1003" s="2" t="s">
        <v>74</v>
      </c>
      <c r="BK1003" s="2" t="s">
        <v>74</v>
      </c>
      <c r="BL1003" s="2" t="s">
        <v>74</v>
      </c>
      <c r="BM1003" s="2" t="s">
        <v>74</v>
      </c>
      <c r="BN1003" s="2" t="s">
        <v>74</v>
      </c>
      <c r="BO1003" s="2" t="s">
        <v>74</v>
      </c>
      <c r="BP1003" s="2" t="s">
        <v>74</v>
      </c>
      <c r="BQ1003" s="2" t="s">
        <v>74</v>
      </c>
      <c r="BR1003" s="2" t="s">
        <v>74</v>
      </c>
      <c r="BS1003" s="2" t="s">
        <v>5536</v>
      </c>
      <c r="BT1003" s="2" t="str">
        <f>HYPERLINK("https%3A%2F%2Fwww.webofscience.com%2Fwos%2Fwoscc%2Ffull-record%2FWOS:000309869600001","View Full Record in Web of Science")</f>
        <v>View Full Record in Web of Science</v>
      </c>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row>
    <row r="1004" spans="1:314" s="2" customFormat="1" x14ac:dyDescent="0.4">
      <c r="A1004" s="2" t="s">
        <v>72</v>
      </c>
      <c r="B1004" s="2" t="s">
        <v>1985</v>
      </c>
      <c r="C1004" s="2" t="s">
        <v>74</v>
      </c>
      <c r="D1004" s="2" t="s">
        <v>74</v>
      </c>
      <c r="E1004" s="2" t="s">
        <v>74</v>
      </c>
      <c r="F1004" s="2" t="s">
        <v>1986</v>
      </c>
      <c r="G1004" s="2" t="s">
        <v>74</v>
      </c>
      <c r="H1004" s="2" t="s">
        <v>74</v>
      </c>
      <c r="I1004" s="2" t="s">
        <v>1987</v>
      </c>
      <c r="J1004" s="2" t="s">
        <v>88</v>
      </c>
      <c r="K1004" s="2" t="s">
        <v>74</v>
      </c>
      <c r="L1004" s="2" t="s">
        <v>74</v>
      </c>
      <c r="M1004" s="2" t="s">
        <v>74</v>
      </c>
      <c r="N1004" s="2" t="s">
        <v>74</v>
      </c>
      <c r="O1004" s="2" t="s">
        <v>74</v>
      </c>
      <c r="P1004" s="2" t="s">
        <v>74</v>
      </c>
      <c r="Q1004" s="2" t="s">
        <v>74</v>
      </c>
      <c r="R1004" s="2" t="s">
        <v>74</v>
      </c>
      <c r="S1004" s="2" t="s">
        <v>74</v>
      </c>
      <c r="T1004" s="2" t="s">
        <v>74</v>
      </c>
      <c r="U1004" s="2" t="s">
        <v>74</v>
      </c>
      <c r="V1004" s="5" t="s">
        <v>1988</v>
      </c>
      <c r="W1004" s="2" t="s">
        <v>74</v>
      </c>
      <c r="X1004" s="2" t="s">
        <v>74</v>
      </c>
      <c r="Y1004" s="2" t="s">
        <v>74</v>
      </c>
      <c r="Z1004" s="2" t="s">
        <v>74</v>
      </c>
      <c r="AA1004" s="2" t="s">
        <v>1989</v>
      </c>
      <c r="AB1004" s="2" t="s">
        <v>1990</v>
      </c>
      <c r="AC1004" s="2" t="s">
        <v>74</v>
      </c>
      <c r="AD1004" s="2" t="s">
        <v>74</v>
      </c>
      <c r="AE1004" s="2" t="s">
        <v>74</v>
      </c>
      <c r="AF1004" s="2" t="s">
        <v>74</v>
      </c>
      <c r="AG1004" s="2" t="s">
        <v>74</v>
      </c>
      <c r="AH1004" s="2" t="s">
        <v>74</v>
      </c>
      <c r="AI1004" s="2" t="s">
        <v>74</v>
      </c>
      <c r="AJ1004" s="2" t="s">
        <v>74</v>
      </c>
      <c r="AK1004" s="2" t="s">
        <v>74</v>
      </c>
      <c r="AL1004" s="2" t="s">
        <v>74</v>
      </c>
      <c r="AM1004" s="2" t="s">
        <v>74</v>
      </c>
      <c r="AN1004" s="2" t="s">
        <v>74</v>
      </c>
      <c r="AO1004" s="2" t="s">
        <v>91</v>
      </c>
      <c r="AP1004" s="2" t="s">
        <v>74</v>
      </c>
      <c r="AQ1004" s="2" t="s">
        <v>74</v>
      </c>
      <c r="AR1004" s="2" t="s">
        <v>74</v>
      </c>
      <c r="AS1004" s="2" t="s">
        <v>74</v>
      </c>
      <c r="AT1004" s="2" t="s">
        <v>93</v>
      </c>
      <c r="AU1004" s="2">
        <v>2012</v>
      </c>
      <c r="AV1004" s="2">
        <v>8</v>
      </c>
      <c r="AW1004" s="2">
        <v>2</v>
      </c>
      <c r="AX1004" s="2" t="s">
        <v>74</v>
      </c>
      <c r="AY1004" s="2" t="s">
        <v>74</v>
      </c>
      <c r="AZ1004" s="2" t="s">
        <v>74</v>
      </c>
      <c r="BA1004" s="2" t="s">
        <v>74</v>
      </c>
      <c r="BB1004" s="2">
        <v>167</v>
      </c>
      <c r="BC1004" s="2">
        <v>170</v>
      </c>
      <c r="BD1004" s="2" t="s">
        <v>74</v>
      </c>
      <c r="BE1004" s="2" t="s">
        <v>1991</v>
      </c>
      <c r="BF1004" s="2" t="str">
        <f>HYPERLINK("http://dx.doi.org/10.1098/rsbl.2011.0914","http://dx.doi.org/10.1098/rsbl.2011.0914")</f>
        <v>http://dx.doi.org/10.1098/rsbl.2011.0914</v>
      </c>
      <c r="BG1004" s="2" t="s">
        <v>74</v>
      </c>
      <c r="BH1004" s="2" t="s">
        <v>74</v>
      </c>
      <c r="BI1004" s="2" t="s">
        <v>74</v>
      </c>
      <c r="BJ1004" s="2" t="s">
        <v>74</v>
      </c>
      <c r="BK1004" s="2" t="s">
        <v>74</v>
      </c>
      <c r="BL1004" s="2" t="s">
        <v>74</v>
      </c>
      <c r="BM1004" s="2" t="s">
        <v>74</v>
      </c>
      <c r="BN1004" s="2">
        <v>22072281</v>
      </c>
      <c r="BO1004" s="2" t="s">
        <v>74</v>
      </c>
      <c r="BP1004" s="2" t="s">
        <v>74</v>
      </c>
      <c r="BQ1004" s="2" t="s">
        <v>74</v>
      </c>
      <c r="BR1004" s="2" t="s">
        <v>74</v>
      </c>
      <c r="BS1004" s="2" t="s">
        <v>1992</v>
      </c>
      <c r="BT1004" s="2" t="str">
        <f>HYPERLINK("https%3A%2F%2Fwww.webofscience.com%2Fwos%2Fwoscc%2Ffull-record%2FWOS:000301304000003","View Full Record in Web of Science")</f>
        <v>View Full Record in Web of Science</v>
      </c>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row>
    <row r="1005" spans="1:314" s="7" customFormat="1" x14ac:dyDescent="0.4">
      <c r="A1005" s="2" t="s">
        <v>72</v>
      </c>
      <c r="B1005" s="2" t="s">
        <v>543</v>
      </c>
      <c r="C1005" s="2" t="s">
        <v>74</v>
      </c>
      <c r="D1005" s="2" t="s">
        <v>74</v>
      </c>
      <c r="E1005" s="2" t="s">
        <v>74</v>
      </c>
      <c r="F1005" s="2" t="s">
        <v>543</v>
      </c>
      <c r="G1005" s="2" t="s">
        <v>74</v>
      </c>
      <c r="H1005" s="2" t="s">
        <v>74</v>
      </c>
      <c r="I1005" s="2" t="s">
        <v>544</v>
      </c>
      <c r="J1005" s="2" t="s">
        <v>545</v>
      </c>
      <c r="K1005" s="2" t="s">
        <v>74</v>
      </c>
      <c r="L1005" s="2" t="s">
        <v>74</v>
      </c>
      <c r="M1005" s="2" t="s">
        <v>74</v>
      </c>
      <c r="N1005" s="2" t="s">
        <v>74</v>
      </c>
      <c r="O1005" s="2" t="s">
        <v>74</v>
      </c>
      <c r="P1005" s="2" t="s">
        <v>74</v>
      </c>
      <c r="Q1005" s="2" t="s">
        <v>74</v>
      </c>
      <c r="R1005" s="2" t="s">
        <v>74</v>
      </c>
      <c r="S1005" s="2" t="s">
        <v>74</v>
      </c>
      <c r="T1005" s="2" t="s">
        <v>74</v>
      </c>
      <c r="U1005" s="2" t="s">
        <v>74</v>
      </c>
      <c r="V1005" s="5" t="s">
        <v>546</v>
      </c>
      <c r="W1005" s="2" t="s">
        <v>74</v>
      </c>
      <c r="X1005" s="2" t="s">
        <v>74</v>
      </c>
      <c r="Y1005" s="2" t="s">
        <v>74</v>
      </c>
      <c r="Z1005" s="2" t="s">
        <v>74</v>
      </c>
      <c r="AA1005" s="2" t="s">
        <v>74</v>
      </c>
      <c r="AB1005" s="2" t="s">
        <v>74</v>
      </c>
      <c r="AC1005" s="2" t="s">
        <v>74</v>
      </c>
      <c r="AD1005" s="2" t="s">
        <v>74</v>
      </c>
      <c r="AE1005" s="2" t="s">
        <v>74</v>
      </c>
      <c r="AF1005" s="2" t="s">
        <v>74</v>
      </c>
      <c r="AG1005" s="2" t="s">
        <v>74</v>
      </c>
      <c r="AH1005" s="2" t="s">
        <v>74</v>
      </c>
      <c r="AI1005" s="2" t="s">
        <v>74</v>
      </c>
      <c r="AJ1005" s="2" t="s">
        <v>74</v>
      </c>
      <c r="AK1005" s="2" t="s">
        <v>74</v>
      </c>
      <c r="AL1005" s="2" t="s">
        <v>74</v>
      </c>
      <c r="AM1005" s="2" t="s">
        <v>74</v>
      </c>
      <c r="AN1005" s="2" t="s">
        <v>74</v>
      </c>
      <c r="AO1005" s="2" t="s">
        <v>547</v>
      </c>
      <c r="AP1005" s="2" t="s">
        <v>74</v>
      </c>
      <c r="AQ1005" s="2" t="s">
        <v>74</v>
      </c>
      <c r="AR1005" s="2" t="s">
        <v>74</v>
      </c>
      <c r="AS1005" s="2" t="s">
        <v>74</v>
      </c>
      <c r="AT1005" s="2" t="s">
        <v>305</v>
      </c>
      <c r="AU1005" s="2">
        <v>1996</v>
      </c>
      <c r="AV1005" s="2">
        <v>235</v>
      </c>
      <c r="AW1005" s="2" t="s">
        <v>548</v>
      </c>
      <c r="AX1005" s="2" t="s">
        <v>74</v>
      </c>
      <c r="AY1005" s="2" t="s">
        <v>74</v>
      </c>
      <c r="AZ1005" s="2" t="s">
        <v>74</v>
      </c>
      <c r="BA1005" s="2" t="s">
        <v>74</v>
      </c>
      <c r="BB1005" s="2">
        <v>77</v>
      </c>
      <c r="BC1005" s="2">
        <v>88</v>
      </c>
      <c r="BD1005" s="2" t="s">
        <v>74</v>
      </c>
      <c r="BE1005" s="2" t="s">
        <v>74</v>
      </c>
      <c r="BF1005" s="2" t="s">
        <v>74</v>
      </c>
      <c r="BG1005" s="2" t="s">
        <v>74</v>
      </c>
      <c r="BH1005" s="2" t="s">
        <v>74</v>
      </c>
      <c r="BI1005" s="2" t="s">
        <v>74</v>
      </c>
      <c r="BJ1005" s="2" t="s">
        <v>74</v>
      </c>
      <c r="BK1005" s="2" t="s">
        <v>74</v>
      </c>
      <c r="BL1005" s="2" t="s">
        <v>74</v>
      </c>
      <c r="BM1005" s="2" t="s">
        <v>74</v>
      </c>
      <c r="BN1005" s="2" t="s">
        <v>74</v>
      </c>
      <c r="BO1005" s="2" t="s">
        <v>74</v>
      </c>
      <c r="BP1005" s="2" t="s">
        <v>74</v>
      </c>
      <c r="BQ1005" s="2" t="s">
        <v>74</v>
      </c>
      <c r="BR1005" s="2" t="s">
        <v>74</v>
      </c>
      <c r="BS1005" s="2" t="s">
        <v>549</v>
      </c>
      <c r="BT1005" s="2" t="str">
        <f>HYPERLINK("https%3A%2F%2Fwww.webofscience.com%2Fwos%2Fwoscc%2Ffull-record%2FWOS:A1996WG04900005","View Full Record in Web of Science")</f>
        <v>View Full Record in Web of Science</v>
      </c>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row>
    <row r="1006" spans="1:314" s="2" customFormat="1" x14ac:dyDescent="0.4">
      <c r="A1006" s="2" t="s">
        <v>72</v>
      </c>
      <c r="B1006" s="2" t="s">
        <v>4747</v>
      </c>
      <c r="C1006" s="2" t="s">
        <v>74</v>
      </c>
      <c r="D1006" s="2" t="s">
        <v>74</v>
      </c>
      <c r="E1006" s="2" t="s">
        <v>74</v>
      </c>
      <c r="F1006" s="2" t="s">
        <v>4748</v>
      </c>
      <c r="G1006" s="2" t="s">
        <v>74</v>
      </c>
      <c r="H1006" s="2" t="s">
        <v>74</v>
      </c>
      <c r="I1006" s="2" t="s">
        <v>4749</v>
      </c>
      <c r="J1006" s="2" t="s">
        <v>1044</v>
      </c>
      <c r="K1006" s="2" t="s">
        <v>74</v>
      </c>
      <c r="L1006" s="2" t="s">
        <v>74</v>
      </c>
      <c r="M1006" s="2" t="s">
        <v>74</v>
      </c>
      <c r="N1006" s="2" t="s">
        <v>74</v>
      </c>
      <c r="O1006" s="2" t="s">
        <v>74</v>
      </c>
      <c r="P1006" s="2" t="s">
        <v>74</v>
      </c>
      <c r="Q1006" s="2" t="s">
        <v>74</v>
      </c>
      <c r="R1006" s="2" t="s">
        <v>74</v>
      </c>
      <c r="S1006" s="2" t="s">
        <v>74</v>
      </c>
      <c r="T1006" s="2" t="s">
        <v>74</v>
      </c>
      <c r="U1006" s="2" t="s">
        <v>74</v>
      </c>
      <c r="V1006" s="5" t="s">
        <v>4750</v>
      </c>
      <c r="W1006" s="2" t="s">
        <v>74</v>
      </c>
      <c r="X1006" s="2" t="s">
        <v>74</v>
      </c>
      <c r="Y1006" s="2" t="s">
        <v>74</v>
      </c>
      <c r="Z1006" s="2" t="s">
        <v>74</v>
      </c>
      <c r="AA1006" s="2" t="s">
        <v>4751</v>
      </c>
      <c r="AB1006" s="2" t="s">
        <v>4752</v>
      </c>
      <c r="AC1006" s="2" t="s">
        <v>74</v>
      </c>
      <c r="AD1006" s="2" t="s">
        <v>74</v>
      </c>
      <c r="AE1006" s="2" t="s">
        <v>74</v>
      </c>
      <c r="AF1006" s="2" t="s">
        <v>74</v>
      </c>
      <c r="AG1006" s="2" t="s">
        <v>74</v>
      </c>
      <c r="AH1006" s="2" t="s">
        <v>74</v>
      </c>
      <c r="AI1006" s="2" t="s">
        <v>74</v>
      </c>
      <c r="AJ1006" s="2" t="s">
        <v>74</v>
      </c>
      <c r="AK1006" s="2" t="s">
        <v>74</v>
      </c>
      <c r="AL1006" s="2" t="s">
        <v>74</v>
      </c>
      <c r="AM1006" s="2" t="s">
        <v>74</v>
      </c>
      <c r="AN1006" s="2" t="s">
        <v>74</v>
      </c>
      <c r="AO1006" s="2" t="s">
        <v>1048</v>
      </c>
      <c r="AP1006" s="2" t="s">
        <v>1049</v>
      </c>
      <c r="AQ1006" s="2" t="s">
        <v>74</v>
      </c>
      <c r="AR1006" s="2" t="s">
        <v>74</v>
      </c>
      <c r="AS1006" s="2" t="s">
        <v>74</v>
      </c>
      <c r="AT1006" s="2" t="s">
        <v>633</v>
      </c>
      <c r="AU1006" s="2">
        <v>2023</v>
      </c>
      <c r="AV1006" s="2">
        <v>32</v>
      </c>
      <c r="AW1006" s="2">
        <v>7</v>
      </c>
      <c r="AX1006" s="2" t="s">
        <v>74</v>
      </c>
      <c r="AY1006" s="2" t="s">
        <v>74</v>
      </c>
      <c r="AZ1006" s="2" t="s">
        <v>74</v>
      </c>
      <c r="BA1006" s="2" t="s">
        <v>74</v>
      </c>
      <c r="BB1006" s="2">
        <v>1656</v>
      </c>
      <c r="BC1006" s="2">
        <v>1672</v>
      </c>
      <c r="BD1006" s="2" t="s">
        <v>74</v>
      </c>
      <c r="BE1006" s="2" t="s">
        <v>4753</v>
      </c>
      <c r="BF1006" s="2" t="str">
        <f>HYPERLINK("http://dx.doi.org/10.1111/mec.16831","http://dx.doi.org/10.1111/mec.16831")</f>
        <v>http://dx.doi.org/10.1111/mec.16831</v>
      </c>
      <c r="BG1006" s="2" t="s">
        <v>74</v>
      </c>
      <c r="BH1006" s="2" t="s">
        <v>3048</v>
      </c>
      <c r="BI1006" s="2" t="s">
        <v>74</v>
      </c>
      <c r="BJ1006" s="2" t="s">
        <v>74</v>
      </c>
      <c r="BK1006" s="2" t="s">
        <v>74</v>
      </c>
      <c r="BL1006" s="2" t="s">
        <v>74</v>
      </c>
      <c r="BM1006" s="2" t="s">
        <v>74</v>
      </c>
      <c r="BN1006" s="2">
        <v>36560895</v>
      </c>
      <c r="BO1006" s="2" t="s">
        <v>74</v>
      </c>
      <c r="BP1006" s="2" t="s">
        <v>74</v>
      </c>
      <c r="BQ1006" s="2" t="s">
        <v>74</v>
      </c>
      <c r="BR1006" s="2" t="s">
        <v>74</v>
      </c>
      <c r="BS1006" s="2" t="s">
        <v>4754</v>
      </c>
      <c r="BT1006" s="2" t="str">
        <f>HYPERLINK("https%3A%2F%2Fwww.webofscience.com%2Fwos%2Fwoscc%2Ffull-record%2FWOS:000913280100001","View Full Record in Web of Science")</f>
        <v>View Full Record in Web of Science</v>
      </c>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row>
    <row r="1007" spans="1:314" s="2" customFormat="1" x14ac:dyDescent="0.4">
      <c r="A1007" s="2" t="s">
        <v>72</v>
      </c>
      <c r="B1007" s="2" t="s">
        <v>6616</v>
      </c>
      <c r="C1007" s="2" t="s">
        <v>74</v>
      </c>
      <c r="D1007" s="2" t="s">
        <v>74</v>
      </c>
      <c r="E1007" s="2" t="s">
        <v>74</v>
      </c>
      <c r="F1007" s="2" t="s">
        <v>6617</v>
      </c>
      <c r="G1007" s="2" t="s">
        <v>74</v>
      </c>
      <c r="H1007" s="2" t="s">
        <v>74</v>
      </c>
      <c r="I1007" s="2" t="s">
        <v>6618</v>
      </c>
      <c r="J1007" s="2" t="s">
        <v>5474</v>
      </c>
      <c r="K1007" s="2" t="s">
        <v>74</v>
      </c>
      <c r="L1007" s="2" t="s">
        <v>74</v>
      </c>
      <c r="M1007" s="2" t="s">
        <v>74</v>
      </c>
      <c r="N1007" s="2" t="s">
        <v>74</v>
      </c>
      <c r="O1007" s="2" t="s">
        <v>74</v>
      </c>
      <c r="P1007" s="2" t="s">
        <v>74</v>
      </c>
      <c r="Q1007" s="2" t="s">
        <v>74</v>
      </c>
      <c r="R1007" s="2" t="s">
        <v>74</v>
      </c>
      <c r="S1007" s="2" t="s">
        <v>74</v>
      </c>
      <c r="T1007" s="2" t="s">
        <v>74</v>
      </c>
      <c r="U1007" s="2" t="s">
        <v>74</v>
      </c>
      <c r="V1007" s="5" t="s">
        <v>6619</v>
      </c>
      <c r="W1007" s="2" t="s">
        <v>74</v>
      </c>
      <c r="X1007" s="2" t="s">
        <v>74</v>
      </c>
      <c r="Y1007" s="2" t="s">
        <v>74</v>
      </c>
      <c r="Z1007" s="2" t="s">
        <v>74</v>
      </c>
      <c r="AA1007" s="2" t="s">
        <v>6620</v>
      </c>
      <c r="AB1007" s="2" t="s">
        <v>6621</v>
      </c>
      <c r="AC1007" s="2" t="s">
        <v>74</v>
      </c>
      <c r="AD1007" s="2" t="s">
        <v>74</v>
      </c>
      <c r="AE1007" s="2" t="s">
        <v>74</v>
      </c>
      <c r="AF1007" s="2" t="s">
        <v>74</v>
      </c>
      <c r="AG1007" s="2" t="s">
        <v>74</v>
      </c>
      <c r="AH1007" s="2" t="s">
        <v>74</v>
      </c>
      <c r="AI1007" s="2" t="s">
        <v>74</v>
      </c>
      <c r="AJ1007" s="2" t="s">
        <v>74</v>
      </c>
      <c r="AK1007" s="2" t="s">
        <v>74</v>
      </c>
      <c r="AL1007" s="2" t="s">
        <v>74</v>
      </c>
      <c r="AM1007" s="2" t="s">
        <v>74</v>
      </c>
      <c r="AN1007" s="2" t="s">
        <v>74</v>
      </c>
      <c r="AO1007" s="2" t="s">
        <v>5478</v>
      </c>
      <c r="AP1007" s="2" t="s">
        <v>74</v>
      </c>
      <c r="AQ1007" s="2" t="s">
        <v>74</v>
      </c>
      <c r="AR1007" s="2" t="s">
        <v>74</v>
      </c>
      <c r="AS1007" s="2" t="s">
        <v>74</v>
      </c>
      <c r="AT1007" s="2" t="s">
        <v>6622</v>
      </c>
      <c r="AU1007" s="2">
        <v>2013</v>
      </c>
      <c r="AV1007" s="2">
        <v>68</v>
      </c>
      <c r="AW1007" s="2" t="s">
        <v>74</v>
      </c>
      <c r="AX1007" s="2" t="s">
        <v>74</v>
      </c>
      <c r="AY1007" s="2" t="s">
        <v>74</v>
      </c>
      <c r="AZ1007" s="2" t="s">
        <v>74</v>
      </c>
      <c r="BA1007" s="2" t="s">
        <v>74</v>
      </c>
      <c r="BB1007" s="2">
        <v>1</v>
      </c>
      <c r="BC1007" s="2">
        <v>26</v>
      </c>
      <c r="BD1007" s="2" t="s">
        <v>74</v>
      </c>
      <c r="BE1007" s="2" t="s">
        <v>6623</v>
      </c>
      <c r="BF1007" s="2" t="str">
        <f>HYPERLINK("http://dx.doi.org/10.5852/ejt.2013.68","http://dx.doi.org/10.5852/ejt.2013.68")</f>
        <v>http://dx.doi.org/10.5852/ejt.2013.68</v>
      </c>
      <c r="BG1007" s="2" t="s">
        <v>74</v>
      </c>
      <c r="BH1007" s="2" t="s">
        <v>74</v>
      </c>
      <c r="BI1007" s="2" t="s">
        <v>74</v>
      </c>
      <c r="BJ1007" s="2" t="s">
        <v>74</v>
      </c>
      <c r="BK1007" s="2" t="s">
        <v>74</v>
      </c>
      <c r="BL1007" s="2" t="s">
        <v>74</v>
      </c>
      <c r="BM1007" s="2" t="s">
        <v>74</v>
      </c>
      <c r="BN1007" s="2" t="s">
        <v>74</v>
      </c>
      <c r="BO1007" s="2" t="s">
        <v>74</v>
      </c>
      <c r="BP1007" s="2" t="s">
        <v>74</v>
      </c>
      <c r="BQ1007" s="2" t="s">
        <v>74</v>
      </c>
      <c r="BR1007" s="2" t="s">
        <v>74</v>
      </c>
      <c r="BS1007" s="2" t="s">
        <v>6624</v>
      </c>
      <c r="BT1007" s="2" t="str">
        <f>HYPERLINK("https%3A%2F%2Fwww.webofscience.com%2Fwos%2Fwoscc%2Ffull-record%2FWOS:000333018600001","View Full Record in Web of Science")</f>
        <v>View Full Record in Web of Science</v>
      </c>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row>
    <row r="1008" spans="1:314" s="2" customFormat="1" x14ac:dyDescent="0.4">
      <c r="A1008" s="2" t="s">
        <v>72</v>
      </c>
      <c r="B1008" s="2" t="s">
        <v>5471</v>
      </c>
      <c r="C1008" s="2" t="s">
        <v>74</v>
      </c>
      <c r="D1008" s="2" t="s">
        <v>74</v>
      </c>
      <c r="E1008" s="2" t="s">
        <v>74</v>
      </c>
      <c r="F1008" s="2" t="s">
        <v>5472</v>
      </c>
      <c r="G1008" s="2" t="s">
        <v>74</v>
      </c>
      <c r="H1008" s="2" t="s">
        <v>74</v>
      </c>
      <c r="I1008" s="2" t="s">
        <v>5473</v>
      </c>
      <c r="J1008" s="2" t="s">
        <v>5474</v>
      </c>
      <c r="K1008" s="2" t="s">
        <v>74</v>
      </c>
      <c r="L1008" s="2" t="s">
        <v>74</v>
      </c>
      <c r="M1008" s="2" t="s">
        <v>74</v>
      </c>
      <c r="N1008" s="2" t="s">
        <v>74</v>
      </c>
      <c r="O1008" s="2" t="s">
        <v>74</v>
      </c>
      <c r="P1008" s="2" t="s">
        <v>74</v>
      </c>
      <c r="Q1008" s="2" t="s">
        <v>74</v>
      </c>
      <c r="R1008" s="2" t="s">
        <v>74</v>
      </c>
      <c r="S1008" s="2" t="s">
        <v>74</v>
      </c>
      <c r="T1008" s="2" t="s">
        <v>74</v>
      </c>
      <c r="U1008" s="2" t="s">
        <v>74</v>
      </c>
      <c r="V1008" s="5" t="s">
        <v>5475</v>
      </c>
      <c r="W1008" s="2" t="s">
        <v>74</v>
      </c>
      <c r="X1008" s="2" t="s">
        <v>74</v>
      </c>
      <c r="Y1008" s="2" t="s">
        <v>74</v>
      </c>
      <c r="Z1008" s="2" t="s">
        <v>74</v>
      </c>
      <c r="AA1008" s="2" t="s">
        <v>5476</v>
      </c>
      <c r="AB1008" s="2" t="s">
        <v>5477</v>
      </c>
      <c r="AC1008" s="2" t="s">
        <v>74</v>
      </c>
      <c r="AD1008" s="2" t="s">
        <v>74</v>
      </c>
      <c r="AE1008" s="2" t="s">
        <v>74</v>
      </c>
      <c r="AF1008" s="2" t="s">
        <v>74</v>
      </c>
      <c r="AG1008" s="2" t="s">
        <v>74</v>
      </c>
      <c r="AH1008" s="2" t="s">
        <v>74</v>
      </c>
      <c r="AI1008" s="2" t="s">
        <v>74</v>
      </c>
      <c r="AJ1008" s="2" t="s">
        <v>74</v>
      </c>
      <c r="AK1008" s="2" t="s">
        <v>74</v>
      </c>
      <c r="AL1008" s="2" t="s">
        <v>74</v>
      </c>
      <c r="AM1008" s="2" t="s">
        <v>74</v>
      </c>
      <c r="AN1008" s="2" t="s">
        <v>74</v>
      </c>
      <c r="AO1008" s="2" t="s">
        <v>5478</v>
      </c>
      <c r="AP1008" s="2" t="s">
        <v>74</v>
      </c>
      <c r="AQ1008" s="2" t="s">
        <v>74</v>
      </c>
      <c r="AR1008" s="2" t="s">
        <v>74</v>
      </c>
      <c r="AS1008" s="2" t="s">
        <v>74</v>
      </c>
      <c r="AT1008" s="2" t="s">
        <v>5479</v>
      </c>
      <c r="AU1008" s="2">
        <v>2020</v>
      </c>
      <c r="AV1008" s="2">
        <v>600</v>
      </c>
      <c r="AW1008" s="2" t="s">
        <v>74</v>
      </c>
      <c r="AX1008" s="2" t="s">
        <v>74</v>
      </c>
      <c r="AY1008" s="2" t="s">
        <v>74</v>
      </c>
      <c r="AZ1008" s="2" t="s">
        <v>74</v>
      </c>
      <c r="BA1008" s="2" t="s">
        <v>74</v>
      </c>
      <c r="BB1008" s="2" t="s">
        <v>74</v>
      </c>
      <c r="BC1008" s="2" t="s">
        <v>74</v>
      </c>
      <c r="BD1008" s="2" t="s">
        <v>74</v>
      </c>
      <c r="BE1008" s="2" t="s">
        <v>5480</v>
      </c>
      <c r="BF1008" s="2" t="str">
        <f>HYPERLINK("http://dx.doi.org/10.5852/ejt.2020.600","http://dx.doi.org/10.5852/ejt.2020.600")</f>
        <v>http://dx.doi.org/10.5852/ejt.2020.600</v>
      </c>
      <c r="BG1008" s="2" t="s">
        <v>74</v>
      </c>
      <c r="BH1008" s="2" t="s">
        <v>74</v>
      </c>
      <c r="BI1008" s="2" t="s">
        <v>74</v>
      </c>
      <c r="BJ1008" s="2" t="s">
        <v>74</v>
      </c>
      <c r="BK1008" s="2" t="s">
        <v>74</v>
      </c>
      <c r="BL1008" s="2" t="s">
        <v>74</v>
      </c>
      <c r="BM1008" s="2" t="s">
        <v>74</v>
      </c>
      <c r="BN1008" s="2" t="s">
        <v>74</v>
      </c>
      <c r="BO1008" s="2" t="s">
        <v>74</v>
      </c>
      <c r="BP1008" s="2" t="s">
        <v>74</v>
      </c>
      <c r="BQ1008" s="2" t="s">
        <v>74</v>
      </c>
      <c r="BR1008" s="2" t="s">
        <v>74</v>
      </c>
      <c r="BS1008" s="2" t="s">
        <v>5481</v>
      </c>
      <c r="BT1008" s="2" t="str">
        <f>HYPERLINK("https%3A%2F%2Fwww.webofscience.com%2Fwos%2Fwoscc%2Ffull-record%2FWOS:000512655700001","View Full Record in Web of Science")</f>
        <v>View Full Record in Web of Science</v>
      </c>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row>
    <row r="1009" spans="1:314" s="2" customFormat="1" x14ac:dyDescent="0.4">
      <c r="A1009" s="2" t="s">
        <v>72</v>
      </c>
      <c r="B1009" s="2" t="s">
        <v>3329</v>
      </c>
      <c r="C1009" s="2" t="s">
        <v>74</v>
      </c>
      <c r="D1009" s="2" t="s">
        <v>74</v>
      </c>
      <c r="E1009" s="2" t="s">
        <v>74</v>
      </c>
      <c r="F1009" s="2" t="s">
        <v>3330</v>
      </c>
      <c r="G1009" s="2" t="s">
        <v>74</v>
      </c>
      <c r="H1009" s="2" t="s">
        <v>74</v>
      </c>
      <c r="I1009" s="2" t="s">
        <v>3331</v>
      </c>
      <c r="J1009" s="2" t="s">
        <v>3332</v>
      </c>
      <c r="K1009" s="2" t="s">
        <v>74</v>
      </c>
      <c r="L1009" s="2" t="s">
        <v>74</v>
      </c>
      <c r="M1009" s="2" t="s">
        <v>74</v>
      </c>
      <c r="N1009" s="2" t="s">
        <v>74</v>
      </c>
      <c r="O1009" s="2" t="s">
        <v>74</v>
      </c>
      <c r="P1009" s="2" t="s">
        <v>74</v>
      </c>
      <c r="Q1009" s="2" t="s">
        <v>74</v>
      </c>
      <c r="R1009" s="2" t="s">
        <v>74</v>
      </c>
      <c r="S1009" s="2" t="s">
        <v>74</v>
      </c>
      <c r="T1009" s="2" t="s">
        <v>74</v>
      </c>
      <c r="U1009" s="2" t="s">
        <v>74</v>
      </c>
      <c r="V1009" s="5" t="s">
        <v>3333</v>
      </c>
      <c r="W1009" s="2" t="s">
        <v>74</v>
      </c>
      <c r="X1009" s="2" t="s">
        <v>74</v>
      </c>
      <c r="Y1009" s="2" t="s">
        <v>74</v>
      </c>
      <c r="Z1009" s="2" t="s">
        <v>74</v>
      </c>
      <c r="AA1009" s="2" t="s">
        <v>3334</v>
      </c>
      <c r="AB1009" s="2" t="s">
        <v>3335</v>
      </c>
      <c r="AC1009" s="2" t="s">
        <v>74</v>
      </c>
      <c r="AD1009" s="2" t="s">
        <v>74</v>
      </c>
      <c r="AE1009" s="2" t="s">
        <v>74</v>
      </c>
      <c r="AF1009" s="2" t="s">
        <v>74</v>
      </c>
      <c r="AG1009" s="2" t="s">
        <v>74</v>
      </c>
      <c r="AH1009" s="2" t="s">
        <v>74</v>
      </c>
      <c r="AI1009" s="2" t="s">
        <v>74</v>
      </c>
      <c r="AJ1009" s="2" t="s">
        <v>74</v>
      </c>
      <c r="AK1009" s="2" t="s">
        <v>74</v>
      </c>
      <c r="AL1009" s="2" t="s">
        <v>74</v>
      </c>
      <c r="AM1009" s="2" t="s">
        <v>74</v>
      </c>
      <c r="AN1009" s="2" t="s">
        <v>74</v>
      </c>
      <c r="AO1009" s="2" t="s">
        <v>3336</v>
      </c>
      <c r="AP1009" s="2" t="s">
        <v>3337</v>
      </c>
      <c r="AQ1009" s="2" t="s">
        <v>74</v>
      </c>
      <c r="AR1009" s="2" t="s">
        <v>74</v>
      </c>
      <c r="AS1009" s="2" t="s">
        <v>74</v>
      </c>
      <c r="AT1009" s="2" t="s">
        <v>3338</v>
      </c>
      <c r="AU1009" s="2">
        <v>2010</v>
      </c>
      <c r="AV1009" s="2">
        <v>45</v>
      </c>
      <c r="AW1009" s="2">
        <v>1</v>
      </c>
      <c r="AX1009" s="2" t="s">
        <v>74</v>
      </c>
      <c r="AY1009" s="2" t="s">
        <v>74</v>
      </c>
      <c r="AZ1009" s="2" t="s">
        <v>74</v>
      </c>
      <c r="BA1009" s="2" t="s">
        <v>74</v>
      </c>
      <c r="BB1009" s="2">
        <v>98</v>
      </c>
      <c r="BC1009" s="2">
        <v>104</v>
      </c>
      <c r="BD1009" s="2" t="s">
        <v>74</v>
      </c>
      <c r="BE1009" s="2" t="s">
        <v>3339</v>
      </c>
      <c r="BF1009" s="2" t="str">
        <f>HYPERLINK("http://dx.doi.org/10.3161/000164510X516137","http://dx.doi.org/10.3161/000164510X516137")</f>
        <v>http://dx.doi.org/10.3161/000164510X516137</v>
      </c>
      <c r="BG1009" s="2" t="s">
        <v>74</v>
      </c>
      <c r="BH1009" s="2" t="s">
        <v>74</v>
      </c>
      <c r="BI1009" s="2" t="s">
        <v>74</v>
      </c>
      <c r="BJ1009" s="2" t="s">
        <v>74</v>
      </c>
      <c r="BK1009" s="2" t="s">
        <v>74</v>
      </c>
      <c r="BL1009" s="2" t="s">
        <v>74</v>
      </c>
      <c r="BM1009" s="2" t="s">
        <v>74</v>
      </c>
      <c r="BN1009" s="2" t="s">
        <v>74</v>
      </c>
      <c r="BO1009" s="2" t="s">
        <v>74</v>
      </c>
      <c r="BP1009" s="2" t="s">
        <v>74</v>
      </c>
      <c r="BQ1009" s="2" t="s">
        <v>74</v>
      </c>
      <c r="BR1009" s="2" t="s">
        <v>74</v>
      </c>
      <c r="BS1009" s="2" t="s">
        <v>3340</v>
      </c>
      <c r="BT1009" s="2" t="str">
        <f>HYPERLINK("https%3A%2F%2Fwww.webofscience.com%2Fwos%2Fwoscc%2Ffull-record%2FWOS:000280387600011","View Full Record in Web of Science")</f>
        <v>View Full Record in Web of Science</v>
      </c>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row>
    <row r="1010" spans="1:314" s="2" customFormat="1" x14ac:dyDescent="0.4">
      <c r="A1010" s="2" t="s">
        <v>72</v>
      </c>
      <c r="B1010" s="2" t="s">
        <v>1593</v>
      </c>
      <c r="C1010" s="2" t="s">
        <v>74</v>
      </c>
      <c r="D1010" s="2" t="s">
        <v>74</v>
      </c>
      <c r="E1010" s="2" t="s">
        <v>74</v>
      </c>
      <c r="F1010" s="2" t="s">
        <v>1593</v>
      </c>
      <c r="G1010" s="2" t="s">
        <v>74</v>
      </c>
      <c r="H1010" s="2" t="s">
        <v>74</v>
      </c>
      <c r="I1010" s="2" t="s">
        <v>1594</v>
      </c>
      <c r="J1010" s="2" t="s">
        <v>77</v>
      </c>
      <c r="K1010" s="2" t="s">
        <v>74</v>
      </c>
      <c r="L1010" s="2" t="s">
        <v>74</v>
      </c>
      <c r="M1010" s="2" t="s">
        <v>74</v>
      </c>
      <c r="N1010" s="2" t="s">
        <v>74</v>
      </c>
      <c r="O1010" s="2" t="s">
        <v>74</v>
      </c>
      <c r="P1010" s="2" t="s">
        <v>74</v>
      </c>
      <c r="Q1010" s="2" t="s">
        <v>74</v>
      </c>
      <c r="R1010" s="2" t="s">
        <v>74</v>
      </c>
      <c r="S1010" s="2" t="s">
        <v>74</v>
      </c>
      <c r="T1010" s="2" t="s">
        <v>74</v>
      </c>
      <c r="U1010" s="2" t="s">
        <v>74</v>
      </c>
      <c r="V1010" s="5" t="s">
        <v>1595</v>
      </c>
      <c r="W1010" s="2" t="s">
        <v>74</v>
      </c>
      <c r="X1010" s="2" t="s">
        <v>74</v>
      </c>
      <c r="Y1010" s="2" t="s">
        <v>74</v>
      </c>
      <c r="Z1010" s="2" t="s">
        <v>74</v>
      </c>
      <c r="AA1010" s="2" t="s">
        <v>1596</v>
      </c>
      <c r="AB1010" s="2" t="s">
        <v>262</v>
      </c>
      <c r="AC1010" s="2" t="s">
        <v>74</v>
      </c>
      <c r="AD1010" s="2" t="s">
        <v>74</v>
      </c>
      <c r="AE1010" s="2" t="s">
        <v>74</v>
      </c>
      <c r="AF1010" s="2" t="s">
        <v>74</v>
      </c>
      <c r="AG1010" s="2" t="s">
        <v>74</v>
      </c>
      <c r="AH1010" s="2" t="s">
        <v>74</v>
      </c>
      <c r="AI1010" s="2" t="s">
        <v>74</v>
      </c>
      <c r="AJ1010" s="2" t="s">
        <v>74</v>
      </c>
      <c r="AK1010" s="2" t="s">
        <v>74</v>
      </c>
      <c r="AL1010" s="2" t="s">
        <v>74</v>
      </c>
      <c r="AM1010" s="2" t="s">
        <v>74</v>
      </c>
      <c r="AN1010" s="2" t="s">
        <v>74</v>
      </c>
      <c r="AO1010" s="2" t="s">
        <v>81</v>
      </c>
      <c r="AP1010" s="2" t="s">
        <v>82</v>
      </c>
      <c r="AQ1010" s="2" t="s">
        <v>74</v>
      </c>
      <c r="AR1010" s="2" t="s">
        <v>74</v>
      </c>
      <c r="AS1010" s="2" t="s">
        <v>74</v>
      </c>
      <c r="AT1010" s="2" t="s">
        <v>123</v>
      </c>
      <c r="AU1010" s="2">
        <v>2005</v>
      </c>
      <c r="AV1010" s="2">
        <v>142</v>
      </c>
      <c r="AW1010" s="2" t="s">
        <v>74</v>
      </c>
      <c r="AX1010" s="2">
        <v>3</v>
      </c>
      <c r="AY1010" s="2" t="s">
        <v>74</v>
      </c>
      <c r="AZ1010" s="2" t="s">
        <v>74</v>
      </c>
      <c r="BA1010" s="2" t="s">
        <v>74</v>
      </c>
      <c r="BB1010" s="2">
        <v>329</v>
      </c>
      <c r="BC1010" s="2">
        <v>350</v>
      </c>
      <c r="BD1010" s="2" t="s">
        <v>74</v>
      </c>
      <c r="BE1010" s="2" t="s">
        <v>1597</v>
      </c>
      <c r="BF1010" s="2" t="str">
        <f>HYPERLINK("http://dx.doi.org/10.1163/1568539053778265","http://dx.doi.org/10.1163/1568539053778265")</f>
        <v>http://dx.doi.org/10.1163/1568539053778265</v>
      </c>
      <c r="BG1010" s="2" t="s">
        <v>74</v>
      </c>
      <c r="BH1010" s="2" t="s">
        <v>74</v>
      </c>
      <c r="BI1010" s="2" t="s">
        <v>74</v>
      </c>
      <c r="BJ1010" s="2" t="s">
        <v>74</v>
      </c>
      <c r="BK1010" s="2" t="s">
        <v>74</v>
      </c>
      <c r="BL1010" s="2" t="s">
        <v>74</v>
      </c>
      <c r="BM1010" s="2" t="s">
        <v>74</v>
      </c>
      <c r="BN1010" s="2" t="s">
        <v>74</v>
      </c>
      <c r="BO1010" s="2" t="s">
        <v>74</v>
      </c>
      <c r="BP1010" s="2" t="s">
        <v>74</v>
      </c>
      <c r="BQ1010" s="2" t="s">
        <v>74</v>
      </c>
      <c r="BR1010" s="2" t="s">
        <v>74</v>
      </c>
      <c r="BS1010" s="2" t="s">
        <v>1598</v>
      </c>
      <c r="BT1010" s="2" t="str">
        <f>HYPERLINK("https%3A%2F%2Fwww.webofscience.com%2Fwos%2Fwoscc%2Ffull-record%2FWOS:000230357500004","View Full Record in Web of Science")</f>
        <v>View Full Record in Web of Science</v>
      </c>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row>
    <row r="1011" spans="1:314" s="2" customFormat="1" x14ac:dyDescent="0.4">
      <c r="A1011" s="2" t="s">
        <v>72</v>
      </c>
      <c r="B1011" s="2" t="s">
        <v>3125</v>
      </c>
      <c r="C1011" s="2" t="s">
        <v>74</v>
      </c>
      <c r="D1011" s="2" t="s">
        <v>74</v>
      </c>
      <c r="E1011" s="2" t="s">
        <v>74</v>
      </c>
      <c r="F1011" s="2" t="s">
        <v>3126</v>
      </c>
      <c r="G1011" s="2" t="s">
        <v>74</v>
      </c>
      <c r="H1011" s="2" t="s">
        <v>74</v>
      </c>
      <c r="I1011" s="2" t="s">
        <v>3127</v>
      </c>
      <c r="J1011" s="2" t="s">
        <v>3128</v>
      </c>
      <c r="K1011" s="2" t="s">
        <v>74</v>
      </c>
      <c r="L1011" s="2" t="s">
        <v>74</v>
      </c>
      <c r="M1011" s="2" t="s">
        <v>74</v>
      </c>
      <c r="N1011" s="2" t="s">
        <v>74</v>
      </c>
      <c r="O1011" s="2" t="s">
        <v>74</v>
      </c>
      <c r="P1011" s="2" t="s">
        <v>74</v>
      </c>
      <c r="Q1011" s="2" t="s">
        <v>74</v>
      </c>
      <c r="R1011" s="2" t="s">
        <v>74</v>
      </c>
      <c r="S1011" s="2" t="s">
        <v>74</v>
      </c>
      <c r="T1011" s="2" t="s">
        <v>74</v>
      </c>
      <c r="U1011" s="2" t="s">
        <v>74</v>
      </c>
      <c r="V1011" s="5" t="s">
        <v>3129</v>
      </c>
      <c r="W1011" s="2" t="s">
        <v>74</v>
      </c>
      <c r="X1011" s="2" t="s">
        <v>74</v>
      </c>
      <c r="Y1011" s="2" t="s">
        <v>74</v>
      </c>
      <c r="Z1011" s="2" t="s">
        <v>74</v>
      </c>
      <c r="AA1011" s="2" t="s">
        <v>74</v>
      </c>
      <c r="AB1011" s="2" t="s">
        <v>74</v>
      </c>
      <c r="AC1011" s="2" t="s">
        <v>74</v>
      </c>
      <c r="AD1011" s="2" t="s">
        <v>74</v>
      </c>
      <c r="AE1011" s="2" t="s">
        <v>74</v>
      </c>
      <c r="AF1011" s="2" t="s">
        <v>74</v>
      </c>
      <c r="AG1011" s="2" t="s">
        <v>74</v>
      </c>
      <c r="AH1011" s="2" t="s">
        <v>74</v>
      </c>
      <c r="AI1011" s="2" t="s">
        <v>74</v>
      </c>
      <c r="AJ1011" s="2" t="s">
        <v>74</v>
      </c>
      <c r="AK1011" s="2" t="s">
        <v>74</v>
      </c>
      <c r="AL1011" s="2" t="s">
        <v>74</v>
      </c>
      <c r="AM1011" s="2" t="s">
        <v>74</v>
      </c>
      <c r="AN1011" s="2" t="s">
        <v>74</v>
      </c>
      <c r="AO1011" s="2" t="s">
        <v>3130</v>
      </c>
      <c r="AP1011" s="2" t="s">
        <v>3131</v>
      </c>
      <c r="AQ1011" s="2" t="s">
        <v>74</v>
      </c>
      <c r="AR1011" s="2" t="s">
        <v>74</v>
      </c>
      <c r="AS1011" s="2" t="s">
        <v>74</v>
      </c>
      <c r="AT1011" s="2" t="s">
        <v>74</v>
      </c>
      <c r="AU1011" s="2">
        <v>2016</v>
      </c>
      <c r="AV1011" s="2">
        <v>37</v>
      </c>
      <c r="AW1011" s="2">
        <v>3</v>
      </c>
      <c r="AX1011" s="2" t="s">
        <v>74</v>
      </c>
      <c r="AY1011" s="2" t="s">
        <v>74</v>
      </c>
      <c r="AZ1011" s="2" t="s">
        <v>74</v>
      </c>
      <c r="BA1011" s="2" t="s">
        <v>74</v>
      </c>
      <c r="BB1011" s="2">
        <v>283</v>
      </c>
      <c r="BC1011" s="2">
        <v>290</v>
      </c>
      <c r="BD1011" s="2" t="s">
        <v>74</v>
      </c>
      <c r="BE1011" s="2" t="s">
        <v>3132</v>
      </c>
      <c r="BF1011" s="2" t="str">
        <f>HYPERLINK("http://dx.doi.org/10.1163/15685381-00003055","http://dx.doi.org/10.1163/15685381-00003055")</f>
        <v>http://dx.doi.org/10.1163/15685381-00003055</v>
      </c>
      <c r="BG1011" s="2" t="s">
        <v>74</v>
      </c>
      <c r="BH1011" s="2" t="s">
        <v>74</v>
      </c>
      <c r="BI1011" s="2" t="s">
        <v>74</v>
      </c>
      <c r="BJ1011" s="2" t="s">
        <v>74</v>
      </c>
      <c r="BK1011" s="2" t="s">
        <v>74</v>
      </c>
      <c r="BL1011" s="2" t="s">
        <v>74</v>
      </c>
      <c r="BM1011" s="2" t="s">
        <v>74</v>
      </c>
      <c r="BN1011" s="2" t="s">
        <v>74</v>
      </c>
      <c r="BO1011" s="2" t="s">
        <v>74</v>
      </c>
      <c r="BP1011" s="2" t="s">
        <v>74</v>
      </c>
      <c r="BQ1011" s="2" t="s">
        <v>74</v>
      </c>
      <c r="BR1011" s="2" t="s">
        <v>74</v>
      </c>
      <c r="BS1011" s="2" t="s">
        <v>3133</v>
      </c>
      <c r="BT1011" s="2" t="str">
        <f>HYPERLINK("https%3A%2F%2Fwww.webofscience.com%2Fwos%2Fwoscc%2Ffull-record%2FWOS:000384414500004","View Full Record in Web of Science")</f>
        <v>View Full Record in Web of Science</v>
      </c>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row>
    <row r="1012" spans="1:314" s="2" customFormat="1" x14ac:dyDescent="0.4">
      <c r="A1012" s="2" t="s">
        <v>72</v>
      </c>
      <c r="B1012" s="2" t="s">
        <v>6537</v>
      </c>
      <c r="C1012" s="2" t="s">
        <v>74</v>
      </c>
      <c r="D1012" s="2" t="s">
        <v>74</v>
      </c>
      <c r="E1012" s="2" t="s">
        <v>74</v>
      </c>
      <c r="F1012" s="2" t="s">
        <v>6537</v>
      </c>
      <c r="G1012" s="2" t="s">
        <v>74</v>
      </c>
      <c r="H1012" s="2" t="s">
        <v>74</v>
      </c>
      <c r="I1012" s="2" t="s">
        <v>6538</v>
      </c>
      <c r="J1012" s="2" t="s">
        <v>129</v>
      </c>
      <c r="K1012" s="2" t="s">
        <v>74</v>
      </c>
      <c r="L1012" s="2" t="s">
        <v>74</v>
      </c>
      <c r="M1012" s="2" t="s">
        <v>74</v>
      </c>
      <c r="N1012" s="2" t="s">
        <v>74</v>
      </c>
      <c r="O1012" s="2" t="s">
        <v>74</v>
      </c>
      <c r="P1012" s="2" t="s">
        <v>74</v>
      </c>
      <c r="Q1012" s="2" t="s">
        <v>74</v>
      </c>
      <c r="R1012" s="2" t="s">
        <v>74</v>
      </c>
      <c r="S1012" s="2" t="s">
        <v>74</v>
      </c>
      <c r="T1012" s="2" t="s">
        <v>74</v>
      </c>
      <c r="U1012" s="2" t="s">
        <v>74</v>
      </c>
      <c r="V1012" s="5" t="s">
        <v>6539</v>
      </c>
      <c r="W1012" s="2" t="s">
        <v>74</v>
      </c>
      <c r="X1012" s="2" t="s">
        <v>74</v>
      </c>
      <c r="Y1012" s="2" t="s">
        <v>74</v>
      </c>
      <c r="Z1012" s="2" t="s">
        <v>74</v>
      </c>
      <c r="AA1012" s="2" t="s">
        <v>74</v>
      </c>
      <c r="AB1012" s="2" t="s">
        <v>74</v>
      </c>
      <c r="AC1012" s="2" t="s">
        <v>74</v>
      </c>
      <c r="AD1012" s="2" t="s">
        <v>74</v>
      </c>
      <c r="AE1012" s="2" t="s">
        <v>74</v>
      </c>
      <c r="AF1012" s="2" t="s">
        <v>74</v>
      </c>
      <c r="AG1012" s="2" t="s">
        <v>74</v>
      </c>
      <c r="AH1012" s="2" t="s">
        <v>74</v>
      </c>
      <c r="AI1012" s="2" t="s">
        <v>74</v>
      </c>
      <c r="AJ1012" s="2" t="s">
        <v>74</v>
      </c>
      <c r="AK1012" s="2" t="s">
        <v>74</v>
      </c>
      <c r="AL1012" s="2" t="s">
        <v>74</v>
      </c>
      <c r="AM1012" s="2" t="s">
        <v>74</v>
      </c>
      <c r="AN1012" s="2" t="s">
        <v>74</v>
      </c>
      <c r="AO1012" s="2" t="s">
        <v>132</v>
      </c>
      <c r="AP1012" s="2" t="s">
        <v>74</v>
      </c>
      <c r="AQ1012" s="2" t="s">
        <v>74</v>
      </c>
      <c r="AR1012" s="2" t="s">
        <v>74</v>
      </c>
      <c r="AS1012" s="2" t="s">
        <v>74</v>
      </c>
      <c r="AT1012" s="2" t="s">
        <v>204</v>
      </c>
      <c r="AU1012" s="2">
        <v>1992</v>
      </c>
      <c r="AV1012" s="2">
        <v>31</v>
      </c>
      <c r="AW1012" s="2">
        <v>1</v>
      </c>
      <c r="AX1012" s="2" t="s">
        <v>74</v>
      </c>
      <c r="AY1012" s="2" t="s">
        <v>74</v>
      </c>
      <c r="AZ1012" s="2" t="s">
        <v>74</v>
      </c>
      <c r="BA1012" s="2" t="s">
        <v>74</v>
      </c>
      <c r="BB1012" s="2">
        <v>27</v>
      </c>
      <c r="BC1012" s="2">
        <v>33</v>
      </c>
      <c r="BD1012" s="2" t="s">
        <v>74</v>
      </c>
      <c r="BE1012" s="2" t="s">
        <v>6540</v>
      </c>
      <c r="BF1012" s="2" t="str">
        <f>HYPERLINK("http://dx.doi.org/10.1007/BF00167813","http://dx.doi.org/10.1007/BF00167813")</f>
        <v>http://dx.doi.org/10.1007/BF00167813</v>
      </c>
      <c r="BG1012" s="2" t="s">
        <v>74</v>
      </c>
      <c r="BH1012" s="2" t="s">
        <v>74</v>
      </c>
      <c r="BI1012" s="2" t="s">
        <v>74</v>
      </c>
      <c r="BJ1012" s="2" t="s">
        <v>74</v>
      </c>
      <c r="BK1012" s="2" t="s">
        <v>74</v>
      </c>
      <c r="BL1012" s="2" t="s">
        <v>74</v>
      </c>
      <c r="BM1012" s="2" t="s">
        <v>74</v>
      </c>
      <c r="BN1012" s="2" t="s">
        <v>74</v>
      </c>
      <c r="BO1012" s="2" t="s">
        <v>74</v>
      </c>
      <c r="BP1012" s="2" t="s">
        <v>74</v>
      </c>
      <c r="BQ1012" s="2" t="s">
        <v>74</v>
      </c>
      <c r="BR1012" s="2" t="s">
        <v>74</v>
      </c>
      <c r="BS1012" s="2" t="s">
        <v>6541</v>
      </c>
      <c r="BT1012" s="2" t="str">
        <f>HYPERLINK("https%3A%2F%2Fwww.webofscience.com%2Fwos%2Fwoscc%2Ffull-record%2FWOS:A1992JE29600004","View Full Record in Web of Science")</f>
        <v>View Full Record in Web of Science</v>
      </c>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row>
    <row r="1013" spans="1:314" s="2" customFormat="1" x14ac:dyDescent="0.4">
      <c r="A1013" s="2" t="s">
        <v>72</v>
      </c>
      <c r="B1013" s="2" t="s">
        <v>7212</v>
      </c>
      <c r="C1013" s="2" t="s">
        <v>74</v>
      </c>
      <c r="D1013" s="2" t="s">
        <v>74</v>
      </c>
      <c r="E1013" s="2" t="s">
        <v>74</v>
      </c>
      <c r="F1013" s="2" t="s">
        <v>7213</v>
      </c>
      <c r="G1013" s="2" t="s">
        <v>74</v>
      </c>
      <c r="H1013" s="2" t="s">
        <v>74</v>
      </c>
      <c r="I1013" s="2" t="s">
        <v>7214</v>
      </c>
      <c r="J1013" s="2" t="s">
        <v>333</v>
      </c>
      <c r="K1013" s="2" t="s">
        <v>74</v>
      </c>
      <c r="L1013" s="2" t="s">
        <v>74</v>
      </c>
      <c r="M1013" s="2" t="s">
        <v>74</v>
      </c>
      <c r="N1013" s="2" t="s">
        <v>74</v>
      </c>
      <c r="O1013" s="2" t="s">
        <v>74</v>
      </c>
      <c r="P1013" s="2" t="s">
        <v>74</v>
      </c>
      <c r="Q1013" s="2" t="s">
        <v>74</v>
      </c>
      <c r="R1013" s="2" t="s">
        <v>74</v>
      </c>
      <c r="S1013" s="2" t="s">
        <v>74</v>
      </c>
      <c r="T1013" s="2" t="s">
        <v>74</v>
      </c>
      <c r="U1013" s="2" t="s">
        <v>74</v>
      </c>
      <c r="V1013" s="5" t="s">
        <v>7215</v>
      </c>
      <c r="W1013" s="2" t="s">
        <v>74</v>
      </c>
      <c r="X1013" s="2" t="s">
        <v>74</v>
      </c>
      <c r="Y1013" s="2" t="s">
        <v>74</v>
      </c>
      <c r="Z1013" s="2" t="s">
        <v>74</v>
      </c>
      <c r="AA1013" s="2" t="s">
        <v>7216</v>
      </c>
      <c r="AB1013" s="2" t="s">
        <v>7217</v>
      </c>
      <c r="AC1013" s="2" t="s">
        <v>74</v>
      </c>
      <c r="AD1013" s="2" t="s">
        <v>74</v>
      </c>
      <c r="AE1013" s="2" t="s">
        <v>74</v>
      </c>
      <c r="AF1013" s="2" t="s">
        <v>74</v>
      </c>
      <c r="AG1013" s="2" t="s">
        <v>74</v>
      </c>
      <c r="AH1013" s="2" t="s">
        <v>74</v>
      </c>
      <c r="AI1013" s="2" t="s">
        <v>74</v>
      </c>
      <c r="AJ1013" s="2" t="s">
        <v>74</v>
      </c>
      <c r="AK1013" s="2" t="s">
        <v>74</v>
      </c>
      <c r="AL1013" s="2" t="s">
        <v>74</v>
      </c>
      <c r="AM1013" s="2" t="s">
        <v>74</v>
      </c>
      <c r="AN1013" s="2" t="s">
        <v>74</v>
      </c>
      <c r="AO1013" s="2" t="s">
        <v>337</v>
      </c>
      <c r="AP1013" s="2" t="s">
        <v>338</v>
      </c>
      <c r="AQ1013" s="2" t="s">
        <v>74</v>
      </c>
      <c r="AR1013" s="2" t="s">
        <v>74</v>
      </c>
      <c r="AS1013" s="2" t="s">
        <v>74</v>
      </c>
      <c r="AT1013" s="2" t="s">
        <v>1038</v>
      </c>
      <c r="AU1013" s="2">
        <v>2016</v>
      </c>
      <c r="AV1013" s="2">
        <v>27</v>
      </c>
      <c r="AW1013" s="2">
        <v>2</v>
      </c>
      <c r="AX1013" s="2" t="s">
        <v>74</v>
      </c>
      <c r="AY1013" s="2" t="s">
        <v>74</v>
      </c>
      <c r="AZ1013" s="2" t="s">
        <v>74</v>
      </c>
      <c r="BA1013" s="2" t="s">
        <v>74</v>
      </c>
      <c r="BB1013" s="2">
        <v>677</v>
      </c>
      <c r="BC1013" s="2">
        <v>684</v>
      </c>
      <c r="BD1013" s="2" t="s">
        <v>74</v>
      </c>
      <c r="BE1013" s="2" t="s">
        <v>7218</v>
      </c>
      <c r="BF1013" s="2" t="str">
        <f>HYPERLINK("http://dx.doi.org/10.1093/beheco/arv206","http://dx.doi.org/10.1093/beheco/arv206")</f>
        <v>http://dx.doi.org/10.1093/beheco/arv206</v>
      </c>
      <c r="BG1013" s="2" t="s">
        <v>74</v>
      </c>
      <c r="BH1013" s="2" t="s">
        <v>74</v>
      </c>
      <c r="BI1013" s="2" t="s">
        <v>74</v>
      </c>
      <c r="BJ1013" s="2" t="s">
        <v>74</v>
      </c>
      <c r="BK1013" s="2" t="s">
        <v>74</v>
      </c>
      <c r="BL1013" s="2" t="s">
        <v>74</v>
      </c>
      <c r="BM1013" s="2" t="s">
        <v>74</v>
      </c>
      <c r="BN1013" s="2" t="s">
        <v>74</v>
      </c>
      <c r="BO1013" s="2" t="s">
        <v>74</v>
      </c>
      <c r="BP1013" s="2" t="s">
        <v>74</v>
      </c>
      <c r="BQ1013" s="2" t="s">
        <v>74</v>
      </c>
      <c r="BR1013" s="2" t="s">
        <v>74</v>
      </c>
      <c r="BS1013" s="2" t="s">
        <v>7219</v>
      </c>
      <c r="BT1013" s="2" t="str">
        <f>HYPERLINK("https%3A%2F%2Fwww.webofscience.com%2Fwos%2Fwoscc%2Ffull-record%2FWOS:000375398800043","View Full Record in Web of Science")</f>
        <v>View Full Record in Web of Science</v>
      </c>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row>
    <row r="1014" spans="1:314" s="2" customFormat="1" x14ac:dyDescent="0.4">
      <c r="A1014" s="2" t="s">
        <v>72</v>
      </c>
      <c r="B1014" s="2" t="s">
        <v>1771</v>
      </c>
      <c r="C1014" s="2" t="s">
        <v>74</v>
      </c>
      <c r="D1014" s="2" t="s">
        <v>74</v>
      </c>
      <c r="E1014" s="2" t="s">
        <v>74</v>
      </c>
      <c r="F1014" s="2" t="s">
        <v>1771</v>
      </c>
      <c r="G1014" s="2" t="s">
        <v>74</v>
      </c>
      <c r="H1014" s="2" t="s">
        <v>74</v>
      </c>
      <c r="I1014" s="2" t="s">
        <v>1772</v>
      </c>
      <c r="J1014" s="2" t="s">
        <v>509</v>
      </c>
      <c r="K1014" s="2" t="s">
        <v>74</v>
      </c>
      <c r="L1014" s="2" t="s">
        <v>74</v>
      </c>
      <c r="M1014" s="2" t="s">
        <v>74</v>
      </c>
      <c r="N1014" s="2" t="s">
        <v>74</v>
      </c>
      <c r="O1014" s="2" t="s">
        <v>74</v>
      </c>
      <c r="P1014" s="2" t="s">
        <v>74</v>
      </c>
      <c r="Q1014" s="2" t="s">
        <v>74</v>
      </c>
      <c r="R1014" s="2" t="s">
        <v>74</v>
      </c>
      <c r="S1014" s="2" t="s">
        <v>74</v>
      </c>
      <c r="T1014" s="2" t="s">
        <v>74</v>
      </c>
      <c r="U1014" s="2" t="s">
        <v>74</v>
      </c>
      <c r="V1014" s="5" t="s">
        <v>1773</v>
      </c>
      <c r="W1014" s="2" t="s">
        <v>74</v>
      </c>
      <c r="X1014" s="2" t="s">
        <v>74</v>
      </c>
      <c r="Y1014" s="2" t="s">
        <v>74</v>
      </c>
      <c r="Z1014" s="2" t="s">
        <v>74</v>
      </c>
      <c r="AA1014" s="2" t="s">
        <v>74</v>
      </c>
      <c r="AB1014" s="2" t="s">
        <v>1774</v>
      </c>
      <c r="AC1014" s="2" t="s">
        <v>74</v>
      </c>
      <c r="AD1014" s="2" t="s">
        <v>74</v>
      </c>
      <c r="AE1014" s="2" t="s">
        <v>74</v>
      </c>
      <c r="AF1014" s="2" t="s">
        <v>74</v>
      </c>
      <c r="AG1014" s="2" t="s">
        <v>74</v>
      </c>
      <c r="AH1014" s="2" t="s">
        <v>74</v>
      </c>
      <c r="AI1014" s="2" t="s">
        <v>74</v>
      </c>
      <c r="AJ1014" s="2" t="s">
        <v>74</v>
      </c>
      <c r="AK1014" s="2" t="s">
        <v>74</v>
      </c>
      <c r="AL1014" s="2" t="s">
        <v>74</v>
      </c>
      <c r="AM1014" s="2" t="s">
        <v>74</v>
      </c>
      <c r="AN1014" s="2" t="s">
        <v>74</v>
      </c>
      <c r="AO1014" s="2" t="s">
        <v>511</v>
      </c>
      <c r="AP1014" s="2" t="s">
        <v>74</v>
      </c>
      <c r="AQ1014" s="2" t="s">
        <v>74</v>
      </c>
      <c r="AR1014" s="2" t="s">
        <v>74</v>
      </c>
      <c r="AS1014" s="2" t="s">
        <v>74</v>
      </c>
      <c r="AT1014" s="2" t="s">
        <v>123</v>
      </c>
      <c r="AU1014" s="2">
        <v>1994</v>
      </c>
      <c r="AV1014" s="2">
        <v>28</v>
      </c>
      <c r="AW1014" s="2">
        <v>1</v>
      </c>
      <c r="AX1014" s="2" t="s">
        <v>74</v>
      </c>
      <c r="AY1014" s="2" t="s">
        <v>74</v>
      </c>
      <c r="AZ1014" s="2" t="s">
        <v>74</v>
      </c>
      <c r="BA1014" s="2" t="s">
        <v>74</v>
      </c>
      <c r="BB1014" s="2">
        <v>29</v>
      </c>
      <c r="BC1014" s="2">
        <v>40</v>
      </c>
      <c r="BD1014" s="2" t="s">
        <v>74</v>
      </c>
      <c r="BE1014" s="2" t="s">
        <v>1775</v>
      </c>
      <c r="BF1014" s="2" t="str">
        <f>HYPERLINK("http://dx.doi.org/10.1006/hbeh.1994.1003","http://dx.doi.org/10.1006/hbeh.1994.1003")</f>
        <v>http://dx.doi.org/10.1006/hbeh.1994.1003</v>
      </c>
      <c r="BG1014" s="2" t="s">
        <v>74</v>
      </c>
      <c r="BH1014" s="2" t="s">
        <v>74</v>
      </c>
      <c r="BI1014" s="2" t="s">
        <v>74</v>
      </c>
      <c r="BJ1014" s="2" t="s">
        <v>74</v>
      </c>
      <c r="BK1014" s="2" t="s">
        <v>74</v>
      </c>
      <c r="BL1014" s="2" t="s">
        <v>74</v>
      </c>
      <c r="BM1014" s="2" t="s">
        <v>74</v>
      </c>
      <c r="BN1014" s="2">
        <v>8034280</v>
      </c>
      <c r="BO1014" s="2" t="s">
        <v>74</v>
      </c>
      <c r="BP1014" s="2" t="s">
        <v>74</v>
      </c>
      <c r="BQ1014" s="2" t="s">
        <v>74</v>
      </c>
      <c r="BR1014" s="2" t="s">
        <v>74</v>
      </c>
      <c r="BS1014" s="2" t="s">
        <v>1776</v>
      </c>
      <c r="BT1014" s="2" t="str">
        <f>HYPERLINK("https%3A%2F%2Fwww.webofscience.com%2Fwos%2Fwoscc%2Ffull-record%2FWOS:A1994NG07100003","View Full Record in Web of Science")</f>
        <v>View Full Record in Web of Science</v>
      </c>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row>
    <row r="1015" spans="1:314" s="2" customFormat="1" x14ac:dyDescent="0.4">
      <c r="A1015" s="2" t="s">
        <v>72</v>
      </c>
      <c r="B1015" s="2" t="s">
        <v>1771</v>
      </c>
      <c r="C1015" s="2" t="s">
        <v>74</v>
      </c>
      <c r="D1015" s="2" t="s">
        <v>74</v>
      </c>
      <c r="E1015" s="2" t="s">
        <v>74</v>
      </c>
      <c r="F1015" s="2" t="s">
        <v>1771</v>
      </c>
      <c r="G1015" s="2" t="s">
        <v>74</v>
      </c>
      <c r="H1015" s="2" t="s">
        <v>74</v>
      </c>
      <c r="I1015" s="2" t="s">
        <v>6183</v>
      </c>
      <c r="J1015" s="2" t="s">
        <v>1574</v>
      </c>
      <c r="K1015" s="2" t="s">
        <v>74</v>
      </c>
      <c r="L1015" s="2" t="s">
        <v>74</v>
      </c>
      <c r="M1015" s="2" t="s">
        <v>74</v>
      </c>
      <c r="N1015" s="2" t="s">
        <v>74</v>
      </c>
      <c r="O1015" s="2" t="s">
        <v>74</v>
      </c>
      <c r="P1015" s="2" t="s">
        <v>74</v>
      </c>
      <c r="Q1015" s="2" t="s">
        <v>74</v>
      </c>
      <c r="R1015" s="2" t="s">
        <v>74</v>
      </c>
      <c r="S1015" s="2" t="s">
        <v>74</v>
      </c>
      <c r="T1015" s="2" t="s">
        <v>74</v>
      </c>
      <c r="U1015" s="2" t="s">
        <v>74</v>
      </c>
      <c r="V1015" s="5" t="s">
        <v>6184</v>
      </c>
      <c r="W1015" s="2" t="s">
        <v>74</v>
      </c>
      <c r="X1015" s="2" t="s">
        <v>74</v>
      </c>
      <c r="Y1015" s="2" t="s">
        <v>74</v>
      </c>
      <c r="Z1015" s="2" t="s">
        <v>74</v>
      </c>
      <c r="AA1015" s="2" t="s">
        <v>74</v>
      </c>
      <c r="AB1015" s="2" t="s">
        <v>1774</v>
      </c>
      <c r="AC1015" s="2" t="s">
        <v>74</v>
      </c>
      <c r="AD1015" s="2" t="s">
        <v>74</v>
      </c>
      <c r="AE1015" s="2" t="s">
        <v>74</v>
      </c>
      <c r="AF1015" s="2" t="s">
        <v>74</v>
      </c>
      <c r="AG1015" s="2" t="s">
        <v>74</v>
      </c>
      <c r="AH1015" s="2" t="s">
        <v>74</v>
      </c>
      <c r="AI1015" s="2" t="s">
        <v>74</v>
      </c>
      <c r="AJ1015" s="2" t="s">
        <v>74</v>
      </c>
      <c r="AK1015" s="2" t="s">
        <v>74</v>
      </c>
      <c r="AL1015" s="2" t="s">
        <v>74</v>
      </c>
      <c r="AM1015" s="2" t="s">
        <v>74</v>
      </c>
      <c r="AN1015" s="2" t="s">
        <v>74</v>
      </c>
      <c r="AO1015" s="2" t="s">
        <v>1576</v>
      </c>
      <c r="AP1015" s="2" t="s">
        <v>74</v>
      </c>
      <c r="AQ1015" s="2" t="s">
        <v>74</v>
      </c>
      <c r="AR1015" s="2" t="s">
        <v>74</v>
      </c>
      <c r="AS1015" s="2" t="s">
        <v>74</v>
      </c>
      <c r="AT1015" s="2" t="s">
        <v>102</v>
      </c>
      <c r="AU1015" s="2">
        <v>1995</v>
      </c>
      <c r="AV1015" s="2">
        <v>45</v>
      </c>
      <c r="AW1015" s="2">
        <v>6</v>
      </c>
      <c r="AX1015" s="2" t="s">
        <v>74</v>
      </c>
      <c r="AY1015" s="2" t="s">
        <v>74</v>
      </c>
      <c r="AZ1015" s="2" t="s">
        <v>74</v>
      </c>
      <c r="BA1015" s="2" t="s">
        <v>74</v>
      </c>
      <c r="BB1015" s="2">
        <v>339</v>
      </c>
      <c r="BC1015" s="2">
        <v>349</v>
      </c>
      <c r="BD1015" s="2" t="s">
        <v>74</v>
      </c>
      <c r="BE1015" s="2" t="s">
        <v>6185</v>
      </c>
      <c r="BF1015" s="2" t="str">
        <f>HYPERLINK("http://dx.doi.org/10.1159/000113561","http://dx.doi.org/10.1159/000113561")</f>
        <v>http://dx.doi.org/10.1159/000113561</v>
      </c>
      <c r="BG1015" s="2" t="s">
        <v>74</v>
      </c>
      <c r="BH1015" s="2" t="s">
        <v>74</v>
      </c>
      <c r="BI1015" s="2" t="s">
        <v>74</v>
      </c>
      <c r="BJ1015" s="2" t="s">
        <v>74</v>
      </c>
      <c r="BK1015" s="2" t="s">
        <v>74</v>
      </c>
      <c r="BL1015" s="2" t="s">
        <v>74</v>
      </c>
      <c r="BM1015" s="2" t="s">
        <v>74</v>
      </c>
      <c r="BN1015" s="2">
        <v>7663963</v>
      </c>
      <c r="BO1015" s="2" t="s">
        <v>74</v>
      </c>
      <c r="BP1015" s="2" t="s">
        <v>74</v>
      </c>
      <c r="BQ1015" s="2" t="s">
        <v>74</v>
      </c>
      <c r="BR1015" s="2" t="s">
        <v>74</v>
      </c>
      <c r="BS1015" s="2" t="s">
        <v>6186</v>
      </c>
      <c r="BT1015" s="2" t="str">
        <f>HYPERLINK("https%3A%2F%2Fwww.webofscience.com%2Fwos%2Fwoscc%2Ffull-record%2FWOS:A1995RE13000004","View Full Record in Web of Science")</f>
        <v>View Full Record in Web of Science</v>
      </c>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row>
    <row r="1016" spans="1:314" s="2" customFormat="1" x14ac:dyDescent="0.4">
      <c r="A1016" s="2" t="s">
        <v>72</v>
      </c>
      <c r="B1016" s="2" t="s">
        <v>5303</v>
      </c>
      <c r="C1016" s="2" t="s">
        <v>74</v>
      </c>
      <c r="D1016" s="2" t="s">
        <v>74</v>
      </c>
      <c r="E1016" s="2" t="s">
        <v>74</v>
      </c>
      <c r="F1016" s="2" t="s">
        <v>5303</v>
      </c>
      <c r="G1016" s="2" t="s">
        <v>74</v>
      </c>
      <c r="H1016" s="2" t="s">
        <v>74</v>
      </c>
      <c r="I1016" s="2" t="s">
        <v>5304</v>
      </c>
      <c r="J1016" s="2" t="s">
        <v>129</v>
      </c>
      <c r="K1016" s="2" t="s">
        <v>74</v>
      </c>
      <c r="L1016" s="2" t="s">
        <v>74</v>
      </c>
      <c r="M1016" s="2" t="s">
        <v>74</v>
      </c>
      <c r="N1016" s="2" t="s">
        <v>74</v>
      </c>
      <c r="O1016" s="2" t="s">
        <v>74</v>
      </c>
      <c r="P1016" s="2" t="s">
        <v>74</v>
      </c>
      <c r="Q1016" s="2" t="s">
        <v>74</v>
      </c>
      <c r="R1016" s="2" t="s">
        <v>74</v>
      </c>
      <c r="S1016" s="2" t="s">
        <v>74</v>
      </c>
      <c r="T1016" s="2" t="s">
        <v>74</v>
      </c>
      <c r="U1016" s="2" t="s">
        <v>74</v>
      </c>
      <c r="V1016" s="5" t="s">
        <v>5305</v>
      </c>
      <c r="W1016" s="2" t="s">
        <v>74</v>
      </c>
      <c r="X1016" s="2" t="s">
        <v>74</v>
      </c>
      <c r="Y1016" s="2" t="s">
        <v>74</v>
      </c>
      <c r="Z1016" s="2" t="s">
        <v>74</v>
      </c>
      <c r="AA1016" s="2" t="s">
        <v>74</v>
      </c>
      <c r="AB1016" s="2" t="s">
        <v>74</v>
      </c>
      <c r="AC1016" s="2" t="s">
        <v>74</v>
      </c>
      <c r="AD1016" s="2" t="s">
        <v>74</v>
      </c>
      <c r="AE1016" s="2" t="s">
        <v>74</v>
      </c>
      <c r="AF1016" s="2" t="s">
        <v>74</v>
      </c>
      <c r="AG1016" s="2" t="s">
        <v>74</v>
      </c>
      <c r="AH1016" s="2" t="s">
        <v>74</v>
      </c>
      <c r="AI1016" s="2" t="s">
        <v>74</v>
      </c>
      <c r="AJ1016" s="2" t="s">
        <v>74</v>
      </c>
      <c r="AK1016" s="2" t="s">
        <v>74</v>
      </c>
      <c r="AL1016" s="2" t="s">
        <v>74</v>
      </c>
      <c r="AM1016" s="2" t="s">
        <v>74</v>
      </c>
      <c r="AN1016" s="2" t="s">
        <v>74</v>
      </c>
      <c r="AO1016" s="2" t="s">
        <v>132</v>
      </c>
      <c r="AP1016" s="2" t="s">
        <v>133</v>
      </c>
      <c r="AQ1016" s="2" t="s">
        <v>74</v>
      </c>
      <c r="AR1016" s="2" t="s">
        <v>74</v>
      </c>
      <c r="AS1016" s="2" t="s">
        <v>74</v>
      </c>
      <c r="AT1016" s="2" t="s">
        <v>175</v>
      </c>
      <c r="AU1016" s="2">
        <v>1995</v>
      </c>
      <c r="AV1016" s="2">
        <v>37</v>
      </c>
      <c r="AW1016" s="2">
        <v>4</v>
      </c>
      <c r="AX1016" s="2" t="s">
        <v>74</v>
      </c>
      <c r="AY1016" s="2" t="s">
        <v>74</v>
      </c>
      <c r="AZ1016" s="2" t="s">
        <v>74</v>
      </c>
      <c r="BA1016" s="2" t="s">
        <v>74</v>
      </c>
      <c r="BB1016" s="2">
        <v>275</v>
      </c>
      <c r="BC1016" s="2">
        <v>282</v>
      </c>
      <c r="BD1016" s="2" t="s">
        <v>74</v>
      </c>
      <c r="BE1016" s="2" t="s">
        <v>5306</v>
      </c>
      <c r="BF1016" s="2" t="str">
        <f>HYPERLINK("http://dx.doi.org/10.1007/BF00177407","http://dx.doi.org/10.1007/BF00177407")</f>
        <v>http://dx.doi.org/10.1007/BF00177407</v>
      </c>
      <c r="BG1016" s="2" t="s">
        <v>74</v>
      </c>
      <c r="BH1016" s="2" t="s">
        <v>74</v>
      </c>
      <c r="BI1016" s="2" t="s">
        <v>74</v>
      </c>
      <c r="BJ1016" s="2" t="s">
        <v>74</v>
      </c>
      <c r="BK1016" s="2" t="s">
        <v>74</v>
      </c>
      <c r="BL1016" s="2" t="s">
        <v>74</v>
      </c>
      <c r="BM1016" s="2" t="s">
        <v>74</v>
      </c>
      <c r="BN1016" s="2" t="s">
        <v>74</v>
      </c>
      <c r="BO1016" s="2" t="s">
        <v>74</v>
      </c>
      <c r="BP1016" s="2" t="s">
        <v>74</v>
      </c>
      <c r="BQ1016" s="2" t="s">
        <v>74</v>
      </c>
      <c r="BR1016" s="2" t="s">
        <v>74</v>
      </c>
      <c r="BS1016" s="2" t="s">
        <v>5307</v>
      </c>
      <c r="BT1016" s="2" t="str">
        <f>HYPERLINK("https%3A%2F%2Fwww.webofscience.com%2Fwos%2Fwoscc%2Ffull-record%2FWOS:A1995TC81600008","View Full Record in Web of Science")</f>
        <v>View Full Record in Web of Science</v>
      </c>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row>
    <row r="1017" spans="1:314" s="1" customFormat="1" x14ac:dyDescent="0.4">
      <c r="A1017" s="2" t="s">
        <v>72</v>
      </c>
      <c r="B1017" s="2" t="s">
        <v>4061</v>
      </c>
      <c r="C1017" s="2" t="s">
        <v>74</v>
      </c>
      <c r="D1017" s="2" t="s">
        <v>74</v>
      </c>
      <c r="E1017" s="2" t="s">
        <v>74</v>
      </c>
      <c r="F1017" s="2" t="s">
        <v>4062</v>
      </c>
      <c r="G1017" s="2" t="s">
        <v>74</v>
      </c>
      <c r="H1017" s="2" t="s">
        <v>74</v>
      </c>
      <c r="I1017" s="2" t="s">
        <v>4063</v>
      </c>
      <c r="J1017" s="2" t="s">
        <v>4064</v>
      </c>
      <c r="K1017" s="2" t="s">
        <v>74</v>
      </c>
      <c r="L1017" s="2" t="s">
        <v>74</v>
      </c>
      <c r="M1017" s="2" t="s">
        <v>74</v>
      </c>
      <c r="N1017" s="2" t="s">
        <v>74</v>
      </c>
      <c r="O1017" s="2" t="s">
        <v>74</v>
      </c>
      <c r="P1017" s="2" t="s">
        <v>74</v>
      </c>
      <c r="Q1017" s="2" t="s">
        <v>74</v>
      </c>
      <c r="R1017" s="2" t="s">
        <v>74</v>
      </c>
      <c r="S1017" s="2" t="s">
        <v>74</v>
      </c>
      <c r="T1017" s="2" t="s">
        <v>74</v>
      </c>
      <c r="U1017" s="2" t="s">
        <v>74</v>
      </c>
      <c r="V1017" s="5" t="s">
        <v>4065</v>
      </c>
      <c r="W1017" s="2" t="s">
        <v>74</v>
      </c>
      <c r="X1017" s="2" t="s">
        <v>74</v>
      </c>
      <c r="Y1017" s="2" t="s">
        <v>74</v>
      </c>
      <c r="Z1017" s="2" t="s">
        <v>74</v>
      </c>
      <c r="AA1017" s="2" t="s">
        <v>4066</v>
      </c>
      <c r="AB1017" s="2" t="s">
        <v>4067</v>
      </c>
      <c r="AC1017" s="2" t="s">
        <v>74</v>
      </c>
      <c r="AD1017" s="2" t="s">
        <v>74</v>
      </c>
      <c r="AE1017" s="2" t="s">
        <v>74</v>
      </c>
      <c r="AF1017" s="2" t="s">
        <v>74</v>
      </c>
      <c r="AG1017" s="2" t="s">
        <v>74</v>
      </c>
      <c r="AH1017" s="2" t="s">
        <v>74</v>
      </c>
      <c r="AI1017" s="2" t="s">
        <v>74</v>
      </c>
      <c r="AJ1017" s="2" t="s">
        <v>74</v>
      </c>
      <c r="AK1017" s="2" t="s">
        <v>74</v>
      </c>
      <c r="AL1017" s="2" t="s">
        <v>74</v>
      </c>
      <c r="AM1017" s="2" t="s">
        <v>74</v>
      </c>
      <c r="AN1017" s="2" t="s">
        <v>74</v>
      </c>
      <c r="AO1017" s="2" t="s">
        <v>4068</v>
      </c>
      <c r="AP1017" s="2" t="s">
        <v>4069</v>
      </c>
      <c r="AQ1017" s="2" t="s">
        <v>74</v>
      </c>
      <c r="AR1017" s="2" t="s">
        <v>74</v>
      </c>
      <c r="AS1017" s="2" t="s">
        <v>74</v>
      </c>
      <c r="AT1017" s="2" t="s">
        <v>4070</v>
      </c>
      <c r="AU1017" s="2">
        <v>2007</v>
      </c>
      <c r="AV1017" s="2">
        <v>17</v>
      </c>
      <c r="AW1017" s="2">
        <v>22</v>
      </c>
      <c r="AX1017" s="2" t="s">
        <v>74</v>
      </c>
      <c r="AY1017" s="2" t="s">
        <v>74</v>
      </c>
      <c r="AZ1017" s="2" t="s">
        <v>74</v>
      </c>
      <c r="BA1017" s="2" t="s">
        <v>74</v>
      </c>
      <c r="BB1017" s="2">
        <v>1943</v>
      </c>
      <c r="BC1017" s="2">
        <v>1947</v>
      </c>
      <c r="BD1017" s="2" t="s">
        <v>74</v>
      </c>
      <c r="BE1017" s="2" t="s">
        <v>4071</v>
      </c>
      <c r="BF1017" s="2" t="str">
        <f>HYPERLINK("http://dx.doi.org/10.1016/j.cub.2007.09.038","http://dx.doi.org/10.1016/j.cub.2007.09.038")</f>
        <v>http://dx.doi.org/10.1016/j.cub.2007.09.038</v>
      </c>
      <c r="BG1017" s="2" t="s">
        <v>74</v>
      </c>
      <c r="BH1017" s="2" t="s">
        <v>74</v>
      </c>
      <c r="BI1017" s="2" t="s">
        <v>74</v>
      </c>
      <c r="BJ1017" s="2" t="s">
        <v>74</v>
      </c>
      <c r="BK1017" s="2" t="s">
        <v>74</v>
      </c>
      <c r="BL1017" s="2" t="s">
        <v>74</v>
      </c>
      <c r="BM1017" s="2" t="s">
        <v>74</v>
      </c>
      <c r="BN1017" s="2">
        <v>17935996</v>
      </c>
      <c r="BO1017" s="2" t="s">
        <v>74</v>
      </c>
      <c r="BP1017" s="2" t="s">
        <v>74</v>
      </c>
      <c r="BQ1017" s="2" t="s">
        <v>74</v>
      </c>
      <c r="BR1017" s="2" t="s">
        <v>74</v>
      </c>
      <c r="BS1017" s="2" t="s">
        <v>4072</v>
      </c>
      <c r="BT1017" s="2" t="str">
        <f>HYPERLINK("https%3A%2F%2Fwww.webofscience.com%2Fwos%2Fwoscc%2Ffull-record%2FWOS:000251274300027","View Full Record in Web of Science")</f>
        <v>View Full Record in Web of Science</v>
      </c>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row>
    <row r="1018" spans="1:314" s="2" customFormat="1" x14ac:dyDescent="0.4">
      <c r="A1018" s="2" t="s">
        <v>72</v>
      </c>
      <c r="B1018" s="2" t="s">
        <v>3997</v>
      </c>
      <c r="C1018" s="2" t="s">
        <v>74</v>
      </c>
      <c r="D1018" s="2" t="s">
        <v>74</v>
      </c>
      <c r="E1018" s="2" t="s">
        <v>74</v>
      </c>
      <c r="F1018" s="2" t="s">
        <v>3998</v>
      </c>
      <c r="G1018" s="2" t="s">
        <v>74</v>
      </c>
      <c r="H1018" s="2" t="s">
        <v>74</v>
      </c>
      <c r="I1018" s="2" t="s">
        <v>3999</v>
      </c>
      <c r="J1018" s="2" t="s">
        <v>1112</v>
      </c>
      <c r="K1018" s="2" t="s">
        <v>74</v>
      </c>
      <c r="L1018" s="2" t="s">
        <v>74</v>
      </c>
      <c r="M1018" s="2" t="s">
        <v>74</v>
      </c>
      <c r="N1018" s="2" t="s">
        <v>74</v>
      </c>
      <c r="O1018" s="2" t="s">
        <v>74</v>
      </c>
      <c r="P1018" s="2" t="s">
        <v>74</v>
      </c>
      <c r="Q1018" s="2" t="s">
        <v>74</v>
      </c>
      <c r="R1018" s="2" t="s">
        <v>74</v>
      </c>
      <c r="S1018" s="2" t="s">
        <v>74</v>
      </c>
      <c r="T1018" s="2" t="s">
        <v>74</v>
      </c>
      <c r="U1018" s="2" t="s">
        <v>74</v>
      </c>
      <c r="V1018" s="5" t="s">
        <v>4000</v>
      </c>
      <c r="W1018" s="2" t="s">
        <v>74</v>
      </c>
      <c r="X1018" s="2" t="s">
        <v>74</v>
      </c>
      <c r="Y1018" s="2" t="s">
        <v>74</v>
      </c>
      <c r="Z1018" s="2" t="s">
        <v>74</v>
      </c>
      <c r="AA1018" s="2" t="s">
        <v>4001</v>
      </c>
      <c r="AB1018" s="2" t="s">
        <v>4002</v>
      </c>
      <c r="AC1018" s="2" t="s">
        <v>74</v>
      </c>
      <c r="AD1018" s="2" t="s">
        <v>74</v>
      </c>
      <c r="AE1018" s="2" t="s">
        <v>74</v>
      </c>
      <c r="AF1018" s="2" t="s">
        <v>74</v>
      </c>
      <c r="AG1018" s="2" t="s">
        <v>74</v>
      </c>
      <c r="AH1018" s="2" t="s">
        <v>74</v>
      </c>
      <c r="AI1018" s="2" t="s">
        <v>74</v>
      </c>
      <c r="AJ1018" s="2" t="s">
        <v>74</v>
      </c>
      <c r="AK1018" s="2" t="s">
        <v>74</v>
      </c>
      <c r="AL1018" s="2" t="s">
        <v>74</v>
      </c>
      <c r="AM1018" s="2" t="s">
        <v>74</v>
      </c>
      <c r="AN1018" s="2" t="s">
        <v>74</v>
      </c>
      <c r="AO1018" s="2" t="s">
        <v>1114</v>
      </c>
      <c r="AP1018" s="2" t="s">
        <v>1115</v>
      </c>
      <c r="AQ1018" s="2" t="s">
        <v>74</v>
      </c>
      <c r="AR1018" s="2" t="s">
        <v>74</v>
      </c>
      <c r="AS1018" s="2" t="s">
        <v>74</v>
      </c>
      <c r="AT1018" s="2" t="s">
        <v>134</v>
      </c>
      <c r="AU1018" s="2">
        <v>2023</v>
      </c>
      <c r="AV1018" s="2">
        <v>262</v>
      </c>
      <c r="AW1018" s="2" t="s">
        <v>74</v>
      </c>
      <c r="AX1018" s="2" t="s">
        <v>74</v>
      </c>
      <c r="AY1018" s="2" t="s">
        <v>74</v>
      </c>
      <c r="AZ1018" s="2" t="s">
        <v>74</v>
      </c>
      <c r="BA1018" s="2" t="s">
        <v>74</v>
      </c>
      <c r="BB1018" s="2" t="s">
        <v>74</v>
      </c>
      <c r="BC1018" s="2" t="s">
        <v>74</v>
      </c>
      <c r="BD1018" s="2">
        <v>105903</v>
      </c>
      <c r="BE1018" s="2" t="s">
        <v>4003</v>
      </c>
      <c r="BF1018" s="2" t="str">
        <f>HYPERLINK("http://dx.doi.org/10.1016/j.applanim.2023.105903","http://dx.doi.org/10.1016/j.applanim.2023.105903")</f>
        <v>http://dx.doi.org/10.1016/j.applanim.2023.105903</v>
      </c>
      <c r="BG1018" s="2" t="s">
        <v>74</v>
      </c>
      <c r="BH1018" s="2" t="s">
        <v>4004</v>
      </c>
      <c r="BI1018" s="2" t="s">
        <v>74</v>
      </c>
      <c r="BJ1018" s="2" t="s">
        <v>74</v>
      </c>
      <c r="BK1018" s="2" t="s">
        <v>74</v>
      </c>
      <c r="BL1018" s="2" t="s">
        <v>74</v>
      </c>
      <c r="BM1018" s="2" t="s">
        <v>74</v>
      </c>
      <c r="BN1018" s="2" t="s">
        <v>74</v>
      </c>
      <c r="BO1018" s="2" t="s">
        <v>74</v>
      </c>
      <c r="BP1018" s="2" t="s">
        <v>74</v>
      </c>
      <c r="BQ1018" s="2" t="s">
        <v>74</v>
      </c>
      <c r="BR1018" s="2" t="s">
        <v>74</v>
      </c>
      <c r="BS1018" s="2" t="s">
        <v>4005</v>
      </c>
      <c r="BT1018" s="2" t="str">
        <f>HYPERLINK("https%3A%2F%2Fwww.webofscience.com%2Fwos%2Fwoscc%2Ffull-record%2FWOS:000964957600001","View Full Record in Web of Science")</f>
        <v>View Full Record in Web of Science</v>
      </c>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row>
    <row r="1019" spans="1:314" s="2" customFormat="1" x14ac:dyDescent="0.4">
      <c r="A1019" s="2" t="s">
        <v>72</v>
      </c>
      <c r="B1019" s="2" t="s">
        <v>8092</v>
      </c>
      <c r="C1019" s="2" t="s">
        <v>74</v>
      </c>
      <c r="D1019" s="2" t="s">
        <v>74</v>
      </c>
      <c r="E1019" s="2" t="s">
        <v>74</v>
      </c>
      <c r="F1019" s="2" t="s">
        <v>8093</v>
      </c>
      <c r="G1019" s="2" t="s">
        <v>74</v>
      </c>
      <c r="H1019" s="2" t="s">
        <v>74</v>
      </c>
      <c r="I1019" s="2" t="s">
        <v>8094</v>
      </c>
      <c r="J1019" s="2" t="s">
        <v>3353</v>
      </c>
      <c r="K1019" s="2" t="s">
        <v>74</v>
      </c>
      <c r="L1019" s="2" t="s">
        <v>74</v>
      </c>
      <c r="M1019" s="2" t="s">
        <v>74</v>
      </c>
      <c r="N1019" s="2" t="s">
        <v>74</v>
      </c>
      <c r="O1019" s="2" t="s">
        <v>74</v>
      </c>
      <c r="P1019" s="2" t="s">
        <v>74</v>
      </c>
      <c r="Q1019" s="2" t="s">
        <v>74</v>
      </c>
      <c r="R1019" s="2" t="s">
        <v>74</v>
      </c>
      <c r="S1019" s="2" t="s">
        <v>74</v>
      </c>
      <c r="T1019" s="2" t="s">
        <v>74</v>
      </c>
      <c r="U1019" s="2" t="s">
        <v>74</v>
      </c>
      <c r="V1019" s="5" t="s">
        <v>8095</v>
      </c>
      <c r="W1019" s="2" t="s">
        <v>74</v>
      </c>
      <c r="X1019" s="2" t="s">
        <v>74</v>
      </c>
      <c r="Y1019" s="2" t="s">
        <v>74</v>
      </c>
      <c r="Z1019" s="2" t="s">
        <v>74</v>
      </c>
      <c r="AA1019" s="2" t="s">
        <v>8096</v>
      </c>
      <c r="AB1019" s="2" t="s">
        <v>8097</v>
      </c>
      <c r="AC1019" s="2" t="s">
        <v>74</v>
      </c>
      <c r="AD1019" s="2" t="s">
        <v>74</v>
      </c>
      <c r="AE1019" s="2" t="s">
        <v>74</v>
      </c>
      <c r="AF1019" s="2" t="s">
        <v>74</v>
      </c>
      <c r="AG1019" s="2" t="s">
        <v>74</v>
      </c>
      <c r="AH1019" s="2" t="s">
        <v>74</v>
      </c>
      <c r="AI1019" s="2" t="s">
        <v>74</v>
      </c>
      <c r="AJ1019" s="2" t="s">
        <v>74</v>
      </c>
      <c r="AK1019" s="2" t="s">
        <v>74</v>
      </c>
      <c r="AL1019" s="2" t="s">
        <v>74</v>
      </c>
      <c r="AM1019" s="2" t="s">
        <v>74</v>
      </c>
      <c r="AN1019" s="2" t="s">
        <v>74</v>
      </c>
      <c r="AO1019" s="2" t="s">
        <v>3357</v>
      </c>
      <c r="AP1019" s="2" t="s">
        <v>3358</v>
      </c>
      <c r="AQ1019" s="2" t="s">
        <v>74</v>
      </c>
      <c r="AR1019" s="2" t="s">
        <v>74</v>
      </c>
      <c r="AS1019" s="2" t="s">
        <v>74</v>
      </c>
      <c r="AT1019" s="2" t="s">
        <v>134</v>
      </c>
      <c r="AU1019" s="2">
        <v>2024</v>
      </c>
      <c r="AV1019" s="2">
        <v>49</v>
      </c>
      <c r="AW1019" s="2">
        <v>5</v>
      </c>
      <c r="AX1019" s="2" t="s">
        <v>74</v>
      </c>
      <c r="AY1019" s="2" t="s">
        <v>74</v>
      </c>
      <c r="AZ1019" s="2" t="s">
        <v>74</v>
      </c>
      <c r="BA1019" s="2" t="s">
        <v>74</v>
      </c>
      <c r="BB1019" s="2" t="s">
        <v>74</v>
      </c>
      <c r="BC1019" s="2" t="s">
        <v>74</v>
      </c>
      <c r="BD1019" s="2" t="s">
        <v>8098</v>
      </c>
      <c r="BE1019" s="2" t="s">
        <v>8099</v>
      </c>
      <c r="BF1019" s="2" t="str">
        <f>HYPERLINK("http://dx.doi.org/10.1111/aec.13523","http://dx.doi.org/10.1111/aec.13523")</f>
        <v>http://dx.doi.org/10.1111/aec.13523</v>
      </c>
      <c r="BG1019" s="2" t="s">
        <v>74</v>
      </c>
      <c r="BH1019" s="2" t="s">
        <v>74</v>
      </c>
      <c r="BI1019" s="2" t="s">
        <v>74</v>
      </c>
      <c r="BJ1019" s="2" t="s">
        <v>74</v>
      </c>
      <c r="BK1019" s="2" t="s">
        <v>74</v>
      </c>
      <c r="BL1019" s="2" t="s">
        <v>74</v>
      </c>
      <c r="BM1019" s="2" t="s">
        <v>74</v>
      </c>
      <c r="BN1019" s="2" t="s">
        <v>74</v>
      </c>
      <c r="BO1019" s="2" t="s">
        <v>74</v>
      </c>
      <c r="BP1019" s="2" t="s">
        <v>74</v>
      </c>
      <c r="BQ1019" s="2" t="s">
        <v>74</v>
      </c>
      <c r="BR1019" s="2" t="s">
        <v>74</v>
      </c>
      <c r="BS1019" s="2" t="s">
        <v>8100</v>
      </c>
      <c r="BT1019" s="2" t="str">
        <f>HYPERLINK("https%3A%2F%2Fwww.webofscience.com%2Fwos%2Fwoscc%2Ffull-record%2FWOS:001223578900001","View Full Record in Web of Science")</f>
        <v>View Full Record in Web of Science</v>
      </c>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row>
    <row r="1020" spans="1:314" s="2" customFormat="1" x14ac:dyDescent="0.4">
      <c r="A1020" s="2" t="s">
        <v>72</v>
      </c>
      <c r="B1020" s="2" t="s">
        <v>3341</v>
      </c>
      <c r="C1020" s="2" t="s">
        <v>74</v>
      </c>
      <c r="D1020" s="2" t="s">
        <v>74</v>
      </c>
      <c r="E1020" s="2" t="s">
        <v>74</v>
      </c>
      <c r="F1020" s="2" t="s">
        <v>3342</v>
      </c>
      <c r="G1020" s="2" t="s">
        <v>74</v>
      </c>
      <c r="H1020" s="2" t="s">
        <v>74</v>
      </c>
      <c r="I1020" s="2" t="s">
        <v>3343</v>
      </c>
      <c r="J1020" s="2" t="s">
        <v>1437</v>
      </c>
      <c r="K1020" s="2" t="s">
        <v>74</v>
      </c>
      <c r="L1020" s="2" t="s">
        <v>74</v>
      </c>
      <c r="M1020" s="2" t="s">
        <v>74</v>
      </c>
      <c r="N1020" s="2" t="s">
        <v>74</v>
      </c>
      <c r="O1020" s="2" t="s">
        <v>74</v>
      </c>
      <c r="P1020" s="2" t="s">
        <v>74</v>
      </c>
      <c r="Q1020" s="2" t="s">
        <v>74</v>
      </c>
      <c r="R1020" s="2" t="s">
        <v>74</v>
      </c>
      <c r="S1020" s="2" t="s">
        <v>74</v>
      </c>
      <c r="T1020" s="2" t="s">
        <v>74</v>
      </c>
      <c r="U1020" s="2" t="s">
        <v>74</v>
      </c>
      <c r="V1020" s="5" t="s">
        <v>3344</v>
      </c>
      <c r="W1020" s="2" t="s">
        <v>74</v>
      </c>
      <c r="X1020" s="2" t="s">
        <v>74</v>
      </c>
      <c r="Y1020" s="2" t="s">
        <v>74</v>
      </c>
      <c r="Z1020" s="2" t="s">
        <v>74</v>
      </c>
      <c r="AA1020" s="2" t="s">
        <v>3345</v>
      </c>
      <c r="AB1020" s="2" t="s">
        <v>3346</v>
      </c>
      <c r="AC1020" s="2" t="s">
        <v>74</v>
      </c>
      <c r="AD1020" s="2" t="s">
        <v>74</v>
      </c>
      <c r="AE1020" s="2" t="s">
        <v>74</v>
      </c>
      <c r="AF1020" s="2" t="s">
        <v>74</v>
      </c>
      <c r="AG1020" s="2" t="s">
        <v>74</v>
      </c>
      <c r="AH1020" s="2" t="s">
        <v>74</v>
      </c>
      <c r="AI1020" s="2" t="s">
        <v>74</v>
      </c>
      <c r="AJ1020" s="2" t="s">
        <v>74</v>
      </c>
      <c r="AK1020" s="2" t="s">
        <v>74</v>
      </c>
      <c r="AL1020" s="2" t="s">
        <v>74</v>
      </c>
      <c r="AM1020" s="2" t="s">
        <v>74</v>
      </c>
      <c r="AN1020" s="2" t="s">
        <v>74</v>
      </c>
      <c r="AO1020" s="2" t="s">
        <v>1440</v>
      </c>
      <c r="AP1020" s="2" t="s">
        <v>3347</v>
      </c>
      <c r="AQ1020" s="2" t="s">
        <v>74</v>
      </c>
      <c r="AR1020" s="2" t="s">
        <v>74</v>
      </c>
      <c r="AS1020" s="2" t="s">
        <v>74</v>
      </c>
      <c r="AT1020" s="2" t="s">
        <v>255</v>
      </c>
      <c r="AU1020" s="2">
        <v>2019</v>
      </c>
      <c r="AV1020" s="2">
        <v>122</v>
      </c>
      <c r="AW1020" s="2">
        <v>1</v>
      </c>
      <c r="AX1020" s="2" t="s">
        <v>74</v>
      </c>
      <c r="AY1020" s="2" t="s">
        <v>74</v>
      </c>
      <c r="AZ1020" s="2" t="s">
        <v>74</v>
      </c>
      <c r="BA1020" s="2" t="s">
        <v>74</v>
      </c>
      <c r="BB1020" s="2">
        <v>81</v>
      </c>
      <c r="BC1020" s="2">
        <v>92</v>
      </c>
      <c r="BD1020" s="2" t="s">
        <v>74</v>
      </c>
      <c r="BE1020" s="2" t="s">
        <v>3348</v>
      </c>
      <c r="BF1020" s="2" t="str">
        <f>HYPERLINK("http://dx.doi.org/10.1038/s41437-018-0076-z","http://dx.doi.org/10.1038/s41437-018-0076-z")</f>
        <v>http://dx.doi.org/10.1038/s41437-018-0076-z</v>
      </c>
      <c r="BG1020" s="2" t="s">
        <v>74</v>
      </c>
      <c r="BH1020" s="2" t="s">
        <v>74</v>
      </c>
      <c r="BI1020" s="2" t="s">
        <v>74</v>
      </c>
      <c r="BJ1020" s="2" t="s">
        <v>74</v>
      </c>
      <c r="BK1020" s="2" t="s">
        <v>74</v>
      </c>
      <c r="BL1020" s="2" t="s">
        <v>74</v>
      </c>
      <c r="BM1020" s="2" t="s">
        <v>74</v>
      </c>
      <c r="BN1020" s="2">
        <v>29713090</v>
      </c>
      <c r="BO1020" s="2" t="s">
        <v>74</v>
      </c>
      <c r="BP1020" s="2" t="s">
        <v>74</v>
      </c>
      <c r="BQ1020" s="2" t="s">
        <v>74</v>
      </c>
      <c r="BR1020" s="2" t="s">
        <v>74</v>
      </c>
      <c r="BS1020" s="2" t="s">
        <v>3349</v>
      </c>
      <c r="BT1020" s="2" t="str">
        <f>HYPERLINK("https%3A%2F%2Fwww.webofscience.com%2Fwos%2Fwoscc%2Ffull-record%2FWOS:000452620900007","View Full Record in Web of Science")</f>
        <v>View Full Record in Web of Science</v>
      </c>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row>
    <row r="1021" spans="1:314" s="2" customFormat="1" x14ac:dyDescent="0.4">
      <c r="A1021" s="2" t="s">
        <v>72</v>
      </c>
      <c r="B1021" s="2" t="s">
        <v>3538</v>
      </c>
      <c r="C1021" s="2" t="s">
        <v>74</v>
      </c>
      <c r="D1021" s="2" t="s">
        <v>74</v>
      </c>
      <c r="E1021" s="2" t="s">
        <v>74</v>
      </c>
      <c r="F1021" s="2" t="s">
        <v>3539</v>
      </c>
      <c r="G1021" s="2" t="s">
        <v>74</v>
      </c>
      <c r="H1021" s="2" t="s">
        <v>74</v>
      </c>
      <c r="I1021" s="2" t="s">
        <v>3540</v>
      </c>
      <c r="J1021" s="2" t="s">
        <v>2042</v>
      </c>
      <c r="K1021" s="2" t="s">
        <v>74</v>
      </c>
      <c r="L1021" s="2" t="s">
        <v>74</v>
      </c>
      <c r="M1021" s="2" t="s">
        <v>74</v>
      </c>
      <c r="N1021" s="2" t="s">
        <v>74</v>
      </c>
      <c r="O1021" s="2" t="s">
        <v>74</v>
      </c>
      <c r="P1021" s="2" t="s">
        <v>74</v>
      </c>
      <c r="Q1021" s="2" t="s">
        <v>74</v>
      </c>
      <c r="R1021" s="2" t="s">
        <v>74</v>
      </c>
      <c r="S1021" s="2" t="s">
        <v>74</v>
      </c>
      <c r="T1021" s="2" t="s">
        <v>74</v>
      </c>
      <c r="U1021" s="2" t="s">
        <v>74</v>
      </c>
      <c r="V1021" s="5" t="s">
        <v>3541</v>
      </c>
      <c r="W1021" s="2" t="s">
        <v>74</v>
      </c>
      <c r="X1021" s="2" t="s">
        <v>74</v>
      </c>
      <c r="Y1021" s="2" t="s">
        <v>74</v>
      </c>
      <c r="Z1021" s="2" t="s">
        <v>74</v>
      </c>
      <c r="AA1021" s="2" t="s">
        <v>74</v>
      </c>
      <c r="AB1021" s="2" t="s">
        <v>74</v>
      </c>
      <c r="AC1021" s="2" t="s">
        <v>74</v>
      </c>
      <c r="AD1021" s="2" t="s">
        <v>74</v>
      </c>
      <c r="AE1021" s="2" t="s">
        <v>74</v>
      </c>
      <c r="AF1021" s="2" t="s">
        <v>74</v>
      </c>
      <c r="AG1021" s="2" t="s">
        <v>74</v>
      </c>
      <c r="AH1021" s="2" t="s">
        <v>74</v>
      </c>
      <c r="AI1021" s="2" t="s">
        <v>74</v>
      </c>
      <c r="AJ1021" s="2" t="s">
        <v>74</v>
      </c>
      <c r="AK1021" s="2" t="s">
        <v>74</v>
      </c>
      <c r="AL1021" s="2" t="s">
        <v>74</v>
      </c>
      <c r="AM1021" s="2" t="s">
        <v>74</v>
      </c>
      <c r="AN1021" s="2" t="s">
        <v>74</v>
      </c>
      <c r="AO1021" s="2" t="s">
        <v>2045</v>
      </c>
      <c r="AP1021" s="2" t="s">
        <v>2046</v>
      </c>
      <c r="AQ1021" s="2" t="s">
        <v>74</v>
      </c>
      <c r="AR1021" s="2" t="s">
        <v>74</v>
      </c>
      <c r="AS1021" s="2" t="s">
        <v>74</v>
      </c>
      <c r="AT1021" s="2" t="s">
        <v>964</v>
      </c>
      <c r="AU1021" s="2">
        <v>2007</v>
      </c>
      <c r="AV1021" s="2">
        <v>54</v>
      </c>
      <c r="AW1021" s="2">
        <v>1</v>
      </c>
      <c r="AX1021" s="2" t="s">
        <v>74</v>
      </c>
      <c r="AY1021" s="2" t="s">
        <v>74</v>
      </c>
      <c r="AZ1021" s="2" t="s">
        <v>74</v>
      </c>
      <c r="BA1021" s="2" t="s">
        <v>74</v>
      </c>
      <c r="BB1021" s="2">
        <v>55</v>
      </c>
      <c r="BC1021" s="2">
        <v>60</v>
      </c>
      <c r="BD1021" s="2" t="s">
        <v>74</v>
      </c>
      <c r="BE1021" s="2" t="s">
        <v>3542</v>
      </c>
      <c r="BF1021" s="2" t="str">
        <f>HYPERLINK("http://dx.doi.org/10.1007/s10228-006-0374-y","http://dx.doi.org/10.1007/s10228-006-0374-y")</f>
        <v>http://dx.doi.org/10.1007/s10228-006-0374-y</v>
      </c>
      <c r="BG1021" s="2" t="s">
        <v>74</v>
      </c>
      <c r="BH1021" s="2" t="s">
        <v>74</v>
      </c>
      <c r="BI1021" s="2" t="s">
        <v>74</v>
      </c>
      <c r="BJ1021" s="2" t="s">
        <v>74</v>
      </c>
      <c r="BK1021" s="2" t="s">
        <v>74</v>
      </c>
      <c r="BL1021" s="2" t="s">
        <v>74</v>
      </c>
      <c r="BM1021" s="2" t="s">
        <v>74</v>
      </c>
      <c r="BN1021" s="2" t="s">
        <v>74</v>
      </c>
      <c r="BO1021" s="2" t="s">
        <v>74</v>
      </c>
      <c r="BP1021" s="2" t="s">
        <v>74</v>
      </c>
      <c r="BQ1021" s="2" t="s">
        <v>74</v>
      </c>
      <c r="BR1021" s="2" t="s">
        <v>74</v>
      </c>
      <c r="BS1021" s="2" t="s">
        <v>3543</v>
      </c>
      <c r="BT1021" s="2" t="str">
        <f>HYPERLINK("https%3A%2F%2Fwww.webofscience.com%2Fwos%2Fwoscc%2Ffull-record%2FWOS:000244724300008","View Full Record in Web of Science")</f>
        <v>View Full Record in Web of Science</v>
      </c>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row>
    <row r="1022" spans="1:314" s="2" customFormat="1" x14ac:dyDescent="0.4">
      <c r="A1022" s="2" t="s">
        <v>72</v>
      </c>
      <c r="B1022" s="2" t="s">
        <v>6210</v>
      </c>
      <c r="C1022" s="2" t="s">
        <v>74</v>
      </c>
      <c r="D1022" s="2" t="s">
        <v>74</v>
      </c>
      <c r="E1022" s="2" t="s">
        <v>74</v>
      </c>
      <c r="F1022" s="2" t="s">
        <v>6211</v>
      </c>
      <c r="G1022" s="2" t="s">
        <v>74</v>
      </c>
      <c r="H1022" s="2" t="s">
        <v>74</v>
      </c>
      <c r="I1022" s="2" t="s">
        <v>6212</v>
      </c>
      <c r="J1022" s="2" t="s">
        <v>5357</v>
      </c>
      <c r="K1022" s="2" t="s">
        <v>74</v>
      </c>
      <c r="L1022" s="2" t="s">
        <v>74</v>
      </c>
      <c r="M1022" s="2" t="s">
        <v>74</v>
      </c>
      <c r="N1022" s="2" t="s">
        <v>74</v>
      </c>
      <c r="O1022" s="2" t="s">
        <v>74</v>
      </c>
      <c r="P1022" s="2" t="s">
        <v>74</v>
      </c>
      <c r="Q1022" s="2" t="s">
        <v>74</v>
      </c>
      <c r="R1022" s="2" t="s">
        <v>74</v>
      </c>
      <c r="S1022" s="2" t="s">
        <v>74</v>
      </c>
      <c r="T1022" s="2" t="s">
        <v>74</v>
      </c>
      <c r="U1022" s="2" t="s">
        <v>74</v>
      </c>
      <c r="V1022" s="5" t="s">
        <v>6213</v>
      </c>
      <c r="W1022" s="2" t="s">
        <v>74</v>
      </c>
      <c r="X1022" s="2" t="s">
        <v>74</v>
      </c>
      <c r="Y1022" s="2" t="s">
        <v>74</v>
      </c>
      <c r="Z1022" s="2" t="s">
        <v>74</v>
      </c>
      <c r="AA1022" s="2" t="s">
        <v>74</v>
      </c>
      <c r="AB1022" s="2" t="s">
        <v>6214</v>
      </c>
      <c r="AC1022" s="2" t="s">
        <v>74</v>
      </c>
      <c r="AD1022" s="2" t="s">
        <v>74</v>
      </c>
      <c r="AE1022" s="2" t="s">
        <v>74</v>
      </c>
      <c r="AF1022" s="2" t="s">
        <v>74</v>
      </c>
      <c r="AG1022" s="2" t="s">
        <v>74</v>
      </c>
      <c r="AH1022" s="2" t="s">
        <v>74</v>
      </c>
      <c r="AI1022" s="2" t="s">
        <v>74</v>
      </c>
      <c r="AJ1022" s="2" t="s">
        <v>74</v>
      </c>
      <c r="AK1022" s="2" t="s">
        <v>74</v>
      </c>
      <c r="AL1022" s="2" t="s">
        <v>74</v>
      </c>
      <c r="AM1022" s="2" t="s">
        <v>74</v>
      </c>
      <c r="AN1022" s="2" t="s">
        <v>74</v>
      </c>
      <c r="AO1022" s="2" t="s">
        <v>5359</v>
      </c>
      <c r="AP1022" s="2" t="s">
        <v>5360</v>
      </c>
      <c r="AQ1022" s="2" t="s">
        <v>74</v>
      </c>
      <c r="AR1022" s="2" t="s">
        <v>74</v>
      </c>
      <c r="AS1022" s="2" t="s">
        <v>74</v>
      </c>
      <c r="AT1022" s="2" t="s">
        <v>964</v>
      </c>
      <c r="AU1022" s="2">
        <v>2013</v>
      </c>
      <c r="AV1022" s="2">
        <v>31</v>
      </c>
      <c r="AW1022" s="2">
        <v>1</v>
      </c>
      <c r="AX1022" s="2" t="s">
        <v>74</v>
      </c>
      <c r="AY1022" s="2" t="s">
        <v>74</v>
      </c>
      <c r="AZ1022" s="2" t="s">
        <v>74</v>
      </c>
      <c r="BA1022" s="2" t="s">
        <v>74</v>
      </c>
      <c r="BB1022" s="2">
        <v>25</v>
      </c>
      <c r="BC1022" s="2">
        <v>37</v>
      </c>
      <c r="BD1022" s="2" t="s">
        <v>74</v>
      </c>
      <c r="BE1022" s="2" t="s">
        <v>6215</v>
      </c>
      <c r="BF1022" s="2" t="str">
        <f>HYPERLINK("http://dx.doi.org/10.4003/006.031.0114","http://dx.doi.org/10.4003/006.031.0114")</f>
        <v>http://dx.doi.org/10.4003/006.031.0114</v>
      </c>
      <c r="BG1022" s="2" t="s">
        <v>74</v>
      </c>
      <c r="BH1022" s="2" t="s">
        <v>74</v>
      </c>
      <c r="BI1022" s="2" t="s">
        <v>74</v>
      </c>
      <c r="BJ1022" s="2" t="s">
        <v>74</v>
      </c>
      <c r="BK1022" s="2" t="s">
        <v>74</v>
      </c>
      <c r="BL1022" s="2" t="s">
        <v>74</v>
      </c>
      <c r="BM1022" s="2" t="s">
        <v>74</v>
      </c>
      <c r="BN1022" s="2" t="s">
        <v>74</v>
      </c>
      <c r="BO1022" s="2" t="s">
        <v>74</v>
      </c>
      <c r="BP1022" s="2" t="s">
        <v>74</v>
      </c>
      <c r="BQ1022" s="2" t="s">
        <v>74</v>
      </c>
      <c r="BR1022" s="2" t="s">
        <v>74</v>
      </c>
      <c r="BS1022" s="2" t="s">
        <v>6216</v>
      </c>
      <c r="BT1022" s="2" t="str">
        <f>HYPERLINK("https%3A%2F%2Fwww.webofscience.com%2Fwos%2Fwoscc%2Ffull-record%2FWOS:000338769900003","View Full Record in Web of Science")</f>
        <v>View Full Record in Web of Science</v>
      </c>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row>
    <row r="1023" spans="1:314" s="2" customFormat="1" x14ac:dyDescent="0.4">
      <c r="A1023" s="2" t="s">
        <v>72</v>
      </c>
      <c r="B1023" s="2" t="s">
        <v>4414</v>
      </c>
      <c r="C1023" s="2" t="s">
        <v>74</v>
      </c>
      <c r="D1023" s="2" t="s">
        <v>74</v>
      </c>
      <c r="E1023" s="2" t="s">
        <v>74</v>
      </c>
      <c r="F1023" s="2" t="s">
        <v>4415</v>
      </c>
      <c r="G1023" s="2" t="s">
        <v>74</v>
      </c>
      <c r="H1023" s="2" t="s">
        <v>74</v>
      </c>
      <c r="I1023" s="2" t="s">
        <v>4416</v>
      </c>
      <c r="J1023" s="2" t="s">
        <v>4417</v>
      </c>
      <c r="K1023" s="2" t="s">
        <v>74</v>
      </c>
      <c r="L1023" s="2" t="s">
        <v>74</v>
      </c>
      <c r="M1023" s="2" t="s">
        <v>74</v>
      </c>
      <c r="N1023" s="2" t="s">
        <v>74</v>
      </c>
      <c r="O1023" s="2" t="s">
        <v>74</v>
      </c>
      <c r="P1023" s="2" t="s">
        <v>74</v>
      </c>
      <c r="Q1023" s="2" t="s">
        <v>74</v>
      </c>
      <c r="R1023" s="2" t="s">
        <v>74</v>
      </c>
      <c r="S1023" s="2" t="s">
        <v>74</v>
      </c>
      <c r="T1023" s="2" t="s">
        <v>74</v>
      </c>
      <c r="U1023" s="2" t="s">
        <v>74</v>
      </c>
      <c r="V1023" s="5" t="s">
        <v>4418</v>
      </c>
      <c r="W1023" s="2" t="s">
        <v>74</v>
      </c>
      <c r="X1023" s="2" t="s">
        <v>74</v>
      </c>
      <c r="Y1023" s="2" t="s">
        <v>74</v>
      </c>
      <c r="Z1023" s="2" t="s">
        <v>74</v>
      </c>
      <c r="AA1023" s="2" t="s">
        <v>4419</v>
      </c>
      <c r="AB1023" s="2" t="s">
        <v>4420</v>
      </c>
      <c r="AC1023" s="2" t="s">
        <v>74</v>
      </c>
      <c r="AD1023" s="2" t="s">
        <v>74</v>
      </c>
      <c r="AE1023" s="2" t="s">
        <v>74</v>
      </c>
      <c r="AF1023" s="2" t="s">
        <v>74</v>
      </c>
      <c r="AG1023" s="2" t="s">
        <v>74</v>
      </c>
      <c r="AH1023" s="2" t="s">
        <v>74</v>
      </c>
      <c r="AI1023" s="2" t="s">
        <v>74</v>
      </c>
      <c r="AJ1023" s="2" t="s">
        <v>74</v>
      </c>
      <c r="AK1023" s="2" t="s">
        <v>74</v>
      </c>
      <c r="AL1023" s="2" t="s">
        <v>74</v>
      </c>
      <c r="AM1023" s="2" t="s">
        <v>74</v>
      </c>
      <c r="AN1023" s="2" t="s">
        <v>74</v>
      </c>
      <c r="AO1023" s="2" t="s">
        <v>4421</v>
      </c>
      <c r="AP1023" s="2" t="s">
        <v>4422</v>
      </c>
      <c r="AQ1023" s="2" t="s">
        <v>74</v>
      </c>
      <c r="AR1023" s="2" t="s">
        <v>74</v>
      </c>
      <c r="AS1023" s="2" t="s">
        <v>74</v>
      </c>
      <c r="AT1023" s="2" t="s">
        <v>305</v>
      </c>
      <c r="AU1023" s="2">
        <v>2022</v>
      </c>
      <c r="AV1023" s="2">
        <v>25</v>
      </c>
      <c r="AW1023" s="2">
        <v>4</v>
      </c>
      <c r="AX1023" s="2" t="s">
        <v>74</v>
      </c>
      <c r="AY1023" s="2" t="s">
        <v>74</v>
      </c>
      <c r="AZ1023" s="2" t="s">
        <v>74</v>
      </c>
      <c r="BA1023" s="2" t="s">
        <v>74</v>
      </c>
      <c r="BB1023" s="2" t="s">
        <v>74</v>
      </c>
      <c r="BC1023" s="2" t="s">
        <v>74</v>
      </c>
      <c r="BD1023" s="2" t="s">
        <v>4423</v>
      </c>
      <c r="BE1023" s="2" t="s">
        <v>4424</v>
      </c>
      <c r="BF1023" s="2" t="str">
        <f>HYPERLINK("http://dx.doi.org/10.1111/ens.12529","http://dx.doi.org/10.1111/ens.12529")</f>
        <v>http://dx.doi.org/10.1111/ens.12529</v>
      </c>
      <c r="BG1023" s="2" t="s">
        <v>74</v>
      </c>
      <c r="BH1023" s="2" t="s">
        <v>74</v>
      </c>
      <c r="BI1023" s="2" t="s">
        <v>74</v>
      </c>
      <c r="BJ1023" s="2" t="s">
        <v>74</v>
      </c>
      <c r="BK1023" s="2" t="s">
        <v>74</v>
      </c>
      <c r="BL1023" s="2" t="s">
        <v>74</v>
      </c>
      <c r="BM1023" s="2" t="s">
        <v>74</v>
      </c>
      <c r="BN1023" s="2" t="s">
        <v>74</v>
      </c>
      <c r="BO1023" s="2" t="s">
        <v>74</v>
      </c>
      <c r="BP1023" s="2" t="s">
        <v>74</v>
      </c>
      <c r="BQ1023" s="2" t="s">
        <v>74</v>
      </c>
      <c r="BR1023" s="2" t="s">
        <v>74</v>
      </c>
      <c r="BS1023" s="2" t="s">
        <v>4425</v>
      </c>
      <c r="BT1023" s="2" t="str">
        <f>HYPERLINK("https%3A%2F%2Fwww.webofscience.com%2Fwos%2Fwoscc%2Ffull-record%2FWOS:000888062100001","View Full Record in Web of Science")</f>
        <v>View Full Record in Web of Science</v>
      </c>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row>
    <row r="1024" spans="1:314" s="2" customFormat="1" x14ac:dyDescent="0.4">
      <c r="A1024" s="2" t="s">
        <v>72</v>
      </c>
      <c r="B1024" s="2" t="s">
        <v>550</v>
      </c>
      <c r="C1024" s="2" t="s">
        <v>74</v>
      </c>
      <c r="D1024" s="2" t="s">
        <v>74</v>
      </c>
      <c r="E1024" s="2" t="s">
        <v>74</v>
      </c>
      <c r="F1024" s="2" t="s">
        <v>551</v>
      </c>
      <c r="G1024" s="2" t="s">
        <v>74</v>
      </c>
      <c r="H1024" s="2" t="s">
        <v>74</v>
      </c>
      <c r="I1024" s="2" t="s">
        <v>552</v>
      </c>
      <c r="J1024" s="2" t="s">
        <v>553</v>
      </c>
      <c r="K1024" s="2" t="s">
        <v>74</v>
      </c>
      <c r="L1024" s="2" t="s">
        <v>74</v>
      </c>
      <c r="M1024" s="2" t="s">
        <v>74</v>
      </c>
      <c r="N1024" s="2" t="s">
        <v>74</v>
      </c>
      <c r="O1024" s="2" t="s">
        <v>74</v>
      </c>
      <c r="P1024" s="2" t="s">
        <v>74</v>
      </c>
      <c r="Q1024" s="2" t="s">
        <v>74</v>
      </c>
      <c r="R1024" s="2" t="s">
        <v>74</v>
      </c>
      <c r="S1024" s="2" t="s">
        <v>74</v>
      </c>
      <c r="T1024" s="2" t="s">
        <v>74</v>
      </c>
      <c r="U1024" s="2" t="s">
        <v>74</v>
      </c>
      <c r="V1024" s="5" t="s">
        <v>554</v>
      </c>
      <c r="W1024" s="2" t="s">
        <v>74</v>
      </c>
      <c r="X1024" s="2" t="s">
        <v>74</v>
      </c>
      <c r="Y1024" s="2" t="s">
        <v>74</v>
      </c>
      <c r="Z1024" s="2" t="s">
        <v>74</v>
      </c>
      <c r="AA1024" s="2" t="s">
        <v>74</v>
      </c>
      <c r="AB1024" s="2" t="s">
        <v>74</v>
      </c>
      <c r="AC1024" s="2" t="s">
        <v>74</v>
      </c>
      <c r="AD1024" s="2" t="s">
        <v>74</v>
      </c>
      <c r="AE1024" s="2" t="s">
        <v>74</v>
      </c>
      <c r="AF1024" s="2" t="s">
        <v>74</v>
      </c>
      <c r="AG1024" s="2" t="s">
        <v>74</v>
      </c>
      <c r="AH1024" s="2" t="s">
        <v>74</v>
      </c>
      <c r="AI1024" s="2" t="s">
        <v>74</v>
      </c>
      <c r="AJ1024" s="2" t="s">
        <v>74</v>
      </c>
      <c r="AK1024" s="2" t="s">
        <v>74</v>
      </c>
      <c r="AL1024" s="2" t="s">
        <v>74</v>
      </c>
      <c r="AM1024" s="2" t="s">
        <v>74</v>
      </c>
      <c r="AN1024" s="2" t="s">
        <v>74</v>
      </c>
      <c r="AO1024" s="2" t="s">
        <v>555</v>
      </c>
      <c r="AP1024" s="2" t="s">
        <v>556</v>
      </c>
      <c r="AQ1024" s="2" t="s">
        <v>74</v>
      </c>
      <c r="AR1024" s="2" t="s">
        <v>74</v>
      </c>
      <c r="AS1024" s="2" t="s">
        <v>74</v>
      </c>
      <c r="AT1024" s="2" t="s">
        <v>74</v>
      </c>
      <c r="AU1024" s="2">
        <v>2017</v>
      </c>
      <c r="AV1024" s="2">
        <v>30</v>
      </c>
      <c r="AW1024" s="2">
        <v>3</v>
      </c>
      <c r="AX1024" s="2" t="s">
        <v>74</v>
      </c>
      <c r="AY1024" s="2" t="s">
        <v>74</v>
      </c>
      <c r="AZ1024" s="2" t="s">
        <v>74</v>
      </c>
      <c r="BA1024" s="2" t="s">
        <v>74</v>
      </c>
      <c r="BB1024" s="2">
        <v>110</v>
      </c>
      <c r="BC1024" s="2">
        <v>124</v>
      </c>
      <c r="BD1024" s="2" t="s">
        <v>74</v>
      </c>
      <c r="BE1024" s="2" t="s">
        <v>557</v>
      </c>
      <c r="BF1024" s="2" t="str">
        <f>HYPERLINK("http://dx.doi.org/10.1080/03946975.2017.1345471","http://dx.doi.org/10.1080/03946975.2017.1345471")</f>
        <v>http://dx.doi.org/10.1080/03946975.2017.1345471</v>
      </c>
      <c r="BG1024" s="2" t="s">
        <v>74</v>
      </c>
      <c r="BH1024" s="2" t="s">
        <v>74</v>
      </c>
      <c r="BI1024" s="2" t="s">
        <v>74</v>
      </c>
      <c r="BJ1024" s="2" t="s">
        <v>74</v>
      </c>
      <c r="BK1024" s="2" t="s">
        <v>74</v>
      </c>
      <c r="BL1024" s="2" t="s">
        <v>74</v>
      </c>
      <c r="BM1024" s="2" t="s">
        <v>74</v>
      </c>
      <c r="BN1024" s="2" t="s">
        <v>74</v>
      </c>
      <c r="BO1024" s="2" t="s">
        <v>74</v>
      </c>
      <c r="BP1024" s="2" t="s">
        <v>74</v>
      </c>
      <c r="BQ1024" s="2" t="s">
        <v>74</v>
      </c>
      <c r="BR1024" s="2" t="s">
        <v>74</v>
      </c>
      <c r="BS1024" s="2" t="s">
        <v>558</v>
      </c>
      <c r="BT1024" s="2" t="str">
        <f>HYPERLINK("https%3A%2F%2Fwww.webofscience.com%2Fwos%2Fwoscc%2Ffull-record%2FWOS:000407553100002","View Full Record in Web of Science")</f>
        <v>View Full Record in Web of Science</v>
      </c>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row>
    <row r="1025" spans="1:314" s="2" customFormat="1" x14ac:dyDescent="0.4">
      <c r="A1025" s="2" t="s">
        <v>72</v>
      </c>
      <c r="B1025" s="2" t="s">
        <v>1339</v>
      </c>
      <c r="C1025" s="2" t="s">
        <v>74</v>
      </c>
      <c r="D1025" s="2" t="s">
        <v>74</v>
      </c>
      <c r="E1025" s="2" t="s">
        <v>74</v>
      </c>
      <c r="F1025" s="2" t="s">
        <v>1339</v>
      </c>
      <c r="G1025" s="2" t="s">
        <v>74</v>
      </c>
      <c r="H1025" s="2" t="s">
        <v>74</v>
      </c>
      <c r="I1025" s="2" t="s">
        <v>1340</v>
      </c>
      <c r="J1025" s="2" t="s">
        <v>1341</v>
      </c>
      <c r="K1025" s="2" t="s">
        <v>74</v>
      </c>
      <c r="L1025" s="2" t="s">
        <v>74</v>
      </c>
      <c r="M1025" s="2" t="s">
        <v>74</v>
      </c>
      <c r="N1025" s="2" t="s">
        <v>74</v>
      </c>
      <c r="O1025" s="2" t="s">
        <v>74</v>
      </c>
      <c r="P1025" s="2" t="s">
        <v>74</v>
      </c>
      <c r="Q1025" s="2" t="s">
        <v>74</v>
      </c>
      <c r="R1025" s="2" t="s">
        <v>74</v>
      </c>
      <c r="S1025" s="2" t="s">
        <v>74</v>
      </c>
      <c r="T1025" s="2" t="s">
        <v>74</v>
      </c>
      <c r="U1025" s="2" t="s">
        <v>74</v>
      </c>
      <c r="V1025" s="5" t="s">
        <v>1342</v>
      </c>
      <c r="W1025" s="2" t="s">
        <v>74</v>
      </c>
      <c r="X1025" s="2" t="s">
        <v>74</v>
      </c>
      <c r="Y1025" s="2" t="s">
        <v>74</v>
      </c>
      <c r="Z1025" s="2" t="s">
        <v>74</v>
      </c>
      <c r="AA1025" s="2" t="s">
        <v>74</v>
      </c>
      <c r="AB1025" s="2" t="s">
        <v>74</v>
      </c>
      <c r="AC1025" s="2" t="s">
        <v>74</v>
      </c>
      <c r="AD1025" s="2" t="s">
        <v>74</v>
      </c>
      <c r="AE1025" s="2" t="s">
        <v>74</v>
      </c>
      <c r="AF1025" s="2" t="s">
        <v>74</v>
      </c>
      <c r="AG1025" s="2" t="s">
        <v>74</v>
      </c>
      <c r="AH1025" s="2" t="s">
        <v>74</v>
      </c>
      <c r="AI1025" s="2" t="s">
        <v>74</v>
      </c>
      <c r="AJ1025" s="2" t="s">
        <v>74</v>
      </c>
      <c r="AK1025" s="2" t="s">
        <v>74</v>
      </c>
      <c r="AL1025" s="2" t="s">
        <v>74</v>
      </c>
      <c r="AM1025" s="2" t="s">
        <v>74</v>
      </c>
      <c r="AN1025" s="2" t="s">
        <v>74</v>
      </c>
      <c r="AO1025" s="2" t="s">
        <v>1343</v>
      </c>
      <c r="AP1025" s="2" t="s">
        <v>74</v>
      </c>
      <c r="AQ1025" s="2" t="s">
        <v>74</v>
      </c>
      <c r="AR1025" s="2" t="s">
        <v>74</v>
      </c>
      <c r="AS1025" s="2" t="s">
        <v>74</v>
      </c>
      <c r="AT1025" s="2" t="s">
        <v>123</v>
      </c>
      <c r="AU1025" s="2">
        <v>1996</v>
      </c>
      <c r="AV1025" s="2">
        <v>42</v>
      </c>
      <c r="AW1025" s="2">
        <v>3</v>
      </c>
      <c r="AX1025" s="2" t="s">
        <v>74</v>
      </c>
      <c r="AY1025" s="2" t="s">
        <v>74</v>
      </c>
      <c r="AZ1025" s="2" t="s">
        <v>74</v>
      </c>
      <c r="BA1025" s="2" t="s">
        <v>74</v>
      </c>
      <c r="BB1025" s="2">
        <v>287</v>
      </c>
      <c r="BC1025" s="2">
        <v>294</v>
      </c>
      <c r="BD1025" s="2" t="s">
        <v>74</v>
      </c>
      <c r="BE1025" s="2" t="s">
        <v>1344</v>
      </c>
      <c r="BF1025" s="2" t="str">
        <f>HYPERLINK("http://dx.doi.org/10.1016/0022-1910(95)00115-8","http://dx.doi.org/10.1016/0022-1910(95)00115-8")</f>
        <v>http://dx.doi.org/10.1016/0022-1910(95)00115-8</v>
      </c>
      <c r="BG1025" s="2" t="s">
        <v>74</v>
      </c>
      <c r="BH1025" s="2" t="s">
        <v>74</v>
      </c>
      <c r="BI1025" s="2" t="s">
        <v>74</v>
      </c>
      <c r="BJ1025" s="2" t="s">
        <v>74</v>
      </c>
      <c r="BK1025" s="2" t="s">
        <v>74</v>
      </c>
      <c r="BL1025" s="2" t="s">
        <v>74</v>
      </c>
      <c r="BM1025" s="2" t="s">
        <v>74</v>
      </c>
      <c r="BN1025" s="2" t="s">
        <v>74</v>
      </c>
      <c r="BO1025" s="2" t="s">
        <v>74</v>
      </c>
      <c r="BP1025" s="2" t="s">
        <v>74</v>
      </c>
      <c r="BQ1025" s="2" t="s">
        <v>74</v>
      </c>
      <c r="BR1025" s="2" t="s">
        <v>74</v>
      </c>
      <c r="BS1025" s="2" t="s">
        <v>1345</v>
      </c>
      <c r="BT1025" s="2" t="str">
        <f>HYPERLINK("https%3A%2F%2Fwww.webofscience.com%2Fwos%2Fwoscc%2Ffull-record%2FWOS:A1996TZ11300012","View Full Record in Web of Science")</f>
        <v>View Full Record in Web of Science</v>
      </c>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row>
    <row r="1026" spans="1:314" s="2" customFormat="1" x14ac:dyDescent="0.4">
      <c r="A1026" s="2" t="s">
        <v>72</v>
      </c>
      <c r="B1026" s="2" t="s">
        <v>7184</v>
      </c>
      <c r="C1026" s="2" t="s">
        <v>74</v>
      </c>
      <c r="D1026" s="2" t="s">
        <v>74</v>
      </c>
      <c r="E1026" s="2" t="s">
        <v>74</v>
      </c>
      <c r="F1026" s="2" t="s">
        <v>7185</v>
      </c>
      <c r="G1026" s="2" t="s">
        <v>74</v>
      </c>
      <c r="H1026" s="2" t="s">
        <v>74</v>
      </c>
      <c r="I1026" s="2" t="s">
        <v>7186</v>
      </c>
      <c r="J1026" s="2" t="s">
        <v>1341</v>
      </c>
      <c r="K1026" s="2" t="s">
        <v>74</v>
      </c>
      <c r="L1026" s="2" t="s">
        <v>74</v>
      </c>
      <c r="M1026" s="2" t="s">
        <v>74</v>
      </c>
      <c r="N1026" s="2" t="s">
        <v>74</v>
      </c>
      <c r="O1026" s="2" t="s">
        <v>74</v>
      </c>
      <c r="P1026" s="2" t="s">
        <v>74</v>
      </c>
      <c r="Q1026" s="2" t="s">
        <v>74</v>
      </c>
      <c r="R1026" s="2" t="s">
        <v>74</v>
      </c>
      <c r="S1026" s="2" t="s">
        <v>74</v>
      </c>
      <c r="T1026" s="2" t="s">
        <v>74</v>
      </c>
      <c r="U1026" s="2" t="s">
        <v>74</v>
      </c>
      <c r="V1026" s="5" t="s">
        <v>7187</v>
      </c>
      <c r="W1026" s="2" t="s">
        <v>74</v>
      </c>
      <c r="X1026" s="2" t="s">
        <v>74</v>
      </c>
      <c r="Y1026" s="2" t="s">
        <v>74</v>
      </c>
      <c r="Z1026" s="2" t="s">
        <v>74</v>
      </c>
      <c r="AA1026" s="2" t="s">
        <v>74</v>
      </c>
      <c r="AB1026" s="2" t="s">
        <v>74</v>
      </c>
      <c r="AC1026" s="2" t="s">
        <v>74</v>
      </c>
      <c r="AD1026" s="2" t="s">
        <v>74</v>
      </c>
      <c r="AE1026" s="2" t="s">
        <v>74</v>
      </c>
      <c r="AF1026" s="2" t="s">
        <v>74</v>
      </c>
      <c r="AG1026" s="2" t="s">
        <v>74</v>
      </c>
      <c r="AH1026" s="2" t="s">
        <v>74</v>
      </c>
      <c r="AI1026" s="2" t="s">
        <v>74</v>
      </c>
      <c r="AJ1026" s="2" t="s">
        <v>74</v>
      </c>
      <c r="AK1026" s="2" t="s">
        <v>74</v>
      </c>
      <c r="AL1026" s="2" t="s">
        <v>74</v>
      </c>
      <c r="AM1026" s="2" t="s">
        <v>74</v>
      </c>
      <c r="AN1026" s="2" t="s">
        <v>74</v>
      </c>
      <c r="AO1026" s="2" t="s">
        <v>1343</v>
      </c>
      <c r="AP1026" s="2" t="s">
        <v>3686</v>
      </c>
      <c r="AQ1026" s="2" t="s">
        <v>74</v>
      </c>
      <c r="AR1026" s="2" t="s">
        <v>74</v>
      </c>
      <c r="AS1026" s="2" t="s">
        <v>74</v>
      </c>
      <c r="AT1026" s="2" t="s">
        <v>145</v>
      </c>
      <c r="AU1026" s="2">
        <v>2012</v>
      </c>
      <c r="AV1026" s="2">
        <v>58</v>
      </c>
      <c r="AW1026" s="2">
        <v>8</v>
      </c>
      <c r="AX1026" s="2" t="s">
        <v>74</v>
      </c>
      <c r="AY1026" s="2" t="s">
        <v>74</v>
      </c>
      <c r="AZ1026" s="2" t="s">
        <v>74</v>
      </c>
      <c r="BA1026" s="2" t="s">
        <v>74</v>
      </c>
      <c r="BB1026" s="2">
        <v>1060</v>
      </c>
      <c r="BC1026" s="2">
        <v>1071</v>
      </c>
      <c r="BD1026" s="2" t="s">
        <v>74</v>
      </c>
      <c r="BE1026" s="2" t="s">
        <v>7188</v>
      </c>
      <c r="BF1026" s="2" t="str">
        <f>HYPERLINK("http://dx.doi.org/10.1016/j.jinsphys.2012.04.005","http://dx.doi.org/10.1016/j.jinsphys.2012.04.005")</f>
        <v>http://dx.doi.org/10.1016/j.jinsphys.2012.04.005</v>
      </c>
      <c r="BG1026" s="2" t="s">
        <v>74</v>
      </c>
      <c r="BH1026" s="2" t="s">
        <v>74</v>
      </c>
      <c r="BI1026" s="2" t="s">
        <v>74</v>
      </c>
      <c r="BJ1026" s="2" t="s">
        <v>74</v>
      </c>
      <c r="BK1026" s="2" t="s">
        <v>74</v>
      </c>
      <c r="BL1026" s="2" t="s">
        <v>74</v>
      </c>
      <c r="BM1026" s="2" t="s">
        <v>74</v>
      </c>
      <c r="BN1026" s="2">
        <v>22546561</v>
      </c>
      <c r="BO1026" s="2" t="s">
        <v>74</v>
      </c>
      <c r="BP1026" s="2" t="s">
        <v>74</v>
      </c>
      <c r="BQ1026" s="2" t="s">
        <v>74</v>
      </c>
      <c r="BR1026" s="2" t="s">
        <v>74</v>
      </c>
      <c r="BS1026" s="2" t="s">
        <v>7189</v>
      </c>
      <c r="BT1026" s="2" t="str">
        <f>HYPERLINK("https%3A%2F%2Fwww.webofscience.com%2Fwos%2Fwoscc%2Ffull-record%2FWOS:000307154600004","View Full Record in Web of Science")</f>
        <v>View Full Record in Web of Science</v>
      </c>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row>
    <row r="1027" spans="1:314" s="2" customFormat="1" x14ac:dyDescent="0.4">
      <c r="A1027" s="2" t="s">
        <v>72</v>
      </c>
      <c r="B1027" s="2" t="s">
        <v>677</v>
      </c>
      <c r="C1027" s="2" t="s">
        <v>74</v>
      </c>
      <c r="D1027" s="2" t="s">
        <v>74</v>
      </c>
      <c r="E1027" s="2" t="s">
        <v>74</v>
      </c>
      <c r="F1027" s="2" t="s">
        <v>677</v>
      </c>
      <c r="G1027" s="2" t="s">
        <v>74</v>
      </c>
      <c r="H1027" s="2" t="s">
        <v>74</v>
      </c>
      <c r="I1027" s="2" t="s">
        <v>678</v>
      </c>
      <c r="J1027" s="2" t="s">
        <v>509</v>
      </c>
      <c r="K1027" s="2" t="s">
        <v>74</v>
      </c>
      <c r="L1027" s="2" t="s">
        <v>74</v>
      </c>
      <c r="M1027" s="2" t="s">
        <v>74</v>
      </c>
      <c r="N1027" s="2" t="s">
        <v>74</v>
      </c>
      <c r="O1027" s="2" t="s">
        <v>74</v>
      </c>
      <c r="P1027" s="2" t="s">
        <v>74</v>
      </c>
      <c r="Q1027" s="2" t="s">
        <v>74</v>
      </c>
      <c r="R1027" s="2" t="s">
        <v>74</v>
      </c>
      <c r="S1027" s="2" t="s">
        <v>74</v>
      </c>
      <c r="T1027" s="2" t="s">
        <v>74</v>
      </c>
      <c r="U1027" s="2" t="s">
        <v>74</v>
      </c>
      <c r="V1027" s="5" t="s">
        <v>679</v>
      </c>
      <c r="W1027" s="2" t="s">
        <v>74</v>
      </c>
      <c r="X1027" s="2" t="s">
        <v>74</v>
      </c>
      <c r="Y1027" s="2" t="s">
        <v>74</v>
      </c>
      <c r="Z1027" s="2" t="s">
        <v>74</v>
      </c>
      <c r="AA1027" s="2" t="s">
        <v>74</v>
      </c>
      <c r="AB1027" s="2" t="s">
        <v>74</v>
      </c>
      <c r="AC1027" s="2" t="s">
        <v>74</v>
      </c>
      <c r="AD1027" s="2" t="s">
        <v>74</v>
      </c>
      <c r="AE1027" s="2" t="s">
        <v>74</v>
      </c>
      <c r="AF1027" s="2" t="s">
        <v>74</v>
      </c>
      <c r="AG1027" s="2" t="s">
        <v>74</v>
      </c>
      <c r="AH1027" s="2" t="s">
        <v>74</v>
      </c>
      <c r="AI1027" s="2" t="s">
        <v>74</v>
      </c>
      <c r="AJ1027" s="2" t="s">
        <v>74</v>
      </c>
      <c r="AK1027" s="2" t="s">
        <v>74</v>
      </c>
      <c r="AL1027" s="2" t="s">
        <v>74</v>
      </c>
      <c r="AM1027" s="2" t="s">
        <v>74</v>
      </c>
      <c r="AN1027" s="2" t="s">
        <v>74</v>
      </c>
      <c r="AO1027" s="2" t="s">
        <v>511</v>
      </c>
      <c r="AP1027" s="2" t="s">
        <v>512</v>
      </c>
      <c r="AQ1027" s="2" t="s">
        <v>74</v>
      </c>
      <c r="AR1027" s="2" t="s">
        <v>74</v>
      </c>
      <c r="AS1027" s="2" t="s">
        <v>74</v>
      </c>
      <c r="AT1027" s="2" t="s">
        <v>102</v>
      </c>
      <c r="AU1027" s="2">
        <v>1987</v>
      </c>
      <c r="AV1027" s="2">
        <v>21</v>
      </c>
      <c r="AW1027" s="2">
        <v>2</v>
      </c>
      <c r="AX1027" s="2" t="s">
        <v>74</v>
      </c>
      <c r="AY1027" s="2" t="s">
        <v>74</v>
      </c>
      <c r="AZ1027" s="2" t="s">
        <v>74</v>
      </c>
      <c r="BA1027" s="2" t="s">
        <v>74</v>
      </c>
      <c r="BB1027" s="2">
        <v>234</v>
      </c>
      <c r="BC1027" s="2">
        <v>244</v>
      </c>
      <c r="BD1027" s="2" t="s">
        <v>74</v>
      </c>
      <c r="BE1027" s="2" t="s">
        <v>680</v>
      </c>
      <c r="BF1027" s="2" t="str">
        <f>HYPERLINK("http://dx.doi.org/10.1016/0018-506X(87)90048-1","http://dx.doi.org/10.1016/0018-506X(87)90048-1")</f>
        <v>http://dx.doi.org/10.1016/0018-506X(87)90048-1</v>
      </c>
      <c r="BG1027" s="2" t="s">
        <v>74</v>
      </c>
      <c r="BH1027" s="2" t="s">
        <v>74</v>
      </c>
      <c r="BI1027" s="2" t="s">
        <v>74</v>
      </c>
      <c r="BJ1027" s="2" t="s">
        <v>74</v>
      </c>
      <c r="BK1027" s="2" t="s">
        <v>74</v>
      </c>
      <c r="BL1027" s="2" t="s">
        <v>74</v>
      </c>
      <c r="BM1027" s="2" t="s">
        <v>74</v>
      </c>
      <c r="BN1027" s="2">
        <v>3610060</v>
      </c>
      <c r="BO1027" s="2" t="s">
        <v>74</v>
      </c>
      <c r="BP1027" s="2" t="s">
        <v>74</v>
      </c>
      <c r="BQ1027" s="2" t="s">
        <v>74</v>
      </c>
      <c r="BR1027" s="2" t="s">
        <v>74</v>
      </c>
      <c r="BS1027" s="2" t="s">
        <v>681</v>
      </c>
      <c r="BT1027" s="2" t="str">
        <f>HYPERLINK("https%3A%2F%2Fwww.webofscience.com%2Fwos%2Fwoscc%2Ffull-record%2FWOS:A1987H984200009","View Full Record in Web of Science")</f>
        <v>View Full Record in Web of Science</v>
      </c>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row>
    <row r="1028" spans="1:314" s="1" customFormat="1" x14ac:dyDescent="0.4">
      <c r="A1028" s="2" t="s">
        <v>72</v>
      </c>
      <c r="B1028" s="2" t="s">
        <v>978</v>
      </c>
      <c r="C1028" s="2" t="s">
        <v>74</v>
      </c>
      <c r="D1028" s="2" t="s">
        <v>74</v>
      </c>
      <c r="E1028" s="2" t="s">
        <v>74</v>
      </c>
      <c r="F1028" s="2" t="s">
        <v>978</v>
      </c>
      <c r="G1028" s="2" t="s">
        <v>74</v>
      </c>
      <c r="H1028" s="2" t="s">
        <v>74</v>
      </c>
      <c r="I1028" s="2" t="s">
        <v>979</v>
      </c>
      <c r="J1028" s="2" t="s">
        <v>691</v>
      </c>
      <c r="K1028" s="2" t="s">
        <v>74</v>
      </c>
      <c r="L1028" s="2" t="s">
        <v>74</v>
      </c>
      <c r="M1028" s="2" t="s">
        <v>74</v>
      </c>
      <c r="N1028" s="2" t="s">
        <v>74</v>
      </c>
      <c r="O1028" s="2" t="s">
        <v>74</v>
      </c>
      <c r="P1028" s="2" t="s">
        <v>74</v>
      </c>
      <c r="Q1028" s="2" t="s">
        <v>74</v>
      </c>
      <c r="R1028" s="2" t="s">
        <v>74</v>
      </c>
      <c r="S1028" s="2" t="s">
        <v>74</v>
      </c>
      <c r="T1028" s="2" t="s">
        <v>74</v>
      </c>
      <c r="U1028" s="2" t="s">
        <v>74</v>
      </c>
      <c r="V1028" s="5" t="s">
        <v>980</v>
      </c>
      <c r="W1028" s="2" t="s">
        <v>74</v>
      </c>
      <c r="X1028" s="2" t="s">
        <v>74</v>
      </c>
      <c r="Y1028" s="2" t="s">
        <v>74</v>
      </c>
      <c r="Z1028" s="2" t="s">
        <v>74</v>
      </c>
      <c r="AA1028" s="2" t="s">
        <v>74</v>
      </c>
      <c r="AB1028" s="2" t="s">
        <v>74</v>
      </c>
      <c r="AC1028" s="2" t="s">
        <v>74</v>
      </c>
      <c r="AD1028" s="2" t="s">
        <v>74</v>
      </c>
      <c r="AE1028" s="2" t="s">
        <v>74</v>
      </c>
      <c r="AF1028" s="2" t="s">
        <v>74</v>
      </c>
      <c r="AG1028" s="2" t="s">
        <v>74</v>
      </c>
      <c r="AH1028" s="2" t="s">
        <v>74</v>
      </c>
      <c r="AI1028" s="2" t="s">
        <v>74</v>
      </c>
      <c r="AJ1028" s="2" t="s">
        <v>74</v>
      </c>
      <c r="AK1028" s="2" t="s">
        <v>74</v>
      </c>
      <c r="AL1028" s="2" t="s">
        <v>74</v>
      </c>
      <c r="AM1028" s="2" t="s">
        <v>74</v>
      </c>
      <c r="AN1028" s="2" t="s">
        <v>74</v>
      </c>
      <c r="AO1028" s="2" t="s">
        <v>695</v>
      </c>
      <c r="AP1028" s="2" t="s">
        <v>981</v>
      </c>
      <c r="AQ1028" s="2" t="s">
        <v>74</v>
      </c>
      <c r="AR1028" s="2" t="s">
        <v>74</v>
      </c>
      <c r="AS1028" s="2" t="s">
        <v>74</v>
      </c>
      <c r="AT1028" s="2" t="s">
        <v>74</v>
      </c>
      <c r="AU1028" s="2">
        <v>1984</v>
      </c>
      <c r="AV1028" s="2">
        <v>32</v>
      </c>
      <c r="AW1028" s="2">
        <v>4</v>
      </c>
      <c r="AX1028" s="2" t="s">
        <v>74</v>
      </c>
      <c r="AY1028" s="2" t="s">
        <v>74</v>
      </c>
      <c r="AZ1028" s="2" t="s">
        <v>74</v>
      </c>
      <c r="BA1028" s="2" t="s">
        <v>74</v>
      </c>
      <c r="BB1028" s="2">
        <v>541</v>
      </c>
      <c r="BC1028" s="2">
        <v>546</v>
      </c>
      <c r="BD1028" s="2" t="s">
        <v>74</v>
      </c>
      <c r="BE1028" s="2" t="s">
        <v>982</v>
      </c>
      <c r="BF1028" s="2" t="str">
        <f>HYPERLINK("http://dx.doi.org/10.1016/0031-9384(84)90307-X","http://dx.doi.org/10.1016/0031-9384(84)90307-X")</f>
        <v>http://dx.doi.org/10.1016/0031-9384(84)90307-X</v>
      </c>
      <c r="BG1028" s="2" t="s">
        <v>74</v>
      </c>
      <c r="BH1028" s="2" t="s">
        <v>74</v>
      </c>
      <c r="BI1028" s="2" t="s">
        <v>74</v>
      </c>
      <c r="BJ1028" s="2" t="s">
        <v>74</v>
      </c>
      <c r="BK1028" s="2" t="s">
        <v>74</v>
      </c>
      <c r="BL1028" s="2" t="s">
        <v>74</v>
      </c>
      <c r="BM1028" s="2" t="s">
        <v>74</v>
      </c>
      <c r="BN1028" s="2">
        <v>6541348</v>
      </c>
      <c r="BO1028" s="2" t="s">
        <v>74</v>
      </c>
      <c r="BP1028" s="2" t="s">
        <v>74</v>
      </c>
      <c r="BQ1028" s="2" t="s">
        <v>74</v>
      </c>
      <c r="BR1028" s="2" t="s">
        <v>74</v>
      </c>
      <c r="BS1028" s="2" t="s">
        <v>983</v>
      </c>
      <c r="BT1028" s="2" t="str">
        <f>HYPERLINK("https%3A%2F%2Fwww.webofscience.com%2Fwos%2Fwoscc%2Ffull-record%2FWOS:A1984SV55800004","View Full Record in Web of Science")</f>
        <v>View Full Record in Web of Science</v>
      </c>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row>
    <row r="1029" spans="1:314" s="1" customFormat="1" x14ac:dyDescent="0.4">
      <c r="A1029" s="2" t="s">
        <v>72</v>
      </c>
      <c r="B1029" s="2" t="s">
        <v>3232</v>
      </c>
      <c r="C1029" s="2" t="s">
        <v>74</v>
      </c>
      <c r="D1029" s="2" t="s">
        <v>74</v>
      </c>
      <c r="E1029" s="2" t="s">
        <v>74</v>
      </c>
      <c r="F1029" s="2" t="s">
        <v>3232</v>
      </c>
      <c r="G1029" s="2" t="s">
        <v>74</v>
      </c>
      <c r="H1029" s="2" t="s">
        <v>74</v>
      </c>
      <c r="I1029" s="2" t="s">
        <v>3233</v>
      </c>
      <c r="J1029" s="2" t="s">
        <v>1126</v>
      </c>
      <c r="K1029" s="2" t="s">
        <v>74</v>
      </c>
      <c r="L1029" s="2" t="s">
        <v>74</v>
      </c>
      <c r="M1029" s="2" t="s">
        <v>74</v>
      </c>
      <c r="N1029" s="2" t="s">
        <v>74</v>
      </c>
      <c r="O1029" s="2" t="s">
        <v>74</v>
      </c>
      <c r="P1029" s="2" t="s">
        <v>74</v>
      </c>
      <c r="Q1029" s="2" t="s">
        <v>74</v>
      </c>
      <c r="R1029" s="2" t="s">
        <v>74</v>
      </c>
      <c r="S1029" s="2" t="s">
        <v>74</v>
      </c>
      <c r="T1029" s="2" t="s">
        <v>74</v>
      </c>
      <c r="U1029" s="2" t="s">
        <v>74</v>
      </c>
      <c r="V1029" s="5" t="s">
        <v>3234</v>
      </c>
      <c r="W1029" s="2" t="s">
        <v>74</v>
      </c>
      <c r="X1029" s="2" t="s">
        <v>74</v>
      </c>
      <c r="Y1029" s="2" t="s">
        <v>74</v>
      </c>
      <c r="Z1029" s="2" t="s">
        <v>74</v>
      </c>
      <c r="AA1029" s="2" t="s">
        <v>74</v>
      </c>
      <c r="AB1029" s="2" t="s">
        <v>74</v>
      </c>
      <c r="AC1029" s="2" t="s">
        <v>74</v>
      </c>
      <c r="AD1029" s="2" t="s">
        <v>74</v>
      </c>
      <c r="AE1029" s="2" t="s">
        <v>74</v>
      </c>
      <c r="AF1029" s="2" t="s">
        <v>74</v>
      </c>
      <c r="AG1029" s="2" t="s">
        <v>74</v>
      </c>
      <c r="AH1029" s="2" t="s">
        <v>74</v>
      </c>
      <c r="AI1029" s="2" t="s">
        <v>74</v>
      </c>
      <c r="AJ1029" s="2" t="s">
        <v>74</v>
      </c>
      <c r="AK1029" s="2" t="s">
        <v>74</v>
      </c>
      <c r="AL1029" s="2" t="s">
        <v>74</v>
      </c>
      <c r="AM1029" s="2" t="s">
        <v>74</v>
      </c>
      <c r="AN1029" s="2" t="s">
        <v>74</v>
      </c>
      <c r="AO1029" s="2" t="s">
        <v>1128</v>
      </c>
      <c r="AP1029" s="2" t="s">
        <v>1129</v>
      </c>
      <c r="AQ1029" s="2" t="s">
        <v>74</v>
      </c>
      <c r="AR1029" s="2" t="s">
        <v>74</v>
      </c>
      <c r="AS1029" s="2" t="s">
        <v>74</v>
      </c>
      <c r="AT1029" s="2" t="s">
        <v>1146</v>
      </c>
      <c r="AU1029" s="2">
        <v>1991</v>
      </c>
      <c r="AV1029" s="2" t="s">
        <v>74</v>
      </c>
      <c r="AW1029" s="2">
        <v>3</v>
      </c>
      <c r="AX1029" s="2" t="s">
        <v>74</v>
      </c>
      <c r="AY1029" s="2" t="s">
        <v>74</v>
      </c>
      <c r="AZ1029" s="2" t="s">
        <v>74</v>
      </c>
      <c r="BA1029" s="2" t="s">
        <v>74</v>
      </c>
      <c r="BB1029" s="2">
        <v>800</v>
      </c>
      <c r="BC1029" s="2">
        <v>809</v>
      </c>
      <c r="BD1029" s="2" t="s">
        <v>74</v>
      </c>
      <c r="BE1029" s="2" t="s">
        <v>74</v>
      </c>
      <c r="BF1029" s="2" t="s">
        <v>74</v>
      </c>
      <c r="BG1029" s="2" t="s">
        <v>74</v>
      </c>
      <c r="BH1029" s="2" t="s">
        <v>74</v>
      </c>
      <c r="BI1029" s="2" t="s">
        <v>74</v>
      </c>
      <c r="BJ1029" s="2" t="s">
        <v>74</v>
      </c>
      <c r="BK1029" s="2" t="s">
        <v>74</v>
      </c>
      <c r="BL1029" s="2" t="s">
        <v>74</v>
      </c>
      <c r="BM1029" s="2" t="s">
        <v>74</v>
      </c>
      <c r="BN1029" s="2" t="s">
        <v>74</v>
      </c>
      <c r="BO1029" s="2" t="s">
        <v>74</v>
      </c>
      <c r="BP1029" s="2" t="s">
        <v>74</v>
      </c>
      <c r="BQ1029" s="2" t="s">
        <v>74</v>
      </c>
      <c r="BR1029" s="2" t="s">
        <v>74</v>
      </c>
      <c r="BS1029" s="2" t="s">
        <v>3235</v>
      </c>
      <c r="BT1029" s="2" t="str">
        <f>HYPERLINK("https%3A%2F%2Fwww.webofscience.com%2Fwos%2Fwoscc%2Ffull-record%2FWOS:A1991FZ81200023","View Full Record in Web of Science")</f>
        <v>View Full Record in Web of Science</v>
      </c>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row>
    <row r="1030" spans="1:314" s="2" customFormat="1" x14ac:dyDescent="0.4">
      <c r="A1030" s="2" t="s">
        <v>72</v>
      </c>
      <c r="B1030" s="2" t="s">
        <v>3697</v>
      </c>
      <c r="C1030" s="2" t="s">
        <v>74</v>
      </c>
      <c r="D1030" s="2" t="s">
        <v>74</v>
      </c>
      <c r="E1030" s="2" t="s">
        <v>74</v>
      </c>
      <c r="F1030" s="2" t="s">
        <v>3698</v>
      </c>
      <c r="G1030" s="2" t="s">
        <v>74</v>
      </c>
      <c r="H1030" s="2" t="s">
        <v>74</v>
      </c>
      <c r="I1030" s="2" t="s">
        <v>3699</v>
      </c>
      <c r="J1030" s="2" t="s">
        <v>140</v>
      </c>
      <c r="K1030" s="2" t="s">
        <v>74</v>
      </c>
      <c r="L1030" s="2" t="s">
        <v>74</v>
      </c>
      <c r="M1030" s="2" t="s">
        <v>74</v>
      </c>
      <c r="N1030" s="2" t="s">
        <v>74</v>
      </c>
      <c r="O1030" s="2" t="s">
        <v>74</v>
      </c>
      <c r="P1030" s="2" t="s">
        <v>74</v>
      </c>
      <c r="Q1030" s="2" t="s">
        <v>74</v>
      </c>
      <c r="R1030" s="2" t="s">
        <v>74</v>
      </c>
      <c r="S1030" s="2" t="s">
        <v>74</v>
      </c>
      <c r="T1030" s="2" t="s">
        <v>74</v>
      </c>
      <c r="U1030" s="2" t="s">
        <v>74</v>
      </c>
      <c r="V1030" s="5" t="s">
        <v>3700</v>
      </c>
      <c r="W1030" s="2" t="s">
        <v>74</v>
      </c>
      <c r="X1030" s="2" t="s">
        <v>74</v>
      </c>
      <c r="Y1030" s="2" t="s">
        <v>74</v>
      </c>
      <c r="Z1030" s="2" t="s">
        <v>74</v>
      </c>
      <c r="AA1030" s="2" t="s">
        <v>74</v>
      </c>
      <c r="AB1030" s="2" t="s">
        <v>74</v>
      </c>
      <c r="AC1030" s="2" t="s">
        <v>74</v>
      </c>
      <c r="AD1030" s="2" t="s">
        <v>74</v>
      </c>
      <c r="AE1030" s="2" t="s">
        <v>74</v>
      </c>
      <c r="AF1030" s="2" t="s">
        <v>74</v>
      </c>
      <c r="AG1030" s="2" t="s">
        <v>74</v>
      </c>
      <c r="AH1030" s="2" t="s">
        <v>74</v>
      </c>
      <c r="AI1030" s="2" t="s">
        <v>74</v>
      </c>
      <c r="AJ1030" s="2" t="s">
        <v>74</v>
      </c>
      <c r="AK1030" s="2" t="s">
        <v>74</v>
      </c>
      <c r="AL1030" s="2" t="s">
        <v>74</v>
      </c>
      <c r="AM1030" s="2" t="s">
        <v>74</v>
      </c>
      <c r="AN1030" s="2" t="s">
        <v>74</v>
      </c>
      <c r="AO1030" s="2" t="s">
        <v>143</v>
      </c>
      <c r="AP1030" s="2" t="s">
        <v>144</v>
      </c>
      <c r="AQ1030" s="2" t="s">
        <v>74</v>
      </c>
      <c r="AR1030" s="2" t="s">
        <v>74</v>
      </c>
      <c r="AS1030" s="2" t="s">
        <v>74</v>
      </c>
      <c r="AT1030" s="2" t="s">
        <v>204</v>
      </c>
      <c r="AU1030" s="2">
        <v>2014</v>
      </c>
      <c r="AV1030" s="2">
        <v>93</v>
      </c>
      <c r="AW1030" s="2" t="s">
        <v>74</v>
      </c>
      <c r="AX1030" s="2" t="s">
        <v>74</v>
      </c>
      <c r="AY1030" s="2" t="s">
        <v>74</v>
      </c>
      <c r="AZ1030" s="2" t="s">
        <v>74</v>
      </c>
      <c r="BA1030" s="2" t="s">
        <v>74</v>
      </c>
      <c r="BB1030" s="2">
        <v>267</v>
      </c>
      <c r="BC1030" s="2">
        <v>278</v>
      </c>
      <c r="BD1030" s="2" t="s">
        <v>74</v>
      </c>
      <c r="BE1030" s="2" t="s">
        <v>3701</v>
      </c>
      <c r="BF1030" s="2" t="str">
        <f>HYPERLINK("http://dx.doi.org/10.1016/j.anbehav.2014.05.005","http://dx.doi.org/10.1016/j.anbehav.2014.05.005")</f>
        <v>http://dx.doi.org/10.1016/j.anbehav.2014.05.005</v>
      </c>
      <c r="BG1030" s="2" t="s">
        <v>74</v>
      </c>
      <c r="BH1030" s="2" t="s">
        <v>74</v>
      </c>
      <c r="BI1030" s="2" t="s">
        <v>74</v>
      </c>
      <c r="BJ1030" s="2" t="s">
        <v>74</v>
      </c>
      <c r="BK1030" s="2" t="s">
        <v>74</v>
      </c>
      <c r="BL1030" s="2" t="s">
        <v>74</v>
      </c>
      <c r="BM1030" s="2" t="s">
        <v>74</v>
      </c>
      <c r="BN1030" s="2" t="s">
        <v>74</v>
      </c>
      <c r="BO1030" s="2" t="s">
        <v>74</v>
      </c>
      <c r="BP1030" s="2" t="s">
        <v>74</v>
      </c>
      <c r="BQ1030" s="2" t="s">
        <v>74</v>
      </c>
      <c r="BR1030" s="2" t="s">
        <v>74</v>
      </c>
      <c r="BS1030" s="2" t="s">
        <v>3702</v>
      </c>
      <c r="BT1030" s="2" t="str">
        <f>HYPERLINK("https%3A%2F%2Fwww.webofscience.com%2Fwos%2Fwoscc%2Ffull-record%2FWOS:000338712900033","View Full Record in Web of Science")</f>
        <v>View Full Record in Web of Science</v>
      </c>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row>
    <row r="1031" spans="1:314" s="2" customFormat="1" x14ac:dyDescent="0.4">
      <c r="A1031" s="2" t="s">
        <v>72</v>
      </c>
      <c r="B1031" s="2" t="s">
        <v>7489</v>
      </c>
      <c r="C1031" s="2" t="s">
        <v>74</v>
      </c>
      <c r="D1031" s="2" t="s">
        <v>74</v>
      </c>
      <c r="E1031" s="2" t="s">
        <v>74</v>
      </c>
      <c r="F1031" s="2" t="s">
        <v>7490</v>
      </c>
      <c r="G1031" s="2" t="s">
        <v>74</v>
      </c>
      <c r="H1031" s="2" t="s">
        <v>74</v>
      </c>
      <c r="I1031" s="2" t="s">
        <v>7491</v>
      </c>
      <c r="J1031" s="2" t="s">
        <v>333</v>
      </c>
      <c r="K1031" s="2" t="s">
        <v>74</v>
      </c>
      <c r="L1031" s="2" t="s">
        <v>74</v>
      </c>
      <c r="M1031" s="2" t="s">
        <v>74</v>
      </c>
      <c r="N1031" s="2" t="s">
        <v>74</v>
      </c>
      <c r="O1031" s="2" t="s">
        <v>74</v>
      </c>
      <c r="P1031" s="2" t="s">
        <v>74</v>
      </c>
      <c r="Q1031" s="2" t="s">
        <v>74</v>
      </c>
      <c r="R1031" s="2" t="s">
        <v>74</v>
      </c>
      <c r="S1031" s="2" t="s">
        <v>74</v>
      </c>
      <c r="T1031" s="2" t="s">
        <v>74</v>
      </c>
      <c r="U1031" s="2" t="s">
        <v>74</v>
      </c>
      <c r="V1031" s="5" t="s">
        <v>7492</v>
      </c>
      <c r="W1031" s="2" t="s">
        <v>74</v>
      </c>
      <c r="X1031" s="2" t="s">
        <v>74</v>
      </c>
      <c r="Y1031" s="2" t="s">
        <v>74</v>
      </c>
      <c r="Z1031" s="2" t="s">
        <v>74</v>
      </c>
      <c r="AA1031" s="2" t="s">
        <v>74</v>
      </c>
      <c r="AB1031" s="2" t="s">
        <v>74</v>
      </c>
      <c r="AC1031" s="2" t="s">
        <v>74</v>
      </c>
      <c r="AD1031" s="2" t="s">
        <v>74</v>
      </c>
      <c r="AE1031" s="2" t="s">
        <v>74</v>
      </c>
      <c r="AF1031" s="2" t="s">
        <v>74</v>
      </c>
      <c r="AG1031" s="2" t="s">
        <v>74</v>
      </c>
      <c r="AH1031" s="2" t="s">
        <v>74</v>
      </c>
      <c r="AI1031" s="2" t="s">
        <v>74</v>
      </c>
      <c r="AJ1031" s="2" t="s">
        <v>74</v>
      </c>
      <c r="AK1031" s="2" t="s">
        <v>74</v>
      </c>
      <c r="AL1031" s="2" t="s">
        <v>74</v>
      </c>
      <c r="AM1031" s="2" t="s">
        <v>74</v>
      </c>
      <c r="AN1031" s="2" t="s">
        <v>74</v>
      </c>
      <c r="AO1031" s="2" t="s">
        <v>337</v>
      </c>
      <c r="AP1031" s="2" t="s">
        <v>338</v>
      </c>
      <c r="AQ1031" s="2" t="s">
        <v>74</v>
      </c>
      <c r="AR1031" s="2" t="s">
        <v>74</v>
      </c>
      <c r="AS1031" s="2" t="s">
        <v>74</v>
      </c>
      <c r="AT1031" s="2" t="s">
        <v>339</v>
      </c>
      <c r="AU1031" s="2">
        <v>2013</v>
      </c>
      <c r="AV1031" s="2">
        <v>24</v>
      </c>
      <c r="AW1031" s="2">
        <v>4</v>
      </c>
      <c r="AX1031" s="2" t="s">
        <v>74</v>
      </c>
      <c r="AY1031" s="2" t="s">
        <v>74</v>
      </c>
      <c r="AZ1031" s="2" t="s">
        <v>74</v>
      </c>
      <c r="BA1031" s="2" t="s">
        <v>74</v>
      </c>
      <c r="BB1031" s="2">
        <v>955</v>
      </c>
      <c r="BC1031" s="2">
        <v>967</v>
      </c>
      <c r="BD1031" s="2" t="s">
        <v>74</v>
      </c>
      <c r="BE1031" s="2" t="s">
        <v>7493</v>
      </c>
      <c r="BF1031" s="2" t="str">
        <f>HYPERLINK("http://dx.doi.org/10.1093/beheco/art011","http://dx.doi.org/10.1093/beheco/art011")</f>
        <v>http://dx.doi.org/10.1093/beheco/art011</v>
      </c>
      <c r="BG1031" s="2" t="s">
        <v>74</v>
      </c>
      <c r="BH1031" s="2" t="s">
        <v>74</v>
      </c>
      <c r="BI1031" s="2" t="s">
        <v>74</v>
      </c>
      <c r="BJ1031" s="2" t="s">
        <v>74</v>
      </c>
      <c r="BK1031" s="2" t="s">
        <v>74</v>
      </c>
      <c r="BL1031" s="2" t="s">
        <v>74</v>
      </c>
      <c r="BM1031" s="2" t="s">
        <v>74</v>
      </c>
      <c r="BN1031" s="2" t="s">
        <v>74</v>
      </c>
      <c r="BO1031" s="2" t="s">
        <v>74</v>
      </c>
      <c r="BP1031" s="2" t="s">
        <v>74</v>
      </c>
      <c r="BQ1031" s="2" t="s">
        <v>74</v>
      </c>
      <c r="BR1031" s="2" t="s">
        <v>74</v>
      </c>
      <c r="BS1031" s="2" t="s">
        <v>7494</v>
      </c>
      <c r="BT1031" s="2" t="str">
        <f>HYPERLINK("https%3A%2F%2Fwww.webofscience.com%2Fwos%2Fwoscc%2Ffull-record%2FWOS:000320409900027","View Full Record in Web of Science")</f>
        <v>View Full Record in Web of Science</v>
      </c>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row>
    <row r="1032" spans="1:314" s="1" customFormat="1" x14ac:dyDescent="0.4">
      <c r="A1032" s="2" t="s">
        <v>72</v>
      </c>
      <c r="B1032" s="2" t="s">
        <v>4870</v>
      </c>
      <c r="C1032" s="2" t="s">
        <v>74</v>
      </c>
      <c r="D1032" s="2" t="s">
        <v>74</v>
      </c>
      <c r="E1032" s="2" t="s">
        <v>74</v>
      </c>
      <c r="F1032" s="2" t="s">
        <v>4871</v>
      </c>
      <c r="G1032" s="2" t="s">
        <v>74</v>
      </c>
      <c r="H1032" s="2" t="s">
        <v>74</v>
      </c>
      <c r="I1032" s="2" t="s">
        <v>4872</v>
      </c>
      <c r="J1032" s="2" t="s">
        <v>763</v>
      </c>
      <c r="K1032" s="2" t="s">
        <v>74</v>
      </c>
      <c r="L1032" s="2" t="s">
        <v>74</v>
      </c>
      <c r="M1032" s="2" t="s">
        <v>74</v>
      </c>
      <c r="N1032" s="2" t="s">
        <v>74</v>
      </c>
      <c r="O1032" s="2" t="s">
        <v>74</v>
      </c>
      <c r="P1032" s="2" t="s">
        <v>74</v>
      </c>
      <c r="Q1032" s="2" t="s">
        <v>74</v>
      </c>
      <c r="R1032" s="2" t="s">
        <v>74</v>
      </c>
      <c r="S1032" s="2" t="s">
        <v>74</v>
      </c>
      <c r="T1032" s="2" t="s">
        <v>74</v>
      </c>
      <c r="U1032" s="2" t="s">
        <v>74</v>
      </c>
      <c r="V1032" s="5" t="s">
        <v>4873</v>
      </c>
      <c r="W1032" s="2" t="s">
        <v>74</v>
      </c>
      <c r="X1032" s="2" t="s">
        <v>74</v>
      </c>
      <c r="Y1032" s="2" t="s">
        <v>74</v>
      </c>
      <c r="Z1032" s="2" t="s">
        <v>74</v>
      </c>
      <c r="AA1032" s="2" t="s">
        <v>4874</v>
      </c>
      <c r="AB1032" s="2" t="s">
        <v>4875</v>
      </c>
      <c r="AC1032" s="2" t="s">
        <v>74</v>
      </c>
      <c r="AD1032" s="2" t="s">
        <v>74</v>
      </c>
      <c r="AE1032" s="2" t="s">
        <v>74</v>
      </c>
      <c r="AF1032" s="2" t="s">
        <v>74</v>
      </c>
      <c r="AG1032" s="2" t="s">
        <v>74</v>
      </c>
      <c r="AH1032" s="2" t="s">
        <v>74</v>
      </c>
      <c r="AI1032" s="2" t="s">
        <v>74</v>
      </c>
      <c r="AJ1032" s="2" t="s">
        <v>74</v>
      </c>
      <c r="AK1032" s="2" t="s">
        <v>74</v>
      </c>
      <c r="AL1032" s="2" t="s">
        <v>74</v>
      </c>
      <c r="AM1032" s="2" t="s">
        <v>74</v>
      </c>
      <c r="AN1032" s="2" t="s">
        <v>74</v>
      </c>
      <c r="AO1032" s="2" t="s">
        <v>767</v>
      </c>
      <c r="AP1032" s="2" t="s">
        <v>74</v>
      </c>
      <c r="AQ1032" s="2" t="s">
        <v>74</v>
      </c>
      <c r="AR1032" s="2" t="s">
        <v>74</v>
      </c>
      <c r="AS1032" s="2" t="s">
        <v>74</v>
      </c>
      <c r="AT1032" s="2" t="s">
        <v>134</v>
      </c>
      <c r="AU1032" s="2">
        <v>2013</v>
      </c>
      <c r="AV1032" s="2">
        <v>216</v>
      </c>
      <c r="AW1032" s="2">
        <v>9</v>
      </c>
      <c r="AX1032" s="2" t="s">
        <v>74</v>
      </c>
      <c r="AY1032" s="2" t="s">
        <v>74</v>
      </c>
      <c r="AZ1032" s="2" t="s">
        <v>74</v>
      </c>
      <c r="BA1032" s="2" t="s">
        <v>74</v>
      </c>
      <c r="BB1032" s="2">
        <v>1744</v>
      </c>
      <c r="BC1032" s="2">
        <v>1756</v>
      </c>
      <c r="BD1032" s="2" t="s">
        <v>74</v>
      </c>
      <c r="BE1032" s="2" t="s">
        <v>4876</v>
      </c>
      <c r="BF1032" s="2" t="str">
        <f>HYPERLINK("http://dx.doi.org/10.1242/jeb.071118","http://dx.doi.org/10.1242/jeb.071118")</f>
        <v>http://dx.doi.org/10.1242/jeb.071118</v>
      </c>
      <c r="BG1032" s="2" t="s">
        <v>74</v>
      </c>
      <c r="BH1032" s="2" t="s">
        <v>74</v>
      </c>
      <c r="BI1032" s="2" t="s">
        <v>74</v>
      </c>
      <c r="BJ1032" s="2" t="s">
        <v>74</v>
      </c>
      <c r="BK1032" s="2" t="s">
        <v>74</v>
      </c>
      <c r="BL1032" s="2" t="s">
        <v>74</v>
      </c>
      <c r="BM1032" s="2" t="s">
        <v>74</v>
      </c>
      <c r="BN1032" s="2">
        <v>23348952</v>
      </c>
      <c r="BO1032" s="2" t="s">
        <v>74</v>
      </c>
      <c r="BP1032" s="2" t="s">
        <v>74</v>
      </c>
      <c r="BQ1032" s="2" t="s">
        <v>74</v>
      </c>
      <c r="BR1032" s="2" t="s">
        <v>74</v>
      </c>
      <c r="BS1032" s="2" t="s">
        <v>4877</v>
      </c>
      <c r="BT1032" s="2" t="str">
        <f>HYPERLINK("https%3A%2F%2Fwww.webofscience.com%2Fwos%2Fwoscc%2Ffull-record%2FWOS:000317722700033","View Full Record in Web of Science")</f>
        <v>View Full Record in Web of Science</v>
      </c>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row>
    <row r="1033" spans="1:314" s="2" customFormat="1" x14ac:dyDescent="0.4">
      <c r="A1033" s="2" t="s">
        <v>72</v>
      </c>
      <c r="B1033" s="2" t="s">
        <v>821</v>
      </c>
      <c r="C1033" s="2" t="s">
        <v>74</v>
      </c>
      <c r="D1033" s="2" t="s">
        <v>74</v>
      </c>
      <c r="E1033" s="2" t="s">
        <v>74</v>
      </c>
      <c r="F1033" s="2" t="s">
        <v>822</v>
      </c>
      <c r="G1033" s="2" t="s">
        <v>74</v>
      </c>
      <c r="H1033" s="2" t="s">
        <v>74</v>
      </c>
      <c r="I1033" s="2" t="s">
        <v>823</v>
      </c>
      <c r="J1033" s="2" t="s">
        <v>824</v>
      </c>
      <c r="K1033" s="2" t="s">
        <v>74</v>
      </c>
      <c r="L1033" s="2" t="s">
        <v>74</v>
      </c>
      <c r="M1033" s="2" t="s">
        <v>74</v>
      </c>
      <c r="N1033" s="2" t="s">
        <v>74</v>
      </c>
      <c r="O1033" s="2" t="s">
        <v>74</v>
      </c>
      <c r="P1033" s="2" t="s">
        <v>74</v>
      </c>
      <c r="Q1033" s="2" t="s">
        <v>74</v>
      </c>
      <c r="R1033" s="2" t="s">
        <v>74</v>
      </c>
      <c r="S1033" s="2" t="s">
        <v>74</v>
      </c>
      <c r="T1033" s="2" t="s">
        <v>74</v>
      </c>
      <c r="U1033" s="2" t="s">
        <v>74</v>
      </c>
      <c r="V1033" s="5" t="s">
        <v>825</v>
      </c>
      <c r="W1033" s="2" t="s">
        <v>74</v>
      </c>
      <c r="X1033" s="2" t="s">
        <v>74</v>
      </c>
      <c r="Y1033" s="2" t="s">
        <v>74</v>
      </c>
      <c r="Z1033" s="2" t="s">
        <v>74</v>
      </c>
      <c r="AA1033" s="2" t="s">
        <v>826</v>
      </c>
      <c r="AB1033" s="2" t="s">
        <v>827</v>
      </c>
      <c r="AC1033" s="2" t="s">
        <v>74</v>
      </c>
      <c r="AD1033" s="2" t="s">
        <v>74</v>
      </c>
      <c r="AE1033" s="2" t="s">
        <v>74</v>
      </c>
      <c r="AF1033" s="2" t="s">
        <v>74</v>
      </c>
      <c r="AG1033" s="2" t="s">
        <v>74</v>
      </c>
      <c r="AH1033" s="2" t="s">
        <v>74</v>
      </c>
      <c r="AI1033" s="2" t="s">
        <v>74</v>
      </c>
      <c r="AJ1033" s="2" t="s">
        <v>74</v>
      </c>
      <c r="AK1033" s="2" t="s">
        <v>74</v>
      </c>
      <c r="AL1033" s="2" t="s">
        <v>74</v>
      </c>
      <c r="AM1033" s="2" t="s">
        <v>74</v>
      </c>
      <c r="AN1033" s="2" t="s">
        <v>74</v>
      </c>
      <c r="AO1033" s="2" t="s">
        <v>828</v>
      </c>
      <c r="AP1033" s="2" t="s">
        <v>829</v>
      </c>
      <c r="AQ1033" s="2" t="s">
        <v>74</v>
      </c>
      <c r="AR1033" s="2" t="s">
        <v>74</v>
      </c>
      <c r="AS1033" s="2" t="s">
        <v>74</v>
      </c>
      <c r="AT1033" s="2" t="s">
        <v>352</v>
      </c>
      <c r="AU1033" s="2">
        <v>2017</v>
      </c>
      <c r="AV1033" s="2">
        <v>86</v>
      </c>
      <c r="AW1033" s="2">
        <v>5</v>
      </c>
      <c r="AX1033" s="2" t="s">
        <v>74</v>
      </c>
      <c r="AY1033" s="2" t="s">
        <v>74</v>
      </c>
      <c r="AZ1033" s="2" t="s">
        <v>74</v>
      </c>
      <c r="BA1033" s="2" t="s">
        <v>74</v>
      </c>
      <c r="BB1033" s="2">
        <v>1074</v>
      </c>
      <c r="BC1033" s="2">
        <v>1081</v>
      </c>
      <c r="BD1033" s="2" t="s">
        <v>74</v>
      </c>
      <c r="BE1033" s="2" t="s">
        <v>830</v>
      </c>
      <c r="BF1033" s="2" t="str">
        <f>HYPERLINK("http://dx.doi.org/10.1111/1365-2656.12690","http://dx.doi.org/10.1111/1365-2656.12690")</f>
        <v>http://dx.doi.org/10.1111/1365-2656.12690</v>
      </c>
      <c r="BG1033" s="2" t="s">
        <v>74</v>
      </c>
      <c r="BH1033" s="2" t="s">
        <v>74</v>
      </c>
      <c r="BI1033" s="2" t="s">
        <v>74</v>
      </c>
      <c r="BJ1033" s="2" t="s">
        <v>74</v>
      </c>
      <c r="BK1033" s="2" t="s">
        <v>74</v>
      </c>
      <c r="BL1033" s="2" t="s">
        <v>74</v>
      </c>
      <c r="BM1033" s="2" t="s">
        <v>74</v>
      </c>
      <c r="BN1033" s="2">
        <v>28502084</v>
      </c>
      <c r="BO1033" s="2" t="s">
        <v>74</v>
      </c>
      <c r="BP1033" s="2" t="s">
        <v>74</v>
      </c>
      <c r="BQ1033" s="2" t="s">
        <v>74</v>
      </c>
      <c r="BR1033" s="2" t="s">
        <v>74</v>
      </c>
      <c r="BS1033" s="2" t="s">
        <v>831</v>
      </c>
      <c r="BT1033" s="2" t="str">
        <f>HYPERLINK("https%3A%2F%2Fwww.webofscience.com%2Fwos%2Fwoscc%2Ffull-record%2FWOS:000407320500010","View Full Record in Web of Science")</f>
        <v>View Full Record in Web of Science</v>
      </c>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row>
    <row r="1034" spans="1:314" s="2" customFormat="1" x14ac:dyDescent="0.4">
      <c r="A1034" s="2" t="s">
        <v>72</v>
      </c>
      <c r="B1034" s="2" t="s">
        <v>5895</v>
      </c>
      <c r="C1034" s="2" t="s">
        <v>74</v>
      </c>
      <c r="D1034" s="2" t="s">
        <v>74</v>
      </c>
      <c r="E1034" s="2" t="s">
        <v>74</v>
      </c>
      <c r="F1034" s="2" t="s">
        <v>5895</v>
      </c>
      <c r="G1034" s="2" t="s">
        <v>74</v>
      </c>
      <c r="H1034" s="2" t="s">
        <v>74</v>
      </c>
      <c r="I1034" s="2" t="s">
        <v>5896</v>
      </c>
      <c r="J1034" s="2" t="s">
        <v>5897</v>
      </c>
      <c r="K1034" s="2" t="s">
        <v>74</v>
      </c>
      <c r="L1034" s="2" t="s">
        <v>74</v>
      </c>
      <c r="M1034" s="2" t="s">
        <v>74</v>
      </c>
      <c r="N1034" s="2" t="s">
        <v>74</v>
      </c>
      <c r="O1034" s="2" t="s">
        <v>74</v>
      </c>
      <c r="P1034" s="2" t="s">
        <v>74</v>
      </c>
      <c r="Q1034" s="2" t="s">
        <v>74</v>
      </c>
      <c r="R1034" s="2" t="s">
        <v>74</v>
      </c>
      <c r="S1034" s="2" t="s">
        <v>74</v>
      </c>
      <c r="T1034" s="2" t="s">
        <v>74</v>
      </c>
      <c r="U1034" s="2" t="s">
        <v>74</v>
      </c>
      <c r="V1034" s="5" t="s">
        <v>5898</v>
      </c>
      <c r="W1034" s="2" t="s">
        <v>74</v>
      </c>
      <c r="X1034" s="2" t="s">
        <v>74</v>
      </c>
      <c r="Y1034" s="2" t="s">
        <v>74</v>
      </c>
      <c r="Z1034" s="2" t="s">
        <v>74</v>
      </c>
      <c r="AA1034" s="2" t="s">
        <v>74</v>
      </c>
      <c r="AB1034" s="2" t="s">
        <v>74</v>
      </c>
      <c r="AC1034" s="2" t="s">
        <v>74</v>
      </c>
      <c r="AD1034" s="2" t="s">
        <v>74</v>
      </c>
      <c r="AE1034" s="2" t="s">
        <v>74</v>
      </c>
      <c r="AF1034" s="2" t="s">
        <v>74</v>
      </c>
      <c r="AG1034" s="2" t="s">
        <v>74</v>
      </c>
      <c r="AH1034" s="2" t="s">
        <v>74</v>
      </c>
      <c r="AI1034" s="2" t="s">
        <v>74</v>
      </c>
      <c r="AJ1034" s="2" t="s">
        <v>74</v>
      </c>
      <c r="AK1034" s="2" t="s">
        <v>74</v>
      </c>
      <c r="AL1034" s="2" t="s">
        <v>74</v>
      </c>
      <c r="AM1034" s="2" t="s">
        <v>74</v>
      </c>
      <c r="AN1034" s="2" t="s">
        <v>74</v>
      </c>
      <c r="AO1034" s="2" t="s">
        <v>5899</v>
      </c>
      <c r="AP1034" s="2" t="s">
        <v>5900</v>
      </c>
      <c r="AQ1034" s="2" t="s">
        <v>74</v>
      </c>
      <c r="AR1034" s="2" t="s">
        <v>74</v>
      </c>
      <c r="AS1034" s="2" t="s">
        <v>74</v>
      </c>
      <c r="AT1034" s="2" t="s">
        <v>175</v>
      </c>
      <c r="AU1034" s="2">
        <v>1988</v>
      </c>
      <c r="AV1034" s="2">
        <v>61</v>
      </c>
      <c r="AW1034" s="2">
        <v>4</v>
      </c>
      <c r="AX1034" s="2" t="s">
        <v>74</v>
      </c>
      <c r="AY1034" s="2" t="s">
        <v>74</v>
      </c>
      <c r="AZ1034" s="2" t="s">
        <v>74</v>
      </c>
      <c r="BA1034" s="2" t="s">
        <v>74</v>
      </c>
      <c r="BB1034" s="2">
        <v>388</v>
      </c>
      <c r="BC1034" s="2">
        <v>395</v>
      </c>
      <c r="BD1034" s="2" t="s">
        <v>74</v>
      </c>
      <c r="BE1034" s="2" t="s">
        <v>74</v>
      </c>
      <c r="BF1034" s="2" t="s">
        <v>74</v>
      </c>
      <c r="BG1034" s="2" t="s">
        <v>74</v>
      </c>
      <c r="BH1034" s="2" t="s">
        <v>74</v>
      </c>
      <c r="BI1034" s="2" t="s">
        <v>74</v>
      </c>
      <c r="BJ1034" s="2" t="s">
        <v>74</v>
      </c>
      <c r="BK1034" s="2" t="s">
        <v>74</v>
      </c>
      <c r="BL1034" s="2" t="s">
        <v>74</v>
      </c>
      <c r="BM1034" s="2" t="s">
        <v>74</v>
      </c>
      <c r="BN1034" s="2" t="s">
        <v>74</v>
      </c>
      <c r="BO1034" s="2" t="s">
        <v>74</v>
      </c>
      <c r="BP1034" s="2" t="s">
        <v>74</v>
      </c>
      <c r="BQ1034" s="2" t="s">
        <v>74</v>
      </c>
      <c r="BR1034" s="2" t="s">
        <v>74</v>
      </c>
      <c r="BS1034" s="2" t="s">
        <v>5901</v>
      </c>
      <c r="BT1034" s="2" t="str">
        <f>HYPERLINK("https%3A%2F%2Fwww.webofscience.com%2Fwos%2Fwoscc%2Ffull-record%2FWOS:A1988T891300004","View Full Record in Web of Science")</f>
        <v>View Full Record in Web of Science</v>
      </c>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row>
    <row r="1035" spans="1:314" s="2" customFormat="1" x14ac:dyDescent="0.4">
      <c r="A1035" s="2" t="s">
        <v>72</v>
      </c>
      <c r="B1035" s="2" t="s">
        <v>8266</v>
      </c>
      <c r="C1035" s="2" t="s">
        <v>74</v>
      </c>
      <c r="D1035" s="2" t="s">
        <v>74</v>
      </c>
      <c r="E1035" s="2" t="s">
        <v>74</v>
      </c>
      <c r="F1035" s="2" t="s">
        <v>8267</v>
      </c>
      <c r="G1035" s="2" t="s">
        <v>74</v>
      </c>
      <c r="H1035" s="2" t="s">
        <v>74</v>
      </c>
      <c r="I1035" s="2" t="s">
        <v>8268</v>
      </c>
      <c r="J1035" s="2" t="s">
        <v>8269</v>
      </c>
      <c r="K1035" s="2" t="s">
        <v>74</v>
      </c>
      <c r="L1035" s="2" t="s">
        <v>74</v>
      </c>
      <c r="M1035" s="2" t="s">
        <v>74</v>
      </c>
      <c r="N1035" s="2" t="s">
        <v>74</v>
      </c>
      <c r="O1035" s="2" t="s">
        <v>74</v>
      </c>
      <c r="P1035" s="2" t="s">
        <v>74</v>
      </c>
      <c r="Q1035" s="2" t="s">
        <v>74</v>
      </c>
      <c r="R1035" s="2" t="s">
        <v>74</v>
      </c>
      <c r="S1035" s="2" t="s">
        <v>74</v>
      </c>
      <c r="T1035" s="2" t="s">
        <v>74</v>
      </c>
      <c r="U1035" s="2" t="s">
        <v>74</v>
      </c>
      <c r="V1035" s="5" t="s">
        <v>8270</v>
      </c>
      <c r="W1035" s="2" t="s">
        <v>74</v>
      </c>
      <c r="X1035" s="2" t="s">
        <v>74</v>
      </c>
      <c r="Y1035" s="2" t="s">
        <v>74</v>
      </c>
      <c r="Z1035" s="2" t="s">
        <v>74</v>
      </c>
      <c r="AA1035" s="2" t="s">
        <v>8271</v>
      </c>
      <c r="AB1035" s="2" t="s">
        <v>8272</v>
      </c>
      <c r="AC1035" s="2" t="s">
        <v>74</v>
      </c>
      <c r="AD1035" s="2" t="s">
        <v>74</v>
      </c>
      <c r="AE1035" s="2" t="s">
        <v>74</v>
      </c>
      <c r="AF1035" s="2" t="s">
        <v>74</v>
      </c>
      <c r="AG1035" s="2" t="s">
        <v>74</v>
      </c>
      <c r="AH1035" s="2" t="s">
        <v>74</v>
      </c>
      <c r="AI1035" s="2" t="s">
        <v>74</v>
      </c>
      <c r="AJ1035" s="2" t="s">
        <v>74</v>
      </c>
      <c r="AK1035" s="2" t="s">
        <v>74</v>
      </c>
      <c r="AL1035" s="2" t="s">
        <v>74</v>
      </c>
      <c r="AM1035" s="2" t="s">
        <v>74</v>
      </c>
      <c r="AN1035" s="2" t="s">
        <v>74</v>
      </c>
      <c r="AO1035" s="2" t="s">
        <v>8273</v>
      </c>
      <c r="AP1035" s="2" t="s">
        <v>74</v>
      </c>
      <c r="AQ1035" s="2" t="s">
        <v>74</v>
      </c>
      <c r="AR1035" s="2" t="s">
        <v>74</v>
      </c>
      <c r="AS1035" s="2" t="s">
        <v>74</v>
      </c>
      <c r="AT1035" s="2" t="s">
        <v>1090</v>
      </c>
      <c r="AU1035" s="2">
        <v>2014</v>
      </c>
      <c r="AV1035" s="2">
        <v>78</v>
      </c>
      <c r="AW1035" s="2" t="s">
        <v>74</v>
      </c>
      <c r="AX1035" s="2" t="s">
        <v>74</v>
      </c>
      <c r="AY1035" s="2" t="s">
        <v>74</v>
      </c>
      <c r="AZ1035" s="2" t="s">
        <v>74</v>
      </c>
      <c r="BA1035" s="2" t="s">
        <v>74</v>
      </c>
      <c r="BB1035" s="2" t="s">
        <v>74</v>
      </c>
      <c r="BC1035" s="2" t="s">
        <v>74</v>
      </c>
      <c r="BD1035" s="2" t="s">
        <v>74</v>
      </c>
      <c r="BE1035" s="2" t="s">
        <v>8274</v>
      </c>
      <c r="BF1035" s="2" t="str">
        <f>HYPERLINK("http://dx.doi.org/10.1399/eps.2013.1","http://dx.doi.org/10.1399/eps.2013.1")</f>
        <v>http://dx.doi.org/10.1399/eps.2013.1</v>
      </c>
      <c r="BG1035" s="2" t="s">
        <v>74</v>
      </c>
      <c r="BH1035" s="2" t="s">
        <v>74</v>
      </c>
      <c r="BI1035" s="2" t="s">
        <v>74</v>
      </c>
      <c r="BJ1035" s="2" t="s">
        <v>74</v>
      </c>
      <c r="BK1035" s="2" t="s">
        <v>74</v>
      </c>
      <c r="BL1035" s="2" t="s">
        <v>74</v>
      </c>
      <c r="BM1035" s="2" t="s">
        <v>74</v>
      </c>
      <c r="BN1035" s="2" t="s">
        <v>74</v>
      </c>
      <c r="BO1035" s="2" t="s">
        <v>74</v>
      </c>
      <c r="BP1035" s="2" t="s">
        <v>74</v>
      </c>
      <c r="BQ1035" s="2" t="s">
        <v>74</v>
      </c>
      <c r="BR1035" s="2" t="s">
        <v>74</v>
      </c>
      <c r="BS1035" s="2" t="s">
        <v>8275</v>
      </c>
      <c r="BT1035" s="2" t="str">
        <f>HYPERLINK("https%3A%2F%2Fwww.webofscience.com%2Fwos%2Fwoscc%2Ffull-record%2FWOS:000343648600001","View Full Record in Web of Science")</f>
        <v>View Full Record in Web of Science</v>
      </c>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row>
    <row r="1036" spans="1:314" s="2" customFormat="1" x14ac:dyDescent="0.4">
      <c r="A1036" s="2" t="s">
        <v>72</v>
      </c>
      <c r="B1036" s="2" t="s">
        <v>2464</v>
      </c>
      <c r="C1036" s="2" t="s">
        <v>74</v>
      </c>
      <c r="D1036" s="2" t="s">
        <v>74</v>
      </c>
      <c r="E1036" s="2" t="s">
        <v>74</v>
      </c>
      <c r="F1036" s="2" t="s">
        <v>2464</v>
      </c>
      <c r="G1036" s="2" t="s">
        <v>74</v>
      </c>
      <c r="H1036" s="2" t="s">
        <v>74</v>
      </c>
      <c r="I1036" s="2" t="s">
        <v>2465</v>
      </c>
      <c r="J1036" s="2" t="s">
        <v>2466</v>
      </c>
      <c r="K1036" s="2" t="s">
        <v>74</v>
      </c>
      <c r="L1036" s="2" t="s">
        <v>74</v>
      </c>
      <c r="M1036" s="2" t="s">
        <v>74</v>
      </c>
      <c r="N1036" s="2" t="s">
        <v>74</v>
      </c>
      <c r="O1036" s="2" t="s">
        <v>74</v>
      </c>
      <c r="P1036" s="2" t="s">
        <v>74</v>
      </c>
      <c r="Q1036" s="2" t="s">
        <v>74</v>
      </c>
      <c r="R1036" s="2" t="s">
        <v>74</v>
      </c>
      <c r="S1036" s="2" t="s">
        <v>74</v>
      </c>
      <c r="T1036" s="2" t="s">
        <v>74</v>
      </c>
      <c r="U1036" s="2" t="s">
        <v>74</v>
      </c>
      <c r="V1036" s="5" t="s">
        <v>2467</v>
      </c>
      <c r="W1036" s="2" t="s">
        <v>74</v>
      </c>
      <c r="X1036" s="2" t="s">
        <v>74</v>
      </c>
      <c r="Y1036" s="2" t="s">
        <v>74</v>
      </c>
      <c r="Z1036" s="2" t="s">
        <v>74</v>
      </c>
      <c r="AA1036" s="2" t="s">
        <v>2468</v>
      </c>
      <c r="AB1036" s="2" t="s">
        <v>2469</v>
      </c>
      <c r="AC1036" s="2" t="s">
        <v>74</v>
      </c>
      <c r="AD1036" s="2" t="s">
        <v>74</v>
      </c>
      <c r="AE1036" s="2" t="s">
        <v>74</v>
      </c>
      <c r="AF1036" s="2" t="s">
        <v>74</v>
      </c>
      <c r="AG1036" s="2" t="s">
        <v>74</v>
      </c>
      <c r="AH1036" s="2" t="s">
        <v>74</v>
      </c>
      <c r="AI1036" s="2" t="s">
        <v>74</v>
      </c>
      <c r="AJ1036" s="2" t="s">
        <v>74</v>
      </c>
      <c r="AK1036" s="2" t="s">
        <v>74</v>
      </c>
      <c r="AL1036" s="2" t="s">
        <v>74</v>
      </c>
      <c r="AM1036" s="2" t="s">
        <v>74</v>
      </c>
      <c r="AN1036" s="2" t="s">
        <v>74</v>
      </c>
      <c r="AO1036" s="2" t="s">
        <v>2470</v>
      </c>
      <c r="AP1036" s="2" t="s">
        <v>2471</v>
      </c>
      <c r="AQ1036" s="2" t="s">
        <v>74</v>
      </c>
      <c r="AR1036" s="2" t="s">
        <v>74</v>
      </c>
      <c r="AS1036" s="2" t="s">
        <v>74</v>
      </c>
      <c r="AT1036" s="2" t="s">
        <v>204</v>
      </c>
      <c r="AU1036" s="2">
        <v>2005</v>
      </c>
      <c r="AV1036" s="2">
        <v>83</v>
      </c>
      <c r="AW1036" s="2">
        <v>7</v>
      </c>
      <c r="AX1036" s="2" t="s">
        <v>74</v>
      </c>
      <c r="AY1036" s="2" t="s">
        <v>74</v>
      </c>
      <c r="AZ1036" s="2" t="s">
        <v>74</v>
      </c>
      <c r="BA1036" s="2" t="s">
        <v>74</v>
      </c>
      <c r="BB1036" s="2">
        <v>1664</v>
      </c>
      <c r="BC1036" s="2">
        <v>1672</v>
      </c>
      <c r="BD1036" s="2" t="s">
        <v>74</v>
      </c>
      <c r="BE1036" s="2" t="s">
        <v>74</v>
      </c>
      <c r="BF1036" s="2" t="s">
        <v>74</v>
      </c>
      <c r="BG1036" s="2" t="s">
        <v>74</v>
      </c>
      <c r="BH1036" s="2" t="s">
        <v>74</v>
      </c>
      <c r="BI1036" s="2" t="s">
        <v>74</v>
      </c>
      <c r="BJ1036" s="2" t="s">
        <v>74</v>
      </c>
      <c r="BK1036" s="2" t="s">
        <v>74</v>
      </c>
      <c r="BL1036" s="2" t="s">
        <v>74</v>
      </c>
      <c r="BM1036" s="2" t="s">
        <v>74</v>
      </c>
      <c r="BN1036" s="2">
        <v>15956475</v>
      </c>
      <c r="BO1036" s="2" t="s">
        <v>74</v>
      </c>
      <c r="BP1036" s="2" t="s">
        <v>74</v>
      </c>
      <c r="BQ1036" s="2" t="s">
        <v>74</v>
      </c>
      <c r="BR1036" s="2" t="s">
        <v>74</v>
      </c>
      <c r="BS1036" s="2" t="s">
        <v>2472</v>
      </c>
      <c r="BT1036" s="2" t="str">
        <f>HYPERLINK("https%3A%2F%2Fwww.webofscience.com%2Fwos%2Fwoscc%2Ffull-record%2FWOS:000235847500021","View Full Record in Web of Science")</f>
        <v>View Full Record in Web of Science</v>
      </c>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row>
    <row r="1037" spans="1:314" s="2" customFormat="1" x14ac:dyDescent="0.4">
      <c r="A1037" s="2" t="s">
        <v>72</v>
      </c>
      <c r="B1037" s="2" t="s">
        <v>5063</v>
      </c>
      <c r="C1037" s="2" t="s">
        <v>74</v>
      </c>
      <c r="D1037" s="2" t="s">
        <v>74</v>
      </c>
      <c r="E1037" s="2" t="s">
        <v>74</v>
      </c>
      <c r="F1037" s="2" t="s">
        <v>5063</v>
      </c>
      <c r="G1037" s="2" t="s">
        <v>74</v>
      </c>
      <c r="H1037" s="2" t="s">
        <v>74</v>
      </c>
      <c r="I1037" s="2" t="s">
        <v>5064</v>
      </c>
      <c r="J1037" s="2" t="s">
        <v>5065</v>
      </c>
      <c r="K1037" s="2" t="s">
        <v>74</v>
      </c>
      <c r="L1037" s="2" t="s">
        <v>74</v>
      </c>
      <c r="M1037" s="2" t="s">
        <v>74</v>
      </c>
      <c r="N1037" s="2" t="s">
        <v>74</v>
      </c>
      <c r="O1037" s="2" t="s">
        <v>74</v>
      </c>
      <c r="P1037" s="2" t="s">
        <v>74</v>
      </c>
      <c r="Q1037" s="2" t="s">
        <v>74</v>
      </c>
      <c r="R1037" s="2" t="s">
        <v>74</v>
      </c>
      <c r="S1037" s="2" t="s">
        <v>74</v>
      </c>
      <c r="T1037" s="2" t="s">
        <v>74</v>
      </c>
      <c r="U1037" s="2" t="s">
        <v>74</v>
      </c>
      <c r="V1037" s="5" t="s">
        <v>5066</v>
      </c>
      <c r="W1037" s="2" t="s">
        <v>74</v>
      </c>
      <c r="X1037" s="2" t="s">
        <v>74</v>
      </c>
      <c r="Y1037" s="2" t="s">
        <v>74</v>
      </c>
      <c r="Z1037" s="2" t="s">
        <v>74</v>
      </c>
      <c r="AA1037" s="2" t="s">
        <v>5067</v>
      </c>
      <c r="AB1037" s="2" t="s">
        <v>74</v>
      </c>
      <c r="AC1037" s="2" t="s">
        <v>74</v>
      </c>
      <c r="AD1037" s="2" t="s">
        <v>74</v>
      </c>
      <c r="AE1037" s="2" t="s">
        <v>74</v>
      </c>
      <c r="AF1037" s="2" t="s">
        <v>74</v>
      </c>
      <c r="AG1037" s="2" t="s">
        <v>74</v>
      </c>
      <c r="AH1037" s="2" t="s">
        <v>74</v>
      </c>
      <c r="AI1037" s="2" t="s">
        <v>74</v>
      </c>
      <c r="AJ1037" s="2" t="s">
        <v>74</v>
      </c>
      <c r="AK1037" s="2" t="s">
        <v>74</v>
      </c>
      <c r="AL1037" s="2" t="s">
        <v>74</v>
      </c>
      <c r="AM1037" s="2" t="s">
        <v>74</v>
      </c>
      <c r="AN1037" s="2" t="s">
        <v>74</v>
      </c>
      <c r="AO1037" s="2" t="s">
        <v>5068</v>
      </c>
      <c r="AP1037" s="2" t="s">
        <v>74</v>
      </c>
      <c r="AQ1037" s="2" t="s">
        <v>74</v>
      </c>
      <c r="AR1037" s="2" t="s">
        <v>74</v>
      </c>
      <c r="AS1037" s="2" t="s">
        <v>74</v>
      </c>
      <c r="AT1037" s="2" t="s">
        <v>74</v>
      </c>
      <c r="AU1037" s="2">
        <v>1979</v>
      </c>
      <c r="AV1037" s="2">
        <v>6</v>
      </c>
      <c r="AW1037" s="2">
        <v>2</v>
      </c>
      <c r="AX1037" s="2" t="s">
        <v>74</v>
      </c>
      <c r="AY1037" s="2" t="s">
        <v>74</v>
      </c>
      <c r="AZ1037" s="2" t="s">
        <v>74</v>
      </c>
      <c r="BA1037" s="2" t="s">
        <v>74</v>
      </c>
      <c r="BB1037" s="2">
        <v>83</v>
      </c>
      <c r="BC1037" s="2">
        <v>93</v>
      </c>
      <c r="BD1037" s="2" t="s">
        <v>74</v>
      </c>
      <c r="BE1037" s="2" t="s">
        <v>5069</v>
      </c>
      <c r="BF1037" s="2" t="str">
        <f>HYPERLINK("http://dx.doi.org/10.1080/10236247909378556","http://dx.doi.org/10.1080/10236247909378556")</f>
        <v>http://dx.doi.org/10.1080/10236247909378556</v>
      </c>
      <c r="BG1037" s="2" t="s">
        <v>74</v>
      </c>
      <c r="BH1037" s="2" t="s">
        <v>74</v>
      </c>
      <c r="BI1037" s="2" t="s">
        <v>74</v>
      </c>
      <c r="BJ1037" s="2" t="s">
        <v>74</v>
      </c>
      <c r="BK1037" s="2" t="s">
        <v>74</v>
      </c>
      <c r="BL1037" s="2" t="s">
        <v>74</v>
      </c>
      <c r="BM1037" s="2" t="s">
        <v>74</v>
      </c>
      <c r="BN1037" s="2" t="s">
        <v>74</v>
      </c>
      <c r="BO1037" s="2" t="s">
        <v>74</v>
      </c>
      <c r="BP1037" s="2" t="s">
        <v>74</v>
      </c>
      <c r="BQ1037" s="2" t="s">
        <v>74</v>
      </c>
      <c r="BR1037" s="2" t="s">
        <v>74</v>
      </c>
      <c r="BS1037" s="2" t="s">
        <v>5070</v>
      </c>
      <c r="BT1037" s="2" t="str">
        <f>HYPERLINK("https%3A%2F%2Fwww.webofscience.com%2Fwos%2Fwoscc%2Ffull-record%2FWOS:A1979HB35100001","View Full Record in Web of Science")</f>
        <v>View Full Record in Web of Science</v>
      </c>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row>
    <row r="1038" spans="1:314" s="2" customFormat="1" x14ac:dyDescent="0.4">
      <c r="A1038" s="2" t="s">
        <v>72</v>
      </c>
      <c r="B1038" s="2" t="s">
        <v>599</v>
      </c>
      <c r="C1038" s="2" t="s">
        <v>74</v>
      </c>
      <c r="D1038" s="2" t="s">
        <v>74</v>
      </c>
      <c r="E1038" s="2" t="s">
        <v>74</v>
      </c>
      <c r="F1038" s="2" t="s">
        <v>600</v>
      </c>
      <c r="G1038" s="2" t="s">
        <v>74</v>
      </c>
      <c r="H1038" s="2" t="s">
        <v>74</v>
      </c>
      <c r="I1038" s="2" t="s">
        <v>601</v>
      </c>
      <c r="J1038" s="2" t="s">
        <v>602</v>
      </c>
      <c r="K1038" s="2" t="s">
        <v>74</v>
      </c>
      <c r="L1038" s="2" t="s">
        <v>74</v>
      </c>
      <c r="M1038" s="2" t="s">
        <v>74</v>
      </c>
      <c r="N1038" s="2" t="s">
        <v>74</v>
      </c>
      <c r="O1038" s="2" t="s">
        <v>74</v>
      </c>
      <c r="P1038" s="2" t="s">
        <v>74</v>
      </c>
      <c r="Q1038" s="2" t="s">
        <v>74</v>
      </c>
      <c r="R1038" s="2" t="s">
        <v>74</v>
      </c>
      <c r="S1038" s="2" t="s">
        <v>74</v>
      </c>
      <c r="T1038" s="2" t="s">
        <v>74</v>
      </c>
      <c r="U1038" s="2" t="s">
        <v>74</v>
      </c>
      <c r="V1038" s="5" t="s">
        <v>603</v>
      </c>
      <c r="W1038" s="2" t="s">
        <v>74</v>
      </c>
      <c r="X1038" s="2" t="s">
        <v>74</v>
      </c>
      <c r="Y1038" s="2" t="s">
        <v>74</v>
      </c>
      <c r="Z1038" s="2" t="s">
        <v>74</v>
      </c>
      <c r="AA1038" s="2" t="s">
        <v>604</v>
      </c>
      <c r="AB1038" s="2" t="s">
        <v>74</v>
      </c>
      <c r="AC1038" s="2" t="s">
        <v>74</v>
      </c>
      <c r="AD1038" s="2" t="s">
        <v>74</v>
      </c>
      <c r="AE1038" s="2" t="s">
        <v>74</v>
      </c>
      <c r="AF1038" s="2" t="s">
        <v>74</v>
      </c>
      <c r="AG1038" s="2" t="s">
        <v>74</v>
      </c>
      <c r="AH1038" s="2" t="s">
        <v>74</v>
      </c>
      <c r="AI1038" s="2" t="s">
        <v>74</v>
      </c>
      <c r="AJ1038" s="2" t="s">
        <v>74</v>
      </c>
      <c r="AK1038" s="2" t="s">
        <v>74</v>
      </c>
      <c r="AL1038" s="2" t="s">
        <v>74</v>
      </c>
      <c r="AM1038" s="2" t="s">
        <v>74</v>
      </c>
      <c r="AN1038" s="2" t="s">
        <v>74</v>
      </c>
      <c r="AO1038" s="2" t="s">
        <v>605</v>
      </c>
      <c r="AP1038" s="2" t="s">
        <v>74</v>
      </c>
      <c r="AQ1038" s="2" t="s">
        <v>74</v>
      </c>
      <c r="AR1038" s="2" t="s">
        <v>74</v>
      </c>
      <c r="AS1038" s="2" t="s">
        <v>74</v>
      </c>
      <c r="AT1038" s="2" t="s">
        <v>74</v>
      </c>
      <c r="AU1038" s="2">
        <v>2011</v>
      </c>
      <c r="AV1038" s="2">
        <v>63</v>
      </c>
      <c r="AW1038" s="2" t="s">
        <v>74</v>
      </c>
      <c r="AX1038" s="2" t="s">
        <v>74</v>
      </c>
      <c r="AY1038" s="2" t="s">
        <v>74</v>
      </c>
      <c r="AZ1038" s="2" t="s">
        <v>74</v>
      </c>
      <c r="BA1038" s="2" t="s">
        <v>74</v>
      </c>
      <c r="BB1038" s="2" t="s">
        <v>74</v>
      </c>
      <c r="BC1038" s="2" t="s">
        <v>74</v>
      </c>
      <c r="BD1038" s="2">
        <v>532</v>
      </c>
      <c r="BE1038" s="2" t="s">
        <v>74</v>
      </c>
      <c r="BF1038" s="2" t="s">
        <v>74</v>
      </c>
      <c r="BG1038" s="2" t="s">
        <v>74</v>
      </c>
      <c r="BH1038" s="2" t="s">
        <v>74</v>
      </c>
      <c r="BI1038" s="2" t="s">
        <v>74</v>
      </c>
      <c r="BJ1038" s="2" t="s">
        <v>74</v>
      </c>
      <c r="BK1038" s="2" t="s">
        <v>74</v>
      </c>
      <c r="BL1038" s="2" t="s">
        <v>74</v>
      </c>
      <c r="BM1038" s="2" t="s">
        <v>74</v>
      </c>
      <c r="BN1038" s="2" t="s">
        <v>74</v>
      </c>
      <c r="BO1038" s="2" t="s">
        <v>74</v>
      </c>
      <c r="BP1038" s="2" t="s">
        <v>74</v>
      </c>
      <c r="BQ1038" s="2" t="s">
        <v>74</v>
      </c>
      <c r="BR1038" s="2" t="s">
        <v>74</v>
      </c>
      <c r="BS1038" s="2" t="s">
        <v>606</v>
      </c>
      <c r="BT1038" s="2" t="str">
        <f>HYPERLINK("https%3A%2F%2Fwww.webofscience.com%2Fwos%2Fwoscc%2Ffull-record%2FWOS:000296494000001","View Full Record in Web of Science")</f>
        <v>View Full Record in Web of Science</v>
      </c>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row>
    <row r="1039" spans="1:314" s="2" customFormat="1" x14ac:dyDescent="0.4">
      <c r="A1039" s="2" t="s">
        <v>72</v>
      </c>
      <c r="B1039" s="2" t="s">
        <v>4943</v>
      </c>
      <c r="C1039" s="2" t="s">
        <v>74</v>
      </c>
      <c r="D1039" s="2" t="s">
        <v>74</v>
      </c>
      <c r="E1039" s="2" t="s">
        <v>74</v>
      </c>
      <c r="F1039" s="2" t="s">
        <v>4944</v>
      </c>
      <c r="G1039" s="2" t="s">
        <v>74</v>
      </c>
      <c r="H1039" s="2" t="s">
        <v>74</v>
      </c>
      <c r="I1039" s="2" t="s">
        <v>4945</v>
      </c>
      <c r="J1039" s="2" t="s">
        <v>129</v>
      </c>
      <c r="K1039" s="2" t="s">
        <v>74</v>
      </c>
      <c r="L1039" s="2" t="s">
        <v>74</v>
      </c>
      <c r="M1039" s="2" t="s">
        <v>74</v>
      </c>
      <c r="N1039" s="2" t="s">
        <v>74</v>
      </c>
      <c r="O1039" s="2" t="s">
        <v>74</v>
      </c>
      <c r="P1039" s="2" t="s">
        <v>74</v>
      </c>
      <c r="Q1039" s="2" t="s">
        <v>74</v>
      </c>
      <c r="R1039" s="2" t="s">
        <v>74</v>
      </c>
      <c r="S1039" s="2" t="s">
        <v>74</v>
      </c>
      <c r="T1039" s="2" t="s">
        <v>74</v>
      </c>
      <c r="U1039" s="2" t="s">
        <v>74</v>
      </c>
      <c r="V1039" s="5" t="s">
        <v>4946</v>
      </c>
      <c r="W1039" s="2" t="s">
        <v>74</v>
      </c>
      <c r="X1039" s="2" t="s">
        <v>74</v>
      </c>
      <c r="Y1039" s="2" t="s">
        <v>74</v>
      </c>
      <c r="Z1039" s="2" t="s">
        <v>74</v>
      </c>
      <c r="AA1039" s="2" t="s">
        <v>74</v>
      </c>
      <c r="AB1039" s="2" t="s">
        <v>74</v>
      </c>
      <c r="AC1039" s="2" t="s">
        <v>74</v>
      </c>
      <c r="AD1039" s="2" t="s">
        <v>74</v>
      </c>
      <c r="AE1039" s="2" t="s">
        <v>74</v>
      </c>
      <c r="AF1039" s="2" t="s">
        <v>74</v>
      </c>
      <c r="AG1039" s="2" t="s">
        <v>74</v>
      </c>
      <c r="AH1039" s="2" t="s">
        <v>74</v>
      </c>
      <c r="AI1039" s="2" t="s">
        <v>74</v>
      </c>
      <c r="AJ1039" s="2" t="s">
        <v>74</v>
      </c>
      <c r="AK1039" s="2" t="s">
        <v>74</v>
      </c>
      <c r="AL1039" s="2" t="s">
        <v>74</v>
      </c>
      <c r="AM1039" s="2" t="s">
        <v>74</v>
      </c>
      <c r="AN1039" s="2" t="s">
        <v>74</v>
      </c>
      <c r="AO1039" s="2" t="s">
        <v>132</v>
      </c>
      <c r="AP1039" s="2" t="s">
        <v>133</v>
      </c>
      <c r="AQ1039" s="2" t="s">
        <v>74</v>
      </c>
      <c r="AR1039" s="2" t="s">
        <v>74</v>
      </c>
      <c r="AS1039" s="2" t="s">
        <v>74</v>
      </c>
      <c r="AT1039" s="2" t="s">
        <v>305</v>
      </c>
      <c r="AU1039" s="2">
        <v>2009</v>
      </c>
      <c r="AV1039" s="2">
        <v>64</v>
      </c>
      <c r="AW1039" s="2">
        <v>2</v>
      </c>
      <c r="AX1039" s="2" t="s">
        <v>74</v>
      </c>
      <c r="AY1039" s="2" t="s">
        <v>74</v>
      </c>
      <c r="AZ1039" s="2" t="s">
        <v>74</v>
      </c>
      <c r="BA1039" s="2" t="s">
        <v>74</v>
      </c>
      <c r="BB1039" s="2">
        <v>225</v>
      </c>
      <c r="BC1039" s="2">
        <v>236</v>
      </c>
      <c r="BD1039" s="2" t="s">
        <v>74</v>
      </c>
      <c r="BE1039" s="2" t="s">
        <v>4947</v>
      </c>
      <c r="BF1039" s="2" t="str">
        <f>HYPERLINK("http://dx.doi.org/10.1007/s00265-009-0839-x","http://dx.doi.org/10.1007/s00265-009-0839-x")</f>
        <v>http://dx.doi.org/10.1007/s00265-009-0839-x</v>
      </c>
      <c r="BG1039" s="2" t="s">
        <v>74</v>
      </c>
      <c r="BH1039" s="2" t="s">
        <v>74</v>
      </c>
      <c r="BI1039" s="2" t="s">
        <v>74</v>
      </c>
      <c r="BJ1039" s="2" t="s">
        <v>74</v>
      </c>
      <c r="BK1039" s="2" t="s">
        <v>74</v>
      </c>
      <c r="BL1039" s="2" t="s">
        <v>74</v>
      </c>
      <c r="BM1039" s="2" t="s">
        <v>74</v>
      </c>
      <c r="BN1039" s="2" t="s">
        <v>74</v>
      </c>
      <c r="BO1039" s="2" t="s">
        <v>74</v>
      </c>
      <c r="BP1039" s="2" t="s">
        <v>74</v>
      </c>
      <c r="BQ1039" s="2" t="s">
        <v>74</v>
      </c>
      <c r="BR1039" s="2" t="s">
        <v>74</v>
      </c>
      <c r="BS1039" s="2" t="s">
        <v>4948</v>
      </c>
      <c r="BT1039" s="2" t="str">
        <f>HYPERLINK("https%3A%2F%2Fwww.webofscience.com%2Fwos%2Fwoscc%2Ffull-record%2FWOS:000271978300008","View Full Record in Web of Science")</f>
        <v>View Full Record in Web of Science</v>
      </c>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row>
    <row r="1040" spans="1:314" s="2" customFormat="1" x14ac:dyDescent="0.4">
      <c r="A1040" s="2" t="s">
        <v>72</v>
      </c>
      <c r="B1040" s="2" t="s">
        <v>8576</v>
      </c>
      <c r="C1040" s="2" t="s">
        <v>74</v>
      </c>
      <c r="D1040" s="2" t="s">
        <v>74</v>
      </c>
      <c r="E1040" s="2" t="s">
        <v>74</v>
      </c>
      <c r="F1040" s="2" t="s">
        <v>8577</v>
      </c>
      <c r="G1040" s="2" t="s">
        <v>74</v>
      </c>
      <c r="H1040" s="2" t="s">
        <v>74</v>
      </c>
      <c r="I1040" s="2" t="s">
        <v>8578</v>
      </c>
      <c r="J1040" s="2" t="s">
        <v>420</v>
      </c>
      <c r="K1040" s="2" t="s">
        <v>74</v>
      </c>
      <c r="L1040" s="2" t="s">
        <v>74</v>
      </c>
      <c r="M1040" s="2" t="s">
        <v>74</v>
      </c>
      <c r="N1040" s="2" t="s">
        <v>74</v>
      </c>
      <c r="O1040" s="2" t="s">
        <v>74</v>
      </c>
      <c r="P1040" s="2" t="s">
        <v>74</v>
      </c>
      <c r="Q1040" s="2" t="s">
        <v>74</v>
      </c>
      <c r="R1040" s="2" t="s">
        <v>74</v>
      </c>
      <c r="S1040" s="2" t="s">
        <v>74</v>
      </c>
      <c r="T1040" s="2" t="s">
        <v>74</v>
      </c>
      <c r="U1040" s="2" t="s">
        <v>74</v>
      </c>
      <c r="V1040" s="5" t="s">
        <v>8579</v>
      </c>
      <c r="W1040" s="2" t="s">
        <v>74</v>
      </c>
      <c r="X1040" s="2" t="s">
        <v>74</v>
      </c>
      <c r="Y1040" s="2" t="s">
        <v>74</v>
      </c>
      <c r="Z1040" s="2" t="s">
        <v>74</v>
      </c>
      <c r="AA1040" s="2" t="s">
        <v>74</v>
      </c>
      <c r="AB1040" s="2" t="s">
        <v>8580</v>
      </c>
      <c r="AC1040" s="2" t="s">
        <v>74</v>
      </c>
      <c r="AD1040" s="2" t="s">
        <v>74</v>
      </c>
      <c r="AE1040" s="2" t="s">
        <v>74</v>
      </c>
      <c r="AF1040" s="2" t="s">
        <v>74</v>
      </c>
      <c r="AG1040" s="2" t="s">
        <v>74</v>
      </c>
      <c r="AH1040" s="2" t="s">
        <v>74</v>
      </c>
      <c r="AI1040" s="2" t="s">
        <v>74</v>
      </c>
      <c r="AJ1040" s="2" t="s">
        <v>74</v>
      </c>
      <c r="AK1040" s="2" t="s">
        <v>74</v>
      </c>
      <c r="AL1040" s="2" t="s">
        <v>74</v>
      </c>
      <c r="AM1040" s="2" t="s">
        <v>74</v>
      </c>
      <c r="AN1040" s="2" t="s">
        <v>74</v>
      </c>
      <c r="AO1040" s="2" t="s">
        <v>424</v>
      </c>
      <c r="AP1040" s="2" t="s">
        <v>74</v>
      </c>
      <c r="AQ1040" s="2" t="s">
        <v>74</v>
      </c>
      <c r="AR1040" s="2" t="s">
        <v>74</v>
      </c>
      <c r="AS1040" s="2" t="s">
        <v>74</v>
      </c>
      <c r="AT1040" s="2" t="s">
        <v>8581</v>
      </c>
      <c r="AU1040" s="2">
        <v>2015</v>
      </c>
      <c r="AV1040" s="2">
        <v>15</v>
      </c>
      <c r="AW1040" s="2" t="s">
        <v>74</v>
      </c>
      <c r="AX1040" s="2" t="s">
        <v>74</v>
      </c>
      <c r="AY1040" s="2" t="s">
        <v>74</v>
      </c>
      <c r="AZ1040" s="2" t="s">
        <v>74</v>
      </c>
      <c r="BA1040" s="2" t="s">
        <v>74</v>
      </c>
      <c r="BB1040" s="2" t="s">
        <v>74</v>
      </c>
      <c r="BC1040" s="2" t="s">
        <v>74</v>
      </c>
      <c r="BD1040" s="2">
        <v>200</v>
      </c>
      <c r="BE1040" s="2" t="s">
        <v>8582</v>
      </c>
      <c r="BF1040" s="2" t="str">
        <f>HYPERLINK("http://dx.doi.org/10.1186/s12862-015-0481-3","http://dx.doi.org/10.1186/s12862-015-0481-3")</f>
        <v>http://dx.doi.org/10.1186/s12862-015-0481-3</v>
      </c>
      <c r="BG1040" s="2" t="s">
        <v>74</v>
      </c>
      <c r="BH1040" s="2" t="s">
        <v>74</v>
      </c>
      <c r="BI1040" s="2" t="s">
        <v>74</v>
      </c>
      <c r="BJ1040" s="2" t="s">
        <v>74</v>
      </c>
      <c r="BK1040" s="2" t="s">
        <v>74</v>
      </c>
      <c r="BL1040" s="2" t="s">
        <v>74</v>
      </c>
      <c r="BM1040" s="2" t="s">
        <v>74</v>
      </c>
      <c r="BN1040" s="2">
        <v>26385337</v>
      </c>
      <c r="BO1040" s="2" t="s">
        <v>74</v>
      </c>
      <c r="BP1040" s="2" t="s">
        <v>74</v>
      </c>
      <c r="BQ1040" s="2" t="s">
        <v>74</v>
      </c>
      <c r="BR1040" s="2" t="s">
        <v>74</v>
      </c>
      <c r="BS1040" s="2" t="s">
        <v>8583</v>
      </c>
      <c r="BT1040" s="2" t="str">
        <f>HYPERLINK("https%3A%2F%2Fwww.webofscience.com%2Fwos%2Fwoscc%2Ffull-record%2FWOS:000361510800001","View Full Record in Web of Science")</f>
        <v>View Full Record in Web of Science</v>
      </c>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row>
    <row r="1041" spans="1:314" s="2" customFormat="1" x14ac:dyDescent="0.4">
      <c r="A1041" s="2" t="s">
        <v>72</v>
      </c>
      <c r="B1041" s="2" t="s">
        <v>5718</v>
      </c>
      <c r="C1041" s="2" t="s">
        <v>74</v>
      </c>
      <c r="D1041" s="2" t="s">
        <v>74</v>
      </c>
      <c r="E1041" s="2" t="s">
        <v>74</v>
      </c>
      <c r="F1041" s="2" t="s">
        <v>5719</v>
      </c>
      <c r="G1041" s="2" t="s">
        <v>74</v>
      </c>
      <c r="H1041" s="2" t="s">
        <v>74</v>
      </c>
      <c r="I1041" s="2" t="s">
        <v>5720</v>
      </c>
      <c r="J1041" s="2" t="s">
        <v>99</v>
      </c>
      <c r="K1041" s="2" t="s">
        <v>74</v>
      </c>
      <c r="L1041" s="2" t="s">
        <v>74</v>
      </c>
      <c r="M1041" s="2" t="s">
        <v>74</v>
      </c>
      <c r="N1041" s="2" t="s">
        <v>74</v>
      </c>
      <c r="O1041" s="2" t="s">
        <v>74</v>
      </c>
      <c r="P1041" s="2" t="s">
        <v>74</v>
      </c>
      <c r="Q1041" s="2" t="s">
        <v>74</v>
      </c>
      <c r="R1041" s="2" t="s">
        <v>74</v>
      </c>
      <c r="S1041" s="2" t="s">
        <v>74</v>
      </c>
      <c r="T1041" s="2" t="s">
        <v>74</v>
      </c>
      <c r="U1041" s="2" t="s">
        <v>74</v>
      </c>
      <c r="V1041" s="5" t="s">
        <v>5721</v>
      </c>
      <c r="W1041" s="2" t="s">
        <v>74</v>
      </c>
      <c r="X1041" s="2" t="s">
        <v>74</v>
      </c>
      <c r="Y1041" s="2" t="s">
        <v>74</v>
      </c>
      <c r="Z1041" s="2" t="s">
        <v>74</v>
      </c>
      <c r="AA1041" s="2" t="s">
        <v>74</v>
      </c>
      <c r="AB1041" s="2" t="s">
        <v>5722</v>
      </c>
      <c r="AC1041" s="2" t="s">
        <v>74</v>
      </c>
      <c r="AD1041" s="2" t="s">
        <v>74</v>
      </c>
      <c r="AE1041" s="2" t="s">
        <v>74</v>
      </c>
      <c r="AF1041" s="2" t="s">
        <v>74</v>
      </c>
      <c r="AG1041" s="2" t="s">
        <v>74</v>
      </c>
      <c r="AH1041" s="2" t="s">
        <v>74</v>
      </c>
      <c r="AI1041" s="2" t="s">
        <v>74</v>
      </c>
      <c r="AJ1041" s="2" t="s">
        <v>74</v>
      </c>
      <c r="AK1041" s="2" t="s">
        <v>74</v>
      </c>
      <c r="AL1041" s="2" t="s">
        <v>74</v>
      </c>
      <c r="AM1041" s="2" t="s">
        <v>74</v>
      </c>
      <c r="AN1041" s="2" t="s">
        <v>74</v>
      </c>
      <c r="AO1041" s="2" t="s">
        <v>101</v>
      </c>
      <c r="AP1041" s="2" t="s">
        <v>1218</v>
      </c>
      <c r="AQ1041" s="2" t="s">
        <v>74</v>
      </c>
      <c r="AR1041" s="2" t="s">
        <v>74</v>
      </c>
      <c r="AS1041" s="2" t="s">
        <v>74</v>
      </c>
      <c r="AT1041" s="2" t="s">
        <v>123</v>
      </c>
      <c r="AU1041" s="2">
        <v>2018</v>
      </c>
      <c r="AV1041" s="2">
        <v>130</v>
      </c>
      <c r="AW1041" s="2">
        <v>1</v>
      </c>
      <c r="AX1041" s="2" t="s">
        <v>74</v>
      </c>
      <c r="AY1041" s="2" t="s">
        <v>74</v>
      </c>
      <c r="AZ1041" s="2" t="s">
        <v>74</v>
      </c>
      <c r="BA1041" s="2" t="s">
        <v>74</v>
      </c>
      <c r="BB1041" s="2">
        <v>286</v>
      </c>
      <c r="BC1041" s="2">
        <v>296</v>
      </c>
      <c r="BD1041" s="2" t="s">
        <v>74</v>
      </c>
      <c r="BE1041" s="2" t="s">
        <v>74</v>
      </c>
      <c r="BF1041" s="2" t="s">
        <v>74</v>
      </c>
      <c r="BG1041" s="2" t="s">
        <v>74</v>
      </c>
      <c r="BH1041" s="2" t="s">
        <v>74</v>
      </c>
      <c r="BI1041" s="2" t="s">
        <v>74</v>
      </c>
      <c r="BJ1041" s="2" t="s">
        <v>74</v>
      </c>
      <c r="BK1041" s="2" t="s">
        <v>74</v>
      </c>
      <c r="BL1041" s="2" t="s">
        <v>74</v>
      </c>
      <c r="BM1041" s="2" t="s">
        <v>74</v>
      </c>
      <c r="BN1041" s="2" t="s">
        <v>74</v>
      </c>
      <c r="BO1041" s="2" t="s">
        <v>74</v>
      </c>
      <c r="BP1041" s="2" t="s">
        <v>74</v>
      </c>
      <c r="BQ1041" s="2" t="s">
        <v>74</v>
      </c>
      <c r="BR1041" s="2" t="s">
        <v>74</v>
      </c>
      <c r="BS1041" s="2" t="s">
        <v>5723</v>
      </c>
      <c r="BT1041" s="2" t="str">
        <f>HYPERLINK("https%3A%2F%2Fwww.webofscience.com%2Fwos%2Fwoscc%2Ffull-record%2FWOS:000430954100023","View Full Record in Web of Science")</f>
        <v>View Full Record in Web of Science</v>
      </c>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row>
    <row r="1042" spans="1:314" s="2" customFormat="1" x14ac:dyDescent="0.4">
      <c r="A1042" s="2" t="s">
        <v>72</v>
      </c>
      <c r="B1042" s="2" t="s">
        <v>4325</v>
      </c>
      <c r="C1042" s="2" t="s">
        <v>74</v>
      </c>
      <c r="D1042" s="2" t="s">
        <v>74</v>
      </c>
      <c r="E1042" s="2" t="s">
        <v>74</v>
      </c>
      <c r="F1042" s="2" t="s">
        <v>4326</v>
      </c>
      <c r="G1042" s="2" t="s">
        <v>74</v>
      </c>
      <c r="H1042" s="2" t="s">
        <v>74</v>
      </c>
      <c r="I1042" s="2" t="s">
        <v>4327</v>
      </c>
      <c r="J1042" s="2" t="s">
        <v>1673</v>
      </c>
      <c r="K1042" s="2" t="s">
        <v>74</v>
      </c>
      <c r="L1042" s="2" t="s">
        <v>74</v>
      </c>
      <c r="M1042" s="2" t="s">
        <v>74</v>
      </c>
      <c r="N1042" s="2" t="s">
        <v>74</v>
      </c>
      <c r="O1042" s="2" t="s">
        <v>74</v>
      </c>
      <c r="P1042" s="2" t="s">
        <v>74</v>
      </c>
      <c r="Q1042" s="2" t="s">
        <v>74</v>
      </c>
      <c r="R1042" s="2" t="s">
        <v>74</v>
      </c>
      <c r="S1042" s="2" t="s">
        <v>74</v>
      </c>
      <c r="T1042" s="2" t="s">
        <v>74</v>
      </c>
      <c r="U1042" s="2" t="s">
        <v>74</v>
      </c>
      <c r="V1042" s="5" t="s">
        <v>4328</v>
      </c>
      <c r="W1042" s="2" t="s">
        <v>74</v>
      </c>
      <c r="X1042" s="2" t="s">
        <v>74</v>
      </c>
      <c r="Y1042" s="2" t="s">
        <v>74</v>
      </c>
      <c r="Z1042" s="2" t="s">
        <v>74</v>
      </c>
      <c r="AA1042" s="2" t="s">
        <v>74</v>
      </c>
      <c r="AB1042" s="2" t="s">
        <v>74</v>
      </c>
      <c r="AC1042" s="2" t="s">
        <v>74</v>
      </c>
      <c r="AD1042" s="2" t="s">
        <v>74</v>
      </c>
      <c r="AE1042" s="2" t="s">
        <v>74</v>
      </c>
      <c r="AF1042" s="2" t="s">
        <v>74</v>
      </c>
      <c r="AG1042" s="2" t="s">
        <v>74</v>
      </c>
      <c r="AH1042" s="2" t="s">
        <v>74</v>
      </c>
      <c r="AI1042" s="2" t="s">
        <v>74</v>
      </c>
      <c r="AJ1042" s="2" t="s">
        <v>74</v>
      </c>
      <c r="AK1042" s="2" t="s">
        <v>74</v>
      </c>
      <c r="AL1042" s="2" t="s">
        <v>74</v>
      </c>
      <c r="AM1042" s="2" t="s">
        <v>74</v>
      </c>
      <c r="AN1042" s="2" t="s">
        <v>74</v>
      </c>
      <c r="AO1042" s="2" t="s">
        <v>1239</v>
      </c>
      <c r="AP1042" s="2" t="s">
        <v>1675</v>
      </c>
      <c r="AQ1042" s="2" t="s">
        <v>74</v>
      </c>
      <c r="AR1042" s="2" t="s">
        <v>74</v>
      </c>
      <c r="AS1042" s="2" t="s">
        <v>74</v>
      </c>
      <c r="AT1042" s="2" t="s">
        <v>213</v>
      </c>
      <c r="AU1042" s="2">
        <v>2022</v>
      </c>
      <c r="AV1042" s="2">
        <v>100</v>
      </c>
      <c r="AW1042" s="2">
        <v>11</v>
      </c>
      <c r="AX1042" s="2" t="s">
        <v>74</v>
      </c>
      <c r="AY1042" s="2" t="s">
        <v>74</v>
      </c>
      <c r="AZ1042" s="2" t="s">
        <v>74</v>
      </c>
      <c r="BA1042" s="2" t="s">
        <v>74</v>
      </c>
      <c r="BB1042" s="2">
        <v>747</v>
      </c>
      <c r="BC1042" s="2">
        <v>756</v>
      </c>
      <c r="BD1042" s="2" t="s">
        <v>74</v>
      </c>
      <c r="BE1042" s="2" t="s">
        <v>4329</v>
      </c>
      <c r="BF1042" s="2" t="str">
        <f>HYPERLINK("http://dx.doi.org/10.1139/cjz-2022-0064747","http://dx.doi.org/10.1139/cjz-2022-0064747")</f>
        <v>http://dx.doi.org/10.1139/cjz-2022-0064747</v>
      </c>
      <c r="BG1042" s="2" t="s">
        <v>74</v>
      </c>
      <c r="BH1042" s="2" t="s">
        <v>74</v>
      </c>
      <c r="BI1042" s="2" t="s">
        <v>74</v>
      </c>
      <c r="BJ1042" s="2" t="s">
        <v>74</v>
      </c>
      <c r="BK1042" s="2" t="s">
        <v>74</v>
      </c>
      <c r="BL1042" s="2" t="s">
        <v>74</v>
      </c>
      <c r="BM1042" s="2" t="s">
        <v>74</v>
      </c>
      <c r="BN1042" s="2" t="s">
        <v>74</v>
      </c>
      <c r="BO1042" s="2" t="s">
        <v>74</v>
      </c>
      <c r="BP1042" s="2" t="s">
        <v>74</v>
      </c>
      <c r="BQ1042" s="2" t="s">
        <v>74</v>
      </c>
      <c r="BR1042" s="2" t="s">
        <v>74</v>
      </c>
      <c r="BS1042" s="2" t="s">
        <v>4330</v>
      </c>
      <c r="BT1042" s="2" t="str">
        <f>HYPERLINK("https%3A%2F%2Fwww.webofscience.com%2Fwos%2Fwoscc%2Ffull-record%2FWOS:000879975200002","View Full Record in Web of Science")</f>
        <v>View Full Record in Web of Science</v>
      </c>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row>
    <row r="1043" spans="1:314" s="2" customFormat="1" x14ac:dyDescent="0.4">
      <c r="A1043" s="2" t="s">
        <v>72</v>
      </c>
      <c r="B1043" s="2" t="s">
        <v>4325</v>
      </c>
      <c r="C1043" s="2" t="s">
        <v>74</v>
      </c>
      <c r="D1043" s="2" t="s">
        <v>74</v>
      </c>
      <c r="E1043" s="2" t="s">
        <v>74</v>
      </c>
      <c r="F1043" s="2" t="s">
        <v>4326</v>
      </c>
      <c r="G1043" s="2" t="s">
        <v>74</v>
      </c>
      <c r="H1043" s="2" t="s">
        <v>74</v>
      </c>
      <c r="I1043" s="2" t="s">
        <v>4337</v>
      </c>
      <c r="J1043" s="2" t="s">
        <v>1673</v>
      </c>
      <c r="K1043" s="2" t="s">
        <v>74</v>
      </c>
      <c r="L1043" s="2" t="s">
        <v>74</v>
      </c>
      <c r="M1043" s="2" t="s">
        <v>74</v>
      </c>
      <c r="N1043" s="2" t="s">
        <v>74</v>
      </c>
      <c r="O1043" s="2" t="s">
        <v>74</v>
      </c>
      <c r="P1043" s="2" t="s">
        <v>74</v>
      </c>
      <c r="Q1043" s="2" t="s">
        <v>74</v>
      </c>
      <c r="R1043" s="2" t="s">
        <v>74</v>
      </c>
      <c r="S1043" s="2" t="s">
        <v>74</v>
      </c>
      <c r="T1043" s="2" t="s">
        <v>74</v>
      </c>
      <c r="U1043" s="2" t="s">
        <v>74</v>
      </c>
      <c r="V1043" s="5" t="s">
        <v>4328</v>
      </c>
      <c r="W1043" s="2" t="s">
        <v>74</v>
      </c>
      <c r="X1043" s="2" t="s">
        <v>74</v>
      </c>
      <c r="Y1043" s="2" t="s">
        <v>74</v>
      </c>
      <c r="Z1043" s="2" t="s">
        <v>74</v>
      </c>
      <c r="AA1043" s="2" t="s">
        <v>74</v>
      </c>
      <c r="AB1043" s="2" t="s">
        <v>74</v>
      </c>
      <c r="AC1043" s="2" t="s">
        <v>74</v>
      </c>
      <c r="AD1043" s="2" t="s">
        <v>74</v>
      </c>
      <c r="AE1043" s="2" t="s">
        <v>74</v>
      </c>
      <c r="AF1043" s="2" t="s">
        <v>74</v>
      </c>
      <c r="AG1043" s="2" t="s">
        <v>74</v>
      </c>
      <c r="AH1043" s="2" t="s">
        <v>74</v>
      </c>
      <c r="AI1043" s="2" t="s">
        <v>74</v>
      </c>
      <c r="AJ1043" s="2" t="s">
        <v>74</v>
      </c>
      <c r="AK1043" s="2" t="s">
        <v>74</v>
      </c>
      <c r="AL1043" s="2" t="s">
        <v>74</v>
      </c>
      <c r="AM1043" s="2" t="s">
        <v>74</v>
      </c>
      <c r="AN1043" s="2" t="s">
        <v>74</v>
      </c>
      <c r="AO1043" s="2" t="s">
        <v>1239</v>
      </c>
      <c r="AP1043" s="2" t="s">
        <v>1675</v>
      </c>
      <c r="AQ1043" s="2" t="s">
        <v>74</v>
      </c>
      <c r="AR1043" s="2" t="s">
        <v>74</v>
      </c>
      <c r="AS1043" s="2" t="s">
        <v>74</v>
      </c>
      <c r="AT1043" s="2" t="s">
        <v>4338</v>
      </c>
      <c r="AU1043" s="2">
        <v>2022</v>
      </c>
      <c r="AV1043" s="2" t="s">
        <v>74</v>
      </c>
      <c r="AW1043" s="2" t="s">
        <v>74</v>
      </c>
      <c r="AX1043" s="2" t="s">
        <v>74</v>
      </c>
      <c r="AY1043" s="2" t="s">
        <v>74</v>
      </c>
      <c r="AZ1043" s="2" t="s">
        <v>74</v>
      </c>
      <c r="BA1043" s="2" t="s">
        <v>74</v>
      </c>
      <c r="BB1043" s="2" t="s">
        <v>74</v>
      </c>
      <c r="BC1043" s="2" t="s">
        <v>74</v>
      </c>
      <c r="BD1043" s="2" t="s">
        <v>74</v>
      </c>
      <c r="BE1043" s="2" t="s">
        <v>4339</v>
      </c>
      <c r="BF1043" s="2" t="str">
        <f>HYPERLINK("http://dx.doi.org/10.1139/cjz-2022-0064","http://dx.doi.org/10.1139/cjz-2022-0064")</f>
        <v>http://dx.doi.org/10.1139/cjz-2022-0064</v>
      </c>
      <c r="BG1043" s="2" t="s">
        <v>74</v>
      </c>
      <c r="BH1043" s="2" t="s">
        <v>3406</v>
      </c>
      <c r="BI1043" s="2" t="s">
        <v>74</v>
      </c>
      <c r="BJ1043" s="2" t="s">
        <v>74</v>
      </c>
      <c r="BK1043" s="2" t="s">
        <v>74</v>
      </c>
      <c r="BL1043" s="2" t="s">
        <v>74</v>
      </c>
      <c r="BM1043" s="2" t="s">
        <v>74</v>
      </c>
      <c r="BN1043" s="2" t="s">
        <v>74</v>
      </c>
      <c r="BO1043" s="2" t="s">
        <v>74</v>
      </c>
      <c r="BP1043" s="2" t="s">
        <v>74</v>
      </c>
      <c r="BQ1043" s="2" t="s">
        <v>74</v>
      </c>
      <c r="BR1043" s="2" t="s">
        <v>74</v>
      </c>
      <c r="BS1043" s="2" t="s">
        <v>4340</v>
      </c>
      <c r="BT1043" s="2" t="str">
        <f>HYPERLINK("https%3A%2F%2Fwww.webofscience.com%2Fwos%2Fwoscc%2Ffull-record%2FWOS:000857570800001","View Full Record in Web of Science")</f>
        <v>View Full Record in Web of Science</v>
      </c>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row>
    <row r="1044" spans="1:314" s="2" customFormat="1" x14ac:dyDescent="0.4">
      <c r="A1044" s="2" t="s">
        <v>72</v>
      </c>
      <c r="B1044" s="2" t="s">
        <v>2014</v>
      </c>
      <c r="C1044" s="2" t="s">
        <v>74</v>
      </c>
      <c r="D1044" s="2" t="s">
        <v>74</v>
      </c>
      <c r="E1044" s="2" t="s">
        <v>74</v>
      </c>
      <c r="F1044" s="2" t="s">
        <v>2015</v>
      </c>
      <c r="G1044" s="2" t="s">
        <v>74</v>
      </c>
      <c r="H1044" s="2" t="s">
        <v>74</v>
      </c>
      <c r="I1044" s="2" t="s">
        <v>2016</v>
      </c>
      <c r="J1044" s="2" t="s">
        <v>2017</v>
      </c>
      <c r="K1044" s="2" t="s">
        <v>74</v>
      </c>
      <c r="L1044" s="2" t="s">
        <v>74</v>
      </c>
      <c r="M1044" s="2" t="s">
        <v>74</v>
      </c>
      <c r="N1044" s="2" t="s">
        <v>74</v>
      </c>
      <c r="O1044" s="2" t="s">
        <v>74</v>
      </c>
      <c r="P1044" s="2" t="s">
        <v>74</v>
      </c>
      <c r="Q1044" s="2" t="s">
        <v>74</v>
      </c>
      <c r="R1044" s="2" t="s">
        <v>74</v>
      </c>
      <c r="S1044" s="2" t="s">
        <v>74</v>
      </c>
      <c r="T1044" s="2" t="s">
        <v>74</v>
      </c>
      <c r="U1044" s="2" t="s">
        <v>74</v>
      </c>
      <c r="V1044" s="5" t="s">
        <v>2018</v>
      </c>
      <c r="W1044" s="2" t="s">
        <v>74</v>
      </c>
      <c r="X1044" s="2" t="s">
        <v>74</v>
      </c>
      <c r="Y1044" s="2" t="s">
        <v>74</v>
      </c>
      <c r="Z1044" s="2" t="s">
        <v>74</v>
      </c>
      <c r="AA1044" s="2" t="s">
        <v>2019</v>
      </c>
      <c r="AB1044" s="2" t="s">
        <v>2020</v>
      </c>
      <c r="AC1044" s="2" t="s">
        <v>74</v>
      </c>
      <c r="AD1044" s="2" t="s">
        <v>74</v>
      </c>
      <c r="AE1044" s="2" t="s">
        <v>74</v>
      </c>
      <c r="AF1044" s="2" t="s">
        <v>74</v>
      </c>
      <c r="AG1044" s="2" t="s">
        <v>74</v>
      </c>
      <c r="AH1044" s="2" t="s">
        <v>74</v>
      </c>
      <c r="AI1044" s="2" t="s">
        <v>74</v>
      </c>
      <c r="AJ1044" s="2" t="s">
        <v>74</v>
      </c>
      <c r="AK1044" s="2" t="s">
        <v>74</v>
      </c>
      <c r="AL1044" s="2" t="s">
        <v>74</v>
      </c>
      <c r="AM1044" s="2" t="s">
        <v>74</v>
      </c>
      <c r="AN1044" s="2" t="s">
        <v>74</v>
      </c>
      <c r="AO1044" s="2" t="s">
        <v>2021</v>
      </c>
      <c r="AP1044" s="2" t="s">
        <v>74</v>
      </c>
      <c r="AQ1044" s="2" t="s">
        <v>74</v>
      </c>
      <c r="AR1044" s="2" t="s">
        <v>74</v>
      </c>
      <c r="AS1044" s="2" t="s">
        <v>74</v>
      </c>
      <c r="AT1044" s="2" t="s">
        <v>2022</v>
      </c>
      <c r="AU1044" s="2">
        <v>2021</v>
      </c>
      <c r="AV1044" s="2">
        <v>9</v>
      </c>
      <c r="AW1044" s="2" t="s">
        <v>74</v>
      </c>
      <c r="AX1044" s="2" t="s">
        <v>74</v>
      </c>
      <c r="AY1044" s="2" t="s">
        <v>74</v>
      </c>
      <c r="AZ1044" s="2" t="s">
        <v>74</v>
      </c>
      <c r="BA1044" s="2" t="s">
        <v>74</v>
      </c>
      <c r="BB1044" s="2" t="s">
        <v>74</v>
      </c>
      <c r="BC1044" s="2" t="s">
        <v>74</v>
      </c>
      <c r="BD1044" s="2">
        <v>589781</v>
      </c>
      <c r="BE1044" s="2" t="s">
        <v>2023</v>
      </c>
      <c r="BF1044" s="2" t="str">
        <f>HYPERLINK("http://dx.doi.org/10.3389/fevo.2021.589781","http://dx.doi.org/10.3389/fevo.2021.589781")</f>
        <v>http://dx.doi.org/10.3389/fevo.2021.589781</v>
      </c>
      <c r="BG1044" s="2" t="s">
        <v>74</v>
      </c>
      <c r="BH1044" s="2" t="s">
        <v>74</v>
      </c>
      <c r="BI1044" s="2" t="s">
        <v>74</v>
      </c>
      <c r="BJ1044" s="2" t="s">
        <v>74</v>
      </c>
      <c r="BK1044" s="2" t="s">
        <v>74</v>
      </c>
      <c r="BL1044" s="2" t="s">
        <v>74</v>
      </c>
      <c r="BM1044" s="2" t="s">
        <v>74</v>
      </c>
      <c r="BN1044" s="2" t="s">
        <v>74</v>
      </c>
      <c r="BO1044" s="2" t="s">
        <v>74</v>
      </c>
      <c r="BP1044" s="2" t="s">
        <v>74</v>
      </c>
      <c r="BQ1044" s="2" t="s">
        <v>74</v>
      </c>
      <c r="BR1044" s="2" t="s">
        <v>74</v>
      </c>
      <c r="BS1044" s="2" t="s">
        <v>2024</v>
      </c>
      <c r="BT1044" s="2" t="str">
        <f>HYPERLINK("https%3A%2F%2Fwww.webofscience.com%2Fwos%2Fwoscc%2Ffull-record%2FWOS:000645123900001","View Full Record in Web of Science")</f>
        <v>View Full Record in Web of Science</v>
      </c>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row>
    <row r="1045" spans="1:314" s="2" customFormat="1" x14ac:dyDescent="0.4">
      <c r="A1045" s="2" t="s">
        <v>72</v>
      </c>
      <c r="B1045" s="2" t="s">
        <v>3835</v>
      </c>
      <c r="C1045" s="2" t="s">
        <v>74</v>
      </c>
      <c r="D1045" s="2" t="s">
        <v>74</v>
      </c>
      <c r="E1045" s="2" t="s">
        <v>74</v>
      </c>
      <c r="F1045" s="2" t="s">
        <v>3836</v>
      </c>
      <c r="G1045" s="2" t="s">
        <v>74</v>
      </c>
      <c r="H1045" s="2" t="s">
        <v>74</v>
      </c>
      <c r="I1045" s="2" t="s">
        <v>3837</v>
      </c>
      <c r="J1045" s="2" t="s">
        <v>824</v>
      </c>
      <c r="K1045" s="2" t="s">
        <v>74</v>
      </c>
      <c r="L1045" s="2" t="s">
        <v>74</v>
      </c>
      <c r="M1045" s="2" t="s">
        <v>74</v>
      </c>
      <c r="N1045" s="2" t="s">
        <v>74</v>
      </c>
      <c r="O1045" s="2" t="s">
        <v>74</v>
      </c>
      <c r="P1045" s="2" t="s">
        <v>74</v>
      </c>
      <c r="Q1045" s="2" t="s">
        <v>74</v>
      </c>
      <c r="R1045" s="2" t="s">
        <v>74</v>
      </c>
      <c r="S1045" s="2" t="s">
        <v>74</v>
      </c>
      <c r="T1045" s="2" t="s">
        <v>74</v>
      </c>
      <c r="U1045" s="2" t="s">
        <v>74</v>
      </c>
      <c r="V1045" s="5" t="s">
        <v>3838</v>
      </c>
      <c r="W1045" s="2" t="s">
        <v>74</v>
      </c>
      <c r="X1045" s="2" t="s">
        <v>74</v>
      </c>
      <c r="Y1045" s="2" t="s">
        <v>74</v>
      </c>
      <c r="Z1045" s="2" t="s">
        <v>74</v>
      </c>
      <c r="AA1045" s="2" t="s">
        <v>3839</v>
      </c>
      <c r="AB1045" s="2" t="s">
        <v>3840</v>
      </c>
      <c r="AC1045" s="2" t="s">
        <v>74</v>
      </c>
      <c r="AD1045" s="2" t="s">
        <v>74</v>
      </c>
      <c r="AE1045" s="2" t="s">
        <v>74</v>
      </c>
      <c r="AF1045" s="2" t="s">
        <v>74</v>
      </c>
      <c r="AG1045" s="2" t="s">
        <v>74</v>
      </c>
      <c r="AH1045" s="2" t="s">
        <v>74</v>
      </c>
      <c r="AI1045" s="2" t="s">
        <v>74</v>
      </c>
      <c r="AJ1045" s="2" t="s">
        <v>74</v>
      </c>
      <c r="AK1045" s="2" t="s">
        <v>74</v>
      </c>
      <c r="AL1045" s="2" t="s">
        <v>74</v>
      </c>
      <c r="AM1045" s="2" t="s">
        <v>74</v>
      </c>
      <c r="AN1045" s="2" t="s">
        <v>74</v>
      </c>
      <c r="AO1045" s="2" t="s">
        <v>828</v>
      </c>
      <c r="AP1045" s="2" t="s">
        <v>829</v>
      </c>
      <c r="AQ1045" s="2" t="s">
        <v>74</v>
      </c>
      <c r="AR1045" s="2" t="s">
        <v>74</v>
      </c>
      <c r="AS1045" s="2" t="s">
        <v>74</v>
      </c>
      <c r="AT1045" s="2" t="s">
        <v>352</v>
      </c>
      <c r="AU1045" s="2">
        <v>2017</v>
      </c>
      <c r="AV1045" s="2">
        <v>86</v>
      </c>
      <c r="AW1045" s="2">
        <v>5</v>
      </c>
      <c r="AX1045" s="2" t="s">
        <v>74</v>
      </c>
      <c r="AY1045" s="2" t="s">
        <v>74</v>
      </c>
      <c r="AZ1045" s="2" t="s">
        <v>74</v>
      </c>
      <c r="BA1045" s="2" t="s">
        <v>74</v>
      </c>
      <c r="BB1045" s="2">
        <v>1044</v>
      </c>
      <c r="BC1045" s="2">
        <v>1053</v>
      </c>
      <c r="BD1045" s="2" t="s">
        <v>74</v>
      </c>
      <c r="BE1045" s="2" t="s">
        <v>3841</v>
      </c>
      <c r="BF1045" s="2" t="str">
        <f>HYPERLINK("http://dx.doi.org/10.1111/1365-2656.12693","http://dx.doi.org/10.1111/1365-2656.12693")</f>
        <v>http://dx.doi.org/10.1111/1365-2656.12693</v>
      </c>
      <c r="BG1045" s="2" t="s">
        <v>74</v>
      </c>
      <c r="BH1045" s="2" t="s">
        <v>74</v>
      </c>
      <c r="BI1045" s="2" t="s">
        <v>74</v>
      </c>
      <c r="BJ1045" s="2" t="s">
        <v>74</v>
      </c>
      <c r="BK1045" s="2" t="s">
        <v>74</v>
      </c>
      <c r="BL1045" s="2" t="s">
        <v>74</v>
      </c>
      <c r="BM1045" s="2" t="s">
        <v>74</v>
      </c>
      <c r="BN1045" s="2">
        <v>28502118</v>
      </c>
      <c r="BO1045" s="2" t="s">
        <v>74</v>
      </c>
      <c r="BP1045" s="2" t="s">
        <v>74</v>
      </c>
      <c r="BQ1045" s="2" t="s">
        <v>74</v>
      </c>
      <c r="BR1045" s="2" t="s">
        <v>74</v>
      </c>
      <c r="BS1045" s="2" t="s">
        <v>3842</v>
      </c>
      <c r="BT1045" s="2" t="str">
        <f>HYPERLINK("https%3A%2F%2Fwww.webofscience.com%2Fwos%2Fwoscc%2Ffull-record%2FWOS:000407320500007","View Full Record in Web of Science")</f>
        <v>View Full Record in Web of Science</v>
      </c>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row>
    <row r="1046" spans="1:314" s="2" customFormat="1" x14ac:dyDescent="0.4">
      <c r="A1046" s="2" t="s">
        <v>72</v>
      </c>
      <c r="B1046" s="2" t="s">
        <v>1554</v>
      </c>
      <c r="C1046" s="2" t="s">
        <v>74</v>
      </c>
      <c r="D1046" s="2" t="s">
        <v>74</v>
      </c>
      <c r="E1046" s="2" t="s">
        <v>74</v>
      </c>
      <c r="F1046" s="2" t="s">
        <v>1555</v>
      </c>
      <c r="G1046" s="2" t="s">
        <v>74</v>
      </c>
      <c r="H1046" s="2" t="s">
        <v>74</v>
      </c>
      <c r="I1046" s="2" t="s">
        <v>1556</v>
      </c>
      <c r="J1046" s="2" t="s">
        <v>1557</v>
      </c>
      <c r="K1046" s="2" t="s">
        <v>74</v>
      </c>
      <c r="L1046" s="2" t="s">
        <v>74</v>
      </c>
      <c r="M1046" s="2" t="s">
        <v>74</v>
      </c>
      <c r="N1046" s="2" t="s">
        <v>74</v>
      </c>
      <c r="O1046" s="2" t="s">
        <v>74</v>
      </c>
      <c r="P1046" s="2" t="s">
        <v>74</v>
      </c>
      <c r="Q1046" s="2" t="s">
        <v>74</v>
      </c>
      <c r="R1046" s="2" t="s">
        <v>74</v>
      </c>
      <c r="S1046" s="2" t="s">
        <v>74</v>
      </c>
      <c r="T1046" s="2" t="s">
        <v>74</v>
      </c>
      <c r="U1046" s="2" t="s">
        <v>74</v>
      </c>
      <c r="V1046" s="5" t="s">
        <v>1558</v>
      </c>
      <c r="W1046" s="2" t="s">
        <v>74</v>
      </c>
      <c r="X1046" s="2" t="s">
        <v>74</v>
      </c>
      <c r="Y1046" s="2" t="s">
        <v>74</v>
      </c>
      <c r="Z1046" s="2" t="s">
        <v>74</v>
      </c>
      <c r="AA1046" s="2" t="s">
        <v>1559</v>
      </c>
      <c r="AB1046" s="2" t="s">
        <v>1560</v>
      </c>
      <c r="AC1046" s="2" t="s">
        <v>74</v>
      </c>
      <c r="AD1046" s="2" t="s">
        <v>74</v>
      </c>
      <c r="AE1046" s="2" t="s">
        <v>74</v>
      </c>
      <c r="AF1046" s="2" t="s">
        <v>74</v>
      </c>
      <c r="AG1046" s="2" t="s">
        <v>74</v>
      </c>
      <c r="AH1046" s="2" t="s">
        <v>74</v>
      </c>
      <c r="AI1046" s="2" t="s">
        <v>74</v>
      </c>
      <c r="AJ1046" s="2" t="s">
        <v>74</v>
      </c>
      <c r="AK1046" s="2" t="s">
        <v>74</v>
      </c>
      <c r="AL1046" s="2" t="s">
        <v>74</v>
      </c>
      <c r="AM1046" s="2" t="s">
        <v>74</v>
      </c>
      <c r="AN1046" s="2" t="s">
        <v>74</v>
      </c>
      <c r="AO1046" s="2" t="s">
        <v>1561</v>
      </c>
      <c r="AP1046" s="2" t="s">
        <v>1562</v>
      </c>
      <c r="AQ1046" s="2" t="s">
        <v>74</v>
      </c>
      <c r="AR1046" s="2" t="s">
        <v>74</v>
      </c>
      <c r="AS1046" s="2" t="s">
        <v>74</v>
      </c>
      <c r="AT1046" s="2" t="s">
        <v>361</v>
      </c>
      <c r="AU1046" s="2">
        <v>2013</v>
      </c>
      <c r="AV1046" s="2">
        <v>46</v>
      </c>
      <c r="AW1046" s="2">
        <v>3</v>
      </c>
      <c r="AX1046" s="2" t="s">
        <v>74</v>
      </c>
      <c r="AY1046" s="2" t="s">
        <v>74</v>
      </c>
      <c r="AZ1046" s="2" t="s">
        <v>74</v>
      </c>
      <c r="BA1046" s="2" t="s">
        <v>74</v>
      </c>
      <c r="BB1046" s="2">
        <v>183</v>
      </c>
      <c r="BC1046" s="2">
        <v>190</v>
      </c>
      <c r="BD1046" s="2" t="s">
        <v>74</v>
      </c>
      <c r="BE1046" s="2" t="s">
        <v>1563</v>
      </c>
      <c r="BF1046" s="2" t="str">
        <f>HYPERLINK("http://dx.doi.org/10.1080/10236244.2013.805053","http://dx.doi.org/10.1080/10236244.2013.805053")</f>
        <v>http://dx.doi.org/10.1080/10236244.2013.805053</v>
      </c>
      <c r="BG1046" s="2" t="s">
        <v>74</v>
      </c>
      <c r="BH1046" s="2" t="s">
        <v>74</v>
      </c>
      <c r="BI1046" s="2" t="s">
        <v>74</v>
      </c>
      <c r="BJ1046" s="2" t="s">
        <v>74</v>
      </c>
      <c r="BK1046" s="2" t="s">
        <v>74</v>
      </c>
      <c r="BL1046" s="2" t="s">
        <v>74</v>
      </c>
      <c r="BM1046" s="2" t="s">
        <v>74</v>
      </c>
      <c r="BN1046" s="2" t="s">
        <v>74</v>
      </c>
      <c r="BO1046" s="2" t="s">
        <v>74</v>
      </c>
      <c r="BP1046" s="2" t="s">
        <v>74</v>
      </c>
      <c r="BQ1046" s="2" t="s">
        <v>74</v>
      </c>
      <c r="BR1046" s="2" t="s">
        <v>74</v>
      </c>
      <c r="BS1046" s="2" t="s">
        <v>1564</v>
      </c>
      <c r="BT1046" s="2" t="str">
        <f>HYPERLINK("https%3A%2F%2Fwww.webofscience.com%2Fwos%2Fwoscc%2Ffull-record%2FWOS:000320570200004","View Full Record in Web of Science")</f>
        <v>View Full Record in Web of Science</v>
      </c>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row>
    <row r="1047" spans="1:314" s="2" customFormat="1" x14ac:dyDescent="0.4">
      <c r="A1047" s="2" t="s">
        <v>72</v>
      </c>
      <c r="B1047" s="2" t="s">
        <v>1283</v>
      </c>
      <c r="C1047" s="2" t="s">
        <v>74</v>
      </c>
      <c r="D1047" s="2" t="s">
        <v>74</v>
      </c>
      <c r="E1047" s="2" t="s">
        <v>74</v>
      </c>
      <c r="F1047" s="2" t="s">
        <v>1284</v>
      </c>
      <c r="G1047" s="2" t="s">
        <v>74</v>
      </c>
      <c r="H1047" s="2" t="s">
        <v>74</v>
      </c>
      <c r="I1047" s="2" t="s">
        <v>1285</v>
      </c>
      <c r="J1047" s="2" t="s">
        <v>654</v>
      </c>
      <c r="K1047" s="2" t="s">
        <v>74</v>
      </c>
      <c r="L1047" s="2" t="s">
        <v>74</v>
      </c>
      <c r="M1047" s="2" t="s">
        <v>74</v>
      </c>
      <c r="N1047" s="2" t="s">
        <v>74</v>
      </c>
      <c r="O1047" s="2" t="s">
        <v>74</v>
      </c>
      <c r="P1047" s="2" t="s">
        <v>74</v>
      </c>
      <c r="Q1047" s="2" t="s">
        <v>74</v>
      </c>
      <c r="R1047" s="2" t="s">
        <v>74</v>
      </c>
      <c r="S1047" s="2" t="s">
        <v>74</v>
      </c>
      <c r="T1047" s="2" t="s">
        <v>74</v>
      </c>
      <c r="U1047" s="2" t="s">
        <v>74</v>
      </c>
      <c r="V1047" s="5" t="s">
        <v>1286</v>
      </c>
      <c r="W1047" s="2" t="s">
        <v>74</v>
      </c>
      <c r="X1047" s="2" t="s">
        <v>74</v>
      </c>
      <c r="Y1047" s="2" t="s">
        <v>74</v>
      </c>
      <c r="Z1047" s="2" t="s">
        <v>74</v>
      </c>
      <c r="AA1047" s="2" t="s">
        <v>1287</v>
      </c>
      <c r="AB1047" s="2" t="s">
        <v>1288</v>
      </c>
      <c r="AC1047" s="2" t="s">
        <v>74</v>
      </c>
      <c r="AD1047" s="2" t="s">
        <v>74</v>
      </c>
      <c r="AE1047" s="2" t="s">
        <v>74</v>
      </c>
      <c r="AF1047" s="2" t="s">
        <v>74</v>
      </c>
      <c r="AG1047" s="2" t="s">
        <v>74</v>
      </c>
      <c r="AH1047" s="2" t="s">
        <v>74</v>
      </c>
      <c r="AI1047" s="2" t="s">
        <v>74</v>
      </c>
      <c r="AJ1047" s="2" t="s">
        <v>74</v>
      </c>
      <c r="AK1047" s="2" t="s">
        <v>74</v>
      </c>
      <c r="AL1047" s="2" t="s">
        <v>74</v>
      </c>
      <c r="AM1047" s="2" t="s">
        <v>74</v>
      </c>
      <c r="AN1047" s="2" t="s">
        <v>74</v>
      </c>
      <c r="AO1047" s="2" t="s">
        <v>658</v>
      </c>
      <c r="AP1047" s="2" t="s">
        <v>74</v>
      </c>
      <c r="AQ1047" s="2" t="s">
        <v>74</v>
      </c>
      <c r="AR1047" s="2" t="s">
        <v>74</v>
      </c>
      <c r="AS1047" s="2" t="s">
        <v>74</v>
      </c>
      <c r="AT1047" s="2" t="s">
        <v>145</v>
      </c>
      <c r="AU1047" s="2">
        <v>2023</v>
      </c>
      <c r="AV1047" s="2">
        <v>13</v>
      </c>
      <c r="AW1047" s="2">
        <v>8</v>
      </c>
      <c r="AX1047" s="2" t="s">
        <v>74</v>
      </c>
      <c r="AY1047" s="2" t="s">
        <v>74</v>
      </c>
      <c r="AZ1047" s="2" t="s">
        <v>74</v>
      </c>
      <c r="BA1047" s="2" t="s">
        <v>74</v>
      </c>
      <c r="BB1047" s="2" t="s">
        <v>74</v>
      </c>
      <c r="BC1047" s="2" t="s">
        <v>74</v>
      </c>
      <c r="BD1047" s="2" t="s">
        <v>74</v>
      </c>
      <c r="BE1047" s="2" t="s">
        <v>1289</v>
      </c>
      <c r="BF1047" s="2" t="str">
        <f>HYPERLINK("http://dx.doi.org/10.1002/ece3.10328","http://dx.doi.org/10.1002/ece3.10328")</f>
        <v>http://dx.doi.org/10.1002/ece3.10328</v>
      </c>
      <c r="BG1047" s="2" t="s">
        <v>74</v>
      </c>
      <c r="BH1047" s="2" t="s">
        <v>74</v>
      </c>
      <c r="BI1047" s="2" t="s">
        <v>74</v>
      </c>
      <c r="BJ1047" s="2" t="s">
        <v>74</v>
      </c>
      <c r="BK1047" s="2" t="s">
        <v>74</v>
      </c>
      <c r="BL1047" s="2" t="s">
        <v>74</v>
      </c>
      <c r="BM1047" s="2" t="s">
        <v>74</v>
      </c>
      <c r="BN1047" s="2">
        <v>37636865</v>
      </c>
      <c r="BO1047" s="2" t="s">
        <v>74</v>
      </c>
      <c r="BP1047" s="2" t="s">
        <v>74</v>
      </c>
      <c r="BQ1047" s="2" t="s">
        <v>74</v>
      </c>
      <c r="BR1047" s="2" t="s">
        <v>74</v>
      </c>
      <c r="BS1047" s="2" t="s">
        <v>1290</v>
      </c>
      <c r="BT1047" s="2" t="str">
        <f>HYPERLINK("https%3A%2F%2Fwww.webofscience.com%2Fwos%2Fwoscc%2Ffull-record%2FWOS:001054792900001","View Full Record in Web of Science")</f>
        <v>View Full Record in Web of Science</v>
      </c>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row>
    <row r="1048" spans="1:314" s="2" customFormat="1" x14ac:dyDescent="0.4">
      <c r="A1048" s="2" t="s">
        <v>72</v>
      </c>
      <c r="B1048" s="2" t="s">
        <v>5811</v>
      </c>
      <c r="C1048" s="2" t="s">
        <v>74</v>
      </c>
      <c r="D1048" s="2" t="s">
        <v>74</v>
      </c>
      <c r="E1048" s="2" t="s">
        <v>74</v>
      </c>
      <c r="F1048" s="2" t="s">
        <v>5812</v>
      </c>
      <c r="G1048" s="2" t="s">
        <v>74</v>
      </c>
      <c r="H1048" s="2" t="s">
        <v>74</v>
      </c>
      <c r="I1048" s="2" t="s">
        <v>5813</v>
      </c>
      <c r="J1048" s="2" t="s">
        <v>5814</v>
      </c>
      <c r="K1048" s="2" t="s">
        <v>74</v>
      </c>
      <c r="L1048" s="2" t="s">
        <v>74</v>
      </c>
      <c r="M1048" s="2" t="s">
        <v>74</v>
      </c>
      <c r="N1048" s="2" t="s">
        <v>74</v>
      </c>
      <c r="O1048" s="2" t="s">
        <v>74</v>
      </c>
      <c r="P1048" s="2" t="s">
        <v>74</v>
      </c>
      <c r="Q1048" s="2" t="s">
        <v>74</v>
      </c>
      <c r="R1048" s="2" t="s">
        <v>74</v>
      </c>
      <c r="S1048" s="2" t="s">
        <v>74</v>
      </c>
      <c r="T1048" s="2" t="s">
        <v>74</v>
      </c>
      <c r="U1048" s="2" t="s">
        <v>74</v>
      </c>
      <c r="V1048" s="5" t="s">
        <v>5815</v>
      </c>
      <c r="W1048" s="2" t="s">
        <v>74</v>
      </c>
      <c r="X1048" s="2" t="s">
        <v>74</v>
      </c>
      <c r="Y1048" s="2" t="s">
        <v>74</v>
      </c>
      <c r="Z1048" s="2" t="s">
        <v>74</v>
      </c>
      <c r="AA1048" s="2" t="s">
        <v>5816</v>
      </c>
      <c r="AB1048" s="2" t="s">
        <v>5817</v>
      </c>
      <c r="AC1048" s="2" t="s">
        <v>74</v>
      </c>
      <c r="AD1048" s="2" t="s">
        <v>74</v>
      </c>
      <c r="AE1048" s="2" t="s">
        <v>74</v>
      </c>
      <c r="AF1048" s="2" t="s">
        <v>74</v>
      </c>
      <c r="AG1048" s="2" t="s">
        <v>74</v>
      </c>
      <c r="AH1048" s="2" t="s">
        <v>74</v>
      </c>
      <c r="AI1048" s="2" t="s">
        <v>74</v>
      </c>
      <c r="AJ1048" s="2" t="s">
        <v>74</v>
      </c>
      <c r="AK1048" s="2" t="s">
        <v>74</v>
      </c>
      <c r="AL1048" s="2" t="s">
        <v>74</v>
      </c>
      <c r="AM1048" s="2" t="s">
        <v>74</v>
      </c>
      <c r="AN1048" s="2" t="s">
        <v>74</v>
      </c>
      <c r="AO1048" s="2" t="s">
        <v>74</v>
      </c>
      <c r="AP1048" s="2" t="s">
        <v>5818</v>
      </c>
      <c r="AQ1048" s="2" t="s">
        <v>74</v>
      </c>
      <c r="AR1048" s="2" t="s">
        <v>74</v>
      </c>
      <c r="AS1048" s="2" t="s">
        <v>74</v>
      </c>
      <c r="AT1048" s="2" t="s">
        <v>5819</v>
      </c>
      <c r="AU1048" s="2">
        <v>2007</v>
      </c>
      <c r="AV1048" s="2">
        <v>104</v>
      </c>
      <c r="AW1048" s="2">
        <v>1</v>
      </c>
      <c r="AX1048" s="2" t="s">
        <v>74</v>
      </c>
      <c r="AY1048" s="2" t="s">
        <v>74</v>
      </c>
      <c r="AZ1048" s="2" t="s">
        <v>74</v>
      </c>
      <c r="BA1048" s="2" t="s">
        <v>74</v>
      </c>
      <c r="BB1048" s="2">
        <v>57</v>
      </c>
      <c r="BC1048" s="2">
        <v>65</v>
      </c>
      <c r="BD1048" s="2" t="s">
        <v>74</v>
      </c>
      <c r="BE1048" s="2" t="s">
        <v>5820</v>
      </c>
      <c r="BF1048" s="2" t="str">
        <f>HYPERLINK("http://dx.doi.org/10.14411/eje.2007.009","http://dx.doi.org/10.14411/eje.2007.009")</f>
        <v>http://dx.doi.org/10.14411/eje.2007.009</v>
      </c>
      <c r="BG1048" s="2" t="s">
        <v>74</v>
      </c>
      <c r="BH1048" s="2" t="s">
        <v>74</v>
      </c>
      <c r="BI1048" s="2" t="s">
        <v>74</v>
      </c>
      <c r="BJ1048" s="2" t="s">
        <v>74</v>
      </c>
      <c r="BK1048" s="2" t="s">
        <v>74</v>
      </c>
      <c r="BL1048" s="2" t="s">
        <v>74</v>
      </c>
      <c r="BM1048" s="2" t="s">
        <v>74</v>
      </c>
      <c r="BN1048" s="2" t="s">
        <v>74</v>
      </c>
      <c r="BO1048" s="2" t="s">
        <v>74</v>
      </c>
      <c r="BP1048" s="2" t="s">
        <v>74</v>
      </c>
      <c r="BQ1048" s="2" t="s">
        <v>74</v>
      </c>
      <c r="BR1048" s="2" t="s">
        <v>74</v>
      </c>
      <c r="BS1048" s="2" t="s">
        <v>5821</v>
      </c>
      <c r="BT1048" s="2" t="str">
        <f>HYPERLINK("https%3A%2F%2Fwww.webofscience.com%2Fwos%2Fwoscc%2Ffull-record%2FWOS:000243077100009","View Full Record in Web of Science")</f>
        <v>View Full Record in Web of Science</v>
      </c>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row>
    <row r="1049" spans="1:314" s="2" customFormat="1" x14ac:dyDescent="0.4">
      <c r="A1049" s="2" t="s">
        <v>72</v>
      </c>
      <c r="B1049" s="2" t="s">
        <v>2779</v>
      </c>
      <c r="C1049" s="2" t="s">
        <v>74</v>
      </c>
      <c r="D1049" s="2" t="s">
        <v>74</v>
      </c>
      <c r="E1049" s="2" t="s">
        <v>74</v>
      </c>
      <c r="F1049" s="2" t="s">
        <v>2780</v>
      </c>
      <c r="G1049" s="2" t="s">
        <v>74</v>
      </c>
      <c r="H1049" s="2" t="s">
        <v>74</v>
      </c>
      <c r="I1049" s="2" t="s">
        <v>2781</v>
      </c>
      <c r="J1049" s="2" t="s">
        <v>824</v>
      </c>
      <c r="K1049" s="2" t="s">
        <v>74</v>
      </c>
      <c r="L1049" s="2" t="s">
        <v>74</v>
      </c>
      <c r="M1049" s="2" t="s">
        <v>74</v>
      </c>
      <c r="N1049" s="2" t="s">
        <v>74</v>
      </c>
      <c r="O1049" s="2" t="s">
        <v>74</v>
      </c>
      <c r="P1049" s="2" t="s">
        <v>74</v>
      </c>
      <c r="Q1049" s="2" t="s">
        <v>74</v>
      </c>
      <c r="R1049" s="2" t="s">
        <v>74</v>
      </c>
      <c r="S1049" s="2" t="s">
        <v>74</v>
      </c>
      <c r="T1049" s="2" t="s">
        <v>74</v>
      </c>
      <c r="U1049" s="2" t="s">
        <v>74</v>
      </c>
      <c r="V1049" s="5" t="s">
        <v>2782</v>
      </c>
      <c r="W1049" s="2" t="s">
        <v>74</v>
      </c>
      <c r="X1049" s="2" t="s">
        <v>74</v>
      </c>
      <c r="Y1049" s="2" t="s">
        <v>74</v>
      </c>
      <c r="Z1049" s="2" t="s">
        <v>74</v>
      </c>
      <c r="AA1049" s="2" t="s">
        <v>74</v>
      </c>
      <c r="AB1049" s="2" t="s">
        <v>2783</v>
      </c>
      <c r="AC1049" s="2" t="s">
        <v>74</v>
      </c>
      <c r="AD1049" s="2" t="s">
        <v>74</v>
      </c>
      <c r="AE1049" s="2" t="s">
        <v>74</v>
      </c>
      <c r="AF1049" s="2" t="s">
        <v>74</v>
      </c>
      <c r="AG1049" s="2" t="s">
        <v>74</v>
      </c>
      <c r="AH1049" s="2" t="s">
        <v>74</v>
      </c>
      <c r="AI1049" s="2" t="s">
        <v>74</v>
      </c>
      <c r="AJ1049" s="2" t="s">
        <v>74</v>
      </c>
      <c r="AK1049" s="2" t="s">
        <v>74</v>
      </c>
      <c r="AL1049" s="2" t="s">
        <v>74</v>
      </c>
      <c r="AM1049" s="2" t="s">
        <v>74</v>
      </c>
      <c r="AN1049" s="2" t="s">
        <v>74</v>
      </c>
      <c r="AO1049" s="2" t="s">
        <v>828</v>
      </c>
      <c r="AP1049" s="2" t="s">
        <v>74</v>
      </c>
      <c r="AQ1049" s="2" t="s">
        <v>74</v>
      </c>
      <c r="AR1049" s="2" t="s">
        <v>74</v>
      </c>
      <c r="AS1049" s="2" t="s">
        <v>74</v>
      </c>
      <c r="AT1049" s="2" t="s">
        <v>255</v>
      </c>
      <c r="AU1049" s="2">
        <v>2011</v>
      </c>
      <c r="AV1049" s="2">
        <v>80</v>
      </c>
      <c r="AW1049" s="2">
        <v>1</v>
      </c>
      <c r="AX1049" s="2" t="s">
        <v>74</v>
      </c>
      <c r="AY1049" s="2" t="s">
        <v>74</v>
      </c>
      <c r="AZ1049" s="2" t="s">
        <v>74</v>
      </c>
      <c r="BA1049" s="2" t="s">
        <v>74</v>
      </c>
      <c r="BB1049" s="2">
        <v>79</v>
      </c>
      <c r="BC1049" s="2">
        <v>88</v>
      </c>
      <c r="BD1049" s="2" t="s">
        <v>74</v>
      </c>
      <c r="BE1049" s="2" t="s">
        <v>2784</v>
      </c>
      <c r="BF1049" s="2" t="str">
        <f>HYPERLINK("http://dx.doi.org/10.1111/j.1365-2656.2010.01765.x","http://dx.doi.org/10.1111/j.1365-2656.2010.01765.x")</f>
        <v>http://dx.doi.org/10.1111/j.1365-2656.2010.01765.x</v>
      </c>
      <c r="BG1049" s="2" t="s">
        <v>74</v>
      </c>
      <c r="BH1049" s="2" t="s">
        <v>74</v>
      </c>
      <c r="BI1049" s="2" t="s">
        <v>74</v>
      </c>
      <c r="BJ1049" s="2" t="s">
        <v>74</v>
      </c>
      <c r="BK1049" s="2" t="s">
        <v>74</v>
      </c>
      <c r="BL1049" s="2" t="s">
        <v>74</v>
      </c>
      <c r="BM1049" s="2" t="s">
        <v>74</v>
      </c>
      <c r="BN1049" s="2">
        <v>20964684</v>
      </c>
      <c r="BO1049" s="2" t="s">
        <v>74</v>
      </c>
      <c r="BP1049" s="2" t="s">
        <v>74</v>
      </c>
      <c r="BQ1049" s="2" t="s">
        <v>74</v>
      </c>
      <c r="BR1049" s="2" t="s">
        <v>74</v>
      </c>
      <c r="BS1049" s="2" t="s">
        <v>2785</v>
      </c>
      <c r="BT1049" s="2" t="str">
        <f>HYPERLINK("https%3A%2F%2Fwww.webofscience.com%2Fwos%2Fwoscc%2Ffull-record%2FWOS:000285110600008","View Full Record in Web of Science")</f>
        <v>View Full Record in Web of Science</v>
      </c>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row>
    <row r="1050" spans="1:314" s="2" customFormat="1" x14ac:dyDescent="0.4">
      <c r="A1050" s="2" t="s">
        <v>72</v>
      </c>
      <c r="B1050" s="2" t="s">
        <v>5624</v>
      </c>
      <c r="C1050" s="2" t="s">
        <v>74</v>
      </c>
      <c r="D1050" s="2" t="s">
        <v>74</v>
      </c>
      <c r="E1050" s="2" t="s">
        <v>74</v>
      </c>
      <c r="F1050" s="2" t="s">
        <v>5625</v>
      </c>
      <c r="G1050" s="2" t="s">
        <v>74</v>
      </c>
      <c r="H1050" s="2" t="s">
        <v>74</v>
      </c>
      <c r="I1050" s="2" t="s">
        <v>5626</v>
      </c>
      <c r="J1050" s="2" t="s">
        <v>281</v>
      </c>
      <c r="K1050" s="2" t="s">
        <v>74</v>
      </c>
      <c r="L1050" s="2" t="s">
        <v>74</v>
      </c>
      <c r="M1050" s="2" t="s">
        <v>74</v>
      </c>
      <c r="N1050" s="2" t="s">
        <v>74</v>
      </c>
      <c r="O1050" s="2" t="s">
        <v>74</v>
      </c>
      <c r="P1050" s="2" t="s">
        <v>74</v>
      </c>
      <c r="Q1050" s="2" t="s">
        <v>74</v>
      </c>
      <c r="R1050" s="2" t="s">
        <v>74</v>
      </c>
      <c r="S1050" s="2" t="s">
        <v>74</v>
      </c>
      <c r="T1050" s="2" t="s">
        <v>74</v>
      </c>
      <c r="U1050" s="2" t="s">
        <v>74</v>
      </c>
      <c r="V1050" s="5" t="s">
        <v>5627</v>
      </c>
      <c r="W1050" s="2" t="s">
        <v>74</v>
      </c>
      <c r="X1050" s="2" t="s">
        <v>74</v>
      </c>
      <c r="Y1050" s="2" t="s">
        <v>74</v>
      </c>
      <c r="Z1050" s="2" t="s">
        <v>74</v>
      </c>
      <c r="AA1050" s="2" t="s">
        <v>74</v>
      </c>
      <c r="AB1050" s="2" t="s">
        <v>5628</v>
      </c>
      <c r="AC1050" s="2" t="s">
        <v>74</v>
      </c>
      <c r="AD1050" s="2" t="s">
        <v>74</v>
      </c>
      <c r="AE1050" s="2" t="s">
        <v>74</v>
      </c>
      <c r="AF1050" s="2" t="s">
        <v>74</v>
      </c>
      <c r="AG1050" s="2" t="s">
        <v>74</v>
      </c>
      <c r="AH1050" s="2" t="s">
        <v>74</v>
      </c>
      <c r="AI1050" s="2" t="s">
        <v>74</v>
      </c>
      <c r="AJ1050" s="2" t="s">
        <v>74</v>
      </c>
      <c r="AK1050" s="2" t="s">
        <v>74</v>
      </c>
      <c r="AL1050" s="2" t="s">
        <v>74</v>
      </c>
      <c r="AM1050" s="2" t="s">
        <v>74</v>
      </c>
      <c r="AN1050" s="2" t="s">
        <v>74</v>
      </c>
      <c r="AO1050" s="2" t="s">
        <v>285</v>
      </c>
      <c r="AP1050" s="2" t="s">
        <v>286</v>
      </c>
      <c r="AQ1050" s="2" t="s">
        <v>74</v>
      </c>
      <c r="AR1050" s="2" t="s">
        <v>74</v>
      </c>
      <c r="AS1050" s="2" t="s">
        <v>74</v>
      </c>
      <c r="AT1050" s="2" t="s">
        <v>964</v>
      </c>
      <c r="AU1050" s="2">
        <v>2022</v>
      </c>
      <c r="AV1050" s="2">
        <v>25</v>
      </c>
      <c r="AW1050" s="2">
        <v>1</v>
      </c>
      <c r="AX1050" s="2" t="s">
        <v>74</v>
      </c>
      <c r="AY1050" s="2" t="s">
        <v>74</v>
      </c>
      <c r="AZ1050" s="2" t="s">
        <v>74</v>
      </c>
      <c r="BA1050" s="2" t="s">
        <v>74</v>
      </c>
      <c r="BB1050" s="2">
        <v>205</v>
      </c>
      <c r="BC1050" s="2">
        <v>216</v>
      </c>
      <c r="BD1050" s="2" t="s">
        <v>74</v>
      </c>
      <c r="BE1050" s="2" t="s">
        <v>5629</v>
      </c>
      <c r="BF1050" s="2" t="str">
        <f>HYPERLINK("http://dx.doi.org/10.1007/s10071-021-01548-7","http://dx.doi.org/10.1007/s10071-021-01548-7")</f>
        <v>http://dx.doi.org/10.1007/s10071-021-01548-7</v>
      </c>
      <c r="BG1050" s="2" t="s">
        <v>74</v>
      </c>
      <c r="BH1050" s="2" t="s">
        <v>4990</v>
      </c>
      <c r="BI1050" s="2" t="s">
        <v>74</v>
      </c>
      <c r="BJ1050" s="2" t="s">
        <v>74</v>
      </c>
      <c r="BK1050" s="2" t="s">
        <v>74</v>
      </c>
      <c r="BL1050" s="2" t="s">
        <v>74</v>
      </c>
      <c r="BM1050" s="2" t="s">
        <v>74</v>
      </c>
      <c r="BN1050" s="2">
        <v>34383151</v>
      </c>
      <c r="BO1050" s="2" t="s">
        <v>74</v>
      </c>
      <c r="BP1050" s="2" t="s">
        <v>74</v>
      </c>
      <c r="BQ1050" s="2" t="s">
        <v>74</v>
      </c>
      <c r="BR1050" s="2" t="s">
        <v>74</v>
      </c>
      <c r="BS1050" s="2" t="s">
        <v>5630</v>
      </c>
      <c r="BT1050" s="2" t="str">
        <f>HYPERLINK("https%3A%2F%2Fwww.webofscience.com%2Fwos%2Fwoscc%2Ffull-record%2FWOS:000684460500001","View Full Record in Web of Science")</f>
        <v>View Full Record in Web of Science</v>
      </c>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row>
    <row r="1051" spans="1:314" s="2" customFormat="1" x14ac:dyDescent="0.4">
      <c r="A1051" s="2" t="s">
        <v>72</v>
      </c>
      <c r="B1051" s="2" t="s">
        <v>2100</v>
      </c>
      <c r="C1051" s="2" t="s">
        <v>74</v>
      </c>
      <c r="D1051" s="2" t="s">
        <v>74</v>
      </c>
      <c r="E1051" s="2" t="s">
        <v>74</v>
      </c>
      <c r="F1051" s="2" t="s">
        <v>2101</v>
      </c>
      <c r="G1051" s="2" t="s">
        <v>74</v>
      </c>
      <c r="H1051" s="2" t="s">
        <v>74</v>
      </c>
      <c r="I1051" s="2" t="s">
        <v>2102</v>
      </c>
      <c r="J1051" s="2" t="s">
        <v>2017</v>
      </c>
      <c r="K1051" s="2" t="s">
        <v>74</v>
      </c>
      <c r="L1051" s="2" t="s">
        <v>74</v>
      </c>
      <c r="M1051" s="2" t="s">
        <v>74</v>
      </c>
      <c r="N1051" s="2" t="s">
        <v>74</v>
      </c>
      <c r="O1051" s="2" t="s">
        <v>74</v>
      </c>
      <c r="P1051" s="2" t="s">
        <v>74</v>
      </c>
      <c r="Q1051" s="2" t="s">
        <v>74</v>
      </c>
      <c r="R1051" s="2" t="s">
        <v>74</v>
      </c>
      <c r="S1051" s="2" t="s">
        <v>74</v>
      </c>
      <c r="T1051" s="2" t="s">
        <v>74</v>
      </c>
      <c r="U1051" s="2" t="s">
        <v>74</v>
      </c>
      <c r="V1051" s="5" t="s">
        <v>2103</v>
      </c>
      <c r="W1051" s="2" t="s">
        <v>74</v>
      </c>
      <c r="X1051" s="2" t="s">
        <v>74</v>
      </c>
      <c r="Y1051" s="2" t="s">
        <v>74</v>
      </c>
      <c r="Z1051" s="2" t="s">
        <v>74</v>
      </c>
      <c r="AA1051" s="2" t="s">
        <v>2104</v>
      </c>
      <c r="AB1051" s="2" t="s">
        <v>2105</v>
      </c>
      <c r="AC1051" s="2" t="s">
        <v>74</v>
      </c>
      <c r="AD1051" s="2" t="s">
        <v>74</v>
      </c>
      <c r="AE1051" s="2" t="s">
        <v>74</v>
      </c>
      <c r="AF1051" s="2" t="s">
        <v>74</v>
      </c>
      <c r="AG1051" s="2" t="s">
        <v>74</v>
      </c>
      <c r="AH1051" s="2" t="s">
        <v>74</v>
      </c>
      <c r="AI1051" s="2" t="s">
        <v>74</v>
      </c>
      <c r="AJ1051" s="2" t="s">
        <v>74</v>
      </c>
      <c r="AK1051" s="2" t="s">
        <v>74</v>
      </c>
      <c r="AL1051" s="2" t="s">
        <v>74</v>
      </c>
      <c r="AM1051" s="2" t="s">
        <v>74</v>
      </c>
      <c r="AN1051" s="2" t="s">
        <v>74</v>
      </c>
      <c r="AO1051" s="2" t="s">
        <v>2021</v>
      </c>
      <c r="AP1051" s="2" t="s">
        <v>74</v>
      </c>
      <c r="AQ1051" s="2" t="s">
        <v>74</v>
      </c>
      <c r="AR1051" s="2" t="s">
        <v>74</v>
      </c>
      <c r="AS1051" s="2" t="s">
        <v>74</v>
      </c>
      <c r="AT1051" s="2" t="s">
        <v>1253</v>
      </c>
      <c r="AU1051" s="2">
        <v>2019</v>
      </c>
      <c r="AV1051" s="2">
        <v>7</v>
      </c>
      <c r="AW1051" s="2" t="s">
        <v>74</v>
      </c>
      <c r="AX1051" s="2" t="s">
        <v>74</v>
      </c>
      <c r="AY1051" s="2" t="s">
        <v>74</v>
      </c>
      <c r="AZ1051" s="2" t="s">
        <v>74</v>
      </c>
      <c r="BA1051" s="2" t="s">
        <v>74</v>
      </c>
      <c r="BB1051" s="2" t="s">
        <v>74</v>
      </c>
      <c r="BC1051" s="2" t="s">
        <v>74</v>
      </c>
      <c r="BD1051" s="2">
        <v>292</v>
      </c>
      <c r="BE1051" s="2" t="s">
        <v>2106</v>
      </c>
      <c r="BF1051" s="2" t="str">
        <f>HYPERLINK("http://dx.doi.org/10.3389/fevo.2019.00292","http://dx.doi.org/10.3389/fevo.2019.00292")</f>
        <v>http://dx.doi.org/10.3389/fevo.2019.00292</v>
      </c>
      <c r="BG1051" s="2" t="s">
        <v>74</v>
      </c>
      <c r="BH1051" s="2" t="s">
        <v>74</v>
      </c>
      <c r="BI1051" s="2" t="s">
        <v>74</v>
      </c>
      <c r="BJ1051" s="2" t="s">
        <v>74</v>
      </c>
      <c r="BK1051" s="2" t="s">
        <v>74</v>
      </c>
      <c r="BL1051" s="2" t="s">
        <v>74</v>
      </c>
      <c r="BM1051" s="2" t="s">
        <v>74</v>
      </c>
      <c r="BN1051" s="2" t="s">
        <v>74</v>
      </c>
      <c r="BO1051" s="2" t="s">
        <v>74</v>
      </c>
      <c r="BP1051" s="2" t="s">
        <v>74</v>
      </c>
      <c r="BQ1051" s="2" t="s">
        <v>74</v>
      </c>
      <c r="BR1051" s="2" t="s">
        <v>74</v>
      </c>
      <c r="BS1051" s="2" t="s">
        <v>2107</v>
      </c>
      <c r="BT1051" s="2" t="str">
        <f>HYPERLINK("https%3A%2F%2Fwww.webofscience.com%2Fwos%2Fwoscc%2Ffull-record%2FWOS:000479067400001","View Full Record in Web of Science")</f>
        <v>View Full Record in Web of Science</v>
      </c>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row>
    <row r="1052" spans="1:314" s="2" customFormat="1" x14ac:dyDescent="0.4">
      <c r="A1052" s="2" t="s">
        <v>72</v>
      </c>
      <c r="B1052" s="2" t="s">
        <v>3288</v>
      </c>
      <c r="C1052" s="2" t="s">
        <v>74</v>
      </c>
      <c r="D1052" s="2" t="s">
        <v>74</v>
      </c>
      <c r="E1052" s="2" t="s">
        <v>74</v>
      </c>
      <c r="F1052" s="2" t="s">
        <v>3289</v>
      </c>
      <c r="G1052" s="2" t="s">
        <v>74</v>
      </c>
      <c r="H1052" s="2" t="s">
        <v>74</v>
      </c>
      <c r="I1052" s="2" t="s">
        <v>3290</v>
      </c>
      <c r="J1052" s="2" t="s">
        <v>3291</v>
      </c>
      <c r="K1052" s="2" t="s">
        <v>74</v>
      </c>
      <c r="L1052" s="2" t="s">
        <v>74</v>
      </c>
      <c r="M1052" s="2" t="s">
        <v>74</v>
      </c>
      <c r="N1052" s="2" t="s">
        <v>74</v>
      </c>
      <c r="O1052" s="2" t="s">
        <v>74</v>
      </c>
      <c r="P1052" s="2" t="s">
        <v>74</v>
      </c>
      <c r="Q1052" s="2" t="s">
        <v>74</v>
      </c>
      <c r="R1052" s="2" t="s">
        <v>74</v>
      </c>
      <c r="S1052" s="2" t="s">
        <v>74</v>
      </c>
      <c r="T1052" s="2" t="s">
        <v>74</v>
      </c>
      <c r="U1052" s="2" t="s">
        <v>74</v>
      </c>
      <c r="V1052" s="5" t="s">
        <v>3292</v>
      </c>
      <c r="W1052" s="2" t="s">
        <v>74</v>
      </c>
      <c r="X1052" s="2" t="s">
        <v>74</v>
      </c>
      <c r="Y1052" s="2" t="s">
        <v>74</v>
      </c>
      <c r="Z1052" s="2" t="s">
        <v>74</v>
      </c>
      <c r="AA1052" s="2" t="s">
        <v>3293</v>
      </c>
      <c r="AB1052" s="2" t="s">
        <v>3294</v>
      </c>
      <c r="AC1052" s="2" t="s">
        <v>74</v>
      </c>
      <c r="AD1052" s="2" t="s">
        <v>74</v>
      </c>
      <c r="AE1052" s="2" t="s">
        <v>74</v>
      </c>
      <c r="AF1052" s="2" t="s">
        <v>74</v>
      </c>
      <c r="AG1052" s="2" t="s">
        <v>74</v>
      </c>
      <c r="AH1052" s="2" t="s">
        <v>74</v>
      </c>
      <c r="AI1052" s="2" t="s">
        <v>74</v>
      </c>
      <c r="AJ1052" s="2" t="s">
        <v>74</v>
      </c>
      <c r="AK1052" s="2" t="s">
        <v>74</v>
      </c>
      <c r="AL1052" s="2" t="s">
        <v>74</v>
      </c>
      <c r="AM1052" s="2" t="s">
        <v>74</v>
      </c>
      <c r="AN1052" s="2" t="s">
        <v>74</v>
      </c>
      <c r="AO1052" s="2" t="s">
        <v>3295</v>
      </c>
      <c r="AP1052" s="2" t="s">
        <v>74</v>
      </c>
      <c r="AQ1052" s="2" t="s">
        <v>74</v>
      </c>
      <c r="AR1052" s="2" t="s">
        <v>74</v>
      </c>
      <c r="AS1052" s="2" t="s">
        <v>74</v>
      </c>
      <c r="AT1052" s="2" t="s">
        <v>1641</v>
      </c>
      <c r="AU1052" s="2">
        <v>2013</v>
      </c>
      <c r="AV1052" s="2">
        <v>10</v>
      </c>
      <c r="AW1052" s="2" t="s">
        <v>74</v>
      </c>
      <c r="AX1052" s="2" t="s">
        <v>74</v>
      </c>
      <c r="AY1052" s="2" t="s">
        <v>74</v>
      </c>
      <c r="AZ1052" s="2" t="s">
        <v>74</v>
      </c>
      <c r="BA1052" s="2" t="s">
        <v>74</v>
      </c>
      <c r="BB1052" s="2" t="s">
        <v>74</v>
      </c>
      <c r="BC1052" s="2" t="s">
        <v>74</v>
      </c>
      <c r="BD1052" s="2">
        <v>25</v>
      </c>
      <c r="BE1052" s="2" t="s">
        <v>3296</v>
      </c>
      <c r="BF1052" s="2" t="str">
        <f>HYPERLINK("http://dx.doi.org/10.1186/1742-9994-10-25","http://dx.doi.org/10.1186/1742-9994-10-25")</f>
        <v>http://dx.doi.org/10.1186/1742-9994-10-25</v>
      </c>
      <c r="BG1052" s="2" t="s">
        <v>74</v>
      </c>
      <c r="BH1052" s="2" t="s">
        <v>74</v>
      </c>
      <c r="BI1052" s="2" t="s">
        <v>74</v>
      </c>
      <c r="BJ1052" s="2" t="s">
        <v>74</v>
      </c>
      <c r="BK1052" s="2" t="s">
        <v>74</v>
      </c>
      <c r="BL1052" s="2" t="s">
        <v>74</v>
      </c>
      <c r="BM1052" s="2" t="s">
        <v>74</v>
      </c>
      <c r="BN1052" s="2">
        <v>23663311</v>
      </c>
      <c r="BO1052" s="2" t="s">
        <v>74</v>
      </c>
      <c r="BP1052" s="2" t="s">
        <v>74</v>
      </c>
      <c r="BQ1052" s="2" t="s">
        <v>74</v>
      </c>
      <c r="BR1052" s="2" t="s">
        <v>74</v>
      </c>
      <c r="BS1052" s="2" t="s">
        <v>3297</v>
      </c>
      <c r="BT1052" s="2" t="str">
        <f>HYPERLINK("https%3A%2F%2Fwww.webofscience.com%2Fwos%2Fwoscc%2Ffull-record%2FWOS:000319151500001","View Full Record in Web of Science")</f>
        <v>View Full Record in Web of Science</v>
      </c>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row>
    <row r="1053" spans="1:314" s="2" customFormat="1" x14ac:dyDescent="0.4">
      <c r="A1053" s="2" t="s">
        <v>72</v>
      </c>
      <c r="B1053" s="2" t="s">
        <v>5442</v>
      </c>
      <c r="C1053" s="2" t="s">
        <v>74</v>
      </c>
      <c r="D1053" s="2" t="s">
        <v>74</v>
      </c>
      <c r="E1053" s="2" t="s">
        <v>74</v>
      </c>
      <c r="F1053" s="2" t="s">
        <v>5443</v>
      </c>
      <c r="G1053" s="2" t="s">
        <v>74</v>
      </c>
      <c r="H1053" s="2" t="s">
        <v>74</v>
      </c>
      <c r="I1053" s="2" t="s">
        <v>5444</v>
      </c>
      <c r="J1053" s="2" t="s">
        <v>333</v>
      </c>
      <c r="K1053" s="2" t="s">
        <v>74</v>
      </c>
      <c r="L1053" s="2" t="s">
        <v>74</v>
      </c>
      <c r="M1053" s="2" t="s">
        <v>74</v>
      </c>
      <c r="N1053" s="2" t="s">
        <v>74</v>
      </c>
      <c r="O1053" s="2" t="s">
        <v>74</v>
      </c>
      <c r="P1053" s="2" t="s">
        <v>74</v>
      </c>
      <c r="Q1053" s="2" t="s">
        <v>74</v>
      </c>
      <c r="R1053" s="2" t="s">
        <v>74</v>
      </c>
      <c r="S1053" s="2" t="s">
        <v>74</v>
      </c>
      <c r="T1053" s="2" t="s">
        <v>74</v>
      </c>
      <c r="U1053" s="2" t="s">
        <v>74</v>
      </c>
      <c r="V1053" s="5" t="s">
        <v>5445</v>
      </c>
      <c r="W1053" s="2" t="s">
        <v>74</v>
      </c>
      <c r="X1053" s="2" t="s">
        <v>74</v>
      </c>
      <c r="Y1053" s="2" t="s">
        <v>74</v>
      </c>
      <c r="Z1053" s="2" t="s">
        <v>74</v>
      </c>
      <c r="AA1053" s="2" t="s">
        <v>74</v>
      </c>
      <c r="AB1053" s="2" t="s">
        <v>74</v>
      </c>
      <c r="AC1053" s="2" t="s">
        <v>74</v>
      </c>
      <c r="AD1053" s="2" t="s">
        <v>74</v>
      </c>
      <c r="AE1053" s="2" t="s">
        <v>74</v>
      </c>
      <c r="AF1053" s="2" t="s">
        <v>74</v>
      </c>
      <c r="AG1053" s="2" t="s">
        <v>74</v>
      </c>
      <c r="AH1053" s="2" t="s">
        <v>74</v>
      </c>
      <c r="AI1053" s="2" t="s">
        <v>74</v>
      </c>
      <c r="AJ1053" s="2" t="s">
        <v>74</v>
      </c>
      <c r="AK1053" s="2" t="s">
        <v>74</v>
      </c>
      <c r="AL1053" s="2" t="s">
        <v>74</v>
      </c>
      <c r="AM1053" s="2" t="s">
        <v>74</v>
      </c>
      <c r="AN1053" s="2" t="s">
        <v>74</v>
      </c>
      <c r="AO1053" s="2" t="s">
        <v>337</v>
      </c>
      <c r="AP1053" s="2" t="s">
        <v>338</v>
      </c>
      <c r="AQ1053" s="2" t="s">
        <v>74</v>
      </c>
      <c r="AR1053" s="2" t="s">
        <v>74</v>
      </c>
      <c r="AS1053" s="2" t="s">
        <v>74</v>
      </c>
      <c r="AT1053" s="2" t="s">
        <v>1013</v>
      </c>
      <c r="AU1053" s="2">
        <v>2018</v>
      </c>
      <c r="AV1053" s="2">
        <v>29</v>
      </c>
      <c r="AW1053" s="2">
        <v>5</v>
      </c>
      <c r="AX1053" s="2" t="s">
        <v>74</v>
      </c>
      <c r="AY1053" s="2" t="s">
        <v>74</v>
      </c>
      <c r="AZ1053" s="2" t="s">
        <v>74</v>
      </c>
      <c r="BA1053" s="2" t="s">
        <v>74</v>
      </c>
      <c r="BB1053" s="2">
        <v>1046</v>
      </c>
      <c r="BC1053" s="2">
        <v>1055</v>
      </c>
      <c r="BD1053" s="2" t="s">
        <v>74</v>
      </c>
      <c r="BE1053" s="2" t="s">
        <v>5446</v>
      </c>
      <c r="BF1053" s="2" t="str">
        <f>HYPERLINK("http://dx.doi.org/10.1093/beheco/ary078","http://dx.doi.org/10.1093/beheco/ary078")</f>
        <v>http://dx.doi.org/10.1093/beheco/ary078</v>
      </c>
      <c r="BG1053" s="2" t="s">
        <v>74</v>
      </c>
      <c r="BH1053" s="2" t="s">
        <v>74</v>
      </c>
      <c r="BI1053" s="2" t="s">
        <v>74</v>
      </c>
      <c r="BJ1053" s="2" t="s">
        <v>74</v>
      </c>
      <c r="BK1053" s="2" t="s">
        <v>74</v>
      </c>
      <c r="BL1053" s="2" t="s">
        <v>74</v>
      </c>
      <c r="BM1053" s="2" t="s">
        <v>74</v>
      </c>
      <c r="BN1053" s="2" t="s">
        <v>74</v>
      </c>
      <c r="BO1053" s="2" t="s">
        <v>74</v>
      </c>
      <c r="BP1053" s="2" t="s">
        <v>74</v>
      </c>
      <c r="BQ1053" s="2" t="s">
        <v>74</v>
      </c>
      <c r="BR1053" s="2" t="s">
        <v>74</v>
      </c>
      <c r="BS1053" s="2" t="s">
        <v>5447</v>
      </c>
      <c r="BT1053" s="2" t="str">
        <f>HYPERLINK("https%3A%2F%2Fwww.webofscience.com%2Fwos%2Fwoscc%2Ffull-record%2FWOS:000444301900012","View Full Record in Web of Science")</f>
        <v>View Full Record in Web of Science</v>
      </c>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row>
    <row r="1054" spans="1:314" s="2" customFormat="1" x14ac:dyDescent="0.4">
      <c r="A1054" s="2" t="s">
        <v>72</v>
      </c>
      <c r="B1054" s="2" t="s">
        <v>7257</v>
      </c>
      <c r="C1054" s="2" t="s">
        <v>74</v>
      </c>
      <c r="D1054" s="2" t="s">
        <v>74</v>
      </c>
      <c r="E1054" s="2" t="s">
        <v>74</v>
      </c>
      <c r="F1054" s="2" t="s">
        <v>7257</v>
      </c>
      <c r="G1054" s="2" t="s">
        <v>74</v>
      </c>
      <c r="H1054" s="2" t="s">
        <v>74</v>
      </c>
      <c r="I1054" s="2" t="s">
        <v>7258</v>
      </c>
      <c r="J1054" s="2" t="s">
        <v>5577</v>
      </c>
      <c r="K1054" s="2" t="s">
        <v>74</v>
      </c>
      <c r="L1054" s="2" t="s">
        <v>74</v>
      </c>
      <c r="M1054" s="2" t="s">
        <v>74</v>
      </c>
      <c r="N1054" s="2" t="s">
        <v>74</v>
      </c>
      <c r="O1054" s="2" t="s">
        <v>74</v>
      </c>
      <c r="P1054" s="2" t="s">
        <v>74</v>
      </c>
      <c r="Q1054" s="2" t="s">
        <v>74</v>
      </c>
      <c r="R1054" s="2" t="s">
        <v>74</v>
      </c>
      <c r="S1054" s="2" t="s">
        <v>74</v>
      </c>
      <c r="T1054" s="2" t="s">
        <v>74</v>
      </c>
      <c r="U1054" s="2" t="s">
        <v>74</v>
      </c>
      <c r="V1054" s="5" t="s">
        <v>7259</v>
      </c>
      <c r="W1054" s="2" t="s">
        <v>74</v>
      </c>
      <c r="X1054" s="2" t="s">
        <v>74</v>
      </c>
      <c r="Y1054" s="2" t="s">
        <v>74</v>
      </c>
      <c r="Z1054" s="2" t="s">
        <v>74</v>
      </c>
      <c r="AA1054" s="2" t="s">
        <v>7260</v>
      </c>
      <c r="AB1054" s="2" t="s">
        <v>74</v>
      </c>
      <c r="AC1054" s="2" t="s">
        <v>74</v>
      </c>
      <c r="AD1054" s="2" t="s">
        <v>74</v>
      </c>
      <c r="AE1054" s="2" t="s">
        <v>74</v>
      </c>
      <c r="AF1054" s="2" t="s">
        <v>74</v>
      </c>
      <c r="AG1054" s="2" t="s">
        <v>74</v>
      </c>
      <c r="AH1054" s="2" t="s">
        <v>74</v>
      </c>
      <c r="AI1054" s="2" t="s">
        <v>74</v>
      </c>
      <c r="AJ1054" s="2" t="s">
        <v>74</v>
      </c>
      <c r="AK1054" s="2" t="s">
        <v>74</v>
      </c>
      <c r="AL1054" s="2" t="s">
        <v>74</v>
      </c>
      <c r="AM1054" s="2" t="s">
        <v>74</v>
      </c>
      <c r="AN1054" s="2" t="s">
        <v>74</v>
      </c>
      <c r="AO1054" s="2" t="s">
        <v>5579</v>
      </c>
      <c r="AP1054" s="2" t="s">
        <v>74</v>
      </c>
      <c r="AQ1054" s="2" t="s">
        <v>74</v>
      </c>
      <c r="AR1054" s="2" t="s">
        <v>74</v>
      </c>
      <c r="AS1054" s="2" t="s">
        <v>74</v>
      </c>
      <c r="AT1054" s="2" t="s">
        <v>145</v>
      </c>
      <c r="AU1054" s="2">
        <v>2002</v>
      </c>
      <c r="AV1054" s="2">
        <v>81</v>
      </c>
      <c r="AW1054" s="2">
        <v>8</v>
      </c>
      <c r="AX1054" s="2" t="s">
        <v>74</v>
      </c>
      <c r="AY1054" s="2" t="s">
        <v>74</v>
      </c>
      <c r="AZ1054" s="2" t="s">
        <v>74</v>
      </c>
      <c r="BA1054" s="2" t="s">
        <v>74</v>
      </c>
      <c r="BB1054" s="2">
        <v>970</v>
      </c>
      <c r="BC1054" s="2">
        <v>977</v>
      </c>
      <c r="BD1054" s="2" t="s">
        <v>74</v>
      </c>
      <c r="BE1054" s="2" t="s">
        <v>74</v>
      </c>
      <c r="BF1054" s="2" t="s">
        <v>74</v>
      </c>
      <c r="BG1054" s="2" t="s">
        <v>74</v>
      </c>
      <c r="BH1054" s="2" t="s">
        <v>74</v>
      </c>
      <c r="BI1054" s="2" t="s">
        <v>74</v>
      </c>
      <c r="BJ1054" s="2" t="s">
        <v>74</v>
      </c>
      <c r="BK1054" s="2" t="s">
        <v>74</v>
      </c>
      <c r="BL1054" s="2" t="s">
        <v>74</v>
      </c>
      <c r="BM1054" s="2" t="s">
        <v>74</v>
      </c>
      <c r="BN1054" s="2" t="s">
        <v>74</v>
      </c>
      <c r="BO1054" s="2" t="s">
        <v>74</v>
      </c>
      <c r="BP1054" s="2" t="s">
        <v>74</v>
      </c>
      <c r="BQ1054" s="2" t="s">
        <v>74</v>
      </c>
      <c r="BR1054" s="2" t="s">
        <v>74</v>
      </c>
      <c r="BS1054" s="2" t="s">
        <v>7261</v>
      </c>
      <c r="BT1054" s="2" t="str">
        <f>HYPERLINK("https%3A%2F%2Fwww.webofscience.com%2Fwos%2Fwoscc%2Ffull-record%2FWOS:000178048000009","View Full Record in Web of Science")</f>
        <v>View Full Record in Web of Science</v>
      </c>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row>
    <row r="1055" spans="1:314" s="2" customFormat="1" x14ac:dyDescent="0.4">
      <c r="A1055" s="2" t="s">
        <v>72</v>
      </c>
      <c r="B1055" s="2" t="s">
        <v>389</v>
      </c>
      <c r="C1055" s="2" t="s">
        <v>74</v>
      </c>
      <c r="D1055" s="2" t="s">
        <v>74</v>
      </c>
      <c r="E1055" s="2" t="s">
        <v>74</v>
      </c>
      <c r="F1055" s="2" t="s">
        <v>389</v>
      </c>
      <c r="G1055" s="2" t="s">
        <v>74</v>
      </c>
      <c r="H1055" s="2" t="s">
        <v>74</v>
      </c>
      <c r="I1055" s="2" t="s">
        <v>390</v>
      </c>
      <c r="J1055" s="2" t="s">
        <v>151</v>
      </c>
      <c r="K1055" s="2" t="s">
        <v>74</v>
      </c>
      <c r="L1055" s="2" t="s">
        <v>74</v>
      </c>
      <c r="M1055" s="2" t="s">
        <v>74</v>
      </c>
      <c r="N1055" s="2" t="s">
        <v>74</v>
      </c>
      <c r="O1055" s="2" t="s">
        <v>74</v>
      </c>
      <c r="P1055" s="2" t="s">
        <v>74</v>
      </c>
      <c r="Q1055" s="2" t="s">
        <v>74</v>
      </c>
      <c r="R1055" s="2" t="s">
        <v>74</v>
      </c>
      <c r="S1055" s="2" t="s">
        <v>74</v>
      </c>
      <c r="T1055" s="2" t="s">
        <v>74</v>
      </c>
      <c r="U1055" s="2" t="s">
        <v>74</v>
      </c>
      <c r="V1055" s="5" t="s">
        <v>391</v>
      </c>
      <c r="W1055" s="2" t="s">
        <v>74</v>
      </c>
      <c r="X1055" s="2" t="s">
        <v>74</v>
      </c>
      <c r="Y1055" s="2" t="s">
        <v>74</v>
      </c>
      <c r="Z1055" s="2" t="s">
        <v>74</v>
      </c>
      <c r="AA1055" s="2" t="s">
        <v>74</v>
      </c>
      <c r="AB1055" s="2" t="s">
        <v>74</v>
      </c>
      <c r="AC1055" s="2" t="s">
        <v>74</v>
      </c>
      <c r="AD1055" s="2" t="s">
        <v>74</v>
      </c>
      <c r="AE1055" s="2" t="s">
        <v>74</v>
      </c>
      <c r="AF1055" s="2" t="s">
        <v>74</v>
      </c>
      <c r="AG1055" s="2" t="s">
        <v>74</v>
      </c>
      <c r="AH1055" s="2" t="s">
        <v>74</v>
      </c>
      <c r="AI1055" s="2" t="s">
        <v>74</v>
      </c>
      <c r="AJ1055" s="2" t="s">
        <v>74</v>
      </c>
      <c r="AK1055" s="2" t="s">
        <v>74</v>
      </c>
      <c r="AL1055" s="2" t="s">
        <v>74</v>
      </c>
      <c r="AM1055" s="2" t="s">
        <v>74</v>
      </c>
      <c r="AN1055" s="2" t="s">
        <v>74</v>
      </c>
      <c r="AO1055" s="2" t="s">
        <v>155</v>
      </c>
      <c r="AP1055" s="2" t="s">
        <v>74</v>
      </c>
      <c r="AQ1055" s="2" t="s">
        <v>74</v>
      </c>
      <c r="AR1055" s="2" t="s">
        <v>74</v>
      </c>
      <c r="AS1055" s="2" t="s">
        <v>74</v>
      </c>
      <c r="AT1055" s="2" t="s">
        <v>74</v>
      </c>
      <c r="AU1055" s="2">
        <v>2003</v>
      </c>
      <c r="AV1055" s="2">
        <v>247</v>
      </c>
      <c r="AW1055" s="2" t="s">
        <v>74</v>
      </c>
      <c r="AX1055" s="2" t="s">
        <v>74</v>
      </c>
      <c r="AY1055" s="2" t="s">
        <v>74</v>
      </c>
      <c r="AZ1055" s="2" t="s">
        <v>74</v>
      </c>
      <c r="BA1055" s="2" t="s">
        <v>74</v>
      </c>
      <c r="BB1055" s="2">
        <v>85</v>
      </c>
      <c r="BC1055" s="2">
        <v>92</v>
      </c>
      <c r="BD1055" s="2" t="s">
        <v>74</v>
      </c>
      <c r="BE1055" s="2" t="s">
        <v>392</v>
      </c>
      <c r="BF1055" s="2" t="str">
        <f>HYPERLINK("http://dx.doi.org/10.3354/meps247085","http://dx.doi.org/10.3354/meps247085")</f>
        <v>http://dx.doi.org/10.3354/meps247085</v>
      </c>
      <c r="BG1055" s="2" t="s">
        <v>74</v>
      </c>
      <c r="BH1055" s="2" t="s">
        <v>74</v>
      </c>
      <c r="BI1055" s="2" t="s">
        <v>74</v>
      </c>
      <c r="BJ1055" s="2" t="s">
        <v>74</v>
      </c>
      <c r="BK1055" s="2" t="s">
        <v>74</v>
      </c>
      <c r="BL1055" s="2" t="s">
        <v>74</v>
      </c>
      <c r="BM1055" s="2" t="s">
        <v>74</v>
      </c>
      <c r="BN1055" s="2" t="s">
        <v>74</v>
      </c>
      <c r="BO1055" s="2" t="s">
        <v>74</v>
      </c>
      <c r="BP1055" s="2" t="s">
        <v>74</v>
      </c>
      <c r="BQ1055" s="2" t="s">
        <v>74</v>
      </c>
      <c r="BR1055" s="2" t="s">
        <v>74</v>
      </c>
      <c r="BS1055" s="2" t="s">
        <v>393</v>
      </c>
      <c r="BT1055" s="2" t="str">
        <f>HYPERLINK("https%3A%2F%2Fwww.webofscience.com%2Fwos%2Fwoscc%2Ffull-record%2FWOS:000181318700008","View Full Record in Web of Science")</f>
        <v>View Full Record in Web of Science</v>
      </c>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row>
    <row r="1056" spans="1:314" s="2" customFormat="1" x14ac:dyDescent="0.4">
      <c r="A1056" s="2" t="s">
        <v>72</v>
      </c>
      <c r="B1056" s="2" t="s">
        <v>669</v>
      </c>
      <c r="C1056" s="2" t="s">
        <v>74</v>
      </c>
      <c r="D1056" s="2" t="s">
        <v>74</v>
      </c>
      <c r="E1056" s="2" t="s">
        <v>74</v>
      </c>
      <c r="F1056" s="2" t="s">
        <v>670</v>
      </c>
      <c r="G1056" s="2" t="s">
        <v>74</v>
      </c>
      <c r="H1056" s="2" t="s">
        <v>74</v>
      </c>
      <c r="I1056" s="2" t="s">
        <v>671</v>
      </c>
      <c r="J1056" s="2" t="s">
        <v>218</v>
      </c>
      <c r="K1056" s="2" t="s">
        <v>74</v>
      </c>
      <c r="L1056" s="2" t="s">
        <v>74</v>
      </c>
      <c r="M1056" s="2" t="s">
        <v>74</v>
      </c>
      <c r="N1056" s="2" t="s">
        <v>74</v>
      </c>
      <c r="O1056" s="2" t="s">
        <v>74</v>
      </c>
      <c r="P1056" s="2" t="s">
        <v>74</v>
      </c>
      <c r="Q1056" s="2" t="s">
        <v>74</v>
      </c>
      <c r="R1056" s="2" t="s">
        <v>74</v>
      </c>
      <c r="S1056" s="2" t="s">
        <v>74</v>
      </c>
      <c r="T1056" s="2" t="s">
        <v>74</v>
      </c>
      <c r="U1056" s="2" t="s">
        <v>74</v>
      </c>
      <c r="V1056" s="5" t="s">
        <v>672</v>
      </c>
      <c r="W1056" s="2" t="s">
        <v>74</v>
      </c>
      <c r="X1056" s="2" t="s">
        <v>74</v>
      </c>
      <c r="Y1056" s="2" t="s">
        <v>74</v>
      </c>
      <c r="Z1056" s="2" t="s">
        <v>74</v>
      </c>
      <c r="AA1056" s="2" t="s">
        <v>74</v>
      </c>
      <c r="AB1056" s="2" t="s">
        <v>673</v>
      </c>
      <c r="AC1056" s="2" t="s">
        <v>74</v>
      </c>
      <c r="AD1056" s="2" t="s">
        <v>74</v>
      </c>
      <c r="AE1056" s="2" t="s">
        <v>74</v>
      </c>
      <c r="AF1056" s="2" t="s">
        <v>74</v>
      </c>
      <c r="AG1056" s="2" t="s">
        <v>74</v>
      </c>
      <c r="AH1056" s="2" t="s">
        <v>74</v>
      </c>
      <c r="AI1056" s="2" t="s">
        <v>74</v>
      </c>
      <c r="AJ1056" s="2" t="s">
        <v>74</v>
      </c>
      <c r="AK1056" s="2" t="s">
        <v>74</v>
      </c>
      <c r="AL1056" s="2" t="s">
        <v>74</v>
      </c>
      <c r="AM1056" s="2" t="s">
        <v>74</v>
      </c>
      <c r="AN1056" s="2" t="s">
        <v>74</v>
      </c>
      <c r="AO1056" s="2" t="s">
        <v>221</v>
      </c>
      <c r="AP1056" s="2" t="s">
        <v>222</v>
      </c>
      <c r="AQ1056" s="2" t="s">
        <v>74</v>
      </c>
      <c r="AR1056" s="2" t="s">
        <v>74</v>
      </c>
      <c r="AS1056" s="2" t="s">
        <v>74</v>
      </c>
      <c r="AT1056" s="2" t="s">
        <v>213</v>
      </c>
      <c r="AU1056" s="2">
        <v>2021</v>
      </c>
      <c r="AV1056" s="2">
        <v>34</v>
      </c>
      <c r="AW1056" s="2">
        <v>11</v>
      </c>
      <c r="AX1056" s="2" t="s">
        <v>74</v>
      </c>
      <c r="AY1056" s="2" t="s">
        <v>74</v>
      </c>
      <c r="AZ1056" s="2" t="s">
        <v>74</v>
      </c>
      <c r="BA1056" s="2" t="s">
        <v>74</v>
      </c>
      <c r="BB1056" s="2">
        <v>1678</v>
      </c>
      <c r="BC1056" s="2">
        <v>1690</v>
      </c>
      <c r="BD1056" s="2" t="s">
        <v>74</v>
      </c>
      <c r="BE1056" s="2" t="s">
        <v>674</v>
      </c>
      <c r="BF1056" s="2" t="str">
        <f>HYPERLINK("http://dx.doi.org/10.1111/jeb.13929","http://dx.doi.org/10.1111/jeb.13929")</f>
        <v>http://dx.doi.org/10.1111/jeb.13929</v>
      </c>
      <c r="BG1056" s="2" t="s">
        <v>74</v>
      </c>
      <c r="BH1056" s="2" t="s">
        <v>675</v>
      </c>
      <c r="BI1056" s="2" t="s">
        <v>74</v>
      </c>
      <c r="BJ1056" s="2" t="s">
        <v>74</v>
      </c>
      <c r="BK1056" s="2" t="s">
        <v>74</v>
      </c>
      <c r="BL1056" s="2" t="s">
        <v>74</v>
      </c>
      <c r="BM1056" s="2" t="s">
        <v>74</v>
      </c>
      <c r="BN1056" s="2">
        <v>34528321</v>
      </c>
      <c r="BO1056" s="2" t="s">
        <v>74</v>
      </c>
      <c r="BP1056" s="2" t="s">
        <v>74</v>
      </c>
      <c r="BQ1056" s="2" t="s">
        <v>74</v>
      </c>
      <c r="BR1056" s="2" t="s">
        <v>74</v>
      </c>
      <c r="BS1056" s="2" t="s">
        <v>676</v>
      </c>
      <c r="BT1056" s="2" t="str">
        <f>HYPERLINK("https%3A%2F%2Fwww.webofscience.com%2Fwos%2Fwoscc%2Ffull-record%2FWOS:000698957000001","View Full Record in Web of Science")</f>
        <v>View Full Record in Web of Science</v>
      </c>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row>
    <row r="1057" spans="1:314" s="2" customFormat="1" x14ac:dyDescent="0.4">
      <c r="A1057" s="2" t="s">
        <v>72</v>
      </c>
      <c r="B1057" s="2" t="s">
        <v>2364</v>
      </c>
      <c r="C1057" s="2" t="s">
        <v>74</v>
      </c>
      <c r="D1057" s="2" t="s">
        <v>74</v>
      </c>
      <c r="E1057" s="2" t="s">
        <v>74</v>
      </c>
      <c r="F1057" s="2" t="s">
        <v>2365</v>
      </c>
      <c r="G1057" s="2" t="s">
        <v>74</v>
      </c>
      <c r="H1057" s="2" t="s">
        <v>74</v>
      </c>
      <c r="I1057" s="2" t="s">
        <v>2366</v>
      </c>
      <c r="J1057" s="2" t="s">
        <v>408</v>
      </c>
      <c r="K1057" s="2" t="s">
        <v>74</v>
      </c>
      <c r="L1057" s="2" t="s">
        <v>74</v>
      </c>
      <c r="M1057" s="2" t="s">
        <v>74</v>
      </c>
      <c r="N1057" s="2" t="s">
        <v>74</v>
      </c>
      <c r="O1057" s="2" t="s">
        <v>74</v>
      </c>
      <c r="P1057" s="2" t="s">
        <v>74</v>
      </c>
      <c r="Q1057" s="2" t="s">
        <v>74</v>
      </c>
      <c r="R1057" s="2" t="s">
        <v>74</v>
      </c>
      <c r="S1057" s="2" t="s">
        <v>74</v>
      </c>
      <c r="T1057" s="2" t="s">
        <v>74</v>
      </c>
      <c r="U1057" s="2" t="s">
        <v>74</v>
      </c>
      <c r="V1057" s="5" t="s">
        <v>2367</v>
      </c>
      <c r="W1057" s="2" t="s">
        <v>74</v>
      </c>
      <c r="X1057" s="2" t="s">
        <v>74</v>
      </c>
      <c r="Y1057" s="2" t="s">
        <v>74</v>
      </c>
      <c r="Z1057" s="2" t="s">
        <v>74</v>
      </c>
      <c r="AA1057" s="2" t="s">
        <v>74</v>
      </c>
      <c r="AB1057" s="2" t="s">
        <v>2368</v>
      </c>
      <c r="AC1057" s="2" t="s">
        <v>74</v>
      </c>
      <c r="AD1057" s="2" t="s">
        <v>74</v>
      </c>
      <c r="AE1057" s="2" t="s">
        <v>74</v>
      </c>
      <c r="AF1057" s="2" t="s">
        <v>74</v>
      </c>
      <c r="AG1057" s="2" t="s">
        <v>74</v>
      </c>
      <c r="AH1057" s="2" t="s">
        <v>74</v>
      </c>
      <c r="AI1057" s="2" t="s">
        <v>74</v>
      </c>
      <c r="AJ1057" s="2" t="s">
        <v>74</v>
      </c>
      <c r="AK1057" s="2" t="s">
        <v>74</v>
      </c>
      <c r="AL1057" s="2" t="s">
        <v>74</v>
      </c>
      <c r="AM1057" s="2" t="s">
        <v>74</v>
      </c>
      <c r="AN1057" s="2" t="s">
        <v>74</v>
      </c>
      <c r="AO1057" s="2" t="s">
        <v>412</v>
      </c>
      <c r="AP1057" s="2" t="s">
        <v>413</v>
      </c>
      <c r="AQ1057" s="2" t="s">
        <v>74</v>
      </c>
      <c r="AR1057" s="2" t="s">
        <v>74</v>
      </c>
      <c r="AS1057" s="2" t="s">
        <v>74</v>
      </c>
      <c r="AT1057" s="2" t="s">
        <v>352</v>
      </c>
      <c r="AU1057" s="2">
        <v>2013</v>
      </c>
      <c r="AV1057" s="2">
        <v>110</v>
      </c>
      <c r="AW1057" s="2">
        <v>1</v>
      </c>
      <c r="AX1057" s="2" t="s">
        <v>74</v>
      </c>
      <c r="AY1057" s="2" t="s">
        <v>74</v>
      </c>
      <c r="AZ1057" s="2" t="s">
        <v>74</v>
      </c>
      <c r="BA1057" s="2" t="s">
        <v>74</v>
      </c>
      <c r="BB1057" s="2">
        <v>180</v>
      </c>
      <c r="BC1057" s="2">
        <v>188</v>
      </c>
      <c r="BD1057" s="2" t="s">
        <v>74</v>
      </c>
      <c r="BE1057" s="2" t="s">
        <v>2369</v>
      </c>
      <c r="BF1057" s="2" t="str">
        <f>HYPERLINK("http://dx.doi.org/10.1111/bij.12105","http://dx.doi.org/10.1111/bij.12105")</f>
        <v>http://dx.doi.org/10.1111/bij.12105</v>
      </c>
      <c r="BG1057" s="2" t="s">
        <v>74</v>
      </c>
      <c r="BH1057" s="2" t="s">
        <v>74</v>
      </c>
      <c r="BI1057" s="2" t="s">
        <v>74</v>
      </c>
      <c r="BJ1057" s="2" t="s">
        <v>74</v>
      </c>
      <c r="BK1057" s="2" t="s">
        <v>74</v>
      </c>
      <c r="BL1057" s="2" t="s">
        <v>74</v>
      </c>
      <c r="BM1057" s="2" t="s">
        <v>74</v>
      </c>
      <c r="BN1057" s="2" t="s">
        <v>74</v>
      </c>
      <c r="BO1057" s="2" t="s">
        <v>74</v>
      </c>
      <c r="BP1057" s="2" t="s">
        <v>74</v>
      </c>
      <c r="BQ1057" s="2" t="s">
        <v>74</v>
      </c>
      <c r="BR1057" s="2" t="s">
        <v>74</v>
      </c>
      <c r="BS1057" s="2" t="s">
        <v>2370</v>
      </c>
      <c r="BT1057" s="2" t="str">
        <f>HYPERLINK("https%3A%2F%2Fwww.webofscience.com%2Fwos%2Fwoscc%2Ffull-record%2FWOS:000323040200013","View Full Record in Web of Science")</f>
        <v>View Full Record in Web of Science</v>
      </c>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row>
    <row r="1058" spans="1:314" s="2" customFormat="1" x14ac:dyDescent="0.4">
      <c r="A1058" s="2" t="s">
        <v>72</v>
      </c>
      <c r="B1058" s="2" t="s">
        <v>4041</v>
      </c>
      <c r="C1058" s="2" t="s">
        <v>74</v>
      </c>
      <c r="D1058" s="2" t="s">
        <v>74</v>
      </c>
      <c r="E1058" s="2" t="s">
        <v>74</v>
      </c>
      <c r="F1058" s="2" t="s">
        <v>4042</v>
      </c>
      <c r="G1058" s="2" t="s">
        <v>74</v>
      </c>
      <c r="H1058" s="2" t="s">
        <v>74</v>
      </c>
      <c r="I1058" s="2" t="s">
        <v>4043</v>
      </c>
      <c r="J1058" s="2" t="s">
        <v>129</v>
      </c>
      <c r="K1058" s="2" t="s">
        <v>74</v>
      </c>
      <c r="L1058" s="2" t="s">
        <v>74</v>
      </c>
      <c r="M1058" s="2" t="s">
        <v>74</v>
      </c>
      <c r="N1058" s="2" t="s">
        <v>74</v>
      </c>
      <c r="O1058" s="2" t="s">
        <v>74</v>
      </c>
      <c r="P1058" s="2" t="s">
        <v>74</v>
      </c>
      <c r="Q1058" s="2" t="s">
        <v>74</v>
      </c>
      <c r="R1058" s="2" t="s">
        <v>74</v>
      </c>
      <c r="S1058" s="2" t="s">
        <v>74</v>
      </c>
      <c r="T1058" s="2" t="s">
        <v>74</v>
      </c>
      <c r="U1058" s="2" t="s">
        <v>74</v>
      </c>
      <c r="V1058" s="5" t="s">
        <v>4044</v>
      </c>
      <c r="W1058" s="2" t="s">
        <v>74</v>
      </c>
      <c r="X1058" s="2" t="s">
        <v>74</v>
      </c>
      <c r="Y1058" s="2" t="s">
        <v>74</v>
      </c>
      <c r="Z1058" s="2" t="s">
        <v>74</v>
      </c>
      <c r="AA1058" s="2" t="s">
        <v>74</v>
      </c>
      <c r="AB1058" s="2" t="s">
        <v>74</v>
      </c>
      <c r="AC1058" s="2" t="s">
        <v>74</v>
      </c>
      <c r="AD1058" s="2" t="s">
        <v>74</v>
      </c>
      <c r="AE1058" s="2" t="s">
        <v>74</v>
      </c>
      <c r="AF1058" s="2" t="s">
        <v>74</v>
      </c>
      <c r="AG1058" s="2" t="s">
        <v>74</v>
      </c>
      <c r="AH1058" s="2" t="s">
        <v>74</v>
      </c>
      <c r="AI1058" s="2" t="s">
        <v>74</v>
      </c>
      <c r="AJ1058" s="2" t="s">
        <v>74</v>
      </c>
      <c r="AK1058" s="2" t="s">
        <v>74</v>
      </c>
      <c r="AL1058" s="2" t="s">
        <v>74</v>
      </c>
      <c r="AM1058" s="2" t="s">
        <v>74</v>
      </c>
      <c r="AN1058" s="2" t="s">
        <v>74</v>
      </c>
      <c r="AO1058" s="2" t="s">
        <v>132</v>
      </c>
      <c r="AP1058" s="2" t="s">
        <v>133</v>
      </c>
      <c r="AQ1058" s="2" t="s">
        <v>74</v>
      </c>
      <c r="AR1058" s="2" t="s">
        <v>74</v>
      </c>
      <c r="AS1058" s="2" t="s">
        <v>74</v>
      </c>
      <c r="AT1058" s="2" t="s">
        <v>123</v>
      </c>
      <c r="AU1058" s="2">
        <v>2024</v>
      </c>
      <c r="AV1058" s="2">
        <v>78</v>
      </c>
      <c r="AW1058" s="2">
        <v>3</v>
      </c>
      <c r="AX1058" s="2" t="s">
        <v>74</v>
      </c>
      <c r="AY1058" s="2" t="s">
        <v>74</v>
      </c>
      <c r="AZ1058" s="2" t="s">
        <v>74</v>
      </c>
      <c r="BA1058" s="2" t="s">
        <v>74</v>
      </c>
      <c r="BB1058" s="2" t="s">
        <v>74</v>
      </c>
      <c r="BC1058" s="2" t="s">
        <v>74</v>
      </c>
      <c r="BD1058" s="2">
        <v>43</v>
      </c>
      <c r="BE1058" s="2" t="s">
        <v>4045</v>
      </c>
      <c r="BF1058" s="2" t="str">
        <f>HYPERLINK("http://dx.doi.org/10.1007/s00265-024-03453-8","http://dx.doi.org/10.1007/s00265-024-03453-8")</f>
        <v>http://dx.doi.org/10.1007/s00265-024-03453-8</v>
      </c>
      <c r="BG1058" s="2" t="s">
        <v>74</v>
      </c>
      <c r="BH1058" s="2" t="s">
        <v>74</v>
      </c>
      <c r="BI1058" s="2" t="s">
        <v>74</v>
      </c>
      <c r="BJ1058" s="2" t="s">
        <v>74</v>
      </c>
      <c r="BK1058" s="2" t="s">
        <v>74</v>
      </c>
      <c r="BL1058" s="2" t="s">
        <v>74</v>
      </c>
      <c r="BM1058" s="2" t="s">
        <v>74</v>
      </c>
      <c r="BN1058" s="2" t="s">
        <v>74</v>
      </c>
      <c r="BO1058" s="2" t="s">
        <v>74</v>
      </c>
      <c r="BP1058" s="2" t="s">
        <v>74</v>
      </c>
      <c r="BQ1058" s="2" t="s">
        <v>74</v>
      </c>
      <c r="BR1058" s="2" t="s">
        <v>74</v>
      </c>
      <c r="BS1058" s="2" t="s">
        <v>4046</v>
      </c>
      <c r="BT1058" s="2" t="str">
        <f>HYPERLINK("https%3A%2F%2Fwww.webofscience.com%2Fwos%2Fwoscc%2Ffull-record%2FWOS:001190569600001","View Full Record in Web of Science")</f>
        <v>View Full Record in Web of Science</v>
      </c>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row>
    <row r="1059" spans="1:314" s="2" customFormat="1" x14ac:dyDescent="0.4">
      <c r="A1059" s="2" t="s">
        <v>72</v>
      </c>
      <c r="B1059" s="2" t="s">
        <v>5262</v>
      </c>
      <c r="C1059" s="2" t="s">
        <v>74</v>
      </c>
      <c r="D1059" s="2" t="s">
        <v>74</v>
      </c>
      <c r="E1059" s="2" t="s">
        <v>74</v>
      </c>
      <c r="F1059" s="2" t="s">
        <v>5263</v>
      </c>
      <c r="G1059" s="2" t="s">
        <v>74</v>
      </c>
      <c r="H1059" s="2" t="s">
        <v>74</v>
      </c>
      <c r="I1059" s="2" t="s">
        <v>5264</v>
      </c>
      <c r="J1059" s="2" t="s">
        <v>5265</v>
      </c>
      <c r="K1059" s="2" t="s">
        <v>74</v>
      </c>
      <c r="L1059" s="2" t="s">
        <v>74</v>
      </c>
      <c r="M1059" s="2" t="s">
        <v>74</v>
      </c>
      <c r="N1059" s="2" t="s">
        <v>74</v>
      </c>
      <c r="O1059" s="2" t="s">
        <v>74</v>
      </c>
      <c r="P1059" s="2" t="s">
        <v>74</v>
      </c>
      <c r="Q1059" s="2" t="s">
        <v>74</v>
      </c>
      <c r="R1059" s="2" t="s">
        <v>74</v>
      </c>
      <c r="S1059" s="2" t="s">
        <v>74</v>
      </c>
      <c r="T1059" s="2" t="s">
        <v>74</v>
      </c>
      <c r="U1059" s="2" t="s">
        <v>74</v>
      </c>
      <c r="V1059" s="5" t="s">
        <v>5266</v>
      </c>
      <c r="W1059" s="2" t="s">
        <v>74</v>
      </c>
      <c r="X1059" s="2" t="s">
        <v>74</v>
      </c>
      <c r="Y1059" s="2" t="s">
        <v>74</v>
      </c>
      <c r="Z1059" s="2" t="s">
        <v>74</v>
      </c>
      <c r="AA1059" s="2" t="s">
        <v>5267</v>
      </c>
      <c r="AB1059" s="2" t="s">
        <v>5268</v>
      </c>
      <c r="AC1059" s="2" t="s">
        <v>74</v>
      </c>
      <c r="AD1059" s="2" t="s">
        <v>74</v>
      </c>
      <c r="AE1059" s="2" t="s">
        <v>74</v>
      </c>
      <c r="AF1059" s="2" t="s">
        <v>74</v>
      </c>
      <c r="AG1059" s="2" t="s">
        <v>74</v>
      </c>
      <c r="AH1059" s="2" t="s">
        <v>74</v>
      </c>
      <c r="AI1059" s="2" t="s">
        <v>74</v>
      </c>
      <c r="AJ1059" s="2" t="s">
        <v>74</v>
      </c>
      <c r="AK1059" s="2" t="s">
        <v>74</v>
      </c>
      <c r="AL1059" s="2" t="s">
        <v>74</v>
      </c>
      <c r="AM1059" s="2" t="s">
        <v>74</v>
      </c>
      <c r="AN1059" s="2" t="s">
        <v>74</v>
      </c>
      <c r="AO1059" s="2" t="s">
        <v>5269</v>
      </c>
      <c r="AP1059" s="2" t="s">
        <v>74</v>
      </c>
      <c r="AQ1059" s="2" t="s">
        <v>74</v>
      </c>
      <c r="AR1059" s="2" t="s">
        <v>74</v>
      </c>
      <c r="AS1059" s="2" t="s">
        <v>74</v>
      </c>
      <c r="AT1059" s="2" t="s">
        <v>5270</v>
      </c>
      <c r="AU1059" s="2">
        <v>2018</v>
      </c>
      <c r="AV1059" s="2">
        <v>42</v>
      </c>
      <c r="AW1059" s="2">
        <v>3</v>
      </c>
      <c r="AX1059" s="2" t="s">
        <v>74</v>
      </c>
      <c r="AY1059" s="2" t="s">
        <v>74</v>
      </c>
      <c r="AZ1059" s="2" t="s">
        <v>74</v>
      </c>
      <c r="BA1059" s="2" t="s">
        <v>74</v>
      </c>
      <c r="BB1059" s="2">
        <v>229</v>
      </c>
      <c r="BC1059" s="2">
        <v>256</v>
      </c>
      <c r="BD1059" s="2" t="s">
        <v>74</v>
      </c>
      <c r="BE1059" s="2" t="s">
        <v>74</v>
      </c>
      <c r="BF1059" s="2" t="s">
        <v>74</v>
      </c>
      <c r="BG1059" s="2" t="s">
        <v>74</v>
      </c>
      <c r="BH1059" s="2" t="s">
        <v>74</v>
      </c>
      <c r="BI1059" s="2" t="s">
        <v>74</v>
      </c>
      <c r="BJ1059" s="2" t="s">
        <v>74</v>
      </c>
      <c r="BK1059" s="2" t="s">
        <v>74</v>
      </c>
      <c r="BL1059" s="2" t="s">
        <v>74</v>
      </c>
      <c r="BM1059" s="2" t="s">
        <v>74</v>
      </c>
      <c r="BN1059" s="2" t="s">
        <v>74</v>
      </c>
      <c r="BO1059" s="2" t="s">
        <v>74</v>
      </c>
      <c r="BP1059" s="2" t="s">
        <v>74</v>
      </c>
      <c r="BQ1059" s="2" t="s">
        <v>74</v>
      </c>
      <c r="BR1059" s="2" t="s">
        <v>74</v>
      </c>
      <c r="BS1059" s="2" t="s">
        <v>5271</v>
      </c>
      <c r="BT1059" s="2" t="str">
        <f>HYPERLINK("https%3A%2F%2Fwww.webofscience.com%2Fwos%2Fwoscc%2Ffull-record%2FWOS:000449238000002","View Full Record in Web of Science")</f>
        <v>View Full Record in Web of Science</v>
      </c>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row>
    <row r="1060" spans="1:314" s="2" customFormat="1" x14ac:dyDescent="0.4">
      <c r="A1060" s="2" t="s">
        <v>72</v>
      </c>
      <c r="B1060" s="2" t="s">
        <v>7857</v>
      </c>
      <c r="C1060" s="2" t="s">
        <v>74</v>
      </c>
      <c r="D1060" s="2" t="s">
        <v>74</v>
      </c>
      <c r="E1060" s="2" t="s">
        <v>74</v>
      </c>
      <c r="F1060" s="2" t="s">
        <v>7858</v>
      </c>
      <c r="G1060" s="2" t="s">
        <v>74</v>
      </c>
      <c r="H1060" s="2" t="s">
        <v>74</v>
      </c>
      <c r="I1060" s="2" t="s">
        <v>7859</v>
      </c>
      <c r="J1060" s="2" t="s">
        <v>108</v>
      </c>
      <c r="K1060" s="2" t="s">
        <v>74</v>
      </c>
      <c r="L1060" s="2" t="s">
        <v>74</v>
      </c>
      <c r="M1060" s="2" t="s">
        <v>74</v>
      </c>
      <c r="N1060" s="2" t="s">
        <v>74</v>
      </c>
      <c r="O1060" s="2" t="s">
        <v>74</v>
      </c>
      <c r="P1060" s="2" t="s">
        <v>74</v>
      </c>
      <c r="Q1060" s="2" t="s">
        <v>74</v>
      </c>
      <c r="R1060" s="2" t="s">
        <v>74</v>
      </c>
      <c r="S1060" s="2" t="s">
        <v>74</v>
      </c>
      <c r="T1060" s="2" t="s">
        <v>74</v>
      </c>
      <c r="U1060" s="2" t="s">
        <v>74</v>
      </c>
      <c r="V1060" s="5" t="s">
        <v>7860</v>
      </c>
      <c r="W1060" s="2" t="s">
        <v>74</v>
      </c>
      <c r="X1060" s="2" t="s">
        <v>74</v>
      </c>
      <c r="Y1060" s="2" t="s">
        <v>74</v>
      </c>
      <c r="Z1060" s="2" t="s">
        <v>74</v>
      </c>
      <c r="AA1060" s="2" t="s">
        <v>7861</v>
      </c>
      <c r="AB1060" s="2" t="s">
        <v>7862</v>
      </c>
      <c r="AC1060" s="2" t="s">
        <v>74</v>
      </c>
      <c r="AD1060" s="2" t="s">
        <v>74</v>
      </c>
      <c r="AE1060" s="2" t="s">
        <v>74</v>
      </c>
      <c r="AF1060" s="2" t="s">
        <v>74</v>
      </c>
      <c r="AG1060" s="2" t="s">
        <v>74</v>
      </c>
      <c r="AH1060" s="2" t="s">
        <v>74</v>
      </c>
      <c r="AI1060" s="2" t="s">
        <v>74</v>
      </c>
      <c r="AJ1060" s="2" t="s">
        <v>74</v>
      </c>
      <c r="AK1060" s="2" t="s">
        <v>74</v>
      </c>
      <c r="AL1060" s="2" t="s">
        <v>74</v>
      </c>
      <c r="AM1060" s="2" t="s">
        <v>74</v>
      </c>
      <c r="AN1060" s="2" t="s">
        <v>74</v>
      </c>
      <c r="AO1060" s="2" t="s">
        <v>111</v>
      </c>
      <c r="AP1060" s="2" t="s">
        <v>112</v>
      </c>
      <c r="AQ1060" s="2" t="s">
        <v>74</v>
      </c>
      <c r="AR1060" s="2" t="s">
        <v>74</v>
      </c>
      <c r="AS1060" s="2" t="s">
        <v>74</v>
      </c>
      <c r="AT1060" s="2" t="s">
        <v>3105</v>
      </c>
      <c r="AU1060" s="2">
        <v>2019</v>
      </c>
      <c r="AV1060" s="2">
        <v>286</v>
      </c>
      <c r="AW1060" s="2">
        <v>1914</v>
      </c>
      <c r="AX1060" s="2" t="s">
        <v>74</v>
      </c>
      <c r="AY1060" s="2" t="s">
        <v>74</v>
      </c>
      <c r="AZ1060" s="2" t="s">
        <v>74</v>
      </c>
      <c r="BA1060" s="2" t="s">
        <v>74</v>
      </c>
      <c r="BB1060" s="2" t="s">
        <v>74</v>
      </c>
      <c r="BC1060" s="2" t="s">
        <v>74</v>
      </c>
      <c r="BD1060" s="2">
        <v>20192075</v>
      </c>
      <c r="BE1060" s="2" t="s">
        <v>7863</v>
      </c>
      <c r="BF1060" s="2" t="str">
        <f>HYPERLINK("http://dx.doi.org/10.1098/rspb.2019.2075","http://dx.doi.org/10.1098/rspb.2019.2075")</f>
        <v>http://dx.doi.org/10.1098/rspb.2019.2075</v>
      </c>
      <c r="BG1060" s="2" t="s">
        <v>74</v>
      </c>
      <c r="BH1060" s="2" t="s">
        <v>74</v>
      </c>
      <c r="BI1060" s="2" t="s">
        <v>74</v>
      </c>
      <c r="BJ1060" s="2" t="s">
        <v>74</v>
      </c>
      <c r="BK1060" s="2" t="s">
        <v>74</v>
      </c>
      <c r="BL1060" s="2" t="s">
        <v>74</v>
      </c>
      <c r="BM1060" s="2" t="s">
        <v>74</v>
      </c>
      <c r="BN1060" s="2">
        <v>31690236</v>
      </c>
      <c r="BO1060" s="2" t="s">
        <v>74</v>
      </c>
      <c r="BP1060" s="2" t="s">
        <v>74</v>
      </c>
      <c r="BQ1060" s="2" t="s">
        <v>74</v>
      </c>
      <c r="BR1060" s="2" t="s">
        <v>74</v>
      </c>
      <c r="BS1060" s="2" t="s">
        <v>7864</v>
      </c>
      <c r="BT1060" s="2" t="str">
        <f>HYPERLINK("https%3A%2F%2Fwww.webofscience.com%2Fwos%2Fwoscc%2Ffull-record%2FWOS:000504858100018","View Full Record in Web of Science")</f>
        <v>View Full Record in Web of Science</v>
      </c>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row>
    <row r="1061" spans="1:314" s="2" customFormat="1" x14ac:dyDescent="0.4">
      <c r="A1061" s="2" t="s">
        <v>72</v>
      </c>
      <c r="B1061" s="2" t="s">
        <v>2926</v>
      </c>
      <c r="C1061" s="2" t="s">
        <v>74</v>
      </c>
      <c r="D1061" s="2" t="s">
        <v>74</v>
      </c>
      <c r="E1061" s="2" t="s">
        <v>74</v>
      </c>
      <c r="F1061" s="2" t="s">
        <v>2927</v>
      </c>
      <c r="G1061" s="2" t="s">
        <v>74</v>
      </c>
      <c r="H1061" s="2" t="s">
        <v>74</v>
      </c>
      <c r="I1061" s="2" t="s">
        <v>2928</v>
      </c>
      <c r="J1061" s="2" t="s">
        <v>2929</v>
      </c>
      <c r="K1061" s="2" t="s">
        <v>74</v>
      </c>
      <c r="L1061" s="2" t="s">
        <v>74</v>
      </c>
      <c r="M1061" s="2" t="s">
        <v>74</v>
      </c>
      <c r="N1061" s="2" t="s">
        <v>74</v>
      </c>
      <c r="O1061" s="2" t="s">
        <v>74</v>
      </c>
      <c r="P1061" s="2" t="s">
        <v>74</v>
      </c>
      <c r="Q1061" s="2" t="s">
        <v>74</v>
      </c>
      <c r="R1061" s="2" t="s">
        <v>74</v>
      </c>
      <c r="S1061" s="2" t="s">
        <v>74</v>
      </c>
      <c r="T1061" s="2" t="s">
        <v>74</v>
      </c>
      <c r="U1061" s="2" t="s">
        <v>74</v>
      </c>
      <c r="V1061" s="5" t="s">
        <v>2930</v>
      </c>
      <c r="W1061" s="2" t="s">
        <v>74</v>
      </c>
      <c r="X1061" s="2" t="s">
        <v>74</v>
      </c>
      <c r="Y1061" s="2" t="s">
        <v>74</v>
      </c>
      <c r="Z1061" s="2" t="s">
        <v>74</v>
      </c>
      <c r="AA1061" s="2" t="s">
        <v>74</v>
      </c>
      <c r="AB1061" s="2" t="s">
        <v>2931</v>
      </c>
      <c r="AC1061" s="2" t="s">
        <v>74</v>
      </c>
      <c r="AD1061" s="2" t="s">
        <v>74</v>
      </c>
      <c r="AE1061" s="2" t="s">
        <v>74</v>
      </c>
      <c r="AF1061" s="2" t="s">
        <v>74</v>
      </c>
      <c r="AG1061" s="2" t="s">
        <v>74</v>
      </c>
      <c r="AH1061" s="2" t="s">
        <v>74</v>
      </c>
      <c r="AI1061" s="2" t="s">
        <v>74</v>
      </c>
      <c r="AJ1061" s="2" t="s">
        <v>74</v>
      </c>
      <c r="AK1061" s="2" t="s">
        <v>74</v>
      </c>
      <c r="AL1061" s="2" t="s">
        <v>74</v>
      </c>
      <c r="AM1061" s="2" t="s">
        <v>74</v>
      </c>
      <c r="AN1061" s="2" t="s">
        <v>74</v>
      </c>
      <c r="AO1061" s="2" t="s">
        <v>2932</v>
      </c>
      <c r="AP1061" s="2" t="s">
        <v>74</v>
      </c>
      <c r="AQ1061" s="2" t="s">
        <v>74</v>
      </c>
      <c r="AR1061" s="2" t="s">
        <v>74</v>
      </c>
      <c r="AS1061" s="2" t="s">
        <v>74</v>
      </c>
      <c r="AT1061" s="2" t="s">
        <v>305</v>
      </c>
      <c r="AU1061" s="2">
        <v>2021</v>
      </c>
      <c r="AV1061" s="2">
        <v>21</v>
      </c>
      <c r="AW1061" s="2">
        <v>1</v>
      </c>
      <c r="AX1061" s="2" t="s">
        <v>74</v>
      </c>
      <c r="AY1061" s="2" t="s">
        <v>74</v>
      </c>
      <c r="AZ1061" s="2" t="s">
        <v>74</v>
      </c>
      <c r="BA1061" s="2" t="s">
        <v>74</v>
      </c>
      <c r="BB1061" s="2">
        <v>80</v>
      </c>
      <c r="BC1061" s="2">
        <v>84</v>
      </c>
      <c r="BD1061" s="2" t="s">
        <v>74</v>
      </c>
      <c r="BE1061" s="2" t="s">
        <v>2933</v>
      </c>
      <c r="BF1061" s="2" t="str">
        <f>HYPERLINK("http://dx.doi.org/10.2994/SAJH-D-20-00015.1","http://dx.doi.org/10.2994/SAJH-D-20-00015.1")</f>
        <v>http://dx.doi.org/10.2994/SAJH-D-20-00015.1</v>
      </c>
      <c r="BG1061" s="2" t="s">
        <v>74</v>
      </c>
      <c r="BH1061" s="2" t="s">
        <v>74</v>
      </c>
      <c r="BI1061" s="2" t="s">
        <v>74</v>
      </c>
      <c r="BJ1061" s="2" t="s">
        <v>74</v>
      </c>
      <c r="BK1061" s="2" t="s">
        <v>74</v>
      </c>
      <c r="BL1061" s="2" t="s">
        <v>74</v>
      </c>
      <c r="BM1061" s="2" t="s">
        <v>74</v>
      </c>
      <c r="BN1061" s="2" t="s">
        <v>74</v>
      </c>
      <c r="BO1061" s="2" t="s">
        <v>74</v>
      </c>
      <c r="BP1061" s="2" t="s">
        <v>74</v>
      </c>
      <c r="BQ1061" s="2" t="s">
        <v>74</v>
      </c>
      <c r="BR1061" s="2" t="s">
        <v>74</v>
      </c>
      <c r="BS1061" s="2" t="s">
        <v>2934</v>
      </c>
      <c r="BT1061" s="2" t="str">
        <f>HYPERLINK("https%3A%2F%2Fwww.webofscience.com%2Fwos%2Fwoscc%2Ffull-record%2FWOS:000739788300008","View Full Record in Web of Science")</f>
        <v>View Full Record in Web of Science</v>
      </c>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row>
    <row r="1062" spans="1:314" s="2" customFormat="1" x14ac:dyDescent="0.4">
      <c r="A1062" s="2" t="s">
        <v>72</v>
      </c>
      <c r="B1062" s="2" t="s">
        <v>5251</v>
      </c>
      <c r="C1062" s="2" t="s">
        <v>74</v>
      </c>
      <c r="D1062" s="2" t="s">
        <v>74</v>
      </c>
      <c r="E1062" s="2" t="s">
        <v>74</v>
      </c>
      <c r="F1062" s="2" t="s">
        <v>5252</v>
      </c>
      <c r="G1062" s="2" t="s">
        <v>74</v>
      </c>
      <c r="H1062" s="2" t="s">
        <v>74</v>
      </c>
      <c r="I1062" s="2" t="s">
        <v>5253</v>
      </c>
      <c r="J1062" s="2" t="s">
        <v>129</v>
      </c>
      <c r="K1062" s="2" t="s">
        <v>74</v>
      </c>
      <c r="L1062" s="2" t="s">
        <v>74</v>
      </c>
      <c r="M1062" s="2" t="s">
        <v>74</v>
      </c>
      <c r="N1062" s="2" t="s">
        <v>74</v>
      </c>
      <c r="O1062" s="2" t="s">
        <v>74</v>
      </c>
      <c r="P1062" s="2" t="s">
        <v>74</v>
      </c>
      <c r="Q1062" s="2" t="s">
        <v>74</v>
      </c>
      <c r="R1062" s="2" t="s">
        <v>74</v>
      </c>
      <c r="S1062" s="2" t="s">
        <v>74</v>
      </c>
      <c r="T1062" s="2" t="s">
        <v>74</v>
      </c>
      <c r="U1062" s="2" t="s">
        <v>74</v>
      </c>
      <c r="V1062" s="5" t="s">
        <v>5254</v>
      </c>
      <c r="W1062" s="2" t="s">
        <v>74</v>
      </c>
      <c r="X1062" s="2" t="s">
        <v>74</v>
      </c>
      <c r="Y1062" s="2" t="s">
        <v>74</v>
      </c>
      <c r="Z1062" s="2" t="s">
        <v>74</v>
      </c>
      <c r="AA1062" s="2" t="s">
        <v>74</v>
      </c>
      <c r="AB1062" s="2" t="s">
        <v>322</v>
      </c>
      <c r="AC1062" s="2" t="s">
        <v>74</v>
      </c>
      <c r="AD1062" s="2" t="s">
        <v>74</v>
      </c>
      <c r="AE1062" s="2" t="s">
        <v>74</v>
      </c>
      <c r="AF1062" s="2" t="s">
        <v>74</v>
      </c>
      <c r="AG1062" s="2" t="s">
        <v>74</v>
      </c>
      <c r="AH1062" s="2" t="s">
        <v>74</v>
      </c>
      <c r="AI1062" s="2" t="s">
        <v>74</v>
      </c>
      <c r="AJ1062" s="2" t="s">
        <v>74</v>
      </c>
      <c r="AK1062" s="2" t="s">
        <v>74</v>
      </c>
      <c r="AL1062" s="2" t="s">
        <v>74</v>
      </c>
      <c r="AM1062" s="2" t="s">
        <v>74</v>
      </c>
      <c r="AN1062" s="2" t="s">
        <v>74</v>
      </c>
      <c r="AO1062" s="2" t="s">
        <v>132</v>
      </c>
      <c r="AP1062" s="2" t="s">
        <v>133</v>
      </c>
      <c r="AQ1062" s="2" t="s">
        <v>74</v>
      </c>
      <c r="AR1062" s="2" t="s">
        <v>74</v>
      </c>
      <c r="AS1062" s="2" t="s">
        <v>74</v>
      </c>
      <c r="AT1062" s="2" t="s">
        <v>352</v>
      </c>
      <c r="AU1062" s="2">
        <v>2013</v>
      </c>
      <c r="AV1062" s="2">
        <v>67</v>
      </c>
      <c r="AW1062" s="2">
        <v>9</v>
      </c>
      <c r="AX1062" s="2" t="s">
        <v>74</v>
      </c>
      <c r="AY1062" s="2" t="s">
        <v>74</v>
      </c>
      <c r="AZ1062" s="2" t="s">
        <v>848</v>
      </c>
      <c r="BA1062" s="2" t="s">
        <v>74</v>
      </c>
      <c r="BB1062" s="2">
        <v>1499</v>
      </c>
      <c r="BC1062" s="2">
        <v>1511</v>
      </c>
      <c r="BD1062" s="2" t="s">
        <v>74</v>
      </c>
      <c r="BE1062" s="2" t="s">
        <v>5255</v>
      </c>
      <c r="BF1062" s="2" t="str">
        <f>HYPERLINK("http://dx.doi.org/10.1007/s00265-013-1492-y","http://dx.doi.org/10.1007/s00265-013-1492-y")</f>
        <v>http://dx.doi.org/10.1007/s00265-013-1492-y</v>
      </c>
      <c r="BG1062" s="2" t="s">
        <v>74</v>
      </c>
      <c r="BH1062" s="2" t="s">
        <v>74</v>
      </c>
      <c r="BI1062" s="2" t="s">
        <v>74</v>
      </c>
      <c r="BJ1062" s="2" t="s">
        <v>74</v>
      </c>
      <c r="BK1062" s="2" t="s">
        <v>74</v>
      </c>
      <c r="BL1062" s="2" t="s">
        <v>74</v>
      </c>
      <c r="BM1062" s="2" t="s">
        <v>74</v>
      </c>
      <c r="BN1062" s="2" t="s">
        <v>74</v>
      </c>
      <c r="BO1062" s="2" t="s">
        <v>74</v>
      </c>
      <c r="BP1062" s="2" t="s">
        <v>74</v>
      </c>
      <c r="BQ1062" s="2" t="s">
        <v>74</v>
      </c>
      <c r="BR1062" s="2" t="s">
        <v>74</v>
      </c>
      <c r="BS1062" s="2" t="s">
        <v>5256</v>
      </c>
      <c r="BT1062" s="2" t="str">
        <f>HYPERLINK("https%3A%2F%2Fwww.webofscience.com%2Fwos%2Fwoscc%2Ffull-record%2FWOS:000323103400012","View Full Record in Web of Science")</f>
        <v>View Full Record in Web of Science</v>
      </c>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row>
    <row r="1063" spans="1:314" s="2" customFormat="1" x14ac:dyDescent="0.4">
      <c r="A1063" s="2" t="s">
        <v>72</v>
      </c>
      <c r="B1063" s="2" t="s">
        <v>7746</v>
      </c>
      <c r="C1063" s="2" t="s">
        <v>74</v>
      </c>
      <c r="D1063" s="2" t="s">
        <v>74</v>
      </c>
      <c r="E1063" s="2" t="s">
        <v>74</v>
      </c>
      <c r="F1063" s="2" t="s">
        <v>7747</v>
      </c>
      <c r="G1063" s="2" t="s">
        <v>74</v>
      </c>
      <c r="H1063" s="2" t="s">
        <v>74</v>
      </c>
      <c r="I1063" s="2" t="s">
        <v>7748</v>
      </c>
      <c r="J1063" s="2" t="s">
        <v>2017</v>
      </c>
      <c r="K1063" s="2" t="s">
        <v>74</v>
      </c>
      <c r="L1063" s="2" t="s">
        <v>74</v>
      </c>
      <c r="M1063" s="2" t="s">
        <v>74</v>
      </c>
      <c r="N1063" s="2" t="s">
        <v>74</v>
      </c>
      <c r="O1063" s="2" t="s">
        <v>74</v>
      </c>
      <c r="P1063" s="2" t="s">
        <v>74</v>
      </c>
      <c r="Q1063" s="2" t="s">
        <v>74</v>
      </c>
      <c r="R1063" s="2" t="s">
        <v>74</v>
      </c>
      <c r="S1063" s="2" t="s">
        <v>74</v>
      </c>
      <c r="T1063" s="2" t="s">
        <v>74</v>
      </c>
      <c r="U1063" s="2" t="s">
        <v>74</v>
      </c>
      <c r="V1063" s="5" t="s">
        <v>7749</v>
      </c>
      <c r="W1063" s="2" t="s">
        <v>74</v>
      </c>
      <c r="X1063" s="2" t="s">
        <v>74</v>
      </c>
      <c r="Y1063" s="2" t="s">
        <v>74</v>
      </c>
      <c r="Z1063" s="2" t="s">
        <v>74</v>
      </c>
      <c r="AA1063" s="2" t="s">
        <v>7750</v>
      </c>
      <c r="AB1063" s="2" t="s">
        <v>7751</v>
      </c>
      <c r="AC1063" s="2" t="s">
        <v>74</v>
      </c>
      <c r="AD1063" s="2" t="s">
        <v>74</v>
      </c>
      <c r="AE1063" s="2" t="s">
        <v>74</v>
      </c>
      <c r="AF1063" s="2" t="s">
        <v>74</v>
      </c>
      <c r="AG1063" s="2" t="s">
        <v>74</v>
      </c>
      <c r="AH1063" s="2" t="s">
        <v>74</v>
      </c>
      <c r="AI1063" s="2" t="s">
        <v>74</v>
      </c>
      <c r="AJ1063" s="2" t="s">
        <v>74</v>
      </c>
      <c r="AK1063" s="2" t="s">
        <v>74</v>
      </c>
      <c r="AL1063" s="2" t="s">
        <v>74</v>
      </c>
      <c r="AM1063" s="2" t="s">
        <v>74</v>
      </c>
      <c r="AN1063" s="2" t="s">
        <v>74</v>
      </c>
      <c r="AO1063" s="2" t="s">
        <v>2021</v>
      </c>
      <c r="AP1063" s="2" t="s">
        <v>74</v>
      </c>
      <c r="AQ1063" s="2" t="s">
        <v>74</v>
      </c>
      <c r="AR1063" s="2" t="s">
        <v>74</v>
      </c>
      <c r="AS1063" s="2" t="s">
        <v>74</v>
      </c>
      <c r="AT1063" s="2" t="s">
        <v>493</v>
      </c>
      <c r="AU1063" s="2">
        <v>2022</v>
      </c>
      <c r="AV1063" s="2">
        <v>10</v>
      </c>
      <c r="AW1063" s="2" t="s">
        <v>74</v>
      </c>
      <c r="AX1063" s="2" t="s">
        <v>74</v>
      </c>
      <c r="AY1063" s="2" t="s">
        <v>74</v>
      </c>
      <c r="AZ1063" s="2" t="s">
        <v>74</v>
      </c>
      <c r="BA1063" s="2" t="s">
        <v>74</v>
      </c>
      <c r="BB1063" s="2" t="s">
        <v>74</v>
      </c>
      <c r="BC1063" s="2" t="s">
        <v>74</v>
      </c>
      <c r="BD1063" s="2">
        <v>890874</v>
      </c>
      <c r="BE1063" s="2" t="s">
        <v>7752</v>
      </c>
      <c r="BF1063" s="2" t="str">
        <f>HYPERLINK("http://dx.doi.org/10.3389/fevo.2022.890874","http://dx.doi.org/10.3389/fevo.2022.890874")</f>
        <v>http://dx.doi.org/10.3389/fevo.2022.890874</v>
      </c>
      <c r="BG1063" s="2" t="s">
        <v>74</v>
      </c>
      <c r="BH1063" s="2" t="s">
        <v>74</v>
      </c>
      <c r="BI1063" s="2" t="s">
        <v>74</v>
      </c>
      <c r="BJ1063" s="2" t="s">
        <v>74</v>
      </c>
      <c r="BK1063" s="2" t="s">
        <v>74</v>
      </c>
      <c r="BL1063" s="2" t="s">
        <v>74</v>
      </c>
      <c r="BM1063" s="2" t="s">
        <v>74</v>
      </c>
      <c r="BN1063" s="2" t="s">
        <v>74</v>
      </c>
      <c r="BO1063" s="2" t="s">
        <v>74</v>
      </c>
      <c r="BP1063" s="2" t="s">
        <v>74</v>
      </c>
      <c r="BQ1063" s="2" t="s">
        <v>74</v>
      </c>
      <c r="BR1063" s="2" t="s">
        <v>74</v>
      </c>
      <c r="BS1063" s="2" t="s">
        <v>7753</v>
      </c>
      <c r="BT1063" s="2" t="str">
        <f>HYPERLINK("https%3A%2F%2Fwww.webofscience.com%2Fwos%2Fwoscc%2Ffull-record%2FWOS:000837071500001","View Full Record in Web of Science")</f>
        <v>View Full Record in Web of Science</v>
      </c>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row>
    <row r="1064" spans="1:314" s="2" customFormat="1" x14ac:dyDescent="0.4">
      <c r="A1064" s="2" t="s">
        <v>72</v>
      </c>
      <c r="B1064" s="2" t="s">
        <v>8731</v>
      </c>
      <c r="C1064" s="2" t="s">
        <v>74</v>
      </c>
      <c r="D1064" s="2" t="s">
        <v>74</v>
      </c>
      <c r="E1064" s="2" t="s">
        <v>74</v>
      </c>
      <c r="F1064" s="2" t="s">
        <v>8732</v>
      </c>
      <c r="G1064" s="2" t="s">
        <v>74</v>
      </c>
      <c r="H1064" s="2" t="s">
        <v>74</v>
      </c>
      <c r="I1064" s="2" t="s">
        <v>8733</v>
      </c>
      <c r="J1064" s="2" t="s">
        <v>171</v>
      </c>
      <c r="K1064" s="2" t="s">
        <v>74</v>
      </c>
      <c r="L1064" s="2" t="s">
        <v>74</v>
      </c>
      <c r="M1064" s="2" t="s">
        <v>74</v>
      </c>
      <c r="N1064" s="2" t="s">
        <v>74</v>
      </c>
      <c r="O1064" s="2" t="s">
        <v>74</v>
      </c>
      <c r="P1064" s="2" t="s">
        <v>74</v>
      </c>
      <c r="Q1064" s="2" t="s">
        <v>74</v>
      </c>
      <c r="R1064" s="2" t="s">
        <v>74</v>
      </c>
      <c r="S1064" s="2" t="s">
        <v>74</v>
      </c>
      <c r="T1064" s="2" t="s">
        <v>74</v>
      </c>
      <c r="U1064" s="2" t="s">
        <v>74</v>
      </c>
      <c r="V1064" s="5" t="s">
        <v>8734</v>
      </c>
      <c r="W1064" s="2" t="s">
        <v>74</v>
      </c>
      <c r="X1064" s="2" t="s">
        <v>74</v>
      </c>
      <c r="Y1064" s="2" t="s">
        <v>74</v>
      </c>
      <c r="Z1064" s="2" t="s">
        <v>74</v>
      </c>
      <c r="AA1064" s="2" t="s">
        <v>8735</v>
      </c>
      <c r="AB1064" s="2" t="s">
        <v>8736</v>
      </c>
      <c r="AC1064" s="2" t="s">
        <v>74</v>
      </c>
      <c r="AD1064" s="2" t="s">
        <v>74</v>
      </c>
      <c r="AE1064" s="2" t="s">
        <v>74</v>
      </c>
      <c r="AF1064" s="2" t="s">
        <v>74</v>
      </c>
      <c r="AG1064" s="2" t="s">
        <v>74</v>
      </c>
      <c r="AH1064" s="2" t="s">
        <v>74</v>
      </c>
      <c r="AI1064" s="2" t="s">
        <v>74</v>
      </c>
      <c r="AJ1064" s="2" t="s">
        <v>74</v>
      </c>
      <c r="AK1064" s="2" t="s">
        <v>74</v>
      </c>
      <c r="AL1064" s="2" t="s">
        <v>74</v>
      </c>
      <c r="AM1064" s="2" t="s">
        <v>74</v>
      </c>
      <c r="AN1064" s="2" t="s">
        <v>74</v>
      </c>
      <c r="AO1064" s="2" t="s">
        <v>173</v>
      </c>
      <c r="AP1064" s="2" t="s">
        <v>174</v>
      </c>
      <c r="AQ1064" s="2" t="s">
        <v>74</v>
      </c>
      <c r="AR1064" s="2" t="s">
        <v>74</v>
      </c>
      <c r="AS1064" s="2" t="s">
        <v>74</v>
      </c>
      <c r="AT1064" s="2" t="s">
        <v>633</v>
      </c>
      <c r="AU1064" s="2">
        <v>2012</v>
      </c>
      <c r="AV1064" s="2">
        <v>66</v>
      </c>
      <c r="AW1064" s="2">
        <v>4</v>
      </c>
      <c r="AX1064" s="2" t="s">
        <v>74</v>
      </c>
      <c r="AY1064" s="2" t="s">
        <v>74</v>
      </c>
      <c r="AZ1064" s="2" t="s">
        <v>74</v>
      </c>
      <c r="BA1064" s="2" t="s">
        <v>74</v>
      </c>
      <c r="BB1064" s="2">
        <v>1167</v>
      </c>
      <c r="BC1064" s="2">
        <v>1179</v>
      </c>
      <c r="BD1064" s="2" t="s">
        <v>74</v>
      </c>
      <c r="BE1064" s="2" t="s">
        <v>8737</v>
      </c>
      <c r="BF1064" s="2" t="str">
        <f>HYPERLINK("http://dx.doi.org/10.1111/j.1558-5646.2011.01518.x","http://dx.doi.org/10.1111/j.1558-5646.2011.01518.x")</f>
        <v>http://dx.doi.org/10.1111/j.1558-5646.2011.01518.x</v>
      </c>
      <c r="BG1064" s="2" t="s">
        <v>74</v>
      </c>
      <c r="BH1064" s="2" t="s">
        <v>74</v>
      </c>
      <c r="BI1064" s="2" t="s">
        <v>74</v>
      </c>
      <c r="BJ1064" s="2" t="s">
        <v>74</v>
      </c>
      <c r="BK1064" s="2" t="s">
        <v>74</v>
      </c>
      <c r="BL1064" s="2" t="s">
        <v>74</v>
      </c>
      <c r="BM1064" s="2" t="s">
        <v>74</v>
      </c>
      <c r="BN1064" s="2">
        <v>22486696</v>
      </c>
      <c r="BO1064" s="2" t="s">
        <v>74</v>
      </c>
      <c r="BP1064" s="2" t="s">
        <v>74</v>
      </c>
      <c r="BQ1064" s="2" t="s">
        <v>74</v>
      </c>
      <c r="BR1064" s="2" t="s">
        <v>74</v>
      </c>
      <c r="BS1064" s="2" t="s">
        <v>8738</v>
      </c>
      <c r="BT1064" s="2" t="str">
        <f>HYPERLINK("https%3A%2F%2Fwww.webofscience.com%2Fwos%2Fwoscc%2Ffull-record%2FWOS:000302546700016","View Full Record in Web of Science")</f>
        <v>View Full Record in Web of Science</v>
      </c>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row>
    <row r="1065" spans="1:314" s="2" customFormat="1" x14ac:dyDescent="0.4">
      <c r="A1065" s="2" t="s">
        <v>72</v>
      </c>
      <c r="B1065" s="2" t="s">
        <v>2540</v>
      </c>
      <c r="C1065" s="2" t="s">
        <v>74</v>
      </c>
      <c r="D1065" s="2" t="s">
        <v>74</v>
      </c>
      <c r="E1065" s="2" t="s">
        <v>74</v>
      </c>
      <c r="F1065" s="2" t="s">
        <v>2541</v>
      </c>
      <c r="G1065" s="2" t="s">
        <v>74</v>
      </c>
      <c r="H1065" s="2" t="s">
        <v>74</v>
      </c>
      <c r="I1065" s="2" t="s">
        <v>2542</v>
      </c>
      <c r="J1065" s="2" t="s">
        <v>775</v>
      </c>
      <c r="K1065" s="2" t="s">
        <v>74</v>
      </c>
      <c r="L1065" s="2" t="s">
        <v>74</v>
      </c>
      <c r="M1065" s="2" t="s">
        <v>74</v>
      </c>
      <c r="N1065" s="2" t="s">
        <v>74</v>
      </c>
      <c r="O1065" s="2" t="s">
        <v>74</v>
      </c>
      <c r="P1065" s="2" t="s">
        <v>74</v>
      </c>
      <c r="Q1065" s="2" t="s">
        <v>74</v>
      </c>
      <c r="R1065" s="2" t="s">
        <v>74</v>
      </c>
      <c r="S1065" s="2" t="s">
        <v>74</v>
      </c>
      <c r="T1065" s="2" t="s">
        <v>74</v>
      </c>
      <c r="U1065" s="2" t="s">
        <v>74</v>
      </c>
      <c r="V1065" s="5" t="s">
        <v>2543</v>
      </c>
      <c r="W1065" s="2" t="s">
        <v>74</v>
      </c>
      <c r="X1065" s="2" t="s">
        <v>74</v>
      </c>
      <c r="Y1065" s="2" t="s">
        <v>74</v>
      </c>
      <c r="Z1065" s="2" t="s">
        <v>74</v>
      </c>
      <c r="AA1065" s="2" t="s">
        <v>2544</v>
      </c>
      <c r="AB1065" s="2" t="s">
        <v>1704</v>
      </c>
      <c r="AC1065" s="2" t="s">
        <v>74</v>
      </c>
      <c r="AD1065" s="2" t="s">
        <v>74</v>
      </c>
      <c r="AE1065" s="2" t="s">
        <v>74</v>
      </c>
      <c r="AF1065" s="2" t="s">
        <v>74</v>
      </c>
      <c r="AG1065" s="2" t="s">
        <v>74</v>
      </c>
      <c r="AH1065" s="2" t="s">
        <v>74</v>
      </c>
      <c r="AI1065" s="2" t="s">
        <v>74</v>
      </c>
      <c r="AJ1065" s="2" t="s">
        <v>74</v>
      </c>
      <c r="AK1065" s="2" t="s">
        <v>74</v>
      </c>
      <c r="AL1065" s="2" t="s">
        <v>74</v>
      </c>
      <c r="AM1065" s="2" t="s">
        <v>74</v>
      </c>
      <c r="AN1065" s="2" t="s">
        <v>74</v>
      </c>
      <c r="AO1065" s="2" t="s">
        <v>778</v>
      </c>
      <c r="AP1065" s="2" t="s">
        <v>74</v>
      </c>
      <c r="AQ1065" s="2" t="s">
        <v>74</v>
      </c>
      <c r="AR1065" s="2" t="s">
        <v>74</v>
      </c>
      <c r="AS1065" s="2" t="s">
        <v>74</v>
      </c>
      <c r="AT1065" s="2" t="s">
        <v>74</v>
      </c>
      <c r="AU1065" s="2">
        <v>2013</v>
      </c>
      <c r="AV1065" s="2">
        <v>59</v>
      </c>
      <c r="AW1065" s="2">
        <v>2</v>
      </c>
      <c r="AX1065" s="2" t="s">
        <v>74</v>
      </c>
      <c r="AY1065" s="2" t="s">
        <v>74</v>
      </c>
      <c r="AZ1065" s="2" t="s">
        <v>74</v>
      </c>
      <c r="BA1065" s="2" t="s">
        <v>74</v>
      </c>
      <c r="BB1065" s="2">
        <v>221</v>
      </c>
      <c r="BC1065" s="2">
        <v>229</v>
      </c>
      <c r="BD1065" s="2" t="s">
        <v>74</v>
      </c>
      <c r="BE1065" s="2" t="s">
        <v>2545</v>
      </c>
      <c r="BF1065" s="2" t="str">
        <f>HYPERLINK("http://dx.doi.org/10.1093/czoolo/59.2.221","http://dx.doi.org/10.1093/czoolo/59.2.221")</f>
        <v>http://dx.doi.org/10.1093/czoolo/59.2.221</v>
      </c>
      <c r="BG1065" s="2" t="s">
        <v>74</v>
      </c>
      <c r="BH1065" s="2" t="s">
        <v>74</v>
      </c>
      <c r="BI1065" s="2" t="s">
        <v>74</v>
      </c>
      <c r="BJ1065" s="2" t="s">
        <v>74</v>
      </c>
      <c r="BK1065" s="2" t="s">
        <v>74</v>
      </c>
      <c r="BL1065" s="2" t="s">
        <v>74</v>
      </c>
      <c r="BM1065" s="2" t="s">
        <v>74</v>
      </c>
      <c r="BN1065" s="2" t="s">
        <v>74</v>
      </c>
      <c r="BO1065" s="2" t="s">
        <v>74</v>
      </c>
      <c r="BP1065" s="2" t="s">
        <v>74</v>
      </c>
      <c r="BQ1065" s="2" t="s">
        <v>74</v>
      </c>
      <c r="BR1065" s="2" t="s">
        <v>74</v>
      </c>
      <c r="BS1065" s="2" t="s">
        <v>2546</v>
      </c>
      <c r="BT1065" s="2" t="str">
        <f>HYPERLINK("https%3A%2F%2Fwww.webofscience.com%2Fwos%2Fwoscc%2Ffull-record%2FWOS:000315813200009","View Full Record in Web of Science")</f>
        <v>View Full Record in Web of Science</v>
      </c>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row>
    <row r="1066" spans="1:314" s="2" customFormat="1" x14ac:dyDescent="0.4">
      <c r="A1066" s="2" t="s">
        <v>72</v>
      </c>
      <c r="B1066" s="2" t="s">
        <v>7820</v>
      </c>
      <c r="C1066" s="2" t="s">
        <v>74</v>
      </c>
      <c r="D1066" s="2" t="s">
        <v>74</v>
      </c>
      <c r="E1066" s="2" t="s">
        <v>74</v>
      </c>
      <c r="F1066" s="2" t="s">
        <v>7821</v>
      </c>
      <c r="G1066" s="2" t="s">
        <v>74</v>
      </c>
      <c r="H1066" s="2" t="s">
        <v>74</v>
      </c>
      <c r="I1066" s="2" t="s">
        <v>7822</v>
      </c>
      <c r="J1066" s="2" t="s">
        <v>1237</v>
      </c>
      <c r="K1066" s="2" t="s">
        <v>74</v>
      </c>
      <c r="L1066" s="2" t="s">
        <v>74</v>
      </c>
      <c r="M1066" s="2" t="s">
        <v>74</v>
      </c>
      <c r="N1066" s="2" t="s">
        <v>74</v>
      </c>
      <c r="O1066" s="2" t="s">
        <v>74</v>
      </c>
      <c r="P1066" s="2" t="s">
        <v>74</v>
      </c>
      <c r="Q1066" s="2" t="s">
        <v>74</v>
      </c>
      <c r="R1066" s="2" t="s">
        <v>74</v>
      </c>
      <c r="S1066" s="2" t="s">
        <v>74</v>
      </c>
      <c r="T1066" s="2" t="s">
        <v>74</v>
      </c>
      <c r="U1066" s="2" t="s">
        <v>74</v>
      </c>
      <c r="V1066" s="5" t="s">
        <v>7823</v>
      </c>
      <c r="W1066" s="2" t="s">
        <v>74</v>
      </c>
      <c r="X1066" s="2" t="s">
        <v>74</v>
      </c>
      <c r="Y1066" s="2" t="s">
        <v>74</v>
      </c>
      <c r="Z1066" s="2" t="s">
        <v>74</v>
      </c>
      <c r="AA1066" s="2" t="s">
        <v>6718</v>
      </c>
      <c r="AB1066" s="2" t="s">
        <v>6719</v>
      </c>
      <c r="AC1066" s="2" t="s">
        <v>74</v>
      </c>
      <c r="AD1066" s="2" t="s">
        <v>74</v>
      </c>
      <c r="AE1066" s="2" t="s">
        <v>74</v>
      </c>
      <c r="AF1066" s="2" t="s">
        <v>74</v>
      </c>
      <c r="AG1066" s="2" t="s">
        <v>74</v>
      </c>
      <c r="AH1066" s="2" t="s">
        <v>74</v>
      </c>
      <c r="AI1066" s="2" t="s">
        <v>74</v>
      </c>
      <c r="AJ1066" s="2" t="s">
        <v>74</v>
      </c>
      <c r="AK1066" s="2" t="s">
        <v>74</v>
      </c>
      <c r="AL1066" s="2" t="s">
        <v>74</v>
      </c>
      <c r="AM1066" s="2" t="s">
        <v>74</v>
      </c>
      <c r="AN1066" s="2" t="s">
        <v>74</v>
      </c>
      <c r="AO1066" s="2" t="s">
        <v>1239</v>
      </c>
      <c r="AP1066" s="2" t="s">
        <v>74</v>
      </c>
      <c r="AQ1066" s="2" t="s">
        <v>74</v>
      </c>
      <c r="AR1066" s="2" t="s">
        <v>74</v>
      </c>
      <c r="AS1066" s="2" t="s">
        <v>74</v>
      </c>
      <c r="AT1066" s="2" t="s">
        <v>175</v>
      </c>
      <c r="AU1066" s="2">
        <v>2008</v>
      </c>
      <c r="AV1066" s="2">
        <v>86</v>
      </c>
      <c r="AW1066" s="2">
        <v>10</v>
      </c>
      <c r="AX1066" s="2" t="s">
        <v>74</v>
      </c>
      <c r="AY1066" s="2" t="s">
        <v>74</v>
      </c>
      <c r="AZ1066" s="2" t="s">
        <v>74</v>
      </c>
      <c r="BA1066" s="2" t="s">
        <v>74</v>
      </c>
      <c r="BB1066" s="2">
        <v>1131</v>
      </c>
      <c r="BC1066" s="2">
        <v>1138</v>
      </c>
      <c r="BD1066" s="2" t="s">
        <v>74</v>
      </c>
      <c r="BE1066" s="2" t="s">
        <v>7824</v>
      </c>
      <c r="BF1066" s="2" t="str">
        <f>HYPERLINK("http://dx.doi.org/10.1139/Z08-091","http://dx.doi.org/10.1139/Z08-091")</f>
        <v>http://dx.doi.org/10.1139/Z08-091</v>
      </c>
      <c r="BG1066" s="2" t="s">
        <v>74</v>
      </c>
      <c r="BH1066" s="2" t="s">
        <v>74</v>
      </c>
      <c r="BI1066" s="2" t="s">
        <v>74</v>
      </c>
      <c r="BJ1066" s="2" t="s">
        <v>74</v>
      </c>
      <c r="BK1066" s="2" t="s">
        <v>74</v>
      </c>
      <c r="BL1066" s="2" t="s">
        <v>74</v>
      </c>
      <c r="BM1066" s="2" t="s">
        <v>74</v>
      </c>
      <c r="BN1066" s="2" t="s">
        <v>74</v>
      </c>
      <c r="BO1066" s="2" t="s">
        <v>74</v>
      </c>
      <c r="BP1066" s="2" t="s">
        <v>74</v>
      </c>
      <c r="BQ1066" s="2" t="s">
        <v>74</v>
      </c>
      <c r="BR1066" s="2" t="s">
        <v>74</v>
      </c>
      <c r="BS1066" s="2" t="s">
        <v>7825</v>
      </c>
      <c r="BT1066" s="2" t="str">
        <f>HYPERLINK("https%3A%2F%2Fwww.webofscience.com%2Fwos%2Fwoscc%2Ffull-record%2FWOS:000260166800006","View Full Record in Web of Science")</f>
        <v>View Full Record in Web of Science</v>
      </c>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row>
    <row r="1067" spans="1:314" s="2" customFormat="1" x14ac:dyDescent="0.4">
      <c r="A1067" s="2" t="s">
        <v>72</v>
      </c>
      <c r="B1067" s="2" t="s">
        <v>593</v>
      </c>
      <c r="C1067" s="2" t="s">
        <v>74</v>
      </c>
      <c r="D1067" s="2" t="s">
        <v>74</v>
      </c>
      <c r="E1067" s="2" t="s">
        <v>74</v>
      </c>
      <c r="F1067" s="2" t="s">
        <v>593</v>
      </c>
      <c r="G1067" s="2" t="s">
        <v>74</v>
      </c>
      <c r="H1067" s="2" t="s">
        <v>74</v>
      </c>
      <c r="I1067" s="2" t="s">
        <v>594</v>
      </c>
      <c r="J1067" s="2" t="s">
        <v>129</v>
      </c>
      <c r="K1067" s="2" t="s">
        <v>74</v>
      </c>
      <c r="L1067" s="2" t="s">
        <v>74</v>
      </c>
      <c r="M1067" s="2" t="s">
        <v>74</v>
      </c>
      <c r="N1067" s="2" t="s">
        <v>74</v>
      </c>
      <c r="O1067" s="2" t="s">
        <v>74</v>
      </c>
      <c r="P1067" s="2" t="s">
        <v>74</v>
      </c>
      <c r="Q1067" s="2" t="s">
        <v>74</v>
      </c>
      <c r="R1067" s="2" t="s">
        <v>74</v>
      </c>
      <c r="S1067" s="2" t="s">
        <v>74</v>
      </c>
      <c r="T1067" s="2" t="s">
        <v>74</v>
      </c>
      <c r="U1067" s="2" t="s">
        <v>74</v>
      </c>
      <c r="V1067" s="5" t="s">
        <v>595</v>
      </c>
      <c r="W1067" s="2" t="s">
        <v>74</v>
      </c>
      <c r="X1067" s="2" t="s">
        <v>74</v>
      </c>
      <c r="Y1067" s="2" t="s">
        <v>74</v>
      </c>
      <c r="Z1067" s="2" t="s">
        <v>74</v>
      </c>
      <c r="AA1067" s="2" t="s">
        <v>596</v>
      </c>
      <c r="AB1067" s="2" t="s">
        <v>597</v>
      </c>
      <c r="AC1067" s="2" t="s">
        <v>74</v>
      </c>
      <c r="AD1067" s="2" t="s">
        <v>74</v>
      </c>
      <c r="AE1067" s="2" t="s">
        <v>74</v>
      </c>
      <c r="AF1067" s="2" t="s">
        <v>74</v>
      </c>
      <c r="AG1067" s="2" t="s">
        <v>74</v>
      </c>
      <c r="AH1067" s="2" t="s">
        <v>74</v>
      </c>
      <c r="AI1067" s="2" t="s">
        <v>74</v>
      </c>
      <c r="AJ1067" s="2" t="s">
        <v>74</v>
      </c>
      <c r="AK1067" s="2" t="s">
        <v>74</v>
      </c>
      <c r="AL1067" s="2" t="s">
        <v>74</v>
      </c>
      <c r="AM1067" s="2" t="s">
        <v>74</v>
      </c>
      <c r="AN1067" s="2" t="s">
        <v>74</v>
      </c>
      <c r="AO1067" s="2" t="s">
        <v>132</v>
      </c>
      <c r="AP1067" s="2" t="s">
        <v>133</v>
      </c>
      <c r="AQ1067" s="2" t="s">
        <v>74</v>
      </c>
      <c r="AR1067" s="2" t="s">
        <v>74</v>
      </c>
      <c r="AS1067" s="2" t="s">
        <v>74</v>
      </c>
      <c r="AT1067" s="2" t="s">
        <v>305</v>
      </c>
      <c r="AU1067" s="2">
        <v>2001</v>
      </c>
      <c r="AV1067" s="2">
        <v>51</v>
      </c>
      <c r="AW1067" s="2">
        <v>1</v>
      </c>
      <c r="AX1067" s="2" t="s">
        <v>74</v>
      </c>
      <c r="AY1067" s="2" t="s">
        <v>74</v>
      </c>
      <c r="AZ1067" s="2" t="s">
        <v>74</v>
      </c>
      <c r="BA1067" s="2" t="s">
        <v>74</v>
      </c>
      <c r="BB1067" s="2">
        <v>69</v>
      </c>
      <c r="BC1067" s="2">
        <v>75</v>
      </c>
      <c r="BD1067" s="2" t="s">
        <v>74</v>
      </c>
      <c r="BE1067" s="2" t="s">
        <v>74</v>
      </c>
      <c r="BF1067" s="2" t="s">
        <v>74</v>
      </c>
      <c r="BG1067" s="2" t="s">
        <v>74</v>
      </c>
      <c r="BH1067" s="2" t="s">
        <v>74</v>
      </c>
      <c r="BI1067" s="2" t="s">
        <v>74</v>
      </c>
      <c r="BJ1067" s="2" t="s">
        <v>74</v>
      </c>
      <c r="BK1067" s="2" t="s">
        <v>74</v>
      </c>
      <c r="BL1067" s="2" t="s">
        <v>74</v>
      </c>
      <c r="BM1067" s="2" t="s">
        <v>74</v>
      </c>
      <c r="BN1067" s="2" t="s">
        <v>74</v>
      </c>
      <c r="BO1067" s="2" t="s">
        <v>74</v>
      </c>
      <c r="BP1067" s="2" t="s">
        <v>74</v>
      </c>
      <c r="BQ1067" s="2" t="s">
        <v>74</v>
      </c>
      <c r="BR1067" s="2" t="s">
        <v>74</v>
      </c>
      <c r="BS1067" s="2" t="s">
        <v>598</v>
      </c>
      <c r="BT1067" s="2" t="str">
        <f>HYPERLINK("https%3A%2F%2Fwww.webofscience.com%2Fwos%2Fwoscc%2Ffull-record%2FWOS:000173034800009","View Full Record in Web of Science")</f>
        <v>View Full Record in Web of Science</v>
      </c>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row>
    <row r="1068" spans="1:314" s="2" customFormat="1" x14ac:dyDescent="0.4">
      <c r="A1068" s="2" t="s">
        <v>72</v>
      </c>
      <c r="B1068" s="2" t="s">
        <v>593</v>
      </c>
      <c r="C1068" s="2" t="s">
        <v>74</v>
      </c>
      <c r="D1068" s="2" t="s">
        <v>74</v>
      </c>
      <c r="E1068" s="2" t="s">
        <v>74</v>
      </c>
      <c r="F1068" s="2" t="s">
        <v>593</v>
      </c>
      <c r="G1068" s="2" t="s">
        <v>74</v>
      </c>
      <c r="H1068" s="2" t="s">
        <v>74</v>
      </c>
      <c r="I1068" s="2" t="s">
        <v>3183</v>
      </c>
      <c r="J1068" s="2" t="s">
        <v>408</v>
      </c>
      <c r="K1068" s="2" t="s">
        <v>74</v>
      </c>
      <c r="L1068" s="2" t="s">
        <v>74</v>
      </c>
      <c r="M1068" s="2" t="s">
        <v>74</v>
      </c>
      <c r="N1068" s="2" t="s">
        <v>74</v>
      </c>
      <c r="O1068" s="2" t="s">
        <v>74</v>
      </c>
      <c r="P1068" s="2" t="s">
        <v>74</v>
      </c>
      <c r="Q1068" s="2" t="s">
        <v>74</v>
      </c>
      <c r="R1068" s="2" t="s">
        <v>74</v>
      </c>
      <c r="S1068" s="2" t="s">
        <v>74</v>
      </c>
      <c r="T1068" s="2" t="s">
        <v>74</v>
      </c>
      <c r="U1068" s="2" t="s">
        <v>74</v>
      </c>
      <c r="V1068" s="5" t="s">
        <v>3184</v>
      </c>
      <c r="W1068" s="2" t="s">
        <v>74</v>
      </c>
      <c r="X1068" s="2" t="s">
        <v>74</v>
      </c>
      <c r="Y1068" s="2" t="s">
        <v>74</v>
      </c>
      <c r="Z1068" s="2" t="s">
        <v>74</v>
      </c>
      <c r="AA1068" s="2" t="s">
        <v>2525</v>
      </c>
      <c r="AB1068" s="2" t="s">
        <v>597</v>
      </c>
      <c r="AC1068" s="2" t="s">
        <v>74</v>
      </c>
      <c r="AD1068" s="2" t="s">
        <v>74</v>
      </c>
      <c r="AE1068" s="2" t="s">
        <v>74</v>
      </c>
      <c r="AF1068" s="2" t="s">
        <v>74</v>
      </c>
      <c r="AG1068" s="2" t="s">
        <v>74</v>
      </c>
      <c r="AH1068" s="2" t="s">
        <v>74</v>
      </c>
      <c r="AI1068" s="2" t="s">
        <v>74</v>
      </c>
      <c r="AJ1068" s="2" t="s">
        <v>74</v>
      </c>
      <c r="AK1068" s="2" t="s">
        <v>74</v>
      </c>
      <c r="AL1068" s="2" t="s">
        <v>74</v>
      </c>
      <c r="AM1068" s="2" t="s">
        <v>74</v>
      </c>
      <c r="AN1068" s="2" t="s">
        <v>74</v>
      </c>
      <c r="AO1068" s="2" t="s">
        <v>412</v>
      </c>
      <c r="AP1068" s="2" t="s">
        <v>74</v>
      </c>
      <c r="AQ1068" s="2" t="s">
        <v>74</v>
      </c>
      <c r="AR1068" s="2" t="s">
        <v>74</v>
      </c>
      <c r="AS1068" s="2" t="s">
        <v>74</v>
      </c>
      <c r="AT1068" s="2" t="s">
        <v>305</v>
      </c>
      <c r="AU1068" s="2">
        <v>2005</v>
      </c>
      <c r="AV1068" s="2">
        <v>86</v>
      </c>
      <c r="AW1068" s="2">
        <v>4</v>
      </c>
      <c r="AX1068" s="2" t="s">
        <v>74</v>
      </c>
      <c r="AY1068" s="2" t="s">
        <v>74</v>
      </c>
      <c r="AZ1068" s="2" t="s">
        <v>74</v>
      </c>
      <c r="BA1068" s="2" t="s">
        <v>74</v>
      </c>
      <c r="BB1068" s="2">
        <v>515</v>
      </c>
      <c r="BC1068" s="2">
        <v>523</v>
      </c>
      <c r="BD1068" s="2" t="s">
        <v>74</v>
      </c>
      <c r="BE1068" s="2" t="s">
        <v>3185</v>
      </c>
      <c r="BF1068" s="2" t="str">
        <f>HYPERLINK("http://dx.doi.org/10.1111/j.1095-8312.2005.00551.x","http://dx.doi.org/10.1111/j.1095-8312.2005.00551.x")</f>
        <v>http://dx.doi.org/10.1111/j.1095-8312.2005.00551.x</v>
      </c>
      <c r="BG1068" s="2" t="s">
        <v>74</v>
      </c>
      <c r="BH1068" s="2" t="s">
        <v>74</v>
      </c>
      <c r="BI1068" s="2" t="s">
        <v>74</v>
      </c>
      <c r="BJ1068" s="2" t="s">
        <v>74</v>
      </c>
      <c r="BK1068" s="2" t="s">
        <v>74</v>
      </c>
      <c r="BL1068" s="2" t="s">
        <v>74</v>
      </c>
      <c r="BM1068" s="2" t="s">
        <v>74</v>
      </c>
      <c r="BN1068" s="2" t="s">
        <v>74</v>
      </c>
      <c r="BO1068" s="2" t="s">
        <v>74</v>
      </c>
      <c r="BP1068" s="2" t="s">
        <v>74</v>
      </c>
      <c r="BQ1068" s="2" t="s">
        <v>74</v>
      </c>
      <c r="BR1068" s="2" t="s">
        <v>74</v>
      </c>
      <c r="BS1068" s="2" t="s">
        <v>3186</v>
      </c>
      <c r="BT1068" s="2" t="str">
        <f>HYPERLINK("https%3A%2F%2Fwww.webofscience.com%2Fwos%2Fwoscc%2Ffull-record%2FWOS:000233621200008","View Full Record in Web of Science")</f>
        <v>View Full Record in Web of Science</v>
      </c>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row>
    <row r="1069" spans="1:314" s="2" customFormat="1" x14ac:dyDescent="0.4">
      <c r="A1069" s="2" t="s">
        <v>72</v>
      </c>
      <c r="B1069" s="2" t="s">
        <v>2522</v>
      </c>
      <c r="C1069" s="2" t="s">
        <v>74</v>
      </c>
      <c r="D1069" s="2" t="s">
        <v>74</v>
      </c>
      <c r="E1069" s="2" t="s">
        <v>74</v>
      </c>
      <c r="F1069" s="2" t="s">
        <v>2522</v>
      </c>
      <c r="G1069" s="2" t="s">
        <v>74</v>
      </c>
      <c r="H1069" s="2" t="s">
        <v>74</v>
      </c>
      <c r="I1069" s="2" t="s">
        <v>2523</v>
      </c>
      <c r="J1069" s="2" t="s">
        <v>140</v>
      </c>
      <c r="K1069" s="2" t="s">
        <v>74</v>
      </c>
      <c r="L1069" s="2" t="s">
        <v>74</v>
      </c>
      <c r="M1069" s="2" t="s">
        <v>74</v>
      </c>
      <c r="N1069" s="2" t="s">
        <v>74</v>
      </c>
      <c r="O1069" s="2" t="s">
        <v>74</v>
      </c>
      <c r="P1069" s="2" t="s">
        <v>74</v>
      </c>
      <c r="Q1069" s="2" t="s">
        <v>74</v>
      </c>
      <c r="R1069" s="2" t="s">
        <v>74</v>
      </c>
      <c r="S1069" s="2" t="s">
        <v>74</v>
      </c>
      <c r="T1069" s="2" t="s">
        <v>74</v>
      </c>
      <c r="U1069" s="2" t="s">
        <v>74</v>
      </c>
      <c r="V1069" s="5" t="s">
        <v>2524</v>
      </c>
      <c r="W1069" s="2" t="s">
        <v>74</v>
      </c>
      <c r="X1069" s="2" t="s">
        <v>74</v>
      </c>
      <c r="Y1069" s="2" t="s">
        <v>74</v>
      </c>
      <c r="Z1069" s="2" t="s">
        <v>74</v>
      </c>
      <c r="AA1069" s="2" t="s">
        <v>2525</v>
      </c>
      <c r="AB1069" s="2" t="s">
        <v>2526</v>
      </c>
      <c r="AC1069" s="2" t="s">
        <v>74</v>
      </c>
      <c r="AD1069" s="2" t="s">
        <v>74</v>
      </c>
      <c r="AE1069" s="2" t="s">
        <v>74</v>
      </c>
      <c r="AF1069" s="2" t="s">
        <v>74</v>
      </c>
      <c r="AG1069" s="2" t="s">
        <v>74</v>
      </c>
      <c r="AH1069" s="2" t="s">
        <v>74</v>
      </c>
      <c r="AI1069" s="2" t="s">
        <v>74</v>
      </c>
      <c r="AJ1069" s="2" t="s">
        <v>74</v>
      </c>
      <c r="AK1069" s="2" t="s">
        <v>74</v>
      </c>
      <c r="AL1069" s="2" t="s">
        <v>74</v>
      </c>
      <c r="AM1069" s="2" t="s">
        <v>74</v>
      </c>
      <c r="AN1069" s="2" t="s">
        <v>74</v>
      </c>
      <c r="AO1069" s="2" t="s">
        <v>143</v>
      </c>
      <c r="AP1069" s="2" t="s">
        <v>74</v>
      </c>
      <c r="AQ1069" s="2" t="s">
        <v>74</v>
      </c>
      <c r="AR1069" s="2" t="s">
        <v>74</v>
      </c>
      <c r="AS1069" s="2" t="s">
        <v>74</v>
      </c>
      <c r="AT1069" s="2" t="s">
        <v>102</v>
      </c>
      <c r="AU1069" s="2">
        <v>1999</v>
      </c>
      <c r="AV1069" s="2">
        <v>57</v>
      </c>
      <c r="AW1069" s="2" t="s">
        <v>74</v>
      </c>
      <c r="AX1069" s="2">
        <v>6</v>
      </c>
      <c r="AY1069" s="2" t="s">
        <v>74</v>
      </c>
      <c r="AZ1069" s="2" t="s">
        <v>74</v>
      </c>
      <c r="BA1069" s="2" t="s">
        <v>74</v>
      </c>
      <c r="BB1069" s="2">
        <v>1229</v>
      </c>
      <c r="BC1069" s="2">
        <v>1232</v>
      </c>
      <c r="BD1069" s="2" t="s">
        <v>74</v>
      </c>
      <c r="BE1069" s="2" t="s">
        <v>2527</v>
      </c>
      <c r="BF1069" s="2" t="str">
        <f>HYPERLINK("http://dx.doi.org/10.1006/anbe.1999.1100","http://dx.doi.org/10.1006/anbe.1999.1100")</f>
        <v>http://dx.doi.org/10.1006/anbe.1999.1100</v>
      </c>
      <c r="BG1069" s="2" t="s">
        <v>74</v>
      </c>
      <c r="BH1069" s="2" t="s">
        <v>74</v>
      </c>
      <c r="BI1069" s="2" t="s">
        <v>74</v>
      </c>
      <c r="BJ1069" s="2" t="s">
        <v>74</v>
      </c>
      <c r="BK1069" s="2" t="s">
        <v>74</v>
      </c>
      <c r="BL1069" s="2" t="s">
        <v>74</v>
      </c>
      <c r="BM1069" s="2" t="s">
        <v>74</v>
      </c>
      <c r="BN1069" s="2">
        <v>10373255</v>
      </c>
      <c r="BO1069" s="2" t="s">
        <v>74</v>
      </c>
      <c r="BP1069" s="2" t="s">
        <v>74</v>
      </c>
      <c r="BQ1069" s="2" t="s">
        <v>74</v>
      </c>
      <c r="BR1069" s="2" t="s">
        <v>74</v>
      </c>
      <c r="BS1069" s="2" t="s">
        <v>2528</v>
      </c>
      <c r="BT1069" s="2" t="str">
        <f>HYPERLINK("https%3A%2F%2Fwww.webofscience.com%2Fwos%2Fwoscc%2Ffull-record%2FWOS:000080973100007","View Full Record in Web of Science")</f>
        <v>View Full Record in Web of Science</v>
      </c>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row>
    <row r="1070" spans="1:314" s="1" customFormat="1" x14ac:dyDescent="0.4">
      <c r="A1070" s="2" t="s">
        <v>72</v>
      </c>
      <c r="B1070" s="2" t="s">
        <v>6794</v>
      </c>
      <c r="C1070" s="2" t="s">
        <v>74</v>
      </c>
      <c r="D1070" s="2" t="s">
        <v>74</v>
      </c>
      <c r="E1070" s="2" t="s">
        <v>74</v>
      </c>
      <c r="F1070" s="2" t="s">
        <v>6795</v>
      </c>
      <c r="G1070" s="2" t="s">
        <v>74</v>
      </c>
      <c r="H1070" s="2" t="s">
        <v>74</v>
      </c>
      <c r="I1070" s="2" t="s">
        <v>6796</v>
      </c>
      <c r="J1070" s="2" t="s">
        <v>2087</v>
      </c>
      <c r="K1070" s="2" t="s">
        <v>74</v>
      </c>
      <c r="L1070" s="2" t="s">
        <v>74</v>
      </c>
      <c r="M1070" s="2" t="s">
        <v>74</v>
      </c>
      <c r="N1070" s="2" t="s">
        <v>74</v>
      </c>
      <c r="O1070" s="2" t="s">
        <v>74</v>
      </c>
      <c r="P1070" s="2" t="s">
        <v>74</v>
      </c>
      <c r="Q1070" s="2" t="s">
        <v>74</v>
      </c>
      <c r="R1070" s="2" t="s">
        <v>74</v>
      </c>
      <c r="S1070" s="2" t="s">
        <v>74</v>
      </c>
      <c r="T1070" s="2" t="s">
        <v>74</v>
      </c>
      <c r="U1070" s="2" t="s">
        <v>74</v>
      </c>
      <c r="V1070" s="5" t="s">
        <v>6797</v>
      </c>
      <c r="W1070" s="2" t="s">
        <v>74</v>
      </c>
      <c r="X1070" s="2" t="s">
        <v>74</v>
      </c>
      <c r="Y1070" s="2" t="s">
        <v>74</v>
      </c>
      <c r="Z1070" s="2" t="s">
        <v>74</v>
      </c>
      <c r="AA1070" s="2" t="s">
        <v>6718</v>
      </c>
      <c r="AB1070" s="2" t="s">
        <v>6719</v>
      </c>
      <c r="AC1070" s="2" t="s">
        <v>74</v>
      </c>
      <c r="AD1070" s="2" t="s">
        <v>74</v>
      </c>
      <c r="AE1070" s="2" t="s">
        <v>74</v>
      </c>
      <c r="AF1070" s="2" t="s">
        <v>74</v>
      </c>
      <c r="AG1070" s="2" t="s">
        <v>74</v>
      </c>
      <c r="AH1070" s="2" t="s">
        <v>74</v>
      </c>
      <c r="AI1070" s="2" t="s">
        <v>74</v>
      </c>
      <c r="AJ1070" s="2" t="s">
        <v>74</v>
      </c>
      <c r="AK1070" s="2" t="s">
        <v>74</v>
      </c>
      <c r="AL1070" s="2" t="s">
        <v>74</v>
      </c>
      <c r="AM1070" s="2" t="s">
        <v>74</v>
      </c>
      <c r="AN1070" s="2" t="s">
        <v>74</v>
      </c>
      <c r="AO1070" s="2" t="s">
        <v>2089</v>
      </c>
      <c r="AP1070" s="2" t="s">
        <v>74</v>
      </c>
      <c r="AQ1070" s="2" t="s">
        <v>74</v>
      </c>
      <c r="AR1070" s="2" t="s">
        <v>74</v>
      </c>
      <c r="AS1070" s="2" t="s">
        <v>74</v>
      </c>
      <c r="AT1070" s="2" t="s">
        <v>74</v>
      </c>
      <c r="AU1070" s="2">
        <v>2007</v>
      </c>
      <c r="AV1070" s="2">
        <v>14</v>
      </c>
      <c r="AW1070" s="2">
        <v>1</v>
      </c>
      <c r="AX1070" s="2" t="s">
        <v>74</v>
      </c>
      <c r="AY1070" s="2" t="s">
        <v>74</v>
      </c>
      <c r="AZ1070" s="2" t="s">
        <v>74</v>
      </c>
      <c r="BA1070" s="2" t="s">
        <v>74</v>
      </c>
      <c r="BB1070" s="2">
        <v>1</v>
      </c>
      <c r="BC1070" s="2">
        <v>7</v>
      </c>
      <c r="BD1070" s="2" t="s">
        <v>74</v>
      </c>
      <c r="BE1070" s="2" t="s">
        <v>6798</v>
      </c>
      <c r="BF1070" s="2" t="str">
        <f>HYPERLINK("http://dx.doi.org/10.2980/1195-6860(2007)14[1:RIBNDS]2.0.CO;2","http://dx.doi.org/10.2980/1195-6860(2007)14[1:RIBNDS]2.0.CO;2")</f>
        <v>http://dx.doi.org/10.2980/1195-6860(2007)14[1:RIBNDS]2.0.CO;2</v>
      </c>
      <c r="BG1070" s="2" t="s">
        <v>74</v>
      </c>
      <c r="BH1070" s="2" t="s">
        <v>74</v>
      </c>
      <c r="BI1070" s="2" t="s">
        <v>74</v>
      </c>
      <c r="BJ1070" s="2" t="s">
        <v>74</v>
      </c>
      <c r="BK1070" s="2" t="s">
        <v>74</v>
      </c>
      <c r="BL1070" s="2" t="s">
        <v>74</v>
      </c>
      <c r="BM1070" s="2" t="s">
        <v>74</v>
      </c>
      <c r="BN1070" s="2" t="s">
        <v>74</v>
      </c>
      <c r="BO1070" s="2" t="s">
        <v>74</v>
      </c>
      <c r="BP1070" s="2" t="s">
        <v>74</v>
      </c>
      <c r="BQ1070" s="2" t="s">
        <v>74</v>
      </c>
      <c r="BR1070" s="2" t="s">
        <v>74</v>
      </c>
      <c r="BS1070" s="2" t="s">
        <v>6799</v>
      </c>
      <c r="BT1070" s="2" t="str">
        <f>HYPERLINK("https%3A%2F%2Fwww.webofscience.com%2Fwos%2Fwoscc%2Ffull-record%2FWOS:000245364700001","View Full Record in Web of Science")</f>
        <v>View Full Record in Web of Science</v>
      </c>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row>
    <row r="1071" spans="1:314" s="2" customFormat="1" x14ac:dyDescent="0.4">
      <c r="A1071" s="2" t="s">
        <v>72</v>
      </c>
      <c r="B1071" s="2" t="s">
        <v>1159</v>
      </c>
      <c r="C1071" s="2" t="s">
        <v>74</v>
      </c>
      <c r="D1071" s="2" t="s">
        <v>74</v>
      </c>
      <c r="E1071" s="2" t="s">
        <v>74</v>
      </c>
      <c r="F1071" s="2" t="s">
        <v>1160</v>
      </c>
      <c r="G1071" s="2" t="s">
        <v>74</v>
      </c>
      <c r="H1071" s="2" t="s">
        <v>74</v>
      </c>
      <c r="I1071" s="2" t="s">
        <v>1161</v>
      </c>
      <c r="J1071" s="2" t="s">
        <v>576</v>
      </c>
      <c r="K1071" s="2" t="s">
        <v>74</v>
      </c>
      <c r="L1071" s="2" t="s">
        <v>74</v>
      </c>
      <c r="M1071" s="2" t="s">
        <v>74</v>
      </c>
      <c r="N1071" s="2" t="s">
        <v>74</v>
      </c>
      <c r="O1071" s="2" t="s">
        <v>74</v>
      </c>
      <c r="P1071" s="2" t="s">
        <v>74</v>
      </c>
      <c r="Q1071" s="2" t="s">
        <v>74</v>
      </c>
      <c r="R1071" s="2" t="s">
        <v>74</v>
      </c>
      <c r="S1071" s="2" t="s">
        <v>74</v>
      </c>
      <c r="T1071" s="2" t="s">
        <v>74</v>
      </c>
      <c r="U1071" s="2" t="s">
        <v>74</v>
      </c>
      <c r="V1071" s="5" t="s">
        <v>1162</v>
      </c>
      <c r="W1071" s="2" t="s">
        <v>74</v>
      </c>
      <c r="X1071" s="2" t="s">
        <v>74</v>
      </c>
      <c r="Y1071" s="2" t="s">
        <v>74</v>
      </c>
      <c r="Z1071" s="2" t="s">
        <v>74</v>
      </c>
      <c r="AA1071" s="2" t="s">
        <v>74</v>
      </c>
      <c r="AB1071" s="2" t="s">
        <v>1163</v>
      </c>
      <c r="AC1071" s="2" t="s">
        <v>74</v>
      </c>
      <c r="AD1071" s="2" t="s">
        <v>74</v>
      </c>
      <c r="AE1071" s="2" t="s">
        <v>74</v>
      </c>
      <c r="AF1071" s="2" t="s">
        <v>74</v>
      </c>
      <c r="AG1071" s="2" t="s">
        <v>74</v>
      </c>
      <c r="AH1071" s="2" t="s">
        <v>74</v>
      </c>
      <c r="AI1071" s="2" t="s">
        <v>74</v>
      </c>
      <c r="AJ1071" s="2" t="s">
        <v>74</v>
      </c>
      <c r="AK1071" s="2" t="s">
        <v>74</v>
      </c>
      <c r="AL1071" s="2" t="s">
        <v>74</v>
      </c>
      <c r="AM1071" s="2" t="s">
        <v>74</v>
      </c>
      <c r="AN1071" s="2" t="s">
        <v>74</v>
      </c>
      <c r="AO1071" s="2" t="s">
        <v>579</v>
      </c>
      <c r="AP1071" s="2" t="s">
        <v>74</v>
      </c>
      <c r="AQ1071" s="2" t="s">
        <v>74</v>
      </c>
      <c r="AR1071" s="2" t="s">
        <v>74</v>
      </c>
      <c r="AS1071" s="2" t="s">
        <v>74</v>
      </c>
      <c r="AT1071" s="2" t="s">
        <v>255</v>
      </c>
      <c r="AU1071" s="2">
        <v>2011</v>
      </c>
      <c r="AV1071" s="2">
        <v>25</v>
      </c>
      <c r="AW1071" s="2">
        <v>1</v>
      </c>
      <c r="AX1071" s="2" t="s">
        <v>74</v>
      </c>
      <c r="AY1071" s="2" t="s">
        <v>74</v>
      </c>
      <c r="AZ1071" s="2" t="s">
        <v>74</v>
      </c>
      <c r="BA1071" s="2" t="s">
        <v>74</v>
      </c>
      <c r="BB1071" s="2">
        <v>139</v>
      </c>
      <c r="BC1071" s="2">
        <v>154</v>
      </c>
      <c r="BD1071" s="2" t="s">
        <v>74</v>
      </c>
      <c r="BE1071" s="2" t="s">
        <v>1164</v>
      </c>
      <c r="BF1071" s="2" t="str">
        <f>HYPERLINK("http://dx.doi.org/10.1007/s10682-010-9388-z","http://dx.doi.org/10.1007/s10682-010-9388-z")</f>
        <v>http://dx.doi.org/10.1007/s10682-010-9388-z</v>
      </c>
      <c r="BG1071" s="2" t="s">
        <v>74</v>
      </c>
      <c r="BH1071" s="2" t="s">
        <v>74</v>
      </c>
      <c r="BI1071" s="2" t="s">
        <v>74</v>
      </c>
      <c r="BJ1071" s="2" t="s">
        <v>74</v>
      </c>
      <c r="BK1071" s="2" t="s">
        <v>74</v>
      </c>
      <c r="BL1071" s="2" t="s">
        <v>74</v>
      </c>
      <c r="BM1071" s="2" t="s">
        <v>74</v>
      </c>
      <c r="BN1071" s="2" t="s">
        <v>74</v>
      </c>
      <c r="BO1071" s="2" t="s">
        <v>74</v>
      </c>
      <c r="BP1071" s="2" t="s">
        <v>74</v>
      </c>
      <c r="BQ1071" s="2" t="s">
        <v>74</v>
      </c>
      <c r="BR1071" s="2" t="s">
        <v>74</v>
      </c>
      <c r="BS1071" s="2" t="s">
        <v>1165</v>
      </c>
      <c r="BT1071" s="2" t="str">
        <f>HYPERLINK("https%3A%2F%2Fwww.webofscience.com%2Fwos%2Fwoscc%2Ffull-record%2FWOS:000287600500010","View Full Record in Web of Science")</f>
        <v>View Full Record in Web of Science</v>
      </c>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row>
    <row r="1072" spans="1:314" s="2" customFormat="1" x14ac:dyDescent="0.4">
      <c r="A1072" s="2" t="s">
        <v>72</v>
      </c>
      <c r="B1072" s="2" t="s">
        <v>1993</v>
      </c>
      <c r="C1072" s="2" t="s">
        <v>74</v>
      </c>
      <c r="D1072" s="2" t="s">
        <v>74</v>
      </c>
      <c r="E1072" s="2" t="s">
        <v>74</v>
      </c>
      <c r="F1072" s="2" t="s">
        <v>1993</v>
      </c>
      <c r="G1072" s="2" t="s">
        <v>74</v>
      </c>
      <c r="H1072" s="2" t="s">
        <v>74</v>
      </c>
      <c r="I1072" s="2" t="s">
        <v>1994</v>
      </c>
      <c r="J1072" s="2" t="s">
        <v>1995</v>
      </c>
      <c r="K1072" s="2" t="s">
        <v>74</v>
      </c>
      <c r="L1072" s="2" t="s">
        <v>74</v>
      </c>
      <c r="M1072" s="2" t="s">
        <v>74</v>
      </c>
      <c r="N1072" s="2" t="s">
        <v>74</v>
      </c>
      <c r="O1072" s="2" t="s">
        <v>74</v>
      </c>
      <c r="P1072" s="2" t="s">
        <v>74</v>
      </c>
      <c r="Q1072" s="2" t="s">
        <v>74</v>
      </c>
      <c r="R1072" s="2" t="s">
        <v>74</v>
      </c>
      <c r="S1072" s="2" t="s">
        <v>74</v>
      </c>
      <c r="T1072" s="2" t="s">
        <v>74</v>
      </c>
      <c r="U1072" s="2" t="s">
        <v>74</v>
      </c>
      <c r="V1072" s="5" t="s">
        <v>1996</v>
      </c>
      <c r="W1072" s="2" t="s">
        <v>74</v>
      </c>
      <c r="X1072" s="2" t="s">
        <v>74</v>
      </c>
      <c r="Y1072" s="2" t="s">
        <v>74</v>
      </c>
      <c r="Z1072" s="2" t="s">
        <v>74</v>
      </c>
      <c r="AA1072" s="2" t="s">
        <v>74</v>
      </c>
      <c r="AB1072" s="2" t="s">
        <v>74</v>
      </c>
      <c r="AC1072" s="2" t="s">
        <v>74</v>
      </c>
      <c r="AD1072" s="2" t="s">
        <v>74</v>
      </c>
      <c r="AE1072" s="2" t="s">
        <v>74</v>
      </c>
      <c r="AF1072" s="2" t="s">
        <v>74</v>
      </c>
      <c r="AG1072" s="2" t="s">
        <v>74</v>
      </c>
      <c r="AH1072" s="2" t="s">
        <v>74</v>
      </c>
      <c r="AI1072" s="2" t="s">
        <v>74</v>
      </c>
      <c r="AJ1072" s="2" t="s">
        <v>74</v>
      </c>
      <c r="AK1072" s="2" t="s">
        <v>74</v>
      </c>
      <c r="AL1072" s="2" t="s">
        <v>74</v>
      </c>
      <c r="AM1072" s="2" t="s">
        <v>74</v>
      </c>
      <c r="AN1072" s="2" t="s">
        <v>74</v>
      </c>
      <c r="AO1072" s="2" t="s">
        <v>1997</v>
      </c>
      <c r="AP1072" s="2" t="s">
        <v>74</v>
      </c>
      <c r="AQ1072" s="2" t="s">
        <v>74</v>
      </c>
      <c r="AR1072" s="2" t="s">
        <v>74</v>
      </c>
      <c r="AS1072" s="2" t="s">
        <v>74</v>
      </c>
      <c r="AT1072" s="2" t="s">
        <v>1998</v>
      </c>
      <c r="AU1072" s="2">
        <v>2003</v>
      </c>
      <c r="AV1072" s="2">
        <v>74</v>
      </c>
      <c r="AW1072" s="2">
        <v>4</v>
      </c>
      <c r="AX1072" s="2" t="s">
        <v>74</v>
      </c>
      <c r="AY1072" s="2" t="s">
        <v>74</v>
      </c>
      <c r="AZ1072" s="2" t="s">
        <v>74</v>
      </c>
      <c r="BA1072" s="2" t="s">
        <v>74</v>
      </c>
      <c r="BB1072" s="2">
        <v>406</v>
      </c>
      <c r="BC1072" s="2">
        <v>415</v>
      </c>
      <c r="BD1072" s="2" t="s">
        <v>74</v>
      </c>
      <c r="BE1072" s="2" t="s">
        <v>1999</v>
      </c>
      <c r="BF1072" s="2" t="str">
        <f>HYPERLINK("http://dx.doi.org/10.1648/0273-8570-74.4.406","http://dx.doi.org/10.1648/0273-8570-74.4.406")</f>
        <v>http://dx.doi.org/10.1648/0273-8570-74.4.406</v>
      </c>
      <c r="BG1072" s="2" t="s">
        <v>74</v>
      </c>
      <c r="BH1072" s="2" t="s">
        <v>74</v>
      </c>
      <c r="BI1072" s="2" t="s">
        <v>74</v>
      </c>
      <c r="BJ1072" s="2" t="s">
        <v>74</v>
      </c>
      <c r="BK1072" s="2" t="s">
        <v>74</v>
      </c>
      <c r="BL1072" s="2" t="s">
        <v>74</v>
      </c>
      <c r="BM1072" s="2" t="s">
        <v>74</v>
      </c>
      <c r="BN1072" s="2" t="s">
        <v>74</v>
      </c>
      <c r="BO1072" s="2" t="s">
        <v>74</v>
      </c>
      <c r="BP1072" s="2" t="s">
        <v>74</v>
      </c>
      <c r="BQ1072" s="2" t="s">
        <v>74</v>
      </c>
      <c r="BR1072" s="2" t="s">
        <v>74</v>
      </c>
      <c r="BS1072" s="2" t="s">
        <v>2000</v>
      </c>
      <c r="BT1072" s="2" t="str">
        <f>HYPERLINK("https%3A%2F%2Fwww.webofscience.com%2Fwos%2Fwoscc%2Ffull-record%2FWOS:000186208600011","View Full Record in Web of Science")</f>
        <v>View Full Record in Web of Science</v>
      </c>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row>
    <row r="1073" spans="1:314" s="2" customFormat="1" x14ac:dyDescent="0.4">
      <c r="A1073" s="2" t="s">
        <v>72</v>
      </c>
      <c r="B1073" s="2" t="s">
        <v>7384</v>
      </c>
      <c r="C1073" s="2" t="s">
        <v>74</v>
      </c>
      <c r="D1073" s="2" t="s">
        <v>74</v>
      </c>
      <c r="E1073" s="2" t="s">
        <v>74</v>
      </c>
      <c r="F1073" s="2" t="s">
        <v>7385</v>
      </c>
      <c r="G1073" s="2" t="s">
        <v>74</v>
      </c>
      <c r="H1073" s="2" t="s">
        <v>74</v>
      </c>
      <c r="I1073" s="2" t="s">
        <v>7386</v>
      </c>
      <c r="J1073" s="2" t="s">
        <v>1526</v>
      </c>
      <c r="K1073" s="2" t="s">
        <v>74</v>
      </c>
      <c r="L1073" s="2" t="s">
        <v>74</v>
      </c>
      <c r="M1073" s="2" t="s">
        <v>74</v>
      </c>
      <c r="N1073" s="2" t="s">
        <v>74</v>
      </c>
      <c r="O1073" s="2" t="s">
        <v>74</v>
      </c>
      <c r="P1073" s="2" t="s">
        <v>74</v>
      </c>
      <c r="Q1073" s="2" t="s">
        <v>74</v>
      </c>
      <c r="R1073" s="2" t="s">
        <v>74</v>
      </c>
      <c r="S1073" s="2" t="s">
        <v>74</v>
      </c>
      <c r="T1073" s="2" t="s">
        <v>74</v>
      </c>
      <c r="U1073" s="2" t="s">
        <v>74</v>
      </c>
      <c r="V1073" s="5" t="s">
        <v>7387</v>
      </c>
      <c r="W1073" s="2" t="s">
        <v>74</v>
      </c>
      <c r="X1073" s="2" t="s">
        <v>74</v>
      </c>
      <c r="Y1073" s="2" t="s">
        <v>74</v>
      </c>
      <c r="Z1073" s="2" t="s">
        <v>74</v>
      </c>
      <c r="AA1073" s="2" t="s">
        <v>74</v>
      </c>
      <c r="AB1073" s="2" t="s">
        <v>74</v>
      </c>
      <c r="AC1073" s="2" t="s">
        <v>74</v>
      </c>
      <c r="AD1073" s="2" t="s">
        <v>74</v>
      </c>
      <c r="AE1073" s="2" t="s">
        <v>74</v>
      </c>
      <c r="AF1073" s="2" t="s">
        <v>74</v>
      </c>
      <c r="AG1073" s="2" t="s">
        <v>74</v>
      </c>
      <c r="AH1073" s="2" t="s">
        <v>74</v>
      </c>
      <c r="AI1073" s="2" t="s">
        <v>74</v>
      </c>
      <c r="AJ1073" s="2" t="s">
        <v>74</v>
      </c>
      <c r="AK1073" s="2" t="s">
        <v>74</v>
      </c>
      <c r="AL1073" s="2" t="s">
        <v>74</v>
      </c>
      <c r="AM1073" s="2" t="s">
        <v>74</v>
      </c>
      <c r="AN1073" s="2" t="s">
        <v>74</v>
      </c>
      <c r="AO1073" s="2" t="s">
        <v>1528</v>
      </c>
      <c r="AP1073" s="2" t="s">
        <v>2131</v>
      </c>
      <c r="AQ1073" s="2" t="s">
        <v>74</v>
      </c>
      <c r="AR1073" s="2" t="s">
        <v>74</v>
      </c>
      <c r="AS1073" s="2" t="s">
        <v>74</v>
      </c>
      <c r="AT1073" s="2" t="s">
        <v>134</v>
      </c>
      <c r="AU1073" s="2">
        <v>2008</v>
      </c>
      <c r="AV1073" s="2">
        <v>110</v>
      </c>
      <c r="AW1073" s="2">
        <v>2</v>
      </c>
      <c r="AX1073" s="2" t="s">
        <v>74</v>
      </c>
      <c r="AY1073" s="2" t="s">
        <v>74</v>
      </c>
      <c r="AZ1073" s="2" t="s">
        <v>74</v>
      </c>
      <c r="BA1073" s="2" t="s">
        <v>74</v>
      </c>
      <c r="BB1073" s="2">
        <v>241</v>
      </c>
      <c r="BC1073" s="2">
        <v>250</v>
      </c>
      <c r="BD1073" s="2" t="s">
        <v>74</v>
      </c>
      <c r="BE1073" s="2" t="s">
        <v>7388</v>
      </c>
      <c r="BF1073" s="2" t="str">
        <f>HYPERLINK("http://dx.doi.org/10.1525/cond.2008.8476","http://dx.doi.org/10.1525/cond.2008.8476")</f>
        <v>http://dx.doi.org/10.1525/cond.2008.8476</v>
      </c>
      <c r="BG1073" s="2" t="s">
        <v>74</v>
      </c>
      <c r="BH1073" s="2" t="s">
        <v>74</v>
      </c>
      <c r="BI1073" s="2" t="s">
        <v>74</v>
      </c>
      <c r="BJ1073" s="2" t="s">
        <v>74</v>
      </c>
      <c r="BK1073" s="2" t="s">
        <v>74</v>
      </c>
      <c r="BL1073" s="2" t="s">
        <v>74</v>
      </c>
      <c r="BM1073" s="2" t="s">
        <v>74</v>
      </c>
      <c r="BN1073" s="2" t="s">
        <v>74</v>
      </c>
      <c r="BO1073" s="2" t="s">
        <v>74</v>
      </c>
      <c r="BP1073" s="2" t="s">
        <v>74</v>
      </c>
      <c r="BQ1073" s="2" t="s">
        <v>74</v>
      </c>
      <c r="BR1073" s="2" t="s">
        <v>74</v>
      </c>
      <c r="BS1073" s="2" t="s">
        <v>7389</v>
      </c>
      <c r="BT1073" s="2" t="str">
        <f>HYPERLINK("https%3A%2F%2Fwww.webofscience.com%2Fwos%2Fwoscc%2Ffull-record%2FWOS:000258851900004","View Full Record in Web of Science")</f>
        <v>View Full Record in Web of Science</v>
      </c>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row>
    <row r="1074" spans="1:314" s="7" customFormat="1" x14ac:dyDescent="0.4">
      <c r="A1074" s="2" t="s">
        <v>72</v>
      </c>
      <c r="B1074" s="2" t="s">
        <v>8428</v>
      </c>
      <c r="C1074" s="2" t="s">
        <v>74</v>
      </c>
      <c r="D1074" s="2" t="s">
        <v>74</v>
      </c>
      <c r="E1074" s="2" t="s">
        <v>74</v>
      </c>
      <c r="F1074" s="2" t="s">
        <v>8429</v>
      </c>
      <c r="G1074" s="2" t="s">
        <v>74</v>
      </c>
      <c r="H1074" s="2" t="s">
        <v>74</v>
      </c>
      <c r="I1074" s="2" t="s">
        <v>8430</v>
      </c>
      <c r="J1074" s="2" t="s">
        <v>1480</v>
      </c>
      <c r="K1074" s="2" t="s">
        <v>74</v>
      </c>
      <c r="L1074" s="2" t="s">
        <v>74</v>
      </c>
      <c r="M1074" s="2" t="s">
        <v>74</v>
      </c>
      <c r="N1074" s="2" t="s">
        <v>74</v>
      </c>
      <c r="O1074" s="2" t="s">
        <v>74</v>
      </c>
      <c r="P1074" s="2" t="s">
        <v>74</v>
      </c>
      <c r="Q1074" s="2" t="s">
        <v>74</v>
      </c>
      <c r="R1074" s="2" t="s">
        <v>74</v>
      </c>
      <c r="S1074" s="2" t="s">
        <v>74</v>
      </c>
      <c r="T1074" s="2" t="s">
        <v>74</v>
      </c>
      <c r="U1074" s="2" t="s">
        <v>74</v>
      </c>
      <c r="V1074" s="5" t="s">
        <v>8431</v>
      </c>
      <c r="W1074" s="2" t="s">
        <v>74</v>
      </c>
      <c r="X1074" s="2" t="s">
        <v>74</v>
      </c>
      <c r="Y1074" s="2" t="s">
        <v>74</v>
      </c>
      <c r="Z1074" s="2" t="s">
        <v>74</v>
      </c>
      <c r="AA1074" s="2" t="s">
        <v>74</v>
      </c>
      <c r="AB1074" s="2" t="s">
        <v>74</v>
      </c>
      <c r="AC1074" s="2" t="s">
        <v>74</v>
      </c>
      <c r="AD1074" s="2" t="s">
        <v>74</v>
      </c>
      <c r="AE1074" s="2" t="s">
        <v>74</v>
      </c>
      <c r="AF1074" s="2" t="s">
        <v>74</v>
      </c>
      <c r="AG1074" s="2" t="s">
        <v>74</v>
      </c>
      <c r="AH1074" s="2" t="s">
        <v>74</v>
      </c>
      <c r="AI1074" s="2" t="s">
        <v>74</v>
      </c>
      <c r="AJ1074" s="2" t="s">
        <v>74</v>
      </c>
      <c r="AK1074" s="2" t="s">
        <v>74</v>
      </c>
      <c r="AL1074" s="2" t="s">
        <v>74</v>
      </c>
      <c r="AM1074" s="2" t="s">
        <v>74</v>
      </c>
      <c r="AN1074" s="2" t="s">
        <v>74</v>
      </c>
      <c r="AO1074" s="2" t="s">
        <v>1482</v>
      </c>
      <c r="AP1074" s="2" t="s">
        <v>6949</v>
      </c>
      <c r="AQ1074" s="2" t="s">
        <v>74</v>
      </c>
      <c r="AR1074" s="2" t="s">
        <v>74</v>
      </c>
      <c r="AS1074" s="2" t="s">
        <v>74</v>
      </c>
      <c r="AT1074" s="2" t="s">
        <v>175</v>
      </c>
      <c r="AU1074" s="2">
        <v>2023</v>
      </c>
      <c r="AV1074" s="2">
        <v>102</v>
      </c>
      <c r="AW1074" s="2">
        <v>10</v>
      </c>
      <c r="AX1074" s="2" t="s">
        <v>74</v>
      </c>
      <c r="AY1074" s="2" t="s">
        <v>74</v>
      </c>
      <c r="AZ1074" s="2" t="s">
        <v>74</v>
      </c>
      <c r="BA1074" s="2" t="s">
        <v>74</v>
      </c>
      <c r="BB1074" s="2" t="s">
        <v>74</v>
      </c>
      <c r="BC1074" s="2" t="s">
        <v>74</v>
      </c>
      <c r="BD1074" s="2">
        <v>102927</v>
      </c>
      <c r="BE1074" s="2" t="s">
        <v>8432</v>
      </c>
      <c r="BF1074" s="2" t="str">
        <f>HYPERLINK("http://dx.doi.org/10.1016/j.psj.2023.102927","http://dx.doi.org/10.1016/j.psj.2023.102927")</f>
        <v>http://dx.doi.org/10.1016/j.psj.2023.102927</v>
      </c>
      <c r="BG1074" s="2" t="s">
        <v>74</v>
      </c>
      <c r="BH1074" s="2" t="s">
        <v>2726</v>
      </c>
      <c r="BI1074" s="2" t="s">
        <v>74</v>
      </c>
      <c r="BJ1074" s="2" t="s">
        <v>74</v>
      </c>
      <c r="BK1074" s="2" t="s">
        <v>74</v>
      </c>
      <c r="BL1074" s="2" t="s">
        <v>74</v>
      </c>
      <c r="BM1074" s="2" t="s">
        <v>74</v>
      </c>
      <c r="BN1074" s="2">
        <v>37494809</v>
      </c>
      <c r="BO1074" s="2" t="s">
        <v>74</v>
      </c>
      <c r="BP1074" s="2" t="s">
        <v>74</v>
      </c>
      <c r="BQ1074" s="2" t="s">
        <v>74</v>
      </c>
      <c r="BR1074" s="2" t="s">
        <v>74</v>
      </c>
      <c r="BS1074" s="2" t="s">
        <v>8433</v>
      </c>
      <c r="BT1074" s="2" t="str">
        <f>HYPERLINK("https%3A%2F%2Fwww.webofscience.com%2Fwos%2Fwoscc%2Ffull-record%2FWOS:001046665000001","View Full Record in Web of Science")</f>
        <v>View Full Record in Web of Science</v>
      </c>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row>
    <row r="1075" spans="1:314" s="2" customFormat="1" x14ac:dyDescent="0.4">
      <c r="A1075" s="2" t="s">
        <v>72</v>
      </c>
      <c r="B1075" s="2" t="s">
        <v>8534</v>
      </c>
      <c r="C1075" s="2" t="s">
        <v>74</v>
      </c>
      <c r="D1075" s="2" t="s">
        <v>74</v>
      </c>
      <c r="E1075" s="2" t="s">
        <v>74</v>
      </c>
      <c r="F1075" s="2" t="s">
        <v>8534</v>
      </c>
      <c r="G1075" s="2" t="s">
        <v>74</v>
      </c>
      <c r="H1075" s="2" t="s">
        <v>74</v>
      </c>
      <c r="I1075" s="2" t="s">
        <v>8535</v>
      </c>
      <c r="J1075" s="2" t="s">
        <v>77</v>
      </c>
      <c r="K1075" s="2" t="s">
        <v>74</v>
      </c>
      <c r="L1075" s="2" t="s">
        <v>74</v>
      </c>
      <c r="M1075" s="2" t="s">
        <v>74</v>
      </c>
      <c r="N1075" s="2" t="s">
        <v>74</v>
      </c>
      <c r="O1075" s="2" t="s">
        <v>74</v>
      </c>
      <c r="P1075" s="2" t="s">
        <v>74</v>
      </c>
      <c r="Q1075" s="2" t="s">
        <v>74</v>
      </c>
      <c r="R1075" s="2" t="s">
        <v>74</v>
      </c>
      <c r="S1075" s="2" t="s">
        <v>74</v>
      </c>
      <c r="T1075" s="2" t="s">
        <v>74</v>
      </c>
      <c r="U1075" s="2" t="s">
        <v>74</v>
      </c>
      <c r="V1075" s="5" t="s">
        <v>8536</v>
      </c>
      <c r="W1075" s="2" t="s">
        <v>74</v>
      </c>
      <c r="X1075" s="2" t="s">
        <v>74</v>
      </c>
      <c r="Y1075" s="2" t="s">
        <v>74</v>
      </c>
      <c r="Z1075" s="2" t="s">
        <v>74</v>
      </c>
      <c r="AA1075" s="2" t="s">
        <v>74</v>
      </c>
      <c r="AB1075" s="2" t="s">
        <v>74</v>
      </c>
      <c r="AC1075" s="2" t="s">
        <v>74</v>
      </c>
      <c r="AD1075" s="2" t="s">
        <v>74</v>
      </c>
      <c r="AE1075" s="2" t="s">
        <v>74</v>
      </c>
      <c r="AF1075" s="2" t="s">
        <v>74</v>
      </c>
      <c r="AG1075" s="2" t="s">
        <v>74</v>
      </c>
      <c r="AH1075" s="2" t="s">
        <v>74</v>
      </c>
      <c r="AI1075" s="2" t="s">
        <v>74</v>
      </c>
      <c r="AJ1075" s="2" t="s">
        <v>74</v>
      </c>
      <c r="AK1075" s="2" t="s">
        <v>74</v>
      </c>
      <c r="AL1075" s="2" t="s">
        <v>74</v>
      </c>
      <c r="AM1075" s="2" t="s">
        <v>74</v>
      </c>
      <c r="AN1075" s="2" t="s">
        <v>74</v>
      </c>
      <c r="AO1075" s="2" t="s">
        <v>81</v>
      </c>
      <c r="AP1075" s="2" t="s">
        <v>82</v>
      </c>
      <c r="AQ1075" s="2" t="s">
        <v>74</v>
      </c>
      <c r="AR1075" s="2" t="s">
        <v>74</v>
      </c>
      <c r="AS1075" s="2" t="s">
        <v>74</v>
      </c>
      <c r="AT1075" s="2" t="s">
        <v>305</v>
      </c>
      <c r="AU1075" s="2">
        <v>1993</v>
      </c>
      <c r="AV1075" s="2">
        <v>127</v>
      </c>
      <c r="AW1075" s="2" t="s">
        <v>74</v>
      </c>
      <c r="AX1075" s="2" t="s">
        <v>1276</v>
      </c>
      <c r="AY1075" s="2" t="s">
        <v>74</v>
      </c>
      <c r="AZ1075" s="2" t="s">
        <v>74</v>
      </c>
      <c r="BA1075" s="2" t="s">
        <v>74</v>
      </c>
      <c r="BB1075" s="2">
        <v>247</v>
      </c>
      <c r="BC1075" s="2">
        <v>263</v>
      </c>
      <c r="BD1075" s="2" t="s">
        <v>74</v>
      </c>
      <c r="BE1075" s="2" t="s">
        <v>8537</v>
      </c>
      <c r="BF1075" s="2" t="str">
        <f>HYPERLINK("http://dx.doi.org/10.1163/156853993X00047","http://dx.doi.org/10.1163/156853993X00047")</f>
        <v>http://dx.doi.org/10.1163/156853993X00047</v>
      </c>
      <c r="BG1075" s="2" t="s">
        <v>74</v>
      </c>
      <c r="BH1075" s="2" t="s">
        <v>74</v>
      </c>
      <c r="BI1075" s="2" t="s">
        <v>74</v>
      </c>
      <c r="BJ1075" s="2" t="s">
        <v>74</v>
      </c>
      <c r="BK1075" s="2" t="s">
        <v>74</v>
      </c>
      <c r="BL1075" s="2" t="s">
        <v>74</v>
      </c>
      <c r="BM1075" s="2" t="s">
        <v>74</v>
      </c>
      <c r="BN1075" s="2" t="s">
        <v>74</v>
      </c>
      <c r="BO1075" s="2" t="s">
        <v>74</v>
      </c>
      <c r="BP1075" s="2" t="s">
        <v>74</v>
      </c>
      <c r="BQ1075" s="2" t="s">
        <v>74</v>
      </c>
      <c r="BR1075" s="2" t="s">
        <v>74</v>
      </c>
      <c r="BS1075" s="2" t="s">
        <v>8538</v>
      </c>
      <c r="BT1075" s="2" t="str">
        <f>HYPERLINK("https%3A%2F%2Fwww.webofscience.com%2Fwos%2Fwoscc%2Ffull-record%2FWOS:A1993NH18400004","View Full Record in Web of Science")</f>
        <v>View Full Record in Web of Science</v>
      </c>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row>
    <row r="1076" spans="1:314" s="2" customFormat="1" x14ac:dyDescent="0.4">
      <c r="A1076" s="2" t="s">
        <v>72</v>
      </c>
      <c r="B1076" s="2" t="s">
        <v>5169</v>
      </c>
      <c r="C1076" s="2" t="s">
        <v>74</v>
      </c>
      <c r="D1076" s="2" t="s">
        <v>74</v>
      </c>
      <c r="E1076" s="2" t="s">
        <v>74</v>
      </c>
      <c r="F1076" s="2" t="s">
        <v>5170</v>
      </c>
      <c r="G1076" s="2" t="s">
        <v>74</v>
      </c>
      <c r="H1076" s="2" t="s">
        <v>74</v>
      </c>
      <c r="I1076" s="2" t="s">
        <v>5171</v>
      </c>
      <c r="J1076" s="2" t="s">
        <v>1803</v>
      </c>
      <c r="K1076" s="2" t="s">
        <v>74</v>
      </c>
      <c r="L1076" s="2" t="s">
        <v>74</v>
      </c>
      <c r="M1076" s="2" t="s">
        <v>74</v>
      </c>
      <c r="N1076" s="2" t="s">
        <v>74</v>
      </c>
      <c r="O1076" s="2" t="s">
        <v>74</v>
      </c>
      <c r="P1076" s="2" t="s">
        <v>74</v>
      </c>
      <c r="Q1076" s="2" t="s">
        <v>74</v>
      </c>
      <c r="R1076" s="2" t="s">
        <v>74</v>
      </c>
      <c r="S1076" s="2" t="s">
        <v>74</v>
      </c>
      <c r="T1076" s="2" t="s">
        <v>74</v>
      </c>
      <c r="U1076" s="2" t="s">
        <v>74</v>
      </c>
      <c r="V1076" s="5" t="s">
        <v>5172</v>
      </c>
      <c r="W1076" s="2" t="s">
        <v>74</v>
      </c>
      <c r="X1076" s="2" t="s">
        <v>74</v>
      </c>
      <c r="Y1076" s="2" t="s">
        <v>74</v>
      </c>
      <c r="Z1076" s="2" t="s">
        <v>74</v>
      </c>
      <c r="AA1076" s="2" t="s">
        <v>5173</v>
      </c>
      <c r="AB1076" s="2" t="s">
        <v>5174</v>
      </c>
      <c r="AC1076" s="2" t="s">
        <v>74</v>
      </c>
      <c r="AD1076" s="2" t="s">
        <v>74</v>
      </c>
      <c r="AE1076" s="2" t="s">
        <v>74</v>
      </c>
      <c r="AF1076" s="2" t="s">
        <v>74</v>
      </c>
      <c r="AG1076" s="2" t="s">
        <v>74</v>
      </c>
      <c r="AH1076" s="2" t="s">
        <v>74</v>
      </c>
      <c r="AI1076" s="2" t="s">
        <v>74</v>
      </c>
      <c r="AJ1076" s="2" t="s">
        <v>74</v>
      </c>
      <c r="AK1076" s="2" t="s">
        <v>74</v>
      </c>
      <c r="AL1076" s="2" t="s">
        <v>74</v>
      </c>
      <c r="AM1076" s="2" t="s">
        <v>74</v>
      </c>
      <c r="AN1076" s="2" t="s">
        <v>74</v>
      </c>
      <c r="AO1076" s="2" t="s">
        <v>1807</v>
      </c>
      <c r="AP1076" s="2" t="s">
        <v>1808</v>
      </c>
      <c r="AQ1076" s="2" t="s">
        <v>74</v>
      </c>
      <c r="AR1076" s="2" t="s">
        <v>74</v>
      </c>
      <c r="AS1076" s="2" t="s">
        <v>74</v>
      </c>
      <c r="AT1076" s="2" t="s">
        <v>633</v>
      </c>
      <c r="AU1076" s="2">
        <v>2010</v>
      </c>
      <c r="AV1076" s="2">
        <v>24</v>
      </c>
      <c r="AW1076" s="2">
        <v>2</v>
      </c>
      <c r="AX1076" s="2" t="s">
        <v>74</v>
      </c>
      <c r="AY1076" s="2" t="s">
        <v>74</v>
      </c>
      <c r="AZ1076" s="2" t="s">
        <v>74</v>
      </c>
      <c r="BA1076" s="2" t="s">
        <v>74</v>
      </c>
      <c r="BB1076" s="2">
        <v>417</v>
      </c>
      <c r="BC1076" s="2">
        <v>425</v>
      </c>
      <c r="BD1076" s="2" t="s">
        <v>74</v>
      </c>
      <c r="BE1076" s="2" t="s">
        <v>5175</v>
      </c>
      <c r="BF1076" s="2" t="str">
        <f>HYPERLINK("http://dx.doi.org/10.1111/j.1365-2435.2009.01660.x","http://dx.doi.org/10.1111/j.1365-2435.2009.01660.x")</f>
        <v>http://dx.doi.org/10.1111/j.1365-2435.2009.01660.x</v>
      </c>
      <c r="BG1076" s="2" t="s">
        <v>74</v>
      </c>
      <c r="BH1076" s="2" t="s">
        <v>74</v>
      </c>
      <c r="BI1076" s="2" t="s">
        <v>74</v>
      </c>
      <c r="BJ1076" s="2" t="s">
        <v>74</v>
      </c>
      <c r="BK1076" s="2" t="s">
        <v>74</v>
      </c>
      <c r="BL1076" s="2" t="s">
        <v>74</v>
      </c>
      <c r="BM1076" s="2" t="s">
        <v>74</v>
      </c>
      <c r="BN1076" s="2" t="s">
        <v>74</v>
      </c>
      <c r="BO1076" s="2" t="s">
        <v>74</v>
      </c>
      <c r="BP1076" s="2" t="s">
        <v>74</v>
      </c>
      <c r="BQ1076" s="2" t="s">
        <v>74</v>
      </c>
      <c r="BR1076" s="2" t="s">
        <v>74</v>
      </c>
      <c r="BS1076" s="2" t="s">
        <v>5176</v>
      </c>
      <c r="BT1076" s="2" t="str">
        <f>HYPERLINK("https%3A%2F%2Fwww.webofscience.com%2Fwos%2Fwoscc%2Ffull-record%2FWOS:000274952600020","View Full Record in Web of Science")</f>
        <v>View Full Record in Web of Science</v>
      </c>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row>
    <row r="1077" spans="1:314" s="2" customFormat="1" x14ac:dyDescent="0.4">
      <c r="A1077" s="2" t="s">
        <v>72</v>
      </c>
      <c r="B1077" s="2" t="s">
        <v>7937</v>
      </c>
      <c r="C1077" s="2" t="s">
        <v>74</v>
      </c>
      <c r="D1077" s="2" t="s">
        <v>74</v>
      </c>
      <c r="E1077" s="2" t="s">
        <v>74</v>
      </c>
      <c r="F1077" s="2" t="s">
        <v>7937</v>
      </c>
      <c r="G1077" s="2" t="s">
        <v>74</v>
      </c>
      <c r="H1077" s="2" t="s">
        <v>74</v>
      </c>
      <c r="I1077" s="2" t="s">
        <v>7938</v>
      </c>
      <c r="J1077" s="2" t="s">
        <v>129</v>
      </c>
      <c r="K1077" s="2" t="s">
        <v>74</v>
      </c>
      <c r="L1077" s="2" t="s">
        <v>74</v>
      </c>
      <c r="M1077" s="2" t="s">
        <v>74</v>
      </c>
      <c r="N1077" s="2" t="s">
        <v>74</v>
      </c>
      <c r="O1077" s="2" t="s">
        <v>74</v>
      </c>
      <c r="P1077" s="2" t="s">
        <v>74</v>
      </c>
      <c r="Q1077" s="2" t="s">
        <v>74</v>
      </c>
      <c r="R1077" s="2" t="s">
        <v>74</v>
      </c>
      <c r="S1077" s="2" t="s">
        <v>74</v>
      </c>
      <c r="T1077" s="2" t="s">
        <v>74</v>
      </c>
      <c r="U1077" s="2" t="s">
        <v>74</v>
      </c>
      <c r="V1077" s="5" t="s">
        <v>7939</v>
      </c>
      <c r="W1077" s="2" t="s">
        <v>74</v>
      </c>
      <c r="X1077" s="2" t="s">
        <v>74</v>
      </c>
      <c r="Y1077" s="2" t="s">
        <v>74</v>
      </c>
      <c r="Z1077" s="2" t="s">
        <v>74</v>
      </c>
      <c r="AA1077" s="2" t="s">
        <v>7940</v>
      </c>
      <c r="AB1077" s="2" t="s">
        <v>74</v>
      </c>
      <c r="AC1077" s="2" t="s">
        <v>74</v>
      </c>
      <c r="AD1077" s="2" t="s">
        <v>74</v>
      </c>
      <c r="AE1077" s="2" t="s">
        <v>74</v>
      </c>
      <c r="AF1077" s="2" t="s">
        <v>74</v>
      </c>
      <c r="AG1077" s="2" t="s">
        <v>74</v>
      </c>
      <c r="AH1077" s="2" t="s">
        <v>74</v>
      </c>
      <c r="AI1077" s="2" t="s">
        <v>74</v>
      </c>
      <c r="AJ1077" s="2" t="s">
        <v>74</v>
      </c>
      <c r="AK1077" s="2" t="s">
        <v>74</v>
      </c>
      <c r="AL1077" s="2" t="s">
        <v>74</v>
      </c>
      <c r="AM1077" s="2" t="s">
        <v>74</v>
      </c>
      <c r="AN1077" s="2" t="s">
        <v>74</v>
      </c>
      <c r="AO1077" s="2" t="s">
        <v>132</v>
      </c>
      <c r="AP1077" s="2" t="s">
        <v>133</v>
      </c>
      <c r="AQ1077" s="2" t="s">
        <v>74</v>
      </c>
      <c r="AR1077" s="2" t="s">
        <v>74</v>
      </c>
      <c r="AS1077" s="2" t="s">
        <v>74</v>
      </c>
      <c r="AT1077" s="2" t="s">
        <v>213</v>
      </c>
      <c r="AU1077" s="2">
        <v>1996</v>
      </c>
      <c r="AV1077" s="2">
        <v>39</v>
      </c>
      <c r="AW1077" s="2">
        <v>5</v>
      </c>
      <c r="AX1077" s="2" t="s">
        <v>74</v>
      </c>
      <c r="AY1077" s="2" t="s">
        <v>74</v>
      </c>
      <c r="AZ1077" s="2" t="s">
        <v>74</v>
      </c>
      <c r="BA1077" s="2" t="s">
        <v>74</v>
      </c>
      <c r="BB1077" s="2">
        <v>345</v>
      </c>
      <c r="BC1077" s="2">
        <v>352</v>
      </c>
      <c r="BD1077" s="2" t="s">
        <v>74</v>
      </c>
      <c r="BE1077" s="2" t="s">
        <v>7941</v>
      </c>
      <c r="BF1077" s="2" t="str">
        <f>HYPERLINK("http://dx.doi.org/10.1007/s002650050299","http://dx.doi.org/10.1007/s002650050299")</f>
        <v>http://dx.doi.org/10.1007/s002650050299</v>
      </c>
      <c r="BG1077" s="2" t="s">
        <v>74</v>
      </c>
      <c r="BH1077" s="2" t="s">
        <v>74</v>
      </c>
      <c r="BI1077" s="2" t="s">
        <v>74</v>
      </c>
      <c r="BJ1077" s="2" t="s">
        <v>74</v>
      </c>
      <c r="BK1077" s="2" t="s">
        <v>74</v>
      </c>
      <c r="BL1077" s="2" t="s">
        <v>74</v>
      </c>
      <c r="BM1077" s="2" t="s">
        <v>74</v>
      </c>
      <c r="BN1077" s="2" t="s">
        <v>74</v>
      </c>
      <c r="BO1077" s="2" t="s">
        <v>74</v>
      </c>
      <c r="BP1077" s="2" t="s">
        <v>74</v>
      </c>
      <c r="BQ1077" s="2" t="s">
        <v>74</v>
      </c>
      <c r="BR1077" s="2" t="s">
        <v>74</v>
      </c>
      <c r="BS1077" s="2" t="s">
        <v>7942</v>
      </c>
      <c r="BT1077" s="2" t="str">
        <f>HYPERLINK("https%3A%2F%2Fwww.webofscience.com%2Fwos%2Fwoscc%2Ffull-record%2FWOS:A1996VW21300009","View Full Record in Web of Science")</f>
        <v>View Full Record in Web of Science</v>
      </c>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row>
    <row r="1078" spans="1:314" s="2" customFormat="1" x14ac:dyDescent="0.4">
      <c r="A1078" s="2" t="s">
        <v>72</v>
      </c>
      <c r="B1078" s="2" t="s">
        <v>8557</v>
      </c>
      <c r="C1078" s="2" t="s">
        <v>74</v>
      </c>
      <c r="D1078" s="2" t="s">
        <v>74</v>
      </c>
      <c r="E1078" s="2" t="s">
        <v>74</v>
      </c>
      <c r="F1078" s="2" t="s">
        <v>8557</v>
      </c>
      <c r="G1078" s="2" t="s">
        <v>74</v>
      </c>
      <c r="H1078" s="2" t="s">
        <v>74</v>
      </c>
      <c r="I1078" s="2" t="s">
        <v>8558</v>
      </c>
      <c r="J1078" s="2" t="s">
        <v>129</v>
      </c>
      <c r="K1078" s="2" t="s">
        <v>74</v>
      </c>
      <c r="L1078" s="2" t="s">
        <v>74</v>
      </c>
      <c r="M1078" s="2" t="s">
        <v>74</v>
      </c>
      <c r="N1078" s="2" t="s">
        <v>74</v>
      </c>
      <c r="O1078" s="2" t="s">
        <v>74</v>
      </c>
      <c r="P1078" s="2" t="s">
        <v>74</v>
      </c>
      <c r="Q1078" s="2" t="s">
        <v>74</v>
      </c>
      <c r="R1078" s="2" t="s">
        <v>74</v>
      </c>
      <c r="S1078" s="2" t="s">
        <v>74</v>
      </c>
      <c r="T1078" s="2" t="s">
        <v>74</v>
      </c>
      <c r="U1078" s="2" t="s">
        <v>74</v>
      </c>
      <c r="V1078" s="5" t="s">
        <v>8559</v>
      </c>
      <c r="W1078" s="2" t="s">
        <v>74</v>
      </c>
      <c r="X1078" s="2" t="s">
        <v>74</v>
      </c>
      <c r="Y1078" s="2" t="s">
        <v>74</v>
      </c>
      <c r="Z1078" s="2" t="s">
        <v>74</v>
      </c>
      <c r="AA1078" s="2" t="s">
        <v>8560</v>
      </c>
      <c r="AB1078" s="2" t="s">
        <v>1934</v>
      </c>
      <c r="AC1078" s="2" t="s">
        <v>74</v>
      </c>
      <c r="AD1078" s="2" t="s">
        <v>74</v>
      </c>
      <c r="AE1078" s="2" t="s">
        <v>74</v>
      </c>
      <c r="AF1078" s="2" t="s">
        <v>74</v>
      </c>
      <c r="AG1078" s="2" t="s">
        <v>74</v>
      </c>
      <c r="AH1078" s="2" t="s">
        <v>74</v>
      </c>
      <c r="AI1078" s="2" t="s">
        <v>74</v>
      </c>
      <c r="AJ1078" s="2" t="s">
        <v>74</v>
      </c>
      <c r="AK1078" s="2" t="s">
        <v>74</v>
      </c>
      <c r="AL1078" s="2" t="s">
        <v>74</v>
      </c>
      <c r="AM1078" s="2" t="s">
        <v>74</v>
      </c>
      <c r="AN1078" s="2" t="s">
        <v>74</v>
      </c>
      <c r="AO1078" s="2" t="s">
        <v>132</v>
      </c>
      <c r="AP1078" s="2" t="s">
        <v>133</v>
      </c>
      <c r="AQ1078" s="2" t="s">
        <v>74</v>
      </c>
      <c r="AR1078" s="2" t="s">
        <v>74</v>
      </c>
      <c r="AS1078" s="2" t="s">
        <v>74</v>
      </c>
      <c r="AT1078" s="2" t="s">
        <v>352</v>
      </c>
      <c r="AU1078" s="2">
        <v>1997</v>
      </c>
      <c r="AV1078" s="2">
        <v>41</v>
      </c>
      <c r="AW1078" s="2">
        <v>3</v>
      </c>
      <c r="AX1078" s="2" t="s">
        <v>74</v>
      </c>
      <c r="AY1078" s="2" t="s">
        <v>74</v>
      </c>
      <c r="AZ1078" s="2" t="s">
        <v>74</v>
      </c>
      <c r="BA1078" s="2" t="s">
        <v>74</v>
      </c>
      <c r="BB1078" s="2">
        <v>171</v>
      </c>
      <c r="BC1078" s="2">
        <v>176</v>
      </c>
      <c r="BD1078" s="2" t="s">
        <v>74</v>
      </c>
      <c r="BE1078" s="2" t="s">
        <v>8561</v>
      </c>
      <c r="BF1078" s="2" t="str">
        <f>HYPERLINK("http://dx.doi.org/10.1007/s002650050376","http://dx.doi.org/10.1007/s002650050376")</f>
        <v>http://dx.doi.org/10.1007/s002650050376</v>
      </c>
      <c r="BG1078" s="2" t="s">
        <v>74</v>
      </c>
      <c r="BH1078" s="2" t="s">
        <v>74</v>
      </c>
      <c r="BI1078" s="2" t="s">
        <v>74</v>
      </c>
      <c r="BJ1078" s="2" t="s">
        <v>74</v>
      </c>
      <c r="BK1078" s="2" t="s">
        <v>74</v>
      </c>
      <c r="BL1078" s="2" t="s">
        <v>74</v>
      </c>
      <c r="BM1078" s="2" t="s">
        <v>74</v>
      </c>
      <c r="BN1078" s="2" t="s">
        <v>74</v>
      </c>
      <c r="BO1078" s="2" t="s">
        <v>74</v>
      </c>
      <c r="BP1078" s="2" t="s">
        <v>74</v>
      </c>
      <c r="BQ1078" s="2" t="s">
        <v>74</v>
      </c>
      <c r="BR1078" s="2" t="s">
        <v>74</v>
      </c>
      <c r="BS1078" s="2" t="s">
        <v>8562</v>
      </c>
      <c r="BT1078" s="2" t="str">
        <f>HYPERLINK("https%3A%2F%2Fwww.webofscience.com%2Fwos%2Fwoscc%2Ffull-record%2FWOS:A1997XY71100004","View Full Record in Web of Science")</f>
        <v>View Full Record in Web of Science</v>
      </c>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row>
    <row r="1079" spans="1:314" s="2" customFormat="1" x14ac:dyDescent="0.4">
      <c r="A1079" s="2" t="s">
        <v>72</v>
      </c>
      <c r="B1079" s="2" t="s">
        <v>8201</v>
      </c>
      <c r="C1079" s="2" t="s">
        <v>74</v>
      </c>
      <c r="D1079" s="2" t="s">
        <v>74</v>
      </c>
      <c r="E1079" s="2" t="s">
        <v>74</v>
      </c>
      <c r="F1079" s="2" t="s">
        <v>8202</v>
      </c>
      <c r="G1079" s="2" t="s">
        <v>74</v>
      </c>
      <c r="H1079" s="2" t="s">
        <v>74</v>
      </c>
      <c r="I1079" s="2" t="s">
        <v>8203</v>
      </c>
      <c r="J1079" s="2" t="s">
        <v>775</v>
      </c>
      <c r="K1079" s="2" t="s">
        <v>74</v>
      </c>
      <c r="L1079" s="2" t="s">
        <v>74</v>
      </c>
      <c r="M1079" s="2" t="s">
        <v>74</v>
      </c>
      <c r="N1079" s="2" t="s">
        <v>74</v>
      </c>
      <c r="O1079" s="2" t="s">
        <v>74</v>
      </c>
      <c r="P1079" s="2" t="s">
        <v>74</v>
      </c>
      <c r="Q1079" s="2" t="s">
        <v>74</v>
      </c>
      <c r="R1079" s="2" t="s">
        <v>74</v>
      </c>
      <c r="S1079" s="2" t="s">
        <v>74</v>
      </c>
      <c r="T1079" s="2" t="s">
        <v>74</v>
      </c>
      <c r="U1079" s="2" t="s">
        <v>74</v>
      </c>
      <c r="V1079" s="5" t="s">
        <v>8204</v>
      </c>
      <c r="W1079" s="2" t="s">
        <v>74</v>
      </c>
      <c r="X1079" s="2" t="s">
        <v>74</v>
      </c>
      <c r="Y1079" s="2" t="s">
        <v>74</v>
      </c>
      <c r="Z1079" s="2" t="s">
        <v>74</v>
      </c>
      <c r="AA1079" s="2" t="s">
        <v>8205</v>
      </c>
      <c r="AB1079" s="2" t="s">
        <v>8206</v>
      </c>
      <c r="AC1079" s="2" t="s">
        <v>74</v>
      </c>
      <c r="AD1079" s="2" t="s">
        <v>74</v>
      </c>
      <c r="AE1079" s="2" t="s">
        <v>74</v>
      </c>
      <c r="AF1079" s="2" t="s">
        <v>74</v>
      </c>
      <c r="AG1079" s="2" t="s">
        <v>74</v>
      </c>
      <c r="AH1079" s="2" t="s">
        <v>74</v>
      </c>
      <c r="AI1079" s="2" t="s">
        <v>74</v>
      </c>
      <c r="AJ1079" s="2" t="s">
        <v>74</v>
      </c>
      <c r="AK1079" s="2" t="s">
        <v>74</v>
      </c>
      <c r="AL1079" s="2" t="s">
        <v>74</v>
      </c>
      <c r="AM1079" s="2" t="s">
        <v>74</v>
      </c>
      <c r="AN1079" s="2" t="s">
        <v>74</v>
      </c>
      <c r="AO1079" s="2" t="s">
        <v>778</v>
      </c>
      <c r="AP1079" s="2" t="s">
        <v>74</v>
      </c>
      <c r="AQ1079" s="2" t="s">
        <v>74</v>
      </c>
      <c r="AR1079" s="2" t="s">
        <v>74</v>
      </c>
      <c r="AS1079" s="2" t="s">
        <v>74</v>
      </c>
      <c r="AT1079" s="2" t="s">
        <v>74</v>
      </c>
      <c r="AU1079" s="2">
        <v>2011</v>
      </c>
      <c r="AV1079" s="2">
        <v>57</v>
      </c>
      <c r="AW1079" s="2">
        <v>2</v>
      </c>
      <c r="AX1079" s="2" t="s">
        <v>74</v>
      </c>
      <c r="AY1079" s="2" t="s">
        <v>74</v>
      </c>
      <c r="AZ1079" s="2" t="s">
        <v>74</v>
      </c>
      <c r="BA1079" s="2" t="s">
        <v>74</v>
      </c>
      <c r="BB1079" s="2">
        <v>162</v>
      </c>
      <c r="BC1079" s="2">
        <v>174</v>
      </c>
      <c r="BD1079" s="2" t="s">
        <v>74</v>
      </c>
      <c r="BE1079" s="2" t="s">
        <v>8207</v>
      </c>
      <c r="BF1079" s="2" t="str">
        <f>HYPERLINK("http://dx.doi.org/10.1093/czoolo/57.2.162","http://dx.doi.org/10.1093/czoolo/57.2.162")</f>
        <v>http://dx.doi.org/10.1093/czoolo/57.2.162</v>
      </c>
      <c r="BG1079" s="2" t="s">
        <v>74</v>
      </c>
      <c r="BH1079" s="2" t="s">
        <v>74</v>
      </c>
      <c r="BI1079" s="2" t="s">
        <v>74</v>
      </c>
      <c r="BJ1079" s="2" t="s">
        <v>74</v>
      </c>
      <c r="BK1079" s="2" t="s">
        <v>74</v>
      </c>
      <c r="BL1079" s="2" t="s">
        <v>74</v>
      </c>
      <c r="BM1079" s="2" t="s">
        <v>74</v>
      </c>
      <c r="BN1079" s="2" t="s">
        <v>74</v>
      </c>
      <c r="BO1079" s="2" t="s">
        <v>74</v>
      </c>
      <c r="BP1079" s="2" t="s">
        <v>74</v>
      </c>
      <c r="BQ1079" s="2" t="s">
        <v>74</v>
      </c>
      <c r="BR1079" s="2" t="s">
        <v>74</v>
      </c>
      <c r="BS1079" s="2" t="s">
        <v>8208</v>
      </c>
      <c r="BT1079" s="2" t="str">
        <f>HYPERLINK("https%3A%2F%2Fwww.webofscience.com%2Fwos%2Fwoscc%2Ffull-record%2FWOS:000288848200005","View Full Record in Web of Science")</f>
        <v>View Full Record in Web of Science</v>
      </c>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row>
    <row r="1080" spans="1:314" s="2" customFormat="1" x14ac:dyDescent="0.4">
      <c r="A1080" s="2" t="s">
        <v>72</v>
      </c>
      <c r="B1080" s="2" t="s">
        <v>5512</v>
      </c>
      <c r="C1080" s="2" t="s">
        <v>74</v>
      </c>
      <c r="D1080" s="2" t="s">
        <v>74</v>
      </c>
      <c r="E1080" s="2" t="s">
        <v>74</v>
      </c>
      <c r="F1080" s="2" t="s">
        <v>5513</v>
      </c>
      <c r="G1080" s="2" t="s">
        <v>74</v>
      </c>
      <c r="H1080" s="2" t="s">
        <v>74</v>
      </c>
      <c r="I1080" s="2" t="s">
        <v>5514</v>
      </c>
      <c r="J1080" s="2" t="s">
        <v>140</v>
      </c>
      <c r="K1080" s="2" t="s">
        <v>74</v>
      </c>
      <c r="L1080" s="2" t="s">
        <v>74</v>
      </c>
      <c r="M1080" s="2" t="s">
        <v>74</v>
      </c>
      <c r="N1080" s="2" t="s">
        <v>74</v>
      </c>
      <c r="O1080" s="2" t="s">
        <v>74</v>
      </c>
      <c r="P1080" s="2" t="s">
        <v>74</v>
      </c>
      <c r="Q1080" s="2" t="s">
        <v>74</v>
      </c>
      <c r="R1080" s="2" t="s">
        <v>74</v>
      </c>
      <c r="S1080" s="2" t="s">
        <v>74</v>
      </c>
      <c r="T1080" s="2" t="s">
        <v>74</v>
      </c>
      <c r="U1080" s="2" t="s">
        <v>74</v>
      </c>
      <c r="V1080" s="5" t="s">
        <v>5515</v>
      </c>
      <c r="W1080" s="2" t="s">
        <v>74</v>
      </c>
      <c r="X1080" s="2" t="s">
        <v>74</v>
      </c>
      <c r="Y1080" s="2" t="s">
        <v>74</v>
      </c>
      <c r="Z1080" s="2" t="s">
        <v>74</v>
      </c>
      <c r="AA1080" s="2" t="s">
        <v>5516</v>
      </c>
      <c r="AB1080" s="2" t="s">
        <v>5517</v>
      </c>
      <c r="AC1080" s="2" t="s">
        <v>74</v>
      </c>
      <c r="AD1080" s="2" t="s">
        <v>74</v>
      </c>
      <c r="AE1080" s="2" t="s">
        <v>74</v>
      </c>
      <c r="AF1080" s="2" t="s">
        <v>74</v>
      </c>
      <c r="AG1080" s="2" t="s">
        <v>74</v>
      </c>
      <c r="AH1080" s="2" t="s">
        <v>74</v>
      </c>
      <c r="AI1080" s="2" t="s">
        <v>74</v>
      </c>
      <c r="AJ1080" s="2" t="s">
        <v>74</v>
      </c>
      <c r="AK1080" s="2" t="s">
        <v>74</v>
      </c>
      <c r="AL1080" s="2" t="s">
        <v>74</v>
      </c>
      <c r="AM1080" s="2" t="s">
        <v>74</v>
      </c>
      <c r="AN1080" s="2" t="s">
        <v>74</v>
      </c>
      <c r="AO1080" s="2" t="s">
        <v>143</v>
      </c>
      <c r="AP1080" s="2" t="s">
        <v>144</v>
      </c>
      <c r="AQ1080" s="2" t="s">
        <v>74</v>
      </c>
      <c r="AR1080" s="2" t="s">
        <v>74</v>
      </c>
      <c r="AS1080" s="2" t="s">
        <v>74</v>
      </c>
      <c r="AT1080" s="2" t="s">
        <v>305</v>
      </c>
      <c r="AU1080" s="2">
        <v>2023</v>
      </c>
      <c r="AV1080" s="2">
        <v>206</v>
      </c>
      <c r="AW1080" s="2" t="s">
        <v>74</v>
      </c>
      <c r="AX1080" s="2" t="s">
        <v>74</v>
      </c>
      <c r="AY1080" s="2" t="s">
        <v>74</v>
      </c>
      <c r="AZ1080" s="2" t="s">
        <v>74</v>
      </c>
      <c r="BA1080" s="2" t="s">
        <v>74</v>
      </c>
      <c r="BB1080" s="2">
        <v>99</v>
      </c>
      <c r="BC1080" s="2">
        <v>123</v>
      </c>
      <c r="BD1080" s="2" t="s">
        <v>74</v>
      </c>
      <c r="BE1080" s="2" t="s">
        <v>5518</v>
      </c>
      <c r="BF1080" s="2" t="str">
        <f>HYPERLINK("http://dx.doi.org/10.1016/j.anbehav.2023.09.013","http://dx.doi.org/10.1016/j.anbehav.2023.09.013")</f>
        <v>http://dx.doi.org/10.1016/j.anbehav.2023.09.013</v>
      </c>
      <c r="BG1080" s="2" t="s">
        <v>74</v>
      </c>
      <c r="BH1080" s="2" t="s">
        <v>5519</v>
      </c>
      <c r="BI1080" s="2" t="s">
        <v>74</v>
      </c>
      <c r="BJ1080" s="2" t="s">
        <v>74</v>
      </c>
      <c r="BK1080" s="2" t="s">
        <v>74</v>
      </c>
      <c r="BL1080" s="2" t="s">
        <v>74</v>
      </c>
      <c r="BM1080" s="2" t="s">
        <v>74</v>
      </c>
      <c r="BN1080" s="2" t="s">
        <v>74</v>
      </c>
      <c r="BO1080" s="2" t="s">
        <v>74</v>
      </c>
      <c r="BP1080" s="2" t="s">
        <v>74</v>
      </c>
      <c r="BQ1080" s="2" t="s">
        <v>74</v>
      </c>
      <c r="BR1080" s="2" t="s">
        <v>74</v>
      </c>
      <c r="BS1080" s="2" t="s">
        <v>5520</v>
      </c>
      <c r="BT1080" s="2" t="str">
        <f>HYPERLINK("https%3A%2F%2Fwww.webofscience.com%2Fwos%2Fwoscc%2Ffull-record%2FWOS:001113029100001","View Full Record in Web of Science")</f>
        <v>View Full Record in Web of Science</v>
      </c>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row>
    <row r="1081" spans="1:314" s="2" customFormat="1" x14ac:dyDescent="0.4">
      <c r="A1081" s="2" t="s">
        <v>72</v>
      </c>
      <c r="B1081" s="2" t="s">
        <v>2316</v>
      </c>
      <c r="C1081" s="2" t="s">
        <v>74</v>
      </c>
      <c r="D1081" s="2" t="s">
        <v>74</v>
      </c>
      <c r="E1081" s="2" t="s">
        <v>74</v>
      </c>
      <c r="F1081" s="2" t="s">
        <v>2316</v>
      </c>
      <c r="G1081" s="2" t="s">
        <v>74</v>
      </c>
      <c r="H1081" s="2" t="s">
        <v>74</v>
      </c>
      <c r="I1081" s="2" t="s">
        <v>2317</v>
      </c>
      <c r="J1081" s="2" t="s">
        <v>2207</v>
      </c>
      <c r="K1081" s="2" t="s">
        <v>74</v>
      </c>
      <c r="L1081" s="2" t="s">
        <v>74</v>
      </c>
      <c r="M1081" s="2" t="s">
        <v>74</v>
      </c>
      <c r="N1081" s="2" t="s">
        <v>74</v>
      </c>
      <c r="O1081" s="2" t="s">
        <v>74</v>
      </c>
      <c r="P1081" s="2" t="s">
        <v>74</v>
      </c>
      <c r="Q1081" s="2" t="s">
        <v>74</v>
      </c>
      <c r="R1081" s="2" t="s">
        <v>74</v>
      </c>
      <c r="S1081" s="2" t="s">
        <v>74</v>
      </c>
      <c r="T1081" s="2" t="s">
        <v>74</v>
      </c>
      <c r="U1081" s="2" t="s">
        <v>74</v>
      </c>
      <c r="V1081" s="5" t="s">
        <v>2318</v>
      </c>
      <c r="W1081" s="2" t="s">
        <v>74</v>
      </c>
      <c r="X1081" s="2" t="s">
        <v>74</v>
      </c>
      <c r="Y1081" s="2" t="s">
        <v>74</v>
      </c>
      <c r="Z1081" s="2" t="s">
        <v>74</v>
      </c>
      <c r="AA1081" s="2" t="s">
        <v>74</v>
      </c>
      <c r="AB1081" s="2" t="s">
        <v>74</v>
      </c>
      <c r="AC1081" s="2" t="s">
        <v>74</v>
      </c>
      <c r="AD1081" s="2" t="s">
        <v>74</v>
      </c>
      <c r="AE1081" s="2" t="s">
        <v>74</v>
      </c>
      <c r="AF1081" s="2" t="s">
        <v>74</v>
      </c>
      <c r="AG1081" s="2" t="s">
        <v>74</v>
      </c>
      <c r="AH1081" s="2" t="s">
        <v>74</v>
      </c>
      <c r="AI1081" s="2" t="s">
        <v>74</v>
      </c>
      <c r="AJ1081" s="2" t="s">
        <v>74</v>
      </c>
      <c r="AK1081" s="2" t="s">
        <v>74</v>
      </c>
      <c r="AL1081" s="2" t="s">
        <v>74</v>
      </c>
      <c r="AM1081" s="2" t="s">
        <v>74</v>
      </c>
      <c r="AN1081" s="2" t="s">
        <v>74</v>
      </c>
      <c r="AO1081" s="2" t="s">
        <v>2211</v>
      </c>
      <c r="AP1081" s="2" t="s">
        <v>74</v>
      </c>
      <c r="AQ1081" s="2" t="s">
        <v>74</v>
      </c>
      <c r="AR1081" s="2" t="s">
        <v>74</v>
      </c>
      <c r="AS1081" s="2" t="s">
        <v>74</v>
      </c>
      <c r="AT1081" s="2" t="s">
        <v>352</v>
      </c>
      <c r="AU1081" s="2">
        <v>1996</v>
      </c>
      <c r="AV1081" s="2">
        <v>27</v>
      </c>
      <c r="AW1081" s="2">
        <v>3</v>
      </c>
      <c r="AX1081" s="2" t="s">
        <v>74</v>
      </c>
      <c r="AY1081" s="2" t="s">
        <v>74</v>
      </c>
      <c r="AZ1081" s="2" t="s">
        <v>74</v>
      </c>
      <c r="BA1081" s="2" t="s">
        <v>74</v>
      </c>
      <c r="BB1081" s="2">
        <v>257</v>
      </c>
      <c r="BC1081" s="2">
        <v>259</v>
      </c>
      <c r="BD1081" s="2" t="s">
        <v>74</v>
      </c>
      <c r="BE1081" s="2" t="s">
        <v>2319</v>
      </c>
      <c r="BF1081" s="2" t="str">
        <f>HYPERLINK("http://dx.doi.org/10.2307/3677231","http://dx.doi.org/10.2307/3677231")</f>
        <v>http://dx.doi.org/10.2307/3677231</v>
      </c>
      <c r="BG1081" s="2" t="s">
        <v>74</v>
      </c>
      <c r="BH1081" s="2" t="s">
        <v>74</v>
      </c>
      <c r="BI1081" s="2" t="s">
        <v>74</v>
      </c>
      <c r="BJ1081" s="2" t="s">
        <v>74</v>
      </c>
      <c r="BK1081" s="2" t="s">
        <v>74</v>
      </c>
      <c r="BL1081" s="2" t="s">
        <v>74</v>
      </c>
      <c r="BM1081" s="2" t="s">
        <v>74</v>
      </c>
      <c r="BN1081" s="2" t="s">
        <v>74</v>
      </c>
      <c r="BO1081" s="2" t="s">
        <v>74</v>
      </c>
      <c r="BP1081" s="2" t="s">
        <v>74</v>
      </c>
      <c r="BQ1081" s="2" t="s">
        <v>74</v>
      </c>
      <c r="BR1081" s="2" t="s">
        <v>74</v>
      </c>
      <c r="BS1081" s="2" t="s">
        <v>2320</v>
      </c>
      <c r="BT1081" s="2" t="str">
        <f>HYPERLINK("https%3A%2F%2Fwww.webofscience.com%2Fwos%2Fwoscc%2Ffull-record%2FWOS:A1996VQ62800012","View Full Record in Web of Science")</f>
        <v>View Full Record in Web of Science</v>
      </c>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row>
    <row r="1082" spans="1:314" s="2" customFormat="1" x14ac:dyDescent="0.4">
      <c r="A1082" s="2" t="s">
        <v>72</v>
      </c>
      <c r="B1082" s="2" t="s">
        <v>7456</v>
      </c>
      <c r="C1082" s="2" t="s">
        <v>74</v>
      </c>
      <c r="D1082" s="2" t="s">
        <v>74</v>
      </c>
      <c r="E1082" s="2" t="s">
        <v>74</v>
      </c>
      <c r="F1082" s="2" t="s">
        <v>7456</v>
      </c>
      <c r="G1082" s="2" t="s">
        <v>74</v>
      </c>
      <c r="H1082" s="2" t="s">
        <v>74</v>
      </c>
      <c r="I1082" s="2" t="s">
        <v>7457</v>
      </c>
      <c r="J1082" s="2" t="s">
        <v>610</v>
      </c>
      <c r="K1082" s="2" t="s">
        <v>74</v>
      </c>
      <c r="L1082" s="2" t="s">
        <v>74</v>
      </c>
      <c r="M1082" s="2" t="s">
        <v>74</v>
      </c>
      <c r="N1082" s="2" t="s">
        <v>74</v>
      </c>
      <c r="O1082" s="2" t="s">
        <v>74</v>
      </c>
      <c r="P1082" s="2" t="s">
        <v>74</v>
      </c>
      <c r="Q1082" s="2" t="s">
        <v>74</v>
      </c>
      <c r="R1082" s="2" t="s">
        <v>74</v>
      </c>
      <c r="S1082" s="2" t="s">
        <v>74</v>
      </c>
      <c r="T1082" s="2" t="s">
        <v>74</v>
      </c>
      <c r="U1082" s="2" t="s">
        <v>74</v>
      </c>
      <c r="V1082" s="5" t="s">
        <v>7458</v>
      </c>
      <c r="W1082" s="2" t="s">
        <v>74</v>
      </c>
      <c r="X1082" s="2" t="s">
        <v>74</v>
      </c>
      <c r="Y1082" s="2" t="s">
        <v>74</v>
      </c>
      <c r="Z1082" s="2" t="s">
        <v>74</v>
      </c>
      <c r="AA1082" s="2" t="s">
        <v>74</v>
      </c>
      <c r="AB1082" s="2" t="s">
        <v>74</v>
      </c>
      <c r="AC1082" s="2" t="s">
        <v>74</v>
      </c>
      <c r="AD1082" s="2" t="s">
        <v>74</v>
      </c>
      <c r="AE1082" s="2" t="s">
        <v>74</v>
      </c>
      <c r="AF1082" s="2" t="s">
        <v>74</v>
      </c>
      <c r="AG1082" s="2" t="s">
        <v>74</v>
      </c>
      <c r="AH1082" s="2" t="s">
        <v>74</v>
      </c>
      <c r="AI1082" s="2" t="s">
        <v>74</v>
      </c>
      <c r="AJ1082" s="2" t="s">
        <v>74</v>
      </c>
      <c r="AK1082" s="2" t="s">
        <v>74</v>
      </c>
      <c r="AL1082" s="2" t="s">
        <v>74</v>
      </c>
      <c r="AM1082" s="2" t="s">
        <v>74</v>
      </c>
      <c r="AN1082" s="2" t="s">
        <v>74</v>
      </c>
      <c r="AO1082" s="2" t="s">
        <v>614</v>
      </c>
      <c r="AP1082" s="2" t="s">
        <v>74</v>
      </c>
      <c r="AQ1082" s="2" t="s">
        <v>74</v>
      </c>
      <c r="AR1082" s="2" t="s">
        <v>74</v>
      </c>
      <c r="AS1082" s="2" t="s">
        <v>74</v>
      </c>
      <c r="AT1082" s="2" t="s">
        <v>255</v>
      </c>
      <c r="AU1082" s="2">
        <v>1993</v>
      </c>
      <c r="AV1082" s="2">
        <v>93</v>
      </c>
      <c r="AW1082" s="2">
        <v>1</v>
      </c>
      <c r="AX1082" s="2" t="s">
        <v>74</v>
      </c>
      <c r="AY1082" s="2" t="s">
        <v>74</v>
      </c>
      <c r="AZ1082" s="2" t="s">
        <v>74</v>
      </c>
      <c r="BA1082" s="2" t="s">
        <v>74</v>
      </c>
      <c r="BB1082" s="2">
        <v>3</v>
      </c>
      <c r="BC1082" s="2">
        <v>20</v>
      </c>
      <c r="BD1082" s="2" t="s">
        <v>74</v>
      </c>
      <c r="BE1082" s="2" t="s">
        <v>74</v>
      </c>
      <c r="BF1082" s="2" t="s">
        <v>74</v>
      </c>
      <c r="BG1082" s="2" t="s">
        <v>74</v>
      </c>
      <c r="BH1082" s="2" t="s">
        <v>74</v>
      </c>
      <c r="BI1082" s="2" t="s">
        <v>74</v>
      </c>
      <c r="BJ1082" s="2" t="s">
        <v>74</v>
      </c>
      <c r="BK1082" s="2" t="s">
        <v>74</v>
      </c>
      <c r="BL1082" s="2" t="s">
        <v>74</v>
      </c>
      <c r="BM1082" s="2" t="s">
        <v>74</v>
      </c>
      <c r="BN1082" s="2" t="s">
        <v>74</v>
      </c>
      <c r="BO1082" s="2" t="s">
        <v>74</v>
      </c>
      <c r="BP1082" s="2" t="s">
        <v>74</v>
      </c>
      <c r="BQ1082" s="2" t="s">
        <v>74</v>
      </c>
      <c r="BR1082" s="2" t="s">
        <v>74</v>
      </c>
      <c r="BS1082" s="2" t="s">
        <v>7459</v>
      </c>
      <c r="BT1082" s="2" t="str">
        <f>HYPERLINK("https%3A%2F%2Fwww.webofscience.com%2Fwos%2Fwoscc%2Ffull-record%2FWOS:A1993KM66900002","View Full Record in Web of Science")</f>
        <v>View Full Record in Web of Science</v>
      </c>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row>
    <row r="1083" spans="1:314" s="2" customFormat="1" x14ac:dyDescent="0.4">
      <c r="A1083" s="2" t="s">
        <v>72</v>
      </c>
      <c r="B1083" s="2" t="s">
        <v>4440</v>
      </c>
      <c r="C1083" s="2" t="s">
        <v>74</v>
      </c>
      <c r="D1083" s="2" t="s">
        <v>74</v>
      </c>
      <c r="E1083" s="2" t="s">
        <v>74</v>
      </c>
      <c r="F1083" s="2" t="s">
        <v>4440</v>
      </c>
      <c r="G1083" s="2" t="s">
        <v>74</v>
      </c>
      <c r="H1083" s="2" t="s">
        <v>74</v>
      </c>
      <c r="I1083" s="2" t="s">
        <v>4441</v>
      </c>
      <c r="J1083" s="2" t="s">
        <v>140</v>
      </c>
      <c r="K1083" s="2" t="s">
        <v>74</v>
      </c>
      <c r="L1083" s="2" t="s">
        <v>74</v>
      </c>
      <c r="M1083" s="2" t="s">
        <v>74</v>
      </c>
      <c r="N1083" s="2" t="s">
        <v>74</v>
      </c>
      <c r="O1083" s="2" t="s">
        <v>74</v>
      </c>
      <c r="P1083" s="2" t="s">
        <v>74</v>
      </c>
      <c r="Q1083" s="2" t="s">
        <v>74</v>
      </c>
      <c r="R1083" s="2" t="s">
        <v>74</v>
      </c>
      <c r="S1083" s="2" t="s">
        <v>74</v>
      </c>
      <c r="T1083" s="2" t="s">
        <v>74</v>
      </c>
      <c r="U1083" s="2" t="s">
        <v>74</v>
      </c>
      <c r="V1083" s="5" t="s">
        <v>4442</v>
      </c>
      <c r="W1083" s="2" t="s">
        <v>74</v>
      </c>
      <c r="X1083" s="2" t="s">
        <v>74</v>
      </c>
      <c r="Y1083" s="2" t="s">
        <v>74</v>
      </c>
      <c r="Z1083" s="2" t="s">
        <v>74</v>
      </c>
      <c r="AA1083" s="2" t="s">
        <v>74</v>
      </c>
      <c r="AB1083" s="2" t="s">
        <v>74</v>
      </c>
      <c r="AC1083" s="2" t="s">
        <v>74</v>
      </c>
      <c r="AD1083" s="2" t="s">
        <v>74</v>
      </c>
      <c r="AE1083" s="2" t="s">
        <v>74</v>
      </c>
      <c r="AF1083" s="2" t="s">
        <v>74</v>
      </c>
      <c r="AG1083" s="2" t="s">
        <v>74</v>
      </c>
      <c r="AH1083" s="2" t="s">
        <v>74</v>
      </c>
      <c r="AI1083" s="2" t="s">
        <v>74</v>
      </c>
      <c r="AJ1083" s="2" t="s">
        <v>74</v>
      </c>
      <c r="AK1083" s="2" t="s">
        <v>74</v>
      </c>
      <c r="AL1083" s="2" t="s">
        <v>74</v>
      </c>
      <c r="AM1083" s="2" t="s">
        <v>74</v>
      </c>
      <c r="AN1083" s="2" t="s">
        <v>74</v>
      </c>
      <c r="AO1083" s="2" t="s">
        <v>143</v>
      </c>
      <c r="AP1083" s="2" t="s">
        <v>144</v>
      </c>
      <c r="AQ1083" s="2" t="s">
        <v>74</v>
      </c>
      <c r="AR1083" s="2" t="s">
        <v>74</v>
      </c>
      <c r="AS1083" s="2" t="s">
        <v>74</v>
      </c>
      <c r="AT1083" s="2" t="s">
        <v>352</v>
      </c>
      <c r="AU1083" s="2">
        <v>1995</v>
      </c>
      <c r="AV1083" s="2">
        <v>50</v>
      </c>
      <c r="AW1083" s="2" t="s">
        <v>74</v>
      </c>
      <c r="AX1083" s="2">
        <v>3</v>
      </c>
      <c r="AY1083" s="2" t="s">
        <v>74</v>
      </c>
      <c r="AZ1083" s="2" t="s">
        <v>74</v>
      </c>
      <c r="BA1083" s="2" t="s">
        <v>74</v>
      </c>
      <c r="BB1083" s="2">
        <v>645</v>
      </c>
      <c r="BC1083" s="2">
        <v>653</v>
      </c>
      <c r="BD1083" s="2" t="s">
        <v>74</v>
      </c>
      <c r="BE1083" s="2" t="s">
        <v>4443</v>
      </c>
      <c r="BF1083" s="2" t="str">
        <f>HYPERLINK("http://dx.doi.org/10.1016/0003-3472(95)80126-X","http://dx.doi.org/10.1016/0003-3472(95)80126-X")</f>
        <v>http://dx.doi.org/10.1016/0003-3472(95)80126-X</v>
      </c>
      <c r="BG1083" s="2" t="s">
        <v>74</v>
      </c>
      <c r="BH1083" s="2" t="s">
        <v>74</v>
      </c>
      <c r="BI1083" s="2" t="s">
        <v>74</v>
      </c>
      <c r="BJ1083" s="2" t="s">
        <v>74</v>
      </c>
      <c r="BK1083" s="2" t="s">
        <v>74</v>
      </c>
      <c r="BL1083" s="2" t="s">
        <v>74</v>
      </c>
      <c r="BM1083" s="2" t="s">
        <v>74</v>
      </c>
      <c r="BN1083" s="2" t="s">
        <v>74</v>
      </c>
      <c r="BO1083" s="2" t="s">
        <v>74</v>
      </c>
      <c r="BP1083" s="2" t="s">
        <v>74</v>
      </c>
      <c r="BQ1083" s="2" t="s">
        <v>74</v>
      </c>
      <c r="BR1083" s="2" t="s">
        <v>74</v>
      </c>
      <c r="BS1083" s="2" t="s">
        <v>4444</v>
      </c>
      <c r="BT1083" s="2" t="str">
        <f>HYPERLINK("https%3A%2F%2Fwww.webofscience.com%2Fwos%2Fwoscc%2Ffull-record%2FWOS:A1995RV28100007","View Full Record in Web of Science")</f>
        <v>View Full Record in Web of Science</v>
      </c>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row>
    <row r="1084" spans="1:314" s="2" customFormat="1" x14ac:dyDescent="0.4">
      <c r="A1084" s="2" t="s">
        <v>72</v>
      </c>
      <c r="B1084" s="2" t="s">
        <v>4440</v>
      </c>
      <c r="C1084" s="2" t="s">
        <v>74</v>
      </c>
      <c r="D1084" s="2" t="s">
        <v>74</v>
      </c>
      <c r="E1084" s="2" t="s">
        <v>74</v>
      </c>
      <c r="F1084" s="2" t="s">
        <v>4440</v>
      </c>
      <c r="G1084" s="2" t="s">
        <v>74</v>
      </c>
      <c r="H1084" s="2" t="s">
        <v>74</v>
      </c>
      <c r="I1084" s="2" t="s">
        <v>6340</v>
      </c>
      <c r="J1084" s="2" t="s">
        <v>77</v>
      </c>
      <c r="K1084" s="2" t="s">
        <v>74</v>
      </c>
      <c r="L1084" s="2" t="s">
        <v>74</v>
      </c>
      <c r="M1084" s="2" t="s">
        <v>74</v>
      </c>
      <c r="N1084" s="2" t="s">
        <v>74</v>
      </c>
      <c r="O1084" s="2" t="s">
        <v>74</v>
      </c>
      <c r="P1084" s="2" t="s">
        <v>74</v>
      </c>
      <c r="Q1084" s="2" t="s">
        <v>74</v>
      </c>
      <c r="R1084" s="2" t="s">
        <v>74</v>
      </c>
      <c r="S1084" s="2" t="s">
        <v>74</v>
      </c>
      <c r="T1084" s="2" t="s">
        <v>74</v>
      </c>
      <c r="U1084" s="2" t="s">
        <v>74</v>
      </c>
      <c r="V1084" s="5" t="s">
        <v>6341</v>
      </c>
      <c r="W1084" s="2" t="s">
        <v>74</v>
      </c>
      <c r="X1084" s="2" t="s">
        <v>74</v>
      </c>
      <c r="Y1084" s="2" t="s">
        <v>74</v>
      </c>
      <c r="Z1084" s="2" t="s">
        <v>74</v>
      </c>
      <c r="AA1084" s="2" t="s">
        <v>74</v>
      </c>
      <c r="AB1084" s="2" t="s">
        <v>74</v>
      </c>
      <c r="AC1084" s="2" t="s">
        <v>74</v>
      </c>
      <c r="AD1084" s="2" t="s">
        <v>74</v>
      </c>
      <c r="AE1084" s="2" t="s">
        <v>74</v>
      </c>
      <c r="AF1084" s="2" t="s">
        <v>74</v>
      </c>
      <c r="AG1084" s="2" t="s">
        <v>74</v>
      </c>
      <c r="AH1084" s="2" t="s">
        <v>74</v>
      </c>
      <c r="AI1084" s="2" t="s">
        <v>74</v>
      </c>
      <c r="AJ1084" s="2" t="s">
        <v>74</v>
      </c>
      <c r="AK1084" s="2" t="s">
        <v>74</v>
      </c>
      <c r="AL1084" s="2" t="s">
        <v>74</v>
      </c>
      <c r="AM1084" s="2" t="s">
        <v>74</v>
      </c>
      <c r="AN1084" s="2" t="s">
        <v>74</v>
      </c>
      <c r="AO1084" s="2" t="s">
        <v>81</v>
      </c>
      <c r="AP1084" s="2" t="s">
        <v>74</v>
      </c>
      <c r="AQ1084" s="2" t="s">
        <v>74</v>
      </c>
      <c r="AR1084" s="2" t="s">
        <v>74</v>
      </c>
      <c r="AS1084" s="2" t="s">
        <v>74</v>
      </c>
      <c r="AT1084" s="2" t="s">
        <v>964</v>
      </c>
      <c r="AU1084" s="2">
        <v>1994</v>
      </c>
      <c r="AV1084" s="2">
        <v>128</v>
      </c>
      <c r="AW1084" s="2" t="s">
        <v>74</v>
      </c>
      <c r="AX1084" s="2" t="s">
        <v>548</v>
      </c>
      <c r="AY1084" s="2" t="s">
        <v>74</v>
      </c>
      <c r="AZ1084" s="2" t="s">
        <v>74</v>
      </c>
      <c r="BA1084" s="2" t="s">
        <v>74</v>
      </c>
      <c r="BB1084" s="2">
        <v>1</v>
      </c>
      <c r="BC1084" s="2">
        <v>14</v>
      </c>
      <c r="BD1084" s="2" t="s">
        <v>74</v>
      </c>
      <c r="BE1084" s="2" t="s">
        <v>6342</v>
      </c>
      <c r="BF1084" s="2" t="str">
        <f>HYPERLINK("http://dx.doi.org/10.1163/156853994X00019","http://dx.doi.org/10.1163/156853994X00019")</f>
        <v>http://dx.doi.org/10.1163/156853994X00019</v>
      </c>
      <c r="BG1084" s="2" t="s">
        <v>74</v>
      </c>
      <c r="BH1084" s="2" t="s">
        <v>74</v>
      </c>
      <c r="BI1084" s="2" t="s">
        <v>74</v>
      </c>
      <c r="BJ1084" s="2" t="s">
        <v>74</v>
      </c>
      <c r="BK1084" s="2" t="s">
        <v>74</v>
      </c>
      <c r="BL1084" s="2" t="s">
        <v>74</v>
      </c>
      <c r="BM1084" s="2" t="s">
        <v>74</v>
      </c>
      <c r="BN1084" s="2" t="s">
        <v>74</v>
      </c>
      <c r="BO1084" s="2" t="s">
        <v>74</v>
      </c>
      <c r="BP1084" s="2" t="s">
        <v>74</v>
      </c>
      <c r="BQ1084" s="2" t="s">
        <v>74</v>
      </c>
      <c r="BR1084" s="2" t="s">
        <v>74</v>
      </c>
      <c r="BS1084" s="2" t="s">
        <v>6343</v>
      </c>
      <c r="BT1084" s="2" t="str">
        <f>HYPERLINK("https%3A%2F%2Fwww.webofscience.com%2Fwos%2Fwoscc%2Ffull-record%2FWOS:A1994NV35400001","View Full Record in Web of Science")</f>
        <v>View Full Record in Web of Science</v>
      </c>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row>
    <row r="1085" spans="1:314" s="2" customFormat="1" x14ac:dyDescent="0.4">
      <c r="A1085" s="2" t="s">
        <v>72</v>
      </c>
      <c r="B1085" s="2" t="s">
        <v>3458</v>
      </c>
      <c r="C1085" s="2" t="s">
        <v>74</v>
      </c>
      <c r="D1085" s="2" t="s">
        <v>74</v>
      </c>
      <c r="E1085" s="2" t="s">
        <v>74</v>
      </c>
      <c r="F1085" s="2" t="s">
        <v>3458</v>
      </c>
      <c r="G1085" s="2" t="s">
        <v>74</v>
      </c>
      <c r="H1085" s="2" t="s">
        <v>74</v>
      </c>
      <c r="I1085" s="2" t="s">
        <v>3459</v>
      </c>
      <c r="J1085" s="2" t="s">
        <v>108</v>
      </c>
      <c r="K1085" s="2" t="s">
        <v>74</v>
      </c>
      <c r="L1085" s="2" t="s">
        <v>74</v>
      </c>
      <c r="M1085" s="2" t="s">
        <v>74</v>
      </c>
      <c r="N1085" s="2" t="s">
        <v>74</v>
      </c>
      <c r="O1085" s="2" t="s">
        <v>74</v>
      </c>
      <c r="P1085" s="2" t="s">
        <v>74</v>
      </c>
      <c r="Q1085" s="2" t="s">
        <v>74</v>
      </c>
      <c r="R1085" s="2" t="s">
        <v>74</v>
      </c>
      <c r="S1085" s="2" t="s">
        <v>74</v>
      </c>
      <c r="T1085" s="2" t="s">
        <v>74</v>
      </c>
      <c r="U1085" s="2" t="s">
        <v>74</v>
      </c>
      <c r="V1085" s="5" t="s">
        <v>3460</v>
      </c>
      <c r="W1085" s="2" t="s">
        <v>74</v>
      </c>
      <c r="X1085" s="2" t="s">
        <v>74</v>
      </c>
      <c r="Y1085" s="2" t="s">
        <v>74</v>
      </c>
      <c r="Z1085" s="2" t="s">
        <v>74</v>
      </c>
      <c r="AA1085" s="2" t="s">
        <v>3461</v>
      </c>
      <c r="AB1085" s="2" t="s">
        <v>3462</v>
      </c>
      <c r="AC1085" s="2" t="s">
        <v>74</v>
      </c>
      <c r="AD1085" s="2" t="s">
        <v>74</v>
      </c>
      <c r="AE1085" s="2" t="s">
        <v>74</v>
      </c>
      <c r="AF1085" s="2" t="s">
        <v>74</v>
      </c>
      <c r="AG1085" s="2" t="s">
        <v>74</v>
      </c>
      <c r="AH1085" s="2" t="s">
        <v>74</v>
      </c>
      <c r="AI1085" s="2" t="s">
        <v>74</v>
      </c>
      <c r="AJ1085" s="2" t="s">
        <v>74</v>
      </c>
      <c r="AK1085" s="2" t="s">
        <v>74</v>
      </c>
      <c r="AL1085" s="2" t="s">
        <v>74</v>
      </c>
      <c r="AM1085" s="2" t="s">
        <v>74</v>
      </c>
      <c r="AN1085" s="2" t="s">
        <v>74</v>
      </c>
      <c r="AO1085" s="2" t="s">
        <v>111</v>
      </c>
      <c r="AP1085" s="2" t="s">
        <v>3463</v>
      </c>
      <c r="AQ1085" s="2" t="s">
        <v>74</v>
      </c>
      <c r="AR1085" s="2" t="s">
        <v>74</v>
      </c>
      <c r="AS1085" s="2" t="s">
        <v>74</v>
      </c>
      <c r="AT1085" s="2" t="s">
        <v>493</v>
      </c>
      <c r="AU1085" s="2">
        <v>1999</v>
      </c>
      <c r="AV1085" s="2">
        <v>266</v>
      </c>
      <c r="AW1085" s="2">
        <v>1427</v>
      </c>
      <c r="AX1085" s="2" t="s">
        <v>74</v>
      </c>
      <c r="AY1085" s="2" t="s">
        <v>74</v>
      </c>
      <c r="AZ1085" s="2" t="s">
        <v>74</v>
      </c>
      <c r="BA1085" s="2" t="s">
        <v>74</v>
      </c>
      <c r="BB1085" s="2">
        <v>1403</v>
      </c>
      <c r="BC1085" s="2">
        <v>1411</v>
      </c>
      <c r="BD1085" s="2" t="s">
        <v>74</v>
      </c>
      <c r="BE1085" s="2" t="s">
        <v>3464</v>
      </c>
      <c r="BF1085" s="2" t="str">
        <f>HYPERLINK("http://dx.doi.org/10.1098/rspb.1999.0794","http://dx.doi.org/10.1098/rspb.1999.0794")</f>
        <v>http://dx.doi.org/10.1098/rspb.1999.0794</v>
      </c>
      <c r="BG1085" s="2" t="s">
        <v>74</v>
      </c>
      <c r="BH1085" s="2" t="s">
        <v>74</v>
      </c>
      <c r="BI1085" s="2" t="s">
        <v>74</v>
      </c>
      <c r="BJ1085" s="2" t="s">
        <v>74</v>
      </c>
      <c r="BK1085" s="2" t="s">
        <v>74</v>
      </c>
      <c r="BL1085" s="2" t="s">
        <v>74</v>
      </c>
      <c r="BM1085" s="2" t="s">
        <v>74</v>
      </c>
      <c r="BN1085" s="2" t="s">
        <v>74</v>
      </c>
      <c r="BO1085" s="2" t="s">
        <v>74</v>
      </c>
      <c r="BP1085" s="2" t="s">
        <v>74</v>
      </c>
      <c r="BQ1085" s="2" t="s">
        <v>74</v>
      </c>
      <c r="BR1085" s="2" t="s">
        <v>74</v>
      </c>
      <c r="BS1085" s="2" t="s">
        <v>3465</v>
      </c>
      <c r="BT1085" s="2" t="str">
        <f>HYPERLINK("https%3A%2F%2Fwww.webofscience.com%2Fwos%2Fwoscc%2Ffull-record%2FWOS:000081833200001","View Full Record in Web of Science")</f>
        <v>View Full Record in Web of Science</v>
      </c>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row>
    <row r="1086" spans="1:314" s="2" customFormat="1" x14ac:dyDescent="0.4">
      <c r="A1086" s="2" t="s">
        <v>72</v>
      </c>
      <c r="B1086" s="2" t="s">
        <v>5080</v>
      </c>
      <c r="C1086" s="2" t="s">
        <v>74</v>
      </c>
      <c r="D1086" s="2" t="s">
        <v>74</v>
      </c>
      <c r="E1086" s="2" t="s">
        <v>74</v>
      </c>
      <c r="F1086" s="2" t="s">
        <v>5081</v>
      </c>
      <c r="G1086" s="2" t="s">
        <v>74</v>
      </c>
      <c r="H1086" s="2" t="s">
        <v>74</v>
      </c>
      <c r="I1086" s="2" t="s">
        <v>5082</v>
      </c>
      <c r="J1086" s="2" t="s">
        <v>333</v>
      </c>
      <c r="K1086" s="2" t="s">
        <v>74</v>
      </c>
      <c r="L1086" s="2" t="s">
        <v>74</v>
      </c>
      <c r="M1086" s="2" t="s">
        <v>74</v>
      </c>
      <c r="N1086" s="2" t="s">
        <v>74</v>
      </c>
      <c r="O1086" s="2" t="s">
        <v>74</v>
      </c>
      <c r="P1086" s="2" t="s">
        <v>74</v>
      </c>
      <c r="Q1086" s="2" t="s">
        <v>74</v>
      </c>
      <c r="R1086" s="2" t="s">
        <v>74</v>
      </c>
      <c r="S1086" s="2" t="s">
        <v>74</v>
      </c>
      <c r="T1086" s="2" t="s">
        <v>74</v>
      </c>
      <c r="U1086" s="2" t="s">
        <v>74</v>
      </c>
      <c r="V1086" s="5" t="s">
        <v>5083</v>
      </c>
      <c r="W1086" s="2" t="s">
        <v>74</v>
      </c>
      <c r="X1086" s="2" t="s">
        <v>74</v>
      </c>
      <c r="Y1086" s="2" t="s">
        <v>74</v>
      </c>
      <c r="Z1086" s="2" t="s">
        <v>74</v>
      </c>
      <c r="AA1086" s="2" t="s">
        <v>5084</v>
      </c>
      <c r="AB1086" s="2" t="s">
        <v>5085</v>
      </c>
      <c r="AC1086" s="2" t="s">
        <v>74</v>
      </c>
      <c r="AD1086" s="2" t="s">
        <v>74</v>
      </c>
      <c r="AE1086" s="2" t="s">
        <v>74</v>
      </c>
      <c r="AF1086" s="2" t="s">
        <v>74</v>
      </c>
      <c r="AG1086" s="2" t="s">
        <v>74</v>
      </c>
      <c r="AH1086" s="2" t="s">
        <v>74</v>
      </c>
      <c r="AI1086" s="2" t="s">
        <v>74</v>
      </c>
      <c r="AJ1086" s="2" t="s">
        <v>74</v>
      </c>
      <c r="AK1086" s="2" t="s">
        <v>74</v>
      </c>
      <c r="AL1086" s="2" t="s">
        <v>74</v>
      </c>
      <c r="AM1086" s="2" t="s">
        <v>74</v>
      </c>
      <c r="AN1086" s="2" t="s">
        <v>74</v>
      </c>
      <c r="AO1086" s="2" t="s">
        <v>337</v>
      </c>
      <c r="AP1086" s="2" t="s">
        <v>338</v>
      </c>
      <c r="AQ1086" s="2" t="s">
        <v>74</v>
      </c>
      <c r="AR1086" s="2" t="s">
        <v>74</v>
      </c>
      <c r="AS1086" s="2" t="s">
        <v>74</v>
      </c>
      <c r="AT1086" s="2" t="s">
        <v>1013</v>
      </c>
      <c r="AU1086" s="2">
        <v>2016</v>
      </c>
      <c r="AV1086" s="2">
        <v>27</v>
      </c>
      <c r="AW1086" s="2">
        <v>5</v>
      </c>
      <c r="AX1086" s="2" t="s">
        <v>74</v>
      </c>
      <c r="AY1086" s="2" t="s">
        <v>74</v>
      </c>
      <c r="AZ1086" s="2" t="s">
        <v>74</v>
      </c>
      <c r="BA1086" s="2" t="s">
        <v>74</v>
      </c>
      <c r="BB1086" s="2">
        <v>1331</v>
      </c>
      <c r="BC1086" s="2">
        <v>1342</v>
      </c>
      <c r="BD1086" s="2" t="s">
        <v>74</v>
      </c>
      <c r="BE1086" s="2" t="s">
        <v>5086</v>
      </c>
      <c r="BF1086" s="2" t="str">
        <f>HYPERLINK("http://dx.doi.org/10.1093/beheco/arw050","http://dx.doi.org/10.1093/beheco/arw050")</f>
        <v>http://dx.doi.org/10.1093/beheco/arw050</v>
      </c>
      <c r="BG1086" s="2" t="s">
        <v>74</v>
      </c>
      <c r="BH1086" s="2" t="s">
        <v>74</v>
      </c>
      <c r="BI1086" s="2" t="s">
        <v>74</v>
      </c>
      <c r="BJ1086" s="2" t="s">
        <v>74</v>
      </c>
      <c r="BK1086" s="2" t="s">
        <v>74</v>
      </c>
      <c r="BL1086" s="2" t="s">
        <v>74</v>
      </c>
      <c r="BM1086" s="2" t="s">
        <v>74</v>
      </c>
      <c r="BN1086" s="2" t="s">
        <v>74</v>
      </c>
      <c r="BO1086" s="2" t="s">
        <v>74</v>
      </c>
      <c r="BP1086" s="2" t="s">
        <v>74</v>
      </c>
      <c r="BQ1086" s="2" t="s">
        <v>74</v>
      </c>
      <c r="BR1086" s="2" t="s">
        <v>74</v>
      </c>
      <c r="BS1086" s="2" t="s">
        <v>5087</v>
      </c>
      <c r="BT1086" s="2" t="str">
        <f>HYPERLINK("https%3A%2F%2Fwww.webofscience.com%2Fwos%2Fwoscc%2Ffull-record%2FWOS:000384650600013","View Full Record in Web of Science")</f>
        <v>View Full Record in Web of Science</v>
      </c>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row>
    <row r="1087" spans="1:314" s="2" customFormat="1" x14ac:dyDescent="0.4">
      <c r="A1087" s="2" t="s">
        <v>72</v>
      </c>
      <c r="B1087" s="2" t="s">
        <v>4196</v>
      </c>
      <c r="C1087" s="2" t="s">
        <v>74</v>
      </c>
      <c r="D1087" s="2" t="s">
        <v>74</v>
      </c>
      <c r="E1087" s="2" t="s">
        <v>74</v>
      </c>
      <c r="F1087" s="2" t="s">
        <v>4197</v>
      </c>
      <c r="G1087" s="2" t="s">
        <v>74</v>
      </c>
      <c r="H1087" s="2" t="s">
        <v>74</v>
      </c>
      <c r="I1087" s="2" t="s">
        <v>4198</v>
      </c>
      <c r="J1087" s="2" t="s">
        <v>763</v>
      </c>
      <c r="K1087" s="2" t="s">
        <v>74</v>
      </c>
      <c r="L1087" s="2" t="s">
        <v>74</v>
      </c>
      <c r="M1087" s="2" t="s">
        <v>74</v>
      </c>
      <c r="N1087" s="2" t="s">
        <v>74</v>
      </c>
      <c r="O1087" s="2" t="s">
        <v>74</v>
      </c>
      <c r="P1087" s="2" t="s">
        <v>74</v>
      </c>
      <c r="Q1087" s="2" t="s">
        <v>74</v>
      </c>
      <c r="R1087" s="2" t="s">
        <v>74</v>
      </c>
      <c r="S1087" s="2" t="s">
        <v>74</v>
      </c>
      <c r="T1087" s="2" t="s">
        <v>74</v>
      </c>
      <c r="U1087" s="2" t="s">
        <v>74</v>
      </c>
      <c r="V1087" s="5" t="s">
        <v>4199</v>
      </c>
      <c r="W1087" s="2" t="s">
        <v>74</v>
      </c>
      <c r="X1087" s="2" t="s">
        <v>74</v>
      </c>
      <c r="Y1087" s="2" t="s">
        <v>74</v>
      </c>
      <c r="Z1087" s="2" t="s">
        <v>74</v>
      </c>
      <c r="AA1087" s="2" t="s">
        <v>74</v>
      </c>
      <c r="AB1087" s="2" t="s">
        <v>4200</v>
      </c>
      <c r="AC1087" s="2" t="s">
        <v>74</v>
      </c>
      <c r="AD1087" s="2" t="s">
        <v>74</v>
      </c>
      <c r="AE1087" s="2" t="s">
        <v>74</v>
      </c>
      <c r="AF1087" s="2" t="s">
        <v>74</v>
      </c>
      <c r="AG1087" s="2" t="s">
        <v>74</v>
      </c>
      <c r="AH1087" s="2" t="s">
        <v>74</v>
      </c>
      <c r="AI1087" s="2" t="s">
        <v>74</v>
      </c>
      <c r="AJ1087" s="2" t="s">
        <v>74</v>
      </c>
      <c r="AK1087" s="2" t="s">
        <v>74</v>
      </c>
      <c r="AL1087" s="2" t="s">
        <v>74</v>
      </c>
      <c r="AM1087" s="2" t="s">
        <v>74</v>
      </c>
      <c r="AN1087" s="2" t="s">
        <v>74</v>
      </c>
      <c r="AO1087" s="2" t="s">
        <v>767</v>
      </c>
      <c r="AP1087" s="2" t="s">
        <v>768</v>
      </c>
      <c r="AQ1087" s="2" t="s">
        <v>74</v>
      </c>
      <c r="AR1087" s="2" t="s">
        <v>74</v>
      </c>
      <c r="AS1087" s="2" t="s">
        <v>74</v>
      </c>
      <c r="AT1087" s="2" t="s">
        <v>145</v>
      </c>
      <c r="AU1087" s="2">
        <v>2020</v>
      </c>
      <c r="AV1087" s="2">
        <v>223</v>
      </c>
      <c r="AW1087" s="2">
        <v>16</v>
      </c>
      <c r="AX1087" s="2" t="s">
        <v>74</v>
      </c>
      <c r="AY1087" s="2" t="s">
        <v>74</v>
      </c>
      <c r="AZ1087" s="2" t="s">
        <v>74</v>
      </c>
      <c r="BA1087" s="2" t="s">
        <v>74</v>
      </c>
      <c r="BB1087" s="2" t="s">
        <v>74</v>
      </c>
      <c r="BC1087" s="2" t="s">
        <v>74</v>
      </c>
      <c r="BD1087" s="2" t="s">
        <v>4201</v>
      </c>
      <c r="BE1087" s="2" t="s">
        <v>4202</v>
      </c>
      <c r="BF1087" s="2" t="str">
        <f>HYPERLINK("http://dx.doi.org/10.1242/jeb.226340","http://dx.doi.org/10.1242/jeb.226340")</f>
        <v>http://dx.doi.org/10.1242/jeb.226340</v>
      </c>
      <c r="BG1087" s="2" t="s">
        <v>74</v>
      </c>
      <c r="BH1087" s="2" t="s">
        <v>74</v>
      </c>
      <c r="BI1087" s="2" t="s">
        <v>74</v>
      </c>
      <c r="BJ1087" s="2" t="s">
        <v>74</v>
      </c>
      <c r="BK1087" s="2" t="s">
        <v>74</v>
      </c>
      <c r="BL1087" s="2" t="s">
        <v>74</v>
      </c>
      <c r="BM1087" s="2" t="s">
        <v>74</v>
      </c>
      <c r="BN1087" s="2">
        <v>32748795</v>
      </c>
      <c r="BO1087" s="2" t="s">
        <v>74</v>
      </c>
      <c r="BP1087" s="2" t="s">
        <v>74</v>
      </c>
      <c r="BQ1087" s="2" t="s">
        <v>74</v>
      </c>
      <c r="BR1087" s="2" t="s">
        <v>74</v>
      </c>
      <c r="BS1087" s="2" t="s">
        <v>4203</v>
      </c>
      <c r="BT1087" s="2" t="str">
        <f>HYPERLINK("https%3A%2F%2Fwww.webofscience.com%2Fwos%2Fwoscc%2Ffull-record%2FWOS:000576694400015","View Full Record in Web of Science")</f>
        <v>View Full Record in Web of Science</v>
      </c>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row>
    <row r="1088" spans="1:314" s="2" customFormat="1" x14ac:dyDescent="0.4">
      <c r="A1088" s="2" t="s">
        <v>72</v>
      </c>
      <c r="B1088" s="2" t="s">
        <v>2114</v>
      </c>
      <c r="C1088" s="2" t="s">
        <v>74</v>
      </c>
      <c r="D1088" s="2" t="s">
        <v>74</v>
      </c>
      <c r="E1088" s="2" t="s">
        <v>74</v>
      </c>
      <c r="F1088" s="2" t="s">
        <v>2114</v>
      </c>
      <c r="G1088" s="2" t="s">
        <v>74</v>
      </c>
      <c r="H1088" s="2" t="s">
        <v>74</v>
      </c>
      <c r="I1088" s="2" t="s">
        <v>2115</v>
      </c>
      <c r="J1088" s="2" t="s">
        <v>2116</v>
      </c>
      <c r="K1088" s="2" t="s">
        <v>74</v>
      </c>
      <c r="L1088" s="2" t="s">
        <v>74</v>
      </c>
      <c r="M1088" s="2" t="s">
        <v>74</v>
      </c>
      <c r="N1088" s="2" t="s">
        <v>74</v>
      </c>
      <c r="O1088" s="2" t="s">
        <v>74</v>
      </c>
      <c r="P1088" s="2" t="s">
        <v>74</v>
      </c>
      <c r="Q1088" s="2" t="s">
        <v>74</v>
      </c>
      <c r="R1088" s="2" t="s">
        <v>74</v>
      </c>
      <c r="S1088" s="2" t="s">
        <v>74</v>
      </c>
      <c r="T1088" s="2" t="s">
        <v>74</v>
      </c>
      <c r="U1088" s="2" t="s">
        <v>74</v>
      </c>
      <c r="V1088" s="5" t="s">
        <v>2117</v>
      </c>
      <c r="W1088" s="2" t="s">
        <v>74</v>
      </c>
      <c r="X1088" s="2" t="s">
        <v>74</v>
      </c>
      <c r="Y1088" s="2" t="s">
        <v>74</v>
      </c>
      <c r="Z1088" s="2" t="s">
        <v>74</v>
      </c>
      <c r="AA1088" s="2" t="s">
        <v>74</v>
      </c>
      <c r="AB1088" s="2" t="s">
        <v>74</v>
      </c>
      <c r="AC1088" s="2" t="s">
        <v>74</v>
      </c>
      <c r="AD1088" s="2" t="s">
        <v>74</v>
      </c>
      <c r="AE1088" s="2" t="s">
        <v>74</v>
      </c>
      <c r="AF1088" s="2" t="s">
        <v>74</v>
      </c>
      <c r="AG1088" s="2" t="s">
        <v>74</v>
      </c>
      <c r="AH1088" s="2" t="s">
        <v>74</v>
      </c>
      <c r="AI1088" s="2" t="s">
        <v>74</v>
      </c>
      <c r="AJ1088" s="2" t="s">
        <v>74</v>
      </c>
      <c r="AK1088" s="2" t="s">
        <v>74</v>
      </c>
      <c r="AL1088" s="2" t="s">
        <v>74</v>
      </c>
      <c r="AM1088" s="2" t="s">
        <v>74</v>
      </c>
      <c r="AN1088" s="2" t="s">
        <v>74</v>
      </c>
      <c r="AO1088" s="2" t="s">
        <v>2118</v>
      </c>
      <c r="AP1088" s="2" t="s">
        <v>2119</v>
      </c>
      <c r="AQ1088" s="2" t="s">
        <v>74</v>
      </c>
      <c r="AR1088" s="2" t="s">
        <v>74</v>
      </c>
      <c r="AS1088" s="2" t="s">
        <v>74</v>
      </c>
      <c r="AT1088" s="2" t="s">
        <v>74</v>
      </c>
      <c r="AU1088" s="2">
        <v>1976</v>
      </c>
      <c r="AV1088" s="2">
        <v>11</v>
      </c>
      <c r="AW1088" s="2">
        <v>4</v>
      </c>
      <c r="AX1088" s="2" t="s">
        <v>74</v>
      </c>
      <c r="AY1088" s="2" t="s">
        <v>74</v>
      </c>
      <c r="AZ1088" s="2" t="s">
        <v>74</v>
      </c>
      <c r="BA1088" s="2" t="s">
        <v>74</v>
      </c>
      <c r="BB1088" s="2">
        <v>302</v>
      </c>
      <c r="BC1088" s="2">
        <v>311</v>
      </c>
      <c r="BD1088" s="2" t="s">
        <v>74</v>
      </c>
      <c r="BE1088" s="2" t="s">
        <v>74</v>
      </c>
      <c r="BF1088" s="2" t="s">
        <v>74</v>
      </c>
      <c r="BG1088" s="2" t="s">
        <v>74</v>
      </c>
      <c r="BH1088" s="2" t="s">
        <v>74</v>
      </c>
      <c r="BI1088" s="2" t="s">
        <v>74</v>
      </c>
      <c r="BJ1088" s="2" t="s">
        <v>74</v>
      </c>
      <c r="BK1088" s="2" t="s">
        <v>74</v>
      </c>
      <c r="BL1088" s="2" t="s">
        <v>74</v>
      </c>
      <c r="BM1088" s="2" t="s">
        <v>74</v>
      </c>
      <c r="BN1088" s="2" t="s">
        <v>74</v>
      </c>
      <c r="BO1088" s="2" t="s">
        <v>74</v>
      </c>
      <c r="BP1088" s="2" t="s">
        <v>74</v>
      </c>
      <c r="BQ1088" s="2" t="s">
        <v>74</v>
      </c>
      <c r="BR1088" s="2" t="s">
        <v>74</v>
      </c>
      <c r="BS1088" s="2" t="s">
        <v>2120</v>
      </c>
      <c r="BT1088" s="2" t="str">
        <f>HYPERLINK("https%3A%2F%2Fwww.webofscience.com%2Fwos%2Fwoscc%2Ffull-record%2FWOS:A1976CY45000005","View Full Record in Web of Science")</f>
        <v>View Full Record in Web of Science</v>
      </c>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row>
    <row r="1089" spans="1:314" s="2" customFormat="1" x14ac:dyDescent="0.4">
      <c r="A1089" s="2" t="s">
        <v>72</v>
      </c>
      <c r="B1089" s="2" t="s">
        <v>1188</v>
      </c>
      <c r="C1089" s="2" t="s">
        <v>74</v>
      </c>
      <c r="D1089" s="2" t="s">
        <v>74</v>
      </c>
      <c r="E1089" s="2" t="s">
        <v>74</v>
      </c>
      <c r="F1089" s="2" t="s">
        <v>1189</v>
      </c>
      <c r="G1089" s="2" t="s">
        <v>74</v>
      </c>
      <c r="H1089" s="2" t="s">
        <v>74</v>
      </c>
      <c r="I1089" s="2" t="s">
        <v>1190</v>
      </c>
      <c r="J1089" s="2" t="s">
        <v>201</v>
      </c>
      <c r="K1089" s="2" t="s">
        <v>74</v>
      </c>
      <c r="L1089" s="2" t="s">
        <v>74</v>
      </c>
      <c r="M1089" s="2" t="s">
        <v>74</v>
      </c>
      <c r="N1089" s="2" t="s">
        <v>74</v>
      </c>
      <c r="O1089" s="2" t="s">
        <v>74</v>
      </c>
      <c r="P1089" s="2" t="s">
        <v>74</v>
      </c>
      <c r="Q1089" s="2" t="s">
        <v>74</v>
      </c>
      <c r="R1089" s="2" t="s">
        <v>74</v>
      </c>
      <c r="S1089" s="2" t="s">
        <v>74</v>
      </c>
      <c r="T1089" s="2" t="s">
        <v>74</v>
      </c>
      <c r="U1089" s="2" t="s">
        <v>74</v>
      </c>
      <c r="V1089" s="5" t="s">
        <v>1191</v>
      </c>
      <c r="W1089" s="2" t="s">
        <v>74</v>
      </c>
      <c r="X1089" s="2" t="s">
        <v>74</v>
      </c>
      <c r="Y1089" s="2" t="s">
        <v>74</v>
      </c>
      <c r="Z1089" s="2" t="s">
        <v>74</v>
      </c>
      <c r="AA1089" s="2" t="s">
        <v>74</v>
      </c>
      <c r="AB1089" s="2" t="s">
        <v>74</v>
      </c>
      <c r="AC1089" s="2" t="s">
        <v>74</v>
      </c>
      <c r="AD1089" s="2" t="s">
        <v>74</v>
      </c>
      <c r="AE1089" s="2" t="s">
        <v>74</v>
      </c>
      <c r="AF1089" s="2" t="s">
        <v>74</v>
      </c>
      <c r="AG1089" s="2" t="s">
        <v>74</v>
      </c>
      <c r="AH1089" s="2" t="s">
        <v>74</v>
      </c>
      <c r="AI1089" s="2" t="s">
        <v>74</v>
      </c>
      <c r="AJ1089" s="2" t="s">
        <v>74</v>
      </c>
      <c r="AK1089" s="2" t="s">
        <v>74</v>
      </c>
      <c r="AL1089" s="2" t="s">
        <v>74</v>
      </c>
      <c r="AM1089" s="2" t="s">
        <v>74</v>
      </c>
      <c r="AN1089" s="2" t="s">
        <v>74</v>
      </c>
      <c r="AO1089" s="2" t="s">
        <v>203</v>
      </c>
      <c r="AP1089" s="2" t="s">
        <v>1192</v>
      </c>
      <c r="AQ1089" s="2" t="s">
        <v>74</v>
      </c>
      <c r="AR1089" s="2" t="s">
        <v>74</v>
      </c>
      <c r="AS1089" s="2" t="s">
        <v>74</v>
      </c>
      <c r="AT1089" s="2" t="s">
        <v>134</v>
      </c>
      <c r="AU1089" s="2">
        <v>2009</v>
      </c>
      <c r="AV1089" s="2">
        <v>74</v>
      </c>
      <c r="AW1089" s="2">
        <v>8</v>
      </c>
      <c r="AX1089" s="2" t="s">
        <v>74</v>
      </c>
      <c r="AY1089" s="2" t="s">
        <v>74</v>
      </c>
      <c r="AZ1089" s="2" t="s">
        <v>74</v>
      </c>
      <c r="BA1089" s="2" t="s">
        <v>74</v>
      </c>
      <c r="BB1089" s="2">
        <v>1804</v>
      </c>
      <c r="BC1089" s="2">
        <v>1815</v>
      </c>
      <c r="BD1089" s="2" t="s">
        <v>74</v>
      </c>
      <c r="BE1089" s="2" t="s">
        <v>1193</v>
      </c>
      <c r="BF1089" s="2" t="str">
        <f>HYPERLINK("http://dx.doi.org/10.1111/j.1095-8649.2009.02256.x","http://dx.doi.org/10.1111/j.1095-8649.2009.02256.x")</f>
        <v>http://dx.doi.org/10.1111/j.1095-8649.2009.02256.x</v>
      </c>
      <c r="BG1089" s="2" t="s">
        <v>74</v>
      </c>
      <c r="BH1089" s="2" t="s">
        <v>74</v>
      </c>
      <c r="BI1089" s="2" t="s">
        <v>74</v>
      </c>
      <c r="BJ1089" s="2" t="s">
        <v>74</v>
      </c>
      <c r="BK1089" s="2" t="s">
        <v>74</v>
      </c>
      <c r="BL1089" s="2" t="s">
        <v>74</v>
      </c>
      <c r="BM1089" s="2" t="s">
        <v>74</v>
      </c>
      <c r="BN1089" s="2">
        <v>20735672</v>
      </c>
      <c r="BO1089" s="2" t="s">
        <v>74</v>
      </c>
      <c r="BP1089" s="2" t="s">
        <v>74</v>
      </c>
      <c r="BQ1089" s="2" t="s">
        <v>74</v>
      </c>
      <c r="BR1089" s="2" t="s">
        <v>74</v>
      </c>
      <c r="BS1089" s="2" t="s">
        <v>1194</v>
      </c>
      <c r="BT1089" s="2" t="str">
        <f>HYPERLINK("https%3A%2F%2Fwww.webofscience.com%2Fwos%2Fwoscc%2Ffull-record%2FWOS:000266243100006","View Full Record in Web of Science")</f>
        <v>View Full Record in Web of Science</v>
      </c>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row>
    <row r="1090" spans="1:314" s="2" customFormat="1" x14ac:dyDescent="0.4">
      <c r="A1090" s="2" t="s">
        <v>72</v>
      </c>
      <c r="B1090" s="2" t="s">
        <v>3167</v>
      </c>
      <c r="C1090" s="2" t="s">
        <v>74</v>
      </c>
      <c r="D1090" s="2" t="s">
        <v>74</v>
      </c>
      <c r="E1090" s="2" t="s">
        <v>74</v>
      </c>
      <c r="F1090" s="2" t="s">
        <v>3168</v>
      </c>
      <c r="G1090" s="2" t="s">
        <v>74</v>
      </c>
      <c r="H1090" s="2" t="s">
        <v>74</v>
      </c>
      <c r="I1090" s="2" t="s">
        <v>3169</v>
      </c>
      <c r="J1090" s="2" t="s">
        <v>3170</v>
      </c>
      <c r="K1090" s="2" t="s">
        <v>74</v>
      </c>
      <c r="L1090" s="2" t="s">
        <v>74</v>
      </c>
      <c r="M1090" s="2" t="s">
        <v>74</v>
      </c>
      <c r="N1090" s="2" t="s">
        <v>74</v>
      </c>
      <c r="O1090" s="2" t="s">
        <v>74</v>
      </c>
      <c r="P1090" s="2" t="s">
        <v>74</v>
      </c>
      <c r="Q1090" s="2" t="s">
        <v>74</v>
      </c>
      <c r="R1090" s="2" t="s">
        <v>74</v>
      </c>
      <c r="S1090" s="2" t="s">
        <v>74</v>
      </c>
      <c r="T1090" s="2" t="s">
        <v>74</v>
      </c>
      <c r="U1090" s="2" t="s">
        <v>74</v>
      </c>
      <c r="V1090" s="5" t="s">
        <v>3171</v>
      </c>
      <c r="W1090" s="2" t="s">
        <v>74</v>
      </c>
      <c r="X1090" s="2" t="s">
        <v>74</v>
      </c>
      <c r="Y1090" s="2" t="s">
        <v>74</v>
      </c>
      <c r="Z1090" s="2" t="s">
        <v>74</v>
      </c>
      <c r="AA1090" s="2" t="s">
        <v>3172</v>
      </c>
      <c r="AB1090" s="2" t="s">
        <v>3173</v>
      </c>
      <c r="AC1090" s="2" t="s">
        <v>74</v>
      </c>
      <c r="AD1090" s="2" t="s">
        <v>74</v>
      </c>
      <c r="AE1090" s="2" t="s">
        <v>74</v>
      </c>
      <c r="AF1090" s="2" t="s">
        <v>74</v>
      </c>
      <c r="AG1090" s="2" t="s">
        <v>74</v>
      </c>
      <c r="AH1090" s="2" t="s">
        <v>74</v>
      </c>
      <c r="AI1090" s="2" t="s">
        <v>74</v>
      </c>
      <c r="AJ1090" s="2" t="s">
        <v>74</v>
      </c>
      <c r="AK1090" s="2" t="s">
        <v>74</v>
      </c>
      <c r="AL1090" s="2" t="s">
        <v>74</v>
      </c>
      <c r="AM1090" s="2" t="s">
        <v>74</v>
      </c>
      <c r="AN1090" s="2" t="s">
        <v>74</v>
      </c>
      <c r="AO1090" s="2" t="s">
        <v>3174</v>
      </c>
      <c r="AP1090" s="2" t="s">
        <v>3175</v>
      </c>
      <c r="AQ1090" s="2" t="s">
        <v>74</v>
      </c>
      <c r="AR1090" s="2" t="s">
        <v>74</v>
      </c>
      <c r="AS1090" s="2" t="s">
        <v>74</v>
      </c>
      <c r="AT1090" s="2" t="s">
        <v>145</v>
      </c>
      <c r="AU1090" s="2">
        <v>2021</v>
      </c>
      <c r="AV1090" s="2">
        <v>38</v>
      </c>
      <c r="AW1090" s="2">
        <v>8</v>
      </c>
      <c r="AX1090" s="2" t="s">
        <v>74</v>
      </c>
      <c r="AY1090" s="2" t="s">
        <v>74</v>
      </c>
      <c r="AZ1090" s="2" t="s">
        <v>74</v>
      </c>
      <c r="BA1090" s="2" t="s">
        <v>74</v>
      </c>
      <c r="BB1090" s="2">
        <v>3383</v>
      </c>
      <c r="BC1090" s="2">
        <v>3396</v>
      </c>
      <c r="BD1090" s="2" t="s">
        <v>74</v>
      </c>
      <c r="BE1090" s="2" t="s">
        <v>3176</v>
      </c>
      <c r="BF1090" s="2" t="str">
        <f>HYPERLINK("http://dx.doi.org/10.1093/molbev/msab110","http://dx.doi.org/10.1093/molbev/msab110")</f>
        <v>http://dx.doi.org/10.1093/molbev/msab110</v>
      </c>
      <c r="BG1090" s="2" t="s">
        <v>74</v>
      </c>
      <c r="BH1090" s="2" t="s">
        <v>1051</v>
      </c>
      <c r="BI1090" s="2" t="s">
        <v>74</v>
      </c>
      <c r="BJ1090" s="2" t="s">
        <v>74</v>
      </c>
      <c r="BK1090" s="2" t="s">
        <v>74</v>
      </c>
      <c r="BL1090" s="2" t="s">
        <v>74</v>
      </c>
      <c r="BM1090" s="2" t="s">
        <v>74</v>
      </c>
      <c r="BN1090" s="2">
        <v>33871625</v>
      </c>
      <c r="BO1090" s="2" t="s">
        <v>74</v>
      </c>
      <c r="BP1090" s="2" t="s">
        <v>74</v>
      </c>
      <c r="BQ1090" s="2" t="s">
        <v>74</v>
      </c>
      <c r="BR1090" s="2" t="s">
        <v>74</v>
      </c>
      <c r="BS1090" s="2" t="s">
        <v>3177</v>
      </c>
      <c r="BT1090" s="2" t="str">
        <f>HYPERLINK("https%3A%2F%2Fwww.webofscience.com%2Fwos%2Fwoscc%2Ffull-record%2FWOS:000693740300024","View Full Record in Web of Science")</f>
        <v>View Full Record in Web of Science</v>
      </c>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row>
    <row r="1091" spans="1:314" s="2" customFormat="1" x14ac:dyDescent="0.4">
      <c r="A1091" s="2" t="s">
        <v>72</v>
      </c>
      <c r="B1091" s="2" t="s">
        <v>2054</v>
      </c>
      <c r="C1091" s="2" t="s">
        <v>74</v>
      </c>
      <c r="D1091" s="2" t="s">
        <v>74</v>
      </c>
      <c r="E1091" s="2" t="s">
        <v>74</v>
      </c>
      <c r="F1091" s="2" t="s">
        <v>2055</v>
      </c>
      <c r="G1091" s="2" t="s">
        <v>74</v>
      </c>
      <c r="H1091" s="2" t="s">
        <v>74</v>
      </c>
      <c r="I1091" s="2" t="s">
        <v>2056</v>
      </c>
      <c r="J1091" s="2" t="s">
        <v>77</v>
      </c>
      <c r="K1091" s="2" t="s">
        <v>74</v>
      </c>
      <c r="L1091" s="2" t="s">
        <v>74</v>
      </c>
      <c r="M1091" s="2" t="s">
        <v>74</v>
      </c>
      <c r="N1091" s="2" t="s">
        <v>74</v>
      </c>
      <c r="O1091" s="2" t="s">
        <v>74</v>
      </c>
      <c r="P1091" s="2" t="s">
        <v>74</v>
      </c>
      <c r="Q1091" s="2" t="s">
        <v>74</v>
      </c>
      <c r="R1091" s="2" t="s">
        <v>74</v>
      </c>
      <c r="S1091" s="2" t="s">
        <v>74</v>
      </c>
      <c r="T1091" s="2" t="s">
        <v>74</v>
      </c>
      <c r="U1091" s="2" t="s">
        <v>74</v>
      </c>
      <c r="V1091" s="5" t="s">
        <v>2057</v>
      </c>
      <c r="W1091" s="2" t="s">
        <v>74</v>
      </c>
      <c r="X1091" s="2" t="s">
        <v>74</v>
      </c>
      <c r="Y1091" s="2" t="s">
        <v>74</v>
      </c>
      <c r="Z1091" s="2" t="s">
        <v>74</v>
      </c>
      <c r="AA1091" s="2" t="s">
        <v>2058</v>
      </c>
      <c r="AB1091" s="2" t="s">
        <v>1610</v>
      </c>
      <c r="AC1091" s="2" t="s">
        <v>74</v>
      </c>
      <c r="AD1091" s="2" t="s">
        <v>74</v>
      </c>
      <c r="AE1091" s="2" t="s">
        <v>74</v>
      </c>
      <c r="AF1091" s="2" t="s">
        <v>74</v>
      </c>
      <c r="AG1091" s="2" t="s">
        <v>74</v>
      </c>
      <c r="AH1091" s="2" t="s">
        <v>74</v>
      </c>
      <c r="AI1091" s="2" t="s">
        <v>74</v>
      </c>
      <c r="AJ1091" s="2" t="s">
        <v>74</v>
      </c>
      <c r="AK1091" s="2" t="s">
        <v>74</v>
      </c>
      <c r="AL1091" s="2" t="s">
        <v>74</v>
      </c>
      <c r="AM1091" s="2" t="s">
        <v>74</v>
      </c>
      <c r="AN1091" s="2" t="s">
        <v>74</v>
      </c>
      <c r="AO1091" s="2" t="s">
        <v>81</v>
      </c>
      <c r="AP1091" s="2" t="s">
        <v>74</v>
      </c>
      <c r="AQ1091" s="2" t="s">
        <v>74</v>
      </c>
      <c r="AR1091" s="2" t="s">
        <v>74</v>
      </c>
      <c r="AS1091" s="2" t="s">
        <v>74</v>
      </c>
      <c r="AT1091" s="2" t="s">
        <v>74</v>
      </c>
      <c r="AU1091" s="2">
        <v>2013</v>
      </c>
      <c r="AV1091" s="2">
        <v>150</v>
      </c>
      <c r="AW1091" s="2">
        <v>2</v>
      </c>
      <c r="AX1091" s="2" t="s">
        <v>74</v>
      </c>
      <c r="AY1091" s="2" t="s">
        <v>74</v>
      </c>
      <c r="AZ1091" s="2" t="s">
        <v>74</v>
      </c>
      <c r="BA1091" s="2" t="s">
        <v>74</v>
      </c>
      <c r="BB1091" s="2">
        <v>215</v>
      </c>
      <c r="BC1091" s="2">
        <v>223</v>
      </c>
      <c r="BD1091" s="2" t="s">
        <v>74</v>
      </c>
      <c r="BE1091" s="2" t="s">
        <v>2059</v>
      </c>
      <c r="BF1091" s="2" t="str">
        <f>HYPERLINK("http://dx.doi.org/10.1163/1568539X-00003046","http://dx.doi.org/10.1163/1568539X-00003046")</f>
        <v>http://dx.doi.org/10.1163/1568539X-00003046</v>
      </c>
      <c r="BG1091" s="2" t="s">
        <v>74</v>
      </c>
      <c r="BH1091" s="2" t="s">
        <v>74</v>
      </c>
      <c r="BI1091" s="2" t="s">
        <v>74</v>
      </c>
      <c r="BJ1091" s="2" t="s">
        <v>74</v>
      </c>
      <c r="BK1091" s="2" t="s">
        <v>74</v>
      </c>
      <c r="BL1091" s="2" t="s">
        <v>74</v>
      </c>
      <c r="BM1091" s="2" t="s">
        <v>74</v>
      </c>
      <c r="BN1091" s="2" t="s">
        <v>74</v>
      </c>
      <c r="BO1091" s="2" t="s">
        <v>74</v>
      </c>
      <c r="BP1091" s="2" t="s">
        <v>74</v>
      </c>
      <c r="BQ1091" s="2" t="s">
        <v>74</v>
      </c>
      <c r="BR1091" s="2" t="s">
        <v>74</v>
      </c>
      <c r="BS1091" s="2" t="s">
        <v>2060</v>
      </c>
      <c r="BT1091" s="2" t="str">
        <f>HYPERLINK("https%3A%2F%2Fwww.webofscience.com%2Fwos%2Fwoscc%2Ffull-record%2FWOS:000318051100006","View Full Record in Web of Science")</f>
        <v>View Full Record in Web of Science</v>
      </c>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row>
    <row r="1092" spans="1:314" s="2" customFormat="1" x14ac:dyDescent="0.4">
      <c r="A1092" s="2" t="s">
        <v>72</v>
      </c>
      <c r="B1092" s="2" t="s">
        <v>1753</v>
      </c>
      <c r="C1092" s="2" t="s">
        <v>74</v>
      </c>
      <c r="D1092" s="2" t="s">
        <v>74</v>
      </c>
      <c r="E1092" s="2" t="s">
        <v>74</v>
      </c>
      <c r="F1092" s="2" t="s">
        <v>1753</v>
      </c>
      <c r="G1092" s="2" t="s">
        <v>74</v>
      </c>
      <c r="H1092" s="2" t="s">
        <v>74</v>
      </c>
      <c r="I1092" s="2" t="s">
        <v>1754</v>
      </c>
      <c r="J1092" s="2" t="s">
        <v>1755</v>
      </c>
      <c r="K1092" s="2" t="s">
        <v>74</v>
      </c>
      <c r="L1092" s="2" t="s">
        <v>74</v>
      </c>
      <c r="M1092" s="2" t="s">
        <v>74</v>
      </c>
      <c r="N1092" s="2" t="s">
        <v>74</v>
      </c>
      <c r="O1092" s="2" t="s">
        <v>74</v>
      </c>
      <c r="P1092" s="2" t="s">
        <v>74</v>
      </c>
      <c r="Q1092" s="2" t="s">
        <v>74</v>
      </c>
      <c r="R1092" s="2" t="s">
        <v>74</v>
      </c>
      <c r="S1092" s="2" t="s">
        <v>74</v>
      </c>
      <c r="T1092" s="2" t="s">
        <v>74</v>
      </c>
      <c r="U1092" s="2" t="s">
        <v>74</v>
      </c>
      <c r="V1092" s="5" t="s">
        <v>1756</v>
      </c>
      <c r="W1092" s="2" t="s">
        <v>74</v>
      </c>
      <c r="X1092" s="2" t="s">
        <v>74</v>
      </c>
      <c r="Y1092" s="2" t="s">
        <v>74</v>
      </c>
      <c r="Z1092" s="2" t="s">
        <v>74</v>
      </c>
      <c r="AA1092" s="2" t="s">
        <v>1757</v>
      </c>
      <c r="AB1092" s="2" t="s">
        <v>1758</v>
      </c>
      <c r="AC1092" s="2" t="s">
        <v>74</v>
      </c>
      <c r="AD1092" s="2" t="s">
        <v>74</v>
      </c>
      <c r="AE1092" s="2" t="s">
        <v>74</v>
      </c>
      <c r="AF1092" s="2" t="s">
        <v>74</v>
      </c>
      <c r="AG1092" s="2" t="s">
        <v>74</v>
      </c>
      <c r="AH1092" s="2" t="s">
        <v>74</v>
      </c>
      <c r="AI1092" s="2" t="s">
        <v>74</v>
      </c>
      <c r="AJ1092" s="2" t="s">
        <v>74</v>
      </c>
      <c r="AK1092" s="2" t="s">
        <v>74</v>
      </c>
      <c r="AL1092" s="2" t="s">
        <v>74</v>
      </c>
      <c r="AM1092" s="2" t="s">
        <v>74</v>
      </c>
      <c r="AN1092" s="2" t="s">
        <v>74</v>
      </c>
      <c r="AO1092" s="2" t="s">
        <v>1759</v>
      </c>
      <c r="AP1092" s="2" t="s">
        <v>1760</v>
      </c>
      <c r="AQ1092" s="2" t="s">
        <v>74</v>
      </c>
      <c r="AR1092" s="2" t="s">
        <v>74</v>
      </c>
      <c r="AS1092" s="2" t="s">
        <v>74</v>
      </c>
      <c r="AT1092" s="2" t="s">
        <v>352</v>
      </c>
      <c r="AU1092" s="2">
        <v>2002</v>
      </c>
      <c r="AV1092" s="2">
        <v>15</v>
      </c>
      <c r="AW1092" s="2">
        <v>5</v>
      </c>
      <c r="AX1092" s="2" t="s">
        <v>74</v>
      </c>
      <c r="AY1092" s="2" t="s">
        <v>74</v>
      </c>
      <c r="AZ1092" s="2" t="s">
        <v>74</v>
      </c>
      <c r="BA1092" s="2" t="s">
        <v>74</v>
      </c>
      <c r="BB1092" s="2">
        <v>675</v>
      </c>
      <c r="BC1092" s="2">
        <v>687</v>
      </c>
      <c r="BD1092" s="2" t="s">
        <v>74</v>
      </c>
      <c r="BE1092" s="2" t="s">
        <v>1761</v>
      </c>
      <c r="BF1092" s="2" t="str">
        <f>HYPERLINK("http://dx.doi.org/10.1023/A:1020747907490","http://dx.doi.org/10.1023/A:1020747907490")</f>
        <v>http://dx.doi.org/10.1023/A:1020747907490</v>
      </c>
      <c r="BG1092" s="2" t="s">
        <v>74</v>
      </c>
      <c r="BH1092" s="2" t="s">
        <v>74</v>
      </c>
      <c r="BI1092" s="2" t="s">
        <v>74</v>
      </c>
      <c r="BJ1092" s="2" t="s">
        <v>74</v>
      </c>
      <c r="BK1092" s="2" t="s">
        <v>74</v>
      </c>
      <c r="BL1092" s="2" t="s">
        <v>74</v>
      </c>
      <c r="BM1092" s="2" t="s">
        <v>74</v>
      </c>
      <c r="BN1092" s="2" t="s">
        <v>74</v>
      </c>
      <c r="BO1092" s="2" t="s">
        <v>74</v>
      </c>
      <c r="BP1092" s="2" t="s">
        <v>74</v>
      </c>
      <c r="BQ1092" s="2" t="s">
        <v>74</v>
      </c>
      <c r="BR1092" s="2" t="s">
        <v>74</v>
      </c>
      <c r="BS1092" s="2" t="s">
        <v>1762</v>
      </c>
      <c r="BT1092" s="2" t="str">
        <f>HYPERLINK("https%3A%2F%2Fwww.webofscience.com%2Fwos%2Fwoscc%2Ffull-record%2FWOS:000178788900005","View Full Record in Web of Science")</f>
        <v>View Full Record in Web of Science</v>
      </c>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row>
    <row r="1093" spans="1:314" s="2" customFormat="1" x14ac:dyDescent="0.4">
      <c r="A1093" s="2" t="s">
        <v>72</v>
      </c>
      <c r="B1093" s="2" t="s">
        <v>8222</v>
      </c>
      <c r="C1093" s="2" t="s">
        <v>74</v>
      </c>
      <c r="D1093" s="2" t="s">
        <v>74</v>
      </c>
      <c r="E1093" s="2" t="s">
        <v>74</v>
      </c>
      <c r="F1093" s="2" t="s">
        <v>8222</v>
      </c>
      <c r="G1093" s="2" t="s">
        <v>74</v>
      </c>
      <c r="H1093" s="2" t="s">
        <v>74</v>
      </c>
      <c r="I1093" s="2" t="s">
        <v>8223</v>
      </c>
      <c r="J1093" s="2" t="s">
        <v>140</v>
      </c>
      <c r="K1093" s="2" t="s">
        <v>74</v>
      </c>
      <c r="L1093" s="2" t="s">
        <v>74</v>
      </c>
      <c r="M1093" s="2" t="s">
        <v>74</v>
      </c>
      <c r="N1093" s="2" t="s">
        <v>74</v>
      </c>
      <c r="O1093" s="2" t="s">
        <v>74</v>
      </c>
      <c r="P1093" s="2" t="s">
        <v>74</v>
      </c>
      <c r="Q1093" s="2" t="s">
        <v>74</v>
      </c>
      <c r="R1093" s="2" t="s">
        <v>74</v>
      </c>
      <c r="S1093" s="2" t="s">
        <v>74</v>
      </c>
      <c r="T1093" s="2" t="s">
        <v>74</v>
      </c>
      <c r="U1093" s="2" t="s">
        <v>74</v>
      </c>
      <c r="V1093" s="5" t="s">
        <v>8224</v>
      </c>
      <c r="W1093" s="2" t="s">
        <v>74</v>
      </c>
      <c r="X1093" s="2" t="s">
        <v>74</v>
      </c>
      <c r="Y1093" s="2" t="s">
        <v>74</v>
      </c>
      <c r="Z1093" s="2" t="s">
        <v>74</v>
      </c>
      <c r="AA1093" s="2" t="s">
        <v>74</v>
      </c>
      <c r="AB1093" s="2" t="s">
        <v>74</v>
      </c>
      <c r="AC1093" s="2" t="s">
        <v>74</v>
      </c>
      <c r="AD1093" s="2" t="s">
        <v>74</v>
      </c>
      <c r="AE1093" s="2" t="s">
        <v>74</v>
      </c>
      <c r="AF1093" s="2" t="s">
        <v>74</v>
      </c>
      <c r="AG1093" s="2" t="s">
        <v>74</v>
      </c>
      <c r="AH1093" s="2" t="s">
        <v>74</v>
      </c>
      <c r="AI1093" s="2" t="s">
        <v>74</v>
      </c>
      <c r="AJ1093" s="2" t="s">
        <v>74</v>
      </c>
      <c r="AK1093" s="2" t="s">
        <v>74</v>
      </c>
      <c r="AL1093" s="2" t="s">
        <v>74</v>
      </c>
      <c r="AM1093" s="2" t="s">
        <v>74</v>
      </c>
      <c r="AN1093" s="2" t="s">
        <v>74</v>
      </c>
      <c r="AO1093" s="2" t="s">
        <v>143</v>
      </c>
      <c r="AP1093" s="2" t="s">
        <v>74</v>
      </c>
      <c r="AQ1093" s="2" t="s">
        <v>74</v>
      </c>
      <c r="AR1093" s="2" t="s">
        <v>74</v>
      </c>
      <c r="AS1093" s="2" t="s">
        <v>74</v>
      </c>
      <c r="AT1093" s="2" t="s">
        <v>145</v>
      </c>
      <c r="AU1093" s="2">
        <v>1996</v>
      </c>
      <c r="AV1093" s="2">
        <v>52</v>
      </c>
      <c r="AW1093" s="2" t="s">
        <v>74</v>
      </c>
      <c r="AX1093" s="2">
        <v>2</v>
      </c>
      <c r="AY1093" s="2" t="s">
        <v>74</v>
      </c>
      <c r="AZ1093" s="2" t="s">
        <v>74</v>
      </c>
      <c r="BA1093" s="2" t="s">
        <v>74</v>
      </c>
      <c r="BB1093" s="2">
        <v>371</v>
      </c>
      <c r="BC1093" s="2">
        <v>378</v>
      </c>
      <c r="BD1093" s="2" t="s">
        <v>74</v>
      </c>
      <c r="BE1093" s="2" t="s">
        <v>8225</v>
      </c>
      <c r="BF1093" s="2" t="str">
        <f>HYPERLINK("http://dx.doi.org/10.1006/anbe.1996.0181","http://dx.doi.org/10.1006/anbe.1996.0181")</f>
        <v>http://dx.doi.org/10.1006/anbe.1996.0181</v>
      </c>
      <c r="BG1093" s="2" t="s">
        <v>74</v>
      </c>
      <c r="BH1093" s="2" t="s">
        <v>74</v>
      </c>
      <c r="BI1093" s="2" t="s">
        <v>74</v>
      </c>
      <c r="BJ1093" s="2" t="s">
        <v>74</v>
      </c>
      <c r="BK1093" s="2" t="s">
        <v>74</v>
      </c>
      <c r="BL1093" s="2" t="s">
        <v>74</v>
      </c>
      <c r="BM1093" s="2" t="s">
        <v>74</v>
      </c>
      <c r="BN1093" s="2" t="s">
        <v>74</v>
      </c>
      <c r="BO1093" s="2" t="s">
        <v>74</v>
      </c>
      <c r="BP1093" s="2" t="s">
        <v>74</v>
      </c>
      <c r="BQ1093" s="2" t="s">
        <v>74</v>
      </c>
      <c r="BR1093" s="2" t="s">
        <v>74</v>
      </c>
      <c r="BS1093" s="2" t="s">
        <v>8226</v>
      </c>
      <c r="BT1093" s="2" t="str">
        <f>HYPERLINK("https%3A%2F%2Fwww.webofscience.com%2Fwos%2Fwoscc%2Ffull-record%2FWOS:A1996VH71700013","View Full Record in Web of Science")</f>
        <v>View Full Record in Web of Science</v>
      </c>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row>
    <row r="1094" spans="1:314" s="2" customFormat="1" x14ac:dyDescent="0.4">
      <c r="A1094" s="2" t="s">
        <v>72</v>
      </c>
      <c r="B1094" s="2" t="s">
        <v>3466</v>
      </c>
      <c r="C1094" s="2" t="s">
        <v>74</v>
      </c>
      <c r="D1094" s="2" t="s">
        <v>74</v>
      </c>
      <c r="E1094" s="2" t="s">
        <v>74</v>
      </c>
      <c r="F1094" s="2" t="s">
        <v>3466</v>
      </c>
      <c r="G1094" s="2" t="s">
        <v>74</v>
      </c>
      <c r="H1094" s="2" t="s">
        <v>74</v>
      </c>
      <c r="I1094" s="2" t="s">
        <v>3467</v>
      </c>
      <c r="J1094" s="2" t="s">
        <v>77</v>
      </c>
      <c r="K1094" s="2" t="s">
        <v>74</v>
      </c>
      <c r="L1094" s="2" t="s">
        <v>74</v>
      </c>
      <c r="M1094" s="2" t="s">
        <v>74</v>
      </c>
      <c r="N1094" s="2" t="s">
        <v>74</v>
      </c>
      <c r="O1094" s="2" t="s">
        <v>74</v>
      </c>
      <c r="P1094" s="2" t="s">
        <v>74</v>
      </c>
      <c r="Q1094" s="2" t="s">
        <v>74</v>
      </c>
      <c r="R1094" s="2" t="s">
        <v>74</v>
      </c>
      <c r="S1094" s="2" t="s">
        <v>74</v>
      </c>
      <c r="T1094" s="2" t="s">
        <v>74</v>
      </c>
      <c r="U1094" s="2" t="s">
        <v>74</v>
      </c>
      <c r="V1094" s="5" t="s">
        <v>3468</v>
      </c>
      <c r="W1094" s="2" t="s">
        <v>74</v>
      </c>
      <c r="X1094" s="2" t="s">
        <v>74</v>
      </c>
      <c r="Y1094" s="2" t="s">
        <v>74</v>
      </c>
      <c r="Z1094" s="2" t="s">
        <v>74</v>
      </c>
      <c r="AA1094" s="2" t="s">
        <v>74</v>
      </c>
      <c r="AB1094" s="2" t="s">
        <v>74</v>
      </c>
      <c r="AC1094" s="2" t="s">
        <v>74</v>
      </c>
      <c r="AD1094" s="2" t="s">
        <v>74</v>
      </c>
      <c r="AE1094" s="2" t="s">
        <v>74</v>
      </c>
      <c r="AF1094" s="2" t="s">
        <v>74</v>
      </c>
      <c r="AG1094" s="2" t="s">
        <v>74</v>
      </c>
      <c r="AH1094" s="2" t="s">
        <v>74</v>
      </c>
      <c r="AI1094" s="2" t="s">
        <v>74</v>
      </c>
      <c r="AJ1094" s="2" t="s">
        <v>74</v>
      </c>
      <c r="AK1094" s="2" t="s">
        <v>74</v>
      </c>
      <c r="AL1094" s="2" t="s">
        <v>74</v>
      </c>
      <c r="AM1094" s="2" t="s">
        <v>74</v>
      </c>
      <c r="AN1094" s="2" t="s">
        <v>74</v>
      </c>
      <c r="AO1094" s="2" t="s">
        <v>81</v>
      </c>
      <c r="AP1094" s="2" t="s">
        <v>82</v>
      </c>
      <c r="AQ1094" s="2" t="s">
        <v>74</v>
      </c>
      <c r="AR1094" s="2" t="s">
        <v>74</v>
      </c>
      <c r="AS1094" s="2" t="s">
        <v>74</v>
      </c>
      <c r="AT1094" s="2" t="s">
        <v>255</v>
      </c>
      <c r="AU1094" s="2">
        <v>2006</v>
      </c>
      <c r="AV1094" s="2">
        <v>143</v>
      </c>
      <c r="AW1094" s="2" t="s">
        <v>74</v>
      </c>
      <c r="AX1094" s="2">
        <v>1</v>
      </c>
      <c r="AY1094" s="2" t="s">
        <v>74</v>
      </c>
      <c r="AZ1094" s="2" t="s">
        <v>74</v>
      </c>
      <c r="BA1094" s="2" t="s">
        <v>74</v>
      </c>
      <c r="BB1094" s="2">
        <v>33</v>
      </c>
      <c r="BC1094" s="2">
        <v>56</v>
      </c>
      <c r="BD1094" s="2" t="s">
        <v>74</v>
      </c>
      <c r="BE1094" s="2" t="s">
        <v>3469</v>
      </c>
      <c r="BF1094" s="2" t="str">
        <f>HYPERLINK("http://dx.doi.org/10.1163/156853906775133623","http://dx.doi.org/10.1163/156853906775133623")</f>
        <v>http://dx.doi.org/10.1163/156853906775133623</v>
      </c>
      <c r="BG1094" s="2" t="s">
        <v>74</v>
      </c>
      <c r="BH1094" s="2" t="s">
        <v>74</v>
      </c>
      <c r="BI1094" s="2" t="s">
        <v>74</v>
      </c>
      <c r="BJ1094" s="2" t="s">
        <v>74</v>
      </c>
      <c r="BK1094" s="2" t="s">
        <v>74</v>
      </c>
      <c r="BL1094" s="2" t="s">
        <v>74</v>
      </c>
      <c r="BM1094" s="2" t="s">
        <v>74</v>
      </c>
      <c r="BN1094" s="2" t="s">
        <v>74</v>
      </c>
      <c r="BO1094" s="2" t="s">
        <v>74</v>
      </c>
      <c r="BP1094" s="2" t="s">
        <v>74</v>
      </c>
      <c r="BQ1094" s="2" t="s">
        <v>74</v>
      </c>
      <c r="BR1094" s="2" t="s">
        <v>74</v>
      </c>
      <c r="BS1094" s="2" t="s">
        <v>3470</v>
      </c>
      <c r="BT1094" s="2" t="str">
        <f>HYPERLINK("https%3A%2F%2Fwww.webofscience.com%2Fwos%2Fwoscc%2Ffull-record%2FWOS:000235545400003","View Full Record in Web of Science")</f>
        <v>View Full Record in Web of Science</v>
      </c>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row>
    <row r="1095" spans="1:314" s="2" customFormat="1" x14ac:dyDescent="0.4">
      <c r="A1095" s="2" t="s">
        <v>72</v>
      </c>
      <c r="B1095" s="2" t="s">
        <v>7876</v>
      </c>
      <c r="C1095" s="2" t="s">
        <v>74</v>
      </c>
      <c r="D1095" s="2" t="s">
        <v>74</v>
      </c>
      <c r="E1095" s="2" t="s">
        <v>74</v>
      </c>
      <c r="F1095" s="2" t="s">
        <v>7876</v>
      </c>
      <c r="G1095" s="2" t="s">
        <v>74</v>
      </c>
      <c r="H1095" s="2" t="s">
        <v>74</v>
      </c>
      <c r="I1095" s="2" t="s">
        <v>7877</v>
      </c>
      <c r="J1095" s="2" t="s">
        <v>171</v>
      </c>
      <c r="K1095" s="2" t="s">
        <v>74</v>
      </c>
      <c r="L1095" s="2" t="s">
        <v>74</v>
      </c>
      <c r="M1095" s="2" t="s">
        <v>74</v>
      </c>
      <c r="N1095" s="2" t="s">
        <v>74</v>
      </c>
      <c r="O1095" s="2" t="s">
        <v>74</v>
      </c>
      <c r="P1095" s="2" t="s">
        <v>74</v>
      </c>
      <c r="Q1095" s="2" t="s">
        <v>74</v>
      </c>
      <c r="R1095" s="2" t="s">
        <v>74</v>
      </c>
      <c r="S1095" s="2" t="s">
        <v>74</v>
      </c>
      <c r="T1095" s="2" t="s">
        <v>74</v>
      </c>
      <c r="U1095" s="2" t="s">
        <v>74</v>
      </c>
      <c r="V1095" s="5" t="s">
        <v>7878</v>
      </c>
      <c r="W1095" s="2" t="s">
        <v>74</v>
      </c>
      <c r="X1095" s="2" t="s">
        <v>74</v>
      </c>
      <c r="Y1095" s="2" t="s">
        <v>74</v>
      </c>
      <c r="Z1095" s="2" t="s">
        <v>74</v>
      </c>
      <c r="AA1095" s="2" t="s">
        <v>7879</v>
      </c>
      <c r="AB1095" s="2" t="s">
        <v>7880</v>
      </c>
      <c r="AC1095" s="2" t="s">
        <v>74</v>
      </c>
      <c r="AD1095" s="2" t="s">
        <v>74</v>
      </c>
      <c r="AE1095" s="2" t="s">
        <v>74</v>
      </c>
      <c r="AF1095" s="2" t="s">
        <v>74</v>
      </c>
      <c r="AG1095" s="2" t="s">
        <v>74</v>
      </c>
      <c r="AH1095" s="2" t="s">
        <v>74</v>
      </c>
      <c r="AI1095" s="2" t="s">
        <v>74</v>
      </c>
      <c r="AJ1095" s="2" t="s">
        <v>74</v>
      </c>
      <c r="AK1095" s="2" t="s">
        <v>74</v>
      </c>
      <c r="AL1095" s="2" t="s">
        <v>74</v>
      </c>
      <c r="AM1095" s="2" t="s">
        <v>74</v>
      </c>
      <c r="AN1095" s="2" t="s">
        <v>74</v>
      </c>
      <c r="AO1095" s="2" t="s">
        <v>173</v>
      </c>
      <c r="AP1095" s="2" t="s">
        <v>174</v>
      </c>
      <c r="AQ1095" s="2" t="s">
        <v>74</v>
      </c>
      <c r="AR1095" s="2" t="s">
        <v>74</v>
      </c>
      <c r="AS1095" s="2" t="s">
        <v>74</v>
      </c>
      <c r="AT1095" s="2" t="s">
        <v>175</v>
      </c>
      <c r="AU1095" s="2">
        <v>1992</v>
      </c>
      <c r="AV1095" s="2">
        <v>46</v>
      </c>
      <c r="AW1095" s="2">
        <v>5</v>
      </c>
      <c r="AX1095" s="2" t="s">
        <v>74</v>
      </c>
      <c r="AY1095" s="2" t="s">
        <v>74</v>
      </c>
      <c r="AZ1095" s="2" t="s">
        <v>74</v>
      </c>
      <c r="BA1095" s="2" t="s">
        <v>74</v>
      </c>
      <c r="BB1095" s="2">
        <v>1421</v>
      </c>
      <c r="BC1095" s="2">
        <v>1442</v>
      </c>
      <c r="BD1095" s="2" t="s">
        <v>74</v>
      </c>
      <c r="BE1095" s="2" t="s">
        <v>7881</v>
      </c>
      <c r="BF1095" s="2" t="str">
        <f>HYPERLINK("http://dx.doi.org/10.2307/2409947","http://dx.doi.org/10.2307/2409947")</f>
        <v>http://dx.doi.org/10.2307/2409947</v>
      </c>
      <c r="BG1095" s="2" t="s">
        <v>74</v>
      </c>
      <c r="BH1095" s="2" t="s">
        <v>74</v>
      </c>
      <c r="BI1095" s="2" t="s">
        <v>74</v>
      </c>
      <c r="BJ1095" s="2" t="s">
        <v>74</v>
      </c>
      <c r="BK1095" s="2" t="s">
        <v>74</v>
      </c>
      <c r="BL1095" s="2" t="s">
        <v>74</v>
      </c>
      <c r="BM1095" s="2" t="s">
        <v>74</v>
      </c>
      <c r="BN1095" s="2">
        <v>28569004</v>
      </c>
      <c r="BO1095" s="2" t="s">
        <v>74</v>
      </c>
      <c r="BP1095" s="2" t="s">
        <v>74</v>
      </c>
      <c r="BQ1095" s="2" t="s">
        <v>74</v>
      </c>
      <c r="BR1095" s="2" t="s">
        <v>74</v>
      </c>
      <c r="BS1095" s="2" t="s">
        <v>7882</v>
      </c>
      <c r="BT1095" s="2" t="str">
        <f>HYPERLINK("https%3A%2F%2Fwww.webofscience.com%2Fwos%2Fwoscc%2Ffull-record%2FWOS:A1992JV37100013","View Full Record in Web of Science")</f>
        <v>View Full Record in Web of Science</v>
      </c>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row>
    <row r="1096" spans="1:314" s="2" customFormat="1" x14ac:dyDescent="0.4">
      <c r="A1096" s="2" t="s">
        <v>72</v>
      </c>
      <c r="B1096" s="2" t="s">
        <v>3853</v>
      </c>
      <c r="C1096" s="2" t="s">
        <v>74</v>
      </c>
      <c r="D1096" s="2" t="s">
        <v>74</v>
      </c>
      <c r="E1096" s="2" t="s">
        <v>74</v>
      </c>
      <c r="F1096" s="2" t="s">
        <v>3853</v>
      </c>
      <c r="G1096" s="2" t="s">
        <v>74</v>
      </c>
      <c r="H1096" s="2" t="s">
        <v>74</v>
      </c>
      <c r="I1096" s="2" t="s">
        <v>3854</v>
      </c>
      <c r="J1096" s="2" t="s">
        <v>3855</v>
      </c>
      <c r="K1096" s="2" t="s">
        <v>74</v>
      </c>
      <c r="L1096" s="2" t="s">
        <v>74</v>
      </c>
      <c r="M1096" s="2" t="s">
        <v>74</v>
      </c>
      <c r="N1096" s="2" t="s">
        <v>74</v>
      </c>
      <c r="O1096" s="2" t="s">
        <v>74</v>
      </c>
      <c r="P1096" s="2" t="s">
        <v>74</v>
      </c>
      <c r="Q1096" s="2" t="s">
        <v>74</v>
      </c>
      <c r="R1096" s="2" t="s">
        <v>74</v>
      </c>
      <c r="S1096" s="2" t="s">
        <v>74</v>
      </c>
      <c r="T1096" s="2" t="s">
        <v>74</v>
      </c>
      <c r="U1096" s="2" t="s">
        <v>74</v>
      </c>
      <c r="V1096" s="5" t="s">
        <v>3856</v>
      </c>
      <c r="W1096" s="2" t="s">
        <v>74</v>
      </c>
      <c r="X1096" s="2" t="s">
        <v>74</v>
      </c>
      <c r="Y1096" s="2" t="s">
        <v>74</v>
      </c>
      <c r="Z1096" s="2" t="s">
        <v>74</v>
      </c>
      <c r="AA1096" s="2" t="s">
        <v>74</v>
      </c>
      <c r="AB1096" s="2" t="s">
        <v>74</v>
      </c>
      <c r="AC1096" s="2" t="s">
        <v>74</v>
      </c>
      <c r="AD1096" s="2" t="s">
        <v>74</v>
      </c>
      <c r="AE1096" s="2" t="s">
        <v>74</v>
      </c>
      <c r="AF1096" s="2" t="s">
        <v>74</v>
      </c>
      <c r="AG1096" s="2" t="s">
        <v>74</v>
      </c>
      <c r="AH1096" s="2" t="s">
        <v>74</v>
      </c>
      <c r="AI1096" s="2" t="s">
        <v>74</v>
      </c>
      <c r="AJ1096" s="2" t="s">
        <v>74</v>
      </c>
      <c r="AK1096" s="2" t="s">
        <v>74</v>
      </c>
      <c r="AL1096" s="2" t="s">
        <v>74</v>
      </c>
      <c r="AM1096" s="2" t="s">
        <v>74</v>
      </c>
      <c r="AN1096" s="2" t="s">
        <v>74</v>
      </c>
      <c r="AO1096" s="2" t="s">
        <v>3857</v>
      </c>
      <c r="AP1096" s="2" t="s">
        <v>74</v>
      </c>
      <c r="AQ1096" s="2" t="s">
        <v>74</v>
      </c>
      <c r="AR1096" s="2" t="s">
        <v>74</v>
      </c>
      <c r="AS1096" s="2" t="s">
        <v>74</v>
      </c>
      <c r="AT1096" s="2" t="s">
        <v>213</v>
      </c>
      <c r="AU1096" s="2">
        <v>1991</v>
      </c>
      <c r="AV1096" s="2">
        <v>9</v>
      </c>
      <c r="AW1096" s="2" t="s">
        <v>548</v>
      </c>
      <c r="AX1096" s="2" t="s">
        <v>74</v>
      </c>
      <c r="AY1096" s="2" t="s">
        <v>74</v>
      </c>
      <c r="AZ1096" s="2" t="s">
        <v>74</v>
      </c>
      <c r="BA1096" s="2" t="s">
        <v>74</v>
      </c>
      <c r="BB1096" s="2">
        <v>20</v>
      </c>
      <c r="BC1096" s="2">
        <v>29</v>
      </c>
      <c r="BD1096" s="2" t="s">
        <v>74</v>
      </c>
      <c r="BE1096" s="2" t="s">
        <v>3858</v>
      </c>
      <c r="BF1096" s="2" t="str">
        <f>HYPERLINK("http://dx.doi.org/10.3727/015613890791749136","http://dx.doi.org/10.3727/015613890791749136")</f>
        <v>http://dx.doi.org/10.3727/015613890791749136</v>
      </c>
      <c r="BG1096" s="2" t="s">
        <v>74</v>
      </c>
      <c r="BH1096" s="2" t="s">
        <v>74</v>
      </c>
      <c r="BI1096" s="2" t="s">
        <v>74</v>
      </c>
      <c r="BJ1096" s="2" t="s">
        <v>74</v>
      </c>
      <c r="BK1096" s="2" t="s">
        <v>74</v>
      </c>
      <c r="BL1096" s="2" t="s">
        <v>74</v>
      </c>
      <c r="BM1096" s="2" t="s">
        <v>74</v>
      </c>
      <c r="BN1096" s="2" t="s">
        <v>74</v>
      </c>
      <c r="BO1096" s="2" t="s">
        <v>74</v>
      </c>
      <c r="BP1096" s="2" t="s">
        <v>74</v>
      </c>
      <c r="BQ1096" s="2" t="s">
        <v>74</v>
      </c>
      <c r="BR1096" s="2" t="s">
        <v>74</v>
      </c>
      <c r="BS1096" s="2" t="s">
        <v>3859</v>
      </c>
      <c r="BT1096" s="2" t="str">
        <f>HYPERLINK("https%3A%2F%2Fwww.webofscience.com%2Fwos%2Fwoscc%2Ffull-record%2FWOS:A1991HW66600004","View Full Record in Web of Science")</f>
        <v>View Full Record in Web of Science</v>
      </c>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row>
    <row r="1097" spans="1:314" s="2" customFormat="1" x14ac:dyDescent="0.4">
      <c r="A1097" s="2" t="s">
        <v>72</v>
      </c>
      <c r="B1097" s="2" t="s">
        <v>5926</v>
      </c>
      <c r="C1097" s="2" t="s">
        <v>74</v>
      </c>
      <c r="D1097" s="2" t="s">
        <v>74</v>
      </c>
      <c r="E1097" s="2" t="s">
        <v>74</v>
      </c>
      <c r="F1097" s="2" t="s">
        <v>5927</v>
      </c>
      <c r="G1097" s="2" t="s">
        <v>74</v>
      </c>
      <c r="H1097" s="2" t="s">
        <v>74</v>
      </c>
      <c r="I1097" s="2" t="s">
        <v>5928</v>
      </c>
      <c r="J1097" s="2" t="s">
        <v>333</v>
      </c>
      <c r="K1097" s="2" t="s">
        <v>74</v>
      </c>
      <c r="L1097" s="2" t="s">
        <v>74</v>
      </c>
      <c r="M1097" s="2" t="s">
        <v>74</v>
      </c>
      <c r="N1097" s="2" t="s">
        <v>74</v>
      </c>
      <c r="O1097" s="2" t="s">
        <v>74</v>
      </c>
      <c r="P1097" s="2" t="s">
        <v>74</v>
      </c>
      <c r="Q1097" s="2" t="s">
        <v>74</v>
      </c>
      <c r="R1097" s="2" t="s">
        <v>74</v>
      </c>
      <c r="S1097" s="2" t="s">
        <v>74</v>
      </c>
      <c r="T1097" s="2" t="s">
        <v>74</v>
      </c>
      <c r="U1097" s="2" t="s">
        <v>74</v>
      </c>
      <c r="V1097" s="5" t="s">
        <v>5929</v>
      </c>
      <c r="W1097" s="2" t="s">
        <v>74</v>
      </c>
      <c r="X1097" s="2" t="s">
        <v>74</v>
      </c>
      <c r="Y1097" s="2" t="s">
        <v>74</v>
      </c>
      <c r="Z1097" s="2" t="s">
        <v>74</v>
      </c>
      <c r="AA1097" s="2" t="s">
        <v>5930</v>
      </c>
      <c r="AB1097" s="2" t="s">
        <v>5931</v>
      </c>
      <c r="AC1097" s="2" t="s">
        <v>74</v>
      </c>
      <c r="AD1097" s="2" t="s">
        <v>74</v>
      </c>
      <c r="AE1097" s="2" t="s">
        <v>74</v>
      </c>
      <c r="AF1097" s="2" t="s">
        <v>74</v>
      </c>
      <c r="AG1097" s="2" t="s">
        <v>74</v>
      </c>
      <c r="AH1097" s="2" t="s">
        <v>74</v>
      </c>
      <c r="AI1097" s="2" t="s">
        <v>74</v>
      </c>
      <c r="AJ1097" s="2" t="s">
        <v>74</v>
      </c>
      <c r="AK1097" s="2" t="s">
        <v>74</v>
      </c>
      <c r="AL1097" s="2" t="s">
        <v>74</v>
      </c>
      <c r="AM1097" s="2" t="s">
        <v>74</v>
      </c>
      <c r="AN1097" s="2" t="s">
        <v>74</v>
      </c>
      <c r="AO1097" s="2" t="s">
        <v>337</v>
      </c>
      <c r="AP1097" s="2" t="s">
        <v>338</v>
      </c>
      <c r="AQ1097" s="2" t="s">
        <v>74</v>
      </c>
      <c r="AR1097" s="2" t="s">
        <v>74</v>
      </c>
      <c r="AS1097" s="2" t="s">
        <v>74</v>
      </c>
      <c r="AT1097" s="2" t="s">
        <v>808</v>
      </c>
      <c r="AU1097" s="2">
        <v>2015</v>
      </c>
      <c r="AV1097" s="2">
        <v>26</v>
      </c>
      <c r="AW1097" s="2">
        <v>3</v>
      </c>
      <c r="AX1097" s="2" t="s">
        <v>74</v>
      </c>
      <c r="AY1097" s="2" t="s">
        <v>74</v>
      </c>
      <c r="AZ1097" s="2" t="s">
        <v>74</v>
      </c>
      <c r="BA1097" s="2" t="s">
        <v>74</v>
      </c>
      <c r="BB1097" s="2">
        <v>820</v>
      </c>
      <c r="BC1097" s="2">
        <v>827</v>
      </c>
      <c r="BD1097" s="2" t="s">
        <v>74</v>
      </c>
      <c r="BE1097" s="2" t="s">
        <v>5932</v>
      </c>
      <c r="BF1097" s="2" t="str">
        <f>HYPERLINK("http://dx.doi.org/10.1093/beheco/arv019","http://dx.doi.org/10.1093/beheco/arv019")</f>
        <v>http://dx.doi.org/10.1093/beheco/arv019</v>
      </c>
      <c r="BG1097" s="2" t="s">
        <v>74</v>
      </c>
      <c r="BH1097" s="2" t="s">
        <v>74</v>
      </c>
      <c r="BI1097" s="2" t="s">
        <v>74</v>
      </c>
      <c r="BJ1097" s="2" t="s">
        <v>74</v>
      </c>
      <c r="BK1097" s="2" t="s">
        <v>74</v>
      </c>
      <c r="BL1097" s="2" t="s">
        <v>74</v>
      </c>
      <c r="BM1097" s="2" t="s">
        <v>74</v>
      </c>
      <c r="BN1097" s="2" t="s">
        <v>74</v>
      </c>
      <c r="BO1097" s="2" t="s">
        <v>74</v>
      </c>
      <c r="BP1097" s="2" t="s">
        <v>74</v>
      </c>
      <c r="BQ1097" s="2" t="s">
        <v>74</v>
      </c>
      <c r="BR1097" s="2" t="s">
        <v>74</v>
      </c>
      <c r="BS1097" s="2" t="s">
        <v>5933</v>
      </c>
      <c r="BT1097" s="2" t="str">
        <f>HYPERLINK("https%3A%2F%2Fwww.webofscience.com%2Fwos%2Fwoscc%2Ffull-record%2FWOS:000356585100024","View Full Record in Web of Science")</f>
        <v>View Full Record in Web of Science</v>
      </c>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row>
    <row r="1098" spans="1:314" s="2" customFormat="1" x14ac:dyDescent="0.4">
      <c r="A1098" s="2" t="s">
        <v>72</v>
      </c>
      <c r="B1098" s="2" t="s">
        <v>5105</v>
      </c>
      <c r="C1098" s="2" t="s">
        <v>74</v>
      </c>
      <c r="D1098" s="2" t="s">
        <v>74</v>
      </c>
      <c r="E1098" s="2" t="s">
        <v>74</v>
      </c>
      <c r="F1098" s="2" t="s">
        <v>5105</v>
      </c>
      <c r="G1098" s="2" t="s">
        <v>74</v>
      </c>
      <c r="H1098" s="2" t="s">
        <v>74</v>
      </c>
      <c r="I1098" s="2" t="s">
        <v>5106</v>
      </c>
      <c r="J1098" s="2" t="s">
        <v>5107</v>
      </c>
      <c r="K1098" s="2" t="s">
        <v>74</v>
      </c>
      <c r="L1098" s="2" t="s">
        <v>74</v>
      </c>
      <c r="M1098" s="2" t="s">
        <v>74</v>
      </c>
      <c r="N1098" s="2" t="s">
        <v>74</v>
      </c>
      <c r="O1098" s="2" t="s">
        <v>74</v>
      </c>
      <c r="P1098" s="2" t="s">
        <v>74</v>
      </c>
      <c r="Q1098" s="2" t="s">
        <v>74</v>
      </c>
      <c r="R1098" s="2" t="s">
        <v>74</v>
      </c>
      <c r="S1098" s="2" t="s">
        <v>74</v>
      </c>
      <c r="T1098" s="2" t="s">
        <v>74</v>
      </c>
      <c r="U1098" s="2" t="s">
        <v>74</v>
      </c>
      <c r="V1098" s="5" t="s">
        <v>5108</v>
      </c>
      <c r="W1098" s="2" t="s">
        <v>74</v>
      </c>
      <c r="X1098" s="2" t="s">
        <v>74</v>
      </c>
      <c r="Y1098" s="2" t="s">
        <v>74</v>
      </c>
      <c r="Z1098" s="2" t="s">
        <v>74</v>
      </c>
      <c r="AA1098" s="2" t="s">
        <v>74</v>
      </c>
      <c r="AB1098" s="2" t="s">
        <v>74</v>
      </c>
      <c r="AC1098" s="2" t="s">
        <v>74</v>
      </c>
      <c r="AD1098" s="2" t="s">
        <v>74</v>
      </c>
      <c r="AE1098" s="2" t="s">
        <v>74</v>
      </c>
      <c r="AF1098" s="2" t="s">
        <v>74</v>
      </c>
      <c r="AG1098" s="2" t="s">
        <v>74</v>
      </c>
      <c r="AH1098" s="2" t="s">
        <v>74</v>
      </c>
      <c r="AI1098" s="2" t="s">
        <v>74</v>
      </c>
      <c r="AJ1098" s="2" t="s">
        <v>74</v>
      </c>
      <c r="AK1098" s="2" t="s">
        <v>74</v>
      </c>
      <c r="AL1098" s="2" t="s">
        <v>74</v>
      </c>
      <c r="AM1098" s="2" t="s">
        <v>74</v>
      </c>
      <c r="AN1098" s="2" t="s">
        <v>74</v>
      </c>
      <c r="AO1098" s="2" t="s">
        <v>5109</v>
      </c>
      <c r="AP1098" s="2" t="s">
        <v>5110</v>
      </c>
      <c r="AQ1098" s="2" t="s">
        <v>74</v>
      </c>
      <c r="AR1098" s="2" t="s">
        <v>74</v>
      </c>
      <c r="AS1098" s="2" t="s">
        <v>74</v>
      </c>
      <c r="AT1098" s="2" t="s">
        <v>633</v>
      </c>
      <c r="AU1098" s="2">
        <v>1996</v>
      </c>
      <c r="AV1098" s="2">
        <v>6</v>
      </c>
      <c r="AW1098" s="2">
        <v>2</v>
      </c>
      <c r="AX1098" s="2" t="s">
        <v>74</v>
      </c>
      <c r="AY1098" s="2" t="s">
        <v>74</v>
      </c>
      <c r="AZ1098" s="2" t="s">
        <v>74</v>
      </c>
      <c r="BA1098" s="2" t="s">
        <v>74</v>
      </c>
      <c r="BB1098" s="2">
        <v>245</v>
      </c>
      <c r="BC1098" s="2">
        <v>252</v>
      </c>
      <c r="BD1098" s="2" t="s">
        <v>74</v>
      </c>
      <c r="BE1098" s="2" t="s">
        <v>5111</v>
      </c>
      <c r="BF1098" s="2" t="str">
        <f>HYPERLINK("http://dx.doi.org/10.1006/bcon.1996.0031","http://dx.doi.org/10.1006/bcon.1996.0031")</f>
        <v>http://dx.doi.org/10.1006/bcon.1996.0031</v>
      </c>
      <c r="BG1098" s="2" t="s">
        <v>74</v>
      </c>
      <c r="BH1098" s="2" t="s">
        <v>74</v>
      </c>
      <c r="BI1098" s="2" t="s">
        <v>74</v>
      </c>
      <c r="BJ1098" s="2" t="s">
        <v>74</v>
      </c>
      <c r="BK1098" s="2" t="s">
        <v>74</v>
      </c>
      <c r="BL1098" s="2" t="s">
        <v>74</v>
      </c>
      <c r="BM1098" s="2" t="s">
        <v>74</v>
      </c>
      <c r="BN1098" s="2" t="s">
        <v>74</v>
      </c>
      <c r="BO1098" s="2" t="s">
        <v>74</v>
      </c>
      <c r="BP1098" s="2" t="s">
        <v>74</v>
      </c>
      <c r="BQ1098" s="2" t="s">
        <v>74</v>
      </c>
      <c r="BR1098" s="2" t="s">
        <v>74</v>
      </c>
      <c r="BS1098" s="2" t="s">
        <v>5112</v>
      </c>
      <c r="BT1098" s="2" t="str">
        <f>HYPERLINK("https%3A%2F%2Fwww.webofscience.com%2Fwos%2Fwoscc%2Ffull-record%2FWOS:A1996UC68700014","View Full Record in Web of Science")</f>
        <v>View Full Record in Web of Science</v>
      </c>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row>
    <row r="1099" spans="1:314" s="2" customFormat="1" x14ac:dyDescent="0.4">
      <c r="A1099" s="2" t="s">
        <v>72</v>
      </c>
      <c r="B1099" s="2" t="s">
        <v>4903</v>
      </c>
      <c r="C1099" s="2" t="s">
        <v>74</v>
      </c>
      <c r="D1099" s="2" t="s">
        <v>74</v>
      </c>
      <c r="E1099" s="2" t="s">
        <v>74</v>
      </c>
      <c r="F1099" s="2" t="s">
        <v>4904</v>
      </c>
      <c r="G1099" s="2" t="s">
        <v>74</v>
      </c>
      <c r="H1099" s="2" t="s">
        <v>74</v>
      </c>
      <c r="I1099" s="2" t="s">
        <v>4905</v>
      </c>
      <c r="J1099" s="2" t="s">
        <v>140</v>
      </c>
      <c r="K1099" s="2" t="s">
        <v>74</v>
      </c>
      <c r="L1099" s="2" t="s">
        <v>74</v>
      </c>
      <c r="M1099" s="2" t="s">
        <v>74</v>
      </c>
      <c r="N1099" s="2" t="s">
        <v>74</v>
      </c>
      <c r="O1099" s="2" t="s">
        <v>74</v>
      </c>
      <c r="P1099" s="2" t="s">
        <v>74</v>
      </c>
      <c r="Q1099" s="2" t="s">
        <v>74</v>
      </c>
      <c r="R1099" s="2" t="s">
        <v>74</v>
      </c>
      <c r="S1099" s="2" t="s">
        <v>74</v>
      </c>
      <c r="T1099" s="2" t="s">
        <v>74</v>
      </c>
      <c r="U1099" s="2" t="s">
        <v>74</v>
      </c>
      <c r="V1099" s="5" t="s">
        <v>4906</v>
      </c>
      <c r="W1099" s="2" t="s">
        <v>74</v>
      </c>
      <c r="X1099" s="2" t="s">
        <v>74</v>
      </c>
      <c r="Y1099" s="2" t="s">
        <v>74</v>
      </c>
      <c r="Z1099" s="2" t="s">
        <v>74</v>
      </c>
      <c r="AA1099" s="2" t="s">
        <v>4216</v>
      </c>
      <c r="AB1099" s="2" t="s">
        <v>4217</v>
      </c>
      <c r="AC1099" s="2" t="s">
        <v>74</v>
      </c>
      <c r="AD1099" s="2" t="s">
        <v>74</v>
      </c>
      <c r="AE1099" s="2" t="s">
        <v>74</v>
      </c>
      <c r="AF1099" s="2" t="s">
        <v>74</v>
      </c>
      <c r="AG1099" s="2" t="s">
        <v>74</v>
      </c>
      <c r="AH1099" s="2" t="s">
        <v>74</v>
      </c>
      <c r="AI1099" s="2" t="s">
        <v>74</v>
      </c>
      <c r="AJ1099" s="2" t="s">
        <v>74</v>
      </c>
      <c r="AK1099" s="2" t="s">
        <v>74</v>
      </c>
      <c r="AL1099" s="2" t="s">
        <v>74</v>
      </c>
      <c r="AM1099" s="2" t="s">
        <v>74</v>
      </c>
      <c r="AN1099" s="2" t="s">
        <v>74</v>
      </c>
      <c r="AO1099" s="2" t="s">
        <v>143</v>
      </c>
      <c r="AP1099" s="2" t="s">
        <v>144</v>
      </c>
      <c r="AQ1099" s="2" t="s">
        <v>74</v>
      </c>
      <c r="AR1099" s="2" t="s">
        <v>74</v>
      </c>
      <c r="AS1099" s="2" t="s">
        <v>74</v>
      </c>
      <c r="AT1099" s="2" t="s">
        <v>352</v>
      </c>
      <c r="AU1099" s="2">
        <v>2018</v>
      </c>
      <c r="AV1099" s="2">
        <v>143</v>
      </c>
      <c r="AW1099" s="2" t="s">
        <v>74</v>
      </c>
      <c r="AX1099" s="2" t="s">
        <v>74</v>
      </c>
      <c r="AY1099" s="2" t="s">
        <v>74</v>
      </c>
      <c r="AZ1099" s="2" t="s">
        <v>74</v>
      </c>
      <c r="BA1099" s="2" t="s">
        <v>74</v>
      </c>
      <c r="BB1099" s="2">
        <v>167</v>
      </c>
      <c r="BC1099" s="2">
        <v>176</v>
      </c>
      <c r="BD1099" s="2" t="s">
        <v>74</v>
      </c>
      <c r="BE1099" s="2" t="s">
        <v>4907</v>
      </c>
      <c r="BF1099" s="2" t="str">
        <f>HYPERLINK("http://dx.doi.org/10.1016/j.anbehav.2017.12.006","http://dx.doi.org/10.1016/j.anbehav.2017.12.006")</f>
        <v>http://dx.doi.org/10.1016/j.anbehav.2017.12.006</v>
      </c>
      <c r="BG1099" s="2" t="s">
        <v>74</v>
      </c>
      <c r="BH1099" s="2" t="s">
        <v>74</v>
      </c>
      <c r="BI1099" s="2" t="s">
        <v>74</v>
      </c>
      <c r="BJ1099" s="2" t="s">
        <v>74</v>
      </c>
      <c r="BK1099" s="2" t="s">
        <v>74</v>
      </c>
      <c r="BL1099" s="2" t="s">
        <v>74</v>
      </c>
      <c r="BM1099" s="2" t="s">
        <v>74</v>
      </c>
      <c r="BN1099" s="2" t="s">
        <v>74</v>
      </c>
      <c r="BO1099" s="2" t="s">
        <v>74</v>
      </c>
      <c r="BP1099" s="2" t="s">
        <v>74</v>
      </c>
      <c r="BQ1099" s="2" t="s">
        <v>74</v>
      </c>
      <c r="BR1099" s="2" t="s">
        <v>74</v>
      </c>
      <c r="BS1099" s="2" t="s">
        <v>4908</v>
      </c>
      <c r="BT1099" s="2" t="str">
        <f>HYPERLINK("https%3A%2F%2Fwww.webofscience.com%2Fwos%2Fwoscc%2Ffull-record%2FWOS:000443386600017","View Full Record in Web of Science")</f>
        <v>View Full Record in Web of Science</v>
      </c>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row>
    <row r="1100" spans="1:314" s="2" customFormat="1" x14ac:dyDescent="0.4">
      <c r="A1100" s="2" t="s">
        <v>72</v>
      </c>
      <c r="B1100" s="2" t="s">
        <v>2562</v>
      </c>
      <c r="C1100" s="2" t="s">
        <v>74</v>
      </c>
      <c r="D1100" s="2" t="s">
        <v>74</v>
      </c>
      <c r="E1100" s="2" t="s">
        <v>74</v>
      </c>
      <c r="F1100" s="2" t="s">
        <v>2562</v>
      </c>
      <c r="G1100" s="2" t="s">
        <v>74</v>
      </c>
      <c r="H1100" s="2" t="s">
        <v>74</v>
      </c>
      <c r="I1100" s="2" t="s">
        <v>4923</v>
      </c>
      <c r="J1100" s="2" t="s">
        <v>610</v>
      </c>
      <c r="K1100" s="2" t="s">
        <v>74</v>
      </c>
      <c r="L1100" s="2" t="s">
        <v>74</v>
      </c>
      <c r="M1100" s="2" t="s">
        <v>74</v>
      </c>
      <c r="N1100" s="2" t="s">
        <v>74</v>
      </c>
      <c r="O1100" s="2" t="s">
        <v>74</v>
      </c>
      <c r="P1100" s="2" t="s">
        <v>74</v>
      </c>
      <c r="Q1100" s="2" t="s">
        <v>74</v>
      </c>
      <c r="R1100" s="2" t="s">
        <v>74</v>
      </c>
      <c r="S1100" s="2" t="s">
        <v>74</v>
      </c>
      <c r="T1100" s="2" t="s">
        <v>74</v>
      </c>
      <c r="U1100" s="2" t="s">
        <v>74</v>
      </c>
      <c r="V1100" s="5" t="s">
        <v>4924</v>
      </c>
      <c r="W1100" s="2" t="s">
        <v>74</v>
      </c>
      <c r="X1100" s="2" t="s">
        <v>74</v>
      </c>
      <c r="Y1100" s="2" t="s">
        <v>74</v>
      </c>
      <c r="Z1100" s="2" t="s">
        <v>74</v>
      </c>
      <c r="AA1100" s="2" t="s">
        <v>2566</v>
      </c>
      <c r="AB1100" s="2" t="s">
        <v>2567</v>
      </c>
      <c r="AC1100" s="2" t="s">
        <v>74</v>
      </c>
      <c r="AD1100" s="2" t="s">
        <v>74</v>
      </c>
      <c r="AE1100" s="2" t="s">
        <v>74</v>
      </c>
      <c r="AF1100" s="2" t="s">
        <v>74</v>
      </c>
      <c r="AG1100" s="2" t="s">
        <v>74</v>
      </c>
      <c r="AH1100" s="2" t="s">
        <v>74</v>
      </c>
      <c r="AI1100" s="2" t="s">
        <v>74</v>
      </c>
      <c r="AJ1100" s="2" t="s">
        <v>74</v>
      </c>
      <c r="AK1100" s="2" t="s">
        <v>74</v>
      </c>
      <c r="AL1100" s="2" t="s">
        <v>74</v>
      </c>
      <c r="AM1100" s="2" t="s">
        <v>74</v>
      </c>
      <c r="AN1100" s="2" t="s">
        <v>74</v>
      </c>
      <c r="AO1100" s="2" t="s">
        <v>614</v>
      </c>
      <c r="AP1100" s="2" t="s">
        <v>74</v>
      </c>
      <c r="AQ1100" s="2" t="s">
        <v>74</v>
      </c>
      <c r="AR1100" s="2" t="s">
        <v>74</v>
      </c>
      <c r="AS1100" s="2" t="s">
        <v>74</v>
      </c>
      <c r="AT1100" s="2" t="s">
        <v>352</v>
      </c>
      <c r="AU1100" s="2">
        <v>2002</v>
      </c>
      <c r="AV1100" s="2">
        <v>108</v>
      </c>
      <c r="AW1100" s="2">
        <v>9</v>
      </c>
      <c r="AX1100" s="2" t="s">
        <v>74</v>
      </c>
      <c r="AY1100" s="2" t="s">
        <v>74</v>
      </c>
      <c r="AZ1100" s="2" t="s">
        <v>74</v>
      </c>
      <c r="BA1100" s="2" t="s">
        <v>74</v>
      </c>
      <c r="BB1100" s="2">
        <v>793</v>
      </c>
      <c r="BC1100" s="2">
        <v>813</v>
      </c>
      <c r="BD1100" s="2" t="s">
        <v>74</v>
      </c>
      <c r="BE1100" s="2" t="s">
        <v>4925</v>
      </c>
      <c r="BF1100" s="2" t="str">
        <f>HYPERLINK("http://dx.doi.org/10.1046/j.1439-0310.2002.00819.x","http://dx.doi.org/10.1046/j.1439-0310.2002.00819.x")</f>
        <v>http://dx.doi.org/10.1046/j.1439-0310.2002.00819.x</v>
      </c>
      <c r="BG1100" s="2" t="s">
        <v>74</v>
      </c>
      <c r="BH1100" s="2" t="s">
        <v>74</v>
      </c>
      <c r="BI1100" s="2" t="s">
        <v>74</v>
      </c>
      <c r="BJ1100" s="2" t="s">
        <v>74</v>
      </c>
      <c r="BK1100" s="2" t="s">
        <v>74</v>
      </c>
      <c r="BL1100" s="2" t="s">
        <v>74</v>
      </c>
      <c r="BM1100" s="2" t="s">
        <v>74</v>
      </c>
      <c r="BN1100" s="2" t="s">
        <v>74</v>
      </c>
      <c r="BO1100" s="2" t="s">
        <v>74</v>
      </c>
      <c r="BP1100" s="2" t="s">
        <v>74</v>
      </c>
      <c r="BQ1100" s="2" t="s">
        <v>74</v>
      </c>
      <c r="BR1100" s="2" t="s">
        <v>74</v>
      </c>
      <c r="BS1100" s="2" t="s">
        <v>4926</v>
      </c>
      <c r="BT1100" s="2" t="str">
        <f>HYPERLINK("https%3A%2F%2Fwww.webofscience.com%2Fwos%2Fwoscc%2Ffull-record%2FWOS:000177775300004","View Full Record in Web of Science")</f>
        <v>View Full Record in Web of Science</v>
      </c>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row>
    <row r="1101" spans="1:314" s="2" customFormat="1" x14ac:dyDescent="0.4">
      <c r="A1101" s="2" t="s">
        <v>72</v>
      </c>
      <c r="B1101" s="2" t="s">
        <v>2562</v>
      </c>
      <c r="C1101" s="2" t="s">
        <v>74</v>
      </c>
      <c r="D1101" s="2" t="s">
        <v>74</v>
      </c>
      <c r="E1101" s="2" t="s">
        <v>74</v>
      </c>
      <c r="F1101" s="2" t="s">
        <v>2563</v>
      </c>
      <c r="G1101" s="2" t="s">
        <v>74</v>
      </c>
      <c r="H1101" s="2" t="s">
        <v>74</v>
      </c>
      <c r="I1101" s="2" t="s">
        <v>2564</v>
      </c>
      <c r="J1101" s="2" t="s">
        <v>333</v>
      </c>
      <c r="K1101" s="2" t="s">
        <v>74</v>
      </c>
      <c r="L1101" s="2" t="s">
        <v>74</v>
      </c>
      <c r="M1101" s="2" t="s">
        <v>74</v>
      </c>
      <c r="N1101" s="2" t="s">
        <v>74</v>
      </c>
      <c r="O1101" s="2" t="s">
        <v>74</v>
      </c>
      <c r="P1101" s="2" t="s">
        <v>74</v>
      </c>
      <c r="Q1101" s="2" t="s">
        <v>74</v>
      </c>
      <c r="R1101" s="2" t="s">
        <v>74</v>
      </c>
      <c r="S1101" s="2" t="s">
        <v>74</v>
      </c>
      <c r="T1101" s="2" t="s">
        <v>74</v>
      </c>
      <c r="U1101" s="2" t="s">
        <v>74</v>
      </c>
      <c r="V1101" s="5" t="s">
        <v>2565</v>
      </c>
      <c r="W1101" s="2" t="s">
        <v>74</v>
      </c>
      <c r="X1101" s="2" t="s">
        <v>74</v>
      </c>
      <c r="Y1101" s="2" t="s">
        <v>74</v>
      </c>
      <c r="Z1101" s="2" t="s">
        <v>74</v>
      </c>
      <c r="AA1101" s="2" t="s">
        <v>2566</v>
      </c>
      <c r="AB1101" s="2" t="s">
        <v>2567</v>
      </c>
      <c r="AC1101" s="2" t="s">
        <v>74</v>
      </c>
      <c r="AD1101" s="2" t="s">
        <v>74</v>
      </c>
      <c r="AE1101" s="2" t="s">
        <v>74</v>
      </c>
      <c r="AF1101" s="2" t="s">
        <v>74</v>
      </c>
      <c r="AG1101" s="2" t="s">
        <v>74</v>
      </c>
      <c r="AH1101" s="2" t="s">
        <v>74</v>
      </c>
      <c r="AI1101" s="2" t="s">
        <v>74</v>
      </c>
      <c r="AJ1101" s="2" t="s">
        <v>74</v>
      </c>
      <c r="AK1101" s="2" t="s">
        <v>74</v>
      </c>
      <c r="AL1101" s="2" t="s">
        <v>74</v>
      </c>
      <c r="AM1101" s="2" t="s">
        <v>74</v>
      </c>
      <c r="AN1101" s="2" t="s">
        <v>74</v>
      </c>
      <c r="AO1101" s="2" t="s">
        <v>337</v>
      </c>
      <c r="AP1101" s="2" t="s">
        <v>338</v>
      </c>
      <c r="AQ1101" s="2" t="s">
        <v>74</v>
      </c>
      <c r="AR1101" s="2" t="s">
        <v>74</v>
      </c>
      <c r="AS1101" s="2" t="s">
        <v>74</v>
      </c>
      <c r="AT1101" s="2" t="s">
        <v>1013</v>
      </c>
      <c r="AU1101" s="2">
        <v>2006</v>
      </c>
      <c r="AV1101" s="2">
        <v>17</v>
      </c>
      <c r="AW1101" s="2">
        <v>5</v>
      </c>
      <c r="AX1101" s="2" t="s">
        <v>74</v>
      </c>
      <c r="AY1101" s="2" t="s">
        <v>74</v>
      </c>
      <c r="AZ1101" s="2" t="s">
        <v>74</v>
      </c>
      <c r="BA1101" s="2" t="s">
        <v>74</v>
      </c>
      <c r="BB1101" s="2">
        <v>726</v>
      </c>
      <c r="BC1101" s="2">
        <v>732</v>
      </c>
      <c r="BD1101" s="2" t="s">
        <v>74</v>
      </c>
      <c r="BE1101" s="2" t="s">
        <v>2568</v>
      </c>
      <c r="BF1101" s="2" t="str">
        <f>HYPERLINK("http://dx.doi.org/10.1093/beheco/arl001","http://dx.doi.org/10.1093/beheco/arl001")</f>
        <v>http://dx.doi.org/10.1093/beheco/arl001</v>
      </c>
      <c r="BG1101" s="2" t="s">
        <v>74</v>
      </c>
      <c r="BH1101" s="2" t="s">
        <v>74</v>
      </c>
      <c r="BI1101" s="2" t="s">
        <v>74</v>
      </c>
      <c r="BJ1101" s="2" t="s">
        <v>74</v>
      </c>
      <c r="BK1101" s="2" t="s">
        <v>74</v>
      </c>
      <c r="BL1101" s="2" t="s">
        <v>74</v>
      </c>
      <c r="BM1101" s="2" t="s">
        <v>74</v>
      </c>
      <c r="BN1101" s="2" t="s">
        <v>74</v>
      </c>
      <c r="BO1101" s="2" t="s">
        <v>74</v>
      </c>
      <c r="BP1101" s="2" t="s">
        <v>74</v>
      </c>
      <c r="BQ1101" s="2" t="s">
        <v>74</v>
      </c>
      <c r="BR1101" s="2" t="s">
        <v>74</v>
      </c>
      <c r="BS1101" s="2" t="s">
        <v>2569</v>
      </c>
      <c r="BT1101" s="2" t="str">
        <f>HYPERLINK("https%3A%2F%2Fwww.webofscience.com%2Fwos%2Fwoscc%2Ffull-record%2FWOS:000239899500005","View Full Record in Web of Science")</f>
        <v>View Full Record in Web of Science</v>
      </c>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row>
    <row r="1102" spans="1:314" s="2" customFormat="1" x14ac:dyDescent="0.4">
      <c r="A1102" s="2" t="s">
        <v>72</v>
      </c>
      <c r="B1102" s="2" t="s">
        <v>4078</v>
      </c>
      <c r="C1102" s="2" t="s">
        <v>74</v>
      </c>
      <c r="D1102" s="2" t="s">
        <v>74</v>
      </c>
      <c r="E1102" s="2" t="s">
        <v>74</v>
      </c>
      <c r="F1102" s="2" t="s">
        <v>4079</v>
      </c>
      <c r="G1102" s="2" t="s">
        <v>74</v>
      </c>
      <c r="H1102" s="2" t="s">
        <v>74</v>
      </c>
      <c r="I1102" s="2" t="s">
        <v>4080</v>
      </c>
      <c r="J1102" s="2" t="s">
        <v>775</v>
      </c>
      <c r="K1102" s="2" t="s">
        <v>74</v>
      </c>
      <c r="L1102" s="2" t="s">
        <v>74</v>
      </c>
      <c r="M1102" s="2" t="s">
        <v>74</v>
      </c>
      <c r="N1102" s="2" t="s">
        <v>74</v>
      </c>
      <c r="O1102" s="2" t="s">
        <v>74</v>
      </c>
      <c r="P1102" s="2" t="s">
        <v>74</v>
      </c>
      <c r="Q1102" s="2" t="s">
        <v>74</v>
      </c>
      <c r="R1102" s="2" t="s">
        <v>74</v>
      </c>
      <c r="S1102" s="2" t="s">
        <v>74</v>
      </c>
      <c r="T1102" s="2" t="s">
        <v>74</v>
      </c>
      <c r="U1102" s="2" t="s">
        <v>74</v>
      </c>
      <c r="V1102" s="5" t="s">
        <v>4081</v>
      </c>
      <c r="W1102" s="2" t="s">
        <v>74</v>
      </c>
      <c r="X1102" s="2" t="s">
        <v>74</v>
      </c>
      <c r="Y1102" s="2" t="s">
        <v>74</v>
      </c>
      <c r="Z1102" s="2" t="s">
        <v>74</v>
      </c>
      <c r="AA1102" s="2" t="s">
        <v>2566</v>
      </c>
      <c r="AB1102" s="2" t="s">
        <v>2567</v>
      </c>
      <c r="AC1102" s="2" t="s">
        <v>74</v>
      </c>
      <c r="AD1102" s="2" t="s">
        <v>74</v>
      </c>
      <c r="AE1102" s="2" t="s">
        <v>74</v>
      </c>
      <c r="AF1102" s="2" t="s">
        <v>74</v>
      </c>
      <c r="AG1102" s="2" t="s">
        <v>74</v>
      </c>
      <c r="AH1102" s="2" t="s">
        <v>74</v>
      </c>
      <c r="AI1102" s="2" t="s">
        <v>74</v>
      </c>
      <c r="AJ1102" s="2" t="s">
        <v>74</v>
      </c>
      <c r="AK1102" s="2" t="s">
        <v>74</v>
      </c>
      <c r="AL1102" s="2" t="s">
        <v>74</v>
      </c>
      <c r="AM1102" s="2" t="s">
        <v>74</v>
      </c>
      <c r="AN1102" s="2" t="s">
        <v>74</v>
      </c>
      <c r="AO1102" s="2" t="s">
        <v>778</v>
      </c>
      <c r="AP1102" s="2" t="s">
        <v>779</v>
      </c>
      <c r="AQ1102" s="2" t="s">
        <v>74</v>
      </c>
      <c r="AR1102" s="2" t="s">
        <v>74</v>
      </c>
      <c r="AS1102" s="2" t="s">
        <v>74</v>
      </c>
      <c r="AT1102" s="2" t="s">
        <v>102</v>
      </c>
      <c r="AU1102" s="2">
        <v>2018</v>
      </c>
      <c r="AV1102" s="2">
        <v>64</v>
      </c>
      <c r="AW1102" s="2">
        <v>3</v>
      </c>
      <c r="AX1102" s="2" t="s">
        <v>74</v>
      </c>
      <c r="AY1102" s="2" t="s">
        <v>74</v>
      </c>
      <c r="AZ1102" s="2" t="s">
        <v>74</v>
      </c>
      <c r="BA1102" s="2" t="s">
        <v>74</v>
      </c>
      <c r="BB1102" s="2">
        <v>335</v>
      </c>
      <c r="BC1102" s="2">
        <v>344</v>
      </c>
      <c r="BD1102" s="2" t="s">
        <v>74</v>
      </c>
      <c r="BE1102" s="2" t="s">
        <v>4082</v>
      </c>
      <c r="BF1102" s="2" t="str">
        <f>HYPERLINK("http://dx.doi.org/10.1093/cz/zoy023","http://dx.doi.org/10.1093/cz/zoy023")</f>
        <v>http://dx.doi.org/10.1093/cz/zoy023</v>
      </c>
      <c r="BG1102" s="2" t="s">
        <v>74</v>
      </c>
      <c r="BH1102" s="2" t="s">
        <v>74</v>
      </c>
      <c r="BI1102" s="2" t="s">
        <v>74</v>
      </c>
      <c r="BJ1102" s="2" t="s">
        <v>74</v>
      </c>
      <c r="BK1102" s="2" t="s">
        <v>74</v>
      </c>
      <c r="BL1102" s="2" t="s">
        <v>74</v>
      </c>
      <c r="BM1102" s="2" t="s">
        <v>74</v>
      </c>
      <c r="BN1102" s="2">
        <v>30402076</v>
      </c>
      <c r="BO1102" s="2" t="s">
        <v>74</v>
      </c>
      <c r="BP1102" s="2" t="s">
        <v>74</v>
      </c>
      <c r="BQ1102" s="2" t="s">
        <v>74</v>
      </c>
      <c r="BR1102" s="2" t="s">
        <v>74</v>
      </c>
      <c r="BS1102" s="2" t="s">
        <v>4083</v>
      </c>
      <c r="BT1102" s="2" t="str">
        <f>HYPERLINK("https%3A%2F%2Fwww.webofscience.com%2Fwos%2Fwoscc%2Ffull-record%2FWOS:000436421000010","View Full Record in Web of Science")</f>
        <v>View Full Record in Web of Science</v>
      </c>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row>
    <row r="1103" spans="1:314" s="2" customFormat="1" x14ac:dyDescent="0.4">
      <c r="A1103" s="2" t="s">
        <v>72</v>
      </c>
      <c r="B1103" s="2" t="s">
        <v>2955</v>
      </c>
      <c r="C1103" s="2" t="s">
        <v>74</v>
      </c>
      <c r="D1103" s="2" t="s">
        <v>74</v>
      </c>
      <c r="E1103" s="2" t="s">
        <v>74</v>
      </c>
      <c r="F1103" s="2" t="s">
        <v>2956</v>
      </c>
      <c r="G1103" s="2" t="s">
        <v>74</v>
      </c>
      <c r="H1103" s="2" t="s">
        <v>74</v>
      </c>
      <c r="I1103" s="2" t="s">
        <v>2957</v>
      </c>
      <c r="J1103" s="2" t="s">
        <v>192</v>
      </c>
      <c r="K1103" s="2" t="s">
        <v>74</v>
      </c>
      <c r="L1103" s="2" t="s">
        <v>74</v>
      </c>
      <c r="M1103" s="2" t="s">
        <v>74</v>
      </c>
      <c r="N1103" s="2" t="s">
        <v>74</v>
      </c>
      <c r="O1103" s="2" t="s">
        <v>74</v>
      </c>
      <c r="P1103" s="2" t="s">
        <v>74</v>
      </c>
      <c r="Q1103" s="2" t="s">
        <v>74</v>
      </c>
      <c r="R1103" s="2" t="s">
        <v>74</v>
      </c>
      <c r="S1103" s="2" t="s">
        <v>74</v>
      </c>
      <c r="T1103" s="2" t="s">
        <v>74</v>
      </c>
      <c r="U1103" s="2" t="s">
        <v>74</v>
      </c>
      <c r="V1103" s="5" t="s">
        <v>2958</v>
      </c>
      <c r="W1103" s="2" t="s">
        <v>74</v>
      </c>
      <c r="X1103" s="2" t="s">
        <v>74</v>
      </c>
      <c r="Y1103" s="2" t="s">
        <v>74</v>
      </c>
      <c r="Z1103" s="2" t="s">
        <v>74</v>
      </c>
      <c r="AA1103" s="2" t="s">
        <v>2959</v>
      </c>
      <c r="AB1103" s="2" t="s">
        <v>2960</v>
      </c>
      <c r="AC1103" s="2" t="s">
        <v>74</v>
      </c>
      <c r="AD1103" s="2" t="s">
        <v>74</v>
      </c>
      <c r="AE1103" s="2" t="s">
        <v>74</v>
      </c>
      <c r="AF1103" s="2" t="s">
        <v>74</v>
      </c>
      <c r="AG1103" s="2" t="s">
        <v>74</v>
      </c>
      <c r="AH1103" s="2" t="s">
        <v>74</v>
      </c>
      <c r="AI1103" s="2" t="s">
        <v>74</v>
      </c>
      <c r="AJ1103" s="2" t="s">
        <v>74</v>
      </c>
      <c r="AK1103" s="2" t="s">
        <v>74</v>
      </c>
      <c r="AL1103" s="2" t="s">
        <v>74</v>
      </c>
      <c r="AM1103" s="2" t="s">
        <v>74</v>
      </c>
      <c r="AN1103" s="2" t="s">
        <v>74</v>
      </c>
      <c r="AO1103" s="2" t="s">
        <v>195</v>
      </c>
      <c r="AP1103" s="2" t="s">
        <v>196</v>
      </c>
      <c r="AQ1103" s="2" t="s">
        <v>74</v>
      </c>
      <c r="AR1103" s="2" t="s">
        <v>74</v>
      </c>
      <c r="AS1103" s="2" t="s">
        <v>74</v>
      </c>
      <c r="AT1103" s="2" t="s">
        <v>352</v>
      </c>
      <c r="AU1103" s="2">
        <v>2021</v>
      </c>
      <c r="AV1103" s="2">
        <v>848</v>
      </c>
      <c r="AW1103" s="2">
        <v>16</v>
      </c>
      <c r="AX1103" s="2" t="s">
        <v>74</v>
      </c>
      <c r="AY1103" s="2" t="s">
        <v>74</v>
      </c>
      <c r="AZ1103" s="2" t="s">
        <v>848</v>
      </c>
      <c r="BA1103" s="2" t="s">
        <v>74</v>
      </c>
      <c r="BB1103" s="2">
        <v>3667</v>
      </c>
      <c r="BC1103" s="2">
        <v>3681</v>
      </c>
      <c r="BD1103" s="2" t="s">
        <v>74</v>
      </c>
      <c r="BE1103" s="2" t="s">
        <v>2961</v>
      </c>
      <c r="BF1103" s="2" t="str">
        <f>HYPERLINK("http://dx.doi.org/10.1007/s10750-020-04475-9","http://dx.doi.org/10.1007/s10750-020-04475-9")</f>
        <v>http://dx.doi.org/10.1007/s10750-020-04475-9</v>
      </c>
      <c r="BG1103" s="2" t="s">
        <v>74</v>
      </c>
      <c r="BH1103" s="2" t="s">
        <v>2962</v>
      </c>
      <c r="BI1103" s="2" t="s">
        <v>74</v>
      </c>
      <c r="BJ1103" s="2" t="s">
        <v>74</v>
      </c>
      <c r="BK1103" s="2" t="s">
        <v>74</v>
      </c>
      <c r="BL1103" s="2" t="s">
        <v>74</v>
      </c>
      <c r="BM1103" s="2" t="s">
        <v>74</v>
      </c>
      <c r="BN1103" s="2" t="s">
        <v>74</v>
      </c>
      <c r="BO1103" s="2" t="s">
        <v>74</v>
      </c>
      <c r="BP1103" s="2" t="s">
        <v>74</v>
      </c>
      <c r="BQ1103" s="2" t="s">
        <v>74</v>
      </c>
      <c r="BR1103" s="2" t="s">
        <v>74</v>
      </c>
      <c r="BS1103" s="2" t="s">
        <v>2963</v>
      </c>
      <c r="BT1103" s="2" t="str">
        <f>HYPERLINK("https%3A%2F%2Fwww.webofscience.com%2Fwos%2Fwoscc%2Ffull-record%2FWOS:000604160900002","View Full Record in Web of Science")</f>
        <v>View Full Record in Web of Science</v>
      </c>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row>
    <row r="1104" spans="1:314" s="2" customFormat="1" x14ac:dyDescent="0.4">
      <c r="A1104" s="2" t="s">
        <v>72</v>
      </c>
      <c r="B1104" s="2" t="s">
        <v>5764</v>
      </c>
      <c r="C1104" s="2" t="s">
        <v>74</v>
      </c>
      <c r="D1104" s="2" t="s">
        <v>74</v>
      </c>
      <c r="E1104" s="2" t="s">
        <v>74</v>
      </c>
      <c r="F1104" s="2" t="s">
        <v>5765</v>
      </c>
      <c r="G1104" s="2" t="s">
        <v>74</v>
      </c>
      <c r="H1104" s="2" t="s">
        <v>74</v>
      </c>
      <c r="I1104" s="2" t="s">
        <v>5766</v>
      </c>
      <c r="J1104" s="2" t="s">
        <v>775</v>
      </c>
      <c r="K1104" s="2" t="s">
        <v>74</v>
      </c>
      <c r="L1104" s="2" t="s">
        <v>74</v>
      </c>
      <c r="M1104" s="2" t="s">
        <v>74</v>
      </c>
      <c r="N1104" s="2" t="s">
        <v>74</v>
      </c>
      <c r="O1104" s="2" t="s">
        <v>74</v>
      </c>
      <c r="P1104" s="2" t="s">
        <v>74</v>
      </c>
      <c r="Q1104" s="2" t="s">
        <v>74</v>
      </c>
      <c r="R1104" s="2" t="s">
        <v>74</v>
      </c>
      <c r="S1104" s="2" t="s">
        <v>74</v>
      </c>
      <c r="T1104" s="2" t="s">
        <v>74</v>
      </c>
      <c r="U1104" s="2" t="s">
        <v>74</v>
      </c>
      <c r="V1104" s="5" t="s">
        <v>5767</v>
      </c>
      <c r="W1104" s="2" t="s">
        <v>74</v>
      </c>
      <c r="X1104" s="2" t="s">
        <v>74</v>
      </c>
      <c r="Y1104" s="2" t="s">
        <v>74</v>
      </c>
      <c r="Z1104" s="2" t="s">
        <v>74</v>
      </c>
      <c r="AA1104" s="2" t="s">
        <v>74</v>
      </c>
      <c r="AB1104" s="2" t="s">
        <v>74</v>
      </c>
      <c r="AC1104" s="2" t="s">
        <v>74</v>
      </c>
      <c r="AD1104" s="2" t="s">
        <v>74</v>
      </c>
      <c r="AE1104" s="2" t="s">
        <v>74</v>
      </c>
      <c r="AF1104" s="2" t="s">
        <v>74</v>
      </c>
      <c r="AG1104" s="2" t="s">
        <v>74</v>
      </c>
      <c r="AH1104" s="2" t="s">
        <v>74</v>
      </c>
      <c r="AI1104" s="2" t="s">
        <v>74</v>
      </c>
      <c r="AJ1104" s="2" t="s">
        <v>74</v>
      </c>
      <c r="AK1104" s="2" t="s">
        <v>74</v>
      </c>
      <c r="AL1104" s="2" t="s">
        <v>74</v>
      </c>
      <c r="AM1104" s="2" t="s">
        <v>74</v>
      </c>
      <c r="AN1104" s="2" t="s">
        <v>74</v>
      </c>
      <c r="AO1104" s="2" t="s">
        <v>778</v>
      </c>
      <c r="AP1104" s="2" t="s">
        <v>779</v>
      </c>
      <c r="AQ1104" s="2" t="s">
        <v>74</v>
      </c>
      <c r="AR1104" s="2" t="s">
        <v>74</v>
      </c>
      <c r="AS1104" s="2" t="s">
        <v>74</v>
      </c>
      <c r="AT1104" s="2" t="s">
        <v>5768</v>
      </c>
      <c r="AU1104" s="2">
        <v>2022</v>
      </c>
      <c r="AV1104" s="2">
        <v>68</v>
      </c>
      <c r="AW1104" s="2">
        <v>5</v>
      </c>
      <c r="AX1104" s="2" t="s">
        <v>74</v>
      </c>
      <c r="AY1104" s="2" t="s">
        <v>74</v>
      </c>
      <c r="AZ1104" s="2" t="s">
        <v>74</v>
      </c>
      <c r="BA1104" s="2" t="s">
        <v>74</v>
      </c>
      <c r="BB1104" s="2">
        <v>600</v>
      </c>
      <c r="BC1104" s="2">
        <v>607</v>
      </c>
      <c r="BD1104" s="2" t="s">
        <v>74</v>
      </c>
      <c r="BE1104" s="2" t="s">
        <v>5769</v>
      </c>
      <c r="BF1104" s="2" t="str">
        <f>HYPERLINK("http://dx.doi.org/10.1093/cz/zoab087","http://dx.doi.org/10.1093/cz/zoab087")</f>
        <v>http://dx.doi.org/10.1093/cz/zoab087</v>
      </c>
      <c r="BG1104" s="2" t="s">
        <v>74</v>
      </c>
      <c r="BH1104" s="2" t="s">
        <v>5103</v>
      </c>
      <c r="BI1104" s="2" t="s">
        <v>74</v>
      </c>
      <c r="BJ1104" s="2" t="s">
        <v>74</v>
      </c>
      <c r="BK1104" s="2" t="s">
        <v>74</v>
      </c>
      <c r="BL1104" s="2" t="s">
        <v>74</v>
      </c>
      <c r="BM1104" s="2" t="s">
        <v>74</v>
      </c>
      <c r="BN1104" s="2">
        <v>36324536</v>
      </c>
      <c r="BO1104" s="2" t="s">
        <v>74</v>
      </c>
      <c r="BP1104" s="2" t="s">
        <v>74</v>
      </c>
      <c r="BQ1104" s="2" t="s">
        <v>74</v>
      </c>
      <c r="BR1104" s="2" t="s">
        <v>74</v>
      </c>
      <c r="BS1104" s="2" t="s">
        <v>5770</v>
      </c>
      <c r="BT1104" s="2" t="str">
        <f>HYPERLINK("https%3A%2F%2Fwww.webofscience.com%2Fwos%2Fwoscc%2Ffull-record%2FWOS:000789358100001","View Full Record in Web of Science")</f>
        <v>View Full Record in Web of Science</v>
      </c>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row>
    <row r="1105" spans="1:314" s="2" customFormat="1" x14ac:dyDescent="0.4">
      <c r="A1105" s="2" t="s">
        <v>72</v>
      </c>
      <c r="B1105" s="2" t="s">
        <v>5744</v>
      </c>
      <c r="C1105" s="2" t="s">
        <v>74</v>
      </c>
      <c r="D1105" s="2" t="s">
        <v>74</v>
      </c>
      <c r="E1105" s="2" t="s">
        <v>74</v>
      </c>
      <c r="F1105" s="2" t="s">
        <v>5745</v>
      </c>
      <c r="G1105" s="2" t="s">
        <v>74</v>
      </c>
      <c r="H1105" s="2" t="s">
        <v>74</v>
      </c>
      <c r="I1105" s="2" t="s">
        <v>5746</v>
      </c>
      <c r="J1105" s="2" t="s">
        <v>2042</v>
      </c>
      <c r="K1105" s="2" t="s">
        <v>74</v>
      </c>
      <c r="L1105" s="2" t="s">
        <v>74</v>
      </c>
      <c r="M1105" s="2" t="s">
        <v>74</v>
      </c>
      <c r="N1105" s="2" t="s">
        <v>74</v>
      </c>
      <c r="O1105" s="2" t="s">
        <v>74</v>
      </c>
      <c r="P1105" s="2" t="s">
        <v>74</v>
      </c>
      <c r="Q1105" s="2" t="s">
        <v>74</v>
      </c>
      <c r="R1105" s="2" t="s">
        <v>74</v>
      </c>
      <c r="S1105" s="2" t="s">
        <v>74</v>
      </c>
      <c r="T1105" s="2" t="s">
        <v>74</v>
      </c>
      <c r="U1105" s="2" t="s">
        <v>74</v>
      </c>
      <c r="V1105" s="5" t="s">
        <v>5747</v>
      </c>
      <c r="W1105" s="2" t="s">
        <v>74</v>
      </c>
      <c r="X1105" s="2" t="s">
        <v>74</v>
      </c>
      <c r="Y1105" s="2" t="s">
        <v>74</v>
      </c>
      <c r="Z1105" s="2" t="s">
        <v>74</v>
      </c>
      <c r="AA1105" s="2" t="s">
        <v>5748</v>
      </c>
      <c r="AB1105" s="2" t="s">
        <v>5749</v>
      </c>
      <c r="AC1105" s="2" t="s">
        <v>74</v>
      </c>
      <c r="AD1105" s="2" t="s">
        <v>74</v>
      </c>
      <c r="AE1105" s="2" t="s">
        <v>74</v>
      </c>
      <c r="AF1105" s="2" t="s">
        <v>74</v>
      </c>
      <c r="AG1105" s="2" t="s">
        <v>74</v>
      </c>
      <c r="AH1105" s="2" t="s">
        <v>74</v>
      </c>
      <c r="AI1105" s="2" t="s">
        <v>74</v>
      </c>
      <c r="AJ1105" s="2" t="s">
        <v>74</v>
      </c>
      <c r="AK1105" s="2" t="s">
        <v>74</v>
      </c>
      <c r="AL1105" s="2" t="s">
        <v>74</v>
      </c>
      <c r="AM1105" s="2" t="s">
        <v>74</v>
      </c>
      <c r="AN1105" s="2" t="s">
        <v>74</v>
      </c>
      <c r="AO1105" s="2" t="s">
        <v>2045</v>
      </c>
      <c r="AP1105" s="2" t="s">
        <v>2046</v>
      </c>
      <c r="AQ1105" s="2" t="s">
        <v>74</v>
      </c>
      <c r="AR1105" s="2" t="s">
        <v>74</v>
      </c>
      <c r="AS1105" s="2" t="s">
        <v>74</v>
      </c>
      <c r="AT1105" s="2" t="s">
        <v>255</v>
      </c>
      <c r="AU1105" s="2">
        <v>2016</v>
      </c>
      <c r="AV1105" s="2">
        <v>63</v>
      </c>
      <c r="AW1105" s="2">
        <v>1</v>
      </c>
      <c r="AX1105" s="2" t="s">
        <v>74</v>
      </c>
      <c r="AY1105" s="2" t="s">
        <v>74</v>
      </c>
      <c r="AZ1105" s="2" t="s">
        <v>74</v>
      </c>
      <c r="BA1105" s="2" t="s">
        <v>74</v>
      </c>
      <c r="BB1105" s="2">
        <v>94</v>
      </c>
      <c r="BC1105" s="2">
        <v>109</v>
      </c>
      <c r="BD1105" s="2" t="s">
        <v>74</v>
      </c>
      <c r="BE1105" s="2" t="s">
        <v>5750</v>
      </c>
      <c r="BF1105" s="2" t="str">
        <f>HYPERLINK("http://dx.doi.org/10.1007/s10228-015-0480-9","http://dx.doi.org/10.1007/s10228-015-0480-9")</f>
        <v>http://dx.doi.org/10.1007/s10228-015-0480-9</v>
      </c>
      <c r="BG1105" s="2" t="s">
        <v>74</v>
      </c>
      <c r="BH1105" s="2" t="s">
        <v>74</v>
      </c>
      <c r="BI1105" s="2" t="s">
        <v>74</v>
      </c>
      <c r="BJ1105" s="2" t="s">
        <v>74</v>
      </c>
      <c r="BK1105" s="2" t="s">
        <v>74</v>
      </c>
      <c r="BL1105" s="2" t="s">
        <v>74</v>
      </c>
      <c r="BM1105" s="2" t="s">
        <v>74</v>
      </c>
      <c r="BN1105" s="2" t="s">
        <v>74</v>
      </c>
      <c r="BO1105" s="2" t="s">
        <v>74</v>
      </c>
      <c r="BP1105" s="2" t="s">
        <v>74</v>
      </c>
      <c r="BQ1105" s="2" t="s">
        <v>74</v>
      </c>
      <c r="BR1105" s="2" t="s">
        <v>74</v>
      </c>
      <c r="BS1105" s="2" t="s">
        <v>5751</v>
      </c>
      <c r="BT1105" s="2" t="str">
        <f>HYPERLINK("https%3A%2F%2Fwww.webofscience.com%2Fwos%2Fwoscc%2Ffull-record%2FWOS:000367602100010","View Full Record in Web of Science")</f>
        <v>View Full Record in Web of Science</v>
      </c>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row>
    <row r="1106" spans="1:314" s="2" customFormat="1" x14ac:dyDescent="0.4">
      <c r="A1106" s="2" t="s">
        <v>72</v>
      </c>
      <c r="B1106" s="2" t="s">
        <v>2394</v>
      </c>
      <c r="C1106" s="2" t="s">
        <v>74</v>
      </c>
      <c r="D1106" s="2" t="s">
        <v>74</v>
      </c>
      <c r="E1106" s="2" t="s">
        <v>74</v>
      </c>
      <c r="F1106" s="2" t="s">
        <v>2395</v>
      </c>
      <c r="G1106" s="2" t="s">
        <v>74</v>
      </c>
      <c r="H1106" s="2" t="s">
        <v>74</v>
      </c>
      <c r="I1106" s="2" t="s">
        <v>2396</v>
      </c>
      <c r="J1106" s="2" t="s">
        <v>140</v>
      </c>
      <c r="K1106" s="2" t="s">
        <v>74</v>
      </c>
      <c r="L1106" s="2" t="s">
        <v>74</v>
      </c>
      <c r="M1106" s="2" t="s">
        <v>74</v>
      </c>
      <c r="N1106" s="2" t="s">
        <v>74</v>
      </c>
      <c r="O1106" s="2" t="s">
        <v>74</v>
      </c>
      <c r="P1106" s="2" t="s">
        <v>74</v>
      </c>
      <c r="Q1106" s="2" t="s">
        <v>74</v>
      </c>
      <c r="R1106" s="2" t="s">
        <v>74</v>
      </c>
      <c r="S1106" s="2" t="s">
        <v>74</v>
      </c>
      <c r="T1106" s="2" t="s">
        <v>74</v>
      </c>
      <c r="U1106" s="2" t="s">
        <v>74</v>
      </c>
      <c r="V1106" s="5" t="s">
        <v>2397</v>
      </c>
      <c r="W1106" s="2" t="s">
        <v>74</v>
      </c>
      <c r="X1106" s="2" t="s">
        <v>74</v>
      </c>
      <c r="Y1106" s="2" t="s">
        <v>74</v>
      </c>
      <c r="Z1106" s="2" t="s">
        <v>74</v>
      </c>
      <c r="AA1106" s="2" t="s">
        <v>2398</v>
      </c>
      <c r="AB1106" s="2" t="s">
        <v>2399</v>
      </c>
      <c r="AC1106" s="2" t="s">
        <v>74</v>
      </c>
      <c r="AD1106" s="2" t="s">
        <v>74</v>
      </c>
      <c r="AE1106" s="2" t="s">
        <v>74</v>
      </c>
      <c r="AF1106" s="2" t="s">
        <v>74</v>
      </c>
      <c r="AG1106" s="2" t="s">
        <v>74</v>
      </c>
      <c r="AH1106" s="2" t="s">
        <v>74</v>
      </c>
      <c r="AI1106" s="2" t="s">
        <v>74</v>
      </c>
      <c r="AJ1106" s="2" t="s">
        <v>74</v>
      </c>
      <c r="AK1106" s="2" t="s">
        <v>74</v>
      </c>
      <c r="AL1106" s="2" t="s">
        <v>74</v>
      </c>
      <c r="AM1106" s="2" t="s">
        <v>74</v>
      </c>
      <c r="AN1106" s="2" t="s">
        <v>74</v>
      </c>
      <c r="AO1106" s="2" t="s">
        <v>143</v>
      </c>
      <c r="AP1106" s="2" t="s">
        <v>144</v>
      </c>
      <c r="AQ1106" s="2" t="s">
        <v>74</v>
      </c>
      <c r="AR1106" s="2" t="s">
        <v>74</v>
      </c>
      <c r="AS1106" s="2" t="s">
        <v>74</v>
      </c>
      <c r="AT1106" s="2" t="s">
        <v>145</v>
      </c>
      <c r="AU1106" s="2">
        <v>2006</v>
      </c>
      <c r="AV1106" s="2">
        <v>72</v>
      </c>
      <c r="AW1106" s="2" t="s">
        <v>74</v>
      </c>
      <c r="AX1106" s="2">
        <v>2</v>
      </c>
      <c r="AY1106" s="2" t="s">
        <v>74</v>
      </c>
      <c r="AZ1106" s="2" t="s">
        <v>74</v>
      </c>
      <c r="BA1106" s="2" t="s">
        <v>74</v>
      </c>
      <c r="BB1106" s="2">
        <v>353</v>
      </c>
      <c r="BC1106" s="2">
        <v>363</v>
      </c>
      <c r="BD1106" s="2" t="s">
        <v>74</v>
      </c>
      <c r="BE1106" s="2" t="s">
        <v>2400</v>
      </c>
      <c r="BF1106" s="2" t="str">
        <f>HYPERLINK("http://dx.doi.org/10.1016/j.anbehav.2005.10.018","http://dx.doi.org/10.1016/j.anbehav.2005.10.018")</f>
        <v>http://dx.doi.org/10.1016/j.anbehav.2005.10.018</v>
      </c>
      <c r="BG1106" s="2" t="s">
        <v>74</v>
      </c>
      <c r="BH1106" s="2" t="s">
        <v>74</v>
      </c>
      <c r="BI1106" s="2" t="s">
        <v>74</v>
      </c>
      <c r="BJ1106" s="2" t="s">
        <v>74</v>
      </c>
      <c r="BK1106" s="2" t="s">
        <v>74</v>
      </c>
      <c r="BL1106" s="2" t="s">
        <v>74</v>
      </c>
      <c r="BM1106" s="2" t="s">
        <v>74</v>
      </c>
      <c r="BN1106" s="2" t="s">
        <v>74</v>
      </c>
      <c r="BO1106" s="2" t="s">
        <v>74</v>
      </c>
      <c r="BP1106" s="2" t="s">
        <v>74</v>
      </c>
      <c r="BQ1106" s="2" t="s">
        <v>74</v>
      </c>
      <c r="BR1106" s="2" t="s">
        <v>74</v>
      </c>
      <c r="BS1106" s="2" t="s">
        <v>2401</v>
      </c>
      <c r="BT1106" s="2" t="str">
        <f>HYPERLINK("https%3A%2F%2Fwww.webofscience.com%2Fwos%2Fwoscc%2Ffull-record%2FWOS:000240217300011","View Full Record in Web of Science")</f>
        <v>View Full Record in Web of Science</v>
      </c>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row>
    <row r="1107" spans="1:314" s="2" customFormat="1" x14ac:dyDescent="0.4">
      <c r="A1107" s="2" t="s">
        <v>72</v>
      </c>
      <c r="B1107" s="2" t="s">
        <v>6659</v>
      </c>
      <c r="C1107" s="2" t="s">
        <v>74</v>
      </c>
      <c r="D1107" s="2" t="s">
        <v>74</v>
      </c>
      <c r="E1107" s="2" t="s">
        <v>74</v>
      </c>
      <c r="F1107" s="2" t="s">
        <v>6660</v>
      </c>
      <c r="G1107" s="2" t="s">
        <v>74</v>
      </c>
      <c r="H1107" s="2" t="s">
        <v>74</v>
      </c>
      <c r="I1107" s="2" t="s">
        <v>6661</v>
      </c>
      <c r="J1107" s="2" t="s">
        <v>2017</v>
      </c>
      <c r="K1107" s="2" t="s">
        <v>74</v>
      </c>
      <c r="L1107" s="2" t="s">
        <v>74</v>
      </c>
      <c r="M1107" s="2" t="s">
        <v>74</v>
      </c>
      <c r="N1107" s="2" t="s">
        <v>74</v>
      </c>
      <c r="O1107" s="2" t="s">
        <v>74</v>
      </c>
      <c r="P1107" s="2" t="s">
        <v>74</v>
      </c>
      <c r="Q1107" s="2" t="s">
        <v>74</v>
      </c>
      <c r="R1107" s="2" t="s">
        <v>74</v>
      </c>
      <c r="S1107" s="2" t="s">
        <v>74</v>
      </c>
      <c r="T1107" s="2" t="s">
        <v>74</v>
      </c>
      <c r="U1107" s="2" t="s">
        <v>74</v>
      </c>
      <c r="V1107" s="5" t="s">
        <v>6662</v>
      </c>
      <c r="W1107" s="2" t="s">
        <v>74</v>
      </c>
      <c r="X1107" s="2" t="s">
        <v>74</v>
      </c>
      <c r="Y1107" s="2" t="s">
        <v>74</v>
      </c>
      <c r="Z1107" s="2" t="s">
        <v>74</v>
      </c>
      <c r="AA1107" s="2" t="s">
        <v>6663</v>
      </c>
      <c r="AB1107" s="2" t="s">
        <v>6664</v>
      </c>
      <c r="AC1107" s="2" t="s">
        <v>74</v>
      </c>
      <c r="AD1107" s="2" t="s">
        <v>74</v>
      </c>
      <c r="AE1107" s="2" t="s">
        <v>74</v>
      </c>
      <c r="AF1107" s="2" t="s">
        <v>74</v>
      </c>
      <c r="AG1107" s="2" t="s">
        <v>74</v>
      </c>
      <c r="AH1107" s="2" t="s">
        <v>74</v>
      </c>
      <c r="AI1107" s="2" t="s">
        <v>74</v>
      </c>
      <c r="AJ1107" s="2" t="s">
        <v>74</v>
      </c>
      <c r="AK1107" s="2" t="s">
        <v>74</v>
      </c>
      <c r="AL1107" s="2" t="s">
        <v>74</v>
      </c>
      <c r="AM1107" s="2" t="s">
        <v>74</v>
      </c>
      <c r="AN1107" s="2" t="s">
        <v>74</v>
      </c>
      <c r="AO1107" s="2" t="s">
        <v>2021</v>
      </c>
      <c r="AP1107" s="2" t="s">
        <v>74</v>
      </c>
      <c r="AQ1107" s="2" t="s">
        <v>74</v>
      </c>
      <c r="AR1107" s="2" t="s">
        <v>74</v>
      </c>
      <c r="AS1107" s="2" t="s">
        <v>74</v>
      </c>
      <c r="AT1107" s="2" t="s">
        <v>6665</v>
      </c>
      <c r="AU1107" s="2">
        <v>2018</v>
      </c>
      <c r="AV1107" s="2">
        <v>6</v>
      </c>
      <c r="AW1107" s="2" t="s">
        <v>74</v>
      </c>
      <c r="AX1107" s="2" t="s">
        <v>74</v>
      </c>
      <c r="AY1107" s="2" t="s">
        <v>74</v>
      </c>
      <c r="AZ1107" s="2" t="s">
        <v>74</v>
      </c>
      <c r="BA1107" s="2" t="s">
        <v>74</v>
      </c>
      <c r="BB1107" s="2" t="s">
        <v>74</v>
      </c>
      <c r="BC1107" s="2" t="s">
        <v>74</v>
      </c>
      <c r="BD1107" s="2">
        <v>70</v>
      </c>
      <c r="BE1107" s="2" t="s">
        <v>6666</v>
      </c>
      <c r="BF1107" s="2" t="str">
        <f>HYPERLINK("http://dx.doi.org/10.3389/fevo.2018.00070","http://dx.doi.org/10.3389/fevo.2018.00070")</f>
        <v>http://dx.doi.org/10.3389/fevo.2018.00070</v>
      </c>
      <c r="BG1107" s="2" t="s">
        <v>74</v>
      </c>
      <c r="BH1107" s="2" t="s">
        <v>74</v>
      </c>
      <c r="BI1107" s="2" t="s">
        <v>74</v>
      </c>
      <c r="BJ1107" s="2" t="s">
        <v>74</v>
      </c>
      <c r="BK1107" s="2" t="s">
        <v>74</v>
      </c>
      <c r="BL1107" s="2" t="s">
        <v>74</v>
      </c>
      <c r="BM1107" s="2" t="s">
        <v>74</v>
      </c>
      <c r="BN1107" s="2" t="s">
        <v>74</v>
      </c>
      <c r="BO1107" s="2" t="s">
        <v>74</v>
      </c>
      <c r="BP1107" s="2" t="s">
        <v>74</v>
      </c>
      <c r="BQ1107" s="2" t="s">
        <v>74</v>
      </c>
      <c r="BR1107" s="2" t="s">
        <v>74</v>
      </c>
      <c r="BS1107" s="2" t="s">
        <v>6667</v>
      </c>
      <c r="BT1107" s="2" t="str">
        <f>HYPERLINK("https%3A%2F%2Fwww.webofscience.com%2Fwos%2Fwoscc%2Ffull-record%2FWOS:000451666100001","View Full Record in Web of Science")</f>
        <v>View Full Record in Web of Science</v>
      </c>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row>
    <row r="1108" spans="1:314" s="2" customFormat="1" x14ac:dyDescent="0.4">
      <c r="A1108" s="2" t="s">
        <v>72</v>
      </c>
      <c r="B1108" s="2" t="s">
        <v>7262</v>
      </c>
      <c r="C1108" s="2" t="s">
        <v>74</v>
      </c>
      <c r="D1108" s="2" t="s">
        <v>74</v>
      </c>
      <c r="E1108" s="2" t="s">
        <v>74</v>
      </c>
      <c r="F1108" s="2" t="s">
        <v>7262</v>
      </c>
      <c r="G1108" s="2" t="s">
        <v>74</v>
      </c>
      <c r="H1108" s="2" t="s">
        <v>74</v>
      </c>
      <c r="I1108" s="2" t="s">
        <v>7263</v>
      </c>
      <c r="J1108" s="2" t="s">
        <v>129</v>
      </c>
      <c r="K1108" s="2" t="s">
        <v>74</v>
      </c>
      <c r="L1108" s="2" t="s">
        <v>74</v>
      </c>
      <c r="M1108" s="2" t="s">
        <v>74</v>
      </c>
      <c r="N1108" s="2" t="s">
        <v>74</v>
      </c>
      <c r="O1108" s="2" t="s">
        <v>74</v>
      </c>
      <c r="P1108" s="2" t="s">
        <v>74</v>
      </c>
      <c r="Q1108" s="2" t="s">
        <v>74</v>
      </c>
      <c r="R1108" s="2" t="s">
        <v>74</v>
      </c>
      <c r="S1108" s="2" t="s">
        <v>74</v>
      </c>
      <c r="T1108" s="2" t="s">
        <v>74</v>
      </c>
      <c r="U1108" s="2" t="s">
        <v>74</v>
      </c>
      <c r="V1108" s="5" t="s">
        <v>7264</v>
      </c>
      <c r="W1108" s="2" t="s">
        <v>74</v>
      </c>
      <c r="X1108" s="2" t="s">
        <v>74</v>
      </c>
      <c r="Y1108" s="2" t="s">
        <v>74</v>
      </c>
      <c r="Z1108" s="2" t="s">
        <v>74</v>
      </c>
      <c r="AA1108" s="2" t="s">
        <v>3138</v>
      </c>
      <c r="AB1108" s="2" t="s">
        <v>7265</v>
      </c>
      <c r="AC1108" s="2" t="s">
        <v>74</v>
      </c>
      <c r="AD1108" s="2" t="s">
        <v>74</v>
      </c>
      <c r="AE1108" s="2" t="s">
        <v>74</v>
      </c>
      <c r="AF1108" s="2" t="s">
        <v>74</v>
      </c>
      <c r="AG1108" s="2" t="s">
        <v>74</v>
      </c>
      <c r="AH1108" s="2" t="s">
        <v>74</v>
      </c>
      <c r="AI1108" s="2" t="s">
        <v>74</v>
      </c>
      <c r="AJ1108" s="2" t="s">
        <v>74</v>
      </c>
      <c r="AK1108" s="2" t="s">
        <v>74</v>
      </c>
      <c r="AL1108" s="2" t="s">
        <v>74</v>
      </c>
      <c r="AM1108" s="2" t="s">
        <v>74</v>
      </c>
      <c r="AN1108" s="2" t="s">
        <v>74</v>
      </c>
      <c r="AO1108" s="2" t="s">
        <v>132</v>
      </c>
      <c r="AP1108" s="2" t="s">
        <v>74</v>
      </c>
      <c r="AQ1108" s="2" t="s">
        <v>74</v>
      </c>
      <c r="AR1108" s="2" t="s">
        <v>74</v>
      </c>
      <c r="AS1108" s="2" t="s">
        <v>74</v>
      </c>
      <c r="AT1108" s="2" t="s">
        <v>145</v>
      </c>
      <c r="AU1108" s="2">
        <v>1999</v>
      </c>
      <c r="AV1108" s="2">
        <v>46</v>
      </c>
      <c r="AW1108" s="2">
        <v>3</v>
      </c>
      <c r="AX1108" s="2" t="s">
        <v>74</v>
      </c>
      <c r="AY1108" s="2" t="s">
        <v>74</v>
      </c>
      <c r="AZ1108" s="2" t="s">
        <v>74</v>
      </c>
      <c r="BA1108" s="2" t="s">
        <v>74</v>
      </c>
      <c r="BB1108" s="2">
        <v>210</v>
      </c>
      <c r="BC1108" s="2">
        <v>214</v>
      </c>
      <c r="BD1108" s="2" t="s">
        <v>74</v>
      </c>
      <c r="BE1108" s="2" t="s">
        <v>7266</v>
      </c>
      <c r="BF1108" s="2" t="str">
        <f>HYPERLINK("http://dx.doi.org/10.1007/s002650050611","http://dx.doi.org/10.1007/s002650050611")</f>
        <v>http://dx.doi.org/10.1007/s002650050611</v>
      </c>
      <c r="BG1108" s="2" t="s">
        <v>74</v>
      </c>
      <c r="BH1108" s="2" t="s">
        <v>74</v>
      </c>
      <c r="BI1108" s="2" t="s">
        <v>74</v>
      </c>
      <c r="BJ1108" s="2" t="s">
        <v>74</v>
      </c>
      <c r="BK1108" s="2" t="s">
        <v>74</v>
      </c>
      <c r="BL1108" s="2" t="s">
        <v>74</v>
      </c>
      <c r="BM1108" s="2" t="s">
        <v>74</v>
      </c>
      <c r="BN1108" s="2" t="s">
        <v>74</v>
      </c>
      <c r="BO1108" s="2" t="s">
        <v>74</v>
      </c>
      <c r="BP1108" s="2" t="s">
        <v>74</v>
      </c>
      <c r="BQ1108" s="2" t="s">
        <v>74</v>
      </c>
      <c r="BR1108" s="2" t="s">
        <v>74</v>
      </c>
      <c r="BS1108" s="2" t="s">
        <v>7267</v>
      </c>
      <c r="BT1108" s="2" t="str">
        <f>HYPERLINK("https%3A%2F%2Fwww.webofscience.com%2Fwos%2Fwoscc%2Ffull-record%2FWOS:000082141200009","View Full Record in Web of Science")</f>
        <v>View Full Record in Web of Science</v>
      </c>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row>
    <row r="1109" spans="1:314" s="2" customFormat="1" x14ac:dyDescent="0.4">
      <c r="A1109" s="2" t="s">
        <v>72</v>
      </c>
      <c r="B1109" s="2" t="s">
        <v>2834</v>
      </c>
      <c r="C1109" s="2" t="s">
        <v>74</v>
      </c>
      <c r="D1109" s="2" t="s">
        <v>74</v>
      </c>
      <c r="E1109" s="2" t="s">
        <v>74</v>
      </c>
      <c r="F1109" s="2" t="s">
        <v>2835</v>
      </c>
      <c r="G1109" s="2" t="s">
        <v>74</v>
      </c>
      <c r="H1109" s="2" t="s">
        <v>74</v>
      </c>
      <c r="I1109" s="2" t="s">
        <v>2836</v>
      </c>
      <c r="J1109" s="2" t="s">
        <v>367</v>
      </c>
      <c r="K1109" s="2" t="s">
        <v>74</v>
      </c>
      <c r="L1109" s="2" t="s">
        <v>74</v>
      </c>
      <c r="M1109" s="2" t="s">
        <v>74</v>
      </c>
      <c r="N1109" s="2" t="s">
        <v>74</v>
      </c>
      <c r="O1109" s="2" t="s">
        <v>74</v>
      </c>
      <c r="P1109" s="2" t="s">
        <v>74</v>
      </c>
      <c r="Q1109" s="2" t="s">
        <v>74</v>
      </c>
      <c r="R1109" s="2" t="s">
        <v>74</v>
      </c>
      <c r="S1109" s="2" t="s">
        <v>74</v>
      </c>
      <c r="T1109" s="2" t="s">
        <v>74</v>
      </c>
      <c r="U1109" s="2" t="s">
        <v>74</v>
      </c>
      <c r="V1109" s="5" t="s">
        <v>2837</v>
      </c>
      <c r="W1109" s="2" t="s">
        <v>74</v>
      </c>
      <c r="X1109" s="2" t="s">
        <v>74</v>
      </c>
      <c r="Y1109" s="2" t="s">
        <v>74</v>
      </c>
      <c r="Z1109" s="2" t="s">
        <v>74</v>
      </c>
      <c r="AA1109" s="2" t="s">
        <v>2838</v>
      </c>
      <c r="AB1109" s="2" t="s">
        <v>2839</v>
      </c>
      <c r="AC1109" s="2" t="s">
        <v>74</v>
      </c>
      <c r="AD1109" s="2" t="s">
        <v>74</v>
      </c>
      <c r="AE1109" s="2" t="s">
        <v>74</v>
      </c>
      <c r="AF1109" s="2" t="s">
        <v>74</v>
      </c>
      <c r="AG1109" s="2" t="s">
        <v>74</v>
      </c>
      <c r="AH1109" s="2" t="s">
        <v>74</v>
      </c>
      <c r="AI1109" s="2" t="s">
        <v>74</v>
      </c>
      <c r="AJ1109" s="2" t="s">
        <v>74</v>
      </c>
      <c r="AK1109" s="2" t="s">
        <v>74</v>
      </c>
      <c r="AL1109" s="2" t="s">
        <v>74</v>
      </c>
      <c r="AM1109" s="2" t="s">
        <v>74</v>
      </c>
      <c r="AN1109" s="2" t="s">
        <v>74</v>
      </c>
      <c r="AO1109" s="2" t="s">
        <v>371</v>
      </c>
      <c r="AP1109" s="2" t="s">
        <v>372</v>
      </c>
      <c r="AQ1109" s="2" t="s">
        <v>74</v>
      </c>
      <c r="AR1109" s="2" t="s">
        <v>74</v>
      </c>
      <c r="AS1109" s="2" t="s">
        <v>74</v>
      </c>
      <c r="AT1109" s="2" t="s">
        <v>2840</v>
      </c>
      <c r="AU1109" s="2">
        <v>2024</v>
      </c>
      <c r="AV1109" s="2" t="s">
        <v>74</v>
      </c>
      <c r="AW1109" s="2" t="s">
        <v>74</v>
      </c>
      <c r="AX1109" s="2" t="s">
        <v>74</v>
      </c>
      <c r="AY1109" s="2" t="s">
        <v>74</v>
      </c>
      <c r="AZ1109" s="2" t="s">
        <v>74</v>
      </c>
      <c r="BA1109" s="2" t="s">
        <v>74</v>
      </c>
      <c r="BB1109" s="2" t="s">
        <v>74</v>
      </c>
      <c r="BC1109" s="2" t="s">
        <v>74</v>
      </c>
      <c r="BD1109" s="2" t="s">
        <v>74</v>
      </c>
      <c r="BE1109" s="2" t="s">
        <v>2841</v>
      </c>
      <c r="BF1109" s="2" t="str">
        <f>HYPERLINK("http://dx.doi.org/10.1037/com0000374","http://dx.doi.org/10.1037/com0000374")</f>
        <v>http://dx.doi.org/10.1037/com0000374</v>
      </c>
      <c r="BG1109" s="2" t="s">
        <v>74</v>
      </c>
      <c r="BH1109" s="2" t="s">
        <v>2842</v>
      </c>
      <c r="BI1109" s="2" t="s">
        <v>74</v>
      </c>
      <c r="BJ1109" s="2" t="s">
        <v>74</v>
      </c>
      <c r="BK1109" s="2" t="s">
        <v>74</v>
      </c>
      <c r="BL1109" s="2" t="s">
        <v>74</v>
      </c>
      <c r="BM1109" s="2" t="s">
        <v>74</v>
      </c>
      <c r="BN1109" s="2">
        <v>38330314</v>
      </c>
      <c r="BO1109" s="2" t="s">
        <v>74</v>
      </c>
      <c r="BP1109" s="2" t="s">
        <v>74</v>
      </c>
      <c r="BQ1109" s="2" t="s">
        <v>74</v>
      </c>
      <c r="BR1109" s="2" t="s">
        <v>74</v>
      </c>
      <c r="BS1109" s="2" t="s">
        <v>2843</v>
      </c>
      <c r="BT1109" s="2" t="str">
        <f>HYPERLINK("https%3A%2F%2Fwww.webofscience.com%2Fwos%2Fwoscc%2Ffull-record%2FWOS:001158763200001","View Full Record in Web of Science")</f>
        <v>View Full Record in Web of Science</v>
      </c>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row>
    <row r="1110" spans="1:314" s="2" customFormat="1" x14ac:dyDescent="0.4">
      <c r="A1110" s="2" t="s">
        <v>72</v>
      </c>
      <c r="B1110" s="2" t="s">
        <v>3740</v>
      </c>
      <c r="C1110" s="2" t="s">
        <v>74</v>
      </c>
      <c r="D1110" s="2" t="s">
        <v>74</v>
      </c>
      <c r="E1110" s="2" t="s">
        <v>74</v>
      </c>
      <c r="F1110" s="2" t="s">
        <v>3740</v>
      </c>
      <c r="G1110" s="2" t="s">
        <v>74</v>
      </c>
      <c r="H1110" s="2" t="s">
        <v>74</v>
      </c>
      <c r="I1110" s="2" t="s">
        <v>3741</v>
      </c>
      <c r="J1110" s="2" t="s">
        <v>77</v>
      </c>
      <c r="K1110" s="2" t="s">
        <v>74</v>
      </c>
      <c r="L1110" s="2" t="s">
        <v>74</v>
      </c>
      <c r="M1110" s="2" t="s">
        <v>74</v>
      </c>
      <c r="N1110" s="2" t="s">
        <v>74</v>
      </c>
      <c r="O1110" s="2" t="s">
        <v>74</v>
      </c>
      <c r="P1110" s="2" t="s">
        <v>74</v>
      </c>
      <c r="Q1110" s="2" t="s">
        <v>74</v>
      </c>
      <c r="R1110" s="2" t="s">
        <v>74</v>
      </c>
      <c r="S1110" s="2" t="s">
        <v>74</v>
      </c>
      <c r="T1110" s="2" t="s">
        <v>74</v>
      </c>
      <c r="U1110" s="2" t="s">
        <v>74</v>
      </c>
      <c r="V1110" s="5" t="s">
        <v>3742</v>
      </c>
      <c r="W1110" s="2" t="s">
        <v>74</v>
      </c>
      <c r="X1110" s="2" t="s">
        <v>74</v>
      </c>
      <c r="Y1110" s="2" t="s">
        <v>74</v>
      </c>
      <c r="Z1110" s="2" t="s">
        <v>74</v>
      </c>
      <c r="AA1110" s="2" t="s">
        <v>74</v>
      </c>
      <c r="AB1110" s="2" t="s">
        <v>74</v>
      </c>
      <c r="AC1110" s="2" t="s">
        <v>74</v>
      </c>
      <c r="AD1110" s="2" t="s">
        <v>74</v>
      </c>
      <c r="AE1110" s="2" t="s">
        <v>74</v>
      </c>
      <c r="AF1110" s="2" t="s">
        <v>74</v>
      </c>
      <c r="AG1110" s="2" t="s">
        <v>74</v>
      </c>
      <c r="AH1110" s="2" t="s">
        <v>74</v>
      </c>
      <c r="AI1110" s="2" t="s">
        <v>74</v>
      </c>
      <c r="AJ1110" s="2" t="s">
        <v>74</v>
      </c>
      <c r="AK1110" s="2" t="s">
        <v>74</v>
      </c>
      <c r="AL1110" s="2" t="s">
        <v>74</v>
      </c>
      <c r="AM1110" s="2" t="s">
        <v>74</v>
      </c>
      <c r="AN1110" s="2" t="s">
        <v>74</v>
      </c>
      <c r="AO1110" s="2" t="s">
        <v>81</v>
      </c>
      <c r="AP1110" s="2" t="s">
        <v>82</v>
      </c>
      <c r="AQ1110" s="2" t="s">
        <v>74</v>
      </c>
      <c r="AR1110" s="2" t="s">
        <v>74</v>
      </c>
      <c r="AS1110" s="2" t="s">
        <v>74</v>
      </c>
      <c r="AT1110" s="2" t="s">
        <v>305</v>
      </c>
      <c r="AU1110" s="2">
        <v>1989</v>
      </c>
      <c r="AV1110" s="2">
        <v>111</v>
      </c>
      <c r="AW1110" s="2" t="s">
        <v>74</v>
      </c>
      <c r="AX1110" s="2" t="s">
        <v>3743</v>
      </c>
      <c r="AY1110" s="2" t="s">
        <v>74</v>
      </c>
      <c r="AZ1110" s="2" t="s">
        <v>74</v>
      </c>
      <c r="BA1110" s="2" t="s">
        <v>74</v>
      </c>
      <c r="BB1110" s="2">
        <v>220</v>
      </c>
      <c r="BC1110" s="2">
        <v>233</v>
      </c>
      <c r="BD1110" s="2" t="s">
        <v>74</v>
      </c>
      <c r="BE1110" s="2" t="s">
        <v>3744</v>
      </c>
      <c r="BF1110" s="2" t="str">
        <f>HYPERLINK("http://dx.doi.org/10.1163/156853989X00673","http://dx.doi.org/10.1163/156853989X00673")</f>
        <v>http://dx.doi.org/10.1163/156853989X00673</v>
      </c>
      <c r="BG1110" s="2" t="s">
        <v>74</v>
      </c>
      <c r="BH1110" s="2" t="s">
        <v>74</v>
      </c>
      <c r="BI1110" s="2" t="s">
        <v>74</v>
      </c>
      <c r="BJ1110" s="2" t="s">
        <v>74</v>
      </c>
      <c r="BK1110" s="2" t="s">
        <v>74</v>
      </c>
      <c r="BL1110" s="2" t="s">
        <v>74</v>
      </c>
      <c r="BM1110" s="2" t="s">
        <v>74</v>
      </c>
      <c r="BN1110" s="2" t="s">
        <v>74</v>
      </c>
      <c r="BO1110" s="2" t="s">
        <v>74</v>
      </c>
      <c r="BP1110" s="2" t="s">
        <v>74</v>
      </c>
      <c r="BQ1110" s="2" t="s">
        <v>74</v>
      </c>
      <c r="BR1110" s="2" t="s">
        <v>74</v>
      </c>
      <c r="BS1110" s="2" t="s">
        <v>3745</v>
      </c>
      <c r="BT1110" s="2" t="str">
        <f>HYPERLINK("https%3A%2F%2Fwww.webofscience.com%2Fwos%2Fwoscc%2Ffull-record%2FWOS:A1989CT62800014","View Full Record in Web of Science")</f>
        <v>View Full Record in Web of Science</v>
      </c>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row>
    <row r="1111" spans="1:314" s="1" customFormat="1" x14ac:dyDescent="0.4">
      <c r="A1111" s="2" t="s">
        <v>72</v>
      </c>
      <c r="B1111" s="2" t="s">
        <v>651</v>
      </c>
      <c r="C1111" s="2" t="s">
        <v>74</v>
      </c>
      <c r="D1111" s="2" t="s">
        <v>74</v>
      </c>
      <c r="E1111" s="2" t="s">
        <v>74</v>
      </c>
      <c r="F1111" s="2" t="s">
        <v>652</v>
      </c>
      <c r="G1111" s="2" t="s">
        <v>74</v>
      </c>
      <c r="H1111" s="2" t="s">
        <v>74</v>
      </c>
      <c r="I1111" s="2" t="s">
        <v>653</v>
      </c>
      <c r="J1111" s="2" t="s">
        <v>654</v>
      </c>
      <c r="K1111" s="2" t="s">
        <v>74</v>
      </c>
      <c r="L1111" s="2" t="s">
        <v>74</v>
      </c>
      <c r="M1111" s="2" t="s">
        <v>74</v>
      </c>
      <c r="N1111" s="2" t="s">
        <v>74</v>
      </c>
      <c r="O1111" s="2" t="s">
        <v>74</v>
      </c>
      <c r="P1111" s="2" t="s">
        <v>74</v>
      </c>
      <c r="Q1111" s="2" t="s">
        <v>74</v>
      </c>
      <c r="R1111" s="2" t="s">
        <v>74</v>
      </c>
      <c r="S1111" s="2" t="s">
        <v>74</v>
      </c>
      <c r="T1111" s="2" t="s">
        <v>74</v>
      </c>
      <c r="U1111" s="2" t="s">
        <v>74</v>
      </c>
      <c r="V1111" s="5" t="s">
        <v>655</v>
      </c>
      <c r="W1111" s="2" t="s">
        <v>74</v>
      </c>
      <c r="X1111" s="2" t="s">
        <v>74</v>
      </c>
      <c r="Y1111" s="2" t="s">
        <v>74</v>
      </c>
      <c r="Z1111" s="2" t="s">
        <v>74</v>
      </c>
      <c r="AA1111" s="2" t="s">
        <v>656</v>
      </c>
      <c r="AB1111" s="2" t="s">
        <v>657</v>
      </c>
      <c r="AC1111" s="2" t="s">
        <v>74</v>
      </c>
      <c r="AD1111" s="2" t="s">
        <v>74</v>
      </c>
      <c r="AE1111" s="2" t="s">
        <v>74</v>
      </c>
      <c r="AF1111" s="2" t="s">
        <v>74</v>
      </c>
      <c r="AG1111" s="2" t="s">
        <v>74</v>
      </c>
      <c r="AH1111" s="2" t="s">
        <v>74</v>
      </c>
      <c r="AI1111" s="2" t="s">
        <v>74</v>
      </c>
      <c r="AJ1111" s="2" t="s">
        <v>74</v>
      </c>
      <c r="AK1111" s="2" t="s">
        <v>74</v>
      </c>
      <c r="AL1111" s="2" t="s">
        <v>74</v>
      </c>
      <c r="AM1111" s="2" t="s">
        <v>74</v>
      </c>
      <c r="AN1111" s="2" t="s">
        <v>74</v>
      </c>
      <c r="AO1111" s="2" t="s">
        <v>658</v>
      </c>
      <c r="AP1111" s="2" t="s">
        <v>74</v>
      </c>
      <c r="AQ1111" s="2" t="s">
        <v>74</v>
      </c>
      <c r="AR1111" s="2" t="s">
        <v>74</v>
      </c>
      <c r="AS1111" s="2" t="s">
        <v>74</v>
      </c>
      <c r="AT1111" s="2" t="s">
        <v>305</v>
      </c>
      <c r="AU1111" s="2">
        <v>2023</v>
      </c>
      <c r="AV1111" s="2">
        <v>13</v>
      </c>
      <c r="AW1111" s="2">
        <v>12</v>
      </c>
      <c r="AX1111" s="2" t="s">
        <v>74</v>
      </c>
      <c r="AY1111" s="2" t="s">
        <v>74</v>
      </c>
      <c r="AZ1111" s="2" t="s">
        <v>74</v>
      </c>
      <c r="BA1111" s="2" t="s">
        <v>74</v>
      </c>
      <c r="BB1111" s="2" t="s">
        <v>74</v>
      </c>
      <c r="BC1111" s="2" t="s">
        <v>74</v>
      </c>
      <c r="BD1111" s="2" t="s">
        <v>659</v>
      </c>
      <c r="BE1111" s="2" t="s">
        <v>660</v>
      </c>
      <c r="BF1111" s="2" t="str">
        <f>HYPERLINK("http://dx.doi.org/10.1002/ece3.10735","http://dx.doi.org/10.1002/ece3.10735")</f>
        <v>http://dx.doi.org/10.1002/ece3.10735</v>
      </c>
      <c r="BG1111" s="2" t="s">
        <v>74</v>
      </c>
      <c r="BH1111" s="2" t="s">
        <v>74</v>
      </c>
      <c r="BI1111" s="2" t="s">
        <v>74</v>
      </c>
      <c r="BJ1111" s="2" t="s">
        <v>74</v>
      </c>
      <c r="BK1111" s="2" t="s">
        <v>74</v>
      </c>
      <c r="BL1111" s="2" t="s">
        <v>74</v>
      </c>
      <c r="BM1111" s="2" t="s">
        <v>74</v>
      </c>
      <c r="BN1111" s="2">
        <v>38077506</v>
      </c>
      <c r="BO1111" s="2" t="s">
        <v>74</v>
      </c>
      <c r="BP1111" s="2" t="s">
        <v>74</v>
      </c>
      <c r="BQ1111" s="2" t="s">
        <v>74</v>
      </c>
      <c r="BR1111" s="2" t="s">
        <v>74</v>
      </c>
      <c r="BS1111" s="2" t="s">
        <v>661</v>
      </c>
      <c r="BT1111" s="2" t="str">
        <f>HYPERLINK("https%3A%2F%2Fwww.webofscience.com%2Fwos%2Fwoscc%2Ffull-record%2FWOS:001114381400001","View Full Record in Web of Science")</f>
        <v>View Full Record in Web of Science</v>
      </c>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row>
    <row r="1112" spans="1:314" s="2" customFormat="1" x14ac:dyDescent="0.4">
      <c r="A1112" s="2" t="s">
        <v>72</v>
      </c>
      <c r="B1112" s="2" t="s">
        <v>355</v>
      </c>
      <c r="C1112" s="2" t="s">
        <v>74</v>
      </c>
      <c r="D1112" s="2" t="s">
        <v>74</v>
      </c>
      <c r="E1112" s="2" t="s">
        <v>74</v>
      </c>
      <c r="F1112" s="2" t="s">
        <v>356</v>
      </c>
      <c r="G1112" s="2" t="s">
        <v>74</v>
      </c>
      <c r="H1112" s="2" t="s">
        <v>74</v>
      </c>
      <c r="I1112" s="2" t="s">
        <v>357</v>
      </c>
      <c r="J1112" s="2" t="s">
        <v>88</v>
      </c>
      <c r="K1112" s="2" t="s">
        <v>74</v>
      </c>
      <c r="L1112" s="2" t="s">
        <v>74</v>
      </c>
      <c r="M1112" s="2" t="s">
        <v>74</v>
      </c>
      <c r="N1112" s="2" t="s">
        <v>74</v>
      </c>
      <c r="O1112" s="2" t="s">
        <v>74</v>
      </c>
      <c r="P1112" s="2" t="s">
        <v>74</v>
      </c>
      <c r="Q1112" s="2" t="s">
        <v>74</v>
      </c>
      <c r="R1112" s="2" t="s">
        <v>74</v>
      </c>
      <c r="S1112" s="2" t="s">
        <v>74</v>
      </c>
      <c r="T1112" s="2" t="s">
        <v>74</v>
      </c>
      <c r="U1112" s="2" t="s">
        <v>74</v>
      </c>
      <c r="V1112" s="5" t="s">
        <v>358</v>
      </c>
      <c r="W1112" s="2" t="s">
        <v>74</v>
      </c>
      <c r="X1112" s="2" t="s">
        <v>74</v>
      </c>
      <c r="Y1112" s="2" t="s">
        <v>74</v>
      </c>
      <c r="Z1112" s="2" t="s">
        <v>74</v>
      </c>
      <c r="AA1112" s="2" t="s">
        <v>359</v>
      </c>
      <c r="AB1112" s="2" t="s">
        <v>360</v>
      </c>
      <c r="AC1112" s="2" t="s">
        <v>74</v>
      </c>
      <c r="AD1112" s="2" t="s">
        <v>74</v>
      </c>
      <c r="AE1112" s="2" t="s">
        <v>74</v>
      </c>
      <c r="AF1112" s="2" t="s">
        <v>74</v>
      </c>
      <c r="AG1112" s="2" t="s">
        <v>74</v>
      </c>
      <c r="AH1112" s="2" t="s">
        <v>74</v>
      </c>
      <c r="AI1112" s="2" t="s">
        <v>74</v>
      </c>
      <c r="AJ1112" s="2" t="s">
        <v>74</v>
      </c>
      <c r="AK1112" s="2" t="s">
        <v>74</v>
      </c>
      <c r="AL1112" s="2" t="s">
        <v>74</v>
      </c>
      <c r="AM1112" s="2" t="s">
        <v>74</v>
      </c>
      <c r="AN1112" s="2" t="s">
        <v>74</v>
      </c>
      <c r="AO1112" s="2" t="s">
        <v>91</v>
      </c>
      <c r="AP1112" s="2" t="s">
        <v>92</v>
      </c>
      <c r="AQ1112" s="2" t="s">
        <v>74</v>
      </c>
      <c r="AR1112" s="2" t="s">
        <v>74</v>
      </c>
      <c r="AS1112" s="2" t="s">
        <v>74</v>
      </c>
      <c r="AT1112" s="2" t="s">
        <v>361</v>
      </c>
      <c r="AU1112" s="2">
        <v>2015</v>
      </c>
      <c r="AV1112" s="2">
        <v>11</v>
      </c>
      <c r="AW1112" s="2">
        <v>5</v>
      </c>
      <c r="AX1112" s="2" t="s">
        <v>74</v>
      </c>
      <c r="AY1112" s="2" t="s">
        <v>74</v>
      </c>
      <c r="AZ1112" s="2" t="s">
        <v>74</v>
      </c>
      <c r="BA1112" s="2" t="s">
        <v>74</v>
      </c>
      <c r="BB1112" s="2" t="s">
        <v>74</v>
      </c>
      <c r="BC1112" s="2" t="s">
        <v>74</v>
      </c>
      <c r="BD1112" s="2">
        <v>20150166</v>
      </c>
      <c r="BE1112" s="2" t="s">
        <v>362</v>
      </c>
      <c r="BF1112" s="2" t="str">
        <f>HYPERLINK("http://dx.doi.org/10.1098/rsbl.2015.0166","http://dx.doi.org/10.1098/rsbl.2015.0166")</f>
        <v>http://dx.doi.org/10.1098/rsbl.2015.0166</v>
      </c>
      <c r="BG1112" s="2" t="s">
        <v>74</v>
      </c>
      <c r="BH1112" s="2" t="s">
        <v>74</v>
      </c>
      <c r="BI1112" s="2" t="s">
        <v>74</v>
      </c>
      <c r="BJ1112" s="2" t="s">
        <v>74</v>
      </c>
      <c r="BK1112" s="2" t="s">
        <v>74</v>
      </c>
      <c r="BL1112" s="2" t="s">
        <v>74</v>
      </c>
      <c r="BM1112" s="2" t="s">
        <v>74</v>
      </c>
      <c r="BN1112" s="2">
        <v>25972401</v>
      </c>
      <c r="BO1112" s="2" t="s">
        <v>74</v>
      </c>
      <c r="BP1112" s="2" t="s">
        <v>74</v>
      </c>
      <c r="BQ1112" s="2" t="s">
        <v>74</v>
      </c>
      <c r="BR1112" s="2" t="s">
        <v>74</v>
      </c>
      <c r="BS1112" s="2" t="s">
        <v>363</v>
      </c>
      <c r="BT1112" s="2" t="str">
        <f>HYPERLINK("https%3A%2F%2Fwww.webofscience.com%2Fwos%2Fwoscc%2Ffull-record%2FWOS:000357684200014","View Full Record in Web of Science")</f>
        <v>View Full Record in Web of Science</v>
      </c>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row>
    <row r="1113" spans="1:314" s="2" customFormat="1" x14ac:dyDescent="0.4">
      <c r="A1113" s="2" t="s">
        <v>72</v>
      </c>
      <c r="B1113" s="2" t="s">
        <v>6049</v>
      </c>
      <c r="C1113" s="2" t="s">
        <v>74</v>
      </c>
      <c r="D1113" s="2" t="s">
        <v>74</v>
      </c>
      <c r="E1113" s="2" t="s">
        <v>74</v>
      </c>
      <c r="F1113" s="2" t="s">
        <v>6049</v>
      </c>
      <c r="G1113" s="2" t="s">
        <v>74</v>
      </c>
      <c r="H1113" s="2" t="s">
        <v>74</v>
      </c>
      <c r="I1113" s="2" t="s">
        <v>6050</v>
      </c>
      <c r="J1113" s="2" t="s">
        <v>171</v>
      </c>
      <c r="K1113" s="2" t="s">
        <v>74</v>
      </c>
      <c r="L1113" s="2" t="s">
        <v>74</v>
      </c>
      <c r="M1113" s="2" t="s">
        <v>74</v>
      </c>
      <c r="N1113" s="2" t="s">
        <v>74</v>
      </c>
      <c r="O1113" s="2" t="s">
        <v>74</v>
      </c>
      <c r="P1113" s="2" t="s">
        <v>74</v>
      </c>
      <c r="Q1113" s="2" t="s">
        <v>74</v>
      </c>
      <c r="R1113" s="2" t="s">
        <v>74</v>
      </c>
      <c r="S1113" s="2" t="s">
        <v>74</v>
      </c>
      <c r="T1113" s="2" t="s">
        <v>74</v>
      </c>
      <c r="U1113" s="2" t="s">
        <v>74</v>
      </c>
      <c r="V1113" s="5" t="s">
        <v>6051</v>
      </c>
      <c r="W1113" s="2" t="s">
        <v>74</v>
      </c>
      <c r="X1113" s="2" t="s">
        <v>74</v>
      </c>
      <c r="Y1113" s="2" t="s">
        <v>74</v>
      </c>
      <c r="Z1113" s="2" t="s">
        <v>74</v>
      </c>
      <c r="AA1113" s="2" t="s">
        <v>74</v>
      </c>
      <c r="AB1113" s="2" t="s">
        <v>6052</v>
      </c>
      <c r="AC1113" s="2" t="s">
        <v>74</v>
      </c>
      <c r="AD1113" s="2" t="s">
        <v>74</v>
      </c>
      <c r="AE1113" s="2" t="s">
        <v>74</v>
      </c>
      <c r="AF1113" s="2" t="s">
        <v>74</v>
      </c>
      <c r="AG1113" s="2" t="s">
        <v>74</v>
      </c>
      <c r="AH1113" s="2" t="s">
        <v>74</v>
      </c>
      <c r="AI1113" s="2" t="s">
        <v>74</v>
      </c>
      <c r="AJ1113" s="2" t="s">
        <v>74</v>
      </c>
      <c r="AK1113" s="2" t="s">
        <v>74</v>
      </c>
      <c r="AL1113" s="2" t="s">
        <v>74</v>
      </c>
      <c r="AM1113" s="2" t="s">
        <v>74</v>
      </c>
      <c r="AN1113" s="2" t="s">
        <v>74</v>
      </c>
      <c r="AO1113" s="2" t="s">
        <v>173</v>
      </c>
      <c r="AP1113" s="2" t="s">
        <v>174</v>
      </c>
      <c r="AQ1113" s="2" t="s">
        <v>74</v>
      </c>
      <c r="AR1113" s="2" t="s">
        <v>74</v>
      </c>
      <c r="AS1113" s="2" t="s">
        <v>74</v>
      </c>
      <c r="AT1113" s="2" t="s">
        <v>305</v>
      </c>
      <c r="AU1113" s="2">
        <v>1999</v>
      </c>
      <c r="AV1113" s="2">
        <v>53</v>
      </c>
      <c r="AW1113" s="2">
        <v>6</v>
      </c>
      <c r="AX1113" s="2" t="s">
        <v>74</v>
      </c>
      <c r="AY1113" s="2" t="s">
        <v>74</v>
      </c>
      <c r="AZ1113" s="2" t="s">
        <v>74</v>
      </c>
      <c r="BA1113" s="2" t="s">
        <v>74</v>
      </c>
      <c r="BB1113" s="2">
        <v>1884</v>
      </c>
      <c r="BC1113" s="2">
        <v>1897</v>
      </c>
      <c r="BD1113" s="2" t="s">
        <v>74</v>
      </c>
      <c r="BE1113" s="2" t="s">
        <v>6053</v>
      </c>
      <c r="BF1113" s="2" t="str">
        <f>HYPERLINK("http://dx.doi.org/10.2307/2640448","http://dx.doi.org/10.2307/2640448")</f>
        <v>http://dx.doi.org/10.2307/2640448</v>
      </c>
      <c r="BG1113" s="2" t="s">
        <v>74</v>
      </c>
      <c r="BH1113" s="2" t="s">
        <v>74</v>
      </c>
      <c r="BI1113" s="2" t="s">
        <v>74</v>
      </c>
      <c r="BJ1113" s="2" t="s">
        <v>74</v>
      </c>
      <c r="BK1113" s="2" t="s">
        <v>74</v>
      </c>
      <c r="BL1113" s="2" t="s">
        <v>74</v>
      </c>
      <c r="BM1113" s="2" t="s">
        <v>74</v>
      </c>
      <c r="BN1113" s="2">
        <v>28565467</v>
      </c>
      <c r="BO1113" s="2" t="s">
        <v>74</v>
      </c>
      <c r="BP1113" s="2" t="s">
        <v>74</v>
      </c>
      <c r="BQ1113" s="2" t="s">
        <v>74</v>
      </c>
      <c r="BR1113" s="2" t="s">
        <v>74</v>
      </c>
      <c r="BS1113" s="2" t="s">
        <v>6054</v>
      </c>
      <c r="BT1113" s="2" t="str">
        <f>HYPERLINK("https%3A%2F%2Fwww.webofscience.com%2Fwos%2Fwoscc%2Ffull-record%2FWOS:000084703100021","View Full Record in Web of Science")</f>
        <v>View Full Record in Web of Science</v>
      </c>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row>
    <row r="1114" spans="1:314" s="2" customFormat="1" x14ac:dyDescent="0.4">
      <c r="A1114" s="2" t="s">
        <v>72</v>
      </c>
      <c r="B1114" s="2" t="s">
        <v>4733</v>
      </c>
      <c r="C1114" s="2" t="s">
        <v>74</v>
      </c>
      <c r="D1114" s="2" t="s">
        <v>74</v>
      </c>
      <c r="E1114" s="2" t="s">
        <v>74</v>
      </c>
      <c r="F1114" s="2" t="s">
        <v>4734</v>
      </c>
      <c r="G1114" s="2" t="s">
        <v>74</v>
      </c>
      <c r="H1114" s="2" t="s">
        <v>74</v>
      </c>
      <c r="I1114" s="2" t="s">
        <v>4735</v>
      </c>
      <c r="J1114" s="2" t="s">
        <v>77</v>
      </c>
      <c r="K1114" s="2" t="s">
        <v>74</v>
      </c>
      <c r="L1114" s="2" t="s">
        <v>74</v>
      </c>
      <c r="M1114" s="2" t="s">
        <v>74</v>
      </c>
      <c r="N1114" s="2" t="s">
        <v>74</v>
      </c>
      <c r="O1114" s="2" t="s">
        <v>74</v>
      </c>
      <c r="P1114" s="2" t="s">
        <v>74</v>
      </c>
      <c r="Q1114" s="2" t="s">
        <v>74</v>
      </c>
      <c r="R1114" s="2" t="s">
        <v>74</v>
      </c>
      <c r="S1114" s="2" t="s">
        <v>74</v>
      </c>
      <c r="T1114" s="2" t="s">
        <v>74</v>
      </c>
      <c r="U1114" s="2" t="s">
        <v>74</v>
      </c>
      <c r="V1114" s="5" t="s">
        <v>4736</v>
      </c>
      <c r="W1114" s="2" t="s">
        <v>74</v>
      </c>
      <c r="X1114" s="2" t="s">
        <v>74</v>
      </c>
      <c r="Y1114" s="2" t="s">
        <v>74</v>
      </c>
      <c r="Z1114" s="2" t="s">
        <v>74</v>
      </c>
      <c r="AA1114" s="2" t="s">
        <v>4737</v>
      </c>
      <c r="AB1114" s="2" t="s">
        <v>74</v>
      </c>
      <c r="AC1114" s="2" t="s">
        <v>74</v>
      </c>
      <c r="AD1114" s="2" t="s">
        <v>74</v>
      </c>
      <c r="AE1114" s="2" t="s">
        <v>74</v>
      </c>
      <c r="AF1114" s="2" t="s">
        <v>74</v>
      </c>
      <c r="AG1114" s="2" t="s">
        <v>74</v>
      </c>
      <c r="AH1114" s="2" t="s">
        <v>74</v>
      </c>
      <c r="AI1114" s="2" t="s">
        <v>74</v>
      </c>
      <c r="AJ1114" s="2" t="s">
        <v>74</v>
      </c>
      <c r="AK1114" s="2" t="s">
        <v>74</v>
      </c>
      <c r="AL1114" s="2" t="s">
        <v>74</v>
      </c>
      <c r="AM1114" s="2" t="s">
        <v>74</v>
      </c>
      <c r="AN1114" s="2" t="s">
        <v>74</v>
      </c>
      <c r="AO1114" s="2" t="s">
        <v>81</v>
      </c>
      <c r="AP1114" s="2" t="s">
        <v>82</v>
      </c>
      <c r="AQ1114" s="2" t="s">
        <v>74</v>
      </c>
      <c r="AR1114" s="2" t="s">
        <v>74</v>
      </c>
      <c r="AS1114" s="2" t="s">
        <v>74</v>
      </c>
      <c r="AT1114" s="2" t="s">
        <v>74</v>
      </c>
      <c r="AU1114" s="2">
        <v>2015</v>
      </c>
      <c r="AV1114" s="2">
        <v>152</v>
      </c>
      <c r="AW1114" s="2">
        <v>5</v>
      </c>
      <c r="AX1114" s="2" t="s">
        <v>74</v>
      </c>
      <c r="AY1114" s="2" t="s">
        <v>74</v>
      </c>
      <c r="AZ1114" s="2" t="s">
        <v>74</v>
      </c>
      <c r="BA1114" s="2" t="s">
        <v>74</v>
      </c>
      <c r="BB1114" s="2">
        <v>563</v>
      </c>
      <c r="BC1114" s="2">
        <v>591</v>
      </c>
      <c r="BD1114" s="2" t="s">
        <v>74</v>
      </c>
      <c r="BE1114" s="2" t="s">
        <v>4738</v>
      </c>
      <c r="BF1114" s="2" t="str">
        <f>HYPERLINK("http://dx.doi.org/10.1163/1568539X-00003243","http://dx.doi.org/10.1163/1568539X-00003243")</f>
        <v>http://dx.doi.org/10.1163/1568539X-00003243</v>
      </c>
      <c r="BG1114" s="2" t="s">
        <v>74</v>
      </c>
      <c r="BH1114" s="2" t="s">
        <v>74</v>
      </c>
      <c r="BI1114" s="2" t="s">
        <v>74</v>
      </c>
      <c r="BJ1114" s="2" t="s">
        <v>74</v>
      </c>
      <c r="BK1114" s="2" t="s">
        <v>74</v>
      </c>
      <c r="BL1114" s="2" t="s">
        <v>74</v>
      </c>
      <c r="BM1114" s="2" t="s">
        <v>74</v>
      </c>
      <c r="BN1114" s="2" t="s">
        <v>74</v>
      </c>
      <c r="BO1114" s="2" t="s">
        <v>74</v>
      </c>
      <c r="BP1114" s="2" t="s">
        <v>74</v>
      </c>
      <c r="BQ1114" s="2" t="s">
        <v>74</v>
      </c>
      <c r="BR1114" s="2" t="s">
        <v>74</v>
      </c>
      <c r="BS1114" s="2" t="s">
        <v>4739</v>
      </c>
      <c r="BT1114" s="2" t="str">
        <f>HYPERLINK("https%3A%2F%2Fwww.webofscience.com%2Fwos%2Fwoscc%2Ffull-record%2FWOS:000351364600001","View Full Record in Web of Science")</f>
        <v>View Full Record in Web of Science</v>
      </c>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row>
    <row r="1115" spans="1:314" s="2" customFormat="1" x14ac:dyDescent="0.4">
      <c r="A1115" s="2" t="s">
        <v>72</v>
      </c>
      <c r="B1115" s="2" t="s">
        <v>6864</v>
      </c>
      <c r="C1115" s="2" t="s">
        <v>74</v>
      </c>
      <c r="D1115" s="2" t="s">
        <v>74</v>
      </c>
      <c r="E1115" s="2" t="s">
        <v>74</v>
      </c>
      <c r="F1115" s="2" t="s">
        <v>6865</v>
      </c>
      <c r="G1115" s="2" t="s">
        <v>74</v>
      </c>
      <c r="H1115" s="2" t="s">
        <v>74</v>
      </c>
      <c r="I1115" s="2" t="s">
        <v>6866</v>
      </c>
      <c r="J1115" s="2" t="s">
        <v>6867</v>
      </c>
      <c r="K1115" s="2" t="s">
        <v>74</v>
      </c>
      <c r="L1115" s="2" t="s">
        <v>74</v>
      </c>
      <c r="M1115" s="2" t="s">
        <v>74</v>
      </c>
      <c r="N1115" s="2" t="s">
        <v>74</v>
      </c>
      <c r="O1115" s="2" t="s">
        <v>74</v>
      </c>
      <c r="P1115" s="2" t="s">
        <v>74</v>
      </c>
      <c r="Q1115" s="2" t="s">
        <v>74</v>
      </c>
      <c r="R1115" s="2" t="s">
        <v>74</v>
      </c>
      <c r="S1115" s="2" t="s">
        <v>74</v>
      </c>
      <c r="T1115" s="2" t="s">
        <v>74</v>
      </c>
      <c r="U1115" s="2" t="s">
        <v>74</v>
      </c>
      <c r="V1115" s="5" t="s">
        <v>6868</v>
      </c>
      <c r="W1115" s="2" t="s">
        <v>74</v>
      </c>
      <c r="X1115" s="2" t="s">
        <v>74</v>
      </c>
      <c r="Y1115" s="2" t="s">
        <v>74</v>
      </c>
      <c r="Z1115" s="2" t="s">
        <v>74</v>
      </c>
      <c r="AA1115" s="2" t="s">
        <v>6869</v>
      </c>
      <c r="AB1115" s="2" t="s">
        <v>6870</v>
      </c>
      <c r="AC1115" s="2" t="s">
        <v>74</v>
      </c>
      <c r="AD1115" s="2" t="s">
        <v>74</v>
      </c>
      <c r="AE1115" s="2" t="s">
        <v>74</v>
      </c>
      <c r="AF1115" s="2" t="s">
        <v>74</v>
      </c>
      <c r="AG1115" s="2" t="s">
        <v>74</v>
      </c>
      <c r="AH1115" s="2" t="s">
        <v>74</v>
      </c>
      <c r="AI1115" s="2" t="s">
        <v>74</v>
      </c>
      <c r="AJ1115" s="2" t="s">
        <v>74</v>
      </c>
      <c r="AK1115" s="2" t="s">
        <v>74</v>
      </c>
      <c r="AL1115" s="2" t="s">
        <v>74</v>
      </c>
      <c r="AM1115" s="2" t="s">
        <v>74</v>
      </c>
      <c r="AN1115" s="2" t="s">
        <v>74</v>
      </c>
      <c r="AO1115" s="2" t="s">
        <v>6871</v>
      </c>
      <c r="AP1115" s="2" t="s">
        <v>6872</v>
      </c>
      <c r="AQ1115" s="2" t="s">
        <v>74</v>
      </c>
      <c r="AR1115" s="2" t="s">
        <v>74</v>
      </c>
      <c r="AS1115" s="2" t="s">
        <v>74</v>
      </c>
      <c r="AT1115" s="2" t="s">
        <v>175</v>
      </c>
      <c r="AU1115" s="2">
        <v>2020</v>
      </c>
      <c r="AV1115" s="2">
        <v>53</v>
      </c>
      <c r="AW1115" s="2" t="s">
        <v>74</v>
      </c>
      <c r="AX1115" s="2" t="s">
        <v>74</v>
      </c>
      <c r="AY1115" s="2" t="s">
        <v>74</v>
      </c>
      <c r="AZ1115" s="2" t="s">
        <v>74</v>
      </c>
      <c r="BA1115" s="2" t="s">
        <v>74</v>
      </c>
      <c r="BB1115" s="2" t="s">
        <v>74</v>
      </c>
      <c r="BC1115" s="2" t="s">
        <v>74</v>
      </c>
      <c r="BD1115" s="2">
        <v>100753</v>
      </c>
      <c r="BE1115" s="2" t="s">
        <v>6873</v>
      </c>
      <c r="BF1115" s="2" t="str">
        <f>HYPERLINK("http://dx.doi.org/10.1016/j.margen.2020.100753","http://dx.doi.org/10.1016/j.margen.2020.100753")</f>
        <v>http://dx.doi.org/10.1016/j.margen.2020.100753</v>
      </c>
      <c r="BG1115" s="2" t="s">
        <v>74</v>
      </c>
      <c r="BH1115" s="2" t="s">
        <v>74</v>
      </c>
      <c r="BI1115" s="2" t="s">
        <v>74</v>
      </c>
      <c r="BJ1115" s="2" t="s">
        <v>74</v>
      </c>
      <c r="BK1115" s="2" t="s">
        <v>74</v>
      </c>
      <c r="BL1115" s="2" t="s">
        <v>74</v>
      </c>
      <c r="BM1115" s="2" t="s">
        <v>74</v>
      </c>
      <c r="BN1115" s="2">
        <v>32057717</v>
      </c>
      <c r="BO1115" s="2" t="s">
        <v>74</v>
      </c>
      <c r="BP1115" s="2" t="s">
        <v>74</v>
      </c>
      <c r="BQ1115" s="2" t="s">
        <v>74</v>
      </c>
      <c r="BR1115" s="2" t="s">
        <v>74</v>
      </c>
      <c r="BS1115" s="2" t="s">
        <v>6874</v>
      </c>
      <c r="BT1115" s="2" t="str">
        <f>HYPERLINK("https%3A%2F%2Fwww.webofscience.com%2Fwos%2Fwoscc%2Ffull-record%2FWOS:000567844300003","View Full Record in Web of Science")</f>
        <v>View Full Record in Web of Science</v>
      </c>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row>
    <row r="1116" spans="1:314" s="2" customFormat="1" x14ac:dyDescent="0.4">
      <c r="A1116" s="2" t="s">
        <v>72</v>
      </c>
      <c r="B1116" s="2" t="s">
        <v>800</v>
      </c>
      <c r="C1116" s="2" t="s">
        <v>74</v>
      </c>
      <c r="D1116" s="2" t="s">
        <v>74</v>
      </c>
      <c r="E1116" s="2" t="s">
        <v>74</v>
      </c>
      <c r="F1116" s="2" t="s">
        <v>801</v>
      </c>
      <c r="G1116" s="2" t="s">
        <v>74</v>
      </c>
      <c r="H1116" s="2" t="s">
        <v>74</v>
      </c>
      <c r="I1116" s="2" t="s">
        <v>802</v>
      </c>
      <c r="J1116" s="2" t="s">
        <v>803</v>
      </c>
      <c r="K1116" s="2" t="s">
        <v>74</v>
      </c>
      <c r="L1116" s="2" t="s">
        <v>74</v>
      </c>
      <c r="M1116" s="2" t="s">
        <v>74</v>
      </c>
      <c r="N1116" s="2" t="s">
        <v>74</v>
      </c>
      <c r="O1116" s="2" t="s">
        <v>74</v>
      </c>
      <c r="P1116" s="2" t="s">
        <v>74</v>
      </c>
      <c r="Q1116" s="2" t="s">
        <v>74</v>
      </c>
      <c r="R1116" s="2" t="s">
        <v>74</v>
      </c>
      <c r="S1116" s="2" t="s">
        <v>74</v>
      </c>
      <c r="T1116" s="2" t="s">
        <v>74</v>
      </c>
      <c r="U1116" s="2" t="s">
        <v>74</v>
      </c>
      <c r="V1116" s="5" t="s">
        <v>804</v>
      </c>
      <c r="W1116" s="2" t="s">
        <v>74</v>
      </c>
      <c r="X1116" s="2" t="s">
        <v>74</v>
      </c>
      <c r="Y1116" s="2" t="s">
        <v>74</v>
      </c>
      <c r="Z1116" s="2" t="s">
        <v>74</v>
      </c>
      <c r="AA1116" s="2" t="s">
        <v>805</v>
      </c>
      <c r="AB1116" s="2" t="s">
        <v>74</v>
      </c>
      <c r="AC1116" s="2" t="s">
        <v>74</v>
      </c>
      <c r="AD1116" s="2" t="s">
        <v>74</v>
      </c>
      <c r="AE1116" s="2" t="s">
        <v>74</v>
      </c>
      <c r="AF1116" s="2" t="s">
        <v>74</v>
      </c>
      <c r="AG1116" s="2" t="s">
        <v>74</v>
      </c>
      <c r="AH1116" s="2" t="s">
        <v>74</v>
      </c>
      <c r="AI1116" s="2" t="s">
        <v>74</v>
      </c>
      <c r="AJ1116" s="2" t="s">
        <v>74</v>
      </c>
      <c r="AK1116" s="2" t="s">
        <v>74</v>
      </c>
      <c r="AL1116" s="2" t="s">
        <v>74</v>
      </c>
      <c r="AM1116" s="2" t="s">
        <v>74</v>
      </c>
      <c r="AN1116" s="2" t="s">
        <v>74</v>
      </c>
      <c r="AO1116" s="2" t="s">
        <v>806</v>
      </c>
      <c r="AP1116" s="2" t="s">
        <v>807</v>
      </c>
      <c r="AQ1116" s="2" t="s">
        <v>74</v>
      </c>
      <c r="AR1116" s="2" t="s">
        <v>74</v>
      </c>
      <c r="AS1116" s="2" t="s">
        <v>74</v>
      </c>
      <c r="AT1116" s="2" t="s">
        <v>808</v>
      </c>
      <c r="AU1116" s="2">
        <v>2016</v>
      </c>
      <c r="AV1116" s="2">
        <v>13</v>
      </c>
      <c r="AW1116" s="2" t="s">
        <v>74</v>
      </c>
      <c r="AX1116" s="2" t="s">
        <v>74</v>
      </c>
      <c r="AY1116" s="2" t="s">
        <v>74</v>
      </c>
      <c r="AZ1116" s="2" t="s">
        <v>74</v>
      </c>
      <c r="BA1116" s="2" t="s">
        <v>74</v>
      </c>
      <c r="BB1116" s="2">
        <v>80</v>
      </c>
      <c r="BC1116" s="2">
        <v>87</v>
      </c>
      <c r="BD1116" s="2" t="s">
        <v>74</v>
      </c>
      <c r="BE1116" s="2" t="s">
        <v>809</v>
      </c>
      <c r="BF1116" s="2" t="str">
        <f>HYPERLINK("http://dx.doi.org/10.1016/j.jveb.2016.03.009","http://dx.doi.org/10.1016/j.jveb.2016.03.009")</f>
        <v>http://dx.doi.org/10.1016/j.jveb.2016.03.009</v>
      </c>
      <c r="BG1116" s="2" t="s">
        <v>74</v>
      </c>
      <c r="BH1116" s="2" t="s">
        <v>74</v>
      </c>
      <c r="BI1116" s="2" t="s">
        <v>74</v>
      </c>
      <c r="BJ1116" s="2" t="s">
        <v>74</v>
      </c>
      <c r="BK1116" s="2" t="s">
        <v>74</v>
      </c>
      <c r="BL1116" s="2" t="s">
        <v>74</v>
      </c>
      <c r="BM1116" s="2" t="s">
        <v>74</v>
      </c>
      <c r="BN1116" s="2" t="s">
        <v>74</v>
      </c>
      <c r="BO1116" s="2" t="s">
        <v>74</v>
      </c>
      <c r="BP1116" s="2" t="s">
        <v>74</v>
      </c>
      <c r="BQ1116" s="2" t="s">
        <v>74</v>
      </c>
      <c r="BR1116" s="2" t="s">
        <v>74</v>
      </c>
      <c r="BS1116" s="2" t="s">
        <v>810</v>
      </c>
      <c r="BT1116" s="2" t="str">
        <f>HYPERLINK("https%3A%2F%2Fwww.webofscience.com%2Fwos%2Fwoscc%2Ffull-record%2FWOS:000378094700013","View Full Record in Web of Science")</f>
        <v>View Full Record in Web of Science</v>
      </c>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row>
    <row r="1117" spans="1:314" s="2" customFormat="1" x14ac:dyDescent="0.4">
      <c r="A1117" s="2" t="s">
        <v>72</v>
      </c>
      <c r="B1117" s="2" t="s">
        <v>6187</v>
      </c>
      <c r="C1117" s="2" t="s">
        <v>74</v>
      </c>
      <c r="D1117" s="2" t="s">
        <v>74</v>
      </c>
      <c r="E1117" s="2" t="s">
        <v>74</v>
      </c>
      <c r="F1117" s="2" t="s">
        <v>6188</v>
      </c>
      <c r="G1117" s="2" t="s">
        <v>74</v>
      </c>
      <c r="H1117" s="2" t="s">
        <v>74</v>
      </c>
      <c r="I1117" s="2" t="s">
        <v>6189</v>
      </c>
      <c r="J1117" s="2" t="s">
        <v>6190</v>
      </c>
      <c r="K1117" s="2" t="s">
        <v>74</v>
      </c>
      <c r="L1117" s="2" t="s">
        <v>74</v>
      </c>
      <c r="M1117" s="2" t="s">
        <v>74</v>
      </c>
      <c r="N1117" s="2" t="s">
        <v>74</v>
      </c>
      <c r="O1117" s="2" t="s">
        <v>74</v>
      </c>
      <c r="P1117" s="2" t="s">
        <v>74</v>
      </c>
      <c r="Q1117" s="2" t="s">
        <v>74</v>
      </c>
      <c r="R1117" s="2" t="s">
        <v>74</v>
      </c>
      <c r="S1117" s="2" t="s">
        <v>74</v>
      </c>
      <c r="T1117" s="2" t="s">
        <v>74</v>
      </c>
      <c r="U1117" s="2" t="s">
        <v>74</v>
      </c>
      <c r="V1117" s="5" t="s">
        <v>6191</v>
      </c>
      <c r="W1117" s="2" t="s">
        <v>74</v>
      </c>
      <c r="X1117" s="2" t="s">
        <v>74</v>
      </c>
      <c r="Y1117" s="2" t="s">
        <v>74</v>
      </c>
      <c r="Z1117" s="2" t="s">
        <v>74</v>
      </c>
      <c r="AA1117" s="2" t="s">
        <v>6192</v>
      </c>
      <c r="AB1117" s="2" t="s">
        <v>6193</v>
      </c>
      <c r="AC1117" s="2" t="s">
        <v>74</v>
      </c>
      <c r="AD1117" s="2" t="s">
        <v>74</v>
      </c>
      <c r="AE1117" s="2" t="s">
        <v>74</v>
      </c>
      <c r="AF1117" s="2" t="s">
        <v>74</v>
      </c>
      <c r="AG1117" s="2" t="s">
        <v>74</v>
      </c>
      <c r="AH1117" s="2" t="s">
        <v>74</v>
      </c>
      <c r="AI1117" s="2" t="s">
        <v>74</v>
      </c>
      <c r="AJ1117" s="2" t="s">
        <v>74</v>
      </c>
      <c r="AK1117" s="2" t="s">
        <v>74</v>
      </c>
      <c r="AL1117" s="2" t="s">
        <v>74</v>
      </c>
      <c r="AM1117" s="2" t="s">
        <v>74</v>
      </c>
      <c r="AN1117" s="2" t="s">
        <v>74</v>
      </c>
      <c r="AO1117" s="2" t="s">
        <v>6194</v>
      </c>
      <c r="AP1117" s="2" t="s">
        <v>6195</v>
      </c>
      <c r="AQ1117" s="2" t="s">
        <v>74</v>
      </c>
      <c r="AR1117" s="2" t="s">
        <v>74</v>
      </c>
      <c r="AS1117" s="2" t="s">
        <v>74</v>
      </c>
      <c r="AT1117" s="2" t="s">
        <v>134</v>
      </c>
      <c r="AU1117" s="2">
        <v>2022</v>
      </c>
      <c r="AV1117" s="2">
        <v>61</v>
      </c>
      <c r="AW1117" s="2">
        <v>2</v>
      </c>
      <c r="AX1117" s="2" t="s">
        <v>74</v>
      </c>
      <c r="AY1117" s="2" t="s">
        <v>74</v>
      </c>
      <c r="AZ1117" s="2" t="s">
        <v>74</v>
      </c>
      <c r="BA1117" s="2" t="s">
        <v>74</v>
      </c>
      <c r="BB1117" s="2">
        <v>137</v>
      </c>
      <c r="BC1117" s="2">
        <v>155</v>
      </c>
      <c r="BD1117" s="2" t="s">
        <v>74</v>
      </c>
      <c r="BE1117" s="2" t="s">
        <v>6196</v>
      </c>
      <c r="BF1117" s="2" t="str">
        <f>HYPERLINK("http://dx.doi.org/10.1111/aen.12596","http://dx.doi.org/10.1111/aen.12596")</f>
        <v>http://dx.doi.org/10.1111/aen.12596</v>
      </c>
      <c r="BG1117" s="2" t="s">
        <v>74</v>
      </c>
      <c r="BH1117" s="2" t="s">
        <v>74</v>
      </c>
      <c r="BI1117" s="2" t="s">
        <v>74</v>
      </c>
      <c r="BJ1117" s="2" t="s">
        <v>74</v>
      </c>
      <c r="BK1117" s="2" t="s">
        <v>74</v>
      </c>
      <c r="BL1117" s="2" t="s">
        <v>74</v>
      </c>
      <c r="BM1117" s="2" t="s">
        <v>74</v>
      </c>
      <c r="BN1117" s="2" t="s">
        <v>74</v>
      </c>
      <c r="BO1117" s="2" t="s">
        <v>74</v>
      </c>
      <c r="BP1117" s="2" t="s">
        <v>74</v>
      </c>
      <c r="BQ1117" s="2" t="s">
        <v>74</v>
      </c>
      <c r="BR1117" s="2" t="s">
        <v>74</v>
      </c>
      <c r="BS1117" s="2" t="s">
        <v>6197</v>
      </c>
      <c r="BT1117" s="2" t="str">
        <f>HYPERLINK("https%3A%2F%2Fwww.webofscience.com%2Fwos%2Fwoscc%2Ffull-record%2FWOS:000805597200003","View Full Record in Web of Science")</f>
        <v>View Full Record in Web of Science</v>
      </c>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row>
    <row r="1118" spans="1:314" s="2" customFormat="1" x14ac:dyDescent="0.4">
      <c r="A1118" s="2" t="s">
        <v>72</v>
      </c>
      <c r="B1118" s="2" t="s">
        <v>8021</v>
      </c>
      <c r="C1118" s="2" t="s">
        <v>74</v>
      </c>
      <c r="D1118" s="2" t="s">
        <v>74</v>
      </c>
      <c r="E1118" s="2" t="s">
        <v>74</v>
      </c>
      <c r="F1118" s="2" t="s">
        <v>8022</v>
      </c>
      <c r="G1118" s="2" t="s">
        <v>74</v>
      </c>
      <c r="H1118" s="2" t="s">
        <v>74</v>
      </c>
      <c r="I1118" s="2" t="s">
        <v>8023</v>
      </c>
      <c r="J1118" s="2" t="s">
        <v>1656</v>
      </c>
      <c r="K1118" s="2" t="s">
        <v>74</v>
      </c>
      <c r="L1118" s="2" t="s">
        <v>74</v>
      </c>
      <c r="M1118" s="2" t="s">
        <v>74</v>
      </c>
      <c r="N1118" s="2" t="s">
        <v>74</v>
      </c>
      <c r="O1118" s="2" t="s">
        <v>74</v>
      </c>
      <c r="P1118" s="2" t="s">
        <v>74</v>
      </c>
      <c r="Q1118" s="2" t="s">
        <v>74</v>
      </c>
      <c r="R1118" s="2" t="s">
        <v>74</v>
      </c>
      <c r="S1118" s="2" t="s">
        <v>74</v>
      </c>
      <c r="T1118" s="2" t="s">
        <v>74</v>
      </c>
      <c r="U1118" s="2" t="s">
        <v>74</v>
      </c>
      <c r="V1118" s="5" t="s">
        <v>8024</v>
      </c>
      <c r="W1118" s="2" t="s">
        <v>74</v>
      </c>
      <c r="X1118" s="2" t="s">
        <v>74</v>
      </c>
      <c r="Y1118" s="2" t="s">
        <v>74</v>
      </c>
      <c r="Z1118" s="2" t="s">
        <v>74</v>
      </c>
      <c r="AA1118" s="2" t="s">
        <v>8025</v>
      </c>
      <c r="AB1118" s="2" t="s">
        <v>8026</v>
      </c>
      <c r="AC1118" s="2" t="s">
        <v>74</v>
      </c>
      <c r="AD1118" s="2" t="s">
        <v>74</v>
      </c>
      <c r="AE1118" s="2" t="s">
        <v>74</v>
      </c>
      <c r="AF1118" s="2" t="s">
        <v>74</v>
      </c>
      <c r="AG1118" s="2" t="s">
        <v>74</v>
      </c>
      <c r="AH1118" s="2" t="s">
        <v>74</v>
      </c>
      <c r="AI1118" s="2" t="s">
        <v>74</v>
      </c>
      <c r="AJ1118" s="2" t="s">
        <v>74</v>
      </c>
      <c r="AK1118" s="2" t="s">
        <v>74</v>
      </c>
      <c r="AL1118" s="2" t="s">
        <v>74</v>
      </c>
      <c r="AM1118" s="2" t="s">
        <v>74</v>
      </c>
      <c r="AN1118" s="2" t="s">
        <v>74</v>
      </c>
      <c r="AO1118" s="2" t="s">
        <v>1658</v>
      </c>
      <c r="AP1118" s="2" t="s">
        <v>1659</v>
      </c>
      <c r="AQ1118" s="2" t="s">
        <v>74</v>
      </c>
      <c r="AR1118" s="2" t="s">
        <v>74</v>
      </c>
      <c r="AS1118" s="2" t="s">
        <v>74</v>
      </c>
      <c r="AT1118" s="2" t="s">
        <v>5887</v>
      </c>
      <c r="AU1118" s="2">
        <v>2019</v>
      </c>
      <c r="AV1118" s="2">
        <v>4625</v>
      </c>
      <c r="AW1118" s="2">
        <v>1</v>
      </c>
      <c r="AX1118" s="2" t="s">
        <v>74</v>
      </c>
      <c r="AY1118" s="2" t="s">
        <v>74</v>
      </c>
      <c r="AZ1118" s="2" t="s">
        <v>74</v>
      </c>
      <c r="BA1118" s="2" t="s">
        <v>74</v>
      </c>
      <c r="BB1118" s="2">
        <v>1</v>
      </c>
      <c r="BC1118" s="2">
        <v>68</v>
      </c>
      <c r="BD1118" s="2" t="s">
        <v>74</v>
      </c>
      <c r="BE1118" s="2" t="s">
        <v>8027</v>
      </c>
      <c r="BF1118" s="2" t="str">
        <f>HYPERLINK("http://dx.doi.org/10.11646/zootaxa.4625.1.1","http://dx.doi.org/10.11646/zootaxa.4625.1.1")</f>
        <v>http://dx.doi.org/10.11646/zootaxa.4625.1.1</v>
      </c>
      <c r="BG1118" s="2" t="s">
        <v>74</v>
      </c>
      <c r="BH1118" s="2" t="s">
        <v>74</v>
      </c>
      <c r="BI1118" s="2" t="s">
        <v>74</v>
      </c>
      <c r="BJ1118" s="2" t="s">
        <v>74</v>
      </c>
      <c r="BK1118" s="2" t="s">
        <v>74</v>
      </c>
      <c r="BL1118" s="2" t="s">
        <v>74</v>
      </c>
      <c r="BM1118" s="2" t="s">
        <v>74</v>
      </c>
      <c r="BN1118" s="2">
        <v>31712545</v>
      </c>
      <c r="BO1118" s="2" t="s">
        <v>74</v>
      </c>
      <c r="BP1118" s="2" t="s">
        <v>74</v>
      </c>
      <c r="BQ1118" s="2" t="s">
        <v>74</v>
      </c>
      <c r="BR1118" s="2" t="s">
        <v>74</v>
      </c>
      <c r="BS1118" s="2" t="s">
        <v>8028</v>
      </c>
      <c r="BT1118" s="2" t="str">
        <f>HYPERLINK("https%3A%2F%2Fwww.webofscience.com%2Fwos%2Fwoscc%2Ffull-record%2FWOS:000473734300001","View Full Record in Web of Science")</f>
        <v>View Full Record in Web of Science</v>
      </c>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row>
    <row r="1119" spans="1:314" s="2" customFormat="1" x14ac:dyDescent="0.4">
      <c r="A1119" s="2" t="s">
        <v>72</v>
      </c>
      <c r="B1119" s="2" t="s">
        <v>4915</v>
      </c>
      <c r="C1119" s="2" t="s">
        <v>74</v>
      </c>
      <c r="D1119" s="2" t="s">
        <v>74</v>
      </c>
      <c r="E1119" s="2" t="s">
        <v>74</v>
      </c>
      <c r="F1119" s="2" t="s">
        <v>4916</v>
      </c>
      <c r="G1119" s="2" t="s">
        <v>74</v>
      </c>
      <c r="H1119" s="2" t="s">
        <v>74</v>
      </c>
      <c r="I1119" s="2" t="s">
        <v>4917</v>
      </c>
      <c r="J1119" s="2" t="s">
        <v>3374</v>
      </c>
      <c r="K1119" s="2" t="s">
        <v>74</v>
      </c>
      <c r="L1119" s="2" t="s">
        <v>74</v>
      </c>
      <c r="M1119" s="2" t="s">
        <v>74</v>
      </c>
      <c r="N1119" s="2" t="s">
        <v>74</v>
      </c>
      <c r="O1119" s="2" t="s">
        <v>74</v>
      </c>
      <c r="P1119" s="2" t="s">
        <v>74</v>
      </c>
      <c r="Q1119" s="2" t="s">
        <v>74</v>
      </c>
      <c r="R1119" s="2" t="s">
        <v>74</v>
      </c>
      <c r="S1119" s="2" t="s">
        <v>74</v>
      </c>
      <c r="T1119" s="2" t="s">
        <v>74</v>
      </c>
      <c r="U1119" s="2" t="s">
        <v>74</v>
      </c>
      <c r="V1119" s="5" t="s">
        <v>4918</v>
      </c>
      <c r="W1119" s="2" t="s">
        <v>74</v>
      </c>
      <c r="X1119" s="2" t="s">
        <v>74</v>
      </c>
      <c r="Y1119" s="2" t="s">
        <v>74</v>
      </c>
      <c r="Z1119" s="2" t="s">
        <v>74</v>
      </c>
      <c r="AA1119" s="2" t="s">
        <v>4919</v>
      </c>
      <c r="AB1119" s="2" t="s">
        <v>4920</v>
      </c>
      <c r="AC1119" s="2" t="s">
        <v>74</v>
      </c>
      <c r="AD1119" s="2" t="s">
        <v>74</v>
      </c>
      <c r="AE1119" s="2" t="s">
        <v>74</v>
      </c>
      <c r="AF1119" s="2" t="s">
        <v>74</v>
      </c>
      <c r="AG1119" s="2" t="s">
        <v>74</v>
      </c>
      <c r="AH1119" s="2" t="s">
        <v>74</v>
      </c>
      <c r="AI1119" s="2" t="s">
        <v>74</v>
      </c>
      <c r="AJ1119" s="2" t="s">
        <v>74</v>
      </c>
      <c r="AK1119" s="2" t="s">
        <v>74</v>
      </c>
      <c r="AL1119" s="2" t="s">
        <v>74</v>
      </c>
      <c r="AM1119" s="2" t="s">
        <v>74</v>
      </c>
      <c r="AN1119" s="2" t="s">
        <v>74</v>
      </c>
      <c r="AO1119" s="2" t="s">
        <v>3378</v>
      </c>
      <c r="AP1119" s="2" t="s">
        <v>3379</v>
      </c>
      <c r="AQ1119" s="2" t="s">
        <v>74</v>
      </c>
      <c r="AR1119" s="2" t="s">
        <v>74</v>
      </c>
      <c r="AS1119" s="2" t="s">
        <v>74</v>
      </c>
      <c r="AT1119" s="2" t="s">
        <v>123</v>
      </c>
      <c r="AU1119" s="2">
        <v>2013</v>
      </c>
      <c r="AV1119" s="2">
        <v>44</v>
      </c>
      <c r="AW1119" s="2">
        <v>2</v>
      </c>
      <c r="AX1119" s="2" t="s">
        <v>74</v>
      </c>
      <c r="AY1119" s="2" t="s">
        <v>74</v>
      </c>
      <c r="AZ1119" s="2" t="s">
        <v>74</v>
      </c>
      <c r="BA1119" s="2" t="s">
        <v>74</v>
      </c>
      <c r="BB1119" s="2">
        <v>121</v>
      </c>
      <c r="BC1119" s="2">
        <v>132</v>
      </c>
      <c r="BD1119" s="2" t="s">
        <v>74</v>
      </c>
      <c r="BE1119" s="2" t="s">
        <v>4921</v>
      </c>
      <c r="BF1119" s="2" t="str">
        <f>HYPERLINK("http://dx.doi.org/10.1007/s13592-012-0161-x","http://dx.doi.org/10.1007/s13592-012-0161-x")</f>
        <v>http://dx.doi.org/10.1007/s13592-012-0161-x</v>
      </c>
      <c r="BG1119" s="2" t="s">
        <v>74</v>
      </c>
      <c r="BH1119" s="2" t="s">
        <v>74</v>
      </c>
      <c r="BI1119" s="2" t="s">
        <v>74</v>
      </c>
      <c r="BJ1119" s="2" t="s">
        <v>74</v>
      </c>
      <c r="BK1119" s="2" t="s">
        <v>74</v>
      </c>
      <c r="BL1119" s="2" t="s">
        <v>74</v>
      </c>
      <c r="BM1119" s="2" t="s">
        <v>74</v>
      </c>
      <c r="BN1119" s="2" t="s">
        <v>74</v>
      </c>
      <c r="BO1119" s="2" t="s">
        <v>74</v>
      </c>
      <c r="BP1119" s="2" t="s">
        <v>74</v>
      </c>
      <c r="BQ1119" s="2" t="s">
        <v>74</v>
      </c>
      <c r="BR1119" s="2" t="s">
        <v>74</v>
      </c>
      <c r="BS1119" s="2" t="s">
        <v>4922</v>
      </c>
      <c r="BT1119" s="2" t="str">
        <f>HYPERLINK("https%3A%2F%2Fwww.webofscience.com%2Fwos%2Fwoscc%2Ffull-record%2FWOS:000314882300001","View Full Record in Web of Science")</f>
        <v>View Full Record in Web of Science</v>
      </c>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row>
    <row r="1120" spans="1:314" s="2" customFormat="1" x14ac:dyDescent="0.4">
      <c r="A1120" s="2" t="s">
        <v>72</v>
      </c>
      <c r="B1120" s="2" t="s">
        <v>4519</v>
      </c>
      <c r="C1120" s="2" t="s">
        <v>74</v>
      </c>
      <c r="D1120" s="2" t="s">
        <v>74</v>
      </c>
      <c r="E1120" s="2" t="s">
        <v>74</v>
      </c>
      <c r="F1120" s="2" t="s">
        <v>4520</v>
      </c>
      <c r="G1120" s="2" t="s">
        <v>74</v>
      </c>
      <c r="H1120" s="2" t="s">
        <v>74</v>
      </c>
      <c r="I1120" s="2" t="s">
        <v>4521</v>
      </c>
      <c r="J1120" s="2" t="s">
        <v>4522</v>
      </c>
      <c r="K1120" s="2" t="s">
        <v>74</v>
      </c>
      <c r="L1120" s="2" t="s">
        <v>74</v>
      </c>
      <c r="M1120" s="2" t="s">
        <v>74</v>
      </c>
      <c r="N1120" s="2" t="s">
        <v>74</v>
      </c>
      <c r="O1120" s="2" t="s">
        <v>74</v>
      </c>
      <c r="P1120" s="2" t="s">
        <v>74</v>
      </c>
      <c r="Q1120" s="2" t="s">
        <v>74</v>
      </c>
      <c r="R1120" s="2" t="s">
        <v>74</v>
      </c>
      <c r="S1120" s="2" t="s">
        <v>74</v>
      </c>
      <c r="T1120" s="2" t="s">
        <v>74</v>
      </c>
      <c r="U1120" s="2" t="s">
        <v>74</v>
      </c>
      <c r="V1120" s="5" t="s">
        <v>4523</v>
      </c>
      <c r="W1120" s="2" t="s">
        <v>74</v>
      </c>
      <c r="X1120" s="2" t="s">
        <v>74</v>
      </c>
      <c r="Y1120" s="2" t="s">
        <v>74</v>
      </c>
      <c r="Z1120" s="2" t="s">
        <v>74</v>
      </c>
      <c r="AA1120" s="2" t="s">
        <v>4524</v>
      </c>
      <c r="AB1120" s="2" t="s">
        <v>4525</v>
      </c>
      <c r="AC1120" s="2" t="s">
        <v>74</v>
      </c>
      <c r="AD1120" s="2" t="s">
        <v>74</v>
      </c>
      <c r="AE1120" s="2" t="s">
        <v>74</v>
      </c>
      <c r="AF1120" s="2" t="s">
        <v>74</v>
      </c>
      <c r="AG1120" s="2" t="s">
        <v>74</v>
      </c>
      <c r="AH1120" s="2" t="s">
        <v>74</v>
      </c>
      <c r="AI1120" s="2" t="s">
        <v>74</v>
      </c>
      <c r="AJ1120" s="2" t="s">
        <v>74</v>
      </c>
      <c r="AK1120" s="2" t="s">
        <v>74</v>
      </c>
      <c r="AL1120" s="2" t="s">
        <v>74</v>
      </c>
      <c r="AM1120" s="2" t="s">
        <v>74</v>
      </c>
      <c r="AN1120" s="2" t="s">
        <v>74</v>
      </c>
      <c r="AO1120" s="2" t="s">
        <v>4526</v>
      </c>
      <c r="AP1120" s="2" t="s">
        <v>4527</v>
      </c>
      <c r="AQ1120" s="2" t="s">
        <v>74</v>
      </c>
      <c r="AR1120" s="2" t="s">
        <v>74</v>
      </c>
      <c r="AS1120" s="2" t="s">
        <v>74</v>
      </c>
      <c r="AT1120" s="2" t="s">
        <v>4528</v>
      </c>
      <c r="AU1120" s="2">
        <v>2022</v>
      </c>
      <c r="AV1120" s="2">
        <v>56</v>
      </c>
      <c r="AW1120" s="2" t="s">
        <v>4529</v>
      </c>
      <c r="AX1120" s="2" t="s">
        <v>74</v>
      </c>
      <c r="AY1120" s="2" t="s">
        <v>74</v>
      </c>
      <c r="AZ1120" s="2" t="s">
        <v>74</v>
      </c>
      <c r="BA1120" s="2" t="s">
        <v>74</v>
      </c>
      <c r="BB1120" s="2">
        <v>435</v>
      </c>
      <c r="BC1120" s="2">
        <v>447</v>
      </c>
      <c r="BD1120" s="2" t="s">
        <v>74</v>
      </c>
      <c r="BE1120" s="2" t="s">
        <v>4530</v>
      </c>
      <c r="BF1120" s="2" t="str">
        <f>HYPERLINK("http://dx.doi.org/10.1080/00222933.2022.2052991","http://dx.doi.org/10.1080/00222933.2022.2052991")</f>
        <v>http://dx.doi.org/10.1080/00222933.2022.2052991</v>
      </c>
      <c r="BG1120" s="2" t="s">
        <v>74</v>
      </c>
      <c r="BH1120" s="2" t="s">
        <v>74</v>
      </c>
      <c r="BI1120" s="2" t="s">
        <v>74</v>
      </c>
      <c r="BJ1120" s="2" t="s">
        <v>74</v>
      </c>
      <c r="BK1120" s="2" t="s">
        <v>74</v>
      </c>
      <c r="BL1120" s="2" t="s">
        <v>74</v>
      </c>
      <c r="BM1120" s="2" t="s">
        <v>74</v>
      </c>
      <c r="BN1120" s="2" t="s">
        <v>74</v>
      </c>
      <c r="BO1120" s="2" t="s">
        <v>74</v>
      </c>
      <c r="BP1120" s="2" t="s">
        <v>74</v>
      </c>
      <c r="BQ1120" s="2" t="s">
        <v>74</v>
      </c>
      <c r="BR1120" s="2" t="s">
        <v>74</v>
      </c>
      <c r="BS1120" s="2" t="s">
        <v>4531</v>
      </c>
      <c r="BT1120" s="2" t="str">
        <f>HYPERLINK("https%3A%2F%2Fwww.webofscience.com%2Fwos%2Fwoscc%2Ffull-record%2FWOS:000819303900001","View Full Record in Web of Science")</f>
        <v>View Full Record in Web of Science</v>
      </c>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row>
    <row r="1121" spans="1:314" s="2" customFormat="1" x14ac:dyDescent="0.4">
      <c r="A1121" s="2" t="s">
        <v>72</v>
      </c>
      <c r="B1121" s="2" t="s">
        <v>3505</v>
      </c>
      <c r="C1121" s="2" t="s">
        <v>74</v>
      </c>
      <c r="D1121" s="2" t="s">
        <v>74</v>
      </c>
      <c r="E1121" s="2" t="s">
        <v>74</v>
      </c>
      <c r="F1121" s="2" t="s">
        <v>3506</v>
      </c>
      <c r="G1121" s="2" t="s">
        <v>74</v>
      </c>
      <c r="H1121" s="2" t="s">
        <v>74</v>
      </c>
      <c r="I1121" s="2" t="s">
        <v>3507</v>
      </c>
      <c r="J1121" s="2" t="s">
        <v>333</v>
      </c>
      <c r="K1121" s="2" t="s">
        <v>74</v>
      </c>
      <c r="L1121" s="2" t="s">
        <v>74</v>
      </c>
      <c r="M1121" s="2" t="s">
        <v>74</v>
      </c>
      <c r="N1121" s="2" t="s">
        <v>74</v>
      </c>
      <c r="O1121" s="2" t="s">
        <v>74</v>
      </c>
      <c r="P1121" s="2" t="s">
        <v>74</v>
      </c>
      <c r="Q1121" s="2" t="s">
        <v>74</v>
      </c>
      <c r="R1121" s="2" t="s">
        <v>74</v>
      </c>
      <c r="S1121" s="2" t="s">
        <v>74</v>
      </c>
      <c r="T1121" s="2" t="s">
        <v>74</v>
      </c>
      <c r="U1121" s="2" t="s">
        <v>74</v>
      </c>
      <c r="V1121" s="5" t="s">
        <v>3508</v>
      </c>
      <c r="W1121" s="2" t="s">
        <v>74</v>
      </c>
      <c r="X1121" s="2" t="s">
        <v>74</v>
      </c>
      <c r="Y1121" s="2" t="s">
        <v>74</v>
      </c>
      <c r="Z1121" s="2" t="s">
        <v>74</v>
      </c>
      <c r="AA1121" s="2" t="s">
        <v>379</v>
      </c>
      <c r="AB1121" s="2" t="s">
        <v>74</v>
      </c>
      <c r="AC1121" s="2" t="s">
        <v>74</v>
      </c>
      <c r="AD1121" s="2" t="s">
        <v>74</v>
      </c>
      <c r="AE1121" s="2" t="s">
        <v>74</v>
      </c>
      <c r="AF1121" s="2" t="s">
        <v>74</v>
      </c>
      <c r="AG1121" s="2" t="s">
        <v>74</v>
      </c>
      <c r="AH1121" s="2" t="s">
        <v>74</v>
      </c>
      <c r="AI1121" s="2" t="s">
        <v>74</v>
      </c>
      <c r="AJ1121" s="2" t="s">
        <v>74</v>
      </c>
      <c r="AK1121" s="2" t="s">
        <v>74</v>
      </c>
      <c r="AL1121" s="2" t="s">
        <v>74</v>
      </c>
      <c r="AM1121" s="2" t="s">
        <v>74</v>
      </c>
      <c r="AN1121" s="2" t="s">
        <v>74</v>
      </c>
      <c r="AO1121" s="2" t="s">
        <v>337</v>
      </c>
      <c r="AP1121" s="2" t="s">
        <v>338</v>
      </c>
      <c r="AQ1121" s="2" t="s">
        <v>74</v>
      </c>
      <c r="AR1121" s="2" t="s">
        <v>74</v>
      </c>
      <c r="AS1121" s="2" t="s">
        <v>74</v>
      </c>
      <c r="AT1121" s="2" t="s">
        <v>1075</v>
      </c>
      <c r="AU1121" s="2">
        <v>2013</v>
      </c>
      <c r="AV1121" s="2">
        <v>24</v>
      </c>
      <c r="AW1121" s="2">
        <v>6</v>
      </c>
      <c r="AX1121" s="2" t="s">
        <v>74</v>
      </c>
      <c r="AY1121" s="2" t="s">
        <v>74</v>
      </c>
      <c r="AZ1121" s="2" t="s">
        <v>74</v>
      </c>
      <c r="BA1121" s="2" t="s">
        <v>74</v>
      </c>
      <c r="BB1121" s="2">
        <v>1407</v>
      </c>
      <c r="BC1121" s="2">
        <v>1414</v>
      </c>
      <c r="BD1121" s="2" t="s">
        <v>74</v>
      </c>
      <c r="BE1121" s="2" t="s">
        <v>3509</v>
      </c>
      <c r="BF1121" s="2" t="str">
        <f>HYPERLINK("http://dx.doi.org/10.1093/beheco/art080","http://dx.doi.org/10.1093/beheco/art080")</f>
        <v>http://dx.doi.org/10.1093/beheco/art080</v>
      </c>
      <c r="BG1121" s="2" t="s">
        <v>74</v>
      </c>
      <c r="BH1121" s="2" t="s">
        <v>74</v>
      </c>
      <c r="BI1121" s="2" t="s">
        <v>74</v>
      </c>
      <c r="BJ1121" s="2" t="s">
        <v>74</v>
      </c>
      <c r="BK1121" s="2" t="s">
        <v>74</v>
      </c>
      <c r="BL1121" s="2" t="s">
        <v>74</v>
      </c>
      <c r="BM1121" s="2" t="s">
        <v>74</v>
      </c>
      <c r="BN1121" s="2" t="s">
        <v>74</v>
      </c>
      <c r="BO1121" s="2" t="s">
        <v>74</v>
      </c>
      <c r="BP1121" s="2" t="s">
        <v>74</v>
      </c>
      <c r="BQ1121" s="2" t="s">
        <v>74</v>
      </c>
      <c r="BR1121" s="2" t="s">
        <v>74</v>
      </c>
      <c r="BS1121" s="2" t="s">
        <v>3510</v>
      </c>
      <c r="BT1121" s="2" t="str">
        <f>HYPERLINK("https%3A%2F%2Fwww.webofscience.com%2Fwos%2Fwoscc%2Ffull-record%2FWOS:000325995900018","View Full Record in Web of Science")</f>
        <v>View Full Record in Web of Science</v>
      </c>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row>
    <row r="1122" spans="1:314" s="2" customFormat="1" x14ac:dyDescent="0.4">
      <c r="A1122" s="2" t="s">
        <v>72</v>
      </c>
      <c r="B1122" s="2" t="s">
        <v>375</v>
      </c>
      <c r="C1122" s="2" t="s">
        <v>74</v>
      </c>
      <c r="D1122" s="2" t="s">
        <v>74</v>
      </c>
      <c r="E1122" s="2" t="s">
        <v>74</v>
      </c>
      <c r="F1122" s="2" t="s">
        <v>376</v>
      </c>
      <c r="G1122" s="2" t="s">
        <v>74</v>
      </c>
      <c r="H1122" s="2" t="s">
        <v>74</v>
      </c>
      <c r="I1122" s="2" t="s">
        <v>377</v>
      </c>
      <c r="J1122" s="2" t="s">
        <v>140</v>
      </c>
      <c r="K1122" s="2" t="s">
        <v>74</v>
      </c>
      <c r="L1122" s="2" t="s">
        <v>74</v>
      </c>
      <c r="M1122" s="2" t="s">
        <v>74</v>
      </c>
      <c r="N1122" s="2" t="s">
        <v>74</v>
      </c>
      <c r="O1122" s="2" t="s">
        <v>74</v>
      </c>
      <c r="P1122" s="2" t="s">
        <v>74</v>
      </c>
      <c r="Q1122" s="2" t="s">
        <v>74</v>
      </c>
      <c r="R1122" s="2" t="s">
        <v>74</v>
      </c>
      <c r="S1122" s="2" t="s">
        <v>74</v>
      </c>
      <c r="T1122" s="2" t="s">
        <v>74</v>
      </c>
      <c r="U1122" s="2" t="s">
        <v>74</v>
      </c>
      <c r="V1122" s="5" t="s">
        <v>378</v>
      </c>
      <c r="W1122" s="2" t="s">
        <v>74</v>
      </c>
      <c r="X1122" s="2" t="s">
        <v>74</v>
      </c>
      <c r="Y1122" s="2" t="s">
        <v>74</v>
      </c>
      <c r="Z1122" s="2" t="s">
        <v>74</v>
      </c>
      <c r="AA1122" s="2" t="s">
        <v>379</v>
      </c>
      <c r="AB1122" s="2" t="s">
        <v>74</v>
      </c>
      <c r="AC1122" s="2" t="s">
        <v>74</v>
      </c>
      <c r="AD1122" s="2" t="s">
        <v>74</v>
      </c>
      <c r="AE1122" s="2" t="s">
        <v>74</v>
      </c>
      <c r="AF1122" s="2" t="s">
        <v>74</v>
      </c>
      <c r="AG1122" s="2" t="s">
        <v>74</v>
      </c>
      <c r="AH1122" s="2" t="s">
        <v>74</v>
      </c>
      <c r="AI1122" s="2" t="s">
        <v>74</v>
      </c>
      <c r="AJ1122" s="2" t="s">
        <v>74</v>
      </c>
      <c r="AK1122" s="2" t="s">
        <v>74</v>
      </c>
      <c r="AL1122" s="2" t="s">
        <v>74</v>
      </c>
      <c r="AM1122" s="2" t="s">
        <v>74</v>
      </c>
      <c r="AN1122" s="2" t="s">
        <v>74</v>
      </c>
      <c r="AO1122" s="2" t="s">
        <v>143</v>
      </c>
      <c r="AP1122" s="2" t="s">
        <v>144</v>
      </c>
      <c r="AQ1122" s="2" t="s">
        <v>74</v>
      </c>
      <c r="AR1122" s="2" t="s">
        <v>74</v>
      </c>
      <c r="AS1122" s="2" t="s">
        <v>74</v>
      </c>
      <c r="AT1122" s="2" t="s">
        <v>102</v>
      </c>
      <c r="AU1122" s="2">
        <v>2013</v>
      </c>
      <c r="AV1122" s="2">
        <v>85</v>
      </c>
      <c r="AW1122" s="2">
        <v>6</v>
      </c>
      <c r="AX1122" s="2" t="s">
        <v>74</v>
      </c>
      <c r="AY1122" s="2" t="s">
        <v>74</v>
      </c>
      <c r="AZ1122" s="2" t="s">
        <v>74</v>
      </c>
      <c r="BA1122" s="2" t="s">
        <v>74</v>
      </c>
      <c r="BB1122" s="2">
        <v>1251</v>
      </c>
      <c r="BC1122" s="2">
        <v>1259</v>
      </c>
      <c r="BD1122" s="2" t="s">
        <v>74</v>
      </c>
      <c r="BE1122" s="2" t="s">
        <v>380</v>
      </c>
      <c r="BF1122" s="2" t="str">
        <f>HYPERLINK("http://dx.doi.org/10.1016/j.anbehav.2013.03.012","http://dx.doi.org/10.1016/j.anbehav.2013.03.012")</f>
        <v>http://dx.doi.org/10.1016/j.anbehav.2013.03.012</v>
      </c>
      <c r="BG1122" s="2" t="s">
        <v>74</v>
      </c>
      <c r="BH1122" s="2" t="s">
        <v>74</v>
      </c>
      <c r="BI1122" s="2" t="s">
        <v>74</v>
      </c>
      <c r="BJ1122" s="2" t="s">
        <v>74</v>
      </c>
      <c r="BK1122" s="2" t="s">
        <v>74</v>
      </c>
      <c r="BL1122" s="2" t="s">
        <v>74</v>
      </c>
      <c r="BM1122" s="2" t="s">
        <v>74</v>
      </c>
      <c r="BN1122" s="2" t="s">
        <v>74</v>
      </c>
      <c r="BO1122" s="2" t="s">
        <v>74</v>
      </c>
      <c r="BP1122" s="2" t="s">
        <v>74</v>
      </c>
      <c r="BQ1122" s="2" t="s">
        <v>74</v>
      </c>
      <c r="BR1122" s="2" t="s">
        <v>74</v>
      </c>
      <c r="BS1122" s="2" t="s">
        <v>381</v>
      </c>
      <c r="BT1122" s="2" t="str">
        <f>HYPERLINK("https%3A%2F%2Fwww.webofscience.com%2Fwos%2Fwoscc%2Ffull-record%2FWOS:000320651200015","View Full Record in Web of Science")</f>
        <v>View Full Record in Web of Science</v>
      </c>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row>
    <row r="1123" spans="1:314" s="2" customFormat="1" x14ac:dyDescent="0.4">
      <c r="A1123" s="2" t="s">
        <v>72</v>
      </c>
      <c r="B1123" s="2" t="s">
        <v>375</v>
      </c>
      <c r="C1123" s="2" t="s">
        <v>74</v>
      </c>
      <c r="D1123" s="2" t="s">
        <v>74</v>
      </c>
      <c r="E1123" s="2" t="s">
        <v>74</v>
      </c>
      <c r="F1123" s="2" t="s">
        <v>376</v>
      </c>
      <c r="G1123" s="2" t="s">
        <v>74</v>
      </c>
      <c r="H1123" s="2" t="s">
        <v>74</v>
      </c>
      <c r="I1123" s="2" t="s">
        <v>2371</v>
      </c>
      <c r="J1123" s="2" t="s">
        <v>140</v>
      </c>
      <c r="K1123" s="2" t="s">
        <v>74</v>
      </c>
      <c r="L1123" s="2" t="s">
        <v>74</v>
      </c>
      <c r="M1123" s="2" t="s">
        <v>74</v>
      </c>
      <c r="N1123" s="2" t="s">
        <v>74</v>
      </c>
      <c r="O1123" s="2" t="s">
        <v>74</v>
      </c>
      <c r="P1123" s="2" t="s">
        <v>74</v>
      </c>
      <c r="Q1123" s="2" t="s">
        <v>74</v>
      </c>
      <c r="R1123" s="2" t="s">
        <v>74</v>
      </c>
      <c r="S1123" s="2" t="s">
        <v>74</v>
      </c>
      <c r="T1123" s="2" t="s">
        <v>74</v>
      </c>
      <c r="U1123" s="2" t="s">
        <v>74</v>
      </c>
      <c r="V1123" s="5" t="s">
        <v>2372</v>
      </c>
      <c r="W1123" s="2" t="s">
        <v>74</v>
      </c>
      <c r="X1123" s="2" t="s">
        <v>74</v>
      </c>
      <c r="Y1123" s="2" t="s">
        <v>74</v>
      </c>
      <c r="Z1123" s="2" t="s">
        <v>74</v>
      </c>
      <c r="AA1123" s="2" t="s">
        <v>379</v>
      </c>
      <c r="AB1123" s="2" t="s">
        <v>74</v>
      </c>
      <c r="AC1123" s="2" t="s">
        <v>74</v>
      </c>
      <c r="AD1123" s="2" t="s">
        <v>74</v>
      </c>
      <c r="AE1123" s="2" t="s">
        <v>74</v>
      </c>
      <c r="AF1123" s="2" t="s">
        <v>74</v>
      </c>
      <c r="AG1123" s="2" t="s">
        <v>74</v>
      </c>
      <c r="AH1123" s="2" t="s">
        <v>74</v>
      </c>
      <c r="AI1123" s="2" t="s">
        <v>74</v>
      </c>
      <c r="AJ1123" s="2" t="s">
        <v>74</v>
      </c>
      <c r="AK1123" s="2" t="s">
        <v>74</v>
      </c>
      <c r="AL1123" s="2" t="s">
        <v>74</v>
      </c>
      <c r="AM1123" s="2" t="s">
        <v>74</v>
      </c>
      <c r="AN1123" s="2" t="s">
        <v>74</v>
      </c>
      <c r="AO1123" s="2" t="s">
        <v>143</v>
      </c>
      <c r="AP1123" s="2" t="s">
        <v>144</v>
      </c>
      <c r="AQ1123" s="2" t="s">
        <v>74</v>
      </c>
      <c r="AR1123" s="2" t="s">
        <v>74</v>
      </c>
      <c r="AS1123" s="2" t="s">
        <v>74</v>
      </c>
      <c r="AT1123" s="2" t="s">
        <v>175</v>
      </c>
      <c r="AU1123" s="2">
        <v>2011</v>
      </c>
      <c r="AV1123" s="2">
        <v>82</v>
      </c>
      <c r="AW1123" s="2">
        <v>4</v>
      </c>
      <c r="AX1123" s="2" t="s">
        <v>74</v>
      </c>
      <c r="AY1123" s="2" t="s">
        <v>74</v>
      </c>
      <c r="AZ1123" s="2" t="s">
        <v>74</v>
      </c>
      <c r="BA1123" s="2" t="s">
        <v>74</v>
      </c>
      <c r="BB1123" s="2">
        <v>683</v>
      </c>
      <c r="BC1123" s="2">
        <v>689</v>
      </c>
      <c r="BD1123" s="2" t="s">
        <v>74</v>
      </c>
      <c r="BE1123" s="2" t="s">
        <v>2373</v>
      </c>
      <c r="BF1123" s="2" t="str">
        <f>HYPERLINK("http://dx.doi.org/10.1016/j.anbehav.2011.06.023","http://dx.doi.org/10.1016/j.anbehav.2011.06.023")</f>
        <v>http://dx.doi.org/10.1016/j.anbehav.2011.06.023</v>
      </c>
      <c r="BG1123" s="2" t="s">
        <v>74</v>
      </c>
      <c r="BH1123" s="2" t="s">
        <v>74</v>
      </c>
      <c r="BI1123" s="2" t="s">
        <v>74</v>
      </c>
      <c r="BJ1123" s="2" t="s">
        <v>74</v>
      </c>
      <c r="BK1123" s="2" t="s">
        <v>74</v>
      </c>
      <c r="BL1123" s="2" t="s">
        <v>74</v>
      </c>
      <c r="BM1123" s="2" t="s">
        <v>74</v>
      </c>
      <c r="BN1123" s="2" t="s">
        <v>74</v>
      </c>
      <c r="BO1123" s="2" t="s">
        <v>74</v>
      </c>
      <c r="BP1123" s="2" t="s">
        <v>74</v>
      </c>
      <c r="BQ1123" s="2" t="s">
        <v>74</v>
      </c>
      <c r="BR1123" s="2" t="s">
        <v>74</v>
      </c>
      <c r="BS1123" s="2" t="s">
        <v>2374</v>
      </c>
      <c r="BT1123" s="2" t="str">
        <f>HYPERLINK("https%3A%2F%2Fwww.webofscience.com%2Fwos%2Fwoscc%2Ffull-record%2FWOS:000295262800012","View Full Record in Web of Science")</f>
        <v>View Full Record in Web of Science</v>
      </c>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row>
    <row r="1124" spans="1:314" s="2" customFormat="1" x14ac:dyDescent="0.4">
      <c r="A1124" s="2" t="s">
        <v>72</v>
      </c>
      <c r="B1124" s="2" t="s">
        <v>375</v>
      </c>
      <c r="C1124" s="2" t="s">
        <v>74</v>
      </c>
      <c r="D1124" s="2" t="s">
        <v>74</v>
      </c>
      <c r="E1124" s="2" t="s">
        <v>74</v>
      </c>
      <c r="F1124" s="2" t="s">
        <v>376</v>
      </c>
      <c r="G1124" s="2" t="s">
        <v>74</v>
      </c>
      <c r="H1124" s="2" t="s">
        <v>74</v>
      </c>
      <c r="I1124" s="2" t="s">
        <v>5944</v>
      </c>
      <c r="J1124" s="2" t="s">
        <v>610</v>
      </c>
      <c r="K1124" s="2" t="s">
        <v>74</v>
      </c>
      <c r="L1124" s="2" t="s">
        <v>74</v>
      </c>
      <c r="M1124" s="2" t="s">
        <v>74</v>
      </c>
      <c r="N1124" s="2" t="s">
        <v>74</v>
      </c>
      <c r="O1124" s="2" t="s">
        <v>74</v>
      </c>
      <c r="P1124" s="2" t="s">
        <v>74</v>
      </c>
      <c r="Q1124" s="2" t="s">
        <v>74</v>
      </c>
      <c r="R1124" s="2" t="s">
        <v>74</v>
      </c>
      <c r="S1124" s="2" t="s">
        <v>74</v>
      </c>
      <c r="T1124" s="2" t="s">
        <v>74</v>
      </c>
      <c r="U1124" s="2" t="s">
        <v>74</v>
      </c>
      <c r="V1124" s="5" t="s">
        <v>5945</v>
      </c>
      <c r="W1124" s="2" t="s">
        <v>74</v>
      </c>
      <c r="X1124" s="2" t="s">
        <v>74</v>
      </c>
      <c r="Y1124" s="2" t="s">
        <v>74</v>
      </c>
      <c r="Z1124" s="2" t="s">
        <v>74</v>
      </c>
      <c r="AA1124" s="2" t="s">
        <v>379</v>
      </c>
      <c r="AB1124" s="2" t="s">
        <v>74</v>
      </c>
      <c r="AC1124" s="2" t="s">
        <v>74</v>
      </c>
      <c r="AD1124" s="2" t="s">
        <v>74</v>
      </c>
      <c r="AE1124" s="2" t="s">
        <v>74</v>
      </c>
      <c r="AF1124" s="2" t="s">
        <v>74</v>
      </c>
      <c r="AG1124" s="2" t="s">
        <v>74</v>
      </c>
      <c r="AH1124" s="2" t="s">
        <v>74</v>
      </c>
      <c r="AI1124" s="2" t="s">
        <v>74</v>
      </c>
      <c r="AJ1124" s="2" t="s">
        <v>74</v>
      </c>
      <c r="AK1124" s="2" t="s">
        <v>74</v>
      </c>
      <c r="AL1124" s="2" t="s">
        <v>74</v>
      </c>
      <c r="AM1124" s="2" t="s">
        <v>74</v>
      </c>
      <c r="AN1124" s="2" t="s">
        <v>74</v>
      </c>
      <c r="AO1124" s="2" t="s">
        <v>614</v>
      </c>
      <c r="AP1124" s="2" t="s">
        <v>615</v>
      </c>
      <c r="AQ1124" s="2" t="s">
        <v>74</v>
      </c>
      <c r="AR1124" s="2" t="s">
        <v>74</v>
      </c>
      <c r="AS1124" s="2" t="s">
        <v>74</v>
      </c>
      <c r="AT1124" s="2" t="s">
        <v>213</v>
      </c>
      <c r="AU1124" s="2">
        <v>2010</v>
      </c>
      <c r="AV1124" s="2">
        <v>116</v>
      </c>
      <c r="AW1124" s="2">
        <v>11</v>
      </c>
      <c r="AX1124" s="2" t="s">
        <v>74</v>
      </c>
      <c r="AY1124" s="2" t="s">
        <v>74</v>
      </c>
      <c r="AZ1124" s="2" t="s">
        <v>74</v>
      </c>
      <c r="BA1124" s="2" t="s">
        <v>74</v>
      </c>
      <c r="BB1124" s="2">
        <v>1038</v>
      </c>
      <c r="BC1124" s="2">
        <v>1049</v>
      </c>
      <c r="BD1124" s="2" t="s">
        <v>74</v>
      </c>
      <c r="BE1124" s="2" t="s">
        <v>5946</v>
      </c>
      <c r="BF1124" s="2" t="str">
        <f>HYPERLINK("http://dx.doi.org/10.1111/j.1439-0310.2010.01816.x","http://dx.doi.org/10.1111/j.1439-0310.2010.01816.x")</f>
        <v>http://dx.doi.org/10.1111/j.1439-0310.2010.01816.x</v>
      </c>
      <c r="BG1124" s="2" t="s">
        <v>74</v>
      </c>
      <c r="BH1124" s="2" t="s">
        <v>74</v>
      </c>
      <c r="BI1124" s="2" t="s">
        <v>74</v>
      </c>
      <c r="BJ1124" s="2" t="s">
        <v>74</v>
      </c>
      <c r="BK1124" s="2" t="s">
        <v>74</v>
      </c>
      <c r="BL1124" s="2" t="s">
        <v>74</v>
      </c>
      <c r="BM1124" s="2" t="s">
        <v>74</v>
      </c>
      <c r="BN1124" s="2" t="s">
        <v>74</v>
      </c>
      <c r="BO1124" s="2" t="s">
        <v>74</v>
      </c>
      <c r="BP1124" s="2" t="s">
        <v>74</v>
      </c>
      <c r="BQ1124" s="2" t="s">
        <v>74</v>
      </c>
      <c r="BR1124" s="2" t="s">
        <v>74</v>
      </c>
      <c r="BS1124" s="2" t="s">
        <v>5947</v>
      </c>
      <c r="BT1124" s="2" t="str">
        <f>HYPERLINK("https%3A%2F%2Fwww.webofscience.com%2Fwos%2Fwoscc%2Ffull-record%2FWOS:000282821900005","View Full Record in Web of Science")</f>
        <v>View Full Record in Web of Science</v>
      </c>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row>
    <row r="1125" spans="1:314" s="2" customFormat="1" x14ac:dyDescent="0.4">
      <c r="A1125" s="2" t="s">
        <v>72</v>
      </c>
      <c r="B1125" s="2" t="s">
        <v>4820</v>
      </c>
      <c r="C1125" s="2" t="s">
        <v>74</v>
      </c>
      <c r="D1125" s="2" t="s">
        <v>74</v>
      </c>
      <c r="E1125" s="2" t="s">
        <v>74</v>
      </c>
      <c r="F1125" s="2" t="s">
        <v>4820</v>
      </c>
      <c r="G1125" s="2" t="s">
        <v>74</v>
      </c>
      <c r="H1125" s="2" t="s">
        <v>74</v>
      </c>
      <c r="I1125" s="2" t="s">
        <v>4821</v>
      </c>
      <c r="J1125" s="2" t="s">
        <v>1526</v>
      </c>
      <c r="K1125" s="2" t="s">
        <v>74</v>
      </c>
      <c r="L1125" s="2" t="s">
        <v>74</v>
      </c>
      <c r="M1125" s="2" t="s">
        <v>74</v>
      </c>
      <c r="N1125" s="2" t="s">
        <v>74</v>
      </c>
      <c r="O1125" s="2" t="s">
        <v>74</v>
      </c>
      <c r="P1125" s="2" t="s">
        <v>74</v>
      </c>
      <c r="Q1125" s="2" t="s">
        <v>74</v>
      </c>
      <c r="R1125" s="2" t="s">
        <v>74</v>
      </c>
      <c r="S1125" s="2" t="s">
        <v>74</v>
      </c>
      <c r="T1125" s="2" t="s">
        <v>74</v>
      </c>
      <c r="U1125" s="2" t="s">
        <v>74</v>
      </c>
      <c r="V1125" s="5" t="s">
        <v>4822</v>
      </c>
      <c r="W1125" s="2" t="s">
        <v>74</v>
      </c>
      <c r="X1125" s="2" t="s">
        <v>74</v>
      </c>
      <c r="Y1125" s="2" t="s">
        <v>74</v>
      </c>
      <c r="Z1125" s="2" t="s">
        <v>74</v>
      </c>
      <c r="AA1125" s="2" t="s">
        <v>74</v>
      </c>
      <c r="AB1125" s="2" t="s">
        <v>74</v>
      </c>
      <c r="AC1125" s="2" t="s">
        <v>74</v>
      </c>
      <c r="AD1125" s="2" t="s">
        <v>74</v>
      </c>
      <c r="AE1125" s="2" t="s">
        <v>74</v>
      </c>
      <c r="AF1125" s="2" t="s">
        <v>74</v>
      </c>
      <c r="AG1125" s="2" t="s">
        <v>74</v>
      </c>
      <c r="AH1125" s="2" t="s">
        <v>74</v>
      </c>
      <c r="AI1125" s="2" t="s">
        <v>74</v>
      </c>
      <c r="AJ1125" s="2" t="s">
        <v>74</v>
      </c>
      <c r="AK1125" s="2" t="s">
        <v>74</v>
      </c>
      <c r="AL1125" s="2" t="s">
        <v>74</v>
      </c>
      <c r="AM1125" s="2" t="s">
        <v>74</v>
      </c>
      <c r="AN1125" s="2" t="s">
        <v>74</v>
      </c>
      <c r="AO1125" s="2" t="s">
        <v>1528</v>
      </c>
      <c r="AP1125" s="2" t="s">
        <v>74</v>
      </c>
      <c r="AQ1125" s="2" t="s">
        <v>74</v>
      </c>
      <c r="AR1125" s="2" t="s">
        <v>74</v>
      </c>
      <c r="AS1125" s="2" t="s">
        <v>74</v>
      </c>
      <c r="AT1125" s="2" t="s">
        <v>145</v>
      </c>
      <c r="AU1125" s="2">
        <v>1993</v>
      </c>
      <c r="AV1125" s="2">
        <v>95</v>
      </c>
      <c r="AW1125" s="2">
        <v>3</v>
      </c>
      <c r="AX1125" s="2" t="s">
        <v>74</v>
      </c>
      <c r="AY1125" s="2" t="s">
        <v>74</v>
      </c>
      <c r="AZ1125" s="2" t="s">
        <v>74</v>
      </c>
      <c r="BA1125" s="2" t="s">
        <v>74</v>
      </c>
      <c r="BB1125" s="2">
        <v>596</v>
      </c>
      <c r="BC1125" s="2">
        <v>615</v>
      </c>
      <c r="BD1125" s="2" t="s">
        <v>74</v>
      </c>
      <c r="BE1125" s="2" t="s">
        <v>4823</v>
      </c>
      <c r="BF1125" s="2" t="str">
        <f>HYPERLINK("http://dx.doi.org/10.2307/1369604","http://dx.doi.org/10.2307/1369604")</f>
        <v>http://dx.doi.org/10.2307/1369604</v>
      </c>
      <c r="BG1125" s="2" t="s">
        <v>74</v>
      </c>
      <c r="BH1125" s="2" t="s">
        <v>74</v>
      </c>
      <c r="BI1125" s="2" t="s">
        <v>74</v>
      </c>
      <c r="BJ1125" s="2" t="s">
        <v>74</v>
      </c>
      <c r="BK1125" s="2" t="s">
        <v>74</v>
      </c>
      <c r="BL1125" s="2" t="s">
        <v>74</v>
      </c>
      <c r="BM1125" s="2" t="s">
        <v>74</v>
      </c>
      <c r="BN1125" s="2" t="s">
        <v>74</v>
      </c>
      <c r="BO1125" s="2" t="s">
        <v>74</v>
      </c>
      <c r="BP1125" s="2" t="s">
        <v>74</v>
      </c>
      <c r="BQ1125" s="2" t="s">
        <v>74</v>
      </c>
      <c r="BR1125" s="2" t="s">
        <v>74</v>
      </c>
      <c r="BS1125" s="2" t="s">
        <v>4824</v>
      </c>
      <c r="BT1125" s="2" t="str">
        <f>HYPERLINK("https%3A%2F%2Fwww.webofscience.com%2Fwos%2Fwoscc%2Ffull-record%2FWOS:A1993LU78000012","View Full Record in Web of Science")</f>
        <v>View Full Record in Web of Science</v>
      </c>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row>
    <row r="1126" spans="1:314" s="2" customFormat="1" x14ac:dyDescent="0.4">
      <c r="A1126" s="2" t="s">
        <v>72</v>
      </c>
      <c r="B1126" s="2" t="s">
        <v>8120</v>
      </c>
      <c r="C1126" s="2" t="s">
        <v>74</v>
      </c>
      <c r="D1126" s="2" t="s">
        <v>74</v>
      </c>
      <c r="E1126" s="2" t="s">
        <v>74</v>
      </c>
      <c r="F1126" s="2" t="s">
        <v>8121</v>
      </c>
      <c r="G1126" s="2" t="s">
        <v>74</v>
      </c>
      <c r="H1126" s="2" t="s">
        <v>74</v>
      </c>
      <c r="I1126" s="2" t="s">
        <v>8122</v>
      </c>
      <c r="J1126" s="2" t="s">
        <v>2629</v>
      </c>
      <c r="K1126" s="2" t="s">
        <v>74</v>
      </c>
      <c r="L1126" s="2" t="s">
        <v>74</v>
      </c>
      <c r="M1126" s="2" t="s">
        <v>74</v>
      </c>
      <c r="N1126" s="2" t="s">
        <v>74</v>
      </c>
      <c r="O1126" s="2" t="s">
        <v>74</v>
      </c>
      <c r="P1126" s="2" t="s">
        <v>74</v>
      </c>
      <c r="Q1126" s="2" t="s">
        <v>74</v>
      </c>
      <c r="R1126" s="2" t="s">
        <v>74</v>
      </c>
      <c r="S1126" s="2" t="s">
        <v>74</v>
      </c>
      <c r="T1126" s="2" t="s">
        <v>74</v>
      </c>
      <c r="U1126" s="2" t="s">
        <v>74</v>
      </c>
      <c r="V1126" s="5" t="s">
        <v>8123</v>
      </c>
      <c r="W1126" s="2" t="s">
        <v>74</v>
      </c>
      <c r="X1126" s="2" t="s">
        <v>74</v>
      </c>
      <c r="Y1126" s="2" t="s">
        <v>74</v>
      </c>
      <c r="Z1126" s="2" t="s">
        <v>74</v>
      </c>
      <c r="AA1126" s="2" t="s">
        <v>74</v>
      </c>
      <c r="AB1126" s="2" t="s">
        <v>74</v>
      </c>
      <c r="AC1126" s="2" t="s">
        <v>74</v>
      </c>
      <c r="AD1126" s="2" t="s">
        <v>74</v>
      </c>
      <c r="AE1126" s="2" t="s">
        <v>74</v>
      </c>
      <c r="AF1126" s="2" t="s">
        <v>74</v>
      </c>
      <c r="AG1126" s="2" t="s">
        <v>74</v>
      </c>
      <c r="AH1126" s="2" t="s">
        <v>74</v>
      </c>
      <c r="AI1126" s="2" t="s">
        <v>74</v>
      </c>
      <c r="AJ1126" s="2" t="s">
        <v>74</v>
      </c>
      <c r="AK1126" s="2" t="s">
        <v>74</v>
      </c>
      <c r="AL1126" s="2" t="s">
        <v>74</v>
      </c>
      <c r="AM1126" s="2" t="s">
        <v>74</v>
      </c>
      <c r="AN1126" s="2" t="s">
        <v>74</v>
      </c>
      <c r="AO1126" s="2" t="s">
        <v>2632</v>
      </c>
      <c r="AP1126" s="2" t="s">
        <v>2633</v>
      </c>
      <c r="AQ1126" s="2" t="s">
        <v>74</v>
      </c>
      <c r="AR1126" s="2" t="s">
        <v>74</v>
      </c>
      <c r="AS1126" s="2" t="s">
        <v>74</v>
      </c>
      <c r="AT1126" s="2" t="s">
        <v>74</v>
      </c>
      <c r="AU1126" s="2">
        <v>2020</v>
      </c>
      <c r="AV1126" s="2">
        <v>68</v>
      </c>
      <c r="AW1126" s="2">
        <v>2</v>
      </c>
      <c r="AX1126" s="2" t="s">
        <v>74</v>
      </c>
      <c r="AY1126" s="2" t="s">
        <v>74</v>
      </c>
      <c r="AZ1126" s="2" t="s">
        <v>74</v>
      </c>
      <c r="BA1126" s="2" t="s">
        <v>74</v>
      </c>
      <c r="BB1126" s="2">
        <v>85</v>
      </c>
      <c r="BC1126" s="2">
        <v>97</v>
      </c>
      <c r="BD1126" s="2" t="s">
        <v>74</v>
      </c>
      <c r="BE1126" s="2" t="s">
        <v>8124</v>
      </c>
      <c r="BF1126" s="2" t="str">
        <f>HYPERLINK("http://dx.doi.org/10.1071/ZO20091","http://dx.doi.org/10.1071/ZO20091")</f>
        <v>http://dx.doi.org/10.1071/ZO20091</v>
      </c>
      <c r="BG1126" s="2" t="s">
        <v>74</v>
      </c>
      <c r="BH1126" s="2" t="s">
        <v>224</v>
      </c>
      <c r="BI1126" s="2" t="s">
        <v>74</v>
      </c>
      <c r="BJ1126" s="2" t="s">
        <v>74</v>
      </c>
      <c r="BK1126" s="2" t="s">
        <v>74</v>
      </c>
      <c r="BL1126" s="2" t="s">
        <v>74</v>
      </c>
      <c r="BM1126" s="2" t="s">
        <v>74</v>
      </c>
      <c r="BN1126" s="2" t="s">
        <v>74</v>
      </c>
      <c r="BO1126" s="2" t="s">
        <v>74</v>
      </c>
      <c r="BP1126" s="2" t="s">
        <v>74</v>
      </c>
      <c r="BQ1126" s="2" t="s">
        <v>74</v>
      </c>
      <c r="BR1126" s="2" t="s">
        <v>74</v>
      </c>
      <c r="BS1126" s="2" t="s">
        <v>8125</v>
      </c>
      <c r="BT1126" s="2" t="str">
        <f>HYPERLINK("https%3A%2F%2Fwww.webofscience.com%2Fwos%2Fwoscc%2Ffull-record%2FWOS:000657370700001","View Full Record in Web of Science")</f>
        <v>View Full Record in Web of Science</v>
      </c>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row>
    <row r="1127" spans="1:314" s="2" customFormat="1" x14ac:dyDescent="0.4">
      <c r="A1127" s="2" t="s">
        <v>72</v>
      </c>
      <c r="B1127" s="2" t="s">
        <v>4167</v>
      </c>
      <c r="C1127" s="2" t="s">
        <v>74</v>
      </c>
      <c r="D1127" s="2" t="s">
        <v>74</v>
      </c>
      <c r="E1127" s="2" t="s">
        <v>74</v>
      </c>
      <c r="F1127" s="2" t="s">
        <v>4167</v>
      </c>
      <c r="G1127" s="2" t="s">
        <v>74</v>
      </c>
      <c r="H1127" s="2" t="s">
        <v>74</v>
      </c>
      <c r="I1127" s="2" t="s">
        <v>4168</v>
      </c>
      <c r="J1127" s="2" t="s">
        <v>691</v>
      </c>
      <c r="K1127" s="2" t="s">
        <v>74</v>
      </c>
      <c r="L1127" s="2" t="s">
        <v>74</v>
      </c>
      <c r="M1127" s="2" t="s">
        <v>74</v>
      </c>
      <c r="N1127" s="2" t="s">
        <v>74</v>
      </c>
      <c r="O1127" s="2" t="s">
        <v>74</v>
      </c>
      <c r="P1127" s="2" t="s">
        <v>74</v>
      </c>
      <c r="Q1127" s="2" t="s">
        <v>74</v>
      </c>
      <c r="R1127" s="2" t="s">
        <v>74</v>
      </c>
      <c r="S1127" s="2" t="s">
        <v>74</v>
      </c>
      <c r="T1127" s="2" t="s">
        <v>74</v>
      </c>
      <c r="U1127" s="2" t="s">
        <v>74</v>
      </c>
      <c r="V1127" s="5" t="s">
        <v>4169</v>
      </c>
      <c r="W1127" s="2" t="s">
        <v>74</v>
      </c>
      <c r="X1127" s="2" t="s">
        <v>74</v>
      </c>
      <c r="Y1127" s="2" t="s">
        <v>74</v>
      </c>
      <c r="Z1127" s="2" t="s">
        <v>74</v>
      </c>
      <c r="AA1127" s="2" t="s">
        <v>74</v>
      </c>
      <c r="AB1127" s="2" t="s">
        <v>74</v>
      </c>
      <c r="AC1127" s="2" t="s">
        <v>74</v>
      </c>
      <c r="AD1127" s="2" t="s">
        <v>74</v>
      </c>
      <c r="AE1127" s="2" t="s">
        <v>74</v>
      </c>
      <c r="AF1127" s="2" t="s">
        <v>74</v>
      </c>
      <c r="AG1127" s="2" t="s">
        <v>74</v>
      </c>
      <c r="AH1127" s="2" t="s">
        <v>74</v>
      </c>
      <c r="AI1127" s="2" t="s">
        <v>74</v>
      </c>
      <c r="AJ1127" s="2" t="s">
        <v>74</v>
      </c>
      <c r="AK1127" s="2" t="s">
        <v>74</v>
      </c>
      <c r="AL1127" s="2" t="s">
        <v>74</v>
      </c>
      <c r="AM1127" s="2" t="s">
        <v>74</v>
      </c>
      <c r="AN1127" s="2" t="s">
        <v>74</v>
      </c>
      <c r="AO1127" s="2" t="s">
        <v>695</v>
      </c>
      <c r="AP1127" s="2" t="s">
        <v>981</v>
      </c>
      <c r="AQ1127" s="2" t="s">
        <v>74</v>
      </c>
      <c r="AR1127" s="2" t="s">
        <v>74</v>
      </c>
      <c r="AS1127" s="2" t="s">
        <v>74</v>
      </c>
      <c r="AT1127" s="2" t="s">
        <v>305</v>
      </c>
      <c r="AU1127" s="2">
        <v>1989</v>
      </c>
      <c r="AV1127" s="2">
        <v>46</v>
      </c>
      <c r="AW1127" s="2">
        <v>6</v>
      </c>
      <c r="AX1127" s="2" t="s">
        <v>74</v>
      </c>
      <c r="AY1127" s="2" t="s">
        <v>74</v>
      </c>
      <c r="AZ1127" s="2" t="s">
        <v>74</v>
      </c>
      <c r="BA1127" s="2" t="s">
        <v>74</v>
      </c>
      <c r="BB1127" s="2">
        <v>977</v>
      </c>
      <c r="BC1127" s="2">
        <v>982</v>
      </c>
      <c r="BD1127" s="2" t="s">
        <v>74</v>
      </c>
      <c r="BE1127" s="2" t="s">
        <v>4170</v>
      </c>
      <c r="BF1127" s="2" t="str">
        <f>HYPERLINK("http://dx.doi.org/10.1016/0031-9384(89)90201-1","http://dx.doi.org/10.1016/0031-9384(89)90201-1")</f>
        <v>http://dx.doi.org/10.1016/0031-9384(89)90201-1</v>
      </c>
      <c r="BG1127" s="2" t="s">
        <v>74</v>
      </c>
      <c r="BH1127" s="2" t="s">
        <v>74</v>
      </c>
      <c r="BI1127" s="2" t="s">
        <v>74</v>
      </c>
      <c r="BJ1127" s="2" t="s">
        <v>74</v>
      </c>
      <c r="BK1127" s="2" t="s">
        <v>74</v>
      </c>
      <c r="BL1127" s="2" t="s">
        <v>74</v>
      </c>
      <c r="BM1127" s="2" t="s">
        <v>74</v>
      </c>
      <c r="BN1127" s="2">
        <v>2634263</v>
      </c>
      <c r="BO1127" s="2" t="s">
        <v>74</v>
      </c>
      <c r="BP1127" s="2" t="s">
        <v>74</v>
      </c>
      <c r="BQ1127" s="2" t="s">
        <v>74</v>
      </c>
      <c r="BR1127" s="2" t="s">
        <v>74</v>
      </c>
      <c r="BS1127" s="2" t="s">
        <v>4171</v>
      </c>
      <c r="BT1127" s="2" t="str">
        <f>HYPERLINK("https%3A%2F%2Fwww.webofscience.com%2Fwos%2Fwoscc%2Ffull-record%2FWOS:A1989CE14400011","View Full Record in Web of Science")</f>
        <v>View Full Record in Web of Science</v>
      </c>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row>
    <row r="1128" spans="1:314" s="2" customFormat="1" x14ac:dyDescent="0.4">
      <c r="A1128" s="2" t="s">
        <v>72</v>
      </c>
      <c r="B1128" s="2" t="s">
        <v>5563</v>
      </c>
      <c r="C1128" s="2" t="s">
        <v>74</v>
      </c>
      <c r="D1128" s="2" t="s">
        <v>74</v>
      </c>
      <c r="E1128" s="2" t="s">
        <v>74</v>
      </c>
      <c r="F1128" s="2" t="s">
        <v>5563</v>
      </c>
      <c r="G1128" s="2" t="s">
        <v>74</v>
      </c>
      <c r="H1128" s="2" t="s">
        <v>74</v>
      </c>
      <c r="I1128" s="2" t="s">
        <v>5564</v>
      </c>
      <c r="J1128" s="2" t="s">
        <v>5333</v>
      </c>
      <c r="K1128" s="2" t="s">
        <v>74</v>
      </c>
      <c r="L1128" s="2" t="s">
        <v>74</v>
      </c>
      <c r="M1128" s="2" t="s">
        <v>74</v>
      </c>
      <c r="N1128" s="2" t="s">
        <v>74</v>
      </c>
      <c r="O1128" s="2" t="s">
        <v>74</v>
      </c>
      <c r="P1128" s="2" t="s">
        <v>74</v>
      </c>
      <c r="Q1128" s="2" t="s">
        <v>74</v>
      </c>
      <c r="R1128" s="2" t="s">
        <v>74</v>
      </c>
      <c r="S1128" s="2" t="s">
        <v>74</v>
      </c>
      <c r="T1128" s="2" t="s">
        <v>74</v>
      </c>
      <c r="U1128" s="2" t="s">
        <v>74</v>
      </c>
      <c r="V1128" s="5" t="s">
        <v>5565</v>
      </c>
      <c r="W1128" s="2" t="s">
        <v>74</v>
      </c>
      <c r="X1128" s="2" t="s">
        <v>74</v>
      </c>
      <c r="Y1128" s="2" t="s">
        <v>74</v>
      </c>
      <c r="Z1128" s="2" t="s">
        <v>74</v>
      </c>
      <c r="AA1128" s="2" t="s">
        <v>74</v>
      </c>
      <c r="AB1128" s="2" t="s">
        <v>74</v>
      </c>
      <c r="AC1128" s="2" t="s">
        <v>74</v>
      </c>
      <c r="AD1128" s="2" t="s">
        <v>74</v>
      </c>
      <c r="AE1128" s="2" t="s">
        <v>74</v>
      </c>
      <c r="AF1128" s="2" t="s">
        <v>74</v>
      </c>
      <c r="AG1128" s="2" t="s">
        <v>74</v>
      </c>
      <c r="AH1128" s="2" t="s">
        <v>74</v>
      </c>
      <c r="AI1128" s="2" t="s">
        <v>74</v>
      </c>
      <c r="AJ1128" s="2" t="s">
        <v>74</v>
      </c>
      <c r="AK1128" s="2" t="s">
        <v>74</v>
      </c>
      <c r="AL1128" s="2" t="s">
        <v>74</v>
      </c>
      <c r="AM1128" s="2" t="s">
        <v>74</v>
      </c>
      <c r="AN1128" s="2" t="s">
        <v>74</v>
      </c>
      <c r="AO1128" s="2" t="s">
        <v>5335</v>
      </c>
      <c r="AP1128" s="2" t="s">
        <v>74</v>
      </c>
      <c r="AQ1128" s="2" t="s">
        <v>74</v>
      </c>
      <c r="AR1128" s="2" t="s">
        <v>74</v>
      </c>
      <c r="AS1128" s="2" t="s">
        <v>74</v>
      </c>
      <c r="AT1128" s="2" t="s">
        <v>74</v>
      </c>
      <c r="AU1128" s="2">
        <v>1985</v>
      </c>
      <c r="AV1128" s="2">
        <v>50</v>
      </c>
      <c r="AW1128" s="2">
        <v>3</v>
      </c>
      <c r="AX1128" s="2" t="s">
        <v>74</v>
      </c>
      <c r="AY1128" s="2" t="s">
        <v>74</v>
      </c>
      <c r="AZ1128" s="2" t="s">
        <v>74</v>
      </c>
      <c r="BA1128" s="2" t="s">
        <v>74</v>
      </c>
      <c r="BB1128" s="2">
        <v>166</v>
      </c>
      <c r="BC1128" s="2">
        <v>174</v>
      </c>
      <c r="BD1128" s="2" t="s">
        <v>74</v>
      </c>
      <c r="BE1128" s="2" t="s">
        <v>74</v>
      </c>
      <c r="BF1128" s="2" t="s">
        <v>74</v>
      </c>
      <c r="BG1128" s="2" t="s">
        <v>74</v>
      </c>
      <c r="BH1128" s="2" t="s">
        <v>74</v>
      </c>
      <c r="BI1128" s="2" t="s">
        <v>74</v>
      </c>
      <c r="BJ1128" s="2" t="s">
        <v>74</v>
      </c>
      <c r="BK1128" s="2" t="s">
        <v>74</v>
      </c>
      <c r="BL1128" s="2" t="s">
        <v>74</v>
      </c>
      <c r="BM1128" s="2" t="s">
        <v>74</v>
      </c>
      <c r="BN1128" s="2" t="s">
        <v>74</v>
      </c>
      <c r="BO1128" s="2" t="s">
        <v>74</v>
      </c>
      <c r="BP1128" s="2" t="s">
        <v>74</v>
      </c>
      <c r="BQ1128" s="2" t="s">
        <v>74</v>
      </c>
      <c r="BR1128" s="2" t="s">
        <v>74</v>
      </c>
      <c r="BS1128" s="2" t="s">
        <v>5566</v>
      </c>
      <c r="BT1128" s="2" t="str">
        <f>HYPERLINK("https%3A%2F%2Fwww.webofscience.com%2Fwos%2Fwoscc%2Ffull-record%2FWOS:A1985ALJ2100004","View Full Record in Web of Science")</f>
        <v>View Full Record in Web of Science</v>
      </c>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row>
    <row r="1129" spans="1:314" s="2" customFormat="1" x14ac:dyDescent="0.4">
      <c r="A1129" s="2" t="s">
        <v>72</v>
      </c>
      <c r="B1129" s="2" t="s">
        <v>8162</v>
      </c>
      <c r="C1129" s="2" t="s">
        <v>74</v>
      </c>
      <c r="D1129" s="2" t="s">
        <v>74</v>
      </c>
      <c r="E1129" s="2" t="s">
        <v>74</v>
      </c>
      <c r="F1129" s="2" t="s">
        <v>8162</v>
      </c>
      <c r="G1129" s="2" t="s">
        <v>74</v>
      </c>
      <c r="H1129" s="2" t="s">
        <v>74</v>
      </c>
      <c r="I1129" s="2" t="s">
        <v>8163</v>
      </c>
      <c r="J1129" s="2" t="s">
        <v>241</v>
      </c>
      <c r="K1129" s="2" t="s">
        <v>74</v>
      </c>
      <c r="L1129" s="2" t="s">
        <v>74</v>
      </c>
      <c r="M1129" s="2" t="s">
        <v>74</v>
      </c>
      <c r="N1129" s="2" t="s">
        <v>74</v>
      </c>
      <c r="O1129" s="2" t="s">
        <v>74</v>
      </c>
      <c r="P1129" s="2" t="s">
        <v>74</v>
      </c>
      <c r="Q1129" s="2" t="s">
        <v>74</v>
      </c>
      <c r="R1129" s="2" t="s">
        <v>74</v>
      </c>
      <c r="S1129" s="2" t="s">
        <v>74</v>
      </c>
      <c r="T1129" s="2" t="s">
        <v>74</v>
      </c>
      <c r="U1129" s="2" t="s">
        <v>74</v>
      </c>
      <c r="V1129" s="5" t="s">
        <v>8164</v>
      </c>
      <c r="W1129" s="2" t="s">
        <v>74</v>
      </c>
      <c r="X1129" s="2" t="s">
        <v>74</v>
      </c>
      <c r="Y1129" s="2" t="s">
        <v>74</v>
      </c>
      <c r="Z1129" s="2" t="s">
        <v>74</v>
      </c>
      <c r="AA1129" s="2" t="s">
        <v>6473</v>
      </c>
      <c r="AB1129" s="2" t="s">
        <v>8165</v>
      </c>
      <c r="AC1129" s="2" t="s">
        <v>74</v>
      </c>
      <c r="AD1129" s="2" t="s">
        <v>74</v>
      </c>
      <c r="AE1129" s="2" t="s">
        <v>74</v>
      </c>
      <c r="AF1129" s="2" t="s">
        <v>74</v>
      </c>
      <c r="AG1129" s="2" t="s">
        <v>74</v>
      </c>
      <c r="AH1129" s="2" t="s">
        <v>74</v>
      </c>
      <c r="AI1129" s="2" t="s">
        <v>74</v>
      </c>
      <c r="AJ1129" s="2" t="s">
        <v>74</v>
      </c>
      <c r="AK1129" s="2" t="s">
        <v>74</v>
      </c>
      <c r="AL1129" s="2" t="s">
        <v>74</v>
      </c>
      <c r="AM1129" s="2" t="s">
        <v>74</v>
      </c>
      <c r="AN1129" s="2" t="s">
        <v>74</v>
      </c>
      <c r="AO1129" s="2" t="s">
        <v>245</v>
      </c>
      <c r="AP1129" s="2" t="s">
        <v>74</v>
      </c>
      <c r="AQ1129" s="2" t="s">
        <v>74</v>
      </c>
      <c r="AR1129" s="2" t="s">
        <v>74</v>
      </c>
      <c r="AS1129" s="2" t="s">
        <v>74</v>
      </c>
      <c r="AT1129" s="2" t="s">
        <v>145</v>
      </c>
      <c r="AU1129" s="2">
        <v>1993</v>
      </c>
      <c r="AV1129" s="2">
        <v>95</v>
      </c>
      <c r="AW1129" s="2">
        <v>2</v>
      </c>
      <c r="AX1129" s="2" t="s">
        <v>74</v>
      </c>
      <c r="AY1129" s="2" t="s">
        <v>74</v>
      </c>
      <c r="AZ1129" s="2" t="s">
        <v>74</v>
      </c>
      <c r="BA1129" s="2" t="s">
        <v>74</v>
      </c>
      <c r="BB1129" s="2">
        <v>266</v>
      </c>
      <c r="BC1129" s="2">
        <v>276</v>
      </c>
      <c r="BD1129" s="2" t="s">
        <v>74</v>
      </c>
      <c r="BE1129" s="2" t="s">
        <v>8166</v>
      </c>
      <c r="BF1129" s="2" t="str">
        <f>HYPERLINK("http://dx.doi.org/10.1007/BF00323499","http://dx.doi.org/10.1007/BF00323499")</f>
        <v>http://dx.doi.org/10.1007/BF00323499</v>
      </c>
      <c r="BG1129" s="2" t="s">
        <v>74</v>
      </c>
      <c r="BH1129" s="2" t="s">
        <v>74</v>
      </c>
      <c r="BI1129" s="2" t="s">
        <v>74</v>
      </c>
      <c r="BJ1129" s="2" t="s">
        <v>74</v>
      </c>
      <c r="BK1129" s="2" t="s">
        <v>74</v>
      </c>
      <c r="BL1129" s="2" t="s">
        <v>74</v>
      </c>
      <c r="BM1129" s="2" t="s">
        <v>74</v>
      </c>
      <c r="BN1129" s="2">
        <v>28312951</v>
      </c>
      <c r="BO1129" s="2" t="s">
        <v>74</v>
      </c>
      <c r="BP1129" s="2" t="s">
        <v>74</v>
      </c>
      <c r="BQ1129" s="2" t="s">
        <v>74</v>
      </c>
      <c r="BR1129" s="2" t="s">
        <v>74</v>
      </c>
      <c r="BS1129" s="2" t="s">
        <v>8167</v>
      </c>
      <c r="BT1129" s="2" t="str">
        <f>HYPERLINK("https%3A%2F%2Fwww.webofscience.com%2Fwos%2Fwoscc%2Ffull-record%2FWOS:A1993LV56400015","View Full Record in Web of Science")</f>
        <v>View Full Record in Web of Science</v>
      </c>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row>
    <row r="1130" spans="1:314" s="2" customFormat="1" x14ac:dyDescent="0.4">
      <c r="A1130" s="2" t="s">
        <v>72</v>
      </c>
      <c r="B1130" s="2" t="s">
        <v>6081</v>
      </c>
      <c r="C1130" s="2" t="s">
        <v>74</v>
      </c>
      <c r="D1130" s="2" t="s">
        <v>74</v>
      </c>
      <c r="E1130" s="2" t="s">
        <v>74</v>
      </c>
      <c r="F1130" s="2" t="s">
        <v>6082</v>
      </c>
      <c r="G1130" s="2" t="s">
        <v>74</v>
      </c>
      <c r="H1130" s="2" t="s">
        <v>74</v>
      </c>
      <c r="I1130" s="2" t="s">
        <v>6083</v>
      </c>
      <c r="J1130" s="2" t="s">
        <v>6084</v>
      </c>
      <c r="K1130" s="2" t="s">
        <v>74</v>
      </c>
      <c r="L1130" s="2" t="s">
        <v>74</v>
      </c>
      <c r="M1130" s="2" t="s">
        <v>74</v>
      </c>
      <c r="N1130" s="2" t="s">
        <v>74</v>
      </c>
      <c r="O1130" s="2" t="s">
        <v>74</v>
      </c>
      <c r="P1130" s="2" t="s">
        <v>74</v>
      </c>
      <c r="Q1130" s="2" t="s">
        <v>74</v>
      </c>
      <c r="R1130" s="2" t="s">
        <v>74</v>
      </c>
      <c r="S1130" s="2" t="s">
        <v>74</v>
      </c>
      <c r="T1130" s="2" t="s">
        <v>74</v>
      </c>
      <c r="U1130" s="2" t="s">
        <v>74</v>
      </c>
      <c r="V1130" s="5" t="s">
        <v>6085</v>
      </c>
      <c r="W1130" s="2" t="s">
        <v>74</v>
      </c>
      <c r="X1130" s="2" t="s">
        <v>74</v>
      </c>
      <c r="Y1130" s="2" t="s">
        <v>74</v>
      </c>
      <c r="Z1130" s="2" t="s">
        <v>74</v>
      </c>
      <c r="AA1130" s="2" t="s">
        <v>2989</v>
      </c>
      <c r="AB1130" s="2" t="s">
        <v>6086</v>
      </c>
      <c r="AC1130" s="2" t="s">
        <v>74</v>
      </c>
      <c r="AD1130" s="2" t="s">
        <v>74</v>
      </c>
      <c r="AE1130" s="2" t="s">
        <v>74</v>
      </c>
      <c r="AF1130" s="2" t="s">
        <v>74</v>
      </c>
      <c r="AG1130" s="2" t="s">
        <v>74</v>
      </c>
      <c r="AH1130" s="2" t="s">
        <v>74</v>
      </c>
      <c r="AI1130" s="2" t="s">
        <v>74</v>
      </c>
      <c r="AJ1130" s="2" t="s">
        <v>74</v>
      </c>
      <c r="AK1130" s="2" t="s">
        <v>74</v>
      </c>
      <c r="AL1130" s="2" t="s">
        <v>74</v>
      </c>
      <c r="AM1130" s="2" t="s">
        <v>74</v>
      </c>
      <c r="AN1130" s="2" t="s">
        <v>74</v>
      </c>
      <c r="AO1130" s="2" t="s">
        <v>6087</v>
      </c>
      <c r="AP1130" s="2" t="s">
        <v>6088</v>
      </c>
      <c r="AQ1130" s="2" t="s">
        <v>74</v>
      </c>
      <c r="AR1130" s="2" t="s">
        <v>74</v>
      </c>
      <c r="AS1130" s="2" t="s">
        <v>74</v>
      </c>
      <c r="AT1130" s="2" t="s">
        <v>74</v>
      </c>
      <c r="AU1130" s="2">
        <v>2017</v>
      </c>
      <c r="AV1130" s="2">
        <v>20</v>
      </c>
      <c r="AW1130" s="2">
        <v>1</v>
      </c>
      <c r="AX1130" s="2" t="s">
        <v>74</v>
      </c>
      <c r="AY1130" s="2" t="s">
        <v>74</v>
      </c>
      <c r="AZ1130" s="2" t="s">
        <v>74</v>
      </c>
      <c r="BA1130" s="2" t="s">
        <v>74</v>
      </c>
      <c r="BB1130" s="2">
        <v>43</v>
      </c>
      <c r="BC1130" s="2">
        <v>52</v>
      </c>
      <c r="BD1130" s="2" t="s">
        <v>74</v>
      </c>
      <c r="BE1130" s="2" t="s">
        <v>6089</v>
      </c>
      <c r="BF1130" s="2" t="str">
        <f>HYPERLINK("http://dx.doi.org/10.1080/13887890.2017.1297259","http://dx.doi.org/10.1080/13887890.2017.1297259")</f>
        <v>http://dx.doi.org/10.1080/13887890.2017.1297259</v>
      </c>
      <c r="BG1130" s="2" t="s">
        <v>74</v>
      </c>
      <c r="BH1130" s="2" t="s">
        <v>74</v>
      </c>
      <c r="BI1130" s="2" t="s">
        <v>74</v>
      </c>
      <c r="BJ1130" s="2" t="s">
        <v>74</v>
      </c>
      <c r="BK1130" s="2" t="s">
        <v>74</v>
      </c>
      <c r="BL1130" s="2" t="s">
        <v>74</v>
      </c>
      <c r="BM1130" s="2" t="s">
        <v>74</v>
      </c>
      <c r="BN1130" s="2" t="s">
        <v>74</v>
      </c>
      <c r="BO1130" s="2" t="s">
        <v>74</v>
      </c>
      <c r="BP1130" s="2" t="s">
        <v>74</v>
      </c>
      <c r="BQ1130" s="2" t="s">
        <v>74</v>
      </c>
      <c r="BR1130" s="2" t="s">
        <v>74</v>
      </c>
      <c r="BS1130" s="2" t="s">
        <v>6090</v>
      </c>
      <c r="BT1130" s="2" t="str">
        <f>HYPERLINK("https%3A%2F%2Fwww.webofscience.com%2Fwos%2Fwoscc%2Ffull-record%2FWOS:000398096300004","View Full Record in Web of Science")</f>
        <v>View Full Record in Web of Science</v>
      </c>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row>
    <row r="1131" spans="1:314" s="2" customFormat="1" x14ac:dyDescent="0.4">
      <c r="A1131" s="2" t="s">
        <v>72</v>
      </c>
      <c r="B1131" s="2" t="s">
        <v>8292</v>
      </c>
      <c r="C1131" s="2" t="s">
        <v>74</v>
      </c>
      <c r="D1131" s="2" t="s">
        <v>74</v>
      </c>
      <c r="E1131" s="2" t="s">
        <v>74</v>
      </c>
      <c r="F1131" s="2" t="s">
        <v>8292</v>
      </c>
      <c r="G1131" s="2" t="s">
        <v>74</v>
      </c>
      <c r="H1131" s="2" t="s">
        <v>74</v>
      </c>
      <c r="I1131" s="2" t="s">
        <v>8293</v>
      </c>
      <c r="J1131" s="2" t="s">
        <v>456</v>
      </c>
      <c r="K1131" s="2" t="s">
        <v>74</v>
      </c>
      <c r="L1131" s="2" t="s">
        <v>74</v>
      </c>
      <c r="M1131" s="2" t="s">
        <v>74</v>
      </c>
      <c r="N1131" s="2" t="s">
        <v>74</v>
      </c>
      <c r="O1131" s="2" t="s">
        <v>74</v>
      </c>
      <c r="P1131" s="2" t="s">
        <v>74</v>
      </c>
      <c r="Q1131" s="2" t="s">
        <v>74</v>
      </c>
      <c r="R1131" s="2" t="s">
        <v>74</v>
      </c>
      <c r="S1131" s="2" t="s">
        <v>74</v>
      </c>
      <c r="T1131" s="2" t="s">
        <v>74</v>
      </c>
      <c r="U1131" s="2" t="s">
        <v>74</v>
      </c>
      <c r="V1131" s="5" t="s">
        <v>8294</v>
      </c>
      <c r="W1131" s="2" t="s">
        <v>74</v>
      </c>
      <c r="X1131" s="2" t="s">
        <v>74</v>
      </c>
      <c r="Y1131" s="2" t="s">
        <v>74</v>
      </c>
      <c r="Z1131" s="2" t="s">
        <v>74</v>
      </c>
      <c r="AA1131" s="2" t="s">
        <v>74</v>
      </c>
      <c r="AB1131" s="2" t="s">
        <v>74</v>
      </c>
      <c r="AC1131" s="2" t="s">
        <v>74</v>
      </c>
      <c r="AD1131" s="2" t="s">
        <v>74</v>
      </c>
      <c r="AE1131" s="2" t="s">
        <v>74</v>
      </c>
      <c r="AF1131" s="2" t="s">
        <v>74</v>
      </c>
      <c r="AG1131" s="2" t="s">
        <v>74</v>
      </c>
      <c r="AH1131" s="2" t="s">
        <v>74</v>
      </c>
      <c r="AI1131" s="2" t="s">
        <v>74</v>
      </c>
      <c r="AJ1131" s="2" t="s">
        <v>74</v>
      </c>
      <c r="AK1131" s="2" t="s">
        <v>74</v>
      </c>
      <c r="AL1131" s="2" t="s">
        <v>74</v>
      </c>
      <c r="AM1131" s="2" t="s">
        <v>74</v>
      </c>
      <c r="AN1131" s="2" t="s">
        <v>74</v>
      </c>
      <c r="AO1131" s="2" t="s">
        <v>460</v>
      </c>
      <c r="AP1131" s="2" t="s">
        <v>74</v>
      </c>
      <c r="AQ1131" s="2" t="s">
        <v>74</v>
      </c>
      <c r="AR1131" s="2" t="s">
        <v>74</v>
      </c>
      <c r="AS1131" s="2" t="s">
        <v>74</v>
      </c>
      <c r="AT1131" s="2" t="s">
        <v>352</v>
      </c>
      <c r="AU1131" s="2">
        <v>1991</v>
      </c>
      <c r="AV1131" s="2">
        <v>225</v>
      </c>
      <c r="AW1131" s="2" t="s">
        <v>74</v>
      </c>
      <c r="AX1131" s="2">
        <v>1</v>
      </c>
      <c r="AY1131" s="2" t="s">
        <v>74</v>
      </c>
      <c r="AZ1131" s="2" t="s">
        <v>74</v>
      </c>
      <c r="BA1131" s="2" t="s">
        <v>74</v>
      </c>
      <c r="BB1131" s="2">
        <v>43</v>
      </c>
      <c r="BC1131" s="2">
        <v>58</v>
      </c>
      <c r="BD1131" s="2" t="s">
        <v>74</v>
      </c>
      <c r="BE1131" s="2" t="s">
        <v>8295</v>
      </c>
      <c r="BF1131" s="2" t="str">
        <f>HYPERLINK("http://dx.doi.org/10.1111/j.1469-7998.1991.tb03800.x","http://dx.doi.org/10.1111/j.1469-7998.1991.tb03800.x")</f>
        <v>http://dx.doi.org/10.1111/j.1469-7998.1991.tb03800.x</v>
      </c>
      <c r="BG1131" s="2" t="s">
        <v>74</v>
      </c>
      <c r="BH1131" s="2" t="s">
        <v>74</v>
      </c>
      <c r="BI1131" s="2" t="s">
        <v>74</v>
      </c>
      <c r="BJ1131" s="2" t="s">
        <v>74</v>
      </c>
      <c r="BK1131" s="2" t="s">
        <v>74</v>
      </c>
      <c r="BL1131" s="2" t="s">
        <v>74</v>
      </c>
      <c r="BM1131" s="2" t="s">
        <v>74</v>
      </c>
      <c r="BN1131" s="2" t="s">
        <v>74</v>
      </c>
      <c r="BO1131" s="2" t="s">
        <v>74</v>
      </c>
      <c r="BP1131" s="2" t="s">
        <v>74</v>
      </c>
      <c r="BQ1131" s="2" t="s">
        <v>74</v>
      </c>
      <c r="BR1131" s="2" t="s">
        <v>74</v>
      </c>
      <c r="BS1131" s="2" t="s">
        <v>8296</v>
      </c>
      <c r="BT1131" s="2" t="str">
        <f>HYPERLINK("https%3A%2F%2Fwww.webofscience.com%2Fwos%2Fwoscc%2Ffull-record%2FWOS:A1991GK01600004","View Full Record in Web of Science")</f>
        <v>View Full Record in Web of Science</v>
      </c>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row>
    <row r="1132" spans="1:314" s="2" customFormat="1" x14ac:dyDescent="0.4">
      <c r="A1132" s="2" t="s">
        <v>72</v>
      </c>
      <c r="B1132" s="2" t="s">
        <v>4938</v>
      </c>
      <c r="C1132" s="2" t="s">
        <v>74</v>
      </c>
      <c r="D1132" s="2" t="s">
        <v>74</v>
      </c>
      <c r="E1132" s="2" t="s">
        <v>74</v>
      </c>
      <c r="F1132" s="2" t="s">
        <v>4938</v>
      </c>
      <c r="G1132" s="2" t="s">
        <v>74</v>
      </c>
      <c r="H1132" s="2" t="s">
        <v>74</v>
      </c>
      <c r="I1132" s="2" t="s">
        <v>4939</v>
      </c>
      <c r="J1132" s="2" t="s">
        <v>4522</v>
      </c>
      <c r="K1132" s="2" t="s">
        <v>74</v>
      </c>
      <c r="L1132" s="2" t="s">
        <v>74</v>
      </c>
      <c r="M1132" s="2" t="s">
        <v>74</v>
      </c>
      <c r="N1132" s="2" t="s">
        <v>74</v>
      </c>
      <c r="O1132" s="2" t="s">
        <v>74</v>
      </c>
      <c r="P1132" s="2" t="s">
        <v>74</v>
      </c>
      <c r="Q1132" s="2" t="s">
        <v>74</v>
      </c>
      <c r="R1132" s="2" t="s">
        <v>74</v>
      </c>
      <c r="S1132" s="2" t="s">
        <v>74</v>
      </c>
      <c r="T1132" s="2" t="s">
        <v>74</v>
      </c>
      <c r="U1132" s="2" t="s">
        <v>74</v>
      </c>
      <c r="V1132" s="5" t="s">
        <v>4940</v>
      </c>
      <c r="W1132" s="2" t="s">
        <v>74</v>
      </c>
      <c r="X1132" s="2" t="s">
        <v>74</v>
      </c>
      <c r="Y1132" s="2" t="s">
        <v>74</v>
      </c>
      <c r="Z1132" s="2" t="s">
        <v>74</v>
      </c>
      <c r="AA1132" s="2" t="s">
        <v>74</v>
      </c>
      <c r="AB1132" s="2" t="s">
        <v>74</v>
      </c>
      <c r="AC1132" s="2" t="s">
        <v>74</v>
      </c>
      <c r="AD1132" s="2" t="s">
        <v>74</v>
      </c>
      <c r="AE1132" s="2" t="s">
        <v>74</v>
      </c>
      <c r="AF1132" s="2" t="s">
        <v>74</v>
      </c>
      <c r="AG1132" s="2" t="s">
        <v>74</v>
      </c>
      <c r="AH1132" s="2" t="s">
        <v>74</v>
      </c>
      <c r="AI1132" s="2" t="s">
        <v>74</v>
      </c>
      <c r="AJ1132" s="2" t="s">
        <v>74</v>
      </c>
      <c r="AK1132" s="2" t="s">
        <v>74</v>
      </c>
      <c r="AL1132" s="2" t="s">
        <v>74</v>
      </c>
      <c r="AM1132" s="2" t="s">
        <v>74</v>
      </c>
      <c r="AN1132" s="2" t="s">
        <v>74</v>
      </c>
      <c r="AO1132" s="2" t="s">
        <v>4526</v>
      </c>
      <c r="AP1132" s="2" t="s">
        <v>4527</v>
      </c>
      <c r="AQ1132" s="2" t="s">
        <v>74</v>
      </c>
      <c r="AR1132" s="2" t="s">
        <v>74</v>
      </c>
      <c r="AS1132" s="2" t="s">
        <v>74</v>
      </c>
      <c r="AT1132" s="2" t="s">
        <v>1075</v>
      </c>
      <c r="AU1132" s="2">
        <v>1990</v>
      </c>
      <c r="AV1132" s="2">
        <v>24</v>
      </c>
      <c r="AW1132" s="2">
        <v>6</v>
      </c>
      <c r="AX1132" s="2" t="s">
        <v>74</v>
      </c>
      <c r="AY1132" s="2" t="s">
        <v>74</v>
      </c>
      <c r="AZ1132" s="2" t="s">
        <v>74</v>
      </c>
      <c r="BA1132" s="2" t="s">
        <v>74</v>
      </c>
      <c r="BB1132" s="2">
        <v>1617</v>
      </c>
      <c r="BC1132" s="2">
        <v>1627</v>
      </c>
      <c r="BD1132" s="2" t="s">
        <v>74</v>
      </c>
      <c r="BE1132" s="2" t="s">
        <v>4941</v>
      </c>
      <c r="BF1132" s="2" t="str">
        <f>HYPERLINK("http://dx.doi.org/10.1080/00222939000770931","http://dx.doi.org/10.1080/00222939000770931")</f>
        <v>http://dx.doi.org/10.1080/00222939000770931</v>
      </c>
      <c r="BG1132" s="2" t="s">
        <v>74</v>
      </c>
      <c r="BH1132" s="2" t="s">
        <v>74</v>
      </c>
      <c r="BI1132" s="2" t="s">
        <v>74</v>
      </c>
      <c r="BJ1132" s="2" t="s">
        <v>74</v>
      </c>
      <c r="BK1132" s="2" t="s">
        <v>74</v>
      </c>
      <c r="BL1132" s="2" t="s">
        <v>74</v>
      </c>
      <c r="BM1132" s="2" t="s">
        <v>74</v>
      </c>
      <c r="BN1132" s="2" t="s">
        <v>74</v>
      </c>
      <c r="BO1132" s="2" t="s">
        <v>74</v>
      </c>
      <c r="BP1132" s="2" t="s">
        <v>74</v>
      </c>
      <c r="BQ1132" s="2" t="s">
        <v>74</v>
      </c>
      <c r="BR1132" s="2" t="s">
        <v>74</v>
      </c>
      <c r="BS1132" s="2" t="s">
        <v>4942</v>
      </c>
      <c r="BT1132" s="2" t="str">
        <f>HYPERLINK("https%3A%2F%2Fwww.webofscience.com%2Fwos%2Fwoscc%2Ffull-record%2FWOS:A1990EH88300013","View Full Record in Web of Science")</f>
        <v>View Full Record in Web of Science</v>
      </c>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row>
    <row r="1133" spans="1:314" s="2" customFormat="1" x14ac:dyDescent="0.4">
      <c r="A1133" s="2" t="s">
        <v>72</v>
      </c>
      <c r="B1133" s="2" t="s">
        <v>7883</v>
      </c>
      <c r="C1133" s="2" t="s">
        <v>74</v>
      </c>
      <c r="D1133" s="2" t="s">
        <v>74</v>
      </c>
      <c r="E1133" s="2" t="s">
        <v>74</v>
      </c>
      <c r="F1133" s="2" t="s">
        <v>7883</v>
      </c>
      <c r="G1133" s="2" t="s">
        <v>74</v>
      </c>
      <c r="H1133" s="2" t="s">
        <v>74</v>
      </c>
      <c r="I1133" s="2" t="s">
        <v>7884</v>
      </c>
      <c r="J1133" s="2" t="s">
        <v>610</v>
      </c>
      <c r="K1133" s="2" t="s">
        <v>74</v>
      </c>
      <c r="L1133" s="2" t="s">
        <v>74</v>
      </c>
      <c r="M1133" s="2" t="s">
        <v>74</v>
      </c>
      <c r="N1133" s="2" t="s">
        <v>74</v>
      </c>
      <c r="O1133" s="2" t="s">
        <v>74</v>
      </c>
      <c r="P1133" s="2" t="s">
        <v>74</v>
      </c>
      <c r="Q1133" s="2" t="s">
        <v>74</v>
      </c>
      <c r="R1133" s="2" t="s">
        <v>74</v>
      </c>
      <c r="S1133" s="2" t="s">
        <v>74</v>
      </c>
      <c r="T1133" s="2" t="s">
        <v>74</v>
      </c>
      <c r="U1133" s="2" t="s">
        <v>74</v>
      </c>
      <c r="V1133" s="5" t="s">
        <v>7885</v>
      </c>
      <c r="W1133" s="2" t="s">
        <v>74</v>
      </c>
      <c r="X1133" s="2" t="s">
        <v>74</v>
      </c>
      <c r="Y1133" s="2" t="s">
        <v>74</v>
      </c>
      <c r="Z1133" s="2" t="s">
        <v>74</v>
      </c>
      <c r="AA1133" s="2" t="s">
        <v>74</v>
      </c>
      <c r="AB1133" s="2" t="s">
        <v>74</v>
      </c>
      <c r="AC1133" s="2" t="s">
        <v>74</v>
      </c>
      <c r="AD1133" s="2" t="s">
        <v>74</v>
      </c>
      <c r="AE1133" s="2" t="s">
        <v>74</v>
      </c>
      <c r="AF1133" s="2" t="s">
        <v>74</v>
      </c>
      <c r="AG1133" s="2" t="s">
        <v>74</v>
      </c>
      <c r="AH1133" s="2" t="s">
        <v>74</v>
      </c>
      <c r="AI1133" s="2" t="s">
        <v>74</v>
      </c>
      <c r="AJ1133" s="2" t="s">
        <v>74</v>
      </c>
      <c r="AK1133" s="2" t="s">
        <v>74</v>
      </c>
      <c r="AL1133" s="2" t="s">
        <v>74</v>
      </c>
      <c r="AM1133" s="2" t="s">
        <v>74</v>
      </c>
      <c r="AN1133" s="2" t="s">
        <v>74</v>
      </c>
      <c r="AO1133" s="2" t="s">
        <v>614</v>
      </c>
      <c r="AP1133" s="2" t="s">
        <v>615</v>
      </c>
      <c r="AQ1133" s="2" t="s">
        <v>74</v>
      </c>
      <c r="AR1133" s="2" t="s">
        <v>74</v>
      </c>
      <c r="AS1133" s="2" t="s">
        <v>74</v>
      </c>
      <c r="AT1133" s="2" t="s">
        <v>633</v>
      </c>
      <c r="AU1133" s="2">
        <v>2000</v>
      </c>
      <c r="AV1133" s="2">
        <v>106</v>
      </c>
      <c r="AW1133" s="2">
        <v>4</v>
      </c>
      <c r="AX1133" s="2" t="s">
        <v>74</v>
      </c>
      <c r="AY1133" s="2" t="s">
        <v>74</v>
      </c>
      <c r="AZ1133" s="2" t="s">
        <v>74</v>
      </c>
      <c r="BA1133" s="2" t="s">
        <v>74</v>
      </c>
      <c r="BB1133" s="2">
        <v>349</v>
      </c>
      <c r="BC1133" s="2">
        <v>363</v>
      </c>
      <c r="BD1133" s="2" t="s">
        <v>74</v>
      </c>
      <c r="BE1133" s="2" t="s">
        <v>7886</v>
      </c>
      <c r="BF1133" s="2" t="str">
        <f>HYPERLINK("http://dx.doi.org/10.1046/j.1439-0310.2000.00558.x","http://dx.doi.org/10.1046/j.1439-0310.2000.00558.x")</f>
        <v>http://dx.doi.org/10.1046/j.1439-0310.2000.00558.x</v>
      </c>
      <c r="BG1133" s="2" t="s">
        <v>74</v>
      </c>
      <c r="BH1133" s="2" t="s">
        <v>74</v>
      </c>
      <c r="BI1133" s="2" t="s">
        <v>74</v>
      </c>
      <c r="BJ1133" s="2" t="s">
        <v>74</v>
      </c>
      <c r="BK1133" s="2" t="s">
        <v>74</v>
      </c>
      <c r="BL1133" s="2" t="s">
        <v>74</v>
      </c>
      <c r="BM1133" s="2" t="s">
        <v>74</v>
      </c>
      <c r="BN1133" s="2" t="s">
        <v>74</v>
      </c>
      <c r="BO1133" s="2" t="s">
        <v>74</v>
      </c>
      <c r="BP1133" s="2" t="s">
        <v>74</v>
      </c>
      <c r="BQ1133" s="2" t="s">
        <v>74</v>
      </c>
      <c r="BR1133" s="2" t="s">
        <v>74</v>
      </c>
      <c r="BS1133" s="2" t="s">
        <v>7887</v>
      </c>
      <c r="BT1133" s="2" t="str">
        <f>HYPERLINK("https%3A%2F%2Fwww.webofscience.com%2Fwos%2Fwoscc%2Ffull-record%2FWOS:000086783400005","View Full Record in Web of Science")</f>
        <v>View Full Record in Web of Science</v>
      </c>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row>
    <row r="1134" spans="1:314" s="2" customFormat="1" x14ac:dyDescent="0.4">
      <c r="A1134" s="2" t="s">
        <v>72</v>
      </c>
      <c r="B1134" s="2" t="s">
        <v>4507</v>
      </c>
      <c r="C1134" s="2" t="s">
        <v>74</v>
      </c>
      <c r="D1134" s="2" t="s">
        <v>74</v>
      </c>
      <c r="E1134" s="2" t="s">
        <v>74</v>
      </c>
      <c r="F1134" s="2" t="s">
        <v>4507</v>
      </c>
      <c r="G1134" s="2" t="s">
        <v>74</v>
      </c>
      <c r="H1134" s="2" t="s">
        <v>74</v>
      </c>
      <c r="I1134" s="2" t="s">
        <v>4508</v>
      </c>
      <c r="J1134" s="2" t="s">
        <v>77</v>
      </c>
      <c r="K1134" s="2" t="s">
        <v>74</v>
      </c>
      <c r="L1134" s="2" t="s">
        <v>74</v>
      </c>
      <c r="M1134" s="2" t="s">
        <v>74</v>
      </c>
      <c r="N1134" s="2" t="s">
        <v>74</v>
      </c>
      <c r="O1134" s="2" t="s">
        <v>74</v>
      </c>
      <c r="P1134" s="2" t="s">
        <v>74</v>
      </c>
      <c r="Q1134" s="2" t="s">
        <v>74</v>
      </c>
      <c r="R1134" s="2" t="s">
        <v>74</v>
      </c>
      <c r="S1134" s="2" t="s">
        <v>74</v>
      </c>
      <c r="T1134" s="2" t="s">
        <v>74</v>
      </c>
      <c r="U1134" s="2" t="s">
        <v>74</v>
      </c>
      <c r="V1134" s="5" t="s">
        <v>4509</v>
      </c>
      <c r="W1134" s="2" t="s">
        <v>74</v>
      </c>
      <c r="X1134" s="2" t="s">
        <v>74</v>
      </c>
      <c r="Y1134" s="2" t="s">
        <v>74</v>
      </c>
      <c r="Z1134" s="2" t="s">
        <v>74</v>
      </c>
      <c r="AA1134" s="2" t="s">
        <v>74</v>
      </c>
      <c r="AB1134" s="2" t="s">
        <v>74</v>
      </c>
      <c r="AC1134" s="2" t="s">
        <v>74</v>
      </c>
      <c r="AD1134" s="2" t="s">
        <v>74</v>
      </c>
      <c r="AE1134" s="2" t="s">
        <v>74</v>
      </c>
      <c r="AF1134" s="2" t="s">
        <v>74</v>
      </c>
      <c r="AG1134" s="2" t="s">
        <v>74</v>
      </c>
      <c r="AH1134" s="2" t="s">
        <v>74</v>
      </c>
      <c r="AI1134" s="2" t="s">
        <v>74</v>
      </c>
      <c r="AJ1134" s="2" t="s">
        <v>74</v>
      </c>
      <c r="AK1134" s="2" t="s">
        <v>74</v>
      </c>
      <c r="AL1134" s="2" t="s">
        <v>74</v>
      </c>
      <c r="AM1134" s="2" t="s">
        <v>74</v>
      </c>
      <c r="AN1134" s="2" t="s">
        <v>74</v>
      </c>
      <c r="AO1134" s="2" t="s">
        <v>81</v>
      </c>
      <c r="AP1134" s="2" t="s">
        <v>82</v>
      </c>
      <c r="AQ1134" s="2" t="s">
        <v>74</v>
      </c>
      <c r="AR1134" s="2" t="s">
        <v>74</v>
      </c>
      <c r="AS1134" s="2" t="s">
        <v>74</v>
      </c>
      <c r="AT1134" s="2" t="s">
        <v>123</v>
      </c>
      <c r="AU1134" s="2">
        <v>2005</v>
      </c>
      <c r="AV1134" s="2">
        <v>142</v>
      </c>
      <c r="AW1134" s="2" t="s">
        <v>74</v>
      </c>
      <c r="AX1134" s="2">
        <v>3</v>
      </c>
      <c r="AY1134" s="2" t="s">
        <v>74</v>
      </c>
      <c r="AZ1134" s="2" t="s">
        <v>74</v>
      </c>
      <c r="BA1134" s="2" t="s">
        <v>74</v>
      </c>
      <c r="BB1134" s="2">
        <v>283</v>
      </c>
      <c r="BC1134" s="2">
        <v>303</v>
      </c>
      <c r="BD1134" s="2" t="s">
        <v>74</v>
      </c>
      <c r="BE1134" s="2" t="s">
        <v>4510</v>
      </c>
      <c r="BF1134" s="2" t="str">
        <f>HYPERLINK("http://dx.doi.org/10.1163/1568539053778292","http://dx.doi.org/10.1163/1568539053778292")</f>
        <v>http://dx.doi.org/10.1163/1568539053778292</v>
      </c>
      <c r="BG1134" s="2" t="s">
        <v>74</v>
      </c>
      <c r="BH1134" s="2" t="s">
        <v>74</v>
      </c>
      <c r="BI1134" s="2" t="s">
        <v>74</v>
      </c>
      <c r="BJ1134" s="2" t="s">
        <v>74</v>
      </c>
      <c r="BK1134" s="2" t="s">
        <v>74</v>
      </c>
      <c r="BL1134" s="2" t="s">
        <v>74</v>
      </c>
      <c r="BM1134" s="2" t="s">
        <v>74</v>
      </c>
      <c r="BN1134" s="2" t="s">
        <v>74</v>
      </c>
      <c r="BO1134" s="2" t="s">
        <v>74</v>
      </c>
      <c r="BP1134" s="2" t="s">
        <v>74</v>
      </c>
      <c r="BQ1134" s="2" t="s">
        <v>74</v>
      </c>
      <c r="BR1134" s="2" t="s">
        <v>74</v>
      </c>
      <c r="BS1134" s="2" t="s">
        <v>4511</v>
      </c>
      <c r="BT1134" s="2" t="str">
        <f>HYPERLINK("https%3A%2F%2Fwww.webofscience.com%2Fwos%2Fwoscc%2Ffull-record%2FWOS:000230357500002","View Full Record in Web of Science")</f>
        <v>View Full Record in Web of Science</v>
      </c>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row>
    <row r="1135" spans="1:314" s="2" customFormat="1" x14ac:dyDescent="0.4">
      <c r="A1135" s="2" t="s">
        <v>72</v>
      </c>
      <c r="B1135" s="2" t="s">
        <v>7296</v>
      </c>
      <c r="C1135" s="2" t="s">
        <v>74</v>
      </c>
      <c r="D1135" s="2" t="s">
        <v>74</v>
      </c>
      <c r="E1135" s="2" t="s">
        <v>74</v>
      </c>
      <c r="F1135" s="2" t="s">
        <v>7296</v>
      </c>
      <c r="G1135" s="2" t="s">
        <v>74</v>
      </c>
      <c r="H1135" s="2" t="s">
        <v>74</v>
      </c>
      <c r="I1135" s="2" t="s">
        <v>7297</v>
      </c>
      <c r="J1135" s="2" t="s">
        <v>3374</v>
      </c>
      <c r="K1135" s="2" t="s">
        <v>74</v>
      </c>
      <c r="L1135" s="2" t="s">
        <v>74</v>
      </c>
      <c r="M1135" s="2" t="s">
        <v>74</v>
      </c>
      <c r="N1135" s="2" t="s">
        <v>74</v>
      </c>
      <c r="O1135" s="2" t="s">
        <v>74</v>
      </c>
      <c r="P1135" s="2" t="s">
        <v>74</v>
      </c>
      <c r="Q1135" s="2" t="s">
        <v>74</v>
      </c>
      <c r="R1135" s="2" t="s">
        <v>74</v>
      </c>
      <c r="S1135" s="2" t="s">
        <v>74</v>
      </c>
      <c r="T1135" s="2" t="s">
        <v>74</v>
      </c>
      <c r="U1135" s="2" t="s">
        <v>74</v>
      </c>
      <c r="V1135" s="5" t="s">
        <v>7298</v>
      </c>
      <c r="W1135" s="2" t="s">
        <v>74</v>
      </c>
      <c r="X1135" s="2" t="s">
        <v>74</v>
      </c>
      <c r="Y1135" s="2" t="s">
        <v>74</v>
      </c>
      <c r="Z1135" s="2" t="s">
        <v>74</v>
      </c>
      <c r="AA1135" s="2" t="s">
        <v>7299</v>
      </c>
      <c r="AB1135" s="2" t="s">
        <v>7300</v>
      </c>
      <c r="AC1135" s="2" t="s">
        <v>74</v>
      </c>
      <c r="AD1135" s="2" t="s">
        <v>74</v>
      </c>
      <c r="AE1135" s="2" t="s">
        <v>74</v>
      </c>
      <c r="AF1135" s="2" t="s">
        <v>74</v>
      </c>
      <c r="AG1135" s="2" t="s">
        <v>74</v>
      </c>
      <c r="AH1135" s="2" t="s">
        <v>74</v>
      </c>
      <c r="AI1135" s="2" t="s">
        <v>74</v>
      </c>
      <c r="AJ1135" s="2" t="s">
        <v>74</v>
      </c>
      <c r="AK1135" s="2" t="s">
        <v>74</v>
      </c>
      <c r="AL1135" s="2" t="s">
        <v>74</v>
      </c>
      <c r="AM1135" s="2" t="s">
        <v>74</v>
      </c>
      <c r="AN1135" s="2" t="s">
        <v>74</v>
      </c>
      <c r="AO1135" s="2" t="s">
        <v>3378</v>
      </c>
      <c r="AP1135" s="2" t="s">
        <v>74</v>
      </c>
      <c r="AQ1135" s="2" t="s">
        <v>74</v>
      </c>
      <c r="AR1135" s="2" t="s">
        <v>74</v>
      </c>
      <c r="AS1135" s="2" t="s">
        <v>74</v>
      </c>
      <c r="AT1135" s="2" t="s">
        <v>1013</v>
      </c>
      <c r="AU1135" s="2">
        <v>2004</v>
      </c>
      <c r="AV1135" s="2">
        <v>35</v>
      </c>
      <c r="AW1135" s="2">
        <v>5</v>
      </c>
      <c r="AX1135" s="2" t="s">
        <v>74</v>
      </c>
      <c r="AY1135" s="2" t="s">
        <v>74</v>
      </c>
      <c r="AZ1135" s="2" t="s">
        <v>74</v>
      </c>
      <c r="BA1135" s="2" t="s">
        <v>74</v>
      </c>
      <c r="BB1135" s="2">
        <v>461</v>
      </c>
      <c r="BC1135" s="2">
        <v>468</v>
      </c>
      <c r="BD1135" s="2" t="s">
        <v>74</v>
      </c>
      <c r="BE1135" s="2" t="s">
        <v>7301</v>
      </c>
      <c r="BF1135" s="2" t="str">
        <f>HYPERLINK("http://dx.doi.org/10.1051/apido:2004040","http://dx.doi.org/10.1051/apido:2004040")</f>
        <v>http://dx.doi.org/10.1051/apido:2004040</v>
      </c>
      <c r="BG1135" s="2" t="s">
        <v>74</v>
      </c>
      <c r="BH1135" s="2" t="s">
        <v>74</v>
      </c>
      <c r="BI1135" s="2" t="s">
        <v>74</v>
      </c>
      <c r="BJ1135" s="2" t="s">
        <v>74</v>
      </c>
      <c r="BK1135" s="2" t="s">
        <v>74</v>
      </c>
      <c r="BL1135" s="2" t="s">
        <v>74</v>
      </c>
      <c r="BM1135" s="2" t="s">
        <v>74</v>
      </c>
      <c r="BN1135" s="2" t="s">
        <v>74</v>
      </c>
      <c r="BO1135" s="2" t="s">
        <v>74</v>
      </c>
      <c r="BP1135" s="2" t="s">
        <v>74</v>
      </c>
      <c r="BQ1135" s="2" t="s">
        <v>74</v>
      </c>
      <c r="BR1135" s="2" t="s">
        <v>74</v>
      </c>
      <c r="BS1135" s="2" t="s">
        <v>7302</v>
      </c>
      <c r="BT1135" s="2" t="str">
        <f>HYPERLINK("https%3A%2F%2Fwww.webofscience.com%2Fwos%2Fwoscc%2Ffull-record%2FWOS:000224957200002","View Full Record in Web of Science")</f>
        <v>View Full Record in Web of Science</v>
      </c>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row>
    <row r="1136" spans="1:314" s="2" customFormat="1" x14ac:dyDescent="0.4">
      <c r="A1136" s="2" t="s">
        <v>72</v>
      </c>
      <c r="B1136" s="2" t="s">
        <v>7340</v>
      </c>
      <c r="C1136" s="2" t="s">
        <v>74</v>
      </c>
      <c r="D1136" s="2" t="s">
        <v>74</v>
      </c>
      <c r="E1136" s="2" t="s">
        <v>74</v>
      </c>
      <c r="F1136" s="2" t="s">
        <v>7340</v>
      </c>
      <c r="G1136" s="2" t="s">
        <v>74</v>
      </c>
      <c r="H1136" s="2" t="s">
        <v>74</v>
      </c>
      <c r="I1136" s="2" t="s">
        <v>7341</v>
      </c>
      <c r="J1136" s="2" t="s">
        <v>1526</v>
      </c>
      <c r="K1136" s="2" t="s">
        <v>74</v>
      </c>
      <c r="L1136" s="2" t="s">
        <v>74</v>
      </c>
      <c r="M1136" s="2" t="s">
        <v>74</v>
      </c>
      <c r="N1136" s="2" t="s">
        <v>74</v>
      </c>
      <c r="O1136" s="2" t="s">
        <v>74</v>
      </c>
      <c r="P1136" s="2" t="s">
        <v>74</v>
      </c>
      <c r="Q1136" s="2" t="s">
        <v>74</v>
      </c>
      <c r="R1136" s="2" t="s">
        <v>74</v>
      </c>
      <c r="S1136" s="2" t="s">
        <v>74</v>
      </c>
      <c r="T1136" s="2" t="s">
        <v>74</v>
      </c>
      <c r="U1136" s="2" t="s">
        <v>74</v>
      </c>
      <c r="V1136" s="5" t="s">
        <v>7342</v>
      </c>
      <c r="W1136" s="2" t="s">
        <v>74</v>
      </c>
      <c r="X1136" s="2" t="s">
        <v>74</v>
      </c>
      <c r="Y1136" s="2" t="s">
        <v>74</v>
      </c>
      <c r="Z1136" s="2" t="s">
        <v>74</v>
      </c>
      <c r="AA1136" s="2" t="s">
        <v>74</v>
      </c>
      <c r="AB1136" s="2" t="s">
        <v>74</v>
      </c>
      <c r="AC1136" s="2" t="s">
        <v>74</v>
      </c>
      <c r="AD1136" s="2" t="s">
        <v>74</v>
      </c>
      <c r="AE1136" s="2" t="s">
        <v>74</v>
      </c>
      <c r="AF1136" s="2" t="s">
        <v>74</v>
      </c>
      <c r="AG1136" s="2" t="s">
        <v>74</v>
      </c>
      <c r="AH1136" s="2" t="s">
        <v>74</v>
      </c>
      <c r="AI1136" s="2" t="s">
        <v>74</v>
      </c>
      <c r="AJ1136" s="2" t="s">
        <v>74</v>
      </c>
      <c r="AK1136" s="2" t="s">
        <v>74</v>
      </c>
      <c r="AL1136" s="2" t="s">
        <v>74</v>
      </c>
      <c r="AM1136" s="2" t="s">
        <v>74</v>
      </c>
      <c r="AN1136" s="2" t="s">
        <v>74</v>
      </c>
      <c r="AO1136" s="2" t="s">
        <v>74</v>
      </c>
      <c r="AP1136" s="2" t="s">
        <v>2131</v>
      </c>
      <c r="AQ1136" s="2" t="s">
        <v>74</v>
      </c>
      <c r="AR1136" s="2" t="s">
        <v>74</v>
      </c>
      <c r="AS1136" s="2" t="s">
        <v>74</v>
      </c>
      <c r="AT1136" s="2" t="s">
        <v>74</v>
      </c>
      <c r="AU1136" s="2">
        <v>1977</v>
      </c>
      <c r="AV1136" s="2">
        <v>79</v>
      </c>
      <c r="AW1136" s="2">
        <v>1</v>
      </c>
      <c r="AX1136" s="2" t="s">
        <v>74</v>
      </c>
      <c r="AY1136" s="2" t="s">
        <v>74</v>
      </c>
      <c r="AZ1136" s="2" t="s">
        <v>74</v>
      </c>
      <c r="BA1136" s="2" t="s">
        <v>74</v>
      </c>
      <c r="BB1136" s="2">
        <v>1</v>
      </c>
      <c r="BC1136" s="2">
        <v>12</v>
      </c>
      <c r="BD1136" s="2" t="s">
        <v>74</v>
      </c>
      <c r="BE1136" s="2" t="s">
        <v>7343</v>
      </c>
      <c r="BF1136" s="2" t="str">
        <f>HYPERLINK("http://dx.doi.org/10.2307/1367524","http://dx.doi.org/10.2307/1367524")</f>
        <v>http://dx.doi.org/10.2307/1367524</v>
      </c>
      <c r="BG1136" s="2" t="s">
        <v>74</v>
      </c>
      <c r="BH1136" s="2" t="s">
        <v>74</v>
      </c>
      <c r="BI1136" s="2" t="s">
        <v>74</v>
      </c>
      <c r="BJ1136" s="2" t="s">
        <v>74</v>
      </c>
      <c r="BK1136" s="2" t="s">
        <v>74</v>
      </c>
      <c r="BL1136" s="2" t="s">
        <v>74</v>
      </c>
      <c r="BM1136" s="2" t="s">
        <v>74</v>
      </c>
      <c r="BN1136" s="2" t="s">
        <v>74</v>
      </c>
      <c r="BO1136" s="2" t="s">
        <v>74</v>
      </c>
      <c r="BP1136" s="2" t="s">
        <v>74</v>
      </c>
      <c r="BQ1136" s="2" t="s">
        <v>74</v>
      </c>
      <c r="BR1136" s="2" t="s">
        <v>74</v>
      </c>
      <c r="BS1136" s="2" t="s">
        <v>7344</v>
      </c>
      <c r="BT1136" s="2" t="str">
        <f>HYPERLINK("https%3A%2F%2Fwww.webofscience.com%2Fwos%2Fwoscc%2Ffull-record%2FWOS:A1977DN61900001","View Full Record in Web of Science")</f>
        <v>View Full Record in Web of Science</v>
      </c>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row>
    <row r="1137" spans="1:314" s="2" customFormat="1" x14ac:dyDescent="0.4">
      <c r="A1137" s="2" t="s">
        <v>72</v>
      </c>
      <c r="B1137" s="2" t="s">
        <v>496</v>
      </c>
      <c r="C1137" s="2" t="s">
        <v>74</v>
      </c>
      <c r="D1137" s="2" t="s">
        <v>74</v>
      </c>
      <c r="E1137" s="2" t="s">
        <v>74</v>
      </c>
      <c r="F1137" s="2" t="s">
        <v>497</v>
      </c>
      <c r="G1137" s="2" t="s">
        <v>74</v>
      </c>
      <c r="H1137" s="2" t="s">
        <v>74</v>
      </c>
      <c r="I1137" s="2" t="s">
        <v>498</v>
      </c>
      <c r="J1137" s="2" t="s">
        <v>499</v>
      </c>
      <c r="K1137" s="2" t="s">
        <v>74</v>
      </c>
      <c r="L1137" s="2" t="s">
        <v>74</v>
      </c>
      <c r="M1137" s="2" t="s">
        <v>74</v>
      </c>
      <c r="N1137" s="2" t="s">
        <v>74</v>
      </c>
      <c r="O1137" s="2" t="s">
        <v>74</v>
      </c>
      <c r="P1137" s="2" t="s">
        <v>74</v>
      </c>
      <c r="Q1137" s="2" t="s">
        <v>74</v>
      </c>
      <c r="R1137" s="2" t="s">
        <v>74</v>
      </c>
      <c r="S1137" s="2" t="s">
        <v>74</v>
      </c>
      <c r="T1137" s="2" t="s">
        <v>74</v>
      </c>
      <c r="U1137" s="2" t="s">
        <v>74</v>
      </c>
      <c r="V1137" s="5" t="s">
        <v>500</v>
      </c>
      <c r="W1137" s="2" t="s">
        <v>74</v>
      </c>
      <c r="X1137" s="2" t="s">
        <v>74</v>
      </c>
      <c r="Y1137" s="2" t="s">
        <v>74</v>
      </c>
      <c r="Z1137" s="2" t="s">
        <v>74</v>
      </c>
      <c r="AA1137" s="2" t="s">
        <v>501</v>
      </c>
      <c r="AB1137" s="2" t="s">
        <v>502</v>
      </c>
      <c r="AC1137" s="2" t="s">
        <v>74</v>
      </c>
      <c r="AD1137" s="2" t="s">
        <v>74</v>
      </c>
      <c r="AE1137" s="2" t="s">
        <v>74</v>
      </c>
      <c r="AF1137" s="2" t="s">
        <v>74</v>
      </c>
      <c r="AG1137" s="2" t="s">
        <v>74</v>
      </c>
      <c r="AH1137" s="2" t="s">
        <v>74</v>
      </c>
      <c r="AI1137" s="2" t="s">
        <v>74</v>
      </c>
      <c r="AJ1137" s="2" t="s">
        <v>74</v>
      </c>
      <c r="AK1137" s="2" t="s">
        <v>74</v>
      </c>
      <c r="AL1137" s="2" t="s">
        <v>74</v>
      </c>
      <c r="AM1137" s="2" t="s">
        <v>74</v>
      </c>
      <c r="AN1137" s="2" t="s">
        <v>74</v>
      </c>
      <c r="AO1137" s="2" t="s">
        <v>503</v>
      </c>
      <c r="AP1137" s="2" t="s">
        <v>504</v>
      </c>
      <c r="AQ1137" s="2" t="s">
        <v>74</v>
      </c>
      <c r="AR1137" s="2" t="s">
        <v>74</v>
      </c>
      <c r="AS1137" s="2" t="s">
        <v>74</v>
      </c>
      <c r="AT1137" s="2" t="s">
        <v>134</v>
      </c>
      <c r="AU1137" s="2">
        <v>2016</v>
      </c>
      <c r="AV1137" s="2">
        <v>17</v>
      </c>
      <c r="AW1137" s="2">
        <v>3</v>
      </c>
      <c r="AX1137" s="2" t="s">
        <v>74</v>
      </c>
      <c r="AY1137" s="2" t="s">
        <v>74</v>
      </c>
      <c r="AZ1137" s="2" t="s">
        <v>74</v>
      </c>
      <c r="BA1137" s="2" t="s">
        <v>74</v>
      </c>
      <c r="BB1137" s="2">
        <v>407</v>
      </c>
      <c r="BC1137" s="2">
        <v>418</v>
      </c>
      <c r="BD1137" s="2" t="s">
        <v>74</v>
      </c>
      <c r="BE1137" s="2" t="s">
        <v>74</v>
      </c>
      <c r="BF1137" s="2" t="s">
        <v>74</v>
      </c>
      <c r="BG1137" s="2" t="s">
        <v>74</v>
      </c>
      <c r="BH1137" s="2" t="s">
        <v>74</v>
      </c>
      <c r="BI1137" s="2" t="s">
        <v>74</v>
      </c>
      <c r="BJ1137" s="2" t="s">
        <v>74</v>
      </c>
      <c r="BK1137" s="2" t="s">
        <v>74</v>
      </c>
      <c r="BL1137" s="2" t="s">
        <v>74</v>
      </c>
      <c r="BM1137" s="2" t="s">
        <v>74</v>
      </c>
      <c r="BN1137" s="2" t="s">
        <v>74</v>
      </c>
      <c r="BO1137" s="2" t="s">
        <v>74</v>
      </c>
      <c r="BP1137" s="2" t="s">
        <v>74</v>
      </c>
      <c r="BQ1137" s="2" t="s">
        <v>74</v>
      </c>
      <c r="BR1137" s="2" t="s">
        <v>74</v>
      </c>
      <c r="BS1137" s="2" t="s">
        <v>505</v>
      </c>
      <c r="BT1137" s="2" t="str">
        <f>HYPERLINK("https%3A%2F%2Fwww.webofscience.com%2Fwos%2Fwoscc%2Ffull-record%2FWOS:000378168300007","View Full Record in Web of Science")</f>
        <v>View Full Record in Web of Science</v>
      </c>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row>
    <row r="1138" spans="1:314" s="2" customFormat="1" x14ac:dyDescent="0.4">
      <c r="A1138" s="2" t="s">
        <v>72</v>
      </c>
      <c r="B1138" s="2" t="s">
        <v>4601</v>
      </c>
      <c r="C1138" s="2" t="s">
        <v>74</v>
      </c>
      <c r="D1138" s="2" t="s">
        <v>74</v>
      </c>
      <c r="E1138" s="2" t="s">
        <v>74</v>
      </c>
      <c r="F1138" s="2" t="s">
        <v>4601</v>
      </c>
      <c r="G1138" s="2" t="s">
        <v>74</v>
      </c>
      <c r="H1138" s="2" t="s">
        <v>74</v>
      </c>
      <c r="I1138" s="2" t="s">
        <v>4602</v>
      </c>
      <c r="J1138" s="2" t="s">
        <v>4603</v>
      </c>
      <c r="K1138" s="2" t="s">
        <v>74</v>
      </c>
      <c r="L1138" s="2" t="s">
        <v>74</v>
      </c>
      <c r="M1138" s="2" t="s">
        <v>74</v>
      </c>
      <c r="N1138" s="2" t="s">
        <v>74</v>
      </c>
      <c r="O1138" s="2" t="s">
        <v>74</v>
      </c>
      <c r="P1138" s="2" t="s">
        <v>74</v>
      </c>
      <c r="Q1138" s="2" t="s">
        <v>74</v>
      </c>
      <c r="R1138" s="2" t="s">
        <v>74</v>
      </c>
      <c r="S1138" s="2" t="s">
        <v>74</v>
      </c>
      <c r="T1138" s="2" t="s">
        <v>74</v>
      </c>
      <c r="U1138" s="2" t="s">
        <v>74</v>
      </c>
      <c r="V1138" s="5" t="s">
        <v>4604</v>
      </c>
      <c r="W1138" s="2" t="s">
        <v>74</v>
      </c>
      <c r="X1138" s="2" t="s">
        <v>74</v>
      </c>
      <c r="Y1138" s="2" t="s">
        <v>74</v>
      </c>
      <c r="Z1138" s="2" t="s">
        <v>74</v>
      </c>
      <c r="AA1138" s="2" t="s">
        <v>4605</v>
      </c>
      <c r="AB1138" s="2" t="s">
        <v>4606</v>
      </c>
      <c r="AC1138" s="2" t="s">
        <v>74</v>
      </c>
      <c r="AD1138" s="2" t="s">
        <v>74</v>
      </c>
      <c r="AE1138" s="2" t="s">
        <v>74</v>
      </c>
      <c r="AF1138" s="2" t="s">
        <v>74</v>
      </c>
      <c r="AG1138" s="2" t="s">
        <v>74</v>
      </c>
      <c r="AH1138" s="2" t="s">
        <v>74</v>
      </c>
      <c r="AI1138" s="2" t="s">
        <v>74</v>
      </c>
      <c r="AJ1138" s="2" t="s">
        <v>74</v>
      </c>
      <c r="AK1138" s="2" t="s">
        <v>74</v>
      </c>
      <c r="AL1138" s="2" t="s">
        <v>74</v>
      </c>
      <c r="AM1138" s="2" t="s">
        <v>74</v>
      </c>
      <c r="AN1138" s="2" t="s">
        <v>74</v>
      </c>
      <c r="AO1138" s="2" t="s">
        <v>4607</v>
      </c>
      <c r="AP1138" s="2" t="s">
        <v>74</v>
      </c>
      <c r="AQ1138" s="2" t="s">
        <v>74</v>
      </c>
      <c r="AR1138" s="2" t="s">
        <v>74</v>
      </c>
      <c r="AS1138" s="2" t="s">
        <v>74</v>
      </c>
      <c r="AT1138" s="2" t="s">
        <v>175</v>
      </c>
      <c r="AU1138" s="2">
        <v>2001</v>
      </c>
      <c r="AV1138" s="2">
        <v>11</v>
      </c>
      <c r="AW1138" s="2">
        <v>4</v>
      </c>
      <c r="AX1138" s="2" t="s">
        <v>74</v>
      </c>
      <c r="AY1138" s="2" t="s">
        <v>74</v>
      </c>
      <c r="AZ1138" s="2" t="s">
        <v>74</v>
      </c>
      <c r="BA1138" s="2" t="s">
        <v>74</v>
      </c>
      <c r="BB1138" s="2">
        <v>157</v>
      </c>
      <c r="BC1138" s="2">
        <v>165</v>
      </c>
      <c r="BD1138" s="2" t="s">
        <v>74</v>
      </c>
      <c r="BE1138" s="2" t="s">
        <v>74</v>
      </c>
      <c r="BF1138" s="2" t="s">
        <v>74</v>
      </c>
      <c r="BG1138" s="2" t="s">
        <v>74</v>
      </c>
      <c r="BH1138" s="2" t="s">
        <v>74</v>
      </c>
      <c r="BI1138" s="2" t="s">
        <v>74</v>
      </c>
      <c r="BJ1138" s="2" t="s">
        <v>74</v>
      </c>
      <c r="BK1138" s="2" t="s">
        <v>74</v>
      </c>
      <c r="BL1138" s="2" t="s">
        <v>74</v>
      </c>
      <c r="BM1138" s="2" t="s">
        <v>74</v>
      </c>
      <c r="BN1138" s="2" t="s">
        <v>74</v>
      </c>
      <c r="BO1138" s="2" t="s">
        <v>74</v>
      </c>
      <c r="BP1138" s="2" t="s">
        <v>74</v>
      </c>
      <c r="BQ1138" s="2" t="s">
        <v>74</v>
      </c>
      <c r="BR1138" s="2" t="s">
        <v>74</v>
      </c>
      <c r="BS1138" s="2" t="s">
        <v>4608</v>
      </c>
      <c r="BT1138" s="2" t="str">
        <f>HYPERLINK("https%3A%2F%2Fwww.webofscience.com%2Fwos%2Fwoscc%2Ffull-record%2FWOS:000174693400004","View Full Record in Web of Science")</f>
        <v>View Full Record in Web of Science</v>
      </c>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row>
    <row r="1139" spans="1:314" s="2" customFormat="1" x14ac:dyDescent="0.4">
      <c r="A1139" s="2" t="s">
        <v>72</v>
      </c>
      <c r="B1139" s="2" t="s">
        <v>3552</v>
      </c>
      <c r="C1139" s="2" t="s">
        <v>74</v>
      </c>
      <c r="D1139" s="2" t="s">
        <v>74</v>
      </c>
      <c r="E1139" s="2" t="s">
        <v>74</v>
      </c>
      <c r="F1139" s="2" t="s">
        <v>3553</v>
      </c>
      <c r="G1139" s="2" t="s">
        <v>74</v>
      </c>
      <c r="H1139" s="2" t="s">
        <v>74</v>
      </c>
      <c r="I1139" s="2" t="s">
        <v>3554</v>
      </c>
      <c r="J1139" s="2" t="s">
        <v>3555</v>
      </c>
      <c r="K1139" s="2" t="s">
        <v>74</v>
      </c>
      <c r="L1139" s="2" t="s">
        <v>74</v>
      </c>
      <c r="M1139" s="2" t="s">
        <v>74</v>
      </c>
      <c r="N1139" s="2" t="s">
        <v>74</v>
      </c>
      <c r="O1139" s="2" t="s">
        <v>74</v>
      </c>
      <c r="P1139" s="2" t="s">
        <v>74</v>
      </c>
      <c r="Q1139" s="2" t="s">
        <v>74</v>
      </c>
      <c r="R1139" s="2" t="s">
        <v>74</v>
      </c>
      <c r="S1139" s="2" t="s">
        <v>74</v>
      </c>
      <c r="T1139" s="2" t="s">
        <v>74</v>
      </c>
      <c r="U1139" s="2" t="s">
        <v>74</v>
      </c>
      <c r="V1139" s="5" t="s">
        <v>3556</v>
      </c>
      <c r="W1139" s="2" t="s">
        <v>74</v>
      </c>
      <c r="X1139" s="2" t="s">
        <v>74</v>
      </c>
      <c r="Y1139" s="2" t="s">
        <v>74</v>
      </c>
      <c r="Z1139" s="2" t="s">
        <v>74</v>
      </c>
      <c r="AA1139" s="2" t="s">
        <v>3557</v>
      </c>
      <c r="AB1139" s="2" t="s">
        <v>74</v>
      </c>
      <c r="AC1139" s="2" t="s">
        <v>74</v>
      </c>
      <c r="AD1139" s="2" t="s">
        <v>74</v>
      </c>
      <c r="AE1139" s="2" t="s">
        <v>74</v>
      </c>
      <c r="AF1139" s="2" t="s">
        <v>74</v>
      </c>
      <c r="AG1139" s="2" t="s">
        <v>74</v>
      </c>
      <c r="AH1139" s="2" t="s">
        <v>74</v>
      </c>
      <c r="AI1139" s="2" t="s">
        <v>74</v>
      </c>
      <c r="AJ1139" s="2" t="s">
        <v>74</v>
      </c>
      <c r="AK1139" s="2" t="s">
        <v>74</v>
      </c>
      <c r="AL1139" s="2" t="s">
        <v>74</v>
      </c>
      <c r="AM1139" s="2" t="s">
        <v>74</v>
      </c>
      <c r="AN1139" s="2" t="s">
        <v>74</v>
      </c>
      <c r="AO1139" s="2" t="s">
        <v>3558</v>
      </c>
      <c r="AP1139" s="2" t="s">
        <v>3559</v>
      </c>
      <c r="AQ1139" s="2" t="s">
        <v>74</v>
      </c>
      <c r="AR1139" s="2" t="s">
        <v>74</v>
      </c>
      <c r="AS1139" s="2" t="s">
        <v>74</v>
      </c>
      <c r="AT1139" s="2" t="s">
        <v>145</v>
      </c>
      <c r="AU1139" s="2">
        <v>2007</v>
      </c>
      <c r="AV1139" s="2">
        <v>54</v>
      </c>
      <c r="AW1139" s="2">
        <v>3</v>
      </c>
      <c r="AX1139" s="2" t="s">
        <v>74</v>
      </c>
      <c r="AY1139" s="2" t="s">
        <v>74</v>
      </c>
      <c r="AZ1139" s="2" t="s">
        <v>74</v>
      </c>
      <c r="BA1139" s="2" t="s">
        <v>74</v>
      </c>
      <c r="BB1139" s="2">
        <v>268</v>
      </c>
      <c r="BC1139" s="2">
        <v>274</v>
      </c>
      <c r="BD1139" s="2" t="s">
        <v>74</v>
      </c>
      <c r="BE1139" s="2" t="s">
        <v>3560</v>
      </c>
      <c r="BF1139" s="2" t="str">
        <f>HYPERLINK("http://dx.doi.org/10.1007/s00040-007-0941-x","http://dx.doi.org/10.1007/s00040-007-0941-x")</f>
        <v>http://dx.doi.org/10.1007/s00040-007-0941-x</v>
      </c>
      <c r="BG1139" s="2" t="s">
        <v>74</v>
      </c>
      <c r="BH1139" s="2" t="s">
        <v>74</v>
      </c>
      <c r="BI1139" s="2" t="s">
        <v>74</v>
      </c>
      <c r="BJ1139" s="2" t="s">
        <v>74</v>
      </c>
      <c r="BK1139" s="2" t="s">
        <v>74</v>
      </c>
      <c r="BL1139" s="2" t="s">
        <v>74</v>
      </c>
      <c r="BM1139" s="2" t="s">
        <v>74</v>
      </c>
      <c r="BN1139" s="2" t="s">
        <v>74</v>
      </c>
      <c r="BO1139" s="2" t="s">
        <v>74</v>
      </c>
      <c r="BP1139" s="2" t="s">
        <v>74</v>
      </c>
      <c r="BQ1139" s="2" t="s">
        <v>74</v>
      </c>
      <c r="BR1139" s="2" t="s">
        <v>74</v>
      </c>
      <c r="BS1139" s="2" t="s">
        <v>3561</v>
      </c>
      <c r="BT1139" s="2" t="str">
        <f>HYPERLINK("https%3A%2F%2Fwww.webofscience.com%2Fwos%2Fwoscc%2Ffull-record%2FWOS:000248901500010","View Full Record in Web of Science")</f>
        <v>View Full Record in Web of Science</v>
      </c>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row>
    <row r="1140" spans="1:314" s="2" customFormat="1" x14ac:dyDescent="0.4">
      <c r="A1140" s="2" t="s">
        <v>72</v>
      </c>
      <c r="B1140" s="2" t="s">
        <v>3252</v>
      </c>
      <c r="C1140" s="2" t="s">
        <v>74</v>
      </c>
      <c r="D1140" s="2" t="s">
        <v>74</v>
      </c>
      <c r="E1140" s="2" t="s">
        <v>74</v>
      </c>
      <c r="F1140" s="2" t="s">
        <v>3253</v>
      </c>
      <c r="G1140" s="2" t="s">
        <v>74</v>
      </c>
      <c r="H1140" s="2" t="s">
        <v>74</v>
      </c>
      <c r="I1140" s="2" t="s">
        <v>3254</v>
      </c>
      <c r="J1140" s="2" t="s">
        <v>408</v>
      </c>
      <c r="K1140" s="2" t="s">
        <v>74</v>
      </c>
      <c r="L1140" s="2" t="s">
        <v>74</v>
      </c>
      <c r="M1140" s="2" t="s">
        <v>74</v>
      </c>
      <c r="N1140" s="2" t="s">
        <v>74</v>
      </c>
      <c r="O1140" s="2" t="s">
        <v>74</v>
      </c>
      <c r="P1140" s="2" t="s">
        <v>74</v>
      </c>
      <c r="Q1140" s="2" t="s">
        <v>74</v>
      </c>
      <c r="R1140" s="2" t="s">
        <v>74</v>
      </c>
      <c r="S1140" s="2" t="s">
        <v>74</v>
      </c>
      <c r="T1140" s="2" t="s">
        <v>74</v>
      </c>
      <c r="U1140" s="2" t="s">
        <v>74</v>
      </c>
      <c r="V1140" s="5" t="s">
        <v>3255</v>
      </c>
      <c r="W1140" s="2" t="s">
        <v>74</v>
      </c>
      <c r="X1140" s="2" t="s">
        <v>74</v>
      </c>
      <c r="Y1140" s="2" t="s">
        <v>74</v>
      </c>
      <c r="Z1140" s="2" t="s">
        <v>74</v>
      </c>
      <c r="AA1140" s="2" t="s">
        <v>3256</v>
      </c>
      <c r="AB1140" s="2" t="s">
        <v>3257</v>
      </c>
      <c r="AC1140" s="2" t="s">
        <v>74</v>
      </c>
      <c r="AD1140" s="2" t="s">
        <v>74</v>
      </c>
      <c r="AE1140" s="2" t="s">
        <v>74</v>
      </c>
      <c r="AF1140" s="2" t="s">
        <v>74</v>
      </c>
      <c r="AG1140" s="2" t="s">
        <v>74</v>
      </c>
      <c r="AH1140" s="2" t="s">
        <v>74</v>
      </c>
      <c r="AI1140" s="2" t="s">
        <v>74</v>
      </c>
      <c r="AJ1140" s="2" t="s">
        <v>74</v>
      </c>
      <c r="AK1140" s="2" t="s">
        <v>74</v>
      </c>
      <c r="AL1140" s="2" t="s">
        <v>74</v>
      </c>
      <c r="AM1140" s="2" t="s">
        <v>74</v>
      </c>
      <c r="AN1140" s="2" t="s">
        <v>74</v>
      </c>
      <c r="AO1140" s="2" t="s">
        <v>412</v>
      </c>
      <c r="AP1140" s="2" t="s">
        <v>413</v>
      </c>
      <c r="AQ1140" s="2" t="s">
        <v>74</v>
      </c>
      <c r="AR1140" s="2" t="s">
        <v>74</v>
      </c>
      <c r="AS1140" s="2" t="s">
        <v>74</v>
      </c>
      <c r="AT1140" s="2" t="s">
        <v>175</v>
      </c>
      <c r="AU1140" s="2">
        <v>2020</v>
      </c>
      <c r="AV1140" s="2">
        <v>131</v>
      </c>
      <c r="AW1140" s="2">
        <v>2</v>
      </c>
      <c r="AX1140" s="2" t="s">
        <v>74</v>
      </c>
      <c r="AY1140" s="2" t="s">
        <v>74</v>
      </c>
      <c r="AZ1140" s="2" t="s">
        <v>74</v>
      </c>
      <c r="BA1140" s="2" t="s">
        <v>74</v>
      </c>
      <c r="BB1140" s="2">
        <v>332</v>
      </c>
      <c r="BC1140" s="2">
        <v>343</v>
      </c>
      <c r="BD1140" s="2" t="s">
        <v>74</v>
      </c>
      <c r="BE1140" s="2" t="s">
        <v>3258</v>
      </c>
      <c r="BF1140" s="2" t="str">
        <f>HYPERLINK("http://dx.doi.org/10.1093/biolinnean/blaa119","http://dx.doi.org/10.1093/biolinnean/blaa119")</f>
        <v>http://dx.doi.org/10.1093/biolinnean/blaa119</v>
      </c>
      <c r="BG1140" s="2" t="s">
        <v>74</v>
      </c>
      <c r="BH1140" s="2" t="s">
        <v>74</v>
      </c>
      <c r="BI1140" s="2" t="s">
        <v>74</v>
      </c>
      <c r="BJ1140" s="2" t="s">
        <v>74</v>
      </c>
      <c r="BK1140" s="2" t="s">
        <v>74</v>
      </c>
      <c r="BL1140" s="2" t="s">
        <v>74</v>
      </c>
      <c r="BM1140" s="2" t="s">
        <v>74</v>
      </c>
      <c r="BN1140" s="2" t="s">
        <v>74</v>
      </c>
      <c r="BO1140" s="2" t="s">
        <v>74</v>
      </c>
      <c r="BP1140" s="2" t="s">
        <v>74</v>
      </c>
      <c r="BQ1140" s="2" t="s">
        <v>74</v>
      </c>
      <c r="BR1140" s="2" t="s">
        <v>74</v>
      </c>
      <c r="BS1140" s="2" t="s">
        <v>3259</v>
      </c>
      <c r="BT1140" s="2" t="str">
        <f>HYPERLINK("https%3A%2F%2Fwww.webofscience.com%2Fwos%2Fwoscc%2Ffull-record%2FWOS:000580984200006","View Full Record in Web of Science")</f>
        <v>View Full Record in Web of Science</v>
      </c>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row>
    <row r="1141" spans="1:314" s="1" customFormat="1" x14ac:dyDescent="0.4">
      <c r="A1141" s="2" t="s">
        <v>72</v>
      </c>
      <c r="B1141" s="2" t="s">
        <v>8194</v>
      </c>
      <c r="C1141" s="2" t="s">
        <v>74</v>
      </c>
      <c r="D1141" s="2" t="s">
        <v>74</v>
      </c>
      <c r="E1141" s="2" t="s">
        <v>74</v>
      </c>
      <c r="F1141" s="2" t="s">
        <v>8195</v>
      </c>
      <c r="G1141" s="2" t="s">
        <v>74</v>
      </c>
      <c r="H1141" s="2" t="s">
        <v>74</v>
      </c>
      <c r="I1141" s="2" t="s">
        <v>8196</v>
      </c>
      <c r="J1141" s="2" t="s">
        <v>281</v>
      </c>
      <c r="K1141" s="2" t="s">
        <v>74</v>
      </c>
      <c r="L1141" s="2" t="s">
        <v>74</v>
      </c>
      <c r="M1141" s="2" t="s">
        <v>74</v>
      </c>
      <c r="N1141" s="2" t="s">
        <v>74</v>
      </c>
      <c r="O1141" s="2" t="s">
        <v>74</v>
      </c>
      <c r="P1141" s="2" t="s">
        <v>74</v>
      </c>
      <c r="Q1141" s="2" t="s">
        <v>74</v>
      </c>
      <c r="R1141" s="2" t="s">
        <v>74</v>
      </c>
      <c r="S1141" s="2" t="s">
        <v>74</v>
      </c>
      <c r="T1141" s="2" t="s">
        <v>74</v>
      </c>
      <c r="U1141" s="2" t="s">
        <v>74</v>
      </c>
      <c r="V1141" s="5" t="s">
        <v>8197</v>
      </c>
      <c r="W1141" s="2" t="s">
        <v>74</v>
      </c>
      <c r="X1141" s="2" t="s">
        <v>74</v>
      </c>
      <c r="Y1141" s="2" t="s">
        <v>74</v>
      </c>
      <c r="Z1141" s="2" t="s">
        <v>74</v>
      </c>
      <c r="AA1141" s="2" t="s">
        <v>8198</v>
      </c>
      <c r="AB1141" s="2" t="s">
        <v>1377</v>
      </c>
      <c r="AC1141" s="2" t="s">
        <v>74</v>
      </c>
      <c r="AD1141" s="2" t="s">
        <v>74</v>
      </c>
      <c r="AE1141" s="2" t="s">
        <v>74</v>
      </c>
      <c r="AF1141" s="2" t="s">
        <v>74</v>
      </c>
      <c r="AG1141" s="2" t="s">
        <v>74</v>
      </c>
      <c r="AH1141" s="2" t="s">
        <v>74</v>
      </c>
      <c r="AI1141" s="2" t="s">
        <v>74</v>
      </c>
      <c r="AJ1141" s="2" t="s">
        <v>74</v>
      </c>
      <c r="AK1141" s="2" t="s">
        <v>74</v>
      </c>
      <c r="AL1141" s="2" t="s">
        <v>74</v>
      </c>
      <c r="AM1141" s="2" t="s">
        <v>74</v>
      </c>
      <c r="AN1141" s="2" t="s">
        <v>74</v>
      </c>
      <c r="AO1141" s="2" t="s">
        <v>285</v>
      </c>
      <c r="AP1141" s="2" t="s">
        <v>286</v>
      </c>
      <c r="AQ1141" s="2" t="s">
        <v>74</v>
      </c>
      <c r="AR1141" s="2" t="s">
        <v>74</v>
      </c>
      <c r="AS1141" s="2" t="s">
        <v>74</v>
      </c>
      <c r="AT1141" s="2" t="s">
        <v>175</v>
      </c>
      <c r="AU1141" s="2">
        <v>2022</v>
      </c>
      <c r="AV1141" s="2">
        <v>25</v>
      </c>
      <c r="AW1141" s="2">
        <v>5</v>
      </c>
      <c r="AX1141" s="2" t="s">
        <v>74</v>
      </c>
      <c r="AY1141" s="2" t="s">
        <v>74</v>
      </c>
      <c r="AZ1141" s="2" t="s">
        <v>848</v>
      </c>
      <c r="BA1141" s="2" t="s">
        <v>74</v>
      </c>
      <c r="BB1141" s="2">
        <v>1299</v>
      </c>
      <c r="BC1141" s="2">
        <v>1306</v>
      </c>
      <c r="BD1141" s="2" t="s">
        <v>74</v>
      </c>
      <c r="BE1141" s="2" t="s">
        <v>8199</v>
      </c>
      <c r="BF1141" s="2" t="str">
        <f>HYPERLINK("http://dx.doi.org/10.1007/s10071-022-01613-9","http://dx.doi.org/10.1007/s10071-022-01613-9")</f>
        <v>http://dx.doi.org/10.1007/s10071-022-01613-9</v>
      </c>
      <c r="BG1141" s="2" t="s">
        <v>74</v>
      </c>
      <c r="BH1141" s="2" t="s">
        <v>415</v>
      </c>
      <c r="BI1141" s="2" t="s">
        <v>74</v>
      </c>
      <c r="BJ1141" s="2" t="s">
        <v>74</v>
      </c>
      <c r="BK1141" s="2" t="s">
        <v>74</v>
      </c>
      <c r="BL1141" s="2" t="s">
        <v>74</v>
      </c>
      <c r="BM1141" s="2" t="s">
        <v>74</v>
      </c>
      <c r="BN1141" s="2">
        <v>35320446</v>
      </c>
      <c r="BO1141" s="2" t="s">
        <v>74</v>
      </c>
      <c r="BP1141" s="2" t="s">
        <v>74</v>
      </c>
      <c r="BQ1141" s="2" t="s">
        <v>74</v>
      </c>
      <c r="BR1141" s="2" t="s">
        <v>74</v>
      </c>
      <c r="BS1141" s="2" t="s">
        <v>8200</v>
      </c>
      <c r="BT1141" s="2" t="str">
        <f>HYPERLINK("https%3A%2F%2Fwww.webofscience.com%2Fwos%2Fwoscc%2Ffull-record%2FWOS:000772345800001","View Full Record in Web of Science")</f>
        <v>View Full Record in Web of Science</v>
      </c>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row>
    <row r="1142" spans="1:314" s="7" customFormat="1" x14ac:dyDescent="0.4">
      <c r="A1142" s="2" t="s">
        <v>72</v>
      </c>
      <c r="B1142" s="2" t="s">
        <v>5919</v>
      </c>
      <c r="C1142" s="2" t="s">
        <v>74</v>
      </c>
      <c r="D1142" s="2" t="s">
        <v>74</v>
      </c>
      <c r="E1142" s="2" t="s">
        <v>74</v>
      </c>
      <c r="F1142" s="2" t="s">
        <v>5920</v>
      </c>
      <c r="G1142" s="2" t="s">
        <v>74</v>
      </c>
      <c r="H1142" s="2" t="s">
        <v>74</v>
      </c>
      <c r="I1142" s="2" t="s">
        <v>5921</v>
      </c>
      <c r="J1142" s="2" t="s">
        <v>119</v>
      </c>
      <c r="K1142" s="2" t="s">
        <v>74</v>
      </c>
      <c r="L1142" s="2" t="s">
        <v>74</v>
      </c>
      <c r="M1142" s="2" t="s">
        <v>74</v>
      </c>
      <c r="N1142" s="2" t="s">
        <v>74</v>
      </c>
      <c r="O1142" s="2" t="s">
        <v>74</v>
      </c>
      <c r="P1142" s="2" t="s">
        <v>74</v>
      </c>
      <c r="Q1142" s="2" t="s">
        <v>74</v>
      </c>
      <c r="R1142" s="2" t="s">
        <v>74</v>
      </c>
      <c r="S1142" s="2" t="s">
        <v>74</v>
      </c>
      <c r="T1142" s="2" t="s">
        <v>74</v>
      </c>
      <c r="U1142" s="2" t="s">
        <v>74</v>
      </c>
      <c r="V1142" s="5" t="s">
        <v>5922</v>
      </c>
      <c r="W1142" s="2" t="s">
        <v>74</v>
      </c>
      <c r="X1142" s="2" t="s">
        <v>74</v>
      </c>
      <c r="Y1142" s="2" t="s">
        <v>74</v>
      </c>
      <c r="Z1142" s="2" t="s">
        <v>74</v>
      </c>
      <c r="AA1142" s="2" t="s">
        <v>5923</v>
      </c>
      <c r="AB1142" s="2" t="s">
        <v>74</v>
      </c>
      <c r="AC1142" s="2" t="s">
        <v>74</v>
      </c>
      <c r="AD1142" s="2" t="s">
        <v>74</v>
      </c>
      <c r="AE1142" s="2" t="s">
        <v>74</v>
      </c>
      <c r="AF1142" s="2" t="s">
        <v>74</v>
      </c>
      <c r="AG1142" s="2" t="s">
        <v>74</v>
      </c>
      <c r="AH1142" s="2" t="s">
        <v>74</v>
      </c>
      <c r="AI1142" s="2" t="s">
        <v>74</v>
      </c>
      <c r="AJ1142" s="2" t="s">
        <v>74</v>
      </c>
      <c r="AK1142" s="2" t="s">
        <v>74</v>
      </c>
      <c r="AL1142" s="2" t="s">
        <v>74</v>
      </c>
      <c r="AM1142" s="2" t="s">
        <v>74</v>
      </c>
      <c r="AN1142" s="2" t="s">
        <v>74</v>
      </c>
      <c r="AO1142" s="2" t="s">
        <v>121</v>
      </c>
      <c r="AP1142" s="2" t="s">
        <v>122</v>
      </c>
      <c r="AQ1142" s="2" t="s">
        <v>74</v>
      </c>
      <c r="AR1142" s="2" t="s">
        <v>74</v>
      </c>
      <c r="AS1142" s="2" t="s">
        <v>74</v>
      </c>
      <c r="AT1142" s="2" t="s">
        <v>633</v>
      </c>
      <c r="AU1142" s="2">
        <v>2016</v>
      </c>
      <c r="AV1142" s="2">
        <v>125</v>
      </c>
      <c r="AW1142" s="2" t="s">
        <v>74</v>
      </c>
      <c r="AX1142" s="2" t="s">
        <v>74</v>
      </c>
      <c r="AY1142" s="2" t="s">
        <v>74</v>
      </c>
      <c r="AZ1142" s="2" t="s">
        <v>74</v>
      </c>
      <c r="BA1142" s="2" t="s">
        <v>74</v>
      </c>
      <c r="BB1142" s="2">
        <v>85</v>
      </c>
      <c r="BC1142" s="2">
        <v>88</v>
      </c>
      <c r="BD1142" s="2" t="s">
        <v>74</v>
      </c>
      <c r="BE1142" s="2" t="s">
        <v>5924</v>
      </c>
      <c r="BF1142" s="2" t="str">
        <f>HYPERLINK("http://dx.doi.org/10.1016/j.beproc.2016.02.010","http://dx.doi.org/10.1016/j.beproc.2016.02.010")</f>
        <v>http://dx.doi.org/10.1016/j.beproc.2016.02.010</v>
      </c>
      <c r="BG1142" s="2" t="s">
        <v>74</v>
      </c>
      <c r="BH1142" s="2" t="s">
        <v>74</v>
      </c>
      <c r="BI1142" s="2" t="s">
        <v>74</v>
      </c>
      <c r="BJ1142" s="2" t="s">
        <v>74</v>
      </c>
      <c r="BK1142" s="2" t="s">
        <v>74</v>
      </c>
      <c r="BL1142" s="2" t="s">
        <v>74</v>
      </c>
      <c r="BM1142" s="2" t="s">
        <v>74</v>
      </c>
      <c r="BN1142" s="2">
        <v>26912482</v>
      </c>
      <c r="BO1142" s="2" t="s">
        <v>74</v>
      </c>
      <c r="BP1142" s="2" t="s">
        <v>74</v>
      </c>
      <c r="BQ1142" s="2" t="s">
        <v>74</v>
      </c>
      <c r="BR1142" s="2" t="s">
        <v>74</v>
      </c>
      <c r="BS1142" s="2" t="s">
        <v>5925</v>
      </c>
      <c r="BT1142" s="2" t="str">
        <f>HYPERLINK("https%3A%2F%2Fwww.webofscience.com%2Fwos%2Fwoscc%2Ffull-record%2FWOS:000373542900012","View Full Record in Web of Science")</f>
        <v>View Full Record in Web of Science</v>
      </c>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row>
    <row r="1143" spans="1:314" s="2" customFormat="1" x14ac:dyDescent="0.4">
      <c r="A1143" s="2" t="s">
        <v>72</v>
      </c>
      <c r="B1143" s="2" t="s">
        <v>1900</v>
      </c>
      <c r="C1143" s="2" t="s">
        <v>74</v>
      </c>
      <c r="D1143" s="2" t="s">
        <v>74</v>
      </c>
      <c r="E1143" s="2" t="s">
        <v>74</v>
      </c>
      <c r="F1143" s="2" t="s">
        <v>1900</v>
      </c>
      <c r="G1143" s="2" t="s">
        <v>74</v>
      </c>
      <c r="H1143" s="2" t="s">
        <v>74</v>
      </c>
      <c r="I1143" s="2" t="s">
        <v>1901</v>
      </c>
      <c r="J1143" s="2" t="s">
        <v>610</v>
      </c>
      <c r="K1143" s="2" t="s">
        <v>74</v>
      </c>
      <c r="L1143" s="2" t="s">
        <v>74</v>
      </c>
      <c r="M1143" s="2" t="s">
        <v>74</v>
      </c>
      <c r="N1143" s="2" t="s">
        <v>74</v>
      </c>
      <c r="O1143" s="2" t="s">
        <v>74</v>
      </c>
      <c r="P1143" s="2" t="s">
        <v>74</v>
      </c>
      <c r="Q1143" s="2" t="s">
        <v>74</v>
      </c>
      <c r="R1143" s="2" t="s">
        <v>74</v>
      </c>
      <c r="S1143" s="2" t="s">
        <v>74</v>
      </c>
      <c r="T1143" s="2" t="s">
        <v>74</v>
      </c>
      <c r="U1143" s="2" t="s">
        <v>74</v>
      </c>
      <c r="V1143" s="5" t="s">
        <v>1902</v>
      </c>
      <c r="W1143" s="2" t="s">
        <v>74</v>
      </c>
      <c r="X1143" s="2" t="s">
        <v>74</v>
      </c>
      <c r="Y1143" s="2" t="s">
        <v>74</v>
      </c>
      <c r="Z1143" s="2" t="s">
        <v>74</v>
      </c>
      <c r="AA1143" s="2" t="s">
        <v>74</v>
      </c>
      <c r="AB1143" s="2" t="s">
        <v>74</v>
      </c>
      <c r="AC1143" s="2" t="s">
        <v>74</v>
      </c>
      <c r="AD1143" s="2" t="s">
        <v>74</v>
      </c>
      <c r="AE1143" s="2" t="s">
        <v>74</v>
      </c>
      <c r="AF1143" s="2" t="s">
        <v>74</v>
      </c>
      <c r="AG1143" s="2" t="s">
        <v>74</v>
      </c>
      <c r="AH1143" s="2" t="s">
        <v>74</v>
      </c>
      <c r="AI1143" s="2" t="s">
        <v>74</v>
      </c>
      <c r="AJ1143" s="2" t="s">
        <v>74</v>
      </c>
      <c r="AK1143" s="2" t="s">
        <v>74</v>
      </c>
      <c r="AL1143" s="2" t="s">
        <v>74</v>
      </c>
      <c r="AM1143" s="2" t="s">
        <v>74</v>
      </c>
      <c r="AN1143" s="2" t="s">
        <v>74</v>
      </c>
      <c r="AO1143" s="2" t="s">
        <v>614</v>
      </c>
      <c r="AP1143" s="2" t="s">
        <v>615</v>
      </c>
      <c r="AQ1143" s="2" t="s">
        <v>74</v>
      </c>
      <c r="AR1143" s="2" t="s">
        <v>74</v>
      </c>
      <c r="AS1143" s="2" t="s">
        <v>74</v>
      </c>
      <c r="AT1143" s="2" t="s">
        <v>352</v>
      </c>
      <c r="AU1143" s="2">
        <v>2001</v>
      </c>
      <c r="AV1143" s="2">
        <v>107</v>
      </c>
      <c r="AW1143" s="2">
        <v>9</v>
      </c>
      <c r="AX1143" s="2" t="s">
        <v>74</v>
      </c>
      <c r="AY1143" s="2" t="s">
        <v>74</v>
      </c>
      <c r="AZ1143" s="2" t="s">
        <v>74</v>
      </c>
      <c r="BA1143" s="2" t="s">
        <v>74</v>
      </c>
      <c r="BB1143" s="2">
        <v>777</v>
      </c>
      <c r="BC1143" s="2">
        <v>793</v>
      </c>
      <c r="BD1143" s="2" t="s">
        <v>74</v>
      </c>
      <c r="BE1143" s="2" t="s">
        <v>1903</v>
      </c>
      <c r="BF1143" s="2" t="str">
        <f>HYPERLINK("http://dx.doi.org/10.1046/j.1439-0310.2001.00704.x","http://dx.doi.org/10.1046/j.1439-0310.2001.00704.x")</f>
        <v>http://dx.doi.org/10.1046/j.1439-0310.2001.00704.x</v>
      </c>
      <c r="BG1143" s="2" t="s">
        <v>74</v>
      </c>
      <c r="BH1143" s="2" t="s">
        <v>74</v>
      </c>
      <c r="BI1143" s="2" t="s">
        <v>74</v>
      </c>
      <c r="BJ1143" s="2" t="s">
        <v>74</v>
      </c>
      <c r="BK1143" s="2" t="s">
        <v>74</v>
      </c>
      <c r="BL1143" s="2" t="s">
        <v>74</v>
      </c>
      <c r="BM1143" s="2" t="s">
        <v>74</v>
      </c>
      <c r="BN1143" s="2" t="s">
        <v>74</v>
      </c>
      <c r="BO1143" s="2" t="s">
        <v>74</v>
      </c>
      <c r="BP1143" s="2" t="s">
        <v>74</v>
      </c>
      <c r="BQ1143" s="2" t="s">
        <v>74</v>
      </c>
      <c r="BR1143" s="2" t="s">
        <v>74</v>
      </c>
      <c r="BS1143" s="2" t="s">
        <v>1904</v>
      </c>
      <c r="BT1143" s="2" t="str">
        <f>HYPERLINK("https%3A%2F%2Fwww.webofscience.com%2Fwos%2Fwoscc%2Ffull-record%2FWOS:000171378500002","View Full Record in Web of Science")</f>
        <v>View Full Record in Web of Science</v>
      </c>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row>
    <row r="1144" spans="1:314" s="2" customFormat="1" x14ac:dyDescent="0.4">
      <c r="A1144" s="2" t="s">
        <v>72</v>
      </c>
      <c r="B1144" s="2" t="s">
        <v>6875</v>
      </c>
      <c r="C1144" s="2" t="s">
        <v>74</v>
      </c>
      <c r="D1144" s="2" t="s">
        <v>74</v>
      </c>
      <c r="E1144" s="2" t="s">
        <v>74</v>
      </c>
      <c r="F1144" s="2" t="s">
        <v>6876</v>
      </c>
      <c r="G1144" s="2" t="s">
        <v>74</v>
      </c>
      <c r="H1144" s="2" t="s">
        <v>74</v>
      </c>
      <c r="I1144" s="2" t="s">
        <v>6877</v>
      </c>
      <c r="J1144" s="2" t="s">
        <v>5961</v>
      </c>
      <c r="K1144" s="2" t="s">
        <v>74</v>
      </c>
      <c r="L1144" s="2" t="s">
        <v>74</v>
      </c>
      <c r="M1144" s="2" t="s">
        <v>74</v>
      </c>
      <c r="N1144" s="2" t="s">
        <v>74</v>
      </c>
      <c r="O1144" s="2" t="s">
        <v>74</v>
      </c>
      <c r="P1144" s="2" t="s">
        <v>74</v>
      </c>
      <c r="Q1144" s="2" t="s">
        <v>74</v>
      </c>
      <c r="R1144" s="2" t="s">
        <v>74</v>
      </c>
      <c r="S1144" s="2" t="s">
        <v>74</v>
      </c>
      <c r="T1144" s="2" t="s">
        <v>74</v>
      </c>
      <c r="U1144" s="2" t="s">
        <v>74</v>
      </c>
      <c r="V1144" s="5" t="s">
        <v>6878</v>
      </c>
      <c r="W1144" s="2" t="s">
        <v>74</v>
      </c>
      <c r="X1144" s="2" t="s">
        <v>74</v>
      </c>
      <c r="Y1144" s="2" t="s">
        <v>74</v>
      </c>
      <c r="Z1144" s="2" t="s">
        <v>74</v>
      </c>
      <c r="AA1144" s="2" t="s">
        <v>6879</v>
      </c>
      <c r="AB1144" s="2" t="s">
        <v>6880</v>
      </c>
      <c r="AC1144" s="2" t="s">
        <v>74</v>
      </c>
      <c r="AD1144" s="2" t="s">
        <v>74</v>
      </c>
      <c r="AE1144" s="2" t="s">
        <v>74</v>
      </c>
      <c r="AF1144" s="2" t="s">
        <v>74</v>
      </c>
      <c r="AG1144" s="2" t="s">
        <v>74</v>
      </c>
      <c r="AH1144" s="2" t="s">
        <v>74</v>
      </c>
      <c r="AI1144" s="2" t="s">
        <v>74</v>
      </c>
      <c r="AJ1144" s="2" t="s">
        <v>74</v>
      </c>
      <c r="AK1144" s="2" t="s">
        <v>74</v>
      </c>
      <c r="AL1144" s="2" t="s">
        <v>74</v>
      </c>
      <c r="AM1144" s="2" t="s">
        <v>74</v>
      </c>
      <c r="AN1144" s="2" t="s">
        <v>74</v>
      </c>
      <c r="AO1144" s="2" t="s">
        <v>5965</v>
      </c>
      <c r="AP1144" s="2" t="s">
        <v>5966</v>
      </c>
      <c r="AQ1144" s="2" t="s">
        <v>74</v>
      </c>
      <c r="AR1144" s="2" t="s">
        <v>74</v>
      </c>
      <c r="AS1144" s="2" t="s">
        <v>74</v>
      </c>
      <c r="AT1144" s="2" t="s">
        <v>204</v>
      </c>
      <c r="AU1144" s="2">
        <v>2018</v>
      </c>
      <c r="AV1144" s="2">
        <v>43</v>
      </c>
      <c r="AW1144" s="2">
        <v>3</v>
      </c>
      <c r="AX1144" s="2" t="s">
        <v>74</v>
      </c>
      <c r="AY1144" s="2" t="s">
        <v>74</v>
      </c>
      <c r="AZ1144" s="2" t="s">
        <v>74</v>
      </c>
      <c r="BA1144" s="2" t="s">
        <v>74</v>
      </c>
      <c r="BB1144" s="2">
        <v>568</v>
      </c>
      <c r="BC1144" s="2">
        <v>595</v>
      </c>
      <c r="BD1144" s="2" t="s">
        <v>74</v>
      </c>
      <c r="BE1144" s="2" t="s">
        <v>6881</v>
      </c>
      <c r="BF1144" s="2" t="str">
        <f>HYPERLINK("http://dx.doi.org/10.1111/syen.12287","http://dx.doi.org/10.1111/syen.12287")</f>
        <v>http://dx.doi.org/10.1111/syen.12287</v>
      </c>
      <c r="BG1144" s="2" t="s">
        <v>74</v>
      </c>
      <c r="BH1144" s="2" t="s">
        <v>74</v>
      </c>
      <c r="BI1144" s="2" t="s">
        <v>74</v>
      </c>
      <c r="BJ1144" s="2" t="s">
        <v>74</v>
      </c>
      <c r="BK1144" s="2" t="s">
        <v>74</v>
      </c>
      <c r="BL1144" s="2" t="s">
        <v>74</v>
      </c>
      <c r="BM1144" s="2" t="s">
        <v>74</v>
      </c>
      <c r="BN1144" s="2" t="s">
        <v>74</v>
      </c>
      <c r="BO1144" s="2" t="s">
        <v>74</v>
      </c>
      <c r="BP1144" s="2" t="s">
        <v>74</v>
      </c>
      <c r="BQ1144" s="2" t="s">
        <v>74</v>
      </c>
      <c r="BR1144" s="2" t="s">
        <v>74</v>
      </c>
      <c r="BS1144" s="2" t="s">
        <v>6882</v>
      </c>
      <c r="BT1144" s="2" t="str">
        <f>HYPERLINK("https%3A%2F%2Fwww.webofscience.com%2Fwos%2Fwoscc%2Ffull-record%2FWOS:000434280000009","View Full Record in Web of Science")</f>
        <v>View Full Record in Web of Science</v>
      </c>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row>
    <row r="1145" spans="1:314" s="2" customFormat="1" x14ac:dyDescent="0.4">
      <c r="A1145" s="2" t="s">
        <v>72</v>
      </c>
      <c r="B1145" s="2" t="s">
        <v>1181</v>
      </c>
      <c r="C1145" s="2" t="s">
        <v>74</v>
      </c>
      <c r="D1145" s="2" t="s">
        <v>74</v>
      </c>
      <c r="E1145" s="2" t="s">
        <v>74</v>
      </c>
      <c r="F1145" s="2" t="s">
        <v>1182</v>
      </c>
      <c r="G1145" s="2" t="s">
        <v>74</v>
      </c>
      <c r="H1145" s="2" t="s">
        <v>74</v>
      </c>
      <c r="I1145" s="2" t="s">
        <v>1183</v>
      </c>
      <c r="J1145" s="2" t="s">
        <v>229</v>
      </c>
      <c r="K1145" s="2" t="s">
        <v>74</v>
      </c>
      <c r="L1145" s="2" t="s">
        <v>74</v>
      </c>
      <c r="M1145" s="2" t="s">
        <v>74</v>
      </c>
      <c r="N1145" s="2" t="s">
        <v>74</v>
      </c>
      <c r="O1145" s="2" t="s">
        <v>74</v>
      </c>
      <c r="P1145" s="2" t="s">
        <v>74</v>
      </c>
      <c r="Q1145" s="2" t="s">
        <v>74</v>
      </c>
      <c r="R1145" s="2" t="s">
        <v>74</v>
      </c>
      <c r="S1145" s="2" t="s">
        <v>74</v>
      </c>
      <c r="T1145" s="2" t="s">
        <v>74</v>
      </c>
      <c r="U1145" s="2" t="s">
        <v>74</v>
      </c>
      <c r="V1145" s="5" t="s">
        <v>1184</v>
      </c>
      <c r="W1145" s="2" t="s">
        <v>74</v>
      </c>
      <c r="X1145" s="2" t="s">
        <v>74</v>
      </c>
      <c r="Y1145" s="2" t="s">
        <v>74</v>
      </c>
      <c r="Z1145" s="2" t="s">
        <v>74</v>
      </c>
      <c r="AA1145" s="2" t="s">
        <v>1185</v>
      </c>
      <c r="AB1145" s="2" t="s">
        <v>74</v>
      </c>
      <c r="AC1145" s="2" t="s">
        <v>74</v>
      </c>
      <c r="AD1145" s="2" t="s">
        <v>74</v>
      </c>
      <c r="AE1145" s="2" t="s">
        <v>74</v>
      </c>
      <c r="AF1145" s="2" t="s">
        <v>74</v>
      </c>
      <c r="AG1145" s="2" t="s">
        <v>74</v>
      </c>
      <c r="AH1145" s="2" t="s">
        <v>74</v>
      </c>
      <c r="AI1145" s="2" t="s">
        <v>74</v>
      </c>
      <c r="AJ1145" s="2" t="s">
        <v>74</v>
      </c>
      <c r="AK1145" s="2" t="s">
        <v>74</v>
      </c>
      <c r="AL1145" s="2" t="s">
        <v>74</v>
      </c>
      <c r="AM1145" s="2" t="s">
        <v>74</v>
      </c>
      <c r="AN1145" s="2" t="s">
        <v>74</v>
      </c>
      <c r="AO1145" s="2" t="s">
        <v>233</v>
      </c>
      <c r="AP1145" s="2" t="s">
        <v>234</v>
      </c>
      <c r="AQ1145" s="2" t="s">
        <v>74</v>
      </c>
      <c r="AR1145" s="2" t="s">
        <v>74</v>
      </c>
      <c r="AS1145" s="2" t="s">
        <v>74</v>
      </c>
      <c r="AT1145" s="2" t="s">
        <v>1075</v>
      </c>
      <c r="AU1145" s="2">
        <v>2014</v>
      </c>
      <c r="AV1145" s="2">
        <v>40</v>
      </c>
      <c r="AW1145" s="2">
        <v>6</v>
      </c>
      <c r="AX1145" s="2" t="s">
        <v>74</v>
      </c>
      <c r="AY1145" s="2" t="s">
        <v>74</v>
      </c>
      <c r="AZ1145" s="2" t="s">
        <v>74</v>
      </c>
      <c r="BA1145" s="2" t="s">
        <v>74</v>
      </c>
      <c r="BB1145" s="2">
        <v>537</v>
      </c>
      <c r="BC1145" s="2">
        <v>541</v>
      </c>
      <c r="BD1145" s="2" t="s">
        <v>74</v>
      </c>
      <c r="BE1145" s="2" t="s">
        <v>1186</v>
      </c>
      <c r="BF1145" s="2" t="str">
        <f>HYPERLINK("http://dx.doi.org/10.1002/ab.21551","http://dx.doi.org/10.1002/ab.21551")</f>
        <v>http://dx.doi.org/10.1002/ab.21551</v>
      </c>
      <c r="BG1145" s="2" t="s">
        <v>74</v>
      </c>
      <c r="BH1145" s="2" t="s">
        <v>74</v>
      </c>
      <c r="BI1145" s="2" t="s">
        <v>74</v>
      </c>
      <c r="BJ1145" s="2" t="s">
        <v>74</v>
      </c>
      <c r="BK1145" s="2" t="s">
        <v>74</v>
      </c>
      <c r="BL1145" s="2" t="s">
        <v>74</v>
      </c>
      <c r="BM1145" s="2" t="s">
        <v>74</v>
      </c>
      <c r="BN1145" s="2">
        <v>25043905</v>
      </c>
      <c r="BO1145" s="2" t="s">
        <v>74</v>
      </c>
      <c r="BP1145" s="2" t="s">
        <v>74</v>
      </c>
      <c r="BQ1145" s="2" t="s">
        <v>74</v>
      </c>
      <c r="BR1145" s="2" t="s">
        <v>74</v>
      </c>
      <c r="BS1145" s="2" t="s">
        <v>1187</v>
      </c>
      <c r="BT1145" s="2" t="str">
        <f>HYPERLINK("https%3A%2F%2Fwww.webofscience.com%2Fwos%2Fwoscc%2Ffull-record%2FWOS:000344002600005","View Full Record in Web of Science")</f>
        <v>View Full Record in Web of Science</v>
      </c>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row>
    <row r="1146" spans="1:314" s="2" customFormat="1" x14ac:dyDescent="0.4">
      <c r="A1146" s="2" t="s">
        <v>72</v>
      </c>
      <c r="B1146" s="2" t="s">
        <v>2435</v>
      </c>
      <c r="C1146" s="2" t="s">
        <v>74</v>
      </c>
      <c r="D1146" s="2" t="s">
        <v>74</v>
      </c>
      <c r="E1146" s="2" t="s">
        <v>74</v>
      </c>
      <c r="F1146" s="2" t="s">
        <v>2436</v>
      </c>
      <c r="G1146" s="2" t="s">
        <v>74</v>
      </c>
      <c r="H1146" s="2" t="s">
        <v>74</v>
      </c>
      <c r="I1146" s="2" t="s">
        <v>2437</v>
      </c>
      <c r="J1146" s="2" t="s">
        <v>2438</v>
      </c>
      <c r="K1146" s="2" t="s">
        <v>74</v>
      </c>
      <c r="L1146" s="2" t="s">
        <v>74</v>
      </c>
      <c r="M1146" s="2" t="s">
        <v>74</v>
      </c>
      <c r="N1146" s="2" t="s">
        <v>74</v>
      </c>
      <c r="O1146" s="2" t="s">
        <v>74</v>
      </c>
      <c r="P1146" s="2" t="s">
        <v>74</v>
      </c>
      <c r="Q1146" s="2" t="s">
        <v>74</v>
      </c>
      <c r="R1146" s="2" t="s">
        <v>74</v>
      </c>
      <c r="S1146" s="2" t="s">
        <v>74</v>
      </c>
      <c r="T1146" s="2" t="s">
        <v>74</v>
      </c>
      <c r="U1146" s="2" t="s">
        <v>74</v>
      </c>
      <c r="V1146" s="5" t="s">
        <v>2439</v>
      </c>
      <c r="W1146" s="2" t="s">
        <v>74</v>
      </c>
      <c r="X1146" s="2" t="s">
        <v>74</v>
      </c>
      <c r="Y1146" s="2" t="s">
        <v>74</v>
      </c>
      <c r="Z1146" s="2" t="s">
        <v>74</v>
      </c>
      <c r="AA1146" s="2" t="s">
        <v>2440</v>
      </c>
      <c r="AB1146" s="2" t="s">
        <v>2441</v>
      </c>
      <c r="AC1146" s="2" t="s">
        <v>74</v>
      </c>
      <c r="AD1146" s="2" t="s">
        <v>74</v>
      </c>
      <c r="AE1146" s="2" t="s">
        <v>74</v>
      </c>
      <c r="AF1146" s="2" t="s">
        <v>74</v>
      </c>
      <c r="AG1146" s="2" t="s">
        <v>74</v>
      </c>
      <c r="AH1146" s="2" t="s">
        <v>74</v>
      </c>
      <c r="AI1146" s="2" t="s">
        <v>74</v>
      </c>
      <c r="AJ1146" s="2" t="s">
        <v>74</v>
      </c>
      <c r="AK1146" s="2" t="s">
        <v>74</v>
      </c>
      <c r="AL1146" s="2" t="s">
        <v>74</v>
      </c>
      <c r="AM1146" s="2" t="s">
        <v>74</v>
      </c>
      <c r="AN1146" s="2" t="s">
        <v>74</v>
      </c>
      <c r="AO1146" s="2" t="s">
        <v>2442</v>
      </c>
      <c r="AP1146" s="2" t="s">
        <v>74</v>
      </c>
      <c r="AQ1146" s="2" t="s">
        <v>74</v>
      </c>
      <c r="AR1146" s="2" t="s">
        <v>74</v>
      </c>
      <c r="AS1146" s="2" t="s">
        <v>74</v>
      </c>
      <c r="AT1146" s="2" t="s">
        <v>2443</v>
      </c>
      <c r="AU1146" s="2">
        <v>2019</v>
      </c>
      <c r="AV1146" s="2">
        <v>8</v>
      </c>
      <c r="AW1146" s="2" t="s">
        <v>74</v>
      </c>
      <c r="AX1146" s="2" t="s">
        <v>74</v>
      </c>
      <c r="AY1146" s="2" t="s">
        <v>74</v>
      </c>
      <c r="AZ1146" s="2" t="s">
        <v>74</v>
      </c>
      <c r="BA1146" s="2" t="s">
        <v>74</v>
      </c>
      <c r="BB1146" s="2" t="s">
        <v>74</v>
      </c>
      <c r="BC1146" s="2" t="s">
        <v>74</v>
      </c>
      <c r="BD1146" s="2" t="s">
        <v>2444</v>
      </c>
      <c r="BE1146" s="2" t="s">
        <v>2445</v>
      </c>
      <c r="BF1146" s="2" t="str">
        <f>HYPERLINK("http://dx.doi.org/10.7554/eLife.41362","http://dx.doi.org/10.7554/eLife.41362")</f>
        <v>http://dx.doi.org/10.7554/eLife.41362</v>
      </c>
      <c r="BG1146" s="2" t="s">
        <v>74</v>
      </c>
      <c r="BH1146" s="2" t="s">
        <v>74</v>
      </c>
      <c r="BI1146" s="2" t="s">
        <v>74</v>
      </c>
      <c r="BJ1146" s="2" t="s">
        <v>74</v>
      </c>
      <c r="BK1146" s="2" t="s">
        <v>74</v>
      </c>
      <c r="BL1146" s="2" t="s">
        <v>74</v>
      </c>
      <c r="BM1146" s="2" t="s">
        <v>74</v>
      </c>
      <c r="BN1146" s="2">
        <v>30616714</v>
      </c>
      <c r="BO1146" s="2" t="s">
        <v>74</v>
      </c>
      <c r="BP1146" s="2" t="s">
        <v>74</v>
      </c>
      <c r="BQ1146" s="2" t="s">
        <v>74</v>
      </c>
      <c r="BR1146" s="2" t="s">
        <v>74</v>
      </c>
      <c r="BS1146" s="2" t="s">
        <v>2446</v>
      </c>
      <c r="BT1146" s="2" t="str">
        <f>HYPERLINK("https%3A%2F%2Fwww.webofscience.com%2Fwos%2Fwoscc%2Ffull-record%2FWOS:000455079700001","View Full Record in Web of Science")</f>
        <v>View Full Record in Web of Science</v>
      </c>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row>
    <row r="1147" spans="1:314" s="2" customFormat="1" x14ac:dyDescent="0.4">
      <c r="A1147" s="2" t="s">
        <v>72</v>
      </c>
      <c r="B1147" s="2" t="s">
        <v>2300</v>
      </c>
      <c r="C1147" s="2" t="s">
        <v>74</v>
      </c>
      <c r="D1147" s="2" t="s">
        <v>74</v>
      </c>
      <c r="E1147" s="2" t="s">
        <v>74</v>
      </c>
      <c r="F1147" s="2" t="s">
        <v>2301</v>
      </c>
      <c r="G1147" s="2" t="s">
        <v>74</v>
      </c>
      <c r="H1147" s="2" t="s">
        <v>74</v>
      </c>
      <c r="I1147" s="2" t="s">
        <v>2302</v>
      </c>
      <c r="J1147" s="2" t="s">
        <v>140</v>
      </c>
      <c r="K1147" s="2" t="s">
        <v>74</v>
      </c>
      <c r="L1147" s="2" t="s">
        <v>74</v>
      </c>
      <c r="M1147" s="2" t="s">
        <v>74</v>
      </c>
      <c r="N1147" s="2" t="s">
        <v>74</v>
      </c>
      <c r="O1147" s="2" t="s">
        <v>74</v>
      </c>
      <c r="P1147" s="2" t="s">
        <v>74</v>
      </c>
      <c r="Q1147" s="2" t="s">
        <v>74</v>
      </c>
      <c r="R1147" s="2" t="s">
        <v>74</v>
      </c>
      <c r="S1147" s="2" t="s">
        <v>74</v>
      </c>
      <c r="T1147" s="2" t="s">
        <v>74</v>
      </c>
      <c r="U1147" s="2" t="s">
        <v>74</v>
      </c>
      <c r="V1147" s="5" t="s">
        <v>2303</v>
      </c>
      <c r="W1147" s="2" t="s">
        <v>74</v>
      </c>
      <c r="X1147" s="2" t="s">
        <v>74</v>
      </c>
      <c r="Y1147" s="2" t="s">
        <v>74</v>
      </c>
      <c r="Z1147" s="2" t="s">
        <v>74</v>
      </c>
      <c r="AA1147" s="2" t="s">
        <v>74</v>
      </c>
      <c r="AB1147" s="2" t="s">
        <v>2304</v>
      </c>
      <c r="AC1147" s="2" t="s">
        <v>74</v>
      </c>
      <c r="AD1147" s="2" t="s">
        <v>74</v>
      </c>
      <c r="AE1147" s="2" t="s">
        <v>74</v>
      </c>
      <c r="AF1147" s="2" t="s">
        <v>74</v>
      </c>
      <c r="AG1147" s="2" t="s">
        <v>74</v>
      </c>
      <c r="AH1147" s="2" t="s">
        <v>74</v>
      </c>
      <c r="AI1147" s="2" t="s">
        <v>74</v>
      </c>
      <c r="AJ1147" s="2" t="s">
        <v>74</v>
      </c>
      <c r="AK1147" s="2" t="s">
        <v>74</v>
      </c>
      <c r="AL1147" s="2" t="s">
        <v>74</v>
      </c>
      <c r="AM1147" s="2" t="s">
        <v>74</v>
      </c>
      <c r="AN1147" s="2" t="s">
        <v>74</v>
      </c>
      <c r="AO1147" s="2" t="s">
        <v>143</v>
      </c>
      <c r="AP1147" s="2" t="s">
        <v>144</v>
      </c>
      <c r="AQ1147" s="2" t="s">
        <v>74</v>
      </c>
      <c r="AR1147" s="2" t="s">
        <v>74</v>
      </c>
      <c r="AS1147" s="2" t="s">
        <v>74</v>
      </c>
      <c r="AT1147" s="2" t="s">
        <v>964</v>
      </c>
      <c r="AU1147" s="2">
        <v>2009</v>
      </c>
      <c r="AV1147" s="2">
        <v>77</v>
      </c>
      <c r="AW1147" s="2">
        <v>2</v>
      </c>
      <c r="AX1147" s="2" t="s">
        <v>74</v>
      </c>
      <c r="AY1147" s="2" t="s">
        <v>74</v>
      </c>
      <c r="AZ1147" s="2" t="s">
        <v>74</v>
      </c>
      <c r="BA1147" s="2" t="s">
        <v>74</v>
      </c>
      <c r="BB1147" s="2">
        <v>531</v>
      </c>
      <c r="BC1147" s="2">
        <v>540</v>
      </c>
      <c r="BD1147" s="2" t="s">
        <v>74</v>
      </c>
      <c r="BE1147" s="2" t="s">
        <v>2305</v>
      </c>
      <c r="BF1147" s="2" t="str">
        <f>HYPERLINK("http://dx.doi.org/10.1016/j.anbehav.2008.11.013","http://dx.doi.org/10.1016/j.anbehav.2008.11.013")</f>
        <v>http://dx.doi.org/10.1016/j.anbehav.2008.11.013</v>
      </c>
      <c r="BG1147" s="2" t="s">
        <v>74</v>
      </c>
      <c r="BH1147" s="2" t="s">
        <v>74</v>
      </c>
      <c r="BI1147" s="2" t="s">
        <v>74</v>
      </c>
      <c r="BJ1147" s="2" t="s">
        <v>74</v>
      </c>
      <c r="BK1147" s="2" t="s">
        <v>74</v>
      </c>
      <c r="BL1147" s="2" t="s">
        <v>74</v>
      </c>
      <c r="BM1147" s="2" t="s">
        <v>74</v>
      </c>
      <c r="BN1147" s="2" t="s">
        <v>74</v>
      </c>
      <c r="BO1147" s="2" t="s">
        <v>74</v>
      </c>
      <c r="BP1147" s="2" t="s">
        <v>74</v>
      </c>
      <c r="BQ1147" s="2" t="s">
        <v>74</v>
      </c>
      <c r="BR1147" s="2" t="s">
        <v>74</v>
      </c>
      <c r="BS1147" s="2" t="s">
        <v>2306</v>
      </c>
      <c r="BT1147" s="2" t="str">
        <f>HYPERLINK("https%3A%2F%2Fwww.webofscience.com%2Fwos%2Fwoscc%2Ffull-record%2FWOS:000262709400033","View Full Record in Web of Science")</f>
        <v>View Full Record in Web of Science</v>
      </c>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row>
    <row r="1148" spans="1:314" s="2" customFormat="1" x14ac:dyDescent="0.4">
      <c r="A1148" s="2" t="s">
        <v>72</v>
      </c>
      <c r="B1148" s="2" t="s">
        <v>3282</v>
      </c>
      <c r="C1148" s="2" t="s">
        <v>74</v>
      </c>
      <c r="D1148" s="2" t="s">
        <v>74</v>
      </c>
      <c r="E1148" s="2" t="s">
        <v>74</v>
      </c>
      <c r="F1148" s="2" t="s">
        <v>3283</v>
      </c>
      <c r="G1148" s="2" t="s">
        <v>74</v>
      </c>
      <c r="H1148" s="2" t="s">
        <v>74</v>
      </c>
      <c r="I1148" s="2" t="s">
        <v>3284</v>
      </c>
      <c r="J1148" s="2" t="s">
        <v>1526</v>
      </c>
      <c r="K1148" s="2" t="s">
        <v>74</v>
      </c>
      <c r="L1148" s="2" t="s">
        <v>74</v>
      </c>
      <c r="M1148" s="2" t="s">
        <v>74</v>
      </c>
      <c r="N1148" s="2" t="s">
        <v>74</v>
      </c>
      <c r="O1148" s="2" t="s">
        <v>74</v>
      </c>
      <c r="P1148" s="2" t="s">
        <v>74</v>
      </c>
      <c r="Q1148" s="2" t="s">
        <v>74</v>
      </c>
      <c r="R1148" s="2" t="s">
        <v>74</v>
      </c>
      <c r="S1148" s="2" t="s">
        <v>74</v>
      </c>
      <c r="T1148" s="2" t="s">
        <v>74</v>
      </c>
      <c r="U1148" s="2" t="s">
        <v>74</v>
      </c>
      <c r="V1148" s="5" t="s">
        <v>3285</v>
      </c>
      <c r="W1148" s="2" t="s">
        <v>74</v>
      </c>
      <c r="X1148" s="2" t="s">
        <v>74</v>
      </c>
      <c r="Y1148" s="2" t="s">
        <v>74</v>
      </c>
      <c r="Z1148" s="2" t="s">
        <v>74</v>
      </c>
      <c r="AA1148" s="2" t="s">
        <v>74</v>
      </c>
      <c r="AB1148" s="2" t="s">
        <v>2304</v>
      </c>
      <c r="AC1148" s="2" t="s">
        <v>74</v>
      </c>
      <c r="AD1148" s="2" t="s">
        <v>74</v>
      </c>
      <c r="AE1148" s="2" t="s">
        <v>74</v>
      </c>
      <c r="AF1148" s="2" t="s">
        <v>74</v>
      </c>
      <c r="AG1148" s="2" t="s">
        <v>74</v>
      </c>
      <c r="AH1148" s="2" t="s">
        <v>74</v>
      </c>
      <c r="AI1148" s="2" t="s">
        <v>74</v>
      </c>
      <c r="AJ1148" s="2" t="s">
        <v>74</v>
      </c>
      <c r="AK1148" s="2" t="s">
        <v>74</v>
      </c>
      <c r="AL1148" s="2" t="s">
        <v>74</v>
      </c>
      <c r="AM1148" s="2" t="s">
        <v>74</v>
      </c>
      <c r="AN1148" s="2" t="s">
        <v>74</v>
      </c>
      <c r="AO1148" s="2" t="s">
        <v>1528</v>
      </c>
      <c r="AP1148" s="2" t="s">
        <v>2131</v>
      </c>
      <c r="AQ1148" s="2" t="s">
        <v>74</v>
      </c>
      <c r="AR1148" s="2" t="s">
        <v>74</v>
      </c>
      <c r="AS1148" s="2" t="s">
        <v>74</v>
      </c>
      <c r="AT1148" s="2" t="s">
        <v>213</v>
      </c>
      <c r="AU1148" s="2">
        <v>2009</v>
      </c>
      <c r="AV1148" s="2">
        <v>111</v>
      </c>
      <c r="AW1148" s="2">
        <v>4</v>
      </c>
      <c r="AX1148" s="2" t="s">
        <v>74</v>
      </c>
      <c r="AY1148" s="2" t="s">
        <v>74</v>
      </c>
      <c r="AZ1148" s="2" t="s">
        <v>74</v>
      </c>
      <c r="BA1148" s="2" t="s">
        <v>74</v>
      </c>
      <c r="BB1148" s="2">
        <v>740</v>
      </c>
      <c r="BC1148" s="2">
        <v>751</v>
      </c>
      <c r="BD1148" s="2" t="s">
        <v>74</v>
      </c>
      <c r="BE1148" s="2" t="s">
        <v>3286</v>
      </c>
      <c r="BF1148" s="2" t="str">
        <f>HYPERLINK("http://dx.doi.org/10.1525/cond.2009.090058","http://dx.doi.org/10.1525/cond.2009.090058")</f>
        <v>http://dx.doi.org/10.1525/cond.2009.090058</v>
      </c>
      <c r="BG1148" s="2" t="s">
        <v>74</v>
      </c>
      <c r="BH1148" s="2" t="s">
        <v>74</v>
      </c>
      <c r="BI1148" s="2" t="s">
        <v>74</v>
      </c>
      <c r="BJ1148" s="2" t="s">
        <v>74</v>
      </c>
      <c r="BK1148" s="2" t="s">
        <v>74</v>
      </c>
      <c r="BL1148" s="2" t="s">
        <v>74</v>
      </c>
      <c r="BM1148" s="2" t="s">
        <v>74</v>
      </c>
      <c r="BN1148" s="2" t="s">
        <v>74</v>
      </c>
      <c r="BO1148" s="2" t="s">
        <v>74</v>
      </c>
      <c r="BP1148" s="2" t="s">
        <v>74</v>
      </c>
      <c r="BQ1148" s="2" t="s">
        <v>74</v>
      </c>
      <c r="BR1148" s="2" t="s">
        <v>74</v>
      </c>
      <c r="BS1148" s="2" t="s">
        <v>3287</v>
      </c>
      <c r="BT1148" s="2" t="str">
        <f>HYPERLINK("https%3A%2F%2Fwww.webofscience.com%2Fwos%2Fwoscc%2Ffull-record%2FWOS:000272325600018","View Full Record in Web of Science")</f>
        <v>View Full Record in Web of Science</v>
      </c>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row>
    <row r="1149" spans="1:314" s="2" customFormat="1" x14ac:dyDescent="0.4">
      <c r="A1149" s="2" t="s">
        <v>72</v>
      </c>
      <c r="B1149" s="2" t="s">
        <v>4892</v>
      </c>
      <c r="C1149" s="2" t="s">
        <v>74</v>
      </c>
      <c r="D1149" s="2" t="s">
        <v>74</v>
      </c>
      <c r="E1149" s="2" t="s">
        <v>74</v>
      </c>
      <c r="F1149" s="2" t="s">
        <v>4893</v>
      </c>
      <c r="G1149" s="2" t="s">
        <v>74</v>
      </c>
      <c r="H1149" s="2" t="s">
        <v>74</v>
      </c>
      <c r="I1149" s="2" t="s">
        <v>4894</v>
      </c>
      <c r="J1149" s="2" t="s">
        <v>4895</v>
      </c>
      <c r="K1149" s="2" t="s">
        <v>74</v>
      </c>
      <c r="L1149" s="2" t="s">
        <v>74</v>
      </c>
      <c r="M1149" s="2" t="s">
        <v>74</v>
      </c>
      <c r="N1149" s="2" t="s">
        <v>74</v>
      </c>
      <c r="O1149" s="2" t="s">
        <v>74</v>
      </c>
      <c r="P1149" s="2" t="s">
        <v>74</v>
      </c>
      <c r="Q1149" s="2" t="s">
        <v>74</v>
      </c>
      <c r="R1149" s="2" t="s">
        <v>74</v>
      </c>
      <c r="S1149" s="2" t="s">
        <v>74</v>
      </c>
      <c r="T1149" s="2" t="s">
        <v>74</v>
      </c>
      <c r="U1149" s="2" t="s">
        <v>74</v>
      </c>
      <c r="V1149" s="5" t="s">
        <v>4896</v>
      </c>
      <c r="W1149" s="2" t="s">
        <v>74</v>
      </c>
      <c r="X1149" s="2" t="s">
        <v>74</v>
      </c>
      <c r="Y1149" s="2" t="s">
        <v>74</v>
      </c>
      <c r="Z1149" s="2" t="s">
        <v>74</v>
      </c>
      <c r="AA1149" s="2" t="s">
        <v>4897</v>
      </c>
      <c r="AB1149" s="2" t="s">
        <v>4898</v>
      </c>
      <c r="AC1149" s="2" t="s">
        <v>74</v>
      </c>
      <c r="AD1149" s="2" t="s">
        <v>74</v>
      </c>
      <c r="AE1149" s="2" t="s">
        <v>74</v>
      </c>
      <c r="AF1149" s="2" t="s">
        <v>74</v>
      </c>
      <c r="AG1149" s="2" t="s">
        <v>74</v>
      </c>
      <c r="AH1149" s="2" t="s">
        <v>74</v>
      </c>
      <c r="AI1149" s="2" t="s">
        <v>74</v>
      </c>
      <c r="AJ1149" s="2" t="s">
        <v>74</v>
      </c>
      <c r="AK1149" s="2" t="s">
        <v>74</v>
      </c>
      <c r="AL1149" s="2" t="s">
        <v>74</v>
      </c>
      <c r="AM1149" s="2" t="s">
        <v>74</v>
      </c>
      <c r="AN1149" s="2" t="s">
        <v>74</v>
      </c>
      <c r="AO1149" s="2" t="s">
        <v>4899</v>
      </c>
      <c r="AP1149" s="2" t="s">
        <v>4900</v>
      </c>
      <c r="AQ1149" s="2" t="s">
        <v>74</v>
      </c>
      <c r="AR1149" s="2" t="s">
        <v>74</v>
      </c>
      <c r="AS1149" s="2" t="s">
        <v>74</v>
      </c>
      <c r="AT1149" s="2" t="s">
        <v>213</v>
      </c>
      <c r="AU1149" s="2">
        <v>2018</v>
      </c>
      <c r="AV1149" s="2">
        <v>304</v>
      </c>
      <c r="AW1149" s="2">
        <v>9</v>
      </c>
      <c r="AX1149" s="2" t="s">
        <v>74</v>
      </c>
      <c r="AY1149" s="2" t="s">
        <v>74</v>
      </c>
      <c r="AZ1149" s="2" t="s">
        <v>74</v>
      </c>
      <c r="BA1149" s="2" t="s">
        <v>74</v>
      </c>
      <c r="BB1149" s="2">
        <v>1165</v>
      </c>
      <c r="BC1149" s="2">
        <v>1180</v>
      </c>
      <c r="BD1149" s="2" t="s">
        <v>74</v>
      </c>
      <c r="BE1149" s="2" t="s">
        <v>4901</v>
      </c>
      <c r="BF1149" s="2" t="str">
        <f>HYPERLINK("http://dx.doi.org/10.1007/s00606-018-1539-7","http://dx.doi.org/10.1007/s00606-018-1539-7")</f>
        <v>http://dx.doi.org/10.1007/s00606-018-1539-7</v>
      </c>
      <c r="BG1149" s="2" t="s">
        <v>74</v>
      </c>
      <c r="BH1149" s="2" t="s">
        <v>74</v>
      </c>
      <c r="BI1149" s="2" t="s">
        <v>74</v>
      </c>
      <c r="BJ1149" s="2" t="s">
        <v>74</v>
      </c>
      <c r="BK1149" s="2" t="s">
        <v>74</v>
      </c>
      <c r="BL1149" s="2" t="s">
        <v>74</v>
      </c>
      <c r="BM1149" s="2" t="s">
        <v>74</v>
      </c>
      <c r="BN1149" s="2" t="s">
        <v>74</v>
      </c>
      <c r="BO1149" s="2" t="s">
        <v>74</v>
      </c>
      <c r="BP1149" s="2" t="s">
        <v>74</v>
      </c>
      <c r="BQ1149" s="2" t="s">
        <v>74</v>
      </c>
      <c r="BR1149" s="2" t="s">
        <v>74</v>
      </c>
      <c r="BS1149" s="2" t="s">
        <v>4902</v>
      </c>
      <c r="BT1149" s="2" t="str">
        <f>HYPERLINK("https%3A%2F%2Fwww.webofscience.com%2Fwos%2Fwoscc%2Ffull-record%2FWOS:000447531400008","View Full Record in Web of Science")</f>
        <v>View Full Record in Web of Science</v>
      </c>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row>
    <row r="1150" spans="1:314" s="1" customFormat="1" x14ac:dyDescent="0.4">
      <c r="A1150" s="2" t="s">
        <v>72</v>
      </c>
      <c r="B1150" s="2" t="s">
        <v>4878</v>
      </c>
      <c r="C1150" s="2" t="s">
        <v>74</v>
      </c>
      <c r="D1150" s="2" t="s">
        <v>74</v>
      </c>
      <c r="E1150" s="2" t="s">
        <v>74</v>
      </c>
      <c r="F1150" s="2" t="s">
        <v>4879</v>
      </c>
      <c r="G1150" s="2" t="s">
        <v>74</v>
      </c>
      <c r="H1150" s="2" t="s">
        <v>74</v>
      </c>
      <c r="I1150" s="2" t="s">
        <v>4880</v>
      </c>
      <c r="J1150" s="2" t="s">
        <v>2017</v>
      </c>
      <c r="K1150" s="2" t="s">
        <v>74</v>
      </c>
      <c r="L1150" s="2" t="s">
        <v>74</v>
      </c>
      <c r="M1150" s="2" t="s">
        <v>74</v>
      </c>
      <c r="N1150" s="2" t="s">
        <v>74</v>
      </c>
      <c r="O1150" s="2" t="s">
        <v>74</v>
      </c>
      <c r="P1150" s="2" t="s">
        <v>74</v>
      </c>
      <c r="Q1150" s="2" t="s">
        <v>74</v>
      </c>
      <c r="R1150" s="2" t="s">
        <v>74</v>
      </c>
      <c r="S1150" s="2" t="s">
        <v>74</v>
      </c>
      <c r="T1150" s="2" t="s">
        <v>74</v>
      </c>
      <c r="U1150" s="2" t="s">
        <v>74</v>
      </c>
      <c r="V1150" s="5" t="s">
        <v>4881</v>
      </c>
      <c r="W1150" s="2" t="s">
        <v>74</v>
      </c>
      <c r="X1150" s="2" t="s">
        <v>74</v>
      </c>
      <c r="Y1150" s="2" t="s">
        <v>74</v>
      </c>
      <c r="Z1150" s="2" t="s">
        <v>74</v>
      </c>
      <c r="AA1150" s="2" t="s">
        <v>4882</v>
      </c>
      <c r="AB1150" s="2" t="s">
        <v>4883</v>
      </c>
      <c r="AC1150" s="2" t="s">
        <v>74</v>
      </c>
      <c r="AD1150" s="2" t="s">
        <v>74</v>
      </c>
      <c r="AE1150" s="2" t="s">
        <v>74</v>
      </c>
      <c r="AF1150" s="2" t="s">
        <v>74</v>
      </c>
      <c r="AG1150" s="2" t="s">
        <v>74</v>
      </c>
      <c r="AH1150" s="2" t="s">
        <v>74</v>
      </c>
      <c r="AI1150" s="2" t="s">
        <v>74</v>
      </c>
      <c r="AJ1150" s="2" t="s">
        <v>74</v>
      </c>
      <c r="AK1150" s="2" t="s">
        <v>74</v>
      </c>
      <c r="AL1150" s="2" t="s">
        <v>74</v>
      </c>
      <c r="AM1150" s="2" t="s">
        <v>74</v>
      </c>
      <c r="AN1150" s="2" t="s">
        <v>74</v>
      </c>
      <c r="AO1150" s="2" t="s">
        <v>2021</v>
      </c>
      <c r="AP1150" s="2" t="s">
        <v>74</v>
      </c>
      <c r="AQ1150" s="2" t="s">
        <v>74</v>
      </c>
      <c r="AR1150" s="2" t="s">
        <v>74</v>
      </c>
      <c r="AS1150" s="2" t="s">
        <v>74</v>
      </c>
      <c r="AT1150" s="2" t="s">
        <v>3833</v>
      </c>
      <c r="AU1150" s="2">
        <v>2022</v>
      </c>
      <c r="AV1150" s="2">
        <v>10</v>
      </c>
      <c r="AW1150" s="2" t="s">
        <v>74</v>
      </c>
      <c r="AX1150" s="2" t="s">
        <v>74</v>
      </c>
      <c r="AY1150" s="2" t="s">
        <v>74</v>
      </c>
      <c r="AZ1150" s="2" t="s">
        <v>74</v>
      </c>
      <c r="BA1150" s="2" t="s">
        <v>74</v>
      </c>
      <c r="BB1150" s="2" t="s">
        <v>74</v>
      </c>
      <c r="BC1150" s="2" t="s">
        <v>74</v>
      </c>
      <c r="BD1150" s="2">
        <v>803996</v>
      </c>
      <c r="BE1150" s="2" t="s">
        <v>4884</v>
      </c>
      <c r="BF1150" s="2" t="str">
        <f>HYPERLINK("http://dx.doi.org/10.3389/fevo.2022.803996","http://dx.doi.org/10.3389/fevo.2022.803996")</f>
        <v>http://dx.doi.org/10.3389/fevo.2022.803996</v>
      </c>
      <c r="BG1150" s="2" t="s">
        <v>74</v>
      </c>
      <c r="BH1150" s="2" t="s">
        <v>74</v>
      </c>
      <c r="BI1150" s="2" t="s">
        <v>74</v>
      </c>
      <c r="BJ1150" s="2" t="s">
        <v>74</v>
      </c>
      <c r="BK1150" s="2" t="s">
        <v>74</v>
      </c>
      <c r="BL1150" s="2" t="s">
        <v>74</v>
      </c>
      <c r="BM1150" s="2" t="s">
        <v>74</v>
      </c>
      <c r="BN1150" s="2" t="s">
        <v>74</v>
      </c>
      <c r="BO1150" s="2" t="s">
        <v>74</v>
      </c>
      <c r="BP1150" s="2" t="s">
        <v>74</v>
      </c>
      <c r="BQ1150" s="2" t="s">
        <v>74</v>
      </c>
      <c r="BR1150" s="2" t="s">
        <v>74</v>
      </c>
      <c r="BS1150" s="2" t="s">
        <v>4885</v>
      </c>
      <c r="BT1150" s="2" t="str">
        <f>HYPERLINK("https%3A%2F%2Fwww.webofscience.com%2Fwos%2Fwoscc%2Ffull-record%2FWOS:000775231200001","View Full Record in Web of Science")</f>
        <v>View Full Record in Web of Science</v>
      </c>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row>
    <row r="1151" spans="1:314" s="1" customFormat="1" x14ac:dyDescent="0.4">
      <c r="A1151" s="2" t="s">
        <v>72</v>
      </c>
      <c r="B1151" s="2" t="s">
        <v>2049</v>
      </c>
      <c r="C1151" s="2" t="s">
        <v>74</v>
      </c>
      <c r="D1151" s="2" t="s">
        <v>74</v>
      </c>
      <c r="E1151" s="2" t="s">
        <v>74</v>
      </c>
      <c r="F1151" s="2" t="s">
        <v>2049</v>
      </c>
      <c r="G1151" s="2" t="s">
        <v>74</v>
      </c>
      <c r="H1151" s="2" t="s">
        <v>74</v>
      </c>
      <c r="I1151" s="2" t="s">
        <v>2050</v>
      </c>
      <c r="J1151" s="2" t="s">
        <v>1549</v>
      </c>
      <c r="K1151" s="2" t="s">
        <v>74</v>
      </c>
      <c r="L1151" s="2" t="s">
        <v>74</v>
      </c>
      <c r="M1151" s="2" t="s">
        <v>74</v>
      </c>
      <c r="N1151" s="2" t="s">
        <v>74</v>
      </c>
      <c r="O1151" s="2" t="s">
        <v>74</v>
      </c>
      <c r="P1151" s="2" t="s">
        <v>74</v>
      </c>
      <c r="Q1151" s="2" t="s">
        <v>74</v>
      </c>
      <c r="R1151" s="2" t="s">
        <v>74</v>
      </c>
      <c r="S1151" s="2" t="s">
        <v>74</v>
      </c>
      <c r="T1151" s="2" t="s">
        <v>74</v>
      </c>
      <c r="U1151" s="2" t="s">
        <v>74</v>
      </c>
      <c r="V1151" s="5" t="s">
        <v>2051</v>
      </c>
      <c r="W1151" s="2" t="s">
        <v>74</v>
      </c>
      <c r="X1151" s="2" t="s">
        <v>74</v>
      </c>
      <c r="Y1151" s="2" t="s">
        <v>74</v>
      </c>
      <c r="Z1151" s="2" t="s">
        <v>74</v>
      </c>
      <c r="AA1151" s="2" t="s">
        <v>74</v>
      </c>
      <c r="AB1151" s="2" t="s">
        <v>74</v>
      </c>
      <c r="AC1151" s="2" t="s">
        <v>74</v>
      </c>
      <c r="AD1151" s="2" t="s">
        <v>74</v>
      </c>
      <c r="AE1151" s="2" t="s">
        <v>74</v>
      </c>
      <c r="AF1151" s="2" t="s">
        <v>74</v>
      </c>
      <c r="AG1151" s="2" t="s">
        <v>74</v>
      </c>
      <c r="AH1151" s="2" t="s">
        <v>74</v>
      </c>
      <c r="AI1151" s="2" t="s">
        <v>74</v>
      </c>
      <c r="AJ1151" s="2" t="s">
        <v>74</v>
      </c>
      <c r="AK1151" s="2" t="s">
        <v>74</v>
      </c>
      <c r="AL1151" s="2" t="s">
        <v>74</v>
      </c>
      <c r="AM1151" s="2" t="s">
        <v>74</v>
      </c>
      <c r="AN1151" s="2" t="s">
        <v>74</v>
      </c>
      <c r="AO1151" s="2" t="s">
        <v>1551</v>
      </c>
      <c r="AP1151" s="2" t="s">
        <v>74</v>
      </c>
      <c r="AQ1151" s="2" t="s">
        <v>74</v>
      </c>
      <c r="AR1151" s="2" t="s">
        <v>74</v>
      </c>
      <c r="AS1151" s="2" t="s">
        <v>74</v>
      </c>
      <c r="AT1151" s="2" t="s">
        <v>102</v>
      </c>
      <c r="AU1151" s="2">
        <v>2000</v>
      </c>
      <c r="AV1151" s="2">
        <v>25</v>
      </c>
      <c r="AW1151" s="2">
        <v>2</v>
      </c>
      <c r="AX1151" s="2" t="s">
        <v>74</v>
      </c>
      <c r="AY1151" s="2" t="s">
        <v>74</v>
      </c>
      <c r="AZ1151" s="2" t="s">
        <v>74</v>
      </c>
      <c r="BA1151" s="2" t="s">
        <v>74</v>
      </c>
      <c r="BB1151" s="2">
        <v>127</v>
      </c>
      <c r="BC1151" s="2">
        <v>132</v>
      </c>
      <c r="BD1151" s="2" t="s">
        <v>74</v>
      </c>
      <c r="BE1151" s="2" t="s">
        <v>2052</v>
      </c>
      <c r="BF1151" s="2" t="str">
        <f>HYPERLINK("http://dx.doi.org/10.1046/j.1365-3032.2000.00174.x","http://dx.doi.org/10.1046/j.1365-3032.2000.00174.x")</f>
        <v>http://dx.doi.org/10.1046/j.1365-3032.2000.00174.x</v>
      </c>
      <c r="BG1151" s="2" t="s">
        <v>74</v>
      </c>
      <c r="BH1151" s="2" t="s">
        <v>74</v>
      </c>
      <c r="BI1151" s="2" t="s">
        <v>74</v>
      </c>
      <c r="BJ1151" s="2" t="s">
        <v>74</v>
      </c>
      <c r="BK1151" s="2" t="s">
        <v>74</v>
      </c>
      <c r="BL1151" s="2" t="s">
        <v>74</v>
      </c>
      <c r="BM1151" s="2" t="s">
        <v>74</v>
      </c>
      <c r="BN1151" s="2" t="s">
        <v>74</v>
      </c>
      <c r="BO1151" s="2" t="s">
        <v>74</v>
      </c>
      <c r="BP1151" s="2" t="s">
        <v>74</v>
      </c>
      <c r="BQ1151" s="2" t="s">
        <v>74</v>
      </c>
      <c r="BR1151" s="2" t="s">
        <v>74</v>
      </c>
      <c r="BS1151" s="2" t="s">
        <v>2053</v>
      </c>
      <c r="BT1151" s="2" t="str">
        <f>HYPERLINK("https%3A%2F%2Fwww.webofscience.com%2Fwos%2Fwoscc%2Ffull-record%2FWOS:000087985900004","View Full Record in Web of Science")</f>
        <v>View Full Record in Web of Science</v>
      </c>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row>
    <row r="1152" spans="1:314" s="1" customFormat="1" x14ac:dyDescent="0.4">
      <c r="A1152" s="2" t="s">
        <v>72</v>
      </c>
      <c r="B1152" s="2" t="s">
        <v>1547</v>
      </c>
      <c r="C1152" s="2" t="s">
        <v>74</v>
      </c>
      <c r="D1152" s="2" t="s">
        <v>74</v>
      </c>
      <c r="E1152" s="2" t="s">
        <v>74</v>
      </c>
      <c r="F1152" s="2" t="s">
        <v>1547</v>
      </c>
      <c r="G1152" s="2" t="s">
        <v>74</v>
      </c>
      <c r="H1152" s="2" t="s">
        <v>74</v>
      </c>
      <c r="I1152" s="2" t="s">
        <v>1548</v>
      </c>
      <c r="J1152" s="2" t="s">
        <v>1549</v>
      </c>
      <c r="K1152" s="2" t="s">
        <v>74</v>
      </c>
      <c r="L1152" s="2" t="s">
        <v>74</v>
      </c>
      <c r="M1152" s="2" t="s">
        <v>74</v>
      </c>
      <c r="N1152" s="2" t="s">
        <v>74</v>
      </c>
      <c r="O1152" s="2" t="s">
        <v>74</v>
      </c>
      <c r="P1152" s="2" t="s">
        <v>74</v>
      </c>
      <c r="Q1152" s="2" t="s">
        <v>74</v>
      </c>
      <c r="R1152" s="2" t="s">
        <v>74</v>
      </c>
      <c r="S1152" s="2" t="s">
        <v>74</v>
      </c>
      <c r="T1152" s="2" t="s">
        <v>74</v>
      </c>
      <c r="U1152" s="2" t="s">
        <v>74</v>
      </c>
      <c r="V1152" s="5" t="s">
        <v>1550</v>
      </c>
      <c r="W1152" s="2" t="s">
        <v>74</v>
      </c>
      <c r="X1152" s="2" t="s">
        <v>74</v>
      </c>
      <c r="Y1152" s="2" t="s">
        <v>74</v>
      </c>
      <c r="Z1152" s="2" t="s">
        <v>74</v>
      </c>
      <c r="AA1152" s="2" t="s">
        <v>74</v>
      </c>
      <c r="AB1152" s="2" t="s">
        <v>74</v>
      </c>
      <c r="AC1152" s="2" t="s">
        <v>74</v>
      </c>
      <c r="AD1152" s="2" t="s">
        <v>74</v>
      </c>
      <c r="AE1152" s="2" t="s">
        <v>74</v>
      </c>
      <c r="AF1152" s="2" t="s">
        <v>74</v>
      </c>
      <c r="AG1152" s="2" t="s">
        <v>74</v>
      </c>
      <c r="AH1152" s="2" t="s">
        <v>74</v>
      </c>
      <c r="AI1152" s="2" t="s">
        <v>74</v>
      </c>
      <c r="AJ1152" s="2" t="s">
        <v>74</v>
      </c>
      <c r="AK1152" s="2" t="s">
        <v>74</v>
      </c>
      <c r="AL1152" s="2" t="s">
        <v>74</v>
      </c>
      <c r="AM1152" s="2" t="s">
        <v>74</v>
      </c>
      <c r="AN1152" s="2" t="s">
        <v>74</v>
      </c>
      <c r="AO1152" s="2" t="s">
        <v>1551</v>
      </c>
      <c r="AP1152" s="2" t="s">
        <v>74</v>
      </c>
      <c r="AQ1152" s="2" t="s">
        <v>74</v>
      </c>
      <c r="AR1152" s="2" t="s">
        <v>74</v>
      </c>
      <c r="AS1152" s="2" t="s">
        <v>74</v>
      </c>
      <c r="AT1152" s="2" t="s">
        <v>102</v>
      </c>
      <c r="AU1152" s="2">
        <v>2002</v>
      </c>
      <c r="AV1152" s="2">
        <v>27</v>
      </c>
      <c r="AW1152" s="2">
        <v>2</v>
      </c>
      <c r="AX1152" s="2" t="s">
        <v>74</v>
      </c>
      <c r="AY1152" s="2" t="s">
        <v>74</v>
      </c>
      <c r="AZ1152" s="2" t="s">
        <v>74</v>
      </c>
      <c r="BA1152" s="2" t="s">
        <v>74</v>
      </c>
      <c r="BB1152" s="2">
        <v>165</v>
      </c>
      <c r="BC1152" s="2">
        <v>169</v>
      </c>
      <c r="BD1152" s="2" t="s">
        <v>74</v>
      </c>
      <c r="BE1152" s="2" t="s">
        <v>1552</v>
      </c>
      <c r="BF1152" s="2" t="str">
        <f>HYPERLINK("http://dx.doi.org/10.1046/j.1365-3032.2002.00283.x","http://dx.doi.org/10.1046/j.1365-3032.2002.00283.x")</f>
        <v>http://dx.doi.org/10.1046/j.1365-3032.2002.00283.x</v>
      </c>
      <c r="BG1152" s="2" t="s">
        <v>74</v>
      </c>
      <c r="BH1152" s="2" t="s">
        <v>74</v>
      </c>
      <c r="BI1152" s="2" t="s">
        <v>74</v>
      </c>
      <c r="BJ1152" s="2" t="s">
        <v>74</v>
      </c>
      <c r="BK1152" s="2" t="s">
        <v>74</v>
      </c>
      <c r="BL1152" s="2" t="s">
        <v>74</v>
      </c>
      <c r="BM1152" s="2" t="s">
        <v>74</v>
      </c>
      <c r="BN1152" s="2" t="s">
        <v>74</v>
      </c>
      <c r="BO1152" s="2" t="s">
        <v>74</v>
      </c>
      <c r="BP1152" s="2" t="s">
        <v>74</v>
      </c>
      <c r="BQ1152" s="2" t="s">
        <v>74</v>
      </c>
      <c r="BR1152" s="2" t="s">
        <v>74</v>
      </c>
      <c r="BS1152" s="2" t="s">
        <v>1553</v>
      </c>
      <c r="BT1152" s="2" t="str">
        <f>HYPERLINK("https%3A%2F%2Fwww.webofscience.com%2Fwos%2Fwoscc%2Ffull-record%2FWOS:000175861800011","View Full Record in Web of Science")</f>
        <v>View Full Record in Web of Science</v>
      </c>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row>
    <row r="1153" spans="1:314" s="2" customFormat="1" x14ac:dyDescent="0.4">
      <c r="A1153" s="2" t="s">
        <v>72</v>
      </c>
      <c r="B1153" s="2" t="s">
        <v>871</v>
      </c>
      <c r="C1153" s="2" t="s">
        <v>74</v>
      </c>
      <c r="D1153" s="2" t="s">
        <v>74</v>
      </c>
      <c r="E1153" s="2" t="s">
        <v>74</v>
      </c>
      <c r="F1153" s="2" t="s">
        <v>872</v>
      </c>
      <c r="G1153" s="2" t="s">
        <v>74</v>
      </c>
      <c r="H1153" s="2" t="s">
        <v>74</v>
      </c>
      <c r="I1153" s="2" t="s">
        <v>873</v>
      </c>
      <c r="J1153" s="2" t="s">
        <v>509</v>
      </c>
      <c r="K1153" s="2" t="s">
        <v>74</v>
      </c>
      <c r="L1153" s="2" t="s">
        <v>74</v>
      </c>
      <c r="M1153" s="2" t="s">
        <v>74</v>
      </c>
      <c r="N1153" s="2" t="s">
        <v>74</v>
      </c>
      <c r="O1153" s="2" t="s">
        <v>74</v>
      </c>
      <c r="P1153" s="2" t="s">
        <v>74</v>
      </c>
      <c r="Q1153" s="2" t="s">
        <v>74</v>
      </c>
      <c r="R1153" s="2" t="s">
        <v>74</v>
      </c>
      <c r="S1153" s="2" t="s">
        <v>74</v>
      </c>
      <c r="T1153" s="2" t="s">
        <v>74</v>
      </c>
      <c r="U1153" s="2" t="s">
        <v>74</v>
      </c>
      <c r="V1153" s="5" t="s">
        <v>874</v>
      </c>
      <c r="W1153" s="2" t="s">
        <v>74</v>
      </c>
      <c r="X1153" s="2" t="s">
        <v>74</v>
      </c>
      <c r="Y1153" s="2" t="s">
        <v>74</v>
      </c>
      <c r="Z1153" s="2" t="s">
        <v>74</v>
      </c>
      <c r="AA1153" s="2" t="s">
        <v>875</v>
      </c>
      <c r="AB1153" s="2" t="s">
        <v>876</v>
      </c>
      <c r="AC1153" s="2" t="s">
        <v>74</v>
      </c>
      <c r="AD1153" s="2" t="s">
        <v>74</v>
      </c>
      <c r="AE1153" s="2" t="s">
        <v>74</v>
      </c>
      <c r="AF1153" s="2" t="s">
        <v>74</v>
      </c>
      <c r="AG1153" s="2" t="s">
        <v>74</v>
      </c>
      <c r="AH1153" s="2" t="s">
        <v>74</v>
      </c>
      <c r="AI1153" s="2" t="s">
        <v>74</v>
      </c>
      <c r="AJ1153" s="2" t="s">
        <v>74</v>
      </c>
      <c r="AK1153" s="2" t="s">
        <v>74</v>
      </c>
      <c r="AL1153" s="2" t="s">
        <v>74</v>
      </c>
      <c r="AM1153" s="2" t="s">
        <v>74</v>
      </c>
      <c r="AN1153" s="2" t="s">
        <v>74</v>
      </c>
      <c r="AO1153" s="2" t="s">
        <v>511</v>
      </c>
      <c r="AP1153" s="2" t="s">
        <v>512</v>
      </c>
      <c r="AQ1153" s="2" t="s">
        <v>74</v>
      </c>
      <c r="AR1153" s="2" t="s">
        <v>74</v>
      </c>
      <c r="AS1153" s="2" t="s">
        <v>74</v>
      </c>
      <c r="AT1153" s="2" t="s">
        <v>204</v>
      </c>
      <c r="AU1153" s="2">
        <v>2017</v>
      </c>
      <c r="AV1153" s="2">
        <v>93</v>
      </c>
      <c r="AW1153" s="2" t="s">
        <v>74</v>
      </c>
      <c r="AX1153" s="2" t="s">
        <v>74</v>
      </c>
      <c r="AY1153" s="2" t="s">
        <v>74</v>
      </c>
      <c r="AZ1153" s="2" t="s">
        <v>74</v>
      </c>
      <c r="BA1153" s="2" t="s">
        <v>74</v>
      </c>
      <c r="BB1153" s="2">
        <v>118</v>
      </c>
      <c r="BC1153" s="2">
        <v>127</v>
      </c>
      <c r="BD1153" s="2" t="s">
        <v>74</v>
      </c>
      <c r="BE1153" s="2" t="s">
        <v>877</v>
      </c>
      <c r="BF1153" s="2" t="str">
        <f>HYPERLINK("http://dx.doi.org/10.1016/j.yhbeh.2017.05.001","http://dx.doi.org/10.1016/j.yhbeh.2017.05.001")</f>
        <v>http://dx.doi.org/10.1016/j.yhbeh.2017.05.001</v>
      </c>
      <c r="BG1153" s="2" t="s">
        <v>74</v>
      </c>
      <c r="BH1153" s="2" t="s">
        <v>74</v>
      </c>
      <c r="BI1153" s="2" t="s">
        <v>74</v>
      </c>
      <c r="BJ1153" s="2" t="s">
        <v>74</v>
      </c>
      <c r="BK1153" s="2" t="s">
        <v>74</v>
      </c>
      <c r="BL1153" s="2" t="s">
        <v>74</v>
      </c>
      <c r="BM1153" s="2" t="s">
        <v>74</v>
      </c>
      <c r="BN1153" s="2">
        <v>28478216</v>
      </c>
      <c r="BO1153" s="2" t="s">
        <v>74</v>
      </c>
      <c r="BP1153" s="2" t="s">
        <v>74</v>
      </c>
      <c r="BQ1153" s="2" t="s">
        <v>74</v>
      </c>
      <c r="BR1153" s="2" t="s">
        <v>74</v>
      </c>
      <c r="BS1153" s="2" t="s">
        <v>878</v>
      </c>
      <c r="BT1153" s="2" t="str">
        <f>HYPERLINK("https%3A%2F%2Fwww.webofscience.com%2Fwos%2Fwoscc%2Ffull-record%2FWOS:000407528300014","View Full Record in Web of Science")</f>
        <v>View Full Record in Web of Science</v>
      </c>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row>
    <row r="1154" spans="1:314" s="2" customFormat="1" x14ac:dyDescent="0.4">
      <c r="A1154" s="2" t="s">
        <v>72</v>
      </c>
      <c r="B1154" s="2" t="s">
        <v>6609</v>
      </c>
      <c r="C1154" s="2" t="s">
        <v>74</v>
      </c>
      <c r="D1154" s="2" t="s">
        <v>74</v>
      </c>
      <c r="E1154" s="2" t="s">
        <v>74</v>
      </c>
      <c r="F1154" s="2" t="s">
        <v>6610</v>
      </c>
      <c r="G1154" s="2" t="s">
        <v>74</v>
      </c>
      <c r="H1154" s="2" t="s">
        <v>74</v>
      </c>
      <c r="I1154" s="2" t="s">
        <v>6611</v>
      </c>
      <c r="J1154" s="2" t="s">
        <v>1743</v>
      </c>
      <c r="K1154" s="2" t="s">
        <v>74</v>
      </c>
      <c r="L1154" s="2" t="s">
        <v>74</v>
      </c>
      <c r="M1154" s="2" t="s">
        <v>74</v>
      </c>
      <c r="N1154" s="2" t="s">
        <v>74</v>
      </c>
      <c r="O1154" s="2" t="s">
        <v>74</v>
      </c>
      <c r="P1154" s="2" t="s">
        <v>74</v>
      </c>
      <c r="Q1154" s="2" t="s">
        <v>74</v>
      </c>
      <c r="R1154" s="2" t="s">
        <v>74</v>
      </c>
      <c r="S1154" s="2" t="s">
        <v>74</v>
      </c>
      <c r="T1154" s="2" t="s">
        <v>74</v>
      </c>
      <c r="U1154" s="2" t="s">
        <v>74</v>
      </c>
      <c r="V1154" s="5" t="s">
        <v>6612</v>
      </c>
      <c r="W1154" s="2" t="s">
        <v>74</v>
      </c>
      <c r="X1154" s="2" t="s">
        <v>74</v>
      </c>
      <c r="Y1154" s="2" t="s">
        <v>74</v>
      </c>
      <c r="Z1154" s="2" t="s">
        <v>74</v>
      </c>
      <c r="AA1154" s="2" t="s">
        <v>74</v>
      </c>
      <c r="AB1154" s="2" t="s">
        <v>6613</v>
      </c>
      <c r="AC1154" s="2" t="s">
        <v>74</v>
      </c>
      <c r="AD1154" s="2" t="s">
        <v>74</v>
      </c>
      <c r="AE1154" s="2" t="s">
        <v>74</v>
      </c>
      <c r="AF1154" s="2" t="s">
        <v>74</v>
      </c>
      <c r="AG1154" s="2" t="s">
        <v>74</v>
      </c>
      <c r="AH1154" s="2" t="s">
        <v>74</v>
      </c>
      <c r="AI1154" s="2" t="s">
        <v>74</v>
      </c>
      <c r="AJ1154" s="2" t="s">
        <v>74</v>
      </c>
      <c r="AK1154" s="2" t="s">
        <v>74</v>
      </c>
      <c r="AL1154" s="2" t="s">
        <v>74</v>
      </c>
      <c r="AM1154" s="2" t="s">
        <v>74</v>
      </c>
      <c r="AN1154" s="2" t="s">
        <v>74</v>
      </c>
      <c r="AO1154" s="2" t="s">
        <v>1746</v>
      </c>
      <c r="AP1154" s="2" t="s">
        <v>74</v>
      </c>
      <c r="AQ1154" s="2" t="s">
        <v>74</v>
      </c>
      <c r="AR1154" s="2" t="s">
        <v>74</v>
      </c>
      <c r="AS1154" s="2" t="s">
        <v>74</v>
      </c>
      <c r="AT1154" s="2" t="s">
        <v>145</v>
      </c>
      <c r="AU1154" s="2">
        <v>2019</v>
      </c>
      <c r="AV1154" s="2">
        <v>36</v>
      </c>
      <c r="AW1154" s="2">
        <v>4</v>
      </c>
      <c r="AX1154" s="2" t="s">
        <v>74</v>
      </c>
      <c r="AY1154" s="2" t="s">
        <v>74</v>
      </c>
      <c r="AZ1154" s="2" t="s">
        <v>74</v>
      </c>
      <c r="BA1154" s="2" t="s">
        <v>74</v>
      </c>
      <c r="BB1154" s="2">
        <v>284</v>
      </c>
      <c r="BC1154" s="2">
        <v>293</v>
      </c>
      <c r="BD1154" s="2" t="s">
        <v>74</v>
      </c>
      <c r="BE1154" s="2" t="s">
        <v>6614</v>
      </c>
      <c r="BF1154" s="2" t="str">
        <f>HYPERLINK("http://dx.doi.org/10.2108/zs180167","http://dx.doi.org/10.2108/zs180167")</f>
        <v>http://dx.doi.org/10.2108/zs180167</v>
      </c>
      <c r="BG1154" s="2" t="s">
        <v>74</v>
      </c>
      <c r="BH1154" s="2" t="s">
        <v>74</v>
      </c>
      <c r="BI1154" s="2" t="s">
        <v>74</v>
      </c>
      <c r="BJ1154" s="2" t="s">
        <v>74</v>
      </c>
      <c r="BK1154" s="2" t="s">
        <v>74</v>
      </c>
      <c r="BL1154" s="2" t="s">
        <v>74</v>
      </c>
      <c r="BM1154" s="2" t="s">
        <v>74</v>
      </c>
      <c r="BN1154" s="2">
        <v>34664898</v>
      </c>
      <c r="BO1154" s="2" t="s">
        <v>74</v>
      </c>
      <c r="BP1154" s="2" t="s">
        <v>74</v>
      </c>
      <c r="BQ1154" s="2" t="s">
        <v>74</v>
      </c>
      <c r="BR1154" s="2" t="s">
        <v>74</v>
      </c>
      <c r="BS1154" s="2" t="s">
        <v>6615</v>
      </c>
      <c r="BT1154" s="2" t="str">
        <f>HYPERLINK("https%3A%2F%2Fwww.webofscience.com%2Fwos%2Fwoscc%2Ffull-record%2FWOS:000477900300003","View Full Record in Web of Science")</f>
        <v>View Full Record in Web of Science</v>
      </c>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row>
    <row r="1155" spans="1:314" s="2" customFormat="1" x14ac:dyDescent="0.4">
      <c r="A1155" s="2" t="s">
        <v>72</v>
      </c>
      <c r="B1155" s="2" t="s">
        <v>832</v>
      </c>
      <c r="C1155" s="2" t="s">
        <v>74</v>
      </c>
      <c r="D1155" s="2" t="s">
        <v>74</v>
      </c>
      <c r="E1155" s="2" t="s">
        <v>74</v>
      </c>
      <c r="F1155" s="2" t="s">
        <v>833</v>
      </c>
      <c r="G1155" s="2" t="s">
        <v>74</v>
      </c>
      <c r="H1155" s="2" t="s">
        <v>74</v>
      </c>
      <c r="I1155" s="2" t="s">
        <v>834</v>
      </c>
      <c r="J1155" s="2" t="s">
        <v>119</v>
      </c>
      <c r="K1155" s="2" t="s">
        <v>74</v>
      </c>
      <c r="L1155" s="2" t="s">
        <v>74</v>
      </c>
      <c r="M1155" s="2" t="s">
        <v>74</v>
      </c>
      <c r="N1155" s="2" t="s">
        <v>74</v>
      </c>
      <c r="O1155" s="2" t="s">
        <v>74</v>
      </c>
      <c r="P1155" s="2" t="s">
        <v>74</v>
      </c>
      <c r="Q1155" s="2" t="s">
        <v>74</v>
      </c>
      <c r="R1155" s="2" t="s">
        <v>74</v>
      </c>
      <c r="S1155" s="2" t="s">
        <v>74</v>
      </c>
      <c r="T1155" s="2" t="s">
        <v>74</v>
      </c>
      <c r="U1155" s="2" t="s">
        <v>74</v>
      </c>
      <c r="V1155" s="5" t="s">
        <v>835</v>
      </c>
      <c r="W1155" s="2" t="s">
        <v>74</v>
      </c>
      <c r="X1155" s="2" t="s">
        <v>74</v>
      </c>
      <c r="Y1155" s="2" t="s">
        <v>74</v>
      </c>
      <c r="Z1155" s="2" t="s">
        <v>74</v>
      </c>
      <c r="AA1155" s="2" t="s">
        <v>836</v>
      </c>
      <c r="AB1155" s="2" t="s">
        <v>74</v>
      </c>
      <c r="AC1155" s="2" t="s">
        <v>74</v>
      </c>
      <c r="AD1155" s="2" t="s">
        <v>74</v>
      </c>
      <c r="AE1155" s="2" t="s">
        <v>74</v>
      </c>
      <c r="AF1155" s="2" t="s">
        <v>74</v>
      </c>
      <c r="AG1155" s="2" t="s">
        <v>74</v>
      </c>
      <c r="AH1155" s="2" t="s">
        <v>74</v>
      </c>
      <c r="AI1155" s="2" t="s">
        <v>74</v>
      </c>
      <c r="AJ1155" s="2" t="s">
        <v>74</v>
      </c>
      <c r="AK1155" s="2" t="s">
        <v>74</v>
      </c>
      <c r="AL1155" s="2" t="s">
        <v>74</v>
      </c>
      <c r="AM1155" s="2" t="s">
        <v>74</v>
      </c>
      <c r="AN1155" s="2" t="s">
        <v>74</v>
      </c>
      <c r="AO1155" s="2" t="s">
        <v>121</v>
      </c>
      <c r="AP1155" s="2" t="s">
        <v>122</v>
      </c>
      <c r="AQ1155" s="2" t="s">
        <v>74</v>
      </c>
      <c r="AR1155" s="2" t="s">
        <v>74</v>
      </c>
      <c r="AS1155" s="2" t="s">
        <v>74</v>
      </c>
      <c r="AT1155" s="2" t="s">
        <v>134</v>
      </c>
      <c r="AU1155" s="2">
        <v>2017</v>
      </c>
      <c r="AV1155" s="2">
        <v>138</v>
      </c>
      <c r="AW1155" s="2" t="s">
        <v>74</v>
      </c>
      <c r="AX1155" s="2" t="s">
        <v>74</v>
      </c>
      <c r="AY1155" s="2" t="s">
        <v>74</v>
      </c>
      <c r="AZ1155" s="2" t="s">
        <v>74</v>
      </c>
      <c r="BA1155" s="2" t="s">
        <v>74</v>
      </c>
      <c r="BB1155" s="2">
        <v>41</v>
      </c>
      <c r="BC1155" s="2">
        <v>48</v>
      </c>
      <c r="BD1155" s="2" t="s">
        <v>74</v>
      </c>
      <c r="BE1155" s="2" t="s">
        <v>837</v>
      </c>
      <c r="BF1155" s="2" t="str">
        <f>HYPERLINK("http://dx.doi.org/10.1016/j.beproc.2017.01.017","http://dx.doi.org/10.1016/j.beproc.2017.01.017")</f>
        <v>http://dx.doi.org/10.1016/j.beproc.2017.01.017</v>
      </c>
      <c r="BG1155" s="2" t="s">
        <v>74</v>
      </c>
      <c r="BH1155" s="2" t="s">
        <v>74</v>
      </c>
      <c r="BI1155" s="2" t="s">
        <v>74</v>
      </c>
      <c r="BJ1155" s="2" t="s">
        <v>74</v>
      </c>
      <c r="BK1155" s="2" t="s">
        <v>74</v>
      </c>
      <c r="BL1155" s="2" t="s">
        <v>74</v>
      </c>
      <c r="BM1155" s="2" t="s">
        <v>74</v>
      </c>
      <c r="BN1155" s="2">
        <v>28159653</v>
      </c>
      <c r="BO1155" s="2" t="s">
        <v>74</v>
      </c>
      <c r="BP1155" s="2" t="s">
        <v>74</v>
      </c>
      <c r="BQ1155" s="2" t="s">
        <v>74</v>
      </c>
      <c r="BR1155" s="2" t="s">
        <v>74</v>
      </c>
      <c r="BS1155" s="2" t="s">
        <v>838</v>
      </c>
      <c r="BT1155" s="2" t="str">
        <f>HYPERLINK("https%3A%2F%2Fwww.webofscience.com%2Fwos%2Fwoscc%2Ffull-record%2FWOS:000400878800007","View Full Record in Web of Science")</f>
        <v>View Full Record in Web of Science</v>
      </c>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row>
    <row r="1156" spans="1:314" s="2" customFormat="1" x14ac:dyDescent="0.4">
      <c r="A1156" s="2" t="s">
        <v>72</v>
      </c>
      <c r="B1156" s="2" t="s">
        <v>5404</v>
      </c>
      <c r="C1156" s="2" t="s">
        <v>74</v>
      </c>
      <c r="D1156" s="2" t="s">
        <v>74</v>
      </c>
      <c r="E1156" s="2" t="s">
        <v>74</v>
      </c>
      <c r="F1156" s="2" t="s">
        <v>5405</v>
      </c>
      <c r="G1156" s="2" t="s">
        <v>74</v>
      </c>
      <c r="H1156" s="2" t="s">
        <v>74</v>
      </c>
      <c r="I1156" s="2" t="s">
        <v>5406</v>
      </c>
      <c r="J1156" s="2" t="s">
        <v>2207</v>
      </c>
      <c r="K1156" s="2" t="s">
        <v>74</v>
      </c>
      <c r="L1156" s="2" t="s">
        <v>74</v>
      </c>
      <c r="M1156" s="2" t="s">
        <v>74</v>
      </c>
      <c r="N1156" s="2" t="s">
        <v>74</v>
      </c>
      <c r="O1156" s="2" t="s">
        <v>74</v>
      </c>
      <c r="P1156" s="2" t="s">
        <v>74</v>
      </c>
      <c r="Q1156" s="2" t="s">
        <v>74</v>
      </c>
      <c r="R1156" s="2" t="s">
        <v>74</v>
      </c>
      <c r="S1156" s="2" t="s">
        <v>74</v>
      </c>
      <c r="T1156" s="2" t="s">
        <v>74</v>
      </c>
      <c r="U1156" s="2" t="s">
        <v>74</v>
      </c>
      <c r="V1156" s="5" t="s">
        <v>5407</v>
      </c>
      <c r="W1156" s="2" t="s">
        <v>74</v>
      </c>
      <c r="X1156" s="2" t="s">
        <v>74</v>
      </c>
      <c r="Y1156" s="2" t="s">
        <v>74</v>
      </c>
      <c r="Z1156" s="2" t="s">
        <v>74</v>
      </c>
      <c r="AA1156" s="2" t="s">
        <v>836</v>
      </c>
      <c r="AB1156" s="2" t="s">
        <v>5408</v>
      </c>
      <c r="AC1156" s="2" t="s">
        <v>74</v>
      </c>
      <c r="AD1156" s="2" t="s">
        <v>74</v>
      </c>
      <c r="AE1156" s="2" t="s">
        <v>74</v>
      </c>
      <c r="AF1156" s="2" t="s">
        <v>74</v>
      </c>
      <c r="AG1156" s="2" t="s">
        <v>74</v>
      </c>
      <c r="AH1156" s="2" t="s">
        <v>74</v>
      </c>
      <c r="AI1156" s="2" t="s">
        <v>74</v>
      </c>
      <c r="AJ1156" s="2" t="s">
        <v>74</v>
      </c>
      <c r="AK1156" s="2" t="s">
        <v>74</v>
      </c>
      <c r="AL1156" s="2" t="s">
        <v>74</v>
      </c>
      <c r="AM1156" s="2" t="s">
        <v>74</v>
      </c>
      <c r="AN1156" s="2" t="s">
        <v>74</v>
      </c>
      <c r="AO1156" s="2" t="s">
        <v>2211</v>
      </c>
      <c r="AP1156" s="2" t="s">
        <v>2461</v>
      </c>
      <c r="AQ1156" s="2" t="s">
        <v>74</v>
      </c>
      <c r="AR1156" s="2" t="s">
        <v>74</v>
      </c>
      <c r="AS1156" s="2" t="s">
        <v>74</v>
      </c>
      <c r="AT1156" s="2" t="s">
        <v>123</v>
      </c>
      <c r="AU1156" s="2">
        <v>2016</v>
      </c>
      <c r="AV1156" s="2">
        <v>47</v>
      </c>
      <c r="AW1156" s="2">
        <v>2</v>
      </c>
      <c r="AX1156" s="2" t="s">
        <v>74</v>
      </c>
      <c r="AY1156" s="2" t="s">
        <v>74</v>
      </c>
      <c r="AZ1156" s="2" t="s">
        <v>74</v>
      </c>
      <c r="BA1156" s="2" t="s">
        <v>74</v>
      </c>
      <c r="BB1156" s="2">
        <v>167</v>
      </c>
      <c r="BC1156" s="2">
        <v>175</v>
      </c>
      <c r="BD1156" s="2" t="s">
        <v>74</v>
      </c>
      <c r="BE1156" s="2" t="s">
        <v>5409</v>
      </c>
      <c r="BF1156" s="2" t="str">
        <f>HYPERLINK("http://dx.doi.org/10.1111/jav.00742","http://dx.doi.org/10.1111/jav.00742")</f>
        <v>http://dx.doi.org/10.1111/jav.00742</v>
      </c>
      <c r="BG1156" s="2" t="s">
        <v>74</v>
      </c>
      <c r="BH1156" s="2" t="s">
        <v>74</v>
      </c>
      <c r="BI1156" s="2" t="s">
        <v>74</v>
      </c>
      <c r="BJ1156" s="2" t="s">
        <v>74</v>
      </c>
      <c r="BK1156" s="2" t="s">
        <v>74</v>
      </c>
      <c r="BL1156" s="2" t="s">
        <v>74</v>
      </c>
      <c r="BM1156" s="2" t="s">
        <v>74</v>
      </c>
      <c r="BN1156" s="2" t="s">
        <v>74</v>
      </c>
      <c r="BO1156" s="2" t="s">
        <v>74</v>
      </c>
      <c r="BP1156" s="2" t="s">
        <v>74</v>
      </c>
      <c r="BQ1156" s="2" t="s">
        <v>74</v>
      </c>
      <c r="BR1156" s="2" t="s">
        <v>74</v>
      </c>
      <c r="BS1156" s="2" t="s">
        <v>5410</v>
      </c>
      <c r="BT1156" s="2" t="str">
        <f>HYPERLINK("https%3A%2F%2Fwww.webofscience.com%2Fwos%2Fwoscc%2Ffull-record%2FWOS:000373014800005","View Full Record in Web of Science")</f>
        <v>View Full Record in Web of Science</v>
      </c>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row>
    <row r="1157" spans="1:314" s="2" customFormat="1" x14ac:dyDescent="0.4">
      <c r="A1157" s="2" t="s">
        <v>72</v>
      </c>
      <c r="B1157" s="2" t="s">
        <v>6294</v>
      </c>
      <c r="C1157" s="2" t="s">
        <v>74</v>
      </c>
      <c r="D1157" s="2" t="s">
        <v>74</v>
      </c>
      <c r="E1157" s="2" t="s">
        <v>74</v>
      </c>
      <c r="F1157" s="2" t="s">
        <v>6295</v>
      </c>
      <c r="G1157" s="2" t="s">
        <v>74</v>
      </c>
      <c r="H1157" s="2" t="s">
        <v>74</v>
      </c>
      <c r="I1157" s="2" t="s">
        <v>6296</v>
      </c>
      <c r="J1157" s="2" t="s">
        <v>6297</v>
      </c>
      <c r="K1157" s="2" t="s">
        <v>74</v>
      </c>
      <c r="L1157" s="2" t="s">
        <v>74</v>
      </c>
      <c r="M1157" s="2" t="s">
        <v>74</v>
      </c>
      <c r="N1157" s="2" t="s">
        <v>74</v>
      </c>
      <c r="O1157" s="2" t="s">
        <v>74</v>
      </c>
      <c r="P1157" s="2" t="s">
        <v>74</v>
      </c>
      <c r="Q1157" s="2" t="s">
        <v>74</v>
      </c>
      <c r="R1157" s="2" t="s">
        <v>74</v>
      </c>
      <c r="S1157" s="2" t="s">
        <v>74</v>
      </c>
      <c r="T1157" s="2" t="s">
        <v>74</v>
      </c>
      <c r="U1157" s="2" t="s">
        <v>74</v>
      </c>
      <c r="V1157" s="5" t="s">
        <v>6298</v>
      </c>
      <c r="W1157" s="2" t="s">
        <v>74</v>
      </c>
      <c r="X1157" s="2" t="s">
        <v>74</v>
      </c>
      <c r="Y1157" s="2" t="s">
        <v>74</v>
      </c>
      <c r="Z1157" s="2" t="s">
        <v>74</v>
      </c>
      <c r="AA1157" s="2" t="s">
        <v>6299</v>
      </c>
      <c r="AB1157" s="2" t="s">
        <v>74</v>
      </c>
      <c r="AC1157" s="2" t="s">
        <v>74</v>
      </c>
      <c r="AD1157" s="2" t="s">
        <v>74</v>
      </c>
      <c r="AE1157" s="2" t="s">
        <v>74</v>
      </c>
      <c r="AF1157" s="2" t="s">
        <v>74</v>
      </c>
      <c r="AG1157" s="2" t="s">
        <v>74</v>
      </c>
      <c r="AH1157" s="2" t="s">
        <v>74</v>
      </c>
      <c r="AI1157" s="2" t="s">
        <v>74</v>
      </c>
      <c r="AJ1157" s="2" t="s">
        <v>74</v>
      </c>
      <c r="AK1157" s="2" t="s">
        <v>74</v>
      </c>
      <c r="AL1157" s="2" t="s">
        <v>74</v>
      </c>
      <c r="AM1157" s="2" t="s">
        <v>74</v>
      </c>
      <c r="AN1157" s="2" t="s">
        <v>74</v>
      </c>
      <c r="AO1157" s="2" t="s">
        <v>6300</v>
      </c>
      <c r="AP1157" s="2" t="s">
        <v>6301</v>
      </c>
      <c r="AQ1157" s="2" t="s">
        <v>74</v>
      </c>
      <c r="AR1157" s="2" t="s">
        <v>74</v>
      </c>
      <c r="AS1157" s="2" t="s">
        <v>74</v>
      </c>
      <c r="AT1157" s="2" t="s">
        <v>305</v>
      </c>
      <c r="AU1157" s="2">
        <v>2015</v>
      </c>
      <c r="AV1157" s="2">
        <v>69</v>
      </c>
      <c r="AW1157" s="2" t="s">
        <v>74</v>
      </c>
      <c r="AX1157" s="2" t="s">
        <v>74</v>
      </c>
      <c r="AY1157" s="2" t="s">
        <v>74</v>
      </c>
      <c r="AZ1157" s="2" t="s">
        <v>74</v>
      </c>
      <c r="BA1157" s="2" t="s">
        <v>74</v>
      </c>
      <c r="BB1157" s="2">
        <v>191</v>
      </c>
      <c r="BC1157" s="2">
        <v>195</v>
      </c>
      <c r="BD1157" s="2" t="s">
        <v>74</v>
      </c>
      <c r="BE1157" s="2" t="s">
        <v>6302</v>
      </c>
      <c r="BF1157" s="2" t="str">
        <f>HYPERLINK("http://dx.doi.org/10.1649/0010-065X-69.mo4.191","http://dx.doi.org/10.1649/0010-065X-69.mo4.191")</f>
        <v>http://dx.doi.org/10.1649/0010-065X-69.mo4.191</v>
      </c>
      <c r="BG1157" s="2" t="s">
        <v>74</v>
      </c>
      <c r="BH1157" s="2" t="s">
        <v>74</v>
      </c>
      <c r="BI1157" s="2" t="s">
        <v>74</v>
      </c>
      <c r="BJ1157" s="2" t="s">
        <v>74</v>
      </c>
      <c r="BK1157" s="2" t="s">
        <v>74</v>
      </c>
      <c r="BL1157" s="2" t="s">
        <v>74</v>
      </c>
      <c r="BM1157" s="2" t="s">
        <v>74</v>
      </c>
      <c r="BN1157" s="2" t="s">
        <v>74</v>
      </c>
      <c r="BO1157" s="2" t="s">
        <v>74</v>
      </c>
      <c r="BP1157" s="2" t="s">
        <v>74</v>
      </c>
      <c r="BQ1157" s="2" t="s">
        <v>74</v>
      </c>
      <c r="BR1157" s="2" t="s">
        <v>74</v>
      </c>
      <c r="BS1157" s="2" t="s">
        <v>6303</v>
      </c>
      <c r="BT1157" s="2" t="str">
        <f>HYPERLINK("https%3A%2F%2Fwww.webofscience.com%2Fwos%2Fwoscc%2Ffull-record%2FWOS:000370895200020","View Full Record in Web of Science")</f>
        <v>View Full Record in Web of Science</v>
      </c>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row>
    <row r="1158" spans="1:314" s="2" customFormat="1" x14ac:dyDescent="0.4">
      <c r="A1158" s="2" t="s">
        <v>72</v>
      </c>
      <c r="B1158" s="2" t="s">
        <v>7196</v>
      </c>
      <c r="C1158" s="2" t="s">
        <v>74</v>
      </c>
      <c r="D1158" s="2" t="s">
        <v>74</v>
      </c>
      <c r="E1158" s="2" t="s">
        <v>74</v>
      </c>
      <c r="F1158" s="2" t="s">
        <v>7197</v>
      </c>
      <c r="G1158" s="2" t="s">
        <v>74</v>
      </c>
      <c r="H1158" s="2" t="s">
        <v>74</v>
      </c>
      <c r="I1158" s="2" t="s">
        <v>7198</v>
      </c>
      <c r="J1158" s="2" t="s">
        <v>7199</v>
      </c>
      <c r="K1158" s="2" t="s">
        <v>74</v>
      </c>
      <c r="L1158" s="2" t="s">
        <v>74</v>
      </c>
      <c r="M1158" s="2" t="s">
        <v>74</v>
      </c>
      <c r="N1158" s="2" t="s">
        <v>74</v>
      </c>
      <c r="O1158" s="2" t="s">
        <v>74</v>
      </c>
      <c r="P1158" s="2" t="s">
        <v>74</v>
      </c>
      <c r="Q1158" s="2" t="s">
        <v>74</v>
      </c>
      <c r="R1158" s="2" t="s">
        <v>74</v>
      </c>
      <c r="S1158" s="2" t="s">
        <v>74</v>
      </c>
      <c r="T1158" s="2" t="s">
        <v>74</v>
      </c>
      <c r="U1158" s="2" t="s">
        <v>74</v>
      </c>
      <c r="V1158" s="5" t="s">
        <v>7200</v>
      </c>
      <c r="W1158" s="2" t="s">
        <v>74</v>
      </c>
      <c r="X1158" s="2" t="s">
        <v>74</v>
      </c>
      <c r="Y1158" s="2" t="s">
        <v>74</v>
      </c>
      <c r="Z1158" s="2" t="s">
        <v>74</v>
      </c>
      <c r="AA1158" s="2" t="s">
        <v>74</v>
      </c>
      <c r="AB1158" s="2" t="s">
        <v>7201</v>
      </c>
      <c r="AC1158" s="2" t="s">
        <v>74</v>
      </c>
      <c r="AD1158" s="2" t="s">
        <v>74</v>
      </c>
      <c r="AE1158" s="2" t="s">
        <v>74</v>
      </c>
      <c r="AF1158" s="2" t="s">
        <v>74</v>
      </c>
      <c r="AG1158" s="2" t="s">
        <v>74</v>
      </c>
      <c r="AH1158" s="2" t="s">
        <v>74</v>
      </c>
      <c r="AI1158" s="2" t="s">
        <v>74</v>
      </c>
      <c r="AJ1158" s="2" t="s">
        <v>74</v>
      </c>
      <c r="AK1158" s="2" t="s">
        <v>74</v>
      </c>
      <c r="AL1158" s="2" t="s">
        <v>74</v>
      </c>
      <c r="AM1158" s="2" t="s">
        <v>74</v>
      </c>
      <c r="AN1158" s="2" t="s">
        <v>74</v>
      </c>
      <c r="AO1158" s="2" t="s">
        <v>7202</v>
      </c>
      <c r="AP1158" s="2" t="s">
        <v>74</v>
      </c>
      <c r="AQ1158" s="2" t="s">
        <v>74</v>
      </c>
      <c r="AR1158" s="2" t="s">
        <v>74</v>
      </c>
      <c r="AS1158" s="2" t="s">
        <v>74</v>
      </c>
      <c r="AT1158" s="2" t="s">
        <v>7203</v>
      </c>
      <c r="AU1158" s="2">
        <v>2019</v>
      </c>
      <c r="AV1158" s="2">
        <v>13</v>
      </c>
      <c r="AW1158" s="2" t="s">
        <v>74</v>
      </c>
      <c r="AX1158" s="2" t="s">
        <v>74</v>
      </c>
      <c r="AY1158" s="2" t="s">
        <v>74</v>
      </c>
      <c r="AZ1158" s="2" t="s">
        <v>74</v>
      </c>
      <c r="BA1158" s="2" t="s">
        <v>74</v>
      </c>
      <c r="BB1158" s="2" t="s">
        <v>74</v>
      </c>
      <c r="BC1158" s="2" t="s">
        <v>74</v>
      </c>
      <c r="BD1158" s="2">
        <v>36</v>
      </c>
      <c r="BE1158" s="2" t="s">
        <v>7204</v>
      </c>
      <c r="BF1158" s="2" t="str">
        <f>HYPERLINK("http://dx.doi.org/10.3389/fnint.2019.00036","http://dx.doi.org/10.3389/fnint.2019.00036")</f>
        <v>http://dx.doi.org/10.3389/fnint.2019.00036</v>
      </c>
      <c r="BG1158" s="2" t="s">
        <v>74</v>
      </c>
      <c r="BH1158" s="2" t="s">
        <v>74</v>
      </c>
      <c r="BI1158" s="2" t="s">
        <v>74</v>
      </c>
      <c r="BJ1158" s="2" t="s">
        <v>74</v>
      </c>
      <c r="BK1158" s="2" t="s">
        <v>74</v>
      </c>
      <c r="BL1158" s="2" t="s">
        <v>74</v>
      </c>
      <c r="BM1158" s="2" t="s">
        <v>74</v>
      </c>
      <c r="BN1158" s="2">
        <v>31417374</v>
      </c>
      <c r="BO1158" s="2" t="s">
        <v>74</v>
      </c>
      <c r="BP1158" s="2" t="s">
        <v>74</v>
      </c>
      <c r="BQ1158" s="2" t="s">
        <v>74</v>
      </c>
      <c r="BR1158" s="2" t="s">
        <v>74</v>
      </c>
      <c r="BS1158" s="2" t="s">
        <v>7205</v>
      </c>
      <c r="BT1158" s="2" t="str">
        <f>HYPERLINK("https%3A%2F%2Fwww.webofscience.com%2Fwos%2Fwoscc%2Ffull-record%2FWOS:000478020400001","View Full Record in Web of Science")</f>
        <v>View Full Record in Web of Science</v>
      </c>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row>
    <row r="1159" spans="1:314" s="2" customFormat="1" x14ac:dyDescent="0.4">
      <c r="A1159" s="2" t="s">
        <v>72</v>
      </c>
      <c r="B1159" s="2" t="s">
        <v>8352</v>
      </c>
      <c r="C1159" s="2" t="s">
        <v>74</v>
      </c>
      <c r="D1159" s="2" t="s">
        <v>74</v>
      </c>
      <c r="E1159" s="2" t="s">
        <v>74</v>
      </c>
      <c r="F1159" s="2" t="s">
        <v>8353</v>
      </c>
      <c r="G1159" s="2" t="s">
        <v>74</v>
      </c>
      <c r="H1159" s="2" t="s">
        <v>74</v>
      </c>
      <c r="I1159" s="2" t="s">
        <v>8354</v>
      </c>
      <c r="J1159" s="2" t="s">
        <v>4836</v>
      </c>
      <c r="K1159" s="2" t="s">
        <v>74</v>
      </c>
      <c r="L1159" s="2" t="s">
        <v>74</v>
      </c>
      <c r="M1159" s="2" t="s">
        <v>74</v>
      </c>
      <c r="N1159" s="2" t="s">
        <v>74</v>
      </c>
      <c r="O1159" s="2" t="s">
        <v>74</v>
      </c>
      <c r="P1159" s="2" t="s">
        <v>74</v>
      </c>
      <c r="Q1159" s="2" t="s">
        <v>74</v>
      </c>
      <c r="R1159" s="2" t="s">
        <v>74</v>
      </c>
      <c r="S1159" s="2" t="s">
        <v>74</v>
      </c>
      <c r="T1159" s="2" t="s">
        <v>74</v>
      </c>
      <c r="U1159" s="2" t="s">
        <v>74</v>
      </c>
      <c r="V1159" s="5" t="s">
        <v>8355</v>
      </c>
      <c r="W1159" s="2" t="s">
        <v>74</v>
      </c>
      <c r="X1159" s="2" t="s">
        <v>74</v>
      </c>
      <c r="Y1159" s="2" t="s">
        <v>74</v>
      </c>
      <c r="Z1159" s="2" t="s">
        <v>74</v>
      </c>
      <c r="AA1159" s="2" t="s">
        <v>74</v>
      </c>
      <c r="AB1159" s="2" t="s">
        <v>74</v>
      </c>
      <c r="AC1159" s="2" t="s">
        <v>74</v>
      </c>
      <c r="AD1159" s="2" t="s">
        <v>74</v>
      </c>
      <c r="AE1159" s="2" t="s">
        <v>74</v>
      </c>
      <c r="AF1159" s="2" t="s">
        <v>74</v>
      </c>
      <c r="AG1159" s="2" t="s">
        <v>74</v>
      </c>
      <c r="AH1159" s="2" t="s">
        <v>74</v>
      </c>
      <c r="AI1159" s="2" t="s">
        <v>74</v>
      </c>
      <c r="AJ1159" s="2" t="s">
        <v>74</v>
      </c>
      <c r="AK1159" s="2" t="s">
        <v>74</v>
      </c>
      <c r="AL1159" s="2" t="s">
        <v>74</v>
      </c>
      <c r="AM1159" s="2" t="s">
        <v>74</v>
      </c>
      <c r="AN1159" s="2" t="s">
        <v>74</v>
      </c>
      <c r="AO1159" s="2" t="s">
        <v>4840</v>
      </c>
      <c r="AP1159" s="2" t="s">
        <v>74</v>
      </c>
      <c r="AQ1159" s="2" t="s">
        <v>74</v>
      </c>
      <c r="AR1159" s="2" t="s">
        <v>74</v>
      </c>
      <c r="AS1159" s="2" t="s">
        <v>74</v>
      </c>
      <c r="AT1159" s="2" t="s">
        <v>204</v>
      </c>
      <c r="AU1159" s="2">
        <v>2014</v>
      </c>
      <c r="AV1159" s="2">
        <v>64</v>
      </c>
      <c r="AW1159" s="2">
        <v>2</v>
      </c>
      <c r="AX1159" s="2" t="s">
        <v>74</v>
      </c>
      <c r="AY1159" s="2" t="s">
        <v>74</v>
      </c>
      <c r="AZ1159" s="2" t="s">
        <v>74</v>
      </c>
      <c r="BA1159" s="2" t="s">
        <v>74</v>
      </c>
      <c r="BB1159" s="2">
        <v>139</v>
      </c>
      <c r="BC1159" s="2">
        <v>167</v>
      </c>
      <c r="BD1159" s="2" t="s">
        <v>74</v>
      </c>
      <c r="BE1159" s="2" t="s">
        <v>74</v>
      </c>
      <c r="BF1159" s="2" t="s">
        <v>74</v>
      </c>
      <c r="BG1159" s="2" t="s">
        <v>74</v>
      </c>
      <c r="BH1159" s="2" t="s">
        <v>74</v>
      </c>
      <c r="BI1159" s="2" t="s">
        <v>74</v>
      </c>
      <c r="BJ1159" s="2" t="s">
        <v>74</v>
      </c>
      <c r="BK1159" s="2" t="s">
        <v>74</v>
      </c>
      <c r="BL1159" s="2" t="s">
        <v>74</v>
      </c>
      <c r="BM1159" s="2" t="s">
        <v>74</v>
      </c>
      <c r="BN1159" s="2" t="s">
        <v>74</v>
      </c>
      <c r="BO1159" s="2" t="s">
        <v>74</v>
      </c>
      <c r="BP1159" s="2" t="s">
        <v>74</v>
      </c>
      <c r="BQ1159" s="2" t="s">
        <v>74</v>
      </c>
      <c r="BR1159" s="2" t="s">
        <v>74</v>
      </c>
      <c r="BS1159" s="2" t="s">
        <v>8356</v>
      </c>
      <c r="BT1159" s="2" t="str">
        <f>HYPERLINK("https%3A%2F%2Fwww.webofscience.com%2Fwos%2Fwoscc%2Ffull-record%2FWOS:000341406400001","View Full Record in Web of Science")</f>
        <v>View Full Record in Web of Science</v>
      </c>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row>
    <row r="1160" spans="1:314" s="2" customFormat="1" x14ac:dyDescent="0.4">
      <c r="A1160" s="2" t="s">
        <v>72</v>
      </c>
      <c r="B1160" s="2" t="s">
        <v>7571</v>
      </c>
      <c r="C1160" s="2" t="s">
        <v>74</v>
      </c>
      <c r="D1160" s="2" t="s">
        <v>74</v>
      </c>
      <c r="E1160" s="2" t="s">
        <v>74</v>
      </c>
      <c r="F1160" s="2" t="s">
        <v>7572</v>
      </c>
      <c r="G1160" s="2" t="s">
        <v>74</v>
      </c>
      <c r="H1160" s="2" t="s">
        <v>74</v>
      </c>
      <c r="I1160" s="2" t="s">
        <v>7573</v>
      </c>
      <c r="J1160" s="2" t="s">
        <v>77</v>
      </c>
      <c r="K1160" s="2" t="s">
        <v>74</v>
      </c>
      <c r="L1160" s="2" t="s">
        <v>74</v>
      </c>
      <c r="M1160" s="2" t="s">
        <v>74</v>
      </c>
      <c r="N1160" s="2" t="s">
        <v>74</v>
      </c>
      <c r="O1160" s="2" t="s">
        <v>74</v>
      </c>
      <c r="P1160" s="2" t="s">
        <v>74</v>
      </c>
      <c r="Q1160" s="2" t="s">
        <v>74</v>
      </c>
      <c r="R1160" s="2" t="s">
        <v>74</v>
      </c>
      <c r="S1160" s="2" t="s">
        <v>74</v>
      </c>
      <c r="T1160" s="2" t="s">
        <v>74</v>
      </c>
      <c r="U1160" s="2" t="s">
        <v>74</v>
      </c>
      <c r="V1160" s="5" t="s">
        <v>7574</v>
      </c>
      <c r="W1160" s="2" t="s">
        <v>74</v>
      </c>
      <c r="X1160" s="2" t="s">
        <v>74</v>
      </c>
      <c r="Y1160" s="2" t="s">
        <v>74</v>
      </c>
      <c r="Z1160" s="2" t="s">
        <v>74</v>
      </c>
      <c r="AA1160" s="2" t="s">
        <v>74</v>
      </c>
      <c r="AB1160" s="2" t="s">
        <v>7575</v>
      </c>
      <c r="AC1160" s="2" t="s">
        <v>74</v>
      </c>
      <c r="AD1160" s="2" t="s">
        <v>74</v>
      </c>
      <c r="AE1160" s="2" t="s">
        <v>74</v>
      </c>
      <c r="AF1160" s="2" t="s">
        <v>74</v>
      </c>
      <c r="AG1160" s="2" t="s">
        <v>74</v>
      </c>
      <c r="AH1160" s="2" t="s">
        <v>74</v>
      </c>
      <c r="AI1160" s="2" t="s">
        <v>74</v>
      </c>
      <c r="AJ1160" s="2" t="s">
        <v>74</v>
      </c>
      <c r="AK1160" s="2" t="s">
        <v>74</v>
      </c>
      <c r="AL1160" s="2" t="s">
        <v>74</v>
      </c>
      <c r="AM1160" s="2" t="s">
        <v>74</v>
      </c>
      <c r="AN1160" s="2" t="s">
        <v>74</v>
      </c>
      <c r="AO1160" s="2" t="s">
        <v>81</v>
      </c>
      <c r="AP1160" s="2" t="s">
        <v>82</v>
      </c>
      <c r="AQ1160" s="2" t="s">
        <v>74</v>
      </c>
      <c r="AR1160" s="2" t="s">
        <v>74</v>
      </c>
      <c r="AS1160" s="2" t="s">
        <v>74</v>
      </c>
      <c r="AT1160" s="2" t="s">
        <v>255</v>
      </c>
      <c r="AU1160" s="2">
        <v>2019</v>
      </c>
      <c r="AV1160" s="2">
        <v>156</v>
      </c>
      <c r="AW1160" s="2">
        <v>2</v>
      </c>
      <c r="AX1160" s="2" t="s">
        <v>74</v>
      </c>
      <c r="AY1160" s="2" t="s">
        <v>74</v>
      </c>
      <c r="AZ1160" s="2" t="s">
        <v>74</v>
      </c>
      <c r="BA1160" s="2" t="s">
        <v>74</v>
      </c>
      <c r="BB1160" s="2">
        <v>131</v>
      </c>
      <c r="BC1160" s="2">
        <v>153</v>
      </c>
      <c r="BD1160" s="2" t="s">
        <v>74</v>
      </c>
      <c r="BE1160" s="2" t="s">
        <v>7576</v>
      </c>
      <c r="BF1160" s="2" t="str">
        <f>HYPERLINK("http://dx.doi.org/10.1163/1568539X-00003533","http://dx.doi.org/10.1163/1568539X-00003533")</f>
        <v>http://dx.doi.org/10.1163/1568539X-00003533</v>
      </c>
      <c r="BG1160" s="2" t="s">
        <v>74</v>
      </c>
      <c r="BH1160" s="2" t="s">
        <v>74</v>
      </c>
      <c r="BI1160" s="2" t="s">
        <v>74</v>
      </c>
      <c r="BJ1160" s="2" t="s">
        <v>74</v>
      </c>
      <c r="BK1160" s="2" t="s">
        <v>74</v>
      </c>
      <c r="BL1160" s="2" t="s">
        <v>74</v>
      </c>
      <c r="BM1160" s="2" t="s">
        <v>74</v>
      </c>
      <c r="BN1160" s="2" t="s">
        <v>74</v>
      </c>
      <c r="BO1160" s="2" t="s">
        <v>74</v>
      </c>
      <c r="BP1160" s="2" t="s">
        <v>74</v>
      </c>
      <c r="BQ1160" s="2" t="s">
        <v>74</v>
      </c>
      <c r="BR1160" s="2" t="s">
        <v>74</v>
      </c>
      <c r="BS1160" s="2" t="s">
        <v>7577</v>
      </c>
      <c r="BT1160" s="2" t="str">
        <f>HYPERLINK("https%3A%2F%2Fwww.webofscience.com%2Fwos%2Fwoscc%2Ffull-record%2FWOS:000457844100002","View Full Record in Web of Science")</f>
        <v>View Full Record in Web of Science</v>
      </c>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row>
    <row r="1161" spans="1:314" s="2" customFormat="1" x14ac:dyDescent="0.4">
      <c r="A1161" s="2" t="s">
        <v>72</v>
      </c>
      <c r="B1161" s="2" t="s">
        <v>6843</v>
      </c>
      <c r="C1161" s="2" t="s">
        <v>74</v>
      </c>
      <c r="D1161" s="2" t="s">
        <v>74</v>
      </c>
      <c r="E1161" s="2" t="s">
        <v>74</v>
      </c>
      <c r="F1161" s="2" t="s">
        <v>6844</v>
      </c>
      <c r="G1161" s="2" t="s">
        <v>74</v>
      </c>
      <c r="H1161" s="2" t="s">
        <v>74</v>
      </c>
      <c r="I1161" s="2" t="s">
        <v>6845</v>
      </c>
      <c r="J1161" s="2" t="s">
        <v>5684</v>
      </c>
      <c r="K1161" s="2" t="s">
        <v>74</v>
      </c>
      <c r="L1161" s="2" t="s">
        <v>74</v>
      </c>
      <c r="M1161" s="2" t="s">
        <v>74</v>
      </c>
      <c r="N1161" s="2" t="s">
        <v>74</v>
      </c>
      <c r="O1161" s="2" t="s">
        <v>74</v>
      </c>
      <c r="P1161" s="2" t="s">
        <v>74</v>
      </c>
      <c r="Q1161" s="2" t="s">
        <v>74</v>
      </c>
      <c r="R1161" s="2" t="s">
        <v>74</v>
      </c>
      <c r="S1161" s="2" t="s">
        <v>74</v>
      </c>
      <c r="T1161" s="2" t="s">
        <v>74</v>
      </c>
      <c r="U1161" s="2" t="s">
        <v>74</v>
      </c>
      <c r="V1161" s="5" t="s">
        <v>6846</v>
      </c>
      <c r="W1161" s="2" t="s">
        <v>74</v>
      </c>
      <c r="X1161" s="2" t="s">
        <v>74</v>
      </c>
      <c r="Y1161" s="2" t="s">
        <v>74</v>
      </c>
      <c r="Z1161" s="2" t="s">
        <v>74</v>
      </c>
      <c r="AA1161" s="2" t="s">
        <v>74</v>
      </c>
      <c r="AB1161" s="2" t="s">
        <v>74</v>
      </c>
      <c r="AC1161" s="2" t="s">
        <v>74</v>
      </c>
      <c r="AD1161" s="2" t="s">
        <v>74</v>
      </c>
      <c r="AE1161" s="2" t="s">
        <v>74</v>
      </c>
      <c r="AF1161" s="2" t="s">
        <v>74</v>
      </c>
      <c r="AG1161" s="2" t="s">
        <v>74</v>
      </c>
      <c r="AH1161" s="2" t="s">
        <v>74</v>
      </c>
      <c r="AI1161" s="2" t="s">
        <v>74</v>
      </c>
      <c r="AJ1161" s="2" t="s">
        <v>74</v>
      </c>
      <c r="AK1161" s="2" t="s">
        <v>74</v>
      </c>
      <c r="AL1161" s="2" t="s">
        <v>74</v>
      </c>
      <c r="AM1161" s="2" t="s">
        <v>74</v>
      </c>
      <c r="AN1161" s="2" t="s">
        <v>74</v>
      </c>
      <c r="AO1161" s="2" t="s">
        <v>5688</v>
      </c>
      <c r="AP1161" s="2" t="s">
        <v>5689</v>
      </c>
      <c r="AQ1161" s="2" t="s">
        <v>74</v>
      </c>
      <c r="AR1161" s="2" t="s">
        <v>74</v>
      </c>
      <c r="AS1161" s="2" t="s">
        <v>74</v>
      </c>
      <c r="AT1161" s="2" t="s">
        <v>964</v>
      </c>
      <c r="AU1161" s="2">
        <v>2011</v>
      </c>
      <c r="AV1161" s="2">
        <v>67</v>
      </c>
      <c r="AW1161" s="2">
        <v>2</v>
      </c>
      <c r="AX1161" s="2" t="s">
        <v>74</v>
      </c>
      <c r="AY1161" s="2" t="s">
        <v>74</v>
      </c>
      <c r="AZ1161" s="2" t="s">
        <v>74</v>
      </c>
      <c r="BA1161" s="2" t="s">
        <v>74</v>
      </c>
      <c r="BB1161" s="2">
        <v>162</v>
      </c>
      <c r="BC1161" s="2">
        <v>169</v>
      </c>
      <c r="BD1161" s="2" t="s">
        <v>74</v>
      </c>
      <c r="BE1161" s="2" t="s">
        <v>6847</v>
      </c>
      <c r="BF1161" s="2" t="str">
        <f>HYPERLINK("http://dx.doi.org/10.1002/ps.2045","http://dx.doi.org/10.1002/ps.2045")</f>
        <v>http://dx.doi.org/10.1002/ps.2045</v>
      </c>
      <c r="BG1161" s="2" t="s">
        <v>74</v>
      </c>
      <c r="BH1161" s="2" t="s">
        <v>74</v>
      </c>
      <c r="BI1161" s="2" t="s">
        <v>74</v>
      </c>
      <c r="BJ1161" s="2" t="s">
        <v>74</v>
      </c>
      <c r="BK1161" s="2" t="s">
        <v>74</v>
      </c>
      <c r="BL1161" s="2" t="s">
        <v>74</v>
      </c>
      <c r="BM1161" s="2" t="s">
        <v>74</v>
      </c>
      <c r="BN1161" s="2">
        <v>20981740</v>
      </c>
      <c r="BO1161" s="2" t="s">
        <v>74</v>
      </c>
      <c r="BP1161" s="2" t="s">
        <v>74</v>
      </c>
      <c r="BQ1161" s="2" t="s">
        <v>74</v>
      </c>
      <c r="BR1161" s="2" t="s">
        <v>74</v>
      </c>
      <c r="BS1161" s="2" t="s">
        <v>6848</v>
      </c>
      <c r="BT1161" s="2" t="str">
        <f>HYPERLINK("https%3A%2F%2Fwww.webofscience.com%2Fwos%2Fwoscc%2Ffull-record%2FWOS:000286071200005","View Full Record in Web of Science")</f>
        <v>View Full Record in Web of Science</v>
      </c>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row>
    <row r="1162" spans="1:314" s="2" customFormat="1" x14ac:dyDescent="0.4">
      <c r="A1162" s="2" t="s">
        <v>72</v>
      </c>
      <c r="B1162" s="2" t="s">
        <v>7665</v>
      </c>
      <c r="C1162" s="2" t="s">
        <v>74</v>
      </c>
      <c r="D1162" s="2" t="s">
        <v>74</v>
      </c>
      <c r="E1162" s="2" t="s">
        <v>74</v>
      </c>
      <c r="F1162" s="2" t="s">
        <v>7666</v>
      </c>
      <c r="G1162" s="2" t="s">
        <v>74</v>
      </c>
      <c r="H1162" s="2" t="s">
        <v>74</v>
      </c>
      <c r="I1162" s="2" t="s">
        <v>7667</v>
      </c>
      <c r="J1162" s="2" t="s">
        <v>5937</v>
      </c>
      <c r="K1162" s="2" t="s">
        <v>74</v>
      </c>
      <c r="L1162" s="2" t="s">
        <v>74</v>
      </c>
      <c r="M1162" s="2" t="s">
        <v>74</v>
      </c>
      <c r="N1162" s="2" t="s">
        <v>74</v>
      </c>
      <c r="O1162" s="2" t="s">
        <v>74</v>
      </c>
      <c r="P1162" s="2" t="s">
        <v>74</v>
      </c>
      <c r="Q1162" s="2" t="s">
        <v>74</v>
      </c>
      <c r="R1162" s="2" t="s">
        <v>74</v>
      </c>
      <c r="S1162" s="2" t="s">
        <v>74</v>
      </c>
      <c r="T1162" s="2" t="s">
        <v>74</v>
      </c>
      <c r="U1162" s="2" t="s">
        <v>74</v>
      </c>
      <c r="V1162" s="5" t="s">
        <v>7668</v>
      </c>
      <c r="W1162" s="2" t="s">
        <v>74</v>
      </c>
      <c r="X1162" s="2" t="s">
        <v>74</v>
      </c>
      <c r="Y1162" s="2" t="s">
        <v>74</v>
      </c>
      <c r="Z1162" s="2" t="s">
        <v>74</v>
      </c>
      <c r="AA1162" s="2" t="s">
        <v>7669</v>
      </c>
      <c r="AB1162" s="2" t="s">
        <v>7670</v>
      </c>
      <c r="AC1162" s="2" t="s">
        <v>74</v>
      </c>
      <c r="AD1162" s="2" t="s">
        <v>74</v>
      </c>
      <c r="AE1162" s="2" t="s">
        <v>74</v>
      </c>
      <c r="AF1162" s="2" t="s">
        <v>74</v>
      </c>
      <c r="AG1162" s="2" t="s">
        <v>74</v>
      </c>
      <c r="AH1162" s="2" t="s">
        <v>74</v>
      </c>
      <c r="AI1162" s="2" t="s">
        <v>74</v>
      </c>
      <c r="AJ1162" s="2" t="s">
        <v>74</v>
      </c>
      <c r="AK1162" s="2" t="s">
        <v>74</v>
      </c>
      <c r="AL1162" s="2" t="s">
        <v>74</v>
      </c>
      <c r="AM1162" s="2" t="s">
        <v>74</v>
      </c>
      <c r="AN1162" s="2" t="s">
        <v>74</v>
      </c>
      <c r="AO1162" s="2" t="s">
        <v>5941</v>
      </c>
      <c r="AP1162" s="2" t="s">
        <v>74</v>
      </c>
      <c r="AQ1162" s="2" t="s">
        <v>74</v>
      </c>
      <c r="AR1162" s="2" t="s">
        <v>74</v>
      </c>
      <c r="AS1162" s="2" t="s">
        <v>74</v>
      </c>
      <c r="AT1162" s="2" t="s">
        <v>964</v>
      </c>
      <c r="AU1162" s="2">
        <v>2023</v>
      </c>
      <c r="AV1162" s="2">
        <v>13</v>
      </c>
      <c r="AW1162" s="2">
        <v>4</v>
      </c>
      <c r="AX1162" s="2" t="s">
        <v>74</v>
      </c>
      <c r="AY1162" s="2" t="s">
        <v>74</v>
      </c>
      <c r="AZ1162" s="2" t="s">
        <v>74</v>
      </c>
      <c r="BA1162" s="2" t="s">
        <v>74</v>
      </c>
      <c r="BB1162" s="2" t="s">
        <v>74</v>
      </c>
      <c r="BC1162" s="2" t="s">
        <v>74</v>
      </c>
      <c r="BD1162" s="2">
        <v>753</v>
      </c>
      <c r="BE1162" s="2" t="s">
        <v>7671</v>
      </c>
      <c r="BF1162" s="2" t="str">
        <f>HYPERLINK("http://dx.doi.org/10.3390/ani13040753","http://dx.doi.org/10.3390/ani13040753")</f>
        <v>http://dx.doi.org/10.3390/ani13040753</v>
      </c>
      <c r="BG1162" s="2" t="s">
        <v>74</v>
      </c>
      <c r="BH1162" s="2" t="s">
        <v>74</v>
      </c>
      <c r="BI1162" s="2" t="s">
        <v>74</v>
      </c>
      <c r="BJ1162" s="2" t="s">
        <v>74</v>
      </c>
      <c r="BK1162" s="2" t="s">
        <v>74</v>
      </c>
      <c r="BL1162" s="2" t="s">
        <v>74</v>
      </c>
      <c r="BM1162" s="2" t="s">
        <v>74</v>
      </c>
      <c r="BN1162" s="2">
        <v>36830540</v>
      </c>
      <c r="BO1162" s="2" t="s">
        <v>74</v>
      </c>
      <c r="BP1162" s="2" t="s">
        <v>74</v>
      </c>
      <c r="BQ1162" s="2" t="s">
        <v>74</v>
      </c>
      <c r="BR1162" s="2" t="s">
        <v>74</v>
      </c>
      <c r="BS1162" s="2" t="s">
        <v>7672</v>
      </c>
      <c r="BT1162" s="2" t="str">
        <f>HYPERLINK("https%3A%2F%2Fwww.webofscience.com%2Fwos%2Fwoscc%2Ffull-record%2FWOS:000938298300001","View Full Record in Web of Science")</f>
        <v>View Full Record in Web of Science</v>
      </c>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row>
    <row r="1163" spans="1:314" s="1" customFormat="1" x14ac:dyDescent="0.4">
      <c r="A1163" s="2" t="s">
        <v>72</v>
      </c>
      <c r="B1163" s="2" t="s">
        <v>137</v>
      </c>
      <c r="C1163" s="2" t="s">
        <v>74</v>
      </c>
      <c r="D1163" s="2" t="s">
        <v>74</v>
      </c>
      <c r="E1163" s="2" t="s">
        <v>74</v>
      </c>
      <c r="F1163" s="2" t="s">
        <v>138</v>
      </c>
      <c r="G1163" s="2" t="s">
        <v>74</v>
      </c>
      <c r="H1163" s="2" t="s">
        <v>74</v>
      </c>
      <c r="I1163" s="2" t="s">
        <v>139</v>
      </c>
      <c r="J1163" s="2" t="s">
        <v>140</v>
      </c>
      <c r="K1163" s="2" t="s">
        <v>74</v>
      </c>
      <c r="L1163" s="2" t="s">
        <v>74</v>
      </c>
      <c r="M1163" s="2" t="s">
        <v>74</v>
      </c>
      <c r="N1163" s="2" t="s">
        <v>74</v>
      </c>
      <c r="O1163" s="2" t="s">
        <v>74</v>
      </c>
      <c r="P1163" s="2" t="s">
        <v>74</v>
      </c>
      <c r="Q1163" s="2" t="s">
        <v>74</v>
      </c>
      <c r="R1163" s="2" t="s">
        <v>74</v>
      </c>
      <c r="S1163" s="2" t="s">
        <v>74</v>
      </c>
      <c r="T1163" s="2" t="s">
        <v>74</v>
      </c>
      <c r="U1163" s="2" t="s">
        <v>74</v>
      </c>
      <c r="V1163" s="5" t="s">
        <v>141</v>
      </c>
      <c r="W1163" s="2" t="s">
        <v>74</v>
      </c>
      <c r="X1163" s="2" t="s">
        <v>74</v>
      </c>
      <c r="Y1163" s="2" t="s">
        <v>74</v>
      </c>
      <c r="Z1163" s="2" t="s">
        <v>74</v>
      </c>
      <c r="AA1163" s="2" t="s">
        <v>74</v>
      </c>
      <c r="AB1163" s="2" t="s">
        <v>142</v>
      </c>
      <c r="AC1163" s="2" t="s">
        <v>74</v>
      </c>
      <c r="AD1163" s="2" t="s">
        <v>74</v>
      </c>
      <c r="AE1163" s="2" t="s">
        <v>74</v>
      </c>
      <c r="AF1163" s="2" t="s">
        <v>74</v>
      </c>
      <c r="AG1163" s="2" t="s">
        <v>74</v>
      </c>
      <c r="AH1163" s="2" t="s">
        <v>74</v>
      </c>
      <c r="AI1163" s="2" t="s">
        <v>74</v>
      </c>
      <c r="AJ1163" s="2" t="s">
        <v>74</v>
      </c>
      <c r="AK1163" s="2" t="s">
        <v>74</v>
      </c>
      <c r="AL1163" s="2" t="s">
        <v>74</v>
      </c>
      <c r="AM1163" s="2" t="s">
        <v>74</v>
      </c>
      <c r="AN1163" s="2" t="s">
        <v>74</v>
      </c>
      <c r="AO1163" s="2" t="s">
        <v>143</v>
      </c>
      <c r="AP1163" s="2" t="s">
        <v>144</v>
      </c>
      <c r="AQ1163" s="2" t="s">
        <v>74</v>
      </c>
      <c r="AR1163" s="2" t="s">
        <v>74</v>
      </c>
      <c r="AS1163" s="2" t="s">
        <v>74</v>
      </c>
      <c r="AT1163" s="2" t="s">
        <v>145</v>
      </c>
      <c r="AU1163" s="2">
        <v>2015</v>
      </c>
      <c r="AV1163" s="2">
        <v>106</v>
      </c>
      <c r="AW1163" s="2" t="s">
        <v>74</v>
      </c>
      <c r="AX1163" s="2" t="s">
        <v>74</v>
      </c>
      <c r="AY1163" s="2" t="s">
        <v>74</v>
      </c>
      <c r="AZ1163" s="2" t="s">
        <v>74</v>
      </c>
      <c r="BA1163" s="2" t="s">
        <v>74</v>
      </c>
      <c r="BB1163" s="2">
        <v>171</v>
      </c>
      <c r="BC1163" s="2">
        <v>179</v>
      </c>
      <c r="BD1163" s="2" t="s">
        <v>74</v>
      </c>
      <c r="BE1163" s="2" t="s">
        <v>146</v>
      </c>
      <c r="BF1163" s="2" t="str">
        <f>HYPERLINK("http://dx.doi.org/10.1016/j.anbehav.2015.05.016","http://dx.doi.org/10.1016/j.anbehav.2015.05.016")</f>
        <v>http://dx.doi.org/10.1016/j.anbehav.2015.05.016</v>
      </c>
      <c r="BG1163" s="2" t="s">
        <v>74</v>
      </c>
      <c r="BH1163" s="2" t="s">
        <v>74</v>
      </c>
      <c r="BI1163" s="2" t="s">
        <v>74</v>
      </c>
      <c r="BJ1163" s="2" t="s">
        <v>74</v>
      </c>
      <c r="BK1163" s="2" t="s">
        <v>74</v>
      </c>
      <c r="BL1163" s="2" t="s">
        <v>74</v>
      </c>
      <c r="BM1163" s="2" t="s">
        <v>74</v>
      </c>
      <c r="BN1163" s="2" t="s">
        <v>74</v>
      </c>
      <c r="BO1163" s="2" t="s">
        <v>74</v>
      </c>
      <c r="BP1163" s="2" t="s">
        <v>74</v>
      </c>
      <c r="BQ1163" s="2" t="s">
        <v>74</v>
      </c>
      <c r="BR1163" s="2" t="s">
        <v>74</v>
      </c>
      <c r="BS1163" s="2" t="s">
        <v>147</v>
      </c>
      <c r="BT1163" s="2" t="str">
        <f>HYPERLINK("https%3A%2F%2Fwww.webofscience.com%2Fwos%2Fwoscc%2Ffull-record%2FWOS:000358315700022","View Full Record in Web of Science")</f>
        <v>View Full Record in Web of Science</v>
      </c>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row>
  </sheetData>
  <pageMargins left="0.75" right="0.75" top="1" bottom="1" header="0.5" footer="0.5"/>
  <pageSetup orientation="portrait" horizontalDpi="300" verticalDpi="300" r:id="rId1"/>
  <headerFooter alignWithMargins="0"/>
</worksheet>
</file>

<file path=docMetadata/LabelInfo.xml><?xml version="1.0" encoding="utf-8"?>
<clbl:labelList xmlns:clbl="http://schemas.microsoft.com/office/2020/mipLabelMetadata">
  <clbl:label id="{a36450eb-db06-42a7-8d1b-026719f701e3}" enabled="0" method="" siteId="{a36450eb-db06-42a7-8d1b-026719f701e3}"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 8-28-24 search</vt:lpstr>
      <vt:lpstr>check papers</vt:lpstr>
      <vt:lpstr>final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Ruckman</dc:creator>
  <cp:lastModifiedBy>Sarah Ruckman</cp:lastModifiedBy>
  <dcterms:created xsi:type="dcterms:W3CDTF">2024-08-28T15:25:20Z</dcterms:created>
  <dcterms:modified xsi:type="dcterms:W3CDTF">2024-10-15T01:05:26Z</dcterms:modified>
</cp:coreProperties>
</file>